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showInkAnnotation="0" codeName="ThisWorkbook" hidePivotFieldList="1"/>
  <xr:revisionPtr revIDLastSave="0" documentId="13_ncr:1_{4FCA12FC-F865-4354-A2F3-A5A8553317E1}" xr6:coauthVersionLast="47" xr6:coauthVersionMax="47" xr10:uidLastSave="{00000000-0000-0000-0000-000000000000}"/>
  <bookViews>
    <workbookView xWindow="-120" yWindow="-120" windowWidth="29040" windowHeight="15840" tabRatio="911" firstSheet="1" activeTab="5" xr2:uid="{00000000-000D-0000-FFFF-FFFF00000000}"/>
  </bookViews>
  <sheets>
    <sheet name="Chart of Accounts" sheetId="6" state="hidden" r:id="rId1"/>
    <sheet name="INVESTOR_LIST" sheetId="57" r:id="rId2"/>
    <sheet name="Journals" sheetId="7" r:id="rId3"/>
    <sheet name="TB-C" sheetId="8" r:id="rId4"/>
    <sheet name="TB-P" sheetId="27" r:id="rId5"/>
    <sheet name="BS" sheetId="2" r:id="rId6"/>
    <sheet name="IS" sheetId="3" r:id="rId7"/>
    <sheet name="E" sheetId="4" r:id="rId8"/>
    <sheet name="CF" sheetId="5" r:id="rId9"/>
    <sheet name="W C &amp; I" sheetId="9" r:id="rId10"/>
    <sheet name="Custodian Fee" sheetId="59" r:id="rId11"/>
    <sheet name="Bank Int." sheetId="58" r:id="rId12"/>
    <sheet name="Notes" sheetId="17" state="hidden" r:id="rId13"/>
    <sheet name="Policy Notes" sheetId="43" state="hidden" r:id="rId14"/>
    <sheet name="Trade-2021" sheetId="51" state="hidden" r:id="rId15"/>
  </sheets>
  <definedNames>
    <definedName name="_xlnm._FilterDatabase" localSheetId="11" hidden="1">'Bank Int.'!$B$3:$C$1182</definedName>
    <definedName name="_xlnm._FilterDatabase" localSheetId="0" hidden="1">'Chart of Accounts'!$B$2:$C$2</definedName>
    <definedName name="_xlnm._FilterDatabase" localSheetId="2" hidden="1">Journals!$A$7:$L$14551</definedName>
    <definedName name="CURRENT_NAV">BS!$C$46</definedName>
    <definedName name="fsa">Journals!$T$1</definedName>
    <definedName name="NAV">BS!$C$44</definedName>
    <definedName name="NAV_MKT">Journals!$T$1</definedName>
    <definedName name="_xlnm.Print_Area" localSheetId="8">CF!$A$1:$E$49</definedName>
    <definedName name="_xlnm.Print_Area" localSheetId="7">E!$A$1:$G$33</definedName>
    <definedName name="_xlnm.Print_Area" localSheetId="6">IS!$A$1:$F$38</definedName>
    <definedName name="_xlnm.Print_Titles" localSheetId="12">Notes!$1:$1</definedName>
    <definedName name="solver_adj" localSheetId="10" hidden="1">'Custodian Fee'!$T$13</definedName>
    <definedName name="solver_cvg" localSheetId="10" hidden="1">0.0001</definedName>
    <definedName name="solver_drv" localSheetId="10" hidden="1">1</definedName>
    <definedName name="solver_eng" localSheetId="10" hidden="1">1</definedName>
    <definedName name="solver_est" localSheetId="10" hidden="1">1</definedName>
    <definedName name="solver_itr" localSheetId="10" hidden="1">2147483647</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0</definedName>
    <definedName name="solver_nwt" localSheetId="10" hidden="1">1</definedName>
    <definedName name="solver_opt" localSheetId="10" hidden="1">'Custodian Fee'!$T$15</definedName>
    <definedName name="solver_pre" localSheetId="10" hidden="1">0.000001</definedName>
    <definedName name="solver_rbv" localSheetId="10" hidden="1">1</definedName>
    <definedName name="solver_rlx" localSheetId="10" hidden="1">2</definedName>
    <definedName name="solver_rsd" localSheetId="10" hidden="1">0</definedName>
    <definedName name="solver_scl" localSheetId="10" hidden="1">1</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3</definedName>
    <definedName name="solver_val" localSheetId="10" hidden="1">521360</definedName>
    <definedName name="solver_ver" localSheetId="10" hidden="1">3</definedName>
    <definedName name="TCV_STOCKS">#REF!</definedName>
    <definedName name="TMV_STOC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58" l="1"/>
  <c r="L12" i="58"/>
  <c r="J12" i="58"/>
  <c r="H12" i="58"/>
  <c r="F12" i="58"/>
  <c r="D12" i="58"/>
  <c r="B12" i="58"/>
  <c r="A12" i="58"/>
  <c r="L14390" i="7"/>
  <c r="E14390" i="7"/>
  <c r="D14390" i="7"/>
  <c r="M14389" i="7"/>
  <c r="E14389" i="7"/>
  <c r="D14389" i="7"/>
  <c r="L14388" i="7"/>
  <c r="E14388" i="7"/>
  <c r="D14388" i="7"/>
  <c r="E14387" i="7"/>
  <c r="D14387" i="7"/>
  <c r="L14386" i="7"/>
  <c r="E14386" i="7"/>
  <c r="D14386" i="7"/>
  <c r="M14385" i="7"/>
  <c r="E14385" i="7"/>
  <c r="D14385" i="7"/>
  <c r="L14384" i="7"/>
  <c r="E14384" i="7"/>
  <c r="D14384" i="7"/>
  <c r="E14383" i="7"/>
  <c r="D14383" i="7"/>
  <c r="L14382" i="7"/>
  <c r="E14382" i="7"/>
  <c r="D14382" i="7"/>
  <c r="E14381" i="7"/>
  <c r="D14381" i="7"/>
  <c r="L14380" i="7"/>
  <c r="E14380" i="7"/>
  <c r="D14380" i="7"/>
  <c r="M14379" i="7"/>
  <c r="E14379" i="7"/>
  <c r="D14379" i="7"/>
  <c r="L14378" i="7"/>
  <c r="E14378" i="7"/>
  <c r="D14378" i="7"/>
  <c r="E14377" i="7"/>
  <c r="D14377" i="7"/>
  <c r="L14376" i="7"/>
  <c r="E14376" i="7"/>
  <c r="D14376" i="7"/>
  <c r="E14375" i="7"/>
  <c r="D14375" i="7"/>
  <c r="L14374" i="7"/>
  <c r="E14374" i="7"/>
  <c r="D14374" i="7"/>
  <c r="E14373" i="7"/>
  <c r="D14373" i="7"/>
  <c r="L14372" i="7"/>
  <c r="E14372" i="7"/>
  <c r="D14372" i="7"/>
  <c r="E14371" i="7"/>
  <c r="D14371" i="7"/>
  <c r="L14370" i="7"/>
  <c r="E14370" i="7"/>
  <c r="D14370" i="7"/>
  <c r="E14369" i="7"/>
  <c r="D14369" i="7"/>
  <c r="L14368" i="7"/>
  <c r="E14368" i="7"/>
  <c r="D14368" i="7"/>
  <c r="E14367" i="7"/>
  <c r="D14367" i="7"/>
  <c r="L14366" i="7"/>
  <c r="E14366" i="7"/>
  <c r="D14366" i="7"/>
  <c r="E14365" i="7"/>
  <c r="D14365" i="7"/>
  <c r="L14364" i="7"/>
  <c r="E14364" i="7"/>
  <c r="D14364" i="7"/>
  <c r="E14363" i="7"/>
  <c r="D14363" i="7"/>
  <c r="L14362" i="7"/>
  <c r="E14362" i="7"/>
  <c r="D14362" i="7"/>
  <c r="E14361" i="7"/>
  <c r="D14361" i="7"/>
  <c r="L14360" i="7"/>
  <c r="E14360" i="7"/>
  <c r="D14360" i="7"/>
  <c r="E14359" i="7"/>
  <c r="D14359" i="7"/>
  <c r="L14358" i="7"/>
  <c r="E14358" i="7"/>
  <c r="D14358" i="7"/>
  <c r="E14357" i="7"/>
  <c r="D14357" i="7"/>
  <c r="L14356" i="7"/>
  <c r="E14356" i="7"/>
  <c r="D14356" i="7"/>
  <c r="E14355" i="7"/>
  <c r="D14355" i="7"/>
  <c r="I22" i="2"/>
  <c r="E14354" i="7"/>
  <c r="D14354" i="7"/>
  <c r="E14353" i="7"/>
  <c r="D14353" i="7"/>
  <c r="E14352" i="7"/>
  <c r="D14352" i="7"/>
  <c r="L14351" i="7" l="1"/>
  <c r="E14351" i="7"/>
  <c r="D14351" i="7"/>
  <c r="E14350" i="7"/>
  <c r="D14350" i="7"/>
  <c r="K14181" i="7"/>
  <c r="L14337" i="7"/>
  <c r="E14337" i="7"/>
  <c r="D14337" i="7"/>
  <c r="E14336" i="7"/>
  <c r="D14336" i="7"/>
  <c r="L14335" i="7"/>
  <c r="E14335" i="7"/>
  <c r="D14335" i="7"/>
  <c r="E14334" i="7"/>
  <c r="D14334" i="7"/>
  <c r="L14333" i="7"/>
  <c r="E14333" i="7"/>
  <c r="D14333" i="7"/>
  <c r="E14332" i="7"/>
  <c r="D14332" i="7"/>
  <c r="L14331" i="7"/>
  <c r="E14331" i="7"/>
  <c r="D14331" i="7"/>
  <c r="E14330" i="7"/>
  <c r="D14330" i="7"/>
  <c r="L14329" i="7"/>
  <c r="E14329" i="7"/>
  <c r="D14329" i="7"/>
  <c r="E14328" i="7"/>
  <c r="D14328" i="7"/>
  <c r="L14327" i="7"/>
  <c r="E14327" i="7"/>
  <c r="D14327" i="7"/>
  <c r="E14326" i="7"/>
  <c r="D14326" i="7"/>
  <c r="L14325" i="7"/>
  <c r="E14325" i="7"/>
  <c r="D14325" i="7"/>
  <c r="E14324" i="7"/>
  <c r="D14324" i="7"/>
  <c r="L14323" i="7"/>
  <c r="E14323" i="7"/>
  <c r="D14323" i="7"/>
  <c r="E14322" i="7"/>
  <c r="D14322" i="7"/>
  <c r="L14321" i="7"/>
  <c r="E14321" i="7"/>
  <c r="D14321" i="7"/>
  <c r="E14320" i="7"/>
  <c r="D14320" i="7"/>
  <c r="L14319" i="7"/>
  <c r="E14319" i="7"/>
  <c r="D14319" i="7"/>
  <c r="E14318" i="7"/>
  <c r="D14318" i="7"/>
  <c r="L14317" i="7"/>
  <c r="E14317" i="7"/>
  <c r="D14317" i="7"/>
  <c r="E14316" i="7"/>
  <c r="D14316" i="7"/>
  <c r="L14315" i="7"/>
  <c r="E14315" i="7"/>
  <c r="D14315" i="7"/>
  <c r="E14314" i="7"/>
  <c r="D14314" i="7"/>
  <c r="E14313" i="7"/>
  <c r="D14313" i="7"/>
  <c r="E14312" i="7"/>
  <c r="D14312" i="7"/>
  <c r="D14338" i="7"/>
  <c r="E14338" i="7"/>
  <c r="M14338" i="7"/>
  <c r="D14339" i="7"/>
  <c r="E14339" i="7"/>
  <c r="L14339" i="7"/>
  <c r="D14340" i="7"/>
  <c r="E14340" i="7"/>
  <c r="D14341" i="7"/>
  <c r="E14341" i="7"/>
  <c r="L14341" i="7"/>
  <c r="D14342" i="7"/>
  <c r="E14342" i="7"/>
  <c r="D14343" i="7"/>
  <c r="E14343" i="7"/>
  <c r="L14343" i="7"/>
  <c r="D14344" i="7"/>
  <c r="E14344" i="7"/>
  <c r="M14344" i="7"/>
  <c r="D14345" i="7"/>
  <c r="E14345" i="7"/>
  <c r="D14346" i="7"/>
  <c r="E14346" i="7"/>
  <c r="D14347" i="7"/>
  <c r="E14347" i="7"/>
  <c r="L14347" i="7"/>
  <c r="D14348" i="7"/>
  <c r="E14348" i="7"/>
  <c r="M14348" i="7"/>
  <c r="D14349" i="7"/>
  <c r="E14349" i="7"/>
  <c r="L14349" i="7"/>
  <c r="L14345" i="7" l="1"/>
  <c r="N13" i="58"/>
  <c r="L13" i="58"/>
  <c r="J13" i="58"/>
  <c r="H13" i="58"/>
  <c r="F13" i="58"/>
  <c r="A13" i="58" s="1"/>
  <c r="D13" i="58"/>
  <c r="B13" i="58"/>
  <c r="N14" i="58"/>
  <c r="L14" i="58"/>
  <c r="J14" i="58"/>
  <c r="H14" i="58"/>
  <c r="F14" i="58"/>
  <c r="D14" i="58"/>
  <c r="B14" i="58"/>
  <c r="A14" i="58"/>
  <c r="N15" i="58"/>
  <c r="L15" i="58"/>
  <c r="J15" i="58"/>
  <c r="H15" i="58"/>
  <c r="F15" i="58"/>
  <c r="D15" i="58"/>
  <c r="B15" i="58"/>
  <c r="A15" i="58"/>
  <c r="N16" i="58"/>
  <c r="L16" i="58"/>
  <c r="J16" i="58"/>
  <c r="H16" i="58"/>
  <c r="A16" i="58" s="1"/>
  <c r="F16" i="58"/>
  <c r="D16" i="58"/>
  <c r="B16" i="58"/>
  <c r="N17" i="58"/>
  <c r="L17" i="58"/>
  <c r="J17" i="58"/>
  <c r="H17" i="58"/>
  <c r="F17" i="58"/>
  <c r="D17" i="58"/>
  <c r="B17" i="58"/>
  <c r="A17" i="58"/>
  <c r="N18" i="58"/>
  <c r="L18" i="58"/>
  <c r="J18" i="58"/>
  <c r="H18" i="58"/>
  <c r="A18" i="58" s="1"/>
  <c r="F18" i="58"/>
  <c r="D18" i="58"/>
  <c r="B18" i="58"/>
  <c r="N19" i="58"/>
  <c r="L19" i="58"/>
  <c r="J19" i="58"/>
  <c r="H19" i="58"/>
  <c r="F19" i="58"/>
  <c r="D19" i="58"/>
  <c r="B19" i="58"/>
  <c r="A19" i="58"/>
  <c r="N20" i="58"/>
  <c r="L20" i="58"/>
  <c r="J20" i="58"/>
  <c r="H20" i="58"/>
  <c r="F20" i="58"/>
  <c r="D20" i="58"/>
  <c r="B20" i="58"/>
  <c r="A20" i="58"/>
  <c r="D4" i="58"/>
  <c r="D5" i="58"/>
  <c r="D6" i="58"/>
  <c r="D7" i="58"/>
  <c r="D8" i="58"/>
  <c r="D9" i="58"/>
  <c r="D10" i="58"/>
  <c r="D11" i="58"/>
  <c r="J4" i="58"/>
  <c r="J5" i="58"/>
  <c r="J6" i="58"/>
  <c r="L6" i="58" s="1"/>
  <c r="J7" i="58"/>
  <c r="L7" i="58" s="1"/>
  <c r="J8" i="58"/>
  <c r="J9" i="58"/>
  <c r="J10" i="58"/>
  <c r="L10" i="58" s="1"/>
  <c r="J11" i="58"/>
  <c r="L4" i="58"/>
  <c r="L5" i="58"/>
  <c r="L8" i="58"/>
  <c r="L9" i="58"/>
  <c r="L11" i="58"/>
  <c r="M14310" i="7"/>
  <c r="M14308" i="7"/>
  <c r="M14306" i="7"/>
  <c r="M14300" i="7"/>
  <c r="M14298" i="7"/>
  <c r="M14296" i="7"/>
  <c r="M14294" i="7"/>
  <c r="M14292" i="7"/>
  <c r="M14290" i="7"/>
  <c r="M14288" i="7"/>
  <c r="M14286" i="7"/>
  <c r="M14284" i="7"/>
  <c r="M14282" i="7"/>
  <c r="M14280" i="7"/>
  <c r="M14278" i="7"/>
  <c r="M14276" i="7"/>
  <c r="L14289" i="7"/>
  <c r="E14289" i="7"/>
  <c r="D14289" i="7"/>
  <c r="E14288" i="7"/>
  <c r="D14288" i="7"/>
  <c r="L14250" i="7"/>
  <c r="E14250" i="7"/>
  <c r="D14250" i="7"/>
  <c r="E14249" i="7"/>
  <c r="D14249" i="7"/>
  <c r="L14202" i="7"/>
  <c r="E14202" i="7"/>
  <c r="D14202" i="7"/>
  <c r="E14201" i="7"/>
  <c r="D14201" i="7"/>
  <c r="N21" i="58" l="1"/>
  <c r="L21" i="58"/>
  <c r="J21" i="58"/>
  <c r="H21" i="58"/>
  <c r="F21" i="58"/>
  <c r="D21" i="58"/>
  <c r="E14275" i="7"/>
  <c r="D14275" i="7"/>
  <c r="E14274" i="7"/>
  <c r="D14274" i="7"/>
  <c r="E14273" i="7"/>
  <c r="D14273" i="7"/>
  <c r="E14236" i="7"/>
  <c r="D14236" i="7"/>
  <c r="E14235" i="7"/>
  <c r="D14235" i="7"/>
  <c r="E14234" i="7"/>
  <c r="D14234" i="7"/>
  <c r="E14233" i="7"/>
  <c r="D14233" i="7"/>
  <c r="E14232" i="7"/>
  <c r="D14232" i="7"/>
  <c r="E14231" i="7"/>
  <c r="D14231" i="7"/>
  <c r="A21" i="58" l="1"/>
  <c r="E14311" i="7"/>
  <c r="D14311" i="7"/>
  <c r="L14311" i="7"/>
  <c r="E14310" i="7"/>
  <c r="D14310" i="7"/>
  <c r="L14309" i="7"/>
  <c r="E14309" i="7"/>
  <c r="D14309" i="7"/>
  <c r="E14308" i="7"/>
  <c r="D14308" i="7"/>
  <c r="E14307" i="7"/>
  <c r="D14307" i="7"/>
  <c r="L14307" i="7"/>
  <c r="E14306" i="7"/>
  <c r="D14306" i="7"/>
  <c r="L14305" i="7"/>
  <c r="E14305" i="7"/>
  <c r="D14305" i="7"/>
  <c r="E14304" i="7"/>
  <c r="D14304" i="7"/>
  <c r="L14303" i="7"/>
  <c r="E14303" i="7"/>
  <c r="D14303" i="7"/>
  <c r="E14302" i="7"/>
  <c r="D14302" i="7"/>
  <c r="L14301" i="7"/>
  <c r="E14301" i="7"/>
  <c r="D14301" i="7"/>
  <c r="E14300" i="7"/>
  <c r="D14300" i="7"/>
  <c r="L14299" i="7"/>
  <c r="E14299" i="7"/>
  <c r="D14299" i="7"/>
  <c r="E14298" i="7"/>
  <c r="D14298" i="7"/>
  <c r="L14297" i="7"/>
  <c r="E14297" i="7"/>
  <c r="D14297" i="7"/>
  <c r="E14296" i="7"/>
  <c r="D14296" i="7"/>
  <c r="L14295" i="7"/>
  <c r="E14295" i="7"/>
  <c r="D14295" i="7"/>
  <c r="E14294" i="7"/>
  <c r="D14294" i="7"/>
  <c r="L14293" i="7"/>
  <c r="E14293" i="7"/>
  <c r="D14293" i="7"/>
  <c r="E14292" i="7"/>
  <c r="D14292" i="7"/>
  <c r="L14291" i="7"/>
  <c r="E14291" i="7"/>
  <c r="D14291" i="7"/>
  <c r="E14290" i="7"/>
  <c r="D14290" i="7"/>
  <c r="L14287" i="7"/>
  <c r="E14287" i="7"/>
  <c r="D14287" i="7"/>
  <c r="E14286" i="7"/>
  <c r="D14286" i="7"/>
  <c r="L14285" i="7"/>
  <c r="E14285" i="7"/>
  <c r="D14285" i="7"/>
  <c r="E14284" i="7"/>
  <c r="D14284" i="7"/>
  <c r="L14283" i="7"/>
  <c r="E14283" i="7"/>
  <c r="D14283" i="7"/>
  <c r="E14282" i="7"/>
  <c r="D14282" i="7"/>
  <c r="L14281" i="7"/>
  <c r="E14281" i="7"/>
  <c r="D14281" i="7"/>
  <c r="E14280" i="7"/>
  <c r="D14280" i="7"/>
  <c r="L14279" i="7"/>
  <c r="E14279" i="7"/>
  <c r="D14279" i="7"/>
  <c r="E14278" i="7"/>
  <c r="D14278" i="7"/>
  <c r="E14277" i="7"/>
  <c r="D14277" i="7"/>
  <c r="L14277" i="7"/>
  <c r="E14276" i="7"/>
  <c r="D14276" i="7"/>
  <c r="K14271" i="7"/>
  <c r="K14269" i="7"/>
  <c r="N22" i="58"/>
  <c r="L22" i="58"/>
  <c r="J22" i="58"/>
  <c r="H22" i="58"/>
  <c r="F22" i="58"/>
  <c r="D22" i="58"/>
  <c r="N23" i="58"/>
  <c r="L23" i="58"/>
  <c r="J23" i="58"/>
  <c r="H23" i="58"/>
  <c r="F23" i="58"/>
  <c r="D23" i="58"/>
  <c r="A23" i="58"/>
  <c r="N24" i="58"/>
  <c r="L24" i="58"/>
  <c r="J24" i="58"/>
  <c r="H24" i="58"/>
  <c r="A24" i="58" s="1"/>
  <c r="F24" i="58"/>
  <c r="D24" i="58"/>
  <c r="E14230" i="7"/>
  <c r="D14230" i="7"/>
  <c r="E14229" i="7"/>
  <c r="D14229" i="7"/>
  <c r="E14228" i="7"/>
  <c r="D14228" i="7"/>
  <c r="E14227" i="7"/>
  <c r="D14227" i="7"/>
  <c r="E14226" i="7"/>
  <c r="D14226" i="7"/>
  <c r="E14225" i="7"/>
  <c r="D14225" i="7"/>
  <c r="A22" i="58" l="1"/>
  <c r="K14267" i="7"/>
  <c r="L14268" i="7" s="1"/>
  <c r="K14259" i="7"/>
  <c r="L14260" i="7" s="1"/>
  <c r="K14257" i="7"/>
  <c r="L14258" i="7" s="1"/>
  <c r="K14255" i="7"/>
  <c r="L14256" i="7" s="1"/>
  <c r="K14253" i="7"/>
  <c r="L14254" i="7" s="1"/>
  <c r="K14251" i="7"/>
  <c r="L14252" i="7" s="1"/>
  <c r="K14247" i="7"/>
  <c r="L14248" i="7" s="1"/>
  <c r="K14245" i="7"/>
  <c r="L14246" i="7" s="1"/>
  <c r="K14243" i="7"/>
  <c r="L14244" i="7" s="1"/>
  <c r="K14241" i="7"/>
  <c r="L14242" i="7" s="1"/>
  <c r="K14237" i="7"/>
  <c r="L14238" i="7" s="1"/>
  <c r="L14272" i="7"/>
  <c r="E14272" i="7"/>
  <c r="D14272" i="7"/>
  <c r="E14271" i="7"/>
  <c r="D14271" i="7"/>
  <c r="L14270" i="7"/>
  <c r="E14270" i="7"/>
  <c r="D14270" i="7"/>
  <c r="E14269" i="7"/>
  <c r="D14269" i="7"/>
  <c r="E14268" i="7"/>
  <c r="D14268" i="7"/>
  <c r="E14267" i="7"/>
  <c r="D14267" i="7"/>
  <c r="L14266" i="7"/>
  <c r="E14266" i="7"/>
  <c r="D14266" i="7"/>
  <c r="E14265" i="7"/>
  <c r="D14265" i="7"/>
  <c r="L14264" i="7"/>
  <c r="E14264" i="7"/>
  <c r="D14264" i="7"/>
  <c r="E14263" i="7"/>
  <c r="D14263" i="7"/>
  <c r="L14262" i="7"/>
  <c r="E14262" i="7"/>
  <c r="D14262" i="7"/>
  <c r="E14261" i="7"/>
  <c r="D14261" i="7"/>
  <c r="E14260" i="7"/>
  <c r="D14260" i="7"/>
  <c r="E14259" i="7"/>
  <c r="D14259" i="7"/>
  <c r="E14258" i="7"/>
  <c r="D14258" i="7"/>
  <c r="E14257" i="7"/>
  <c r="D14257" i="7"/>
  <c r="E14256" i="7"/>
  <c r="D14256" i="7"/>
  <c r="E14255" i="7"/>
  <c r="D14255" i="7"/>
  <c r="E14254" i="7"/>
  <c r="D14254" i="7"/>
  <c r="E14253" i="7"/>
  <c r="D14253" i="7"/>
  <c r="E14252" i="7"/>
  <c r="D14252" i="7"/>
  <c r="E14251" i="7"/>
  <c r="D14251" i="7"/>
  <c r="E14248" i="7"/>
  <c r="D14248" i="7"/>
  <c r="E14247" i="7"/>
  <c r="D14247" i="7"/>
  <c r="E14246" i="7"/>
  <c r="D14246" i="7"/>
  <c r="E14245" i="7"/>
  <c r="D14245" i="7"/>
  <c r="E14244" i="7"/>
  <c r="D14244" i="7"/>
  <c r="E14243" i="7"/>
  <c r="D14243" i="7"/>
  <c r="E14242" i="7"/>
  <c r="D14242" i="7"/>
  <c r="E14241" i="7"/>
  <c r="D14241" i="7"/>
  <c r="L14240" i="7"/>
  <c r="E14240" i="7"/>
  <c r="D14240" i="7"/>
  <c r="E14239" i="7"/>
  <c r="D14239" i="7"/>
  <c r="E14238" i="7"/>
  <c r="D14238" i="7"/>
  <c r="E14237" i="7"/>
  <c r="D14237" i="7"/>
  <c r="L14224" i="7"/>
  <c r="L14222" i="7"/>
  <c r="N25" i="58"/>
  <c r="L25" i="58"/>
  <c r="J25" i="58"/>
  <c r="H25" i="58"/>
  <c r="F25" i="58"/>
  <c r="D25" i="58"/>
  <c r="E14224" i="7"/>
  <c r="D14224" i="7"/>
  <c r="E14223" i="7"/>
  <c r="D14223" i="7"/>
  <c r="E14222" i="7"/>
  <c r="D14222" i="7"/>
  <c r="E14221" i="7"/>
  <c r="D14221" i="7"/>
  <c r="L14220" i="7"/>
  <c r="E14220" i="7"/>
  <c r="D14220" i="7"/>
  <c r="E14219" i="7"/>
  <c r="D14219" i="7"/>
  <c r="L14218" i="7"/>
  <c r="E14218" i="7"/>
  <c r="D14218" i="7"/>
  <c r="E14217" i="7"/>
  <c r="D14217" i="7"/>
  <c r="L14216" i="7"/>
  <c r="E14216" i="7"/>
  <c r="D14216" i="7"/>
  <c r="E14215" i="7"/>
  <c r="D14215" i="7"/>
  <c r="L14214" i="7"/>
  <c r="E14214" i="7"/>
  <c r="D14214" i="7"/>
  <c r="E14213" i="7"/>
  <c r="D14213" i="7"/>
  <c r="L14212" i="7"/>
  <c r="E14212" i="7"/>
  <c r="D14212" i="7"/>
  <c r="E14211" i="7"/>
  <c r="D14211" i="7"/>
  <c r="L14210" i="7"/>
  <c r="E14210" i="7"/>
  <c r="D14210" i="7"/>
  <c r="E14209" i="7"/>
  <c r="D14209" i="7"/>
  <c r="L14208" i="7"/>
  <c r="E14208" i="7"/>
  <c r="D14208" i="7"/>
  <c r="E14207" i="7"/>
  <c r="D14207" i="7"/>
  <c r="L14206" i="7"/>
  <c r="E14206" i="7"/>
  <c r="D14206" i="7"/>
  <c r="E14205" i="7"/>
  <c r="D14205" i="7"/>
  <c r="L14204" i="7"/>
  <c r="E14204" i="7"/>
  <c r="D14204" i="7"/>
  <c r="E14203" i="7"/>
  <c r="D14203" i="7"/>
  <c r="L14200" i="7"/>
  <c r="E14200" i="7"/>
  <c r="D14200" i="7"/>
  <c r="E14199" i="7"/>
  <c r="D14199" i="7"/>
  <c r="L14198" i="7"/>
  <c r="E14198" i="7"/>
  <c r="D14198" i="7"/>
  <c r="E14197" i="7"/>
  <c r="D14197" i="7"/>
  <c r="L14196" i="7"/>
  <c r="E14196" i="7"/>
  <c r="D14196" i="7"/>
  <c r="E14195" i="7"/>
  <c r="D14195" i="7"/>
  <c r="L14194" i="7"/>
  <c r="E14194" i="7"/>
  <c r="D14194" i="7"/>
  <c r="E14193" i="7"/>
  <c r="D14193" i="7"/>
  <c r="L14192" i="7"/>
  <c r="E14192" i="7"/>
  <c r="D14192" i="7"/>
  <c r="E14191" i="7"/>
  <c r="D14191" i="7"/>
  <c r="L14190" i="7"/>
  <c r="E14190" i="7"/>
  <c r="D14190" i="7"/>
  <c r="E14189" i="7"/>
  <c r="D14189" i="7"/>
  <c r="L14188" i="7"/>
  <c r="E14188" i="7"/>
  <c r="D14188" i="7"/>
  <c r="E14187" i="7"/>
  <c r="D14187" i="7"/>
  <c r="L14186" i="7"/>
  <c r="E14186" i="7"/>
  <c r="D14186" i="7"/>
  <c r="E14185" i="7"/>
  <c r="D14185" i="7"/>
  <c r="A25" i="58" l="1"/>
  <c r="E14184" i="7" l="1"/>
  <c r="D14184" i="7"/>
  <c r="E14183" i="7"/>
  <c r="D14183" i="7"/>
  <c r="L14182" i="7"/>
  <c r="E14182" i="7"/>
  <c r="D14182" i="7"/>
  <c r="E14181" i="7"/>
  <c r="D14181" i="7"/>
  <c r="E14180" i="7"/>
  <c r="D14180" i="7"/>
  <c r="E14179" i="7"/>
  <c r="D14179" i="7"/>
  <c r="E14178" i="7"/>
  <c r="D14178" i="7"/>
  <c r="E14177" i="7"/>
  <c r="D14177" i="7"/>
  <c r="E14176" i="7"/>
  <c r="D14176" i="7"/>
  <c r="E14175" i="7"/>
  <c r="D14175" i="7"/>
  <c r="L14172" i="7" l="1"/>
  <c r="N26" i="58"/>
  <c r="L26" i="58"/>
  <c r="J26" i="58"/>
  <c r="H26" i="58"/>
  <c r="F26" i="58"/>
  <c r="D26" i="58"/>
  <c r="D27" i="58"/>
  <c r="F27" i="58"/>
  <c r="H27" i="58"/>
  <c r="J27" i="58"/>
  <c r="L27" i="58"/>
  <c r="N27" i="58"/>
  <c r="L14174" i="7"/>
  <c r="E14174" i="7"/>
  <c r="D14174" i="7"/>
  <c r="E14173" i="7"/>
  <c r="D14173" i="7"/>
  <c r="E14172" i="7"/>
  <c r="D14172" i="7"/>
  <c r="E14171" i="7"/>
  <c r="D14171" i="7"/>
  <c r="L14170" i="7"/>
  <c r="E14170" i="7"/>
  <c r="D14170" i="7"/>
  <c r="E14169" i="7"/>
  <c r="D14169" i="7"/>
  <c r="L14168" i="7"/>
  <c r="E14168" i="7"/>
  <c r="D14168" i="7"/>
  <c r="E14167" i="7"/>
  <c r="D14167" i="7"/>
  <c r="L14166" i="7"/>
  <c r="E14166" i="7"/>
  <c r="D14166" i="7"/>
  <c r="E14165" i="7"/>
  <c r="D14165" i="7"/>
  <c r="L14164" i="7"/>
  <c r="E14164" i="7"/>
  <c r="D14164" i="7"/>
  <c r="E14163" i="7"/>
  <c r="D14163" i="7"/>
  <c r="L14162" i="7"/>
  <c r="E14162" i="7"/>
  <c r="D14162" i="7"/>
  <c r="E14161" i="7"/>
  <c r="D14161" i="7"/>
  <c r="L14160" i="7"/>
  <c r="E14160" i="7"/>
  <c r="D14160" i="7"/>
  <c r="E14159" i="7"/>
  <c r="D14159" i="7"/>
  <c r="L14158" i="7"/>
  <c r="E14158" i="7"/>
  <c r="D14158" i="7"/>
  <c r="E14157" i="7"/>
  <c r="D14157" i="7"/>
  <c r="L14156" i="7"/>
  <c r="E14156" i="7"/>
  <c r="D14156" i="7"/>
  <c r="E14155" i="7"/>
  <c r="D14155" i="7"/>
  <c r="L14154" i="7"/>
  <c r="E14154" i="7"/>
  <c r="D14154" i="7"/>
  <c r="E14153" i="7"/>
  <c r="D14153" i="7"/>
  <c r="L14152" i="7"/>
  <c r="E14152" i="7"/>
  <c r="D14152" i="7"/>
  <c r="E14151" i="7"/>
  <c r="D14151" i="7"/>
  <c r="L14150" i="7"/>
  <c r="E14150" i="7"/>
  <c r="D14150" i="7"/>
  <c r="E14149" i="7"/>
  <c r="D14149" i="7"/>
  <c r="L14148" i="7"/>
  <c r="E14148" i="7"/>
  <c r="D14148" i="7"/>
  <c r="E14147" i="7"/>
  <c r="D14147" i="7"/>
  <c r="L14146" i="7"/>
  <c r="E14146" i="7"/>
  <c r="D14146" i="7"/>
  <c r="E14145" i="7"/>
  <c r="D14145" i="7"/>
  <c r="L14144" i="7"/>
  <c r="E14144" i="7"/>
  <c r="D14144" i="7"/>
  <c r="E14143" i="7"/>
  <c r="D14143" i="7"/>
  <c r="L14142" i="7"/>
  <c r="E14142" i="7"/>
  <c r="D14142" i="7"/>
  <c r="E14141" i="7"/>
  <c r="D14141" i="7"/>
  <c r="A26" i="58" l="1"/>
  <c r="A27" i="58"/>
  <c r="E14099" i="7" l="1"/>
  <c r="D14099" i="7"/>
  <c r="E14098" i="7"/>
  <c r="D14098" i="7"/>
  <c r="E14097" i="7"/>
  <c r="D14097" i="7"/>
  <c r="E14140" i="7"/>
  <c r="D14140" i="7"/>
  <c r="E14139" i="7"/>
  <c r="D14139" i="7"/>
  <c r="E14138" i="7"/>
  <c r="D14138" i="7"/>
  <c r="L14137" i="7" l="1"/>
  <c r="E14137" i="7"/>
  <c r="D14137" i="7"/>
  <c r="E14136" i="7"/>
  <c r="D14136" i="7"/>
  <c r="L14135" i="7"/>
  <c r="E14135" i="7"/>
  <c r="D14135" i="7"/>
  <c r="E14134" i="7"/>
  <c r="D14134" i="7"/>
  <c r="N28" i="58"/>
  <c r="L28" i="58"/>
  <c r="J28" i="58"/>
  <c r="H28" i="58"/>
  <c r="F28" i="58"/>
  <c r="D28" i="58"/>
  <c r="L14096" i="7"/>
  <c r="E14096" i="7"/>
  <c r="D14096" i="7"/>
  <c r="E14095" i="7"/>
  <c r="D14095" i="7"/>
  <c r="E14094" i="7"/>
  <c r="D14094" i="7"/>
  <c r="E14093" i="7"/>
  <c r="D14093" i="7"/>
  <c r="E14092" i="7"/>
  <c r="D14092" i="7"/>
  <c r="E14091" i="7"/>
  <c r="D14091" i="7"/>
  <c r="E14090" i="7"/>
  <c r="D14090" i="7"/>
  <c r="E14089" i="7"/>
  <c r="D14089" i="7"/>
  <c r="E14054" i="7"/>
  <c r="D14054" i="7"/>
  <c r="E14053" i="7"/>
  <c r="D14053" i="7"/>
  <c r="A28" i="58" l="1"/>
  <c r="E14044" i="7"/>
  <c r="D14044" i="7"/>
  <c r="E14043" i="7"/>
  <c r="D14043" i="7"/>
  <c r="E14042" i="7"/>
  <c r="D14042" i="7"/>
  <c r="L14133" i="7"/>
  <c r="E14133" i="7"/>
  <c r="D14133" i="7"/>
  <c r="E14132" i="7"/>
  <c r="D14132" i="7"/>
  <c r="L14131" i="7"/>
  <c r="E14131" i="7"/>
  <c r="D14131" i="7"/>
  <c r="E14130" i="7"/>
  <c r="D14130" i="7"/>
  <c r="L14129" i="7"/>
  <c r="E14129" i="7"/>
  <c r="D14129" i="7"/>
  <c r="E14128" i="7"/>
  <c r="D14128" i="7"/>
  <c r="L14127" i="7"/>
  <c r="E14127" i="7"/>
  <c r="D14127" i="7"/>
  <c r="E14126" i="7"/>
  <c r="D14126" i="7"/>
  <c r="L14125" i="7"/>
  <c r="E14125" i="7"/>
  <c r="D14125" i="7"/>
  <c r="E14124" i="7"/>
  <c r="D14124" i="7"/>
  <c r="L14123" i="7"/>
  <c r="E14123" i="7"/>
  <c r="D14123" i="7"/>
  <c r="E14122" i="7"/>
  <c r="D14122" i="7"/>
  <c r="L14121" i="7"/>
  <c r="E14121" i="7"/>
  <c r="D14121" i="7"/>
  <c r="E14120" i="7"/>
  <c r="D14120" i="7"/>
  <c r="L14119" i="7"/>
  <c r="E14119" i="7"/>
  <c r="D14119" i="7"/>
  <c r="E14118" i="7"/>
  <c r="D14118" i="7"/>
  <c r="L14117" i="7"/>
  <c r="E14117" i="7"/>
  <c r="D14117" i="7"/>
  <c r="E14116" i="7"/>
  <c r="D14116" i="7"/>
  <c r="L14115" i="7"/>
  <c r="E14115" i="7"/>
  <c r="D14115" i="7"/>
  <c r="E14114" i="7"/>
  <c r="D14114" i="7"/>
  <c r="L14113" i="7"/>
  <c r="E14113" i="7"/>
  <c r="D14113" i="7"/>
  <c r="E14112" i="7"/>
  <c r="D14112" i="7"/>
  <c r="L14111" i="7"/>
  <c r="E14111" i="7"/>
  <c r="D14111" i="7"/>
  <c r="E14110" i="7"/>
  <c r="D14110" i="7"/>
  <c r="L14109" i="7"/>
  <c r="E14109" i="7"/>
  <c r="D14109" i="7"/>
  <c r="E14108" i="7"/>
  <c r="D14108" i="7"/>
  <c r="L14107" i="7"/>
  <c r="E14107" i="7"/>
  <c r="D14107" i="7"/>
  <c r="E14106" i="7"/>
  <c r="D14106" i="7"/>
  <c r="L14105" i="7"/>
  <c r="E14105" i="7"/>
  <c r="D14105" i="7"/>
  <c r="E14104" i="7"/>
  <c r="D14104" i="7"/>
  <c r="L14103" i="7"/>
  <c r="E14103" i="7"/>
  <c r="D14103" i="7"/>
  <c r="E14102" i="7"/>
  <c r="D14102" i="7"/>
  <c r="L14101" i="7"/>
  <c r="E14101" i="7"/>
  <c r="D14101" i="7"/>
  <c r="E14100" i="7"/>
  <c r="D14100" i="7"/>
  <c r="I168" i="59" l="1"/>
  <c r="E14050" i="7"/>
  <c r="D14050" i="7"/>
  <c r="E14049" i="7"/>
  <c r="D14049" i="7"/>
  <c r="E14048" i="7"/>
  <c r="D14048" i="7"/>
  <c r="E14047" i="7"/>
  <c r="D14047" i="7"/>
  <c r="E14046" i="7"/>
  <c r="D14046" i="7"/>
  <c r="E14045" i="7"/>
  <c r="D14045" i="7"/>
  <c r="L14052" i="7"/>
  <c r="E14052" i="7"/>
  <c r="D14052" i="7"/>
  <c r="E14051" i="7"/>
  <c r="D14051" i="7"/>
  <c r="E14041" i="7"/>
  <c r="D14041" i="7"/>
  <c r="E14040" i="7"/>
  <c r="D14040" i="7"/>
  <c r="E14039" i="7"/>
  <c r="D14039" i="7"/>
  <c r="E14088" i="7" l="1"/>
  <c r="D14088" i="7"/>
  <c r="L14088" i="7"/>
  <c r="E14087" i="7"/>
  <c r="D14087" i="7"/>
  <c r="E14086" i="7"/>
  <c r="D14086" i="7"/>
  <c r="L14086" i="7"/>
  <c r="E14085" i="7"/>
  <c r="D14085" i="7"/>
  <c r="L14084" i="7"/>
  <c r="E14084" i="7"/>
  <c r="D14084" i="7"/>
  <c r="E14083" i="7"/>
  <c r="D14083" i="7"/>
  <c r="L14082" i="7"/>
  <c r="E14082" i="7"/>
  <c r="D14082" i="7"/>
  <c r="E14081" i="7"/>
  <c r="D14081" i="7"/>
  <c r="L14080" i="7"/>
  <c r="E14080" i="7"/>
  <c r="D14080" i="7"/>
  <c r="E14079" i="7"/>
  <c r="D14079" i="7"/>
  <c r="L14078" i="7"/>
  <c r="E14078" i="7"/>
  <c r="D14078" i="7"/>
  <c r="E14077" i="7"/>
  <c r="D14077" i="7"/>
  <c r="E14076" i="7"/>
  <c r="D14076" i="7"/>
  <c r="L14076" i="7"/>
  <c r="E14075" i="7"/>
  <c r="D14075" i="7"/>
  <c r="L14074" i="7"/>
  <c r="E14074" i="7"/>
  <c r="D14074" i="7"/>
  <c r="E14073" i="7"/>
  <c r="D14073" i="7"/>
  <c r="E14072" i="7"/>
  <c r="D14072" i="7"/>
  <c r="L14072" i="7"/>
  <c r="E14071" i="7"/>
  <c r="D14071" i="7"/>
  <c r="L14070" i="7"/>
  <c r="E14070" i="7"/>
  <c r="D14070" i="7"/>
  <c r="E14069" i="7"/>
  <c r="D14069" i="7"/>
  <c r="E14068" i="7"/>
  <c r="D14068" i="7"/>
  <c r="L14068" i="7"/>
  <c r="E14067" i="7"/>
  <c r="D14067" i="7"/>
  <c r="L14066" i="7"/>
  <c r="E14066" i="7"/>
  <c r="D14066" i="7"/>
  <c r="E14065" i="7"/>
  <c r="D14065" i="7"/>
  <c r="E14064" i="7"/>
  <c r="D14064" i="7"/>
  <c r="L14064" i="7"/>
  <c r="E14063" i="7"/>
  <c r="D14063" i="7"/>
  <c r="L14062" i="7"/>
  <c r="E14062" i="7"/>
  <c r="D14062" i="7"/>
  <c r="E14061" i="7"/>
  <c r="D14061" i="7"/>
  <c r="E14060" i="7"/>
  <c r="D14060" i="7"/>
  <c r="L14060" i="7"/>
  <c r="E14059" i="7"/>
  <c r="D14059" i="7"/>
  <c r="L14058" i="7"/>
  <c r="E14058" i="7"/>
  <c r="D14058" i="7"/>
  <c r="E14057" i="7"/>
  <c r="D14057" i="7"/>
  <c r="E14056" i="7"/>
  <c r="D14056" i="7"/>
  <c r="L14056" i="7"/>
  <c r="E14055" i="7"/>
  <c r="D14055" i="7"/>
  <c r="D14003" i="7" l="1"/>
  <c r="E14003" i="7"/>
  <c r="D14004" i="7"/>
  <c r="E14004" i="7"/>
  <c r="E14002" i="7"/>
  <c r="D14002" i="7"/>
  <c r="E13999" i="7" l="1"/>
  <c r="D13999" i="7"/>
  <c r="E13998" i="7"/>
  <c r="D13998" i="7"/>
  <c r="E13997" i="7"/>
  <c r="D13997" i="7"/>
  <c r="K14000" i="7"/>
  <c r="L14001" i="7" s="1"/>
  <c r="E14001" i="7"/>
  <c r="D14001" i="7"/>
  <c r="E14000" i="7"/>
  <c r="D14000" i="7"/>
  <c r="E13996" i="7"/>
  <c r="D13996" i="7"/>
  <c r="E13995" i="7"/>
  <c r="D13995" i="7"/>
  <c r="E13994" i="7"/>
  <c r="D13994" i="7"/>
  <c r="E13993" i="7"/>
  <c r="D13993" i="7"/>
  <c r="E13992" i="7"/>
  <c r="D13992" i="7"/>
  <c r="E13991" i="7"/>
  <c r="D13991" i="7"/>
  <c r="N29" i="58" l="1"/>
  <c r="L29" i="58"/>
  <c r="J29" i="58"/>
  <c r="H29" i="58"/>
  <c r="F29" i="58"/>
  <c r="D29" i="58"/>
  <c r="N30" i="58"/>
  <c r="L30" i="58"/>
  <c r="J30" i="58"/>
  <c r="H30" i="58"/>
  <c r="F30" i="58"/>
  <c r="D30" i="58"/>
  <c r="N31" i="58"/>
  <c r="L31" i="58"/>
  <c r="J31" i="58"/>
  <c r="H31" i="58"/>
  <c r="A31" i="58" s="1"/>
  <c r="F31" i="58"/>
  <c r="D31" i="58"/>
  <c r="K14037" i="7"/>
  <c r="L14038" i="7" s="1"/>
  <c r="K14035" i="7"/>
  <c r="L14036" i="7" s="1"/>
  <c r="K14033" i="7"/>
  <c r="L14034" i="7" s="1"/>
  <c r="K14007" i="7"/>
  <c r="L14008" i="7" s="1"/>
  <c r="I165" i="59"/>
  <c r="I166" i="59" s="1"/>
  <c r="I167" i="59" s="1"/>
  <c r="K14025" i="7"/>
  <c r="L14026" i="7" s="1"/>
  <c r="K14023" i="7"/>
  <c r="L14024" i="7" s="1"/>
  <c r="K14021" i="7"/>
  <c r="L14022" i="7" s="1"/>
  <c r="K14019" i="7"/>
  <c r="L14020" i="7" s="1"/>
  <c r="K14017" i="7"/>
  <c r="L14018" i="7" s="1"/>
  <c r="K14015" i="7"/>
  <c r="L14016" i="7" s="1"/>
  <c r="K14013" i="7"/>
  <c r="L14014" i="7" s="1"/>
  <c r="K14011" i="7"/>
  <c r="L14012" i="7" s="1"/>
  <c r="K14009" i="7"/>
  <c r="L14010" i="7" s="1"/>
  <c r="K14005" i="7"/>
  <c r="L14006" i="7" s="1"/>
  <c r="E14038" i="7"/>
  <c r="D14038" i="7"/>
  <c r="E14037" i="7"/>
  <c r="D14037" i="7"/>
  <c r="E14036" i="7"/>
  <c r="D14036" i="7"/>
  <c r="E14035" i="7"/>
  <c r="D14035" i="7"/>
  <c r="E14034" i="7"/>
  <c r="D14034" i="7"/>
  <c r="E14033" i="7"/>
  <c r="D14033" i="7"/>
  <c r="L14032" i="7"/>
  <c r="E14032" i="7"/>
  <c r="D14032" i="7"/>
  <c r="E14031" i="7"/>
  <c r="D14031" i="7"/>
  <c r="L14030" i="7"/>
  <c r="E14030" i="7"/>
  <c r="D14030" i="7"/>
  <c r="E14029" i="7"/>
  <c r="D14029" i="7"/>
  <c r="L14028" i="7"/>
  <c r="E14028" i="7"/>
  <c r="D14028" i="7"/>
  <c r="E14027" i="7"/>
  <c r="D14027" i="7"/>
  <c r="E14026" i="7"/>
  <c r="D14026" i="7"/>
  <c r="E14025" i="7"/>
  <c r="D14025" i="7"/>
  <c r="E14024" i="7"/>
  <c r="D14024" i="7"/>
  <c r="E14023" i="7"/>
  <c r="D14023" i="7"/>
  <c r="E14022" i="7"/>
  <c r="D14022" i="7"/>
  <c r="E14021" i="7"/>
  <c r="D14021" i="7"/>
  <c r="E14020" i="7"/>
  <c r="D14020" i="7"/>
  <c r="E14019" i="7"/>
  <c r="D14019" i="7"/>
  <c r="E14018" i="7"/>
  <c r="D14018" i="7"/>
  <c r="E14017" i="7"/>
  <c r="D14017" i="7"/>
  <c r="E14016" i="7"/>
  <c r="D14016" i="7"/>
  <c r="E14015" i="7"/>
  <c r="D14015" i="7"/>
  <c r="E14014" i="7"/>
  <c r="D14014" i="7"/>
  <c r="E14013" i="7"/>
  <c r="D14013" i="7"/>
  <c r="E14012" i="7"/>
  <c r="D14012" i="7"/>
  <c r="E14011" i="7"/>
  <c r="D14011" i="7"/>
  <c r="E14010" i="7"/>
  <c r="D14010" i="7"/>
  <c r="E14009" i="7"/>
  <c r="D14009" i="7"/>
  <c r="E14008" i="7"/>
  <c r="D14008" i="7"/>
  <c r="E14007" i="7"/>
  <c r="D14007" i="7"/>
  <c r="E14006" i="7"/>
  <c r="D14006" i="7"/>
  <c r="E14005" i="7"/>
  <c r="D14005" i="7"/>
  <c r="N32" i="58"/>
  <c r="L32" i="58"/>
  <c r="J32" i="58"/>
  <c r="H32" i="58"/>
  <c r="F32" i="58"/>
  <c r="D32" i="58"/>
  <c r="E13956" i="7"/>
  <c r="D13956" i="7"/>
  <c r="E13955" i="7"/>
  <c r="D13955" i="7"/>
  <c r="K13949" i="7"/>
  <c r="L13950" i="7" s="1"/>
  <c r="A30" i="58" l="1"/>
  <c r="A29" i="58"/>
  <c r="A32" i="58"/>
  <c r="L13945" i="7"/>
  <c r="E13954" i="7"/>
  <c r="D13954" i="7"/>
  <c r="E13953" i="7"/>
  <c r="D13953" i="7"/>
  <c r="E13952" i="7"/>
  <c r="D13952" i="7"/>
  <c r="E13951" i="7"/>
  <c r="D13951" i="7"/>
  <c r="E13950" i="7"/>
  <c r="D13950" i="7"/>
  <c r="E13949" i="7"/>
  <c r="D13949" i="7"/>
  <c r="E13948" i="7"/>
  <c r="D13948" i="7"/>
  <c r="E13947" i="7"/>
  <c r="D13947" i="7"/>
  <c r="E13946" i="7"/>
  <c r="D13946" i="7"/>
  <c r="E13945" i="7" l="1"/>
  <c r="D13945" i="7"/>
  <c r="E13944" i="7"/>
  <c r="D13944" i="7"/>
  <c r="L13990" i="7"/>
  <c r="E13990" i="7"/>
  <c r="D13990" i="7"/>
  <c r="E13989" i="7"/>
  <c r="D13989" i="7"/>
  <c r="E13988" i="7"/>
  <c r="D13988" i="7"/>
  <c r="L13988" i="7"/>
  <c r="E13987" i="7"/>
  <c r="D13987" i="7"/>
  <c r="L13986" i="7"/>
  <c r="E13986" i="7"/>
  <c r="D13986" i="7"/>
  <c r="E13985" i="7"/>
  <c r="D13985" i="7"/>
  <c r="L13984" i="7"/>
  <c r="E13984" i="7"/>
  <c r="D13984" i="7"/>
  <c r="E13983" i="7"/>
  <c r="D13983" i="7"/>
  <c r="L13982" i="7"/>
  <c r="E13982" i="7"/>
  <c r="D13982" i="7"/>
  <c r="E13981" i="7"/>
  <c r="D13981" i="7"/>
  <c r="L13980" i="7"/>
  <c r="E13980" i="7"/>
  <c r="D13980" i="7"/>
  <c r="E13979" i="7"/>
  <c r="D13979" i="7"/>
  <c r="L13978" i="7"/>
  <c r="E13978" i="7"/>
  <c r="D13978" i="7"/>
  <c r="E13977" i="7"/>
  <c r="D13977" i="7"/>
  <c r="L13976" i="7"/>
  <c r="E13976" i="7"/>
  <c r="D13976" i="7"/>
  <c r="E13975" i="7"/>
  <c r="D13975" i="7"/>
  <c r="L13974" i="7"/>
  <c r="E13974" i="7"/>
  <c r="D13974" i="7"/>
  <c r="E13973" i="7"/>
  <c r="D13973" i="7"/>
  <c r="L13972" i="7"/>
  <c r="E13972" i="7"/>
  <c r="D13972" i="7"/>
  <c r="E13971" i="7"/>
  <c r="D13971" i="7"/>
  <c r="L13970" i="7"/>
  <c r="E13970" i="7"/>
  <c r="D13970" i="7"/>
  <c r="E13969" i="7"/>
  <c r="D13969" i="7"/>
  <c r="L13968" i="7"/>
  <c r="E13968" i="7"/>
  <c r="D13968" i="7"/>
  <c r="E13967" i="7"/>
  <c r="D13967" i="7"/>
  <c r="L13966" i="7"/>
  <c r="E13966" i="7"/>
  <c r="D13966" i="7"/>
  <c r="E13965" i="7"/>
  <c r="D13965" i="7"/>
  <c r="L13964" i="7"/>
  <c r="E13964" i="7"/>
  <c r="D13964" i="7"/>
  <c r="E13963" i="7"/>
  <c r="D13963" i="7"/>
  <c r="L13962" i="7"/>
  <c r="E13962" i="7"/>
  <c r="D13962" i="7"/>
  <c r="E13961" i="7"/>
  <c r="D13961" i="7"/>
  <c r="L13960" i="7"/>
  <c r="E13960" i="7"/>
  <c r="D13960" i="7"/>
  <c r="E13959" i="7"/>
  <c r="D13959" i="7"/>
  <c r="L13958" i="7"/>
  <c r="E13958" i="7"/>
  <c r="D13958" i="7"/>
  <c r="E13957" i="7"/>
  <c r="D13957" i="7"/>
  <c r="K13942" i="7"/>
  <c r="L13943" i="7" s="1"/>
  <c r="K13940" i="7"/>
  <c r="L13941" i="7" s="1"/>
  <c r="L13933" i="7"/>
  <c r="N33" i="58"/>
  <c r="L33" i="58"/>
  <c r="J33" i="58"/>
  <c r="H33" i="58"/>
  <c r="F33" i="58"/>
  <c r="D33" i="58"/>
  <c r="E13943" i="7"/>
  <c r="D13943" i="7"/>
  <c r="E13942" i="7"/>
  <c r="D13942" i="7"/>
  <c r="E13941" i="7"/>
  <c r="D13941" i="7"/>
  <c r="E13940" i="7"/>
  <c r="D13940" i="7"/>
  <c r="L13939" i="7"/>
  <c r="E13939" i="7"/>
  <c r="D13939" i="7"/>
  <c r="E13938" i="7"/>
  <c r="D13938" i="7"/>
  <c r="L13937" i="7"/>
  <c r="E13937" i="7"/>
  <c r="D13937" i="7"/>
  <c r="E13936" i="7"/>
  <c r="D13936" i="7"/>
  <c r="L13935" i="7"/>
  <c r="E13935" i="7"/>
  <c r="D13935" i="7"/>
  <c r="E13934" i="7"/>
  <c r="D13934" i="7"/>
  <c r="E13933" i="7"/>
  <c r="D13933" i="7"/>
  <c r="E13932" i="7"/>
  <c r="D13932" i="7"/>
  <c r="L13931" i="7"/>
  <c r="E13931" i="7"/>
  <c r="D13931" i="7"/>
  <c r="E13930" i="7"/>
  <c r="D13930" i="7"/>
  <c r="L13929" i="7"/>
  <c r="E13929" i="7"/>
  <c r="D13929" i="7"/>
  <c r="E13928" i="7"/>
  <c r="D13928" i="7"/>
  <c r="L13927" i="7"/>
  <c r="E13927" i="7"/>
  <c r="D13927" i="7"/>
  <c r="E13926" i="7"/>
  <c r="D13926" i="7"/>
  <c r="L13925" i="7"/>
  <c r="E13925" i="7"/>
  <c r="D13925" i="7"/>
  <c r="E13924" i="7"/>
  <c r="D13924" i="7"/>
  <c r="L13923" i="7"/>
  <c r="E13923" i="7"/>
  <c r="D13923" i="7"/>
  <c r="E13922" i="7"/>
  <c r="D13922" i="7"/>
  <c r="L13921" i="7"/>
  <c r="E13921" i="7"/>
  <c r="D13921" i="7"/>
  <c r="E13920" i="7"/>
  <c r="D13920" i="7"/>
  <c r="L13919" i="7"/>
  <c r="E13919" i="7"/>
  <c r="D13919" i="7"/>
  <c r="E13918" i="7"/>
  <c r="D13918" i="7"/>
  <c r="L13917" i="7"/>
  <c r="E13917" i="7"/>
  <c r="D13917" i="7"/>
  <c r="E13916" i="7"/>
  <c r="D13916" i="7"/>
  <c r="L13915" i="7"/>
  <c r="E13915" i="7"/>
  <c r="D13915" i="7"/>
  <c r="E13914" i="7"/>
  <c r="D13914" i="7"/>
  <c r="L13913" i="7"/>
  <c r="E13913" i="7"/>
  <c r="D13913" i="7"/>
  <c r="E13912" i="7"/>
  <c r="D13912" i="7"/>
  <c r="L13911" i="7"/>
  <c r="E13911" i="7"/>
  <c r="D13911" i="7"/>
  <c r="E13910" i="7"/>
  <c r="D13910" i="7"/>
  <c r="A33" i="58" l="1"/>
  <c r="L13873" i="7"/>
  <c r="E13873" i="7"/>
  <c r="D13873" i="7"/>
  <c r="E13872" i="7"/>
  <c r="D13872" i="7"/>
  <c r="E13871" i="7"/>
  <c r="D13871" i="7"/>
  <c r="L13871" i="7"/>
  <c r="E13870" i="7"/>
  <c r="D13870" i="7"/>
  <c r="L13909" i="7"/>
  <c r="E13909" i="7"/>
  <c r="D13909" i="7"/>
  <c r="E13908" i="7"/>
  <c r="D13908" i="7"/>
  <c r="N34" i="58" l="1"/>
  <c r="L34" i="58"/>
  <c r="J34" i="58"/>
  <c r="H34" i="58"/>
  <c r="F34" i="58"/>
  <c r="D34" i="58"/>
  <c r="L13907" i="7"/>
  <c r="E13907" i="7"/>
  <c r="D13907" i="7"/>
  <c r="E13906" i="7"/>
  <c r="D13906" i="7"/>
  <c r="L13905" i="7"/>
  <c r="E13905" i="7"/>
  <c r="D13905" i="7"/>
  <c r="E13904" i="7"/>
  <c r="D13904" i="7"/>
  <c r="L13903" i="7"/>
  <c r="E13903" i="7"/>
  <c r="D13903" i="7"/>
  <c r="E13902" i="7"/>
  <c r="D13902" i="7"/>
  <c r="L13901" i="7"/>
  <c r="E13901" i="7"/>
  <c r="D13901" i="7"/>
  <c r="E13900" i="7"/>
  <c r="D13900" i="7"/>
  <c r="L13899" i="7"/>
  <c r="E13899" i="7"/>
  <c r="D13899" i="7"/>
  <c r="E13898" i="7"/>
  <c r="D13898" i="7"/>
  <c r="L13897" i="7"/>
  <c r="E13897" i="7"/>
  <c r="D13897" i="7"/>
  <c r="E13896" i="7"/>
  <c r="D13896" i="7"/>
  <c r="L13895" i="7"/>
  <c r="E13895" i="7"/>
  <c r="D13895" i="7"/>
  <c r="E13894" i="7"/>
  <c r="D13894" i="7"/>
  <c r="L13893" i="7"/>
  <c r="E13893" i="7"/>
  <c r="D13893" i="7"/>
  <c r="E13892" i="7"/>
  <c r="D13892" i="7"/>
  <c r="L13891" i="7"/>
  <c r="E13891" i="7"/>
  <c r="D13891" i="7"/>
  <c r="E13890" i="7"/>
  <c r="D13890" i="7"/>
  <c r="L13889" i="7"/>
  <c r="E13889" i="7"/>
  <c r="D13889" i="7"/>
  <c r="E13888" i="7"/>
  <c r="D13888" i="7"/>
  <c r="L13887" i="7"/>
  <c r="E13887" i="7"/>
  <c r="D13887" i="7"/>
  <c r="E13886" i="7"/>
  <c r="D13886" i="7"/>
  <c r="L13885" i="7"/>
  <c r="E13885" i="7"/>
  <c r="D13885" i="7"/>
  <c r="E13884" i="7"/>
  <c r="D13884" i="7"/>
  <c r="L13883" i="7"/>
  <c r="E13883" i="7"/>
  <c r="D13883" i="7"/>
  <c r="E13882" i="7"/>
  <c r="D13882" i="7"/>
  <c r="L13881" i="7"/>
  <c r="E13881" i="7"/>
  <c r="D13881" i="7"/>
  <c r="E13880" i="7"/>
  <c r="D13880" i="7"/>
  <c r="L13879" i="7"/>
  <c r="E13879" i="7"/>
  <c r="D13879" i="7"/>
  <c r="E13878" i="7"/>
  <c r="D13878" i="7"/>
  <c r="L13877" i="7"/>
  <c r="E13877" i="7"/>
  <c r="D13877" i="7"/>
  <c r="E13876" i="7"/>
  <c r="D13876" i="7"/>
  <c r="L13875" i="7"/>
  <c r="E13875" i="7"/>
  <c r="D13875" i="7"/>
  <c r="E13874" i="7"/>
  <c r="D13874" i="7"/>
  <c r="E13869" i="7"/>
  <c r="D13869" i="7"/>
  <c r="E13868" i="7"/>
  <c r="D13868" i="7"/>
  <c r="E13867" i="7"/>
  <c r="D13867" i="7"/>
  <c r="A34" i="58" l="1"/>
  <c r="N35" i="58"/>
  <c r="L35" i="58"/>
  <c r="J35" i="58"/>
  <c r="H35" i="58"/>
  <c r="F35" i="58"/>
  <c r="D35" i="58"/>
  <c r="L13866" i="7"/>
  <c r="E13866" i="7"/>
  <c r="D13866" i="7"/>
  <c r="E13865" i="7"/>
  <c r="D13865" i="7"/>
  <c r="E13864" i="7"/>
  <c r="D13864" i="7"/>
  <c r="L13864" i="7"/>
  <c r="E13863" i="7"/>
  <c r="D13863" i="7"/>
  <c r="L13862" i="7"/>
  <c r="E13862" i="7"/>
  <c r="D13862" i="7"/>
  <c r="E13861" i="7"/>
  <c r="D13861" i="7"/>
  <c r="L13860" i="7"/>
  <c r="E13860" i="7"/>
  <c r="D13860" i="7"/>
  <c r="E13859" i="7"/>
  <c r="D13859" i="7"/>
  <c r="L13858" i="7"/>
  <c r="E13858" i="7"/>
  <c r="D13858" i="7"/>
  <c r="E13857" i="7"/>
  <c r="D13857" i="7"/>
  <c r="L13856" i="7"/>
  <c r="E13856" i="7"/>
  <c r="D13856" i="7"/>
  <c r="E13855" i="7"/>
  <c r="D13855" i="7"/>
  <c r="L13854" i="7"/>
  <c r="E13854" i="7"/>
  <c r="D13854" i="7"/>
  <c r="E13853" i="7"/>
  <c r="D13853" i="7"/>
  <c r="L13852" i="7"/>
  <c r="E13852" i="7"/>
  <c r="D13852" i="7"/>
  <c r="E13851" i="7"/>
  <c r="D13851" i="7"/>
  <c r="L13850" i="7"/>
  <c r="E13850" i="7"/>
  <c r="D13850" i="7"/>
  <c r="E13849" i="7"/>
  <c r="D13849" i="7"/>
  <c r="L13848" i="7"/>
  <c r="E13848" i="7"/>
  <c r="D13848" i="7"/>
  <c r="E13847" i="7"/>
  <c r="D13847" i="7"/>
  <c r="L13846" i="7"/>
  <c r="E13846" i="7"/>
  <c r="D13846" i="7"/>
  <c r="E13845" i="7"/>
  <c r="D13845" i="7"/>
  <c r="L13844" i="7"/>
  <c r="E13844" i="7"/>
  <c r="D13844" i="7"/>
  <c r="E13843" i="7"/>
  <c r="D13843" i="7"/>
  <c r="L13842" i="7"/>
  <c r="E13842" i="7"/>
  <c r="D13842" i="7"/>
  <c r="E13841" i="7"/>
  <c r="D13841" i="7"/>
  <c r="L13840" i="7"/>
  <c r="E13840" i="7"/>
  <c r="D13840" i="7"/>
  <c r="E13839" i="7"/>
  <c r="D13839" i="7"/>
  <c r="L13838" i="7"/>
  <c r="E13838" i="7"/>
  <c r="D13838" i="7"/>
  <c r="E13837" i="7"/>
  <c r="D13837" i="7"/>
  <c r="L13836" i="7"/>
  <c r="E13836" i="7"/>
  <c r="D13836" i="7"/>
  <c r="E13835" i="7"/>
  <c r="D13835" i="7"/>
  <c r="L13834" i="7"/>
  <c r="E13834" i="7"/>
  <c r="D13834" i="7"/>
  <c r="E13833" i="7"/>
  <c r="D13833" i="7"/>
  <c r="K13831" i="7"/>
  <c r="L13832" i="7" s="1"/>
  <c r="E13832" i="7"/>
  <c r="D13832" i="7"/>
  <c r="E13831" i="7"/>
  <c r="D13831" i="7"/>
  <c r="E13830" i="7"/>
  <c r="D13830" i="7"/>
  <c r="E13829" i="7"/>
  <c r="D13829" i="7"/>
  <c r="E13828" i="7"/>
  <c r="D13828" i="7"/>
  <c r="A35" i="58" l="1"/>
  <c r="I160" i="59"/>
  <c r="I161" i="59" s="1"/>
  <c r="I162" i="59" s="1"/>
  <c r="I163" i="59" s="1"/>
  <c r="I164" i="59" s="1"/>
  <c r="E13790" i="7"/>
  <c r="D13790" i="7"/>
  <c r="E13789" i="7"/>
  <c r="D13789" i="7"/>
  <c r="E13788" i="7"/>
  <c r="D13788" i="7"/>
  <c r="E13793" i="7"/>
  <c r="D13793" i="7"/>
  <c r="E13792" i="7"/>
  <c r="D13792" i="7"/>
  <c r="E13791" i="7"/>
  <c r="D13791" i="7"/>
  <c r="E13743" i="7"/>
  <c r="D13743" i="7"/>
  <c r="E13742" i="7"/>
  <c r="D13742" i="7"/>
  <c r="E13741" i="7"/>
  <c r="D13741" i="7"/>
  <c r="N38" i="58"/>
  <c r="L38" i="58"/>
  <c r="J38" i="58"/>
  <c r="H38" i="58"/>
  <c r="F38" i="58"/>
  <c r="D38" i="58"/>
  <c r="N37" i="58"/>
  <c r="L37" i="58"/>
  <c r="J37" i="58"/>
  <c r="H37" i="58"/>
  <c r="F37" i="58"/>
  <c r="D37" i="58"/>
  <c r="N36" i="58"/>
  <c r="L36" i="58"/>
  <c r="J36" i="58"/>
  <c r="H36" i="58"/>
  <c r="F36" i="58"/>
  <c r="D36" i="58"/>
  <c r="L13827" i="7"/>
  <c r="E13827" i="7"/>
  <c r="D13827" i="7"/>
  <c r="E13826" i="7"/>
  <c r="D13826" i="7"/>
  <c r="L13825" i="7"/>
  <c r="E13825" i="7"/>
  <c r="D13825" i="7"/>
  <c r="E13824" i="7"/>
  <c r="D13824" i="7"/>
  <c r="L13823" i="7"/>
  <c r="E13823" i="7"/>
  <c r="D13823" i="7"/>
  <c r="E13822" i="7"/>
  <c r="D13822" i="7"/>
  <c r="L13821" i="7"/>
  <c r="E13821" i="7"/>
  <c r="D13821" i="7"/>
  <c r="E13820" i="7"/>
  <c r="D13820" i="7"/>
  <c r="L13819" i="7"/>
  <c r="E13819" i="7"/>
  <c r="D13819" i="7"/>
  <c r="E13818" i="7"/>
  <c r="D13818" i="7"/>
  <c r="L13817" i="7"/>
  <c r="E13817" i="7"/>
  <c r="D13817" i="7"/>
  <c r="E13816" i="7"/>
  <c r="D13816" i="7"/>
  <c r="L13815" i="7"/>
  <c r="E13815" i="7"/>
  <c r="D13815" i="7"/>
  <c r="E13814" i="7"/>
  <c r="D13814" i="7"/>
  <c r="L13813" i="7"/>
  <c r="E13813" i="7"/>
  <c r="D13813" i="7"/>
  <c r="E13812" i="7"/>
  <c r="D13812" i="7"/>
  <c r="L13811" i="7"/>
  <c r="E13811" i="7"/>
  <c r="D13811" i="7"/>
  <c r="E13810" i="7"/>
  <c r="D13810" i="7"/>
  <c r="L13809" i="7"/>
  <c r="E13809" i="7"/>
  <c r="D13809" i="7"/>
  <c r="E13808" i="7"/>
  <c r="D13808" i="7"/>
  <c r="L13807" i="7"/>
  <c r="E13807" i="7"/>
  <c r="D13807" i="7"/>
  <c r="E13806" i="7"/>
  <c r="D13806" i="7"/>
  <c r="L13805" i="7"/>
  <c r="E13805" i="7"/>
  <c r="D13805" i="7"/>
  <c r="E13804" i="7"/>
  <c r="D13804" i="7"/>
  <c r="L13803" i="7"/>
  <c r="E13803" i="7"/>
  <c r="D13803" i="7"/>
  <c r="E13802" i="7"/>
  <c r="D13802" i="7"/>
  <c r="L13801" i="7"/>
  <c r="E13801" i="7"/>
  <c r="D13801" i="7"/>
  <c r="E13800" i="7"/>
  <c r="D13800" i="7"/>
  <c r="L13799" i="7"/>
  <c r="E13799" i="7"/>
  <c r="D13799" i="7"/>
  <c r="E13798" i="7"/>
  <c r="D13798" i="7"/>
  <c r="L13797" i="7"/>
  <c r="E13797" i="7"/>
  <c r="D13797" i="7"/>
  <c r="E13796" i="7"/>
  <c r="D13796" i="7"/>
  <c r="L13795" i="7"/>
  <c r="E13795" i="7"/>
  <c r="D13795" i="7"/>
  <c r="E13794" i="7"/>
  <c r="D13794" i="7"/>
  <c r="L13787" i="7"/>
  <c r="E13787" i="7"/>
  <c r="D13787" i="7"/>
  <c r="E13786" i="7"/>
  <c r="D13786" i="7"/>
  <c r="E13782" i="7"/>
  <c r="D13782" i="7"/>
  <c r="E13781" i="7"/>
  <c r="D13781" i="7"/>
  <c r="E13780" i="7"/>
  <c r="D13780" i="7"/>
  <c r="E13785" i="7"/>
  <c r="D13785" i="7"/>
  <c r="E13784" i="7"/>
  <c r="D13784" i="7"/>
  <c r="E13783" i="7"/>
  <c r="D13783" i="7"/>
  <c r="A36" i="58" l="1"/>
  <c r="A37" i="58"/>
  <c r="A38" i="58"/>
  <c r="L13779" i="7"/>
  <c r="E13779" i="7"/>
  <c r="D13779" i="7"/>
  <c r="E13778" i="7"/>
  <c r="D13778" i="7"/>
  <c r="E13706" i="7" l="1"/>
  <c r="D13706" i="7"/>
  <c r="L13706" i="7"/>
  <c r="E13705" i="7"/>
  <c r="D13705" i="7"/>
  <c r="E13704" i="7"/>
  <c r="D13704" i="7"/>
  <c r="E13703" i="7"/>
  <c r="D13703" i="7"/>
  <c r="E13702" i="7"/>
  <c r="D13702" i="7"/>
  <c r="K13776" i="7" l="1"/>
  <c r="L13777" i="7" s="1"/>
  <c r="K13774" i="7"/>
  <c r="L13775" i="7" s="1"/>
  <c r="E13777" i="7"/>
  <c r="D13777" i="7"/>
  <c r="E13776" i="7"/>
  <c r="D13776" i="7"/>
  <c r="E13775" i="7"/>
  <c r="D13775" i="7"/>
  <c r="E13774" i="7"/>
  <c r="D13774" i="7"/>
  <c r="L13773" i="7"/>
  <c r="E13773" i="7"/>
  <c r="D13773" i="7"/>
  <c r="E13772" i="7"/>
  <c r="D13772" i="7"/>
  <c r="L13771" i="7"/>
  <c r="E13771" i="7"/>
  <c r="D13771" i="7"/>
  <c r="E13770" i="7"/>
  <c r="D13770" i="7"/>
  <c r="L13769" i="7"/>
  <c r="E13769" i="7"/>
  <c r="D13769" i="7"/>
  <c r="E13768" i="7"/>
  <c r="D13768" i="7"/>
  <c r="L13767" i="7"/>
  <c r="E13767" i="7"/>
  <c r="D13767" i="7"/>
  <c r="E13766" i="7"/>
  <c r="D13766" i="7"/>
  <c r="L13765" i="7"/>
  <c r="E13765" i="7"/>
  <c r="D13765" i="7"/>
  <c r="E13764" i="7"/>
  <c r="D13764" i="7"/>
  <c r="L13763" i="7"/>
  <c r="E13763" i="7"/>
  <c r="D13763" i="7"/>
  <c r="E13762" i="7"/>
  <c r="D13762" i="7"/>
  <c r="L13761" i="7"/>
  <c r="E13761" i="7"/>
  <c r="D13761" i="7"/>
  <c r="E13760" i="7"/>
  <c r="D13760" i="7"/>
  <c r="L13759" i="7"/>
  <c r="E13759" i="7"/>
  <c r="D13759" i="7"/>
  <c r="E13758" i="7"/>
  <c r="D13758" i="7"/>
  <c r="L13757" i="7"/>
  <c r="E13757" i="7"/>
  <c r="D13757" i="7"/>
  <c r="E13756" i="7"/>
  <c r="D13756" i="7"/>
  <c r="L13755" i="7"/>
  <c r="E13755" i="7"/>
  <c r="D13755" i="7"/>
  <c r="E13754" i="7"/>
  <c r="D13754" i="7"/>
  <c r="L13753" i="7"/>
  <c r="E13753" i="7"/>
  <c r="D13753" i="7"/>
  <c r="E13752" i="7"/>
  <c r="D13752" i="7"/>
  <c r="L13751" i="7"/>
  <c r="E13751" i="7"/>
  <c r="D13751" i="7"/>
  <c r="E13750" i="7"/>
  <c r="D13750" i="7"/>
  <c r="L13749" i="7"/>
  <c r="E13749" i="7"/>
  <c r="D13749" i="7"/>
  <c r="E13748" i="7"/>
  <c r="D13748" i="7"/>
  <c r="L13747" i="7"/>
  <c r="E13747" i="7"/>
  <c r="D13747" i="7"/>
  <c r="E13746" i="7"/>
  <c r="D13746" i="7"/>
  <c r="L13745" i="7"/>
  <c r="E13745" i="7"/>
  <c r="D13745" i="7"/>
  <c r="E13744" i="7"/>
  <c r="D13744" i="7"/>
  <c r="N39" i="58"/>
  <c r="L39" i="58"/>
  <c r="J39" i="58"/>
  <c r="H39" i="58"/>
  <c r="F39" i="58"/>
  <c r="D39" i="58"/>
  <c r="L13701" i="7"/>
  <c r="E13701" i="7"/>
  <c r="D13701" i="7"/>
  <c r="E13700" i="7"/>
  <c r="D13700" i="7"/>
  <c r="A39" i="58" l="1"/>
  <c r="L13665" i="7" l="1"/>
  <c r="E13665" i="7"/>
  <c r="D13665" i="7"/>
  <c r="E13664" i="7"/>
  <c r="D13664" i="7"/>
  <c r="N40" i="58" l="1"/>
  <c r="L40" i="58"/>
  <c r="J40" i="58"/>
  <c r="H40" i="58"/>
  <c r="F40" i="58"/>
  <c r="D40" i="58"/>
  <c r="L13740" i="7"/>
  <c r="E13740" i="7"/>
  <c r="D13740" i="7"/>
  <c r="E13739" i="7"/>
  <c r="D13739" i="7"/>
  <c r="L13738" i="7"/>
  <c r="E13738" i="7"/>
  <c r="D13738" i="7"/>
  <c r="E13737" i="7"/>
  <c r="D13737" i="7"/>
  <c r="L13736" i="7"/>
  <c r="E13736" i="7"/>
  <c r="D13736" i="7"/>
  <c r="E13735" i="7"/>
  <c r="D13735" i="7"/>
  <c r="L13734" i="7"/>
  <c r="E13734" i="7"/>
  <c r="D13734" i="7"/>
  <c r="E13733" i="7"/>
  <c r="D13733" i="7"/>
  <c r="L13732" i="7"/>
  <c r="E13732" i="7"/>
  <c r="D13732" i="7"/>
  <c r="E13731" i="7"/>
  <c r="D13731" i="7"/>
  <c r="L13730" i="7"/>
  <c r="E13730" i="7"/>
  <c r="D13730" i="7"/>
  <c r="E13729" i="7"/>
  <c r="D13729" i="7"/>
  <c r="L13728" i="7"/>
  <c r="E13728" i="7"/>
  <c r="D13728" i="7"/>
  <c r="E13727" i="7"/>
  <c r="D13727" i="7"/>
  <c r="L13726" i="7"/>
  <c r="E13726" i="7"/>
  <c r="D13726" i="7"/>
  <c r="E13725" i="7"/>
  <c r="D13725" i="7"/>
  <c r="L13724" i="7"/>
  <c r="E13724" i="7"/>
  <c r="D13724" i="7"/>
  <c r="E13723" i="7"/>
  <c r="D13723" i="7"/>
  <c r="L13722" i="7"/>
  <c r="E13722" i="7"/>
  <c r="D13722" i="7"/>
  <c r="E13721" i="7"/>
  <c r="D13721" i="7"/>
  <c r="L13720" i="7"/>
  <c r="E13720" i="7"/>
  <c r="D13720" i="7"/>
  <c r="E13719" i="7"/>
  <c r="D13719" i="7"/>
  <c r="L13718" i="7"/>
  <c r="E13718" i="7"/>
  <c r="D13718" i="7"/>
  <c r="E13717" i="7"/>
  <c r="D13717" i="7"/>
  <c r="L13716" i="7"/>
  <c r="E13716" i="7"/>
  <c r="D13716" i="7"/>
  <c r="E13715" i="7"/>
  <c r="D13715" i="7"/>
  <c r="L13714" i="7"/>
  <c r="E13714" i="7"/>
  <c r="D13714" i="7"/>
  <c r="E13713" i="7"/>
  <c r="D13713" i="7"/>
  <c r="L13712" i="7"/>
  <c r="E13712" i="7"/>
  <c r="D13712" i="7"/>
  <c r="E13711" i="7"/>
  <c r="D13711" i="7"/>
  <c r="L13710" i="7"/>
  <c r="E13710" i="7"/>
  <c r="D13710" i="7"/>
  <c r="E13709" i="7"/>
  <c r="D13709" i="7"/>
  <c r="L13708" i="7"/>
  <c r="E13708" i="7"/>
  <c r="D13708" i="7"/>
  <c r="E13707" i="7"/>
  <c r="D13707" i="7"/>
  <c r="L13699" i="7"/>
  <c r="L13697" i="7"/>
  <c r="N41" i="58"/>
  <c r="L41" i="58"/>
  <c r="J41" i="58"/>
  <c r="H41" i="58"/>
  <c r="F41" i="58"/>
  <c r="D41" i="58"/>
  <c r="E13699" i="7"/>
  <c r="D13699" i="7"/>
  <c r="E13698" i="7"/>
  <c r="D13698" i="7"/>
  <c r="E13697" i="7"/>
  <c r="D13697" i="7"/>
  <c r="E13696" i="7"/>
  <c r="D13696" i="7"/>
  <c r="L13695" i="7"/>
  <c r="E13695" i="7"/>
  <c r="D13695" i="7"/>
  <c r="E13694" i="7"/>
  <c r="D13694" i="7"/>
  <c r="L13693" i="7"/>
  <c r="E13693" i="7"/>
  <c r="D13693" i="7"/>
  <c r="E13692" i="7"/>
  <c r="D13692" i="7"/>
  <c r="L13691" i="7"/>
  <c r="E13691" i="7"/>
  <c r="D13691" i="7"/>
  <c r="E13690" i="7"/>
  <c r="D13690" i="7"/>
  <c r="L13689" i="7"/>
  <c r="E13689" i="7"/>
  <c r="D13689" i="7"/>
  <c r="E13688" i="7"/>
  <c r="D13688" i="7"/>
  <c r="L13687" i="7"/>
  <c r="E13687" i="7"/>
  <c r="D13687" i="7"/>
  <c r="E13686" i="7"/>
  <c r="D13686" i="7"/>
  <c r="L13685" i="7"/>
  <c r="E13685" i="7"/>
  <c r="D13685" i="7"/>
  <c r="E13684" i="7"/>
  <c r="D13684" i="7"/>
  <c r="L13683" i="7"/>
  <c r="E13683" i="7"/>
  <c r="D13683" i="7"/>
  <c r="E13682" i="7"/>
  <c r="D13682" i="7"/>
  <c r="L13681" i="7"/>
  <c r="E13681" i="7"/>
  <c r="D13681" i="7"/>
  <c r="E13680" i="7"/>
  <c r="D13680" i="7"/>
  <c r="L13679" i="7"/>
  <c r="E13679" i="7"/>
  <c r="D13679" i="7"/>
  <c r="E13678" i="7"/>
  <c r="D13678" i="7"/>
  <c r="L13677" i="7"/>
  <c r="E13677" i="7"/>
  <c r="D13677" i="7"/>
  <c r="E13676" i="7"/>
  <c r="D13676" i="7"/>
  <c r="L13675" i="7"/>
  <c r="E13675" i="7"/>
  <c r="D13675" i="7"/>
  <c r="E13674" i="7"/>
  <c r="D13674" i="7"/>
  <c r="L13673" i="7"/>
  <c r="E13673" i="7"/>
  <c r="D13673" i="7"/>
  <c r="E13672" i="7"/>
  <c r="D13672" i="7"/>
  <c r="L13671" i="7"/>
  <c r="E13671" i="7"/>
  <c r="D13671" i="7"/>
  <c r="E13670" i="7"/>
  <c r="D13670" i="7"/>
  <c r="L13669" i="7"/>
  <c r="E13669" i="7"/>
  <c r="D13669" i="7"/>
  <c r="E13668" i="7"/>
  <c r="D13668" i="7"/>
  <c r="L13667" i="7"/>
  <c r="E13667" i="7"/>
  <c r="D13667" i="7"/>
  <c r="E13666" i="7"/>
  <c r="D13666" i="7"/>
  <c r="A40" i="58" l="1"/>
  <c r="A41" i="58"/>
  <c r="N42" i="58"/>
  <c r="L42" i="58"/>
  <c r="J42" i="58"/>
  <c r="H42" i="58"/>
  <c r="F42" i="58"/>
  <c r="D42" i="58"/>
  <c r="L13663" i="7"/>
  <c r="E13663" i="7"/>
  <c r="D13663" i="7"/>
  <c r="E13662" i="7"/>
  <c r="D13662" i="7"/>
  <c r="L13661" i="7"/>
  <c r="E13661" i="7"/>
  <c r="D13661" i="7"/>
  <c r="E13660" i="7"/>
  <c r="D13660" i="7"/>
  <c r="L13659" i="7"/>
  <c r="E13659" i="7"/>
  <c r="D13659" i="7"/>
  <c r="E13658" i="7"/>
  <c r="D13658" i="7"/>
  <c r="L13657" i="7"/>
  <c r="E13657" i="7"/>
  <c r="D13657" i="7"/>
  <c r="E13656" i="7"/>
  <c r="D13656" i="7"/>
  <c r="L13655" i="7"/>
  <c r="E13655" i="7"/>
  <c r="D13655" i="7"/>
  <c r="E13654" i="7"/>
  <c r="D13654" i="7"/>
  <c r="L13653" i="7"/>
  <c r="E13653" i="7"/>
  <c r="D13653" i="7"/>
  <c r="E13652" i="7"/>
  <c r="D13652" i="7"/>
  <c r="L13651" i="7"/>
  <c r="E13651" i="7"/>
  <c r="D13651" i="7"/>
  <c r="E13650" i="7"/>
  <c r="D13650" i="7"/>
  <c r="L13649" i="7"/>
  <c r="E13649" i="7"/>
  <c r="D13649" i="7"/>
  <c r="E13648" i="7"/>
  <c r="D13648" i="7"/>
  <c r="L13647" i="7"/>
  <c r="E13647" i="7"/>
  <c r="D13647" i="7"/>
  <c r="E13646" i="7"/>
  <c r="D13646" i="7"/>
  <c r="L13645" i="7"/>
  <c r="E13645" i="7"/>
  <c r="D13645" i="7"/>
  <c r="E13644" i="7"/>
  <c r="D13644" i="7"/>
  <c r="L13643" i="7"/>
  <c r="E13643" i="7"/>
  <c r="D13643" i="7"/>
  <c r="E13642" i="7"/>
  <c r="D13642" i="7"/>
  <c r="L13641" i="7"/>
  <c r="E13641" i="7"/>
  <c r="D13641" i="7"/>
  <c r="E13640" i="7"/>
  <c r="D13640" i="7"/>
  <c r="L13639" i="7"/>
  <c r="E13639" i="7"/>
  <c r="D13639" i="7"/>
  <c r="E13638" i="7"/>
  <c r="D13638" i="7"/>
  <c r="L13637" i="7"/>
  <c r="E13637" i="7"/>
  <c r="D13637" i="7"/>
  <c r="E13636" i="7"/>
  <c r="D13636" i="7"/>
  <c r="L13635" i="7"/>
  <c r="E13635" i="7"/>
  <c r="D13635" i="7"/>
  <c r="E13634" i="7"/>
  <c r="D13634" i="7"/>
  <c r="L13633" i="7"/>
  <c r="E13633" i="7"/>
  <c r="D13633" i="7"/>
  <c r="E13632" i="7"/>
  <c r="D13632" i="7"/>
  <c r="L13631" i="7"/>
  <c r="E13631" i="7"/>
  <c r="D13631" i="7"/>
  <c r="E13630" i="7"/>
  <c r="D13630" i="7"/>
  <c r="E13629" i="7"/>
  <c r="D13629" i="7"/>
  <c r="E13628" i="7"/>
  <c r="D13628" i="7"/>
  <c r="E13627" i="7"/>
  <c r="D13627" i="7"/>
  <c r="A42" i="58" l="1"/>
  <c r="L13592" i="7" l="1"/>
  <c r="E13592" i="7"/>
  <c r="D13592" i="7"/>
  <c r="E13591" i="7"/>
  <c r="D13591" i="7"/>
  <c r="N45" i="58" l="1"/>
  <c r="L45" i="58"/>
  <c r="J45" i="58"/>
  <c r="H45" i="58"/>
  <c r="F45" i="58"/>
  <c r="D45" i="58"/>
  <c r="N44" i="58"/>
  <c r="L44" i="58"/>
  <c r="J44" i="58"/>
  <c r="H44" i="58"/>
  <c r="F44" i="58"/>
  <c r="D44" i="58"/>
  <c r="N43" i="58"/>
  <c r="L43" i="58"/>
  <c r="J43" i="58"/>
  <c r="H43" i="58"/>
  <c r="F43" i="58"/>
  <c r="D43" i="58"/>
  <c r="L13626" i="7"/>
  <c r="E13626" i="7"/>
  <c r="D13626" i="7"/>
  <c r="E13625" i="7"/>
  <c r="D13625" i="7"/>
  <c r="L13624" i="7"/>
  <c r="E13624" i="7"/>
  <c r="D13624" i="7"/>
  <c r="E13623" i="7"/>
  <c r="D13623" i="7"/>
  <c r="L13622" i="7"/>
  <c r="E13622" i="7"/>
  <c r="D13622" i="7"/>
  <c r="E13621" i="7"/>
  <c r="D13621" i="7"/>
  <c r="L13620" i="7"/>
  <c r="E13620" i="7"/>
  <c r="D13620" i="7"/>
  <c r="E13619" i="7"/>
  <c r="D13619" i="7"/>
  <c r="L13618" i="7"/>
  <c r="E13618" i="7"/>
  <c r="D13618" i="7"/>
  <c r="E13617" i="7"/>
  <c r="D13617" i="7"/>
  <c r="L13616" i="7"/>
  <c r="E13616" i="7"/>
  <c r="D13616" i="7"/>
  <c r="E13615" i="7"/>
  <c r="D13615" i="7"/>
  <c r="L13614" i="7"/>
  <c r="E13614" i="7"/>
  <c r="D13614" i="7"/>
  <c r="E13613" i="7"/>
  <c r="D13613" i="7"/>
  <c r="L13612" i="7"/>
  <c r="E13612" i="7"/>
  <c r="D13612" i="7"/>
  <c r="E13611" i="7"/>
  <c r="D13611" i="7"/>
  <c r="L13610" i="7"/>
  <c r="E13610" i="7"/>
  <c r="D13610" i="7"/>
  <c r="E13609" i="7"/>
  <c r="D13609" i="7"/>
  <c r="L13608" i="7"/>
  <c r="E13608" i="7"/>
  <c r="D13608" i="7"/>
  <c r="E13607" i="7"/>
  <c r="D13607" i="7"/>
  <c r="L13606" i="7"/>
  <c r="E13606" i="7"/>
  <c r="D13606" i="7"/>
  <c r="E13605" i="7"/>
  <c r="D13605" i="7"/>
  <c r="L13604" i="7"/>
  <c r="E13604" i="7"/>
  <c r="D13604" i="7"/>
  <c r="E13603" i="7"/>
  <c r="D13603" i="7"/>
  <c r="L13602" i="7"/>
  <c r="E13602" i="7"/>
  <c r="D13602" i="7"/>
  <c r="E13601" i="7"/>
  <c r="D13601" i="7"/>
  <c r="L13600" i="7"/>
  <c r="E13600" i="7"/>
  <c r="D13600" i="7"/>
  <c r="E13599" i="7"/>
  <c r="D13599" i="7"/>
  <c r="L13598" i="7"/>
  <c r="E13598" i="7"/>
  <c r="D13598" i="7"/>
  <c r="E13597" i="7"/>
  <c r="D13597" i="7"/>
  <c r="L13596" i="7"/>
  <c r="E13596" i="7"/>
  <c r="D13596" i="7"/>
  <c r="E13595" i="7"/>
  <c r="D13595" i="7"/>
  <c r="L13594" i="7"/>
  <c r="E13594" i="7"/>
  <c r="D13594" i="7"/>
  <c r="E13593" i="7"/>
  <c r="D13593" i="7"/>
  <c r="E13590" i="7"/>
  <c r="D13590" i="7"/>
  <c r="K13589" i="7"/>
  <c r="L13590" i="7" s="1"/>
  <c r="E13589" i="7"/>
  <c r="D13589" i="7"/>
  <c r="E13588" i="7"/>
  <c r="D13588" i="7"/>
  <c r="E13587" i="7"/>
  <c r="D13587" i="7"/>
  <c r="E13586" i="7"/>
  <c r="D13586" i="7"/>
  <c r="E13585" i="7"/>
  <c r="D13585" i="7"/>
  <c r="E13584" i="7"/>
  <c r="D13584" i="7"/>
  <c r="E13583" i="7"/>
  <c r="D13583" i="7"/>
  <c r="A43" i="58" l="1"/>
  <c r="A45" i="58"/>
  <c r="A44" i="58"/>
  <c r="N46" i="58"/>
  <c r="L46" i="58"/>
  <c r="J46" i="58"/>
  <c r="H46" i="58"/>
  <c r="F46" i="58"/>
  <c r="D46" i="58"/>
  <c r="A46" i="58" l="1"/>
  <c r="L13582" i="7" l="1"/>
  <c r="E13582" i="7"/>
  <c r="D13582" i="7"/>
  <c r="E13581" i="7"/>
  <c r="D13581" i="7"/>
  <c r="L13580" i="7"/>
  <c r="E13580" i="7"/>
  <c r="D13580" i="7"/>
  <c r="E13579" i="7"/>
  <c r="D13579" i="7"/>
  <c r="L13578" i="7"/>
  <c r="E13578" i="7"/>
  <c r="D13578" i="7"/>
  <c r="E13577" i="7"/>
  <c r="D13577" i="7"/>
  <c r="L13576" i="7"/>
  <c r="E13576" i="7"/>
  <c r="D13576" i="7"/>
  <c r="E13575" i="7"/>
  <c r="D13575" i="7"/>
  <c r="L13574" i="7"/>
  <c r="E13574" i="7"/>
  <c r="D13574" i="7"/>
  <c r="E13573" i="7"/>
  <c r="D13573" i="7"/>
  <c r="L13572" i="7"/>
  <c r="E13572" i="7"/>
  <c r="D13572" i="7"/>
  <c r="E13571" i="7"/>
  <c r="D13571" i="7"/>
  <c r="L13570" i="7"/>
  <c r="E13570" i="7"/>
  <c r="D13570" i="7"/>
  <c r="E13569" i="7"/>
  <c r="D13569" i="7"/>
  <c r="L13568" i="7"/>
  <c r="E13568" i="7"/>
  <c r="D13568" i="7"/>
  <c r="E13567" i="7"/>
  <c r="D13567" i="7"/>
  <c r="L13566" i="7"/>
  <c r="E13566" i="7"/>
  <c r="D13566" i="7"/>
  <c r="E13565" i="7"/>
  <c r="D13565" i="7"/>
  <c r="L13564" i="7"/>
  <c r="E13564" i="7"/>
  <c r="D13564" i="7"/>
  <c r="E13563" i="7"/>
  <c r="D13563" i="7"/>
  <c r="L13562" i="7"/>
  <c r="E13562" i="7"/>
  <c r="D13562" i="7"/>
  <c r="E13561" i="7"/>
  <c r="D13561" i="7"/>
  <c r="L13560" i="7"/>
  <c r="E13560" i="7"/>
  <c r="D13560" i="7"/>
  <c r="E13559" i="7"/>
  <c r="D13559" i="7"/>
  <c r="L13558" i="7"/>
  <c r="E13558" i="7"/>
  <c r="D13558" i="7"/>
  <c r="E13557" i="7"/>
  <c r="D13557" i="7"/>
  <c r="L13556" i="7"/>
  <c r="E13556" i="7"/>
  <c r="D13556" i="7"/>
  <c r="E13555" i="7"/>
  <c r="D13555" i="7"/>
  <c r="L13554" i="7"/>
  <c r="E13554" i="7"/>
  <c r="D13554" i="7"/>
  <c r="E13553" i="7"/>
  <c r="D13553" i="7"/>
  <c r="L13552" i="7"/>
  <c r="E13552" i="7"/>
  <c r="D13552" i="7"/>
  <c r="E13551" i="7"/>
  <c r="D13551" i="7"/>
  <c r="L13550" i="7"/>
  <c r="E13550" i="7"/>
  <c r="D13550" i="7"/>
  <c r="E13549" i="7"/>
  <c r="D13549" i="7"/>
  <c r="E13506" i="7"/>
  <c r="D13506" i="7"/>
  <c r="L13506" i="7"/>
  <c r="E13505" i="7"/>
  <c r="D13505" i="7"/>
  <c r="K13547" i="7"/>
  <c r="L13548" i="7" s="1"/>
  <c r="E13548" i="7"/>
  <c r="D13548" i="7"/>
  <c r="E13547" i="7"/>
  <c r="D13547" i="7"/>
  <c r="E13546" i="7"/>
  <c r="D13546" i="7"/>
  <c r="E13545" i="7"/>
  <c r="D13545" i="7"/>
  <c r="E13544" i="7"/>
  <c r="D13544" i="7"/>
  <c r="E13543" i="7"/>
  <c r="D13543" i="7"/>
  <c r="E13542" i="7"/>
  <c r="D13542" i="7"/>
  <c r="E13541" i="7"/>
  <c r="D13541" i="7"/>
  <c r="E13504" i="7" l="1"/>
  <c r="D13504" i="7"/>
  <c r="E13503" i="7"/>
  <c r="D13503" i="7"/>
  <c r="E13502" i="7"/>
  <c r="D13502" i="7"/>
  <c r="L13540" i="7"/>
  <c r="N47" i="58"/>
  <c r="L47" i="58"/>
  <c r="J47" i="58"/>
  <c r="H47" i="58"/>
  <c r="F47" i="58"/>
  <c r="D47" i="58"/>
  <c r="E13540" i="7"/>
  <c r="D13540" i="7"/>
  <c r="E13539" i="7"/>
  <c r="D13539" i="7"/>
  <c r="L13538" i="7"/>
  <c r="E13538" i="7"/>
  <c r="D13538" i="7"/>
  <c r="E13537" i="7"/>
  <c r="D13537" i="7"/>
  <c r="L13536" i="7"/>
  <c r="E13536" i="7"/>
  <c r="D13536" i="7"/>
  <c r="E13535" i="7"/>
  <c r="D13535" i="7"/>
  <c r="L13534" i="7"/>
  <c r="E13534" i="7"/>
  <c r="D13534" i="7"/>
  <c r="E13533" i="7"/>
  <c r="D13533" i="7"/>
  <c r="L13532" i="7"/>
  <c r="E13532" i="7"/>
  <c r="D13532" i="7"/>
  <c r="E13531" i="7"/>
  <c r="D13531" i="7"/>
  <c r="L13530" i="7"/>
  <c r="E13530" i="7"/>
  <c r="D13530" i="7"/>
  <c r="E13529" i="7"/>
  <c r="D13529" i="7"/>
  <c r="L13528" i="7"/>
  <c r="E13528" i="7"/>
  <c r="D13528" i="7"/>
  <c r="E13527" i="7"/>
  <c r="D13527" i="7"/>
  <c r="L13526" i="7"/>
  <c r="E13526" i="7"/>
  <c r="D13526" i="7"/>
  <c r="E13525" i="7"/>
  <c r="D13525" i="7"/>
  <c r="L13524" i="7"/>
  <c r="E13524" i="7"/>
  <c r="D13524" i="7"/>
  <c r="E13523" i="7"/>
  <c r="D13523" i="7"/>
  <c r="L13522" i="7"/>
  <c r="E13522" i="7"/>
  <c r="D13522" i="7"/>
  <c r="E13521" i="7"/>
  <c r="D13521" i="7"/>
  <c r="L13520" i="7"/>
  <c r="E13520" i="7"/>
  <c r="D13520" i="7"/>
  <c r="E13519" i="7"/>
  <c r="D13519" i="7"/>
  <c r="L13518" i="7"/>
  <c r="E13518" i="7"/>
  <c r="D13518" i="7"/>
  <c r="E13517" i="7"/>
  <c r="D13517" i="7"/>
  <c r="L13516" i="7"/>
  <c r="E13516" i="7"/>
  <c r="D13516" i="7"/>
  <c r="E13515" i="7"/>
  <c r="D13515" i="7"/>
  <c r="L13514" i="7"/>
  <c r="E13514" i="7"/>
  <c r="D13514" i="7"/>
  <c r="E13513" i="7"/>
  <c r="D13513" i="7"/>
  <c r="L13512" i="7"/>
  <c r="E13512" i="7"/>
  <c r="D13512" i="7"/>
  <c r="E13511" i="7"/>
  <c r="D13511" i="7"/>
  <c r="L13510" i="7"/>
  <c r="E13510" i="7"/>
  <c r="D13510" i="7"/>
  <c r="E13509" i="7"/>
  <c r="D13509" i="7"/>
  <c r="L13508" i="7"/>
  <c r="E13508" i="7"/>
  <c r="D13508" i="7"/>
  <c r="E13507" i="7"/>
  <c r="D13507" i="7"/>
  <c r="L13501" i="7"/>
  <c r="E13501" i="7"/>
  <c r="D13501" i="7"/>
  <c r="E13500" i="7"/>
  <c r="D13500" i="7"/>
  <c r="E13459" i="7"/>
  <c r="D13459" i="7"/>
  <c r="E13458" i="7"/>
  <c r="D13458" i="7"/>
  <c r="A47" i="58" l="1"/>
  <c r="E13499" i="7"/>
  <c r="D13499" i="7"/>
  <c r="E13498" i="7"/>
  <c r="D13498" i="7"/>
  <c r="E13497" i="7"/>
  <c r="D13497" i="7"/>
  <c r="E13496" i="7"/>
  <c r="D13496" i="7"/>
  <c r="E13495" i="7"/>
  <c r="D13495" i="7"/>
  <c r="E13494" i="7"/>
  <c r="D13494" i="7"/>
  <c r="N48" i="58" l="1"/>
  <c r="L48" i="58"/>
  <c r="J48" i="58"/>
  <c r="H48" i="58"/>
  <c r="F48" i="58"/>
  <c r="D48" i="58"/>
  <c r="I148" i="59"/>
  <c r="I149" i="59" s="1"/>
  <c r="I150" i="59" s="1"/>
  <c r="I151" i="59" s="1"/>
  <c r="I152" i="59" s="1"/>
  <c r="I153" i="59" s="1"/>
  <c r="I154" i="59" s="1"/>
  <c r="I155" i="59" s="1"/>
  <c r="I156" i="59" s="1"/>
  <c r="I157" i="59" s="1"/>
  <c r="I158" i="59" s="1"/>
  <c r="I159" i="59" s="1"/>
  <c r="L13493" i="7"/>
  <c r="E13493" i="7"/>
  <c r="D13493" i="7"/>
  <c r="E13492" i="7"/>
  <c r="D13492" i="7"/>
  <c r="L13491" i="7"/>
  <c r="E13491" i="7"/>
  <c r="D13491" i="7"/>
  <c r="E13490" i="7"/>
  <c r="D13490" i="7"/>
  <c r="L13489" i="7"/>
  <c r="E13489" i="7"/>
  <c r="D13489" i="7"/>
  <c r="E13488" i="7"/>
  <c r="D13488" i="7"/>
  <c r="L13487" i="7"/>
  <c r="E13487" i="7"/>
  <c r="D13487" i="7"/>
  <c r="E13486" i="7"/>
  <c r="D13486" i="7"/>
  <c r="L13485" i="7"/>
  <c r="E13485" i="7"/>
  <c r="D13485" i="7"/>
  <c r="E13484" i="7"/>
  <c r="D13484" i="7"/>
  <c r="L13483" i="7"/>
  <c r="E13483" i="7"/>
  <c r="D13483" i="7"/>
  <c r="E13482" i="7"/>
  <c r="D13482" i="7"/>
  <c r="L13481" i="7"/>
  <c r="E13481" i="7"/>
  <c r="D13481" i="7"/>
  <c r="E13480" i="7"/>
  <c r="D13480" i="7"/>
  <c r="L13479" i="7"/>
  <c r="E13479" i="7"/>
  <c r="D13479" i="7"/>
  <c r="E13478" i="7"/>
  <c r="D13478" i="7"/>
  <c r="L13477" i="7"/>
  <c r="E13477" i="7"/>
  <c r="D13477" i="7"/>
  <c r="E13476" i="7"/>
  <c r="D13476" i="7"/>
  <c r="L13475" i="7"/>
  <c r="E13475" i="7"/>
  <c r="D13475" i="7"/>
  <c r="E13474" i="7"/>
  <c r="D13474" i="7"/>
  <c r="L13473" i="7"/>
  <c r="E13473" i="7"/>
  <c r="D13473" i="7"/>
  <c r="E13472" i="7"/>
  <c r="D13472" i="7"/>
  <c r="L13471" i="7"/>
  <c r="E13471" i="7"/>
  <c r="D13471" i="7"/>
  <c r="E13470" i="7"/>
  <c r="D13470" i="7"/>
  <c r="L13469" i="7"/>
  <c r="E13469" i="7"/>
  <c r="D13469" i="7"/>
  <c r="E13468" i="7"/>
  <c r="D13468" i="7"/>
  <c r="L13467" i="7"/>
  <c r="E13467" i="7"/>
  <c r="D13467" i="7"/>
  <c r="E13466" i="7"/>
  <c r="D13466" i="7"/>
  <c r="L13465" i="7"/>
  <c r="E13465" i="7"/>
  <c r="D13465" i="7"/>
  <c r="E13464" i="7"/>
  <c r="D13464" i="7"/>
  <c r="L13463" i="7"/>
  <c r="E13463" i="7"/>
  <c r="D13463" i="7"/>
  <c r="E13462" i="7"/>
  <c r="D13462" i="7"/>
  <c r="L13461" i="7"/>
  <c r="E13461" i="7"/>
  <c r="D13461" i="7"/>
  <c r="E13460" i="7"/>
  <c r="D13460" i="7"/>
  <c r="L13457" i="7"/>
  <c r="E13457" i="7"/>
  <c r="D13457" i="7"/>
  <c r="E13456" i="7"/>
  <c r="D13456" i="7"/>
  <c r="L13418" i="7"/>
  <c r="E13418" i="7"/>
  <c r="D13418" i="7"/>
  <c r="E13417" i="7"/>
  <c r="D13417" i="7"/>
  <c r="D13419" i="7"/>
  <c r="E13419" i="7"/>
  <c r="L13416" i="7"/>
  <c r="E13416" i="7"/>
  <c r="D13416" i="7"/>
  <c r="E13415" i="7"/>
  <c r="D13415" i="7"/>
  <c r="E13414" i="7"/>
  <c r="D13414" i="7"/>
  <c r="E13413" i="7"/>
  <c r="D13413" i="7"/>
  <c r="A48" i="58" l="1"/>
  <c r="E13455" i="7" l="1"/>
  <c r="D13455" i="7"/>
  <c r="E13454" i="7"/>
  <c r="D13454" i="7"/>
  <c r="E13453" i="7"/>
  <c r="D13453" i="7"/>
  <c r="E13370" i="7" l="1"/>
  <c r="D13370" i="7"/>
  <c r="E13369" i="7"/>
  <c r="D13369" i="7"/>
  <c r="E13368" i="7"/>
  <c r="D13368" i="7"/>
  <c r="N49" i="58" l="1"/>
  <c r="L49" i="58"/>
  <c r="J49" i="58"/>
  <c r="H49" i="58"/>
  <c r="F49" i="58"/>
  <c r="D49" i="58"/>
  <c r="E13452" i="7"/>
  <c r="D13452" i="7"/>
  <c r="L13452" i="7"/>
  <c r="E13451" i="7"/>
  <c r="D13451" i="7"/>
  <c r="E13450" i="7"/>
  <c r="D13450" i="7"/>
  <c r="L13450" i="7"/>
  <c r="E13449" i="7"/>
  <c r="D13449" i="7"/>
  <c r="L13448" i="7"/>
  <c r="E13448" i="7"/>
  <c r="D13448" i="7"/>
  <c r="E13447" i="7"/>
  <c r="D13447" i="7"/>
  <c r="L13446" i="7"/>
  <c r="E13446" i="7"/>
  <c r="D13446" i="7"/>
  <c r="E13445" i="7"/>
  <c r="D13445" i="7"/>
  <c r="L13444" i="7"/>
  <c r="E13444" i="7"/>
  <c r="D13444" i="7"/>
  <c r="E13443" i="7"/>
  <c r="D13443" i="7"/>
  <c r="L13442" i="7"/>
  <c r="E13442" i="7"/>
  <c r="D13442" i="7"/>
  <c r="E13441" i="7"/>
  <c r="D13441" i="7"/>
  <c r="E13440" i="7"/>
  <c r="D13440" i="7"/>
  <c r="L13440" i="7"/>
  <c r="E13439" i="7"/>
  <c r="D13439" i="7"/>
  <c r="L13438" i="7"/>
  <c r="E13438" i="7"/>
  <c r="D13438" i="7"/>
  <c r="E13437" i="7"/>
  <c r="D13437" i="7"/>
  <c r="E13436" i="7"/>
  <c r="D13436" i="7"/>
  <c r="L13436" i="7"/>
  <c r="E13435" i="7"/>
  <c r="D13435" i="7"/>
  <c r="L13434" i="7"/>
  <c r="E13434" i="7"/>
  <c r="D13434" i="7"/>
  <c r="E13433" i="7"/>
  <c r="D13433" i="7"/>
  <c r="E13432" i="7"/>
  <c r="D13432" i="7"/>
  <c r="L13432" i="7"/>
  <c r="E13431" i="7"/>
  <c r="D13431" i="7"/>
  <c r="L13430" i="7"/>
  <c r="E13430" i="7"/>
  <c r="D13430" i="7"/>
  <c r="E13429" i="7"/>
  <c r="D13429" i="7"/>
  <c r="E13428" i="7"/>
  <c r="D13428" i="7"/>
  <c r="L13428" i="7"/>
  <c r="E13427" i="7"/>
  <c r="D13427" i="7"/>
  <c r="L13426" i="7"/>
  <c r="E13426" i="7"/>
  <c r="D13426" i="7"/>
  <c r="E13425" i="7"/>
  <c r="D13425" i="7"/>
  <c r="E13424" i="7"/>
  <c r="D13424" i="7"/>
  <c r="L13424" i="7"/>
  <c r="E13423" i="7"/>
  <c r="D13423" i="7"/>
  <c r="L13422" i="7"/>
  <c r="E13422" i="7"/>
  <c r="D13422" i="7"/>
  <c r="E13421" i="7"/>
  <c r="D13421" i="7"/>
  <c r="E13420" i="7"/>
  <c r="D13420" i="7"/>
  <c r="L13420" i="7"/>
  <c r="A49" i="58" l="1"/>
  <c r="L13409" i="7"/>
  <c r="E13412" i="7" l="1"/>
  <c r="D13412" i="7"/>
  <c r="E13411" i="7"/>
  <c r="D13411" i="7"/>
  <c r="E13410" i="7"/>
  <c r="D13410" i="7"/>
  <c r="E13409" i="7"/>
  <c r="D13409" i="7"/>
  <c r="E13408" i="7"/>
  <c r="D13408" i="7"/>
  <c r="E13407" i="7"/>
  <c r="D13407" i="7"/>
  <c r="E13406" i="7"/>
  <c r="D13406" i="7"/>
  <c r="E13405" i="7"/>
  <c r="D13405" i="7"/>
  <c r="L13367" i="7" l="1"/>
  <c r="E13367" i="7"/>
  <c r="D13367" i="7"/>
  <c r="E13366" i="7"/>
  <c r="D13366" i="7"/>
  <c r="K13403" i="7"/>
  <c r="K13401" i="7"/>
  <c r="K13399" i="7"/>
  <c r="E13365" i="7"/>
  <c r="D13365" i="7"/>
  <c r="E13364" i="7"/>
  <c r="D13364" i="7"/>
  <c r="E13363" i="7"/>
  <c r="D13363" i="7"/>
  <c r="E13362" i="7"/>
  <c r="D13362" i="7"/>
  <c r="E13361" i="7"/>
  <c r="D13361" i="7"/>
  <c r="E13360" i="7"/>
  <c r="D13360" i="7"/>
  <c r="N50" i="58" l="1"/>
  <c r="L50" i="58"/>
  <c r="J50" i="58"/>
  <c r="H50" i="58"/>
  <c r="A50" i="58" s="1"/>
  <c r="F50" i="58"/>
  <c r="D50" i="58"/>
  <c r="N51" i="58"/>
  <c r="L51" i="58"/>
  <c r="J51" i="58"/>
  <c r="H51" i="58"/>
  <c r="F51" i="58"/>
  <c r="D51" i="58"/>
  <c r="N52" i="58"/>
  <c r="L52" i="58"/>
  <c r="J52" i="58"/>
  <c r="H52" i="58"/>
  <c r="F52" i="58"/>
  <c r="D52" i="58"/>
  <c r="N53" i="58"/>
  <c r="L53" i="58"/>
  <c r="J53" i="58"/>
  <c r="H53" i="58"/>
  <c r="F53" i="58"/>
  <c r="D53" i="58"/>
  <c r="A53" i="58" s="1"/>
  <c r="N54" i="58"/>
  <c r="L54" i="58"/>
  <c r="J54" i="58"/>
  <c r="H54" i="58"/>
  <c r="F54" i="58"/>
  <c r="D54" i="58"/>
  <c r="L13400" i="7"/>
  <c r="K13391" i="7"/>
  <c r="L13392" i="7" s="1"/>
  <c r="K13389" i="7"/>
  <c r="L13390" i="7" s="1"/>
  <c r="K13387" i="7"/>
  <c r="L13388" i="7" s="1"/>
  <c r="K13385" i="7"/>
  <c r="L13386" i="7" s="1"/>
  <c r="K13383" i="7"/>
  <c r="L13384" i="7" s="1"/>
  <c r="K13381" i="7"/>
  <c r="L13382" i="7" s="1"/>
  <c r="K13379" i="7"/>
  <c r="L13380" i="7" s="1"/>
  <c r="K13377" i="7"/>
  <c r="L13378" i="7" s="1"/>
  <c r="K13375" i="7"/>
  <c r="L13376" i="7" s="1"/>
  <c r="K13371" i="7"/>
  <c r="L13372" i="7" s="1"/>
  <c r="L13404" i="7"/>
  <c r="E13404" i="7"/>
  <c r="D13404" i="7"/>
  <c r="E13403" i="7"/>
  <c r="D13403" i="7"/>
  <c r="L13402" i="7"/>
  <c r="E13402" i="7"/>
  <c r="D13402" i="7"/>
  <c r="E13401" i="7"/>
  <c r="D13401" i="7"/>
  <c r="E13400" i="7"/>
  <c r="D13400" i="7"/>
  <c r="E13399" i="7"/>
  <c r="D13399" i="7"/>
  <c r="L13398" i="7"/>
  <c r="E13398" i="7"/>
  <c r="D13398" i="7"/>
  <c r="E13397" i="7"/>
  <c r="D13397" i="7"/>
  <c r="L13396" i="7"/>
  <c r="E13396" i="7"/>
  <c r="D13396" i="7"/>
  <c r="E13395" i="7"/>
  <c r="D13395" i="7"/>
  <c r="L13394" i="7"/>
  <c r="E13394" i="7"/>
  <c r="D13394" i="7"/>
  <c r="E13393" i="7"/>
  <c r="D13393" i="7"/>
  <c r="E13392" i="7"/>
  <c r="D13392" i="7"/>
  <c r="E13391" i="7"/>
  <c r="D13391" i="7"/>
  <c r="E13390" i="7"/>
  <c r="D13390" i="7"/>
  <c r="E13389" i="7"/>
  <c r="D13389" i="7"/>
  <c r="E13388" i="7"/>
  <c r="D13388" i="7"/>
  <c r="E13387" i="7"/>
  <c r="D13387" i="7"/>
  <c r="E13386" i="7"/>
  <c r="D13386" i="7"/>
  <c r="E13385" i="7"/>
  <c r="D13385" i="7"/>
  <c r="E13384" i="7"/>
  <c r="D13384" i="7"/>
  <c r="E13383" i="7"/>
  <c r="D13383" i="7"/>
  <c r="E13382" i="7"/>
  <c r="D13382" i="7"/>
  <c r="E13381" i="7"/>
  <c r="D13381" i="7"/>
  <c r="E13380" i="7"/>
  <c r="D13380" i="7"/>
  <c r="E13379" i="7"/>
  <c r="D13379" i="7"/>
  <c r="E13378" i="7"/>
  <c r="D13378" i="7"/>
  <c r="E13377" i="7"/>
  <c r="D13377" i="7"/>
  <c r="E13376" i="7"/>
  <c r="D13376" i="7"/>
  <c r="E13375" i="7"/>
  <c r="D13375" i="7"/>
  <c r="L13374" i="7"/>
  <c r="E13374" i="7"/>
  <c r="D13374" i="7"/>
  <c r="E13373" i="7"/>
  <c r="D13373" i="7"/>
  <c r="E13372" i="7"/>
  <c r="D13372" i="7"/>
  <c r="E13371" i="7"/>
  <c r="D13371" i="7"/>
  <c r="D13323" i="7"/>
  <c r="E13323" i="7"/>
  <c r="D13324" i="7"/>
  <c r="E13324" i="7"/>
  <c r="L13324" i="7"/>
  <c r="D13325" i="7"/>
  <c r="E13325" i="7"/>
  <c r="D13326" i="7"/>
  <c r="E13326" i="7"/>
  <c r="L13326" i="7"/>
  <c r="L13319" i="7"/>
  <c r="E13319" i="7"/>
  <c r="D13319" i="7"/>
  <c r="E13318" i="7"/>
  <c r="D13318" i="7"/>
  <c r="L13317" i="7"/>
  <c r="E13317" i="7"/>
  <c r="D13317" i="7"/>
  <c r="E13316" i="7"/>
  <c r="D13316" i="7"/>
  <c r="E13359" i="7"/>
  <c r="D13359" i="7"/>
  <c r="E13358" i="7"/>
  <c r="D13358" i="7"/>
  <c r="E13357" i="7"/>
  <c r="D13357" i="7"/>
  <c r="I141" i="59"/>
  <c r="I142" i="59"/>
  <c r="I143" i="59"/>
  <c r="I144" i="59"/>
  <c r="I145" i="59" s="1"/>
  <c r="I146" i="59" s="1"/>
  <c r="I147" i="59" s="1"/>
  <c r="L13356" i="7"/>
  <c r="E13356" i="7"/>
  <c r="D13356" i="7"/>
  <c r="E13355" i="7"/>
  <c r="D13355" i="7"/>
  <c r="L13354" i="7"/>
  <c r="E13354" i="7"/>
  <c r="D13354" i="7"/>
  <c r="E13353" i="7"/>
  <c r="D13353" i="7"/>
  <c r="L13352" i="7"/>
  <c r="E13352" i="7"/>
  <c r="D13352" i="7"/>
  <c r="E13351" i="7"/>
  <c r="D13351" i="7"/>
  <c r="L13350" i="7"/>
  <c r="E13350" i="7"/>
  <c r="D13350" i="7"/>
  <c r="E13349" i="7"/>
  <c r="D13349" i="7"/>
  <c r="L13348" i="7"/>
  <c r="E13348" i="7"/>
  <c r="D13348" i="7"/>
  <c r="E13347" i="7"/>
  <c r="D13347" i="7"/>
  <c r="L13346" i="7"/>
  <c r="E13346" i="7"/>
  <c r="D13346" i="7"/>
  <c r="E13345" i="7"/>
  <c r="D13345" i="7"/>
  <c r="L13344" i="7"/>
  <c r="E13344" i="7"/>
  <c r="D13344" i="7"/>
  <c r="E13343" i="7"/>
  <c r="D13343" i="7"/>
  <c r="L13342" i="7"/>
  <c r="E13342" i="7"/>
  <c r="D13342" i="7"/>
  <c r="E13341" i="7"/>
  <c r="D13341" i="7"/>
  <c r="L13340" i="7"/>
  <c r="E13340" i="7"/>
  <c r="D13340" i="7"/>
  <c r="E13339" i="7"/>
  <c r="D13339" i="7"/>
  <c r="L13338" i="7"/>
  <c r="E13338" i="7"/>
  <c r="D13338" i="7"/>
  <c r="E13337" i="7"/>
  <c r="D13337" i="7"/>
  <c r="L13336" i="7"/>
  <c r="E13336" i="7"/>
  <c r="D13336" i="7"/>
  <c r="E13335" i="7"/>
  <c r="D13335" i="7"/>
  <c r="L13334" i="7"/>
  <c r="E13334" i="7"/>
  <c r="D13334" i="7"/>
  <c r="E13333" i="7"/>
  <c r="D13333" i="7"/>
  <c r="L13332" i="7"/>
  <c r="E13332" i="7"/>
  <c r="D13332" i="7"/>
  <c r="E13331" i="7"/>
  <c r="D13331" i="7"/>
  <c r="L13330" i="7"/>
  <c r="E13330" i="7"/>
  <c r="D13330" i="7"/>
  <c r="E13329" i="7"/>
  <c r="D13329" i="7"/>
  <c r="L13328" i="7"/>
  <c r="E13328" i="7"/>
  <c r="D13328" i="7"/>
  <c r="E13327" i="7"/>
  <c r="D13327" i="7"/>
  <c r="A51" i="58" l="1"/>
  <c r="A52" i="58"/>
  <c r="A54" i="58"/>
  <c r="E13322" i="7"/>
  <c r="D13322" i="7"/>
  <c r="E13321" i="7"/>
  <c r="D13321" i="7"/>
  <c r="E13320" i="7"/>
  <c r="D13320" i="7"/>
  <c r="E13281" i="7" l="1"/>
  <c r="D13281" i="7"/>
  <c r="E13280" i="7"/>
  <c r="D13280" i="7"/>
  <c r="N55" i="58"/>
  <c r="L55" i="58"/>
  <c r="J55" i="58"/>
  <c r="H55" i="58"/>
  <c r="F55" i="58"/>
  <c r="D55" i="58"/>
  <c r="N56" i="58"/>
  <c r="L56" i="58"/>
  <c r="J56" i="58"/>
  <c r="H56" i="58"/>
  <c r="F56" i="58"/>
  <c r="D56" i="58"/>
  <c r="I140" i="59"/>
  <c r="L13315" i="7"/>
  <c r="E13315" i="7"/>
  <c r="D13315" i="7"/>
  <c r="E13314" i="7"/>
  <c r="D13314" i="7"/>
  <c r="L13313" i="7"/>
  <c r="E13313" i="7"/>
  <c r="D13313" i="7"/>
  <c r="E13312" i="7"/>
  <c r="D13312" i="7"/>
  <c r="L13311" i="7"/>
  <c r="E13311" i="7"/>
  <c r="D13311" i="7"/>
  <c r="E13310" i="7"/>
  <c r="D13310" i="7"/>
  <c r="L13309" i="7"/>
  <c r="E13309" i="7"/>
  <c r="D13309" i="7"/>
  <c r="E13308" i="7"/>
  <c r="D13308" i="7"/>
  <c r="L13307" i="7"/>
  <c r="E13307" i="7"/>
  <c r="D13307" i="7"/>
  <c r="E13306" i="7"/>
  <c r="D13306" i="7"/>
  <c r="L13305" i="7"/>
  <c r="E13305" i="7"/>
  <c r="D13305" i="7"/>
  <c r="E13304" i="7"/>
  <c r="D13304" i="7"/>
  <c r="L13303" i="7"/>
  <c r="E13303" i="7"/>
  <c r="D13303" i="7"/>
  <c r="E13302" i="7"/>
  <c r="D13302" i="7"/>
  <c r="L13301" i="7"/>
  <c r="E13301" i="7"/>
  <c r="D13301" i="7"/>
  <c r="E13300" i="7"/>
  <c r="D13300" i="7"/>
  <c r="L13299" i="7"/>
  <c r="E13299" i="7"/>
  <c r="D13299" i="7"/>
  <c r="E13298" i="7"/>
  <c r="D13298" i="7"/>
  <c r="L13297" i="7"/>
  <c r="E13297" i="7"/>
  <c r="D13297" i="7"/>
  <c r="E13296" i="7"/>
  <c r="D13296" i="7"/>
  <c r="L13295" i="7"/>
  <c r="E13295" i="7"/>
  <c r="D13295" i="7"/>
  <c r="E13294" i="7"/>
  <c r="D13294" i="7"/>
  <c r="L13293" i="7"/>
  <c r="E13293" i="7"/>
  <c r="D13293" i="7"/>
  <c r="E13292" i="7"/>
  <c r="D13292" i="7"/>
  <c r="L13291" i="7"/>
  <c r="E13291" i="7"/>
  <c r="D13291" i="7"/>
  <c r="E13290" i="7"/>
  <c r="D13290" i="7"/>
  <c r="L13289" i="7"/>
  <c r="E13289" i="7"/>
  <c r="D13289" i="7"/>
  <c r="E13288" i="7"/>
  <c r="D13288" i="7"/>
  <c r="L13287" i="7"/>
  <c r="E13287" i="7"/>
  <c r="D13287" i="7"/>
  <c r="E13286" i="7"/>
  <c r="D13286" i="7"/>
  <c r="L13285" i="7"/>
  <c r="E13285" i="7"/>
  <c r="D13285" i="7"/>
  <c r="E13284" i="7"/>
  <c r="D13284" i="7"/>
  <c r="L13283" i="7"/>
  <c r="E13283" i="7"/>
  <c r="D13283" i="7"/>
  <c r="E13282" i="7"/>
  <c r="D13282" i="7"/>
  <c r="E13279" i="7"/>
  <c r="D13279" i="7"/>
  <c r="E13278" i="7"/>
  <c r="D13278" i="7"/>
  <c r="E13277" i="7"/>
  <c r="D13277" i="7"/>
  <c r="E13276" i="7"/>
  <c r="D13276" i="7"/>
  <c r="E13275" i="7"/>
  <c r="D13275" i="7"/>
  <c r="E13274" i="7"/>
  <c r="D13274" i="7"/>
  <c r="E13273" i="7"/>
  <c r="D13273" i="7"/>
  <c r="E13272" i="7"/>
  <c r="D13272" i="7"/>
  <c r="E13271" i="7"/>
  <c r="D13271" i="7"/>
  <c r="I138" i="59"/>
  <c r="I139" i="59" s="1"/>
  <c r="L13268" i="7"/>
  <c r="L13270" i="7"/>
  <c r="N57" i="58"/>
  <c r="L57" i="58"/>
  <c r="J57" i="58"/>
  <c r="H57" i="58"/>
  <c r="F57" i="58"/>
  <c r="D57" i="58"/>
  <c r="N58" i="58"/>
  <c r="L58" i="58"/>
  <c r="J58" i="58"/>
  <c r="H58" i="58"/>
  <c r="F58" i="58"/>
  <c r="D58" i="58"/>
  <c r="N59" i="58"/>
  <c r="L59" i="58"/>
  <c r="J59" i="58"/>
  <c r="H59" i="58"/>
  <c r="F59" i="58"/>
  <c r="D59" i="58"/>
  <c r="E13270" i="7"/>
  <c r="D13270" i="7"/>
  <c r="E13269" i="7"/>
  <c r="D13269" i="7"/>
  <c r="E13268" i="7"/>
  <c r="D13268" i="7"/>
  <c r="E13267" i="7"/>
  <c r="D13267" i="7"/>
  <c r="L13266" i="7"/>
  <c r="E13266" i="7"/>
  <c r="D13266" i="7"/>
  <c r="E13265" i="7"/>
  <c r="D13265" i="7"/>
  <c r="L13264" i="7"/>
  <c r="E13264" i="7"/>
  <c r="D13264" i="7"/>
  <c r="E13263" i="7"/>
  <c r="D13263" i="7"/>
  <c r="L13262" i="7"/>
  <c r="E13262" i="7"/>
  <c r="D13262" i="7"/>
  <c r="E13261" i="7"/>
  <c r="D13261" i="7"/>
  <c r="L13260" i="7"/>
  <c r="E13260" i="7"/>
  <c r="D13260" i="7"/>
  <c r="E13259" i="7"/>
  <c r="D13259" i="7"/>
  <c r="L13258" i="7"/>
  <c r="E13258" i="7"/>
  <c r="D13258" i="7"/>
  <c r="E13257" i="7"/>
  <c r="D13257" i="7"/>
  <c r="L13256" i="7"/>
  <c r="E13256" i="7"/>
  <c r="D13256" i="7"/>
  <c r="E13255" i="7"/>
  <c r="D13255" i="7"/>
  <c r="L13254" i="7"/>
  <c r="E13254" i="7"/>
  <c r="D13254" i="7"/>
  <c r="E13253" i="7"/>
  <c r="D13253" i="7"/>
  <c r="L13252" i="7"/>
  <c r="E13252" i="7"/>
  <c r="D13252" i="7"/>
  <c r="E13251" i="7"/>
  <c r="D13251" i="7"/>
  <c r="L13250" i="7"/>
  <c r="E13250" i="7"/>
  <c r="D13250" i="7"/>
  <c r="E13249" i="7"/>
  <c r="D13249" i="7"/>
  <c r="L13248" i="7"/>
  <c r="E13248" i="7"/>
  <c r="D13248" i="7"/>
  <c r="E13247" i="7"/>
  <c r="D13247" i="7"/>
  <c r="L13246" i="7"/>
  <c r="E13246" i="7"/>
  <c r="D13246" i="7"/>
  <c r="E13245" i="7"/>
  <c r="D13245" i="7"/>
  <c r="L13244" i="7"/>
  <c r="E13244" i="7"/>
  <c r="D13244" i="7"/>
  <c r="E13243" i="7"/>
  <c r="D13243" i="7"/>
  <c r="L13242" i="7"/>
  <c r="E13242" i="7"/>
  <c r="D13242" i="7"/>
  <c r="E13241" i="7"/>
  <c r="D13241" i="7"/>
  <c r="L13240" i="7"/>
  <c r="E13240" i="7"/>
  <c r="D13240" i="7"/>
  <c r="E13239" i="7"/>
  <c r="D13239" i="7"/>
  <c r="L13238" i="7"/>
  <c r="E13238" i="7"/>
  <c r="D13238" i="7"/>
  <c r="E13237" i="7"/>
  <c r="D13237" i="7"/>
  <c r="E13236" i="7"/>
  <c r="D13236" i="7"/>
  <c r="E13235" i="7"/>
  <c r="D13235" i="7"/>
  <c r="E13234" i="7"/>
  <c r="D13234" i="7"/>
  <c r="E13233" i="7"/>
  <c r="D13233" i="7"/>
  <c r="E13232" i="7"/>
  <c r="D13232" i="7"/>
  <c r="A56" i="58" l="1"/>
  <c r="A55" i="58"/>
  <c r="A59" i="58"/>
  <c r="A57" i="58"/>
  <c r="A58" i="58"/>
  <c r="M12880" i="7"/>
  <c r="L13231" i="7"/>
  <c r="E13231" i="7"/>
  <c r="D13231" i="7"/>
  <c r="E13230" i="7"/>
  <c r="D13230" i="7"/>
  <c r="L13229" i="7"/>
  <c r="E13229" i="7"/>
  <c r="D13229" i="7"/>
  <c r="E13228" i="7"/>
  <c r="D13228" i="7"/>
  <c r="L13227" i="7"/>
  <c r="E13227" i="7"/>
  <c r="D13227" i="7"/>
  <c r="E13226" i="7"/>
  <c r="D13226" i="7"/>
  <c r="L13225" i="7"/>
  <c r="E13225" i="7"/>
  <c r="D13225" i="7"/>
  <c r="E13224" i="7"/>
  <c r="D13224" i="7"/>
  <c r="L13223" i="7"/>
  <c r="E13223" i="7"/>
  <c r="D13223" i="7"/>
  <c r="E13222" i="7"/>
  <c r="D13222" i="7"/>
  <c r="L13221" i="7"/>
  <c r="E13221" i="7"/>
  <c r="D13221" i="7"/>
  <c r="E13220" i="7"/>
  <c r="D13220" i="7"/>
  <c r="L13219" i="7"/>
  <c r="E13219" i="7"/>
  <c r="D13219" i="7"/>
  <c r="E13218" i="7"/>
  <c r="D13218" i="7"/>
  <c r="L13217" i="7"/>
  <c r="E13217" i="7"/>
  <c r="D13217" i="7"/>
  <c r="E13216" i="7"/>
  <c r="D13216" i="7"/>
  <c r="L13215" i="7"/>
  <c r="E13215" i="7"/>
  <c r="D13215" i="7"/>
  <c r="E13214" i="7"/>
  <c r="D13214" i="7"/>
  <c r="L13213" i="7"/>
  <c r="E13213" i="7"/>
  <c r="D13213" i="7"/>
  <c r="E13212" i="7"/>
  <c r="D13212" i="7"/>
  <c r="L13211" i="7"/>
  <c r="E13211" i="7"/>
  <c r="D13211" i="7"/>
  <c r="E13210" i="7"/>
  <c r="D13210" i="7"/>
  <c r="L13209" i="7"/>
  <c r="E13209" i="7"/>
  <c r="D13209" i="7"/>
  <c r="E13208" i="7"/>
  <c r="D13208" i="7"/>
  <c r="L13207" i="7"/>
  <c r="E13207" i="7"/>
  <c r="D13207" i="7"/>
  <c r="E13206" i="7"/>
  <c r="D13206" i="7"/>
  <c r="L13205" i="7"/>
  <c r="E13205" i="7"/>
  <c r="D13205" i="7"/>
  <c r="E13204" i="7"/>
  <c r="D13204" i="7"/>
  <c r="L13203" i="7"/>
  <c r="E13203" i="7"/>
  <c r="D13203" i="7"/>
  <c r="E13202" i="7"/>
  <c r="D13202" i="7"/>
  <c r="L13201" i="7"/>
  <c r="E13201" i="7"/>
  <c r="D13201" i="7"/>
  <c r="E13200" i="7"/>
  <c r="D13200" i="7"/>
  <c r="L13199" i="7"/>
  <c r="E13199" i="7"/>
  <c r="D13199" i="7"/>
  <c r="E13198" i="7"/>
  <c r="D13198" i="7"/>
  <c r="N61" i="58"/>
  <c r="L61" i="58"/>
  <c r="J61" i="58"/>
  <c r="H61" i="58"/>
  <c r="F61" i="58"/>
  <c r="D61" i="58"/>
  <c r="N60" i="58"/>
  <c r="L60" i="58"/>
  <c r="J60" i="58"/>
  <c r="H60" i="58"/>
  <c r="F60" i="58"/>
  <c r="D60" i="58"/>
  <c r="L13197" i="7"/>
  <c r="E13197" i="7"/>
  <c r="D13197" i="7"/>
  <c r="E13196" i="7"/>
  <c r="D13196" i="7"/>
  <c r="E13195" i="7"/>
  <c r="D13195" i="7"/>
  <c r="E13194" i="7"/>
  <c r="D13194" i="7"/>
  <c r="E13193" i="7"/>
  <c r="D13193" i="7"/>
  <c r="A60" i="58" l="1"/>
  <c r="A61" i="58"/>
  <c r="N62" i="58"/>
  <c r="L62" i="58"/>
  <c r="J62" i="58"/>
  <c r="H62" i="58"/>
  <c r="F62" i="58"/>
  <c r="D62" i="58"/>
  <c r="L13192" i="7"/>
  <c r="E13192" i="7"/>
  <c r="D13192" i="7"/>
  <c r="E13191" i="7"/>
  <c r="D13191" i="7"/>
  <c r="L13190" i="7"/>
  <c r="E13190" i="7"/>
  <c r="D13190" i="7"/>
  <c r="E13189" i="7"/>
  <c r="D13189" i="7"/>
  <c r="L13188" i="7"/>
  <c r="E13188" i="7"/>
  <c r="D13188" i="7"/>
  <c r="E13187" i="7"/>
  <c r="D13187" i="7"/>
  <c r="L13186" i="7"/>
  <c r="E13186" i="7"/>
  <c r="D13186" i="7"/>
  <c r="E13185" i="7"/>
  <c r="D13185" i="7"/>
  <c r="L13184" i="7"/>
  <c r="E13184" i="7"/>
  <c r="D13184" i="7"/>
  <c r="E13183" i="7"/>
  <c r="D13183" i="7"/>
  <c r="L13182" i="7"/>
  <c r="E13182" i="7"/>
  <c r="D13182" i="7"/>
  <c r="E13181" i="7"/>
  <c r="D13181" i="7"/>
  <c r="L13180" i="7"/>
  <c r="E13180" i="7"/>
  <c r="D13180" i="7"/>
  <c r="E13179" i="7"/>
  <c r="D13179" i="7"/>
  <c r="L13178" i="7"/>
  <c r="E13178" i="7"/>
  <c r="D13178" i="7"/>
  <c r="E13177" i="7"/>
  <c r="D13177" i="7"/>
  <c r="L13176" i="7"/>
  <c r="E13176" i="7"/>
  <c r="D13176" i="7"/>
  <c r="E13175" i="7"/>
  <c r="D13175" i="7"/>
  <c r="L13174" i="7"/>
  <c r="E13174" i="7"/>
  <c r="D13174" i="7"/>
  <c r="E13173" i="7"/>
  <c r="D13173" i="7"/>
  <c r="L13172" i="7"/>
  <c r="E13172" i="7"/>
  <c r="D13172" i="7"/>
  <c r="E13171" i="7"/>
  <c r="D13171" i="7"/>
  <c r="L13170" i="7"/>
  <c r="E13170" i="7"/>
  <c r="D13170" i="7"/>
  <c r="E13169" i="7"/>
  <c r="D13169" i="7"/>
  <c r="L13168" i="7"/>
  <c r="E13168" i="7"/>
  <c r="D13168" i="7"/>
  <c r="E13167" i="7"/>
  <c r="D13167" i="7"/>
  <c r="L13166" i="7"/>
  <c r="E13166" i="7"/>
  <c r="D13166" i="7"/>
  <c r="E13165" i="7"/>
  <c r="D13165" i="7"/>
  <c r="L13164" i="7"/>
  <c r="E13164" i="7"/>
  <c r="D13164" i="7"/>
  <c r="E13163" i="7"/>
  <c r="D13163" i="7"/>
  <c r="L13162" i="7"/>
  <c r="E13162" i="7"/>
  <c r="D13162" i="7"/>
  <c r="E13161" i="7"/>
  <c r="D13161" i="7"/>
  <c r="L13160" i="7"/>
  <c r="E13160" i="7"/>
  <c r="D13160" i="7"/>
  <c r="E13159" i="7"/>
  <c r="D13159" i="7"/>
  <c r="L13158" i="7"/>
  <c r="E13158" i="7"/>
  <c r="D13158" i="7"/>
  <c r="E13157" i="7"/>
  <c r="D13157" i="7"/>
  <c r="L13156" i="7"/>
  <c r="E13156" i="7"/>
  <c r="D13156" i="7"/>
  <c r="E13155" i="7"/>
  <c r="D13155" i="7"/>
  <c r="L13154" i="7"/>
  <c r="E13154" i="7"/>
  <c r="D13154" i="7"/>
  <c r="E13153" i="7"/>
  <c r="D13153" i="7"/>
  <c r="L13152" i="7"/>
  <c r="E13152" i="7"/>
  <c r="D13152" i="7"/>
  <c r="E13151" i="7"/>
  <c r="D13151" i="7"/>
  <c r="L13150" i="7"/>
  <c r="E13150" i="7"/>
  <c r="D13150" i="7"/>
  <c r="E13149" i="7"/>
  <c r="D13149" i="7"/>
  <c r="L13148" i="7"/>
  <c r="E13148" i="7"/>
  <c r="D13148" i="7"/>
  <c r="E13147" i="7"/>
  <c r="D13147" i="7"/>
  <c r="L13146" i="7"/>
  <c r="E13146" i="7"/>
  <c r="D13146" i="7"/>
  <c r="E13145" i="7"/>
  <c r="D13145" i="7"/>
  <c r="L13144" i="7"/>
  <c r="E13144" i="7"/>
  <c r="D13144" i="7"/>
  <c r="E13143" i="7"/>
  <c r="D13143" i="7"/>
  <c r="L13142" i="7"/>
  <c r="E13142" i="7"/>
  <c r="D13142" i="7"/>
  <c r="E13141" i="7"/>
  <c r="D13141" i="7"/>
  <c r="L13140" i="7"/>
  <c r="E13140" i="7"/>
  <c r="D13140" i="7"/>
  <c r="E13139" i="7"/>
  <c r="D13139" i="7"/>
  <c r="L13138" i="7"/>
  <c r="E13138" i="7"/>
  <c r="D13138" i="7"/>
  <c r="E13137" i="7"/>
  <c r="D13137" i="7"/>
  <c r="L13136" i="7"/>
  <c r="E13136" i="7"/>
  <c r="D13136" i="7"/>
  <c r="E13135" i="7"/>
  <c r="D13135" i="7"/>
  <c r="L13134" i="7"/>
  <c r="E13134" i="7"/>
  <c r="D13134" i="7"/>
  <c r="E13133" i="7"/>
  <c r="D13133" i="7"/>
  <c r="L13132" i="7"/>
  <c r="E13132" i="7"/>
  <c r="D13132" i="7"/>
  <c r="E13131" i="7"/>
  <c r="D13131" i="7"/>
  <c r="L13130" i="7"/>
  <c r="E13130" i="7"/>
  <c r="D13130" i="7"/>
  <c r="E13129" i="7"/>
  <c r="D13129" i="7"/>
  <c r="L13128" i="7"/>
  <c r="E13128" i="7"/>
  <c r="D13128" i="7"/>
  <c r="E13127" i="7"/>
  <c r="D13127" i="7"/>
  <c r="L13126" i="7"/>
  <c r="E13126" i="7"/>
  <c r="D13126" i="7"/>
  <c r="E13125" i="7"/>
  <c r="D13125" i="7"/>
  <c r="L13112" i="7"/>
  <c r="I131" i="59"/>
  <c r="I132" i="59" s="1"/>
  <c r="I133" i="59" s="1"/>
  <c r="I134" i="59" s="1"/>
  <c r="I135" i="59" s="1"/>
  <c r="I136" i="59" s="1"/>
  <c r="I137" i="59" s="1"/>
  <c r="L13114" i="7"/>
  <c r="E13114" i="7"/>
  <c r="D13114" i="7"/>
  <c r="E13113" i="7"/>
  <c r="D13113" i="7"/>
  <c r="E13112" i="7"/>
  <c r="D13112" i="7"/>
  <c r="E13111" i="7"/>
  <c r="D13111" i="7"/>
  <c r="L13110" i="7"/>
  <c r="E13110" i="7"/>
  <c r="D13110" i="7"/>
  <c r="E13109" i="7"/>
  <c r="D13109" i="7"/>
  <c r="L13108" i="7"/>
  <c r="E13108" i="7"/>
  <c r="D13108" i="7"/>
  <c r="E13107" i="7"/>
  <c r="D13107" i="7"/>
  <c r="L13106" i="7"/>
  <c r="E13106" i="7"/>
  <c r="D13106" i="7"/>
  <c r="E13105" i="7"/>
  <c r="D13105" i="7"/>
  <c r="L13104" i="7"/>
  <c r="E13104" i="7"/>
  <c r="D13104" i="7"/>
  <c r="E13103" i="7"/>
  <c r="D13103" i="7"/>
  <c r="L13102" i="7"/>
  <c r="E13102" i="7"/>
  <c r="D13102" i="7"/>
  <c r="E13101" i="7"/>
  <c r="D13101" i="7"/>
  <c r="L13100" i="7"/>
  <c r="E13100" i="7"/>
  <c r="D13100" i="7"/>
  <c r="E13099" i="7"/>
  <c r="D13099" i="7"/>
  <c r="L13098" i="7"/>
  <c r="E13098" i="7"/>
  <c r="D13098" i="7"/>
  <c r="E13097" i="7"/>
  <c r="D13097" i="7"/>
  <c r="L13096" i="7"/>
  <c r="E13096" i="7"/>
  <c r="D13096" i="7"/>
  <c r="E13095" i="7"/>
  <c r="D13095" i="7"/>
  <c r="L13094" i="7"/>
  <c r="E13094" i="7"/>
  <c r="D13094" i="7"/>
  <c r="E13093" i="7"/>
  <c r="D13093" i="7"/>
  <c r="L13092" i="7"/>
  <c r="E13092" i="7"/>
  <c r="D13092" i="7"/>
  <c r="E13091" i="7"/>
  <c r="D13091" i="7"/>
  <c r="L13090" i="7"/>
  <c r="E13090" i="7"/>
  <c r="D13090" i="7"/>
  <c r="E13089" i="7"/>
  <c r="D13089" i="7"/>
  <c r="L13088" i="7"/>
  <c r="E13088" i="7"/>
  <c r="D13088" i="7"/>
  <c r="E13087" i="7"/>
  <c r="D13087" i="7"/>
  <c r="L13086" i="7"/>
  <c r="E13086" i="7"/>
  <c r="D13086" i="7"/>
  <c r="E13085" i="7"/>
  <c r="D13085" i="7"/>
  <c r="L13084" i="7"/>
  <c r="E13084" i="7"/>
  <c r="D13084" i="7"/>
  <c r="E13083" i="7"/>
  <c r="D13083" i="7"/>
  <c r="L13082" i="7"/>
  <c r="E13082" i="7"/>
  <c r="D13082" i="7"/>
  <c r="E13081" i="7"/>
  <c r="D13081" i="7"/>
  <c r="N66" i="58"/>
  <c r="L66" i="58"/>
  <c r="J66" i="58"/>
  <c r="H66" i="58"/>
  <c r="F66" i="58"/>
  <c r="D66" i="58"/>
  <c r="N65" i="58"/>
  <c r="L65" i="58"/>
  <c r="J65" i="58"/>
  <c r="H65" i="58"/>
  <c r="F65" i="58"/>
  <c r="D65" i="58"/>
  <c r="N64" i="58"/>
  <c r="L64" i="58"/>
  <c r="J64" i="58"/>
  <c r="H64" i="58"/>
  <c r="F64" i="58"/>
  <c r="D64" i="58"/>
  <c r="N63" i="58"/>
  <c r="L63" i="58"/>
  <c r="J63" i="58"/>
  <c r="H63" i="58"/>
  <c r="F63" i="58"/>
  <c r="D63" i="58"/>
  <c r="L13124" i="7"/>
  <c r="E13124" i="7"/>
  <c r="D13124" i="7"/>
  <c r="E13123" i="7"/>
  <c r="D13123" i="7"/>
  <c r="L13080" i="7"/>
  <c r="E13080" i="7"/>
  <c r="D13080" i="7"/>
  <c r="E13079" i="7"/>
  <c r="D13079" i="7"/>
  <c r="L13122" i="7"/>
  <c r="E13122" i="7"/>
  <c r="D13122" i="7"/>
  <c r="E13121" i="7"/>
  <c r="D13121" i="7"/>
  <c r="L13078" i="7"/>
  <c r="E13078" i="7"/>
  <c r="D13078" i="7"/>
  <c r="E13077" i="7"/>
  <c r="D13077" i="7"/>
  <c r="L13076" i="7"/>
  <c r="E13076" i="7"/>
  <c r="D13076" i="7"/>
  <c r="E13075" i="7"/>
  <c r="D13075" i="7"/>
  <c r="E13120" i="7"/>
  <c r="D13120" i="7"/>
  <c r="E13119" i="7"/>
  <c r="D13119" i="7"/>
  <c r="E13118" i="7"/>
  <c r="D13118" i="7"/>
  <c r="E13117" i="7"/>
  <c r="D13117" i="7"/>
  <c r="E13116" i="7"/>
  <c r="D13116" i="7"/>
  <c r="E13115" i="7"/>
  <c r="D13115" i="7"/>
  <c r="E13074" i="7"/>
  <c r="D13074" i="7"/>
  <c r="E13073" i="7"/>
  <c r="D13073" i="7"/>
  <c r="E13072" i="7"/>
  <c r="D13072" i="7"/>
  <c r="A62" i="58" l="1"/>
  <c r="A65" i="58"/>
  <c r="A66" i="58"/>
  <c r="A63" i="58"/>
  <c r="A64" i="58"/>
  <c r="E13071" i="7"/>
  <c r="D13071" i="7"/>
  <c r="E13070" i="7"/>
  <c r="D13070" i="7"/>
  <c r="E13069" i="7"/>
  <c r="D13069" i="7"/>
  <c r="L13068" i="7" l="1"/>
  <c r="E13068" i="7"/>
  <c r="D13068" i="7"/>
  <c r="E13067" i="7"/>
  <c r="D13067" i="7"/>
  <c r="L13066" i="7"/>
  <c r="E13066" i="7"/>
  <c r="D13066" i="7"/>
  <c r="E13065" i="7"/>
  <c r="D13065" i="7"/>
  <c r="L13064" i="7"/>
  <c r="E13064" i="7"/>
  <c r="D13064" i="7"/>
  <c r="E13063" i="7"/>
  <c r="D13063" i="7"/>
  <c r="L13062" i="7"/>
  <c r="E13062" i="7"/>
  <c r="D13062" i="7"/>
  <c r="E13061" i="7"/>
  <c r="D13061" i="7"/>
  <c r="L13060" i="7"/>
  <c r="E13060" i="7"/>
  <c r="D13060" i="7"/>
  <c r="E13059" i="7"/>
  <c r="D13059" i="7"/>
  <c r="L13058" i="7"/>
  <c r="E13058" i="7"/>
  <c r="D13058" i="7"/>
  <c r="E13057" i="7"/>
  <c r="D13057" i="7"/>
  <c r="L13056" i="7"/>
  <c r="E13056" i="7"/>
  <c r="D13056" i="7"/>
  <c r="E13055" i="7"/>
  <c r="D13055" i="7"/>
  <c r="L13054" i="7"/>
  <c r="E13054" i="7"/>
  <c r="D13054" i="7"/>
  <c r="E13053" i="7"/>
  <c r="D13053" i="7"/>
  <c r="L13052" i="7"/>
  <c r="E13052" i="7"/>
  <c r="D13052" i="7"/>
  <c r="E13051" i="7"/>
  <c r="D13051" i="7"/>
  <c r="L13050" i="7"/>
  <c r="E13050" i="7"/>
  <c r="D13050" i="7"/>
  <c r="E13049" i="7"/>
  <c r="D13049" i="7"/>
  <c r="L13048" i="7"/>
  <c r="E13048" i="7"/>
  <c r="D13048" i="7"/>
  <c r="E13047" i="7"/>
  <c r="D13047" i="7"/>
  <c r="L13046" i="7"/>
  <c r="E13046" i="7"/>
  <c r="D13046" i="7"/>
  <c r="E13045" i="7"/>
  <c r="D13045" i="7"/>
  <c r="L13044" i="7"/>
  <c r="E13044" i="7"/>
  <c r="D13044" i="7"/>
  <c r="E13043" i="7"/>
  <c r="D13043" i="7"/>
  <c r="L13042" i="7"/>
  <c r="E13042" i="7"/>
  <c r="D13042" i="7"/>
  <c r="E13041" i="7"/>
  <c r="D13041" i="7"/>
  <c r="L13040" i="7"/>
  <c r="E13040" i="7"/>
  <c r="D13040" i="7"/>
  <c r="E13039" i="7"/>
  <c r="D13039" i="7"/>
  <c r="L13038" i="7"/>
  <c r="E13038" i="7"/>
  <c r="D13038" i="7"/>
  <c r="E13037" i="7"/>
  <c r="D13037" i="7"/>
  <c r="L13036" i="7"/>
  <c r="E13036" i="7"/>
  <c r="D13036" i="7"/>
  <c r="E13035" i="7"/>
  <c r="D13035" i="7"/>
  <c r="N67" i="58"/>
  <c r="L67" i="58"/>
  <c r="J67" i="58"/>
  <c r="H67" i="58"/>
  <c r="F67" i="58"/>
  <c r="D67" i="58"/>
  <c r="L13034" i="7"/>
  <c r="E13034" i="7"/>
  <c r="D13034" i="7"/>
  <c r="E13033" i="7"/>
  <c r="D13033" i="7"/>
  <c r="A67" i="58" l="1"/>
  <c r="L12998" i="7"/>
  <c r="E12998" i="7"/>
  <c r="D12998" i="7"/>
  <c r="E12997" i="7"/>
  <c r="D12997" i="7"/>
  <c r="D68" i="58"/>
  <c r="F68" i="58"/>
  <c r="H68" i="58"/>
  <c r="J68" i="58"/>
  <c r="L68" i="58"/>
  <c r="N68" i="58"/>
  <c r="E13032" i="7"/>
  <c r="D13032" i="7"/>
  <c r="L13032" i="7"/>
  <c r="E13031" i="7"/>
  <c r="D13031" i="7"/>
  <c r="E13030" i="7"/>
  <c r="D13030" i="7"/>
  <c r="L13030" i="7"/>
  <c r="E13029" i="7"/>
  <c r="D13029" i="7"/>
  <c r="L13028" i="7"/>
  <c r="E13028" i="7"/>
  <c r="D13028" i="7"/>
  <c r="E13027" i="7"/>
  <c r="D13027" i="7"/>
  <c r="L13026" i="7"/>
  <c r="E13026" i="7"/>
  <c r="D13026" i="7"/>
  <c r="E13025" i="7"/>
  <c r="D13025" i="7"/>
  <c r="L13024" i="7"/>
  <c r="E13024" i="7"/>
  <c r="D13024" i="7"/>
  <c r="E13023" i="7"/>
  <c r="D13023" i="7"/>
  <c r="L13022" i="7"/>
  <c r="E13022" i="7"/>
  <c r="D13022" i="7"/>
  <c r="E13021" i="7"/>
  <c r="D13021" i="7"/>
  <c r="L13020" i="7"/>
  <c r="E13020" i="7"/>
  <c r="D13020" i="7"/>
  <c r="E13019" i="7"/>
  <c r="D13019" i="7"/>
  <c r="L13018" i="7"/>
  <c r="E13018" i="7"/>
  <c r="D13018" i="7"/>
  <c r="E13017" i="7"/>
  <c r="D13017" i="7"/>
  <c r="L13016" i="7"/>
  <c r="E13016" i="7"/>
  <c r="D13016" i="7"/>
  <c r="E13015" i="7"/>
  <c r="D13015" i="7"/>
  <c r="L13014" i="7"/>
  <c r="E13014" i="7"/>
  <c r="D13014" i="7"/>
  <c r="E13013" i="7"/>
  <c r="D13013" i="7"/>
  <c r="L13012" i="7"/>
  <c r="E13012" i="7"/>
  <c r="D13012" i="7"/>
  <c r="E13011" i="7"/>
  <c r="D13011" i="7"/>
  <c r="L13010" i="7"/>
  <c r="E13010" i="7"/>
  <c r="D13010" i="7"/>
  <c r="E13009" i="7"/>
  <c r="D13009" i="7"/>
  <c r="L13008" i="7"/>
  <c r="E13008" i="7"/>
  <c r="D13008" i="7"/>
  <c r="E13007" i="7"/>
  <c r="D13007" i="7"/>
  <c r="L13006" i="7"/>
  <c r="E13006" i="7"/>
  <c r="D13006" i="7"/>
  <c r="E13005" i="7"/>
  <c r="D13005" i="7"/>
  <c r="L13004" i="7"/>
  <c r="E13004" i="7"/>
  <c r="D13004" i="7"/>
  <c r="E13003" i="7"/>
  <c r="D13003" i="7"/>
  <c r="L13002" i="7"/>
  <c r="E13002" i="7"/>
  <c r="D13002" i="7"/>
  <c r="E13001" i="7"/>
  <c r="D13001" i="7"/>
  <c r="L13000" i="7"/>
  <c r="E13000" i="7"/>
  <c r="D13000" i="7"/>
  <c r="E12999" i="7"/>
  <c r="D12999" i="7"/>
  <c r="E12996" i="7"/>
  <c r="D12996" i="7"/>
  <c r="E12995" i="7"/>
  <c r="D12995" i="7"/>
  <c r="E12994" i="7"/>
  <c r="D12994" i="7"/>
  <c r="A68" i="58" l="1"/>
  <c r="K12992" i="7"/>
  <c r="K12990" i="7"/>
  <c r="L12993" i="7" l="1"/>
  <c r="E12993" i="7"/>
  <c r="D12993" i="7"/>
  <c r="E12992" i="7"/>
  <c r="D12992" i="7"/>
  <c r="L12991" i="7"/>
  <c r="E12991" i="7"/>
  <c r="D12991" i="7"/>
  <c r="E12990" i="7"/>
  <c r="D12990" i="7"/>
  <c r="L12989" i="7"/>
  <c r="E12989" i="7"/>
  <c r="D12989" i="7"/>
  <c r="E12988" i="7"/>
  <c r="D12988" i="7"/>
  <c r="L12987" i="7"/>
  <c r="E12987" i="7"/>
  <c r="D12987" i="7"/>
  <c r="E12986" i="7"/>
  <c r="D12986" i="7"/>
  <c r="L12985" i="7"/>
  <c r="E12985" i="7"/>
  <c r="D12985" i="7"/>
  <c r="E12984" i="7"/>
  <c r="D12984" i="7"/>
  <c r="L12983" i="7"/>
  <c r="E12983" i="7"/>
  <c r="D12983" i="7"/>
  <c r="E12982" i="7"/>
  <c r="D12982" i="7"/>
  <c r="L12981" i="7"/>
  <c r="E12981" i="7"/>
  <c r="D12981" i="7"/>
  <c r="E12980" i="7"/>
  <c r="D12980" i="7"/>
  <c r="L12979" i="7"/>
  <c r="E12979" i="7"/>
  <c r="D12979" i="7"/>
  <c r="E12978" i="7"/>
  <c r="D12978" i="7"/>
  <c r="L12977" i="7"/>
  <c r="E12977" i="7"/>
  <c r="D12977" i="7"/>
  <c r="E12976" i="7"/>
  <c r="D12976" i="7"/>
  <c r="L12975" i="7"/>
  <c r="E12975" i="7"/>
  <c r="D12975" i="7"/>
  <c r="E12974" i="7"/>
  <c r="D12974" i="7"/>
  <c r="L12973" i="7"/>
  <c r="E12973" i="7"/>
  <c r="D12973" i="7"/>
  <c r="E12972" i="7"/>
  <c r="D12972" i="7"/>
  <c r="L12971" i="7"/>
  <c r="E12971" i="7"/>
  <c r="D12971" i="7"/>
  <c r="E12970" i="7"/>
  <c r="D12970" i="7"/>
  <c r="L12969" i="7"/>
  <c r="E12969" i="7"/>
  <c r="D12969" i="7"/>
  <c r="E12968" i="7"/>
  <c r="D12968" i="7"/>
  <c r="L12967" i="7"/>
  <c r="E12967" i="7"/>
  <c r="D12967" i="7"/>
  <c r="E12966" i="7"/>
  <c r="D12966" i="7"/>
  <c r="L12965" i="7"/>
  <c r="E12965" i="7"/>
  <c r="D12965" i="7"/>
  <c r="E12964" i="7"/>
  <c r="D12964" i="7"/>
  <c r="L12963" i="7"/>
  <c r="E12963" i="7"/>
  <c r="D12963" i="7"/>
  <c r="E12962" i="7"/>
  <c r="D12962" i="7"/>
  <c r="L12961" i="7"/>
  <c r="E12961" i="7"/>
  <c r="D12961" i="7"/>
  <c r="E12960" i="7"/>
  <c r="D12960" i="7"/>
  <c r="N69" i="58"/>
  <c r="L69" i="58"/>
  <c r="J69" i="58"/>
  <c r="H69" i="58"/>
  <c r="F69" i="58"/>
  <c r="D69" i="58"/>
  <c r="E12959" i="7"/>
  <c r="D12959" i="7"/>
  <c r="E12958" i="7"/>
  <c r="D12958" i="7"/>
  <c r="E12957" i="7"/>
  <c r="D12957" i="7"/>
  <c r="E12956" i="7"/>
  <c r="D12956" i="7"/>
  <c r="E12955" i="7"/>
  <c r="D12955" i="7"/>
  <c r="E12954" i="7"/>
  <c r="D12954" i="7"/>
  <c r="E12916" i="7"/>
  <c r="D12916" i="7"/>
  <c r="E12915" i="7"/>
  <c r="D12915" i="7"/>
  <c r="E12914" i="7"/>
  <c r="D12914" i="7"/>
  <c r="E12953" i="7"/>
  <c r="D12953" i="7"/>
  <c r="E12952" i="7"/>
  <c r="D12952" i="7"/>
  <c r="E12951" i="7"/>
  <c r="D12951" i="7"/>
  <c r="A69" i="58" l="1"/>
  <c r="N73" i="58"/>
  <c r="N72" i="58"/>
  <c r="N71" i="58"/>
  <c r="N70" i="58"/>
  <c r="L73" i="58"/>
  <c r="L72" i="58"/>
  <c r="L71" i="58"/>
  <c r="L70" i="58"/>
  <c r="J73" i="58"/>
  <c r="J72" i="58"/>
  <c r="J71" i="58"/>
  <c r="J70" i="58"/>
  <c r="H73" i="58"/>
  <c r="H72" i="58"/>
  <c r="H71" i="58"/>
  <c r="H70" i="58"/>
  <c r="F73" i="58"/>
  <c r="F72" i="58"/>
  <c r="F71" i="58"/>
  <c r="F70" i="58"/>
  <c r="D73" i="58"/>
  <c r="D72" i="58"/>
  <c r="D71" i="58"/>
  <c r="D70" i="58"/>
  <c r="D74" i="58"/>
  <c r="F74" i="58"/>
  <c r="H74" i="58"/>
  <c r="J74" i="58"/>
  <c r="L74" i="58"/>
  <c r="N74" i="58"/>
  <c r="D75" i="58"/>
  <c r="F75" i="58"/>
  <c r="H75" i="58"/>
  <c r="J75" i="58"/>
  <c r="L75" i="58"/>
  <c r="N75" i="58"/>
  <c r="D76" i="58"/>
  <c r="F76" i="58"/>
  <c r="H76" i="58"/>
  <c r="J76" i="58"/>
  <c r="L76" i="58"/>
  <c r="N76" i="58"/>
  <c r="L12950" i="7"/>
  <c r="E12950" i="7"/>
  <c r="D12950" i="7"/>
  <c r="E12949" i="7"/>
  <c r="D12949" i="7"/>
  <c r="L12948" i="7"/>
  <c r="E12948" i="7"/>
  <c r="D12948" i="7"/>
  <c r="E12947" i="7"/>
  <c r="D12947" i="7"/>
  <c r="L12946" i="7"/>
  <c r="E12946" i="7"/>
  <c r="D12946" i="7"/>
  <c r="E12945" i="7"/>
  <c r="D12945" i="7"/>
  <c r="L12944" i="7"/>
  <c r="E12944" i="7"/>
  <c r="D12944" i="7"/>
  <c r="E12943" i="7"/>
  <c r="D12943" i="7"/>
  <c r="L12942" i="7"/>
  <c r="E12942" i="7"/>
  <c r="D12942" i="7"/>
  <c r="E12941" i="7"/>
  <c r="D12941" i="7"/>
  <c r="L12940" i="7"/>
  <c r="E12940" i="7"/>
  <c r="D12940" i="7"/>
  <c r="E12939" i="7"/>
  <c r="D12939" i="7"/>
  <c r="L12938" i="7"/>
  <c r="E12938" i="7"/>
  <c r="D12938" i="7"/>
  <c r="E12937" i="7"/>
  <c r="D12937" i="7"/>
  <c r="L12936" i="7"/>
  <c r="E12936" i="7"/>
  <c r="D12936" i="7"/>
  <c r="E12935" i="7"/>
  <c r="D12935" i="7"/>
  <c r="L12934" i="7"/>
  <c r="E12934" i="7"/>
  <c r="D12934" i="7"/>
  <c r="E12933" i="7"/>
  <c r="D12933" i="7"/>
  <c r="L12932" i="7"/>
  <c r="E12932" i="7"/>
  <c r="D12932" i="7"/>
  <c r="E12931" i="7"/>
  <c r="D12931" i="7"/>
  <c r="L12930" i="7"/>
  <c r="E12930" i="7"/>
  <c r="D12930" i="7"/>
  <c r="E12929" i="7"/>
  <c r="D12929" i="7"/>
  <c r="L12928" i="7"/>
  <c r="E12928" i="7"/>
  <c r="D12928" i="7"/>
  <c r="E12927" i="7"/>
  <c r="D12927" i="7"/>
  <c r="L12926" i="7"/>
  <c r="E12926" i="7"/>
  <c r="D12926" i="7"/>
  <c r="E12925" i="7"/>
  <c r="D12925" i="7"/>
  <c r="L12924" i="7"/>
  <c r="E12924" i="7"/>
  <c r="D12924" i="7"/>
  <c r="E12923" i="7"/>
  <c r="D12923" i="7"/>
  <c r="L12922" i="7"/>
  <c r="E12922" i="7"/>
  <c r="D12922" i="7"/>
  <c r="E12921" i="7"/>
  <c r="D12921" i="7"/>
  <c r="L12920" i="7"/>
  <c r="E12920" i="7"/>
  <c r="D12920" i="7"/>
  <c r="E12919" i="7"/>
  <c r="D12919" i="7"/>
  <c r="L12918" i="7"/>
  <c r="E12918" i="7"/>
  <c r="D12918" i="7"/>
  <c r="E12917" i="7"/>
  <c r="D12917" i="7"/>
  <c r="L12913" i="7"/>
  <c r="E12913" i="7"/>
  <c r="D12913" i="7"/>
  <c r="E12912" i="7"/>
  <c r="D12912" i="7"/>
  <c r="L12911" i="7"/>
  <c r="E12911" i="7"/>
  <c r="D12911" i="7"/>
  <c r="E12910" i="7"/>
  <c r="D12910" i="7"/>
  <c r="L12909" i="7"/>
  <c r="E12909" i="7"/>
  <c r="D12909" i="7"/>
  <c r="E12908" i="7"/>
  <c r="D12908" i="7"/>
  <c r="L12907" i="7"/>
  <c r="E12907" i="7"/>
  <c r="D12907" i="7"/>
  <c r="E12906" i="7"/>
  <c r="D12906" i="7"/>
  <c r="L12905" i="7"/>
  <c r="E12905" i="7"/>
  <c r="D12905" i="7"/>
  <c r="E12904" i="7"/>
  <c r="D12904" i="7"/>
  <c r="L12903" i="7"/>
  <c r="E12903" i="7"/>
  <c r="D12903" i="7"/>
  <c r="E12902" i="7"/>
  <c r="D12902" i="7"/>
  <c r="L12901" i="7"/>
  <c r="E12901" i="7"/>
  <c r="D12901" i="7"/>
  <c r="E12900" i="7"/>
  <c r="D12900" i="7"/>
  <c r="L12899" i="7"/>
  <c r="E12899" i="7"/>
  <c r="D12899" i="7"/>
  <c r="E12898" i="7"/>
  <c r="D12898" i="7"/>
  <c r="L12897" i="7"/>
  <c r="E12897" i="7"/>
  <c r="D12897" i="7"/>
  <c r="E12896" i="7"/>
  <c r="D12896" i="7"/>
  <c r="L12895" i="7"/>
  <c r="E12895" i="7"/>
  <c r="D12895" i="7"/>
  <c r="E12894" i="7"/>
  <c r="D12894" i="7"/>
  <c r="L12893" i="7"/>
  <c r="E12893" i="7"/>
  <c r="D12893" i="7"/>
  <c r="E12892" i="7"/>
  <c r="D12892" i="7"/>
  <c r="L12891" i="7"/>
  <c r="E12891" i="7"/>
  <c r="D12891" i="7"/>
  <c r="E12890" i="7"/>
  <c r="D12890" i="7"/>
  <c r="L12889" i="7"/>
  <c r="E12889" i="7"/>
  <c r="D12889" i="7"/>
  <c r="E12888" i="7"/>
  <c r="D12888" i="7"/>
  <c r="L12887" i="7"/>
  <c r="E12887" i="7"/>
  <c r="D12887" i="7"/>
  <c r="E12886" i="7"/>
  <c r="D12886" i="7"/>
  <c r="L12885" i="7"/>
  <c r="E12885" i="7"/>
  <c r="D12885" i="7"/>
  <c r="E12884" i="7"/>
  <c r="D12884" i="7"/>
  <c r="L12883" i="7"/>
  <c r="E12883" i="7"/>
  <c r="D12883" i="7"/>
  <c r="E12882" i="7"/>
  <c r="D12882" i="7"/>
  <c r="L12881" i="7"/>
  <c r="E12881" i="7"/>
  <c r="D12881" i="7"/>
  <c r="E12880" i="7"/>
  <c r="D12880" i="7"/>
  <c r="A70" i="58" l="1"/>
  <c r="A71" i="58"/>
  <c r="A72" i="58"/>
  <c r="A73" i="58"/>
  <c r="L12158" i="7"/>
  <c r="E12158" i="7"/>
  <c r="D12158" i="7"/>
  <c r="E12157" i="7"/>
  <c r="D12157" i="7"/>
  <c r="D12017" i="7"/>
  <c r="E12017" i="7"/>
  <c r="D12018" i="7"/>
  <c r="E12018" i="7"/>
  <c r="L12018" i="7"/>
  <c r="L12016" i="7"/>
  <c r="E12016" i="7"/>
  <c r="D12016" i="7"/>
  <c r="E12015" i="7"/>
  <c r="D12015" i="7"/>
  <c r="L12194" i="7"/>
  <c r="E12194" i="7"/>
  <c r="D12194" i="7"/>
  <c r="E12193" i="7"/>
  <c r="D12193" i="7"/>
  <c r="E12192" i="7"/>
  <c r="D12192" i="7"/>
  <c r="E12191" i="7"/>
  <c r="D12191" i="7"/>
  <c r="L12190" i="7"/>
  <c r="E12190" i="7"/>
  <c r="D12190" i="7"/>
  <c r="E12189" i="7"/>
  <c r="D12189" i="7"/>
  <c r="E12188" i="7"/>
  <c r="D12188" i="7"/>
  <c r="E12187" i="7"/>
  <c r="D12187" i="7"/>
  <c r="E12186" i="7"/>
  <c r="D12186" i="7"/>
  <c r="L12185" i="7"/>
  <c r="E12185" i="7"/>
  <c r="D12185" i="7"/>
  <c r="E12184" i="7"/>
  <c r="D12184" i="7"/>
  <c r="E12183" i="7"/>
  <c r="D12183" i="7"/>
  <c r="E12182" i="7"/>
  <c r="D12182" i="7"/>
  <c r="E12181" i="7"/>
  <c r="D12181" i="7"/>
  <c r="L12180" i="7"/>
  <c r="E12180" i="7"/>
  <c r="D12180" i="7"/>
  <c r="E12179" i="7"/>
  <c r="D12179" i="7"/>
  <c r="E2919" i="7" l="1"/>
  <c r="D2919" i="7"/>
  <c r="F8" i="27" l="1"/>
  <c r="F7" i="27"/>
  <c r="F7" i="8"/>
  <c r="G67" i="8" l="1"/>
  <c r="G68" i="8"/>
  <c r="F8" i="8"/>
  <c r="D12879" i="7" l="1"/>
  <c r="D12878" i="7"/>
  <c r="D12877" i="7"/>
  <c r="D12876" i="7"/>
  <c r="D12875" i="7"/>
  <c r="D12874" i="7"/>
  <c r="D12873" i="7"/>
  <c r="D12872" i="7"/>
  <c r="D12871" i="7"/>
  <c r="D12870" i="7"/>
  <c r="D12869" i="7"/>
  <c r="D12868" i="7"/>
  <c r="D12867" i="7"/>
  <c r="D12866" i="7"/>
  <c r="D12865" i="7"/>
  <c r="D12864" i="7"/>
  <c r="D12863" i="7"/>
  <c r="D12862" i="7"/>
  <c r="D12861" i="7"/>
  <c r="D12860" i="7"/>
  <c r="D12859" i="7"/>
  <c r="D12858" i="7"/>
  <c r="D12857" i="7"/>
  <c r="D12856" i="7"/>
  <c r="D12855" i="7"/>
  <c r="D12854" i="7"/>
  <c r="D12853" i="7"/>
  <c r="D12852" i="7"/>
  <c r="D12851" i="7"/>
  <c r="D12850" i="7"/>
  <c r="D12849" i="7"/>
  <c r="D12848" i="7"/>
  <c r="D12847" i="7"/>
  <c r="D12846" i="7"/>
  <c r="D12845" i="7"/>
  <c r="D12844" i="7"/>
  <c r="D12843" i="7"/>
  <c r="D12842" i="7"/>
  <c r="D12841" i="7"/>
  <c r="D12840" i="7"/>
  <c r="D12839" i="7"/>
  <c r="D12838" i="7"/>
  <c r="D12837" i="7"/>
  <c r="D12836" i="7"/>
  <c r="D12835" i="7"/>
  <c r="D12834" i="7"/>
  <c r="D12833" i="7"/>
  <c r="D12832" i="7"/>
  <c r="D12831" i="7"/>
  <c r="D12830" i="7"/>
  <c r="D12829" i="7"/>
  <c r="D12828" i="7"/>
  <c r="D12827" i="7"/>
  <c r="D12826" i="7"/>
  <c r="D12825" i="7"/>
  <c r="D12824" i="7"/>
  <c r="D12823" i="7"/>
  <c r="D12822" i="7"/>
  <c r="D12821" i="7"/>
  <c r="D12820" i="7"/>
  <c r="D12819" i="7"/>
  <c r="D12818" i="7"/>
  <c r="D12817" i="7"/>
  <c r="D12816" i="7"/>
  <c r="D12815" i="7"/>
  <c r="D12814" i="7"/>
  <c r="D12813" i="7"/>
  <c r="D12812" i="7"/>
  <c r="D12811" i="7"/>
  <c r="D12810" i="7"/>
  <c r="D12809" i="7"/>
  <c r="D12808" i="7"/>
  <c r="D12807" i="7"/>
  <c r="D12806" i="7"/>
  <c r="D12805" i="7"/>
  <c r="D12804" i="7"/>
  <c r="D12803" i="7"/>
  <c r="D12802" i="7"/>
  <c r="D12801" i="7"/>
  <c r="D12800" i="7"/>
  <c r="D12799" i="7"/>
  <c r="D12798" i="7"/>
  <c r="D12797" i="7"/>
  <c r="D12796" i="7"/>
  <c r="D12795" i="7"/>
  <c r="D12794" i="7"/>
  <c r="D12793" i="7"/>
  <c r="D12792" i="7"/>
  <c r="D12791" i="7"/>
  <c r="D12790" i="7"/>
  <c r="D12789" i="7"/>
  <c r="D12788" i="7"/>
  <c r="D12787" i="7"/>
  <c r="D12786" i="7"/>
  <c r="D12785" i="7"/>
  <c r="D12784" i="7"/>
  <c r="D12783" i="7"/>
  <c r="D12782" i="7"/>
  <c r="D12781" i="7"/>
  <c r="D12780" i="7"/>
  <c r="D12779" i="7"/>
  <c r="D12778" i="7"/>
  <c r="D12777" i="7"/>
  <c r="D12776" i="7"/>
  <c r="D12775" i="7"/>
  <c r="D12774" i="7"/>
  <c r="D12773" i="7"/>
  <c r="D12772" i="7"/>
  <c r="D12771" i="7"/>
  <c r="D12770" i="7"/>
  <c r="D12769" i="7"/>
  <c r="D12768" i="7"/>
  <c r="D12767" i="7"/>
  <c r="D12766" i="7"/>
  <c r="D12765" i="7"/>
  <c r="D12764" i="7"/>
  <c r="D12763" i="7"/>
  <c r="D12762" i="7"/>
  <c r="D12761" i="7"/>
  <c r="D12760" i="7"/>
  <c r="D12759" i="7"/>
  <c r="D12758" i="7"/>
  <c r="D12757" i="7"/>
  <c r="D12756" i="7"/>
  <c r="D12755" i="7"/>
  <c r="D12754" i="7"/>
  <c r="D12753" i="7"/>
  <c r="D12752" i="7"/>
  <c r="D12751" i="7"/>
  <c r="D12750" i="7"/>
  <c r="D12749" i="7"/>
  <c r="D12748" i="7"/>
  <c r="D12747" i="7"/>
  <c r="D12746" i="7"/>
  <c r="D12745" i="7"/>
  <c r="D12744" i="7"/>
  <c r="D12743" i="7"/>
  <c r="D12742" i="7"/>
  <c r="D12741" i="7"/>
  <c r="D12740" i="7"/>
  <c r="D12739" i="7"/>
  <c r="D12738" i="7"/>
  <c r="D12737" i="7"/>
  <c r="D12736" i="7"/>
  <c r="D12735" i="7"/>
  <c r="D12734" i="7"/>
  <c r="D12733" i="7"/>
  <c r="D12732" i="7"/>
  <c r="D12731" i="7"/>
  <c r="D12730" i="7"/>
  <c r="D12729" i="7"/>
  <c r="D12728" i="7"/>
  <c r="D12727" i="7"/>
  <c r="D12726" i="7"/>
  <c r="D12725" i="7"/>
  <c r="D12724" i="7"/>
  <c r="D12723" i="7"/>
  <c r="D12722" i="7"/>
  <c r="D12721" i="7"/>
  <c r="D12720" i="7"/>
  <c r="D12719" i="7"/>
  <c r="D12718" i="7"/>
  <c r="D12717" i="7"/>
  <c r="D12716" i="7"/>
  <c r="D12715" i="7"/>
  <c r="D12714" i="7"/>
  <c r="D12713" i="7"/>
  <c r="D12712" i="7"/>
  <c r="D12711" i="7"/>
  <c r="D12710" i="7"/>
  <c r="D12709" i="7"/>
  <c r="D12708" i="7"/>
  <c r="D12707" i="7"/>
  <c r="D12706" i="7"/>
  <c r="D12705" i="7"/>
  <c r="D12704" i="7"/>
  <c r="D12703" i="7"/>
  <c r="D12702" i="7"/>
  <c r="D12701" i="7"/>
  <c r="D12700" i="7"/>
  <c r="D12699" i="7"/>
  <c r="D12698" i="7"/>
  <c r="D12697" i="7"/>
  <c r="D12696" i="7"/>
  <c r="D12695" i="7"/>
  <c r="D12694" i="7"/>
  <c r="D12693" i="7"/>
  <c r="D12692" i="7"/>
  <c r="D12691" i="7"/>
  <c r="D12690" i="7"/>
  <c r="D12689" i="7"/>
  <c r="D12688" i="7"/>
  <c r="D12687" i="7"/>
  <c r="D12686" i="7"/>
  <c r="D12685" i="7"/>
  <c r="D12684" i="7"/>
  <c r="D12683" i="7"/>
  <c r="D12682" i="7"/>
  <c r="D12681" i="7"/>
  <c r="D12680" i="7"/>
  <c r="D12679" i="7"/>
  <c r="D12678" i="7"/>
  <c r="D12677" i="7"/>
  <c r="D12676" i="7"/>
  <c r="D12675" i="7"/>
  <c r="D12674" i="7"/>
  <c r="D12673" i="7"/>
  <c r="D12672" i="7"/>
  <c r="D12671" i="7"/>
  <c r="D12670" i="7"/>
  <c r="D12669" i="7"/>
  <c r="D12668" i="7"/>
  <c r="D12667" i="7"/>
  <c r="D12666" i="7"/>
  <c r="D12665" i="7"/>
  <c r="D12664" i="7"/>
  <c r="D12663" i="7"/>
  <c r="D12662" i="7"/>
  <c r="D12661" i="7"/>
  <c r="D12660" i="7"/>
  <c r="D12659" i="7"/>
  <c r="D12658" i="7"/>
  <c r="D12657" i="7"/>
  <c r="D12656" i="7"/>
  <c r="D12655" i="7"/>
  <c r="D12654" i="7"/>
  <c r="D12653" i="7"/>
  <c r="D12652" i="7"/>
  <c r="D12651" i="7"/>
  <c r="D12650" i="7"/>
  <c r="D12649" i="7"/>
  <c r="D12648" i="7"/>
  <c r="D12647" i="7"/>
  <c r="D12646" i="7"/>
  <c r="D12645" i="7"/>
  <c r="D12644" i="7"/>
  <c r="D12643" i="7"/>
  <c r="D12642" i="7"/>
  <c r="D12641" i="7"/>
  <c r="D12640" i="7"/>
  <c r="D12639" i="7"/>
  <c r="D12638" i="7"/>
  <c r="D12637" i="7"/>
  <c r="D12636" i="7"/>
  <c r="D12635" i="7"/>
  <c r="D12634" i="7"/>
  <c r="D12633" i="7"/>
  <c r="D12632" i="7"/>
  <c r="D12631" i="7"/>
  <c r="D12630" i="7"/>
  <c r="D12629" i="7"/>
  <c r="D12628" i="7"/>
  <c r="D12627" i="7"/>
  <c r="D12626" i="7"/>
  <c r="D12625" i="7"/>
  <c r="D12624" i="7"/>
  <c r="D12623" i="7"/>
  <c r="D12622" i="7"/>
  <c r="D12621" i="7"/>
  <c r="D12620" i="7"/>
  <c r="D12619" i="7"/>
  <c r="D12618" i="7"/>
  <c r="D12617" i="7"/>
  <c r="D12616" i="7"/>
  <c r="D12615" i="7"/>
  <c r="D12614" i="7"/>
  <c r="D12613" i="7"/>
  <c r="D12612" i="7"/>
  <c r="D12611" i="7"/>
  <c r="D12610" i="7"/>
  <c r="D12609" i="7"/>
  <c r="D12608" i="7"/>
  <c r="D12607" i="7"/>
  <c r="D12606" i="7"/>
  <c r="D12605" i="7"/>
  <c r="D12604" i="7"/>
  <c r="D12603" i="7"/>
  <c r="D12602" i="7"/>
  <c r="D12601" i="7"/>
  <c r="D12600" i="7"/>
  <c r="D12599" i="7"/>
  <c r="D12598" i="7"/>
  <c r="D12597" i="7"/>
  <c r="D12596" i="7"/>
  <c r="D12595" i="7"/>
  <c r="D12594" i="7"/>
  <c r="D12593" i="7"/>
  <c r="D12592" i="7"/>
  <c r="D12591" i="7"/>
  <c r="D12590" i="7"/>
  <c r="D12589" i="7"/>
  <c r="D12588" i="7"/>
  <c r="D12587" i="7"/>
  <c r="D12586" i="7"/>
  <c r="D12585" i="7"/>
  <c r="D12584" i="7"/>
  <c r="D12583" i="7"/>
  <c r="D12582" i="7"/>
  <c r="D12581" i="7"/>
  <c r="D12580" i="7"/>
  <c r="D12579" i="7"/>
  <c r="D12578" i="7"/>
  <c r="D12577" i="7"/>
  <c r="D12576" i="7"/>
  <c r="D12575" i="7"/>
  <c r="D12574" i="7"/>
  <c r="D12573" i="7"/>
  <c r="D12572" i="7"/>
  <c r="D12571" i="7"/>
  <c r="D12570" i="7"/>
  <c r="D12569" i="7"/>
  <c r="D12568" i="7"/>
  <c r="D12567" i="7"/>
  <c r="D12566" i="7"/>
  <c r="D12565" i="7"/>
  <c r="D12564" i="7"/>
  <c r="D12563" i="7"/>
  <c r="D12562" i="7"/>
  <c r="D12561" i="7"/>
  <c r="D12560" i="7"/>
  <c r="D12559" i="7"/>
  <c r="D12558" i="7"/>
  <c r="D12557" i="7"/>
  <c r="D12556" i="7"/>
  <c r="D12555" i="7"/>
  <c r="D12554" i="7"/>
  <c r="D12553" i="7"/>
  <c r="D12552" i="7"/>
  <c r="D12551" i="7"/>
  <c r="D12550" i="7"/>
  <c r="D12549" i="7"/>
  <c r="D12548" i="7"/>
  <c r="D12547" i="7"/>
  <c r="D12546" i="7"/>
  <c r="D12545" i="7"/>
  <c r="D12544" i="7"/>
  <c r="D12543" i="7"/>
  <c r="D12542" i="7"/>
  <c r="D12541" i="7"/>
  <c r="D12540" i="7"/>
  <c r="D12539" i="7"/>
  <c r="D12538" i="7"/>
  <c r="D12537" i="7"/>
  <c r="D12536" i="7"/>
  <c r="D12535" i="7"/>
  <c r="D12534" i="7"/>
  <c r="D12533" i="7"/>
  <c r="D12532" i="7"/>
  <c r="D12531" i="7"/>
  <c r="D12530" i="7"/>
  <c r="D12529" i="7"/>
  <c r="D12528" i="7"/>
  <c r="D12527" i="7"/>
  <c r="D12526" i="7"/>
  <c r="D12525" i="7"/>
  <c r="D12524" i="7"/>
  <c r="D12523" i="7"/>
  <c r="D12522" i="7"/>
  <c r="D12521" i="7"/>
  <c r="D12520" i="7"/>
  <c r="D12519" i="7"/>
  <c r="D12518" i="7"/>
  <c r="D12517" i="7"/>
  <c r="D12516" i="7"/>
  <c r="D12515" i="7"/>
  <c r="D12514" i="7"/>
  <c r="D12513" i="7"/>
  <c r="D12512" i="7"/>
  <c r="D12511" i="7"/>
  <c r="D12510" i="7"/>
  <c r="D12509" i="7"/>
  <c r="D12508" i="7"/>
  <c r="D12507" i="7"/>
  <c r="D12506" i="7"/>
  <c r="D12505" i="7"/>
  <c r="D12504" i="7"/>
  <c r="D12503" i="7"/>
  <c r="D12502" i="7"/>
  <c r="D12501" i="7"/>
  <c r="D12500" i="7"/>
  <c r="D12499" i="7"/>
  <c r="D12498" i="7"/>
  <c r="D12497" i="7"/>
  <c r="D12496" i="7"/>
  <c r="D12495" i="7"/>
  <c r="D12494" i="7"/>
  <c r="D12493" i="7"/>
  <c r="D12492" i="7"/>
  <c r="D12491" i="7"/>
  <c r="D12490" i="7"/>
  <c r="D12489" i="7"/>
  <c r="D12488" i="7"/>
  <c r="D12487" i="7"/>
  <c r="D12486" i="7"/>
  <c r="D12485" i="7"/>
  <c r="D12484" i="7"/>
  <c r="D12483" i="7"/>
  <c r="D12482" i="7"/>
  <c r="D12481" i="7"/>
  <c r="D12480" i="7"/>
  <c r="D12479" i="7"/>
  <c r="D12478" i="7"/>
  <c r="D12477" i="7"/>
  <c r="D12476" i="7"/>
  <c r="D12475" i="7"/>
  <c r="D12474" i="7"/>
  <c r="D12473" i="7"/>
  <c r="D12472" i="7"/>
  <c r="D12471" i="7"/>
  <c r="D12470" i="7"/>
  <c r="D12469" i="7"/>
  <c r="D12468" i="7"/>
  <c r="D12467" i="7"/>
  <c r="D12466" i="7"/>
  <c r="D12465" i="7"/>
  <c r="D12464" i="7"/>
  <c r="D12463" i="7"/>
  <c r="D12462" i="7"/>
  <c r="D12461" i="7"/>
  <c r="D12460" i="7"/>
  <c r="D12459" i="7"/>
  <c r="D12458" i="7"/>
  <c r="D12457" i="7"/>
  <c r="D12456" i="7"/>
  <c r="D12455" i="7"/>
  <c r="D12454" i="7"/>
  <c r="D12453" i="7"/>
  <c r="D12452" i="7"/>
  <c r="D12451" i="7"/>
  <c r="D12450" i="7"/>
  <c r="D12449" i="7"/>
  <c r="D12448" i="7"/>
  <c r="D12447" i="7"/>
  <c r="D12446" i="7"/>
  <c r="D12445" i="7"/>
  <c r="D12444" i="7"/>
  <c r="D12443" i="7"/>
  <c r="D12442" i="7"/>
  <c r="D12441" i="7"/>
  <c r="D12440" i="7"/>
  <c r="D12439" i="7"/>
  <c r="D12438" i="7"/>
  <c r="D12437" i="7"/>
  <c r="D12436" i="7"/>
  <c r="D12435" i="7"/>
  <c r="D12434" i="7"/>
  <c r="D12433" i="7"/>
  <c r="D12432" i="7"/>
  <c r="D12431" i="7"/>
  <c r="D12430" i="7"/>
  <c r="D12429" i="7"/>
  <c r="D12428" i="7"/>
  <c r="D12427" i="7"/>
  <c r="D12426" i="7"/>
  <c r="D12425" i="7"/>
  <c r="D12424" i="7"/>
  <c r="D12423" i="7"/>
  <c r="D12422" i="7"/>
  <c r="D12421" i="7"/>
  <c r="D12420" i="7"/>
  <c r="D12419" i="7"/>
  <c r="D12418" i="7"/>
  <c r="D12417" i="7"/>
  <c r="D12416" i="7"/>
  <c r="D12415" i="7"/>
  <c r="D12414" i="7"/>
  <c r="D12413" i="7"/>
  <c r="D12412" i="7"/>
  <c r="D12411" i="7"/>
  <c r="D12410" i="7"/>
  <c r="D12409" i="7"/>
  <c r="D12408" i="7"/>
  <c r="D12407" i="7"/>
  <c r="D12406" i="7"/>
  <c r="D12405" i="7"/>
  <c r="D12404" i="7"/>
  <c r="D12403" i="7"/>
  <c r="D12402" i="7"/>
  <c r="D12401" i="7"/>
  <c r="D12400" i="7"/>
  <c r="D12399" i="7"/>
  <c r="D12398" i="7"/>
  <c r="D12397" i="7"/>
  <c r="D12396" i="7"/>
  <c r="D12395" i="7"/>
  <c r="D12394" i="7"/>
  <c r="D12393" i="7"/>
  <c r="D12392" i="7"/>
  <c r="D12391" i="7"/>
  <c r="D12390" i="7"/>
  <c r="D12389" i="7"/>
  <c r="D12388" i="7"/>
  <c r="D12387" i="7"/>
  <c r="D12386" i="7"/>
  <c r="D12385" i="7"/>
  <c r="D12384" i="7"/>
  <c r="D12383" i="7"/>
  <c r="D12382" i="7"/>
  <c r="D12381" i="7"/>
  <c r="D12380" i="7"/>
  <c r="D12379" i="7"/>
  <c r="D12378" i="7"/>
  <c r="D12377" i="7"/>
  <c r="D12376" i="7"/>
  <c r="D12375" i="7"/>
  <c r="D12374" i="7"/>
  <c r="D12373" i="7"/>
  <c r="D12372" i="7"/>
  <c r="D12371" i="7"/>
  <c r="D12370" i="7"/>
  <c r="D12369" i="7"/>
  <c r="D12368" i="7"/>
  <c r="D12367" i="7"/>
  <c r="D12366" i="7"/>
  <c r="D12365" i="7"/>
  <c r="D12364" i="7"/>
  <c r="D12363" i="7"/>
  <c r="D12362" i="7"/>
  <c r="D12361" i="7"/>
  <c r="D12360" i="7"/>
  <c r="D12359" i="7"/>
  <c r="D12358" i="7"/>
  <c r="D12357" i="7"/>
  <c r="D12356" i="7"/>
  <c r="D12355" i="7"/>
  <c r="D12354" i="7"/>
  <c r="D12353" i="7"/>
  <c r="D12352" i="7"/>
  <c r="D12351" i="7"/>
  <c r="D12350" i="7"/>
  <c r="D12349" i="7"/>
  <c r="D12348" i="7"/>
  <c r="D12347" i="7"/>
  <c r="D12346" i="7"/>
  <c r="D12345" i="7"/>
  <c r="D12344" i="7"/>
  <c r="D12343" i="7"/>
  <c r="D12342" i="7"/>
  <c r="D12341" i="7"/>
  <c r="D12340" i="7"/>
  <c r="D12339" i="7"/>
  <c r="D12338" i="7"/>
  <c r="D12337" i="7"/>
  <c r="D12336" i="7"/>
  <c r="D12335" i="7"/>
  <c r="D12334" i="7"/>
  <c r="D12333" i="7"/>
  <c r="D12332" i="7"/>
  <c r="D12331" i="7"/>
  <c r="D12330" i="7"/>
  <c r="D12329" i="7"/>
  <c r="D12328" i="7"/>
  <c r="D12327" i="7"/>
  <c r="D12326" i="7"/>
  <c r="D12325" i="7"/>
  <c r="D12324" i="7"/>
  <c r="D12323" i="7"/>
  <c r="D12322" i="7"/>
  <c r="D12321" i="7"/>
  <c r="D12320" i="7"/>
  <c r="D12319" i="7"/>
  <c r="D12318" i="7"/>
  <c r="D12317" i="7"/>
  <c r="D12316" i="7"/>
  <c r="D12315" i="7"/>
  <c r="D12314" i="7"/>
  <c r="D12313" i="7"/>
  <c r="D12312" i="7"/>
  <c r="D12311" i="7"/>
  <c r="D12310" i="7"/>
  <c r="D12309" i="7"/>
  <c r="D12308" i="7"/>
  <c r="D12307" i="7"/>
  <c r="D12306" i="7"/>
  <c r="D12305" i="7"/>
  <c r="D12304" i="7"/>
  <c r="D12303" i="7"/>
  <c r="D12302" i="7"/>
  <c r="D12301" i="7"/>
  <c r="D12300" i="7"/>
  <c r="D12299" i="7"/>
  <c r="D12298" i="7"/>
  <c r="D12297" i="7"/>
  <c r="D12296" i="7"/>
  <c r="D12295" i="7"/>
  <c r="D12294" i="7"/>
  <c r="D12293" i="7"/>
  <c r="D12292" i="7"/>
  <c r="D12291" i="7"/>
  <c r="D12290" i="7"/>
  <c r="D12289" i="7"/>
  <c r="D12288" i="7"/>
  <c r="D12287" i="7"/>
  <c r="D12286" i="7"/>
  <c r="D12285" i="7"/>
  <c r="D12284" i="7"/>
  <c r="D12283" i="7"/>
  <c r="D12282" i="7"/>
  <c r="D12281" i="7"/>
  <c r="D12280" i="7"/>
  <c r="D12279" i="7"/>
  <c r="D12278" i="7"/>
  <c r="D12277" i="7"/>
  <c r="D12276" i="7"/>
  <c r="D12275" i="7"/>
  <c r="D12274" i="7"/>
  <c r="D12273" i="7"/>
  <c r="D12272" i="7"/>
  <c r="D12271" i="7"/>
  <c r="D12270" i="7"/>
  <c r="D12269" i="7"/>
  <c r="D12268" i="7"/>
  <c r="D12267" i="7"/>
  <c r="D12266" i="7"/>
  <c r="D12265" i="7"/>
  <c r="D12264" i="7"/>
  <c r="D12263" i="7"/>
  <c r="D12262" i="7"/>
  <c r="D12261" i="7"/>
  <c r="D12260" i="7"/>
  <c r="D12259" i="7"/>
  <c r="D12258" i="7"/>
  <c r="D12257" i="7"/>
  <c r="D12256" i="7"/>
  <c r="D12255" i="7"/>
  <c r="D12254" i="7"/>
  <c r="D12253" i="7"/>
  <c r="D12252" i="7"/>
  <c r="D12251" i="7"/>
  <c r="D12250" i="7"/>
  <c r="D12249" i="7"/>
  <c r="D12248" i="7"/>
  <c r="D12247" i="7"/>
  <c r="D12246" i="7"/>
  <c r="D12245" i="7"/>
  <c r="D12244" i="7"/>
  <c r="D12243" i="7"/>
  <c r="D12242" i="7"/>
  <c r="D12241" i="7"/>
  <c r="D12240" i="7"/>
  <c r="D12239" i="7"/>
  <c r="D12238" i="7"/>
  <c r="D12237" i="7"/>
  <c r="D12236" i="7"/>
  <c r="D12235" i="7"/>
  <c r="D12234" i="7"/>
  <c r="D12233" i="7"/>
  <c r="D12232" i="7"/>
  <c r="D12231" i="7"/>
  <c r="D12230" i="7"/>
  <c r="D12229" i="7"/>
  <c r="D12228" i="7"/>
  <c r="D12227" i="7"/>
  <c r="D12226" i="7"/>
  <c r="D12225" i="7"/>
  <c r="D12224" i="7"/>
  <c r="D12223" i="7"/>
  <c r="D12222" i="7"/>
  <c r="D12221" i="7"/>
  <c r="D12220" i="7"/>
  <c r="D12219" i="7"/>
  <c r="D12218" i="7"/>
  <c r="D12217" i="7"/>
  <c r="D12216" i="7"/>
  <c r="D12215" i="7"/>
  <c r="D12214" i="7"/>
  <c r="D12213" i="7"/>
  <c r="D12212" i="7"/>
  <c r="D12211" i="7"/>
  <c r="D12210" i="7"/>
  <c r="D12209" i="7"/>
  <c r="D12208" i="7"/>
  <c r="D12207" i="7"/>
  <c r="D12206" i="7"/>
  <c r="D12205" i="7"/>
  <c r="D12204" i="7"/>
  <c r="D12203" i="7"/>
  <c r="D12202" i="7"/>
  <c r="D12201" i="7"/>
  <c r="D12200" i="7"/>
  <c r="D12199" i="7"/>
  <c r="D12198" i="7"/>
  <c r="D12197" i="7"/>
  <c r="D12196" i="7"/>
  <c r="D12195" i="7"/>
  <c r="D12178" i="7"/>
  <c r="D12177" i="7"/>
  <c r="D12176" i="7"/>
  <c r="D12175" i="7"/>
  <c r="D12174" i="7"/>
  <c r="D12173" i="7"/>
  <c r="D12172" i="7"/>
  <c r="D12171" i="7"/>
  <c r="D12170" i="7"/>
  <c r="D12169" i="7"/>
  <c r="D12168" i="7"/>
  <c r="D12167" i="7"/>
  <c r="D12166" i="7"/>
  <c r="D12165" i="7"/>
  <c r="D12164" i="7"/>
  <c r="D12163" i="7"/>
  <c r="D12162" i="7"/>
  <c r="D12161" i="7"/>
  <c r="D12160" i="7"/>
  <c r="D12159" i="7"/>
  <c r="D12156" i="7"/>
  <c r="D12155" i="7"/>
  <c r="D12154" i="7"/>
  <c r="D12153" i="7"/>
  <c r="D12152" i="7"/>
  <c r="D12151" i="7"/>
  <c r="D12150" i="7"/>
  <c r="D12149" i="7"/>
  <c r="D12148" i="7"/>
  <c r="D12147" i="7"/>
  <c r="D12146" i="7"/>
  <c r="D12145" i="7"/>
  <c r="D12144" i="7"/>
  <c r="D12143" i="7"/>
  <c r="D12142" i="7"/>
  <c r="D12141" i="7"/>
  <c r="D12140" i="7"/>
  <c r="D12139" i="7"/>
  <c r="D12138" i="7"/>
  <c r="D12137" i="7"/>
  <c r="D12136" i="7"/>
  <c r="D12135" i="7"/>
  <c r="D12134" i="7"/>
  <c r="D12133" i="7"/>
  <c r="D12132" i="7"/>
  <c r="D12131" i="7"/>
  <c r="D12130" i="7"/>
  <c r="D12129" i="7"/>
  <c r="D12128" i="7"/>
  <c r="D12127" i="7"/>
  <c r="D12126" i="7"/>
  <c r="D12125" i="7"/>
  <c r="D12124" i="7"/>
  <c r="D12123" i="7"/>
  <c r="D12122" i="7"/>
  <c r="D12121" i="7"/>
  <c r="D12120" i="7"/>
  <c r="D12119" i="7"/>
  <c r="D12118" i="7"/>
  <c r="D12117" i="7"/>
  <c r="D12116" i="7"/>
  <c r="D12115" i="7"/>
  <c r="D12114" i="7"/>
  <c r="D12113" i="7"/>
  <c r="D12112" i="7"/>
  <c r="D12111" i="7"/>
  <c r="D12110" i="7"/>
  <c r="D12109" i="7"/>
  <c r="D12108" i="7"/>
  <c r="D12107" i="7"/>
  <c r="D12106" i="7"/>
  <c r="D12105" i="7"/>
  <c r="D12104" i="7"/>
  <c r="D12103" i="7"/>
  <c r="D12102" i="7"/>
  <c r="D12101" i="7"/>
  <c r="D12100" i="7"/>
  <c r="D12099" i="7"/>
  <c r="D12098" i="7"/>
  <c r="D12097" i="7"/>
  <c r="D12096" i="7"/>
  <c r="D12095" i="7"/>
  <c r="D12094" i="7"/>
  <c r="D12093" i="7"/>
  <c r="D12092" i="7"/>
  <c r="D12091" i="7"/>
  <c r="D12090" i="7"/>
  <c r="D12089" i="7"/>
  <c r="D12088" i="7"/>
  <c r="D12087" i="7"/>
  <c r="D12086" i="7"/>
  <c r="D12085" i="7"/>
  <c r="D12084" i="7"/>
  <c r="D12083" i="7"/>
  <c r="D12082" i="7"/>
  <c r="D12081" i="7"/>
  <c r="D12080" i="7"/>
  <c r="D12079" i="7"/>
  <c r="D12078" i="7"/>
  <c r="D12077" i="7"/>
  <c r="D12076" i="7"/>
  <c r="D12075" i="7"/>
  <c r="D12074" i="7"/>
  <c r="D12073" i="7"/>
  <c r="D12072" i="7"/>
  <c r="D12071" i="7"/>
  <c r="D12070" i="7"/>
  <c r="D12069" i="7"/>
  <c r="D12068" i="7"/>
  <c r="D12067" i="7"/>
  <c r="D12066" i="7"/>
  <c r="D12065" i="7"/>
  <c r="D12064" i="7"/>
  <c r="D12063" i="7"/>
  <c r="D12062" i="7"/>
  <c r="D12061" i="7"/>
  <c r="D12060" i="7"/>
  <c r="D12059" i="7"/>
  <c r="D12058" i="7"/>
  <c r="D12057" i="7"/>
  <c r="D12056" i="7"/>
  <c r="D12055" i="7"/>
  <c r="D12054" i="7"/>
  <c r="D12053" i="7"/>
  <c r="D12052" i="7"/>
  <c r="D12051" i="7"/>
  <c r="D12050" i="7"/>
  <c r="D12049" i="7"/>
  <c r="D12048" i="7"/>
  <c r="D12047" i="7"/>
  <c r="D12046" i="7"/>
  <c r="D12045" i="7"/>
  <c r="D12044" i="7"/>
  <c r="D12043" i="7"/>
  <c r="D12042" i="7"/>
  <c r="D12041" i="7"/>
  <c r="D12040" i="7"/>
  <c r="D12039" i="7"/>
  <c r="D12038" i="7"/>
  <c r="D12037" i="7"/>
  <c r="D12036" i="7"/>
  <c r="D12035" i="7"/>
  <c r="D12034" i="7"/>
  <c r="D12033" i="7"/>
  <c r="D12032" i="7"/>
  <c r="D12031" i="7"/>
  <c r="D12030" i="7"/>
  <c r="D12029" i="7"/>
  <c r="D12028" i="7"/>
  <c r="D12027" i="7"/>
  <c r="D12026" i="7"/>
  <c r="D12025" i="7"/>
  <c r="D12024" i="7"/>
  <c r="D12023" i="7"/>
  <c r="D12022" i="7"/>
  <c r="D12021" i="7"/>
  <c r="D12020" i="7"/>
  <c r="D12019" i="7"/>
  <c r="D12014" i="7"/>
  <c r="D12013" i="7"/>
  <c r="D12012" i="7"/>
  <c r="D12011" i="7"/>
  <c r="D12010" i="7"/>
  <c r="D12009" i="7"/>
  <c r="D12008" i="7"/>
  <c r="D12007" i="7"/>
  <c r="D12006" i="7"/>
  <c r="D12005" i="7"/>
  <c r="D12004" i="7"/>
  <c r="D12003" i="7"/>
  <c r="D12002" i="7"/>
  <c r="D12001" i="7"/>
  <c r="D12000" i="7"/>
  <c r="D11999" i="7"/>
  <c r="D11998" i="7"/>
  <c r="D11997" i="7"/>
  <c r="D11996" i="7"/>
  <c r="D11995" i="7"/>
  <c r="D11994" i="7"/>
  <c r="D11993" i="7"/>
  <c r="D11992" i="7"/>
  <c r="D11991" i="7"/>
  <c r="D11990" i="7"/>
  <c r="D11989" i="7"/>
  <c r="D11988" i="7"/>
  <c r="D11987" i="7"/>
  <c r="D11986" i="7"/>
  <c r="D11985" i="7"/>
  <c r="D11984" i="7"/>
  <c r="D11983" i="7"/>
  <c r="D11982" i="7"/>
  <c r="D11981" i="7"/>
  <c r="D11980" i="7"/>
  <c r="D11979" i="7"/>
  <c r="D11978" i="7"/>
  <c r="D11977" i="7"/>
  <c r="D11976" i="7"/>
  <c r="D11975" i="7"/>
  <c r="D11974" i="7"/>
  <c r="D11973" i="7"/>
  <c r="D11972" i="7"/>
  <c r="D11971" i="7"/>
  <c r="D11970" i="7"/>
  <c r="D11969" i="7"/>
  <c r="D11968" i="7"/>
  <c r="D11967" i="7"/>
  <c r="D11966" i="7"/>
  <c r="D11965" i="7"/>
  <c r="D11964" i="7"/>
  <c r="D11963" i="7"/>
  <c r="D11962" i="7"/>
  <c r="D11961" i="7"/>
  <c r="D11960" i="7"/>
  <c r="D11959" i="7"/>
  <c r="D11958" i="7"/>
  <c r="D11957" i="7"/>
  <c r="D11956" i="7"/>
  <c r="D11955" i="7"/>
  <c r="D11954" i="7"/>
  <c r="D11953" i="7"/>
  <c r="D11952" i="7"/>
  <c r="D11951" i="7"/>
  <c r="D11950" i="7"/>
  <c r="D11949" i="7"/>
  <c r="D11948" i="7"/>
  <c r="D11947" i="7"/>
  <c r="D11946" i="7"/>
  <c r="D11945" i="7"/>
  <c r="D11944" i="7"/>
  <c r="D11943" i="7"/>
  <c r="D11942" i="7"/>
  <c r="D11941" i="7"/>
  <c r="D11940" i="7"/>
  <c r="D11939" i="7"/>
  <c r="D11938" i="7"/>
  <c r="D11937" i="7"/>
  <c r="D11936" i="7"/>
  <c r="D11935" i="7"/>
  <c r="D11934" i="7"/>
  <c r="D11933" i="7"/>
  <c r="D11932" i="7"/>
  <c r="D11931" i="7"/>
  <c r="D11930" i="7"/>
  <c r="D11929" i="7"/>
  <c r="D11928" i="7"/>
  <c r="D11927" i="7"/>
  <c r="D11926" i="7"/>
  <c r="D11925" i="7"/>
  <c r="D11924" i="7"/>
  <c r="D11923" i="7"/>
  <c r="D11922" i="7"/>
  <c r="D11921" i="7"/>
  <c r="D11920" i="7"/>
  <c r="D11919" i="7"/>
  <c r="D11918" i="7"/>
  <c r="D11917" i="7"/>
  <c r="D11916" i="7"/>
  <c r="D11915" i="7"/>
  <c r="D11914" i="7"/>
  <c r="D11913" i="7"/>
  <c r="D11912" i="7"/>
  <c r="D11911" i="7"/>
  <c r="D11910" i="7"/>
  <c r="D11909" i="7"/>
  <c r="D11908" i="7"/>
  <c r="D11907" i="7"/>
  <c r="D11906" i="7"/>
  <c r="D11905" i="7"/>
  <c r="D11904" i="7"/>
  <c r="D11903" i="7"/>
  <c r="D11902" i="7"/>
  <c r="D11901" i="7"/>
  <c r="D11900" i="7"/>
  <c r="D11899" i="7"/>
  <c r="D11898" i="7"/>
  <c r="D11897" i="7"/>
  <c r="D11896" i="7"/>
  <c r="D11895" i="7"/>
  <c r="D11894" i="7"/>
  <c r="D11893" i="7"/>
  <c r="D11892" i="7"/>
  <c r="D11891" i="7"/>
  <c r="D11890" i="7"/>
  <c r="D11889" i="7"/>
  <c r="D11888" i="7"/>
  <c r="D11887" i="7"/>
  <c r="D11886" i="7"/>
  <c r="D11885" i="7"/>
  <c r="D11884" i="7"/>
  <c r="D11883" i="7"/>
  <c r="D11882" i="7"/>
  <c r="D11881" i="7"/>
  <c r="D11880" i="7"/>
  <c r="D11879" i="7"/>
  <c r="D11878" i="7"/>
  <c r="D11877" i="7"/>
  <c r="D11876" i="7"/>
  <c r="D11875" i="7"/>
  <c r="D11874" i="7"/>
  <c r="D11873" i="7"/>
  <c r="D11872" i="7"/>
  <c r="D11871" i="7"/>
  <c r="D11870" i="7"/>
  <c r="D11869" i="7"/>
  <c r="D11868" i="7"/>
  <c r="D11867" i="7"/>
  <c r="D11866" i="7"/>
  <c r="D11865" i="7"/>
  <c r="D11864" i="7"/>
  <c r="D11863" i="7"/>
  <c r="D11862" i="7"/>
  <c r="D11861" i="7"/>
  <c r="D11860" i="7"/>
  <c r="D11859" i="7"/>
  <c r="D11858" i="7"/>
  <c r="D11857" i="7"/>
  <c r="D11856" i="7"/>
  <c r="D11855" i="7"/>
  <c r="D11854" i="7"/>
  <c r="D11853" i="7"/>
  <c r="D11852" i="7"/>
  <c r="D11851" i="7"/>
  <c r="D11850" i="7"/>
  <c r="D11849" i="7"/>
  <c r="D11848" i="7"/>
  <c r="D11847" i="7"/>
  <c r="D11846" i="7"/>
  <c r="D11845" i="7"/>
  <c r="D11844" i="7"/>
  <c r="D11843" i="7"/>
  <c r="D11842" i="7"/>
  <c r="D11841" i="7"/>
  <c r="D11840" i="7"/>
  <c r="D11839" i="7"/>
  <c r="D11838" i="7"/>
  <c r="D11837" i="7"/>
  <c r="D11836" i="7"/>
  <c r="D11835" i="7"/>
  <c r="D11834" i="7"/>
  <c r="D11833" i="7"/>
  <c r="D11832" i="7"/>
  <c r="D11831" i="7"/>
  <c r="D11830" i="7"/>
  <c r="D11829" i="7"/>
  <c r="D11828" i="7"/>
  <c r="D11827" i="7"/>
  <c r="D11826" i="7"/>
  <c r="D11825" i="7"/>
  <c r="D11824" i="7"/>
  <c r="D11823" i="7"/>
  <c r="D11822" i="7"/>
  <c r="D11821" i="7"/>
  <c r="D11820" i="7"/>
  <c r="D11819" i="7"/>
  <c r="D11818" i="7"/>
  <c r="D11817" i="7"/>
  <c r="D11816" i="7"/>
  <c r="D11815" i="7"/>
  <c r="D11814" i="7"/>
  <c r="D11813" i="7"/>
  <c r="D11812" i="7"/>
  <c r="D11811" i="7"/>
  <c r="D11810" i="7"/>
  <c r="D11809" i="7"/>
  <c r="D11808" i="7"/>
  <c r="D11807" i="7"/>
  <c r="D11806" i="7"/>
  <c r="D11805" i="7"/>
  <c r="D11804" i="7"/>
  <c r="D11803" i="7"/>
  <c r="D11802" i="7"/>
  <c r="D11801" i="7"/>
  <c r="D11800" i="7"/>
  <c r="D11799" i="7"/>
  <c r="D11798" i="7"/>
  <c r="D11797" i="7"/>
  <c r="D11796" i="7"/>
  <c r="D11795" i="7"/>
  <c r="D11794" i="7"/>
  <c r="D11793" i="7"/>
  <c r="D11792" i="7"/>
  <c r="D11791" i="7"/>
  <c r="D11790" i="7"/>
  <c r="D11789" i="7"/>
  <c r="D11788" i="7"/>
  <c r="D11787" i="7"/>
  <c r="D11786" i="7"/>
  <c r="D11785" i="7"/>
  <c r="D11784" i="7"/>
  <c r="D11783" i="7"/>
  <c r="D11782" i="7"/>
  <c r="D11781" i="7"/>
  <c r="D11780" i="7"/>
  <c r="D11779" i="7"/>
  <c r="D11778" i="7"/>
  <c r="D11777" i="7"/>
  <c r="D11776" i="7"/>
  <c r="D11775" i="7"/>
  <c r="D11774" i="7"/>
  <c r="D11773" i="7"/>
  <c r="D11772" i="7"/>
  <c r="D11771" i="7"/>
  <c r="D11770" i="7"/>
  <c r="D11769" i="7"/>
  <c r="D11768" i="7"/>
  <c r="D11767" i="7"/>
  <c r="D11766" i="7"/>
  <c r="D11765" i="7"/>
  <c r="D11764" i="7"/>
  <c r="D11763" i="7"/>
  <c r="D11762" i="7"/>
  <c r="D11761" i="7"/>
  <c r="D11760" i="7"/>
  <c r="D11759" i="7"/>
  <c r="D11758" i="7"/>
  <c r="D11757" i="7"/>
  <c r="D11756" i="7"/>
  <c r="D11755" i="7"/>
  <c r="D11754" i="7"/>
  <c r="D11753" i="7"/>
  <c r="D11752" i="7"/>
  <c r="D11751" i="7"/>
  <c r="D11750" i="7"/>
  <c r="D11749" i="7"/>
  <c r="D11748" i="7"/>
  <c r="D11747" i="7"/>
  <c r="D11746" i="7"/>
  <c r="D11745" i="7"/>
  <c r="D11744" i="7"/>
  <c r="D11743" i="7"/>
  <c r="D11742" i="7"/>
  <c r="D11741" i="7"/>
  <c r="D11740" i="7"/>
  <c r="D11739" i="7"/>
  <c r="D11738" i="7"/>
  <c r="D11737" i="7"/>
  <c r="D11736" i="7"/>
  <c r="D11735" i="7"/>
  <c r="D11734" i="7"/>
  <c r="D11733" i="7"/>
  <c r="D11732" i="7"/>
  <c r="D11731" i="7"/>
  <c r="D11730" i="7"/>
  <c r="D11729" i="7"/>
  <c r="D11728" i="7"/>
  <c r="D11727" i="7"/>
  <c r="D11726" i="7"/>
  <c r="D11725" i="7"/>
  <c r="D11724" i="7"/>
  <c r="D11723" i="7"/>
  <c r="D11722" i="7"/>
  <c r="D11721" i="7"/>
  <c r="D11720" i="7"/>
  <c r="D11719" i="7"/>
  <c r="D11718" i="7"/>
  <c r="D11717" i="7"/>
  <c r="D11716" i="7"/>
  <c r="D11715" i="7"/>
  <c r="D11714" i="7"/>
  <c r="D11713" i="7"/>
  <c r="D11712" i="7"/>
  <c r="D11711" i="7"/>
  <c r="D11710" i="7"/>
  <c r="D11709" i="7"/>
  <c r="D11708" i="7"/>
  <c r="D11707" i="7"/>
  <c r="D11706" i="7"/>
  <c r="D11705" i="7"/>
  <c r="D11704" i="7"/>
  <c r="D11703" i="7"/>
  <c r="D11702" i="7"/>
  <c r="D11701" i="7"/>
  <c r="D11700" i="7"/>
  <c r="D11699" i="7"/>
  <c r="D11698" i="7"/>
  <c r="D11697" i="7"/>
  <c r="D11696" i="7"/>
  <c r="D11695" i="7"/>
  <c r="D11694" i="7"/>
  <c r="D11693" i="7"/>
  <c r="D11692" i="7"/>
  <c r="D11691" i="7"/>
  <c r="D11690" i="7"/>
  <c r="D11689" i="7"/>
  <c r="D11688" i="7"/>
  <c r="D11687" i="7"/>
  <c r="D11686" i="7"/>
  <c r="D11685" i="7"/>
  <c r="D11684" i="7"/>
  <c r="D11683" i="7"/>
  <c r="D11682" i="7"/>
  <c r="D11681" i="7"/>
  <c r="D11680" i="7"/>
  <c r="D11679" i="7"/>
  <c r="D11678" i="7"/>
  <c r="D11677" i="7"/>
  <c r="D11676" i="7"/>
  <c r="D11675" i="7"/>
  <c r="D11674" i="7"/>
  <c r="D11673" i="7"/>
  <c r="D11672" i="7"/>
  <c r="D11671" i="7"/>
  <c r="D11670" i="7"/>
  <c r="D11669" i="7"/>
  <c r="D11668" i="7"/>
  <c r="D11667" i="7"/>
  <c r="D11666" i="7"/>
  <c r="D11665" i="7"/>
  <c r="D11664" i="7"/>
  <c r="D11663" i="7"/>
  <c r="D11662" i="7"/>
  <c r="D11661" i="7"/>
  <c r="D11660" i="7"/>
  <c r="D11659" i="7"/>
  <c r="D11658" i="7"/>
  <c r="D11657" i="7"/>
  <c r="D11656" i="7"/>
  <c r="D11655" i="7"/>
  <c r="D11654" i="7"/>
  <c r="D11653" i="7"/>
  <c r="D11652" i="7"/>
  <c r="D11651" i="7"/>
  <c r="D11650" i="7"/>
  <c r="D11649" i="7"/>
  <c r="D11648" i="7"/>
  <c r="D11647" i="7"/>
  <c r="D11646" i="7"/>
  <c r="D11645" i="7"/>
  <c r="D11644" i="7"/>
  <c r="D11643" i="7"/>
  <c r="D11642" i="7"/>
  <c r="D11641" i="7"/>
  <c r="D11640" i="7"/>
  <c r="D11639" i="7"/>
  <c r="D11638" i="7"/>
  <c r="D11637" i="7"/>
  <c r="D11636" i="7"/>
  <c r="D11635" i="7"/>
  <c r="D11634" i="7"/>
  <c r="D11633" i="7"/>
  <c r="D11632" i="7"/>
  <c r="D11631" i="7"/>
  <c r="D11630" i="7"/>
  <c r="D11629" i="7"/>
  <c r="D11628" i="7"/>
  <c r="D11627" i="7"/>
  <c r="D11626" i="7"/>
  <c r="D11625" i="7"/>
  <c r="D11624" i="7"/>
  <c r="D11623" i="7"/>
  <c r="D11622" i="7"/>
  <c r="D11621" i="7"/>
  <c r="D11620" i="7"/>
  <c r="D11619" i="7"/>
  <c r="D11618" i="7"/>
  <c r="D11617" i="7"/>
  <c r="D11616" i="7"/>
  <c r="D11615" i="7"/>
  <c r="D11614" i="7"/>
  <c r="D11613" i="7"/>
  <c r="D11612" i="7"/>
  <c r="D11611" i="7"/>
  <c r="D11610" i="7"/>
  <c r="D11609" i="7"/>
  <c r="D11608" i="7"/>
  <c r="D11607" i="7"/>
  <c r="D11606" i="7"/>
  <c r="D11605" i="7"/>
  <c r="D11604" i="7"/>
  <c r="D11603" i="7"/>
  <c r="D11602" i="7"/>
  <c r="D11601" i="7"/>
  <c r="D11600" i="7"/>
  <c r="D11599" i="7"/>
  <c r="D11598" i="7"/>
  <c r="D11597" i="7"/>
  <c r="D11596" i="7"/>
  <c r="D11595" i="7"/>
  <c r="D11594" i="7"/>
  <c r="D11593" i="7"/>
  <c r="D11592" i="7"/>
  <c r="D11591" i="7"/>
  <c r="D11590" i="7"/>
  <c r="D11589" i="7"/>
  <c r="D11588" i="7"/>
  <c r="D11587" i="7"/>
  <c r="D11586" i="7"/>
  <c r="D11585" i="7"/>
  <c r="D11584" i="7"/>
  <c r="D11583" i="7"/>
  <c r="D11582" i="7"/>
  <c r="D11581" i="7"/>
  <c r="D11580" i="7"/>
  <c r="D11579" i="7"/>
  <c r="D11578" i="7"/>
  <c r="D11577" i="7"/>
  <c r="D11576" i="7"/>
  <c r="D11575" i="7"/>
  <c r="D11574" i="7"/>
  <c r="D11573" i="7"/>
  <c r="D11572" i="7"/>
  <c r="D11571" i="7"/>
  <c r="D11570" i="7"/>
  <c r="D11569" i="7"/>
  <c r="D11568" i="7"/>
  <c r="D11567" i="7"/>
  <c r="D11566" i="7"/>
  <c r="D11565" i="7"/>
  <c r="D11564" i="7"/>
  <c r="D11563" i="7"/>
  <c r="D11562" i="7"/>
  <c r="D11561" i="7"/>
  <c r="D11560" i="7"/>
  <c r="D11559" i="7"/>
  <c r="D11558" i="7"/>
  <c r="D11557" i="7"/>
  <c r="D11556" i="7"/>
  <c r="D11555" i="7"/>
  <c r="D11554" i="7"/>
  <c r="D11553" i="7"/>
  <c r="D11552" i="7"/>
  <c r="D11551" i="7"/>
  <c r="D11550" i="7"/>
  <c r="D11549" i="7"/>
  <c r="D11548" i="7"/>
  <c r="D11547" i="7"/>
  <c r="D11546" i="7"/>
  <c r="D11545" i="7"/>
  <c r="D11544" i="7"/>
  <c r="D11543" i="7"/>
  <c r="D11542" i="7"/>
  <c r="D11541" i="7"/>
  <c r="D11540" i="7"/>
  <c r="D11539" i="7"/>
  <c r="D11538" i="7"/>
  <c r="D11537" i="7"/>
  <c r="D11536" i="7"/>
  <c r="D11535" i="7"/>
  <c r="D11534" i="7"/>
  <c r="D11533" i="7"/>
  <c r="D11532" i="7"/>
  <c r="D11531" i="7"/>
  <c r="D11530" i="7"/>
  <c r="D11529" i="7"/>
  <c r="D11528" i="7"/>
  <c r="D11527" i="7"/>
  <c r="D11526" i="7"/>
  <c r="D11525" i="7"/>
  <c r="D11524" i="7"/>
  <c r="D11523" i="7"/>
  <c r="D11522" i="7"/>
  <c r="D11521" i="7"/>
  <c r="D11520" i="7"/>
  <c r="D11519" i="7"/>
  <c r="D11518" i="7"/>
  <c r="D11517" i="7"/>
  <c r="D11516" i="7"/>
  <c r="D11515" i="7"/>
  <c r="D11514" i="7"/>
  <c r="D11513" i="7"/>
  <c r="D11512" i="7"/>
  <c r="D11511" i="7"/>
  <c r="D11510" i="7"/>
  <c r="D11509" i="7"/>
  <c r="D11508" i="7"/>
  <c r="D11507" i="7"/>
  <c r="D11506" i="7"/>
  <c r="D11505" i="7"/>
  <c r="D11504" i="7"/>
  <c r="D11503" i="7"/>
  <c r="D11502" i="7"/>
  <c r="D11501" i="7"/>
  <c r="D11500" i="7"/>
  <c r="D11499" i="7"/>
  <c r="D11498" i="7"/>
  <c r="D11497" i="7"/>
  <c r="D11496" i="7"/>
  <c r="D11495" i="7"/>
  <c r="D11494" i="7"/>
  <c r="D11493" i="7"/>
  <c r="D11492" i="7"/>
  <c r="D11491" i="7"/>
  <c r="D11490" i="7"/>
  <c r="D11489" i="7"/>
  <c r="D11488" i="7"/>
  <c r="D11487" i="7"/>
  <c r="D11486" i="7"/>
  <c r="D11485" i="7"/>
  <c r="D11484" i="7"/>
  <c r="D11483" i="7"/>
  <c r="D11482" i="7"/>
  <c r="D11481" i="7"/>
  <c r="D11480" i="7"/>
  <c r="D11479" i="7"/>
  <c r="D11478" i="7"/>
  <c r="D11477" i="7"/>
  <c r="D11476" i="7"/>
  <c r="D11475" i="7"/>
  <c r="D11474" i="7"/>
  <c r="D11473" i="7"/>
  <c r="D11472" i="7"/>
  <c r="D11471" i="7"/>
  <c r="D11470" i="7"/>
  <c r="D11469" i="7"/>
  <c r="D11468" i="7"/>
  <c r="D11467" i="7"/>
  <c r="D11466" i="7"/>
  <c r="D11465" i="7"/>
  <c r="D11464" i="7"/>
  <c r="D11463" i="7"/>
  <c r="D11462" i="7"/>
  <c r="D11461" i="7"/>
  <c r="D11460" i="7"/>
  <c r="D11459" i="7"/>
  <c r="D11458" i="7"/>
  <c r="D11457" i="7"/>
  <c r="D11456" i="7"/>
  <c r="D11455" i="7"/>
  <c r="D11454" i="7"/>
  <c r="D11453" i="7"/>
  <c r="D11452" i="7"/>
  <c r="D11451" i="7"/>
  <c r="D11450" i="7"/>
  <c r="D11449" i="7"/>
  <c r="D11448" i="7"/>
  <c r="D11447" i="7"/>
  <c r="D11446" i="7"/>
  <c r="D11445" i="7"/>
  <c r="D11444" i="7"/>
  <c r="D11443" i="7"/>
  <c r="D11442" i="7"/>
  <c r="D11441" i="7"/>
  <c r="D11440" i="7"/>
  <c r="D11439" i="7"/>
  <c r="D11438" i="7"/>
  <c r="D11437" i="7"/>
  <c r="D11436" i="7"/>
  <c r="D11435" i="7"/>
  <c r="D11434" i="7"/>
  <c r="D11433" i="7"/>
  <c r="D11432" i="7"/>
  <c r="D11431" i="7"/>
  <c r="D11430" i="7"/>
  <c r="D11429" i="7"/>
  <c r="D11428" i="7"/>
  <c r="D11427" i="7"/>
  <c r="D11426" i="7"/>
  <c r="D11425" i="7"/>
  <c r="D11424" i="7"/>
  <c r="D11423" i="7"/>
  <c r="D11422" i="7"/>
  <c r="D11421" i="7"/>
  <c r="D11420" i="7"/>
  <c r="D11419" i="7"/>
  <c r="D11418" i="7"/>
  <c r="D11417" i="7"/>
  <c r="D11416" i="7"/>
  <c r="D11415" i="7"/>
  <c r="D11414" i="7"/>
  <c r="D11413" i="7"/>
  <c r="D11412" i="7"/>
  <c r="D11411" i="7"/>
  <c r="D11410" i="7"/>
  <c r="D11409" i="7"/>
  <c r="D11408" i="7"/>
  <c r="D11407" i="7"/>
  <c r="D11406" i="7"/>
  <c r="D11405" i="7"/>
  <c r="D11404" i="7"/>
  <c r="D11403" i="7"/>
  <c r="D11402" i="7"/>
  <c r="D11401" i="7"/>
  <c r="D11400" i="7"/>
  <c r="D11399" i="7"/>
  <c r="D11398" i="7"/>
  <c r="D11397" i="7"/>
  <c r="D11396" i="7"/>
  <c r="D11395" i="7"/>
  <c r="D11394" i="7"/>
  <c r="D11393" i="7"/>
  <c r="D11392" i="7"/>
  <c r="D11391" i="7"/>
  <c r="D11390" i="7"/>
  <c r="D11389" i="7"/>
  <c r="D11388" i="7"/>
  <c r="D11387" i="7"/>
  <c r="D11386" i="7"/>
  <c r="D11385" i="7"/>
  <c r="D11384" i="7"/>
  <c r="D11383" i="7"/>
  <c r="D11382" i="7"/>
  <c r="D11381" i="7"/>
  <c r="D11380" i="7"/>
  <c r="D11379" i="7"/>
  <c r="D11378" i="7"/>
  <c r="D11377" i="7"/>
  <c r="D11376" i="7"/>
  <c r="D11375" i="7"/>
  <c r="D11374" i="7"/>
  <c r="D11373" i="7"/>
  <c r="D11372" i="7"/>
  <c r="D11371" i="7"/>
  <c r="D11370" i="7"/>
  <c r="D11369" i="7"/>
  <c r="D11368" i="7"/>
  <c r="D11367" i="7"/>
  <c r="D11366" i="7"/>
  <c r="D11365" i="7"/>
  <c r="D11364" i="7"/>
  <c r="D11363" i="7"/>
  <c r="D11362" i="7"/>
  <c r="D11361" i="7"/>
  <c r="D11360" i="7"/>
  <c r="D11359" i="7"/>
  <c r="D11358" i="7"/>
  <c r="D11357" i="7"/>
  <c r="D11356" i="7"/>
  <c r="D11355" i="7"/>
  <c r="D11354" i="7"/>
  <c r="D11353" i="7"/>
  <c r="D11352" i="7"/>
  <c r="D11351" i="7"/>
  <c r="D11350" i="7"/>
  <c r="D11349" i="7"/>
  <c r="D11348" i="7"/>
  <c r="D11347" i="7"/>
  <c r="D11346" i="7"/>
  <c r="D11345" i="7"/>
  <c r="D11344" i="7"/>
  <c r="D11343" i="7"/>
  <c r="D11342" i="7"/>
  <c r="D11341" i="7"/>
  <c r="D11340" i="7"/>
  <c r="D11339" i="7"/>
  <c r="D11338" i="7"/>
  <c r="D11337" i="7"/>
  <c r="D11336" i="7"/>
  <c r="D11335" i="7"/>
  <c r="D11334" i="7"/>
  <c r="D11333" i="7"/>
  <c r="D11332" i="7"/>
  <c r="D11331" i="7"/>
  <c r="D11330" i="7"/>
  <c r="D11329" i="7"/>
  <c r="D11328" i="7"/>
  <c r="D11327" i="7"/>
  <c r="D11326" i="7"/>
  <c r="D11325" i="7"/>
  <c r="D11324" i="7"/>
  <c r="D11323" i="7"/>
  <c r="D11322" i="7"/>
  <c r="D11321" i="7"/>
  <c r="D11320" i="7"/>
  <c r="D11319" i="7"/>
  <c r="D11318" i="7"/>
  <c r="D11317" i="7"/>
  <c r="D11316" i="7"/>
  <c r="D11315" i="7"/>
  <c r="D11314" i="7"/>
  <c r="D11313" i="7"/>
  <c r="D11312" i="7"/>
  <c r="D11311" i="7"/>
  <c r="D11310" i="7"/>
  <c r="D11309" i="7"/>
  <c r="D11308" i="7"/>
  <c r="D11307" i="7"/>
  <c r="D11306" i="7"/>
  <c r="D11305" i="7"/>
  <c r="D11304" i="7"/>
  <c r="D11303" i="7"/>
  <c r="D11302" i="7"/>
  <c r="D11301" i="7"/>
  <c r="D11300" i="7"/>
  <c r="D11299" i="7"/>
  <c r="D11298" i="7"/>
  <c r="D11297" i="7"/>
  <c r="D11296" i="7"/>
  <c r="D11295" i="7"/>
  <c r="D11294" i="7"/>
  <c r="D11293" i="7"/>
  <c r="D11292" i="7"/>
  <c r="D11291" i="7"/>
  <c r="D11290" i="7"/>
  <c r="D11289" i="7"/>
  <c r="D11288" i="7"/>
  <c r="D11287" i="7"/>
  <c r="D11286" i="7"/>
  <c r="D11285" i="7"/>
  <c r="D11284" i="7"/>
  <c r="D11283" i="7"/>
  <c r="D11282" i="7"/>
  <c r="D11281" i="7"/>
  <c r="D11280" i="7"/>
  <c r="D11279" i="7"/>
  <c r="D11278" i="7"/>
  <c r="D11277" i="7"/>
  <c r="D11276" i="7"/>
  <c r="D11275" i="7"/>
  <c r="D11274" i="7"/>
  <c r="D11273" i="7"/>
  <c r="D11272" i="7"/>
  <c r="D11271" i="7"/>
  <c r="D11270" i="7"/>
  <c r="D11269" i="7"/>
  <c r="D11268" i="7"/>
  <c r="D11267" i="7"/>
  <c r="D11266" i="7"/>
  <c r="D11265" i="7"/>
  <c r="D11264" i="7"/>
  <c r="D11263" i="7"/>
  <c r="D11262" i="7"/>
  <c r="D11261" i="7"/>
  <c r="D11260" i="7"/>
  <c r="D11259" i="7"/>
  <c r="D11258" i="7"/>
  <c r="D11257" i="7"/>
  <c r="D11256" i="7"/>
  <c r="D11255" i="7"/>
  <c r="D11254" i="7"/>
  <c r="D11253" i="7"/>
  <c r="D11252" i="7"/>
  <c r="D11251" i="7"/>
  <c r="D11250" i="7"/>
  <c r="D11249" i="7"/>
  <c r="D11248" i="7"/>
  <c r="D11247" i="7"/>
  <c r="D11246" i="7"/>
  <c r="D11245" i="7"/>
  <c r="D11244" i="7"/>
  <c r="D11243" i="7"/>
  <c r="D11242" i="7"/>
  <c r="D11241" i="7"/>
  <c r="D11240" i="7"/>
  <c r="D11239" i="7"/>
  <c r="D11238" i="7"/>
  <c r="D11237" i="7"/>
  <c r="D11236" i="7"/>
  <c r="D11235" i="7"/>
  <c r="D11234" i="7"/>
  <c r="D11233" i="7"/>
  <c r="D11232" i="7"/>
  <c r="D11231" i="7"/>
  <c r="D11230" i="7"/>
  <c r="D11229" i="7"/>
  <c r="D11228" i="7"/>
  <c r="D11227" i="7"/>
  <c r="D11226" i="7"/>
  <c r="D11225" i="7"/>
  <c r="D11224" i="7"/>
  <c r="D11223" i="7"/>
  <c r="D11222" i="7"/>
  <c r="D11221" i="7"/>
  <c r="D11220" i="7"/>
  <c r="D11219" i="7"/>
  <c r="D11218" i="7"/>
  <c r="D11217" i="7"/>
  <c r="D11216" i="7"/>
  <c r="D11215" i="7"/>
  <c r="D11214" i="7"/>
  <c r="D11213" i="7"/>
  <c r="D11212" i="7"/>
  <c r="D11211" i="7"/>
  <c r="D11210" i="7"/>
  <c r="D11209" i="7"/>
  <c r="D11208" i="7"/>
  <c r="D11207" i="7"/>
  <c r="D11206" i="7"/>
  <c r="D11205" i="7"/>
  <c r="D11204" i="7"/>
  <c r="D11203" i="7"/>
  <c r="D11202" i="7"/>
  <c r="D11201" i="7"/>
  <c r="D11200" i="7"/>
  <c r="D11199" i="7"/>
  <c r="D11198" i="7"/>
  <c r="D11197" i="7"/>
  <c r="D11196" i="7"/>
  <c r="D11195" i="7"/>
  <c r="D11194" i="7"/>
  <c r="D11193" i="7"/>
  <c r="D11192" i="7"/>
  <c r="D11191" i="7"/>
  <c r="D11190" i="7"/>
  <c r="D11189" i="7"/>
  <c r="D11188" i="7"/>
  <c r="D11187" i="7"/>
  <c r="D11186" i="7"/>
  <c r="D11185" i="7"/>
  <c r="D11184" i="7"/>
  <c r="D11183" i="7"/>
  <c r="D11182" i="7"/>
  <c r="D11181" i="7"/>
  <c r="D11180" i="7"/>
  <c r="D11179" i="7"/>
  <c r="D11178" i="7"/>
  <c r="D11177" i="7"/>
  <c r="D11176" i="7"/>
  <c r="D11175" i="7"/>
  <c r="D11174" i="7"/>
  <c r="D11173" i="7"/>
  <c r="D11172" i="7"/>
  <c r="D11171" i="7"/>
  <c r="D11170" i="7"/>
  <c r="D11169" i="7"/>
  <c r="D11168" i="7"/>
  <c r="D11167" i="7"/>
  <c r="D11166" i="7"/>
  <c r="D11165" i="7"/>
  <c r="D11164" i="7"/>
  <c r="D11163" i="7"/>
  <c r="D11162" i="7"/>
  <c r="D11161" i="7"/>
  <c r="D11160" i="7"/>
  <c r="D11159" i="7"/>
  <c r="D11158" i="7"/>
  <c r="D11157" i="7"/>
  <c r="D11156" i="7"/>
  <c r="D11155" i="7"/>
  <c r="D11154" i="7"/>
  <c r="D11153" i="7"/>
  <c r="D11152" i="7"/>
  <c r="D11151" i="7"/>
  <c r="D11150" i="7"/>
  <c r="D11149" i="7"/>
  <c r="D11148" i="7"/>
  <c r="D11147" i="7"/>
  <c r="D11146" i="7"/>
  <c r="D11145" i="7"/>
  <c r="D11144" i="7"/>
  <c r="D11143" i="7"/>
  <c r="D11142" i="7"/>
  <c r="D11141" i="7"/>
  <c r="D11140" i="7"/>
  <c r="D11139" i="7"/>
  <c r="D11138" i="7"/>
  <c r="D11137" i="7"/>
  <c r="D11136" i="7"/>
  <c r="D11135" i="7"/>
  <c r="D11134" i="7"/>
  <c r="D11133" i="7"/>
  <c r="D11132" i="7"/>
  <c r="D11131" i="7"/>
  <c r="D11130" i="7"/>
  <c r="D11129" i="7"/>
  <c r="D11128" i="7"/>
  <c r="D11127" i="7"/>
  <c r="D11126" i="7"/>
  <c r="D11125" i="7"/>
  <c r="D11124" i="7"/>
  <c r="D11123" i="7"/>
  <c r="D11122" i="7"/>
  <c r="D11121" i="7"/>
  <c r="D11120" i="7"/>
  <c r="D11119" i="7"/>
  <c r="D11118" i="7"/>
  <c r="D11117" i="7"/>
  <c r="D11116" i="7"/>
  <c r="D11115" i="7"/>
  <c r="D11114" i="7"/>
  <c r="D11113" i="7"/>
  <c r="D11112" i="7"/>
  <c r="D11111" i="7"/>
  <c r="D11110" i="7"/>
  <c r="D11109" i="7"/>
  <c r="D11108" i="7"/>
  <c r="D11107" i="7"/>
  <c r="D11106" i="7"/>
  <c r="D11105" i="7"/>
  <c r="D11104" i="7"/>
  <c r="D11103" i="7"/>
  <c r="D11102" i="7"/>
  <c r="D11101" i="7"/>
  <c r="D11100" i="7"/>
  <c r="D11099" i="7"/>
  <c r="D11098" i="7"/>
  <c r="D11097" i="7"/>
  <c r="D11096" i="7"/>
  <c r="D11095" i="7"/>
  <c r="D11094" i="7"/>
  <c r="D11093" i="7"/>
  <c r="D11092" i="7"/>
  <c r="D11091" i="7"/>
  <c r="D11090" i="7"/>
  <c r="D11089" i="7"/>
  <c r="D11088" i="7"/>
  <c r="D11087" i="7"/>
  <c r="D11086" i="7"/>
  <c r="D11085" i="7"/>
  <c r="D11084" i="7"/>
  <c r="D11083" i="7"/>
  <c r="D11082" i="7"/>
  <c r="D11081" i="7"/>
  <c r="D11080" i="7"/>
  <c r="D11079" i="7"/>
  <c r="D11078" i="7"/>
  <c r="D11077" i="7"/>
  <c r="D11076" i="7"/>
  <c r="D11075" i="7"/>
  <c r="D11074" i="7"/>
  <c r="D11073" i="7"/>
  <c r="D11072" i="7"/>
  <c r="D11071" i="7"/>
  <c r="D11070" i="7"/>
  <c r="D11069" i="7"/>
  <c r="D11068" i="7"/>
  <c r="D11067" i="7"/>
  <c r="D11066" i="7"/>
  <c r="D11065" i="7"/>
  <c r="D11064" i="7"/>
  <c r="D11063" i="7"/>
  <c r="D11062" i="7"/>
  <c r="D11061" i="7"/>
  <c r="D11060" i="7"/>
  <c r="D11059" i="7"/>
  <c r="D11058" i="7"/>
  <c r="D11057" i="7"/>
  <c r="D11056" i="7"/>
  <c r="D11055" i="7"/>
  <c r="D11054" i="7"/>
  <c r="D11053" i="7"/>
  <c r="D11052" i="7"/>
  <c r="D11051" i="7"/>
  <c r="D11050" i="7"/>
  <c r="D11049" i="7"/>
  <c r="D11048" i="7"/>
  <c r="D11047" i="7"/>
  <c r="D11046" i="7"/>
  <c r="D11045" i="7"/>
  <c r="D11044" i="7"/>
  <c r="D11043" i="7"/>
  <c r="D11042" i="7"/>
  <c r="D11041" i="7"/>
  <c r="D11040" i="7"/>
  <c r="D11039" i="7"/>
  <c r="D11038" i="7"/>
  <c r="D11037" i="7"/>
  <c r="D11036" i="7"/>
  <c r="D11035" i="7"/>
  <c r="D11034" i="7"/>
  <c r="D11033" i="7"/>
  <c r="D11032" i="7"/>
  <c r="D11031" i="7"/>
  <c r="D11030" i="7"/>
  <c r="D11029" i="7"/>
  <c r="D11028" i="7"/>
  <c r="D11027" i="7"/>
  <c r="D11026" i="7"/>
  <c r="D11025" i="7"/>
  <c r="D11024" i="7"/>
  <c r="D11023" i="7"/>
  <c r="D11022" i="7"/>
  <c r="D11021" i="7"/>
  <c r="D11020" i="7"/>
  <c r="D11019" i="7"/>
  <c r="D11018" i="7"/>
  <c r="D11017" i="7"/>
  <c r="D11016" i="7"/>
  <c r="D11015" i="7"/>
  <c r="D11014" i="7"/>
  <c r="D11013" i="7"/>
  <c r="D11012" i="7"/>
  <c r="D11011" i="7"/>
  <c r="D11010" i="7"/>
  <c r="D11009" i="7"/>
  <c r="D11008" i="7"/>
  <c r="D11007" i="7"/>
  <c r="D11006" i="7"/>
  <c r="D11005" i="7"/>
  <c r="D11004" i="7"/>
  <c r="D11003" i="7"/>
  <c r="D11002" i="7"/>
  <c r="D11001" i="7"/>
  <c r="D11000" i="7"/>
  <c r="D10999" i="7"/>
  <c r="D10998" i="7"/>
  <c r="D10997" i="7"/>
  <c r="D10996" i="7"/>
  <c r="D10995" i="7"/>
  <c r="D10994" i="7"/>
  <c r="D10993" i="7"/>
  <c r="D10992" i="7"/>
  <c r="D10991" i="7"/>
  <c r="D10990" i="7"/>
  <c r="D10989" i="7"/>
  <c r="D10988" i="7"/>
  <c r="D10987" i="7"/>
  <c r="D10986" i="7"/>
  <c r="D10985" i="7"/>
  <c r="D10984" i="7"/>
  <c r="D10983" i="7"/>
  <c r="D10982" i="7"/>
  <c r="D10981" i="7"/>
  <c r="D10980" i="7"/>
  <c r="D10979" i="7"/>
  <c r="D10978" i="7"/>
  <c r="D10977" i="7"/>
  <c r="D10976" i="7"/>
  <c r="D10975" i="7"/>
  <c r="D10974" i="7"/>
  <c r="D10973" i="7"/>
  <c r="D10972" i="7"/>
  <c r="D10971" i="7"/>
  <c r="D10970" i="7"/>
  <c r="D10969" i="7"/>
  <c r="D10968" i="7"/>
  <c r="D10967" i="7"/>
  <c r="D10966" i="7"/>
  <c r="D10965" i="7"/>
  <c r="D10964" i="7"/>
  <c r="D10963" i="7"/>
  <c r="D10962" i="7"/>
  <c r="D10961" i="7"/>
  <c r="D10960" i="7"/>
  <c r="D10959" i="7"/>
  <c r="D10958" i="7"/>
  <c r="D10957" i="7"/>
  <c r="D10956" i="7"/>
  <c r="D10955" i="7"/>
  <c r="D10954" i="7"/>
  <c r="D10953" i="7"/>
  <c r="D10952" i="7"/>
  <c r="D10951" i="7"/>
  <c r="D10950" i="7"/>
  <c r="D10949" i="7"/>
  <c r="D10948" i="7"/>
  <c r="D10947" i="7"/>
  <c r="D10946" i="7"/>
  <c r="D10945" i="7"/>
  <c r="D10944" i="7"/>
  <c r="D10943" i="7"/>
  <c r="D10942" i="7"/>
  <c r="D10941" i="7"/>
  <c r="D10940" i="7"/>
  <c r="D10939" i="7"/>
  <c r="D10938" i="7"/>
  <c r="D10937" i="7"/>
  <c r="D10936" i="7"/>
  <c r="D10935" i="7"/>
  <c r="D10934" i="7"/>
  <c r="D10933" i="7"/>
  <c r="D10932" i="7"/>
  <c r="D10931" i="7"/>
  <c r="D10930" i="7"/>
  <c r="D10929" i="7"/>
  <c r="D10928" i="7"/>
  <c r="D10927" i="7"/>
  <c r="D10926" i="7"/>
  <c r="D10925" i="7"/>
  <c r="D10924" i="7"/>
  <c r="D10923" i="7"/>
  <c r="D10922" i="7"/>
  <c r="D10921" i="7"/>
  <c r="D10920" i="7"/>
  <c r="D10919" i="7"/>
  <c r="D10918" i="7"/>
  <c r="D10917" i="7"/>
  <c r="D10916" i="7"/>
  <c r="D10915" i="7"/>
  <c r="D10914" i="7"/>
  <c r="D10913" i="7"/>
  <c r="D10912" i="7"/>
  <c r="D10911" i="7"/>
  <c r="D10910" i="7"/>
  <c r="D10909" i="7"/>
  <c r="D10908" i="7"/>
  <c r="D10907" i="7"/>
  <c r="D10906" i="7"/>
  <c r="D10905" i="7"/>
  <c r="D10904" i="7"/>
  <c r="D10903" i="7"/>
  <c r="D10902" i="7"/>
  <c r="D10901" i="7"/>
  <c r="D10900" i="7"/>
  <c r="D10899" i="7"/>
  <c r="D10898" i="7"/>
  <c r="D10897" i="7"/>
  <c r="D10896" i="7"/>
  <c r="D10895" i="7"/>
  <c r="D10894" i="7"/>
  <c r="D10893" i="7"/>
  <c r="D10892" i="7"/>
  <c r="D10891" i="7"/>
  <c r="D10890" i="7"/>
  <c r="D10889" i="7"/>
  <c r="D10888" i="7"/>
  <c r="D10887" i="7"/>
  <c r="D10886" i="7"/>
  <c r="D10885" i="7"/>
  <c r="D10884" i="7"/>
  <c r="D10883" i="7"/>
  <c r="D10882" i="7"/>
  <c r="D10881" i="7"/>
  <c r="D10880" i="7"/>
  <c r="D10879" i="7"/>
  <c r="D10878" i="7"/>
  <c r="D10877" i="7"/>
  <c r="D10876" i="7"/>
  <c r="D10875" i="7"/>
  <c r="D10874" i="7"/>
  <c r="D10873" i="7"/>
  <c r="D10872" i="7"/>
  <c r="D10871" i="7"/>
  <c r="D10870" i="7"/>
  <c r="D10869" i="7"/>
  <c r="D10868" i="7"/>
  <c r="D10867" i="7"/>
  <c r="D10866" i="7"/>
  <c r="D10865" i="7"/>
  <c r="D10864" i="7"/>
  <c r="D10863" i="7"/>
  <c r="D10862" i="7"/>
  <c r="D10861" i="7"/>
  <c r="D10860" i="7"/>
  <c r="D10859" i="7"/>
  <c r="D10858" i="7"/>
  <c r="D10857" i="7"/>
  <c r="D10856" i="7"/>
  <c r="D10855" i="7"/>
  <c r="D10854" i="7"/>
  <c r="D10853" i="7"/>
  <c r="D10852" i="7"/>
  <c r="D10851" i="7"/>
  <c r="D10850" i="7"/>
  <c r="D10849" i="7"/>
  <c r="D10848" i="7"/>
  <c r="D10847" i="7"/>
  <c r="D10846" i="7"/>
  <c r="D10845" i="7"/>
  <c r="D10844" i="7"/>
  <c r="D10843" i="7"/>
  <c r="D10842" i="7"/>
  <c r="D10841" i="7"/>
  <c r="D10840" i="7"/>
  <c r="D10839" i="7"/>
  <c r="D10838" i="7"/>
  <c r="D10837" i="7"/>
  <c r="D10836" i="7"/>
  <c r="D10835" i="7"/>
  <c r="D10834" i="7"/>
  <c r="D10833" i="7"/>
  <c r="D10832" i="7"/>
  <c r="D10831" i="7"/>
  <c r="D10830" i="7"/>
  <c r="D10829" i="7"/>
  <c r="D10828" i="7"/>
  <c r="D10827" i="7"/>
  <c r="D10826" i="7"/>
  <c r="D10825" i="7"/>
  <c r="D10824" i="7"/>
  <c r="D10823" i="7"/>
  <c r="D10822" i="7"/>
  <c r="D10821" i="7"/>
  <c r="D10820" i="7"/>
  <c r="D10819" i="7"/>
  <c r="D10818" i="7"/>
  <c r="D10817" i="7"/>
  <c r="D10816" i="7"/>
  <c r="D10815" i="7"/>
  <c r="D10814" i="7"/>
  <c r="D10813" i="7"/>
  <c r="D10812" i="7"/>
  <c r="D10811" i="7"/>
  <c r="D10810" i="7"/>
  <c r="D10809" i="7"/>
  <c r="D10808" i="7"/>
  <c r="D10807" i="7"/>
  <c r="D10806" i="7"/>
  <c r="D10805" i="7"/>
  <c r="D10804" i="7"/>
  <c r="D10803" i="7"/>
  <c r="D10802" i="7"/>
  <c r="D10801" i="7"/>
  <c r="D10800" i="7"/>
  <c r="D10799" i="7"/>
  <c r="D10798" i="7"/>
  <c r="D10797" i="7"/>
  <c r="D10796" i="7"/>
  <c r="D10795" i="7"/>
  <c r="D10794" i="7"/>
  <c r="D10793" i="7"/>
  <c r="D10792" i="7"/>
  <c r="D10791" i="7"/>
  <c r="D10790" i="7"/>
  <c r="D10789" i="7"/>
  <c r="D10788" i="7"/>
  <c r="D10787" i="7"/>
  <c r="D10786" i="7"/>
  <c r="D10785" i="7"/>
  <c r="D10784" i="7"/>
  <c r="D10783" i="7"/>
  <c r="D10782" i="7"/>
  <c r="D10781" i="7"/>
  <c r="D10780" i="7"/>
  <c r="D10779" i="7"/>
  <c r="D10778" i="7"/>
  <c r="D10777" i="7"/>
  <c r="D10776" i="7"/>
  <c r="D10775" i="7"/>
  <c r="D10774" i="7"/>
  <c r="D10773" i="7"/>
  <c r="D10772" i="7"/>
  <c r="D10771" i="7"/>
  <c r="D10770" i="7"/>
  <c r="D10769" i="7"/>
  <c r="D10768" i="7"/>
  <c r="D10767" i="7"/>
  <c r="D10766" i="7"/>
  <c r="D10765" i="7"/>
  <c r="D10764" i="7"/>
  <c r="D10763" i="7"/>
  <c r="D10762" i="7"/>
  <c r="D10761" i="7"/>
  <c r="D10760" i="7"/>
  <c r="D10759" i="7"/>
  <c r="D10758" i="7"/>
  <c r="D10757" i="7"/>
  <c r="D10756" i="7"/>
  <c r="D10755" i="7"/>
  <c r="D10754" i="7"/>
  <c r="D10753" i="7"/>
  <c r="D10752" i="7"/>
  <c r="D10751" i="7"/>
  <c r="D10750" i="7"/>
  <c r="D10749" i="7"/>
  <c r="D10748" i="7"/>
  <c r="D10747" i="7"/>
  <c r="D10746" i="7"/>
  <c r="D10745" i="7"/>
  <c r="D10744" i="7"/>
  <c r="D10743" i="7"/>
  <c r="D10742" i="7"/>
  <c r="D10741" i="7"/>
  <c r="D10740" i="7"/>
  <c r="D10739" i="7"/>
  <c r="D10738" i="7"/>
  <c r="D10737" i="7"/>
  <c r="D10736" i="7"/>
  <c r="D10735" i="7"/>
  <c r="D10734" i="7"/>
  <c r="D10733" i="7"/>
  <c r="D10732" i="7"/>
  <c r="D10731" i="7"/>
  <c r="D10730" i="7"/>
  <c r="D10729" i="7"/>
  <c r="D10728" i="7"/>
  <c r="D10727" i="7"/>
  <c r="D10726" i="7"/>
  <c r="D10725" i="7"/>
  <c r="D10724" i="7"/>
  <c r="D10723" i="7"/>
  <c r="D10722" i="7"/>
  <c r="D10721" i="7"/>
  <c r="D10720" i="7"/>
  <c r="D10719" i="7"/>
  <c r="D10718" i="7"/>
  <c r="D10717" i="7"/>
  <c r="D10716" i="7"/>
  <c r="D10715" i="7"/>
  <c r="D10714" i="7"/>
  <c r="D10713" i="7"/>
  <c r="D10712" i="7"/>
  <c r="D10711" i="7"/>
  <c r="D10710" i="7"/>
  <c r="D10709" i="7"/>
  <c r="D10708" i="7"/>
  <c r="D10707" i="7"/>
  <c r="D10706" i="7"/>
  <c r="D10705" i="7"/>
  <c r="D10704" i="7"/>
  <c r="D10703" i="7"/>
  <c r="D10702" i="7"/>
  <c r="D10701" i="7"/>
  <c r="D10700" i="7"/>
  <c r="D10699" i="7"/>
  <c r="D10698" i="7"/>
  <c r="D10697" i="7"/>
  <c r="D10696" i="7"/>
  <c r="D10695" i="7"/>
  <c r="D10694" i="7"/>
  <c r="D10693" i="7"/>
  <c r="D10692" i="7"/>
  <c r="D10691" i="7"/>
  <c r="D10690" i="7"/>
  <c r="D10689" i="7"/>
  <c r="D10688" i="7"/>
  <c r="D10687" i="7"/>
  <c r="D10686" i="7"/>
  <c r="D10685" i="7"/>
  <c r="D10684" i="7"/>
  <c r="D10683" i="7"/>
  <c r="D10682" i="7"/>
  <c r="D10681" i="7"/>
  <c r="D10680" i="7"/>
  <c r="D10679" i="7"/>
  <c r="D10678" i="7"/>
  <c r="D10677" i="7"/>
  <c r="D10676" i="7"/>
  <c r="D10675" i="7"/>
  <c r="D10674" i="7"/>
  <c r="D10673" i="7"/>
  <c r="D10672" i="7"/>
  <c r="D10671" i="7"/>
  <c r="D10670" i="7"/>
  <c r="D10669" i="7"/>
  <c r="D10668" i="7"/>
  <c r="D10667" i="7"/>
  <c r="D10666" i="7"/>
  <c r="D10665" i="7"/>
  <c r="D10664" i="7"/>
  <c r="D10663" i="7"/>
  <c r="D10662" i="7"/>
  <c r="D10661" i="7"/>
  <c r="D10660" i="7"/>
  <c r="D10659" i="7"/>
  <c r="D10658" i="7"/>
  <c r="D10657" i="7"/>
  <c r="D10656" i="7"/>
  <c r="D10655" i="7"/>
  <c r="D10654" i="7"/>
  <c r="D10653" i="7"/>
  <c r="D10652" i="7"/>
  <c r="D10651" i="7"/>
  <c r="D10650" i="7"/>
  <c r="D10649" i="7"/>
  <c r="D10648" i="7"/>
  <c r="D10647" i="7"/>
  <c r="D10646" i="7"/>
  <c r="D10645" i="7"/>
  <c r="D10644" i="7"/>
  <c r="D10643" i="7"/>
  <c r="D10642" i="7"/>
  <c r="D10641" i="7"/>
  <c r="D10640" i="7"/>
  <c r="D10639" i="7"/>
  <c r="D10638" i="7"/>
  <c r="D10637" i="7"/>
  <c r="D10636" i="7"/>
  <c r="D10635" i="7"/>
  <c r="D10634" i="7"/>
  <c r="D10633" i="7"/>
  <c r="D10632" i="7"/>
  <c r="D10631" i="7"/>
  <c r="D10630" i="7"/>
  <c r="D10629" i="7"/>
  <c r="D10628" i="7"/>
  <c r="D10627" i="7"/>
  <c r="D10626" i="7"/>
  <c r="D10625" i="7"/>
  <c r="D10624" i="7"/>
  <c r="D10623" i="7"/>
  <c r="D10622" i="7"/>
  <c r="D10621" i="7"/>
  <c r="D10620" i="7"/>
  <c r="D10619" i="7"/>
  <c r="D10618" i="7"/>
  <c r="D10617" i="7"/>
  <c r="D10616" i="7"/>
  <c r="D10615" i="7"/>
  <c r="D10614" i="7"/>
  <c r="D10613" i="7"/>
  <c r="D10612" i="7"/>
  <c r="D10611" i="7"/>
  <c r="D10610" i="7"/>
  <c r="D10609" i="7"/>
  <c r="D10608" i="7"/>
  <c r="D10607" i="7"/>
  <c r="D10606" i="7"/>
  <c r="D10605" i="7"/>
  <c r="D10604" i="7"/>
  <c r="D10603" i="7"/>
  <c r="D10602" i="7"/>
  <c r="D10601" i="7"/>
  <c r="D10600" i="7"/>
  <c r="D10599" i="7"/>
  <c r="D10598" i="7"/>
  <c r="D10597" i="7"/>
  <c r="D10596" i="7"/>
  <c r="D10595" i="7"/>
  <c r="D10594" i="7"/>
  <c r="D10593" i="7"/>
  <c r="D10592" i="7"/>
  <c r="D10591" i="7"/>
  <c r="D10590" i="7"/>
  <c r="D10589" i="7"/>
  <c r="D10588" i="7"/>
  <c r="D10587" i="7"/>
  <c r="D10586" i="7"/>
  <c r="D10585" i="7"/>
  <c r="D10584" i="7"/>
  <c r="D10583" i="7"/>
  <c r="D10582" i="7"/>
  <c r="D10581" i="7"/>
  <c r="D10580" i="7"/>
  <c r="D10579" i="7"/>
  <c r="D10578" i="7"/>
  <c r="D10577" i="7"/>
  <c r="D10576" i="7"/>
  <c r="D10575" i="7"/>
  <c r="D10574" i="7"/>
  <c r="D10573" i="7"/>
  <c r="D10572" i="7"/>
  <c r="D10571" i="7"/>
  <c r="D10570" i="7"/>
  <c r="D10569" i="7"/>
  <c r="D10568" i="7"/>
  <c r="D10567" i="7"/>
  <c r="D10566" i="7"/>
  <c r="D10565" i="7"/>
  <c r="D10564" i="7"/>
  <c r="D10563" i="7"/>
  <c r="D10562" i="7"/>
  <c r="D10561" i="7"/>
  <c r="D10560" i="7"/>
  <c r="D10559" i="7"/>
  <c r="D10558" i="7"/>
  <c r="D10557" i="7"/>
  <c r="D10556" i="7"/>
  <c r="D10555" i="7"/>
  <c r="D10554" i="7"/>
  <c r="D10553" i="7"/>
  <c r="D10552" i="7"/>
  <c r="D10551" i="7"/>
  <c r="D10550" i="7"/>
  <c r="D10549" i="7"/>
  <c r="D10548" i="7"/>
  <c r="D10547" i="7"/>
  <c r="D10546" i="7"/>
  <c r="D10545" i="7"/>
  <c r="D10544" i="7"/>
  <c r="D10543" i="7"/>
  <c r="D10542" i="7"/>
  <c r="D10541" i="7"/>
  <c r="D10540" i="7"/>
  <c r="D10539" i="7"/>
  <c r="D10538" i="7"/>
  <c r="D10537" i="7"/>
  <c r="D10536" i="7"/>
  <c r="D10535" i="7"/>
  <c r="D10534" i="7"/>
  <c r="D10533" i="7"/>
  <c r="D10532" i="7"/>
  <c r="D10531" i="7"/>
  <c r="D10530" i="7"/>
  <c r="D10529" i="7"/>
  <c r="D10528" i="7"/>
  <c r="D10527" i="7"/>
  <c r="D10526" i="7"/>
  <c r="D10525" i="7"/>
  <c r="D10524" i="7"/>
  <c r="D10523" i="7"/>
  <c r="D10522" i="7"/>
  <c r="D10521" i="7"/>
  <c r="D10520" i="7"/>
  <c r="D10519" i="7"/>
  <c r="D10518" i="7"/>
  <c r="D10517" i="7"/>
  <c r="D10516" i="7"/>
  <c r="D10515" i="7"/>
  <c r="D10514" i="7"/>
  <c r="D10513" i="7"/>
  <c r="D10512" i="7"/>
  <c r="D10511" i="7"/>
  <c r="D10510" i="7"/>
  <c r="D10509" i="7"/>
  <c r="D10508" i="7"/>
  <c r="D10507" i="7"/>
  <c r="D10506" i="7"/>
  <c r="D10505" i="7"/>
  <c r="D10504" i="7"/>
  <c r="D10503" i="7"/>
  <c r="D10502" i="7"/>
  <c r="D10501" i="7"/>
  <c r="D10500" i="7"/>
  <c r="D10499" i="7"/>
  <c r="D10498" i="7"/>
  <c r="D10497" i="7"/>
  <c r="D10496" i="7"/>
  <c r="D10495" i="7"/>
  <c r="D10494" i="7"/>
  <c r="D10493" i="7"/>
  <c r="D10492" i="7"/>
  <c r="D10491" i="7"/>
  <c r="D10490" i="7"/>
  <c r="D10489" i="7"/>
  <c r="D10488" i="7"/>
  <c r="D10487" i="7"/>
  <c r="D10486" i="7"/>
  <c r="D10485" i="7"/>
  <c r="D10484" i="7"/>
  <c r="D10483" i="7"/>
  <c r="D10482" i="7"/>
  <c r="D10481" i="7"/>
  <c r="D10480" i="7"/>
  <c r="D10479" i="7"/>
  <c r="D10478" i="7"/>
  <c r="D10477" i="7"/>
  <c r="D10476" i="7"/>
  <c r="D10475" i="7"/>
  <c r="D10474" i="7"/>
  <c r="D10473" i="7"/>
  <c r="D10472" i="7"/>
  <c r="D10471" i="7"/>
  <c r="D10470" i="7"/>
  <c r="D10469" i="7"/>
  <c r="D10468" i="7"/>
  <c r="D10467" i="7"/>
  <c r="D10466" i="7"/>
  <c r="D10465" i="7"/>
  <c r="D10464" i="7"/>
  <c r="D10463" i="7"/>
  <c r="D10462" i="7"/>
  <c r="D10461" i="7"/>
  <c r="D10460" i="7"/>
  <c r="D10459" i="7"/>
  <c r="D10458" i="7"/>
  <c r="D10457" i="7"/>
  <c r="D10456" i="7"/>
  <c r="D10455" i="7"/>
  <c r="D10454" i="7"/>
  <c r="D10453" i="7"/>
  <c r="D10452" i="7"/>
  <c r="D10451" i="7"/>
  <c r="D10450" i="7"/>
  <c r="D10449" i="7"/>
  <c r="D10448" i="7"/>
  <c r="D10447" i="7"/>
  <c r="D10446" i="7"/>
  <c r="D10445" i="7"/>
  <c r="D10444" i="7"/>
  <c r="D10443" i="7"/>
  <c r="D10442" i="7"/>
  <c r="D10441" i="7"/>
  <c r="D10440" i="7"/>
  <c r="D10439" i="7"/>
  <c r="D10438" i="7"/>
  <c r="D10437" i="7"/>
  <c r="D10436" i="7"/>
  <c r="D10435" i="7"/>
  <c r="D10434" i="7"/>
  <c r="D10433" i="7"/>
  <c r="D10432" i="7"/>
  <c r="D10431" i="7"/>
  <c r="D10430" i="7"/>
  <c r="D10429" i="7"/>
  <c r="D10428" i="7"/>
  <c r="D10427" i="7"/>
  <c r="D10426" i="7"/>
  <c r="D10425" i="7"/>
  <c r="D10424" i="7"/>
  <c r="D10423" i="7"/>
  <c r="D10422" i="7"/>
  <c r="D10421" i="7"/>
  <c r="D10420" i="7"/>
  <c r="D10419" i="7"/>
  <c r="D10418" i="7"/>
  <c r="D10417" i="7"/>
  <c r="D10416" i="7"/>
  <c r="D10415" i="7"/>
  <c r="D10414" i="7"/>
  <c r="D10413" i="7"/>
  <c r="D10412" i="7"/>
  <c r="D10411" i="7"/>
  <c r="D10410" i="7"/>
  <c r="D10409" i="7"/>
  <c r="D10408" i="7"/>
  <c r="D10407" i="7"/>
  <c r="D10406" i="7"/>
  <c r="D10405" i="7"/>
  <c r="D10404" i="7"/>
  <c r="D10403" i="7"/>
  <c r="D10402" i="7"/>
  <c r="D10401" i="7"/>
  <c r="D10400" i="7"/>
  <c r="D10399" i="7"/>
  <c r="D10398" i="7"/>
  <c r="D10397" i="7"/>
  <c r="D10396" i="7"/>
  <c r="D10395" i="7"/>
  <c r="D10394" i="7"/>
  <c r="D10393" i="7"/>
  <c r="D10392" i="7"/>
  <c r="D10391" i="7"/>
  <c r="D10390" i="7"/>
  <c r="D10389" i="7"/>
  <c r="D10388" i="7"/>
  <c r="D10387" i="7"/>
  <c r="D10386" i="7"/>
  <c r="D10385" i="7"/>
  <c r="D10384" i="7"/>
  <c r="D10383" i="7"/>
  <c r="D10382" i="7"/>
  <c r="D10381" i="7"/>
  <c r="D10380" i="7"/>
  <c r="D10379" i="7"/>
  <c r="D10378" i="7"/>
  <c r="D10377" i="7"/>
  <c r="D10376" i="7"/>
  <c r="D10375" i="7"/>
  <c r="D10374" i="7"/>
  <c r="D10373" i="7"/>
  <c r="D10372" i="7"/>
  <c r="D10371" i="7"/>
  <c r="D10370" i="7"/>
  <c r="D10369" i="7"/>
  <c r="D10368" i="7"/>
  <c r="D10367" i="7"/>
  <c r="D10366" i="7"/>
  <c r="D10365" i="7"/>
  <c r="D10364" i="7"/>
  <c r="D10363" i="7"/>
  <c r="D10362" i="7"/>
  <c r="D10361" i="7"/>
  <c r="D10360" i="7"/>
  <c r="D10359" i="7"/>
  <c r="D10358" i="7"/>
  <c r="D10357" i="7"/>
  <c r="D10356" i="7"/>
  <c r="D10355" i="7"/>
  <c r="D10354" i="7"/>
  <c r="D10353" i="7"/>
  <c r="D10352" i="7"/>
  <c r="D10351" i="7"/>
  <c r="D10350" i="7"/>
  <c r="D10349" i="7"/>
  <c r="D10348" i="7"/>
  <c r="D10347" i="7"/>
  <c r="D10346" i="7"/>
  <c r="D10345" i="7"/>
  <c r="D10344" i="7"/>
  <c r="D10343" i="7"/>
  <c r="D10342" i="7"/>
  <c r="D10341" i="7"/>
  <c r="D10340" i="7"/>
  <c r="D10339" i="7"/>
  <c r="D10338" i="7"/>
  <c r="D10337" i="7"/>
  <c r="D10336" i="7"/>
  <c r="D10335" i="7"/>
  <c r="D10334" i="7"/>
  <c r="D10333" i="7"/>
  <c r="D10332" i="7"/>
  <c r="D10331" i="7"/>
  <c r="D10330" i="7"/>
  <c r="D10329" i="7"/>
  <c r="D10328" i="7"/>
  <c r="D10327" i="7"/>
  <c r="D10326" i="7"/>
  <c r="D10325" i="7"/>
  <c r="D10324" i="7"/>
  <c r="D10323" i="7"/>
  <c r="D10322" i="7"/>
  <c r="D10321" i="7"/>
  <c r="D10320" i="7"/>
  <c r="D10319" i="7"/>
  <c r="D10318" i="7"/>
  <c r="D10317" i="7"/>
  <c r="D10316" i="7"/>
  <c r="D10315" i="7"/>
  <c r="D10314" i="7"/>
  <c r="D10313" i="7"/>
  <c r="D10312" i="7"/>
  <c r="D10311" i="7"/>
  <c r="D10310" i="7"/>
  <c r="D10309" i="7"/>
  <c r="D10308" i="7"/>
  <c r="D10307" i="7"/>
  <c r="D10306" i="7"/>
  <c r="D10305" i="7"/>
  <c r="D10304" i="7"/>
  <c r="D10303" i="7"/>
  <c r="D10302" i="7"/>
  <c r="D10301" i="7"/>
  <c r="D10300" i="7"/>
  <c r="D10299" i="7"/>
  <c r="D10298" i="7"/>
  <c r="D10297" i="7"/>
  <c r="D10296" i="7"/>
  <c r="D10295" i="7"/>
  <c r="D10294" i="7"/>
  <c r="D10293" i="7"/>
  <c r="D10292" i="7"/>
  <c r="D10291" i="7"/>
  <c r="D10290" i="7"/>
  <c r="D10289" i="7"/>
  <c r="D10288" i="7"/>
  <c r="D10287" i="7"/>
  <c r="D10286" i="7"/>
  <c r="D10285" i="7"/>
  <c r="D10284" i="7"/>
  <c r="D10283" i="7"/>
  <c r="D10282" i="7"/>
  <c r="D10281" i="7"/>
  <c r="D10280" i="7"/>
  <c r="D10279" i="7"/>
  <c r="D10278" i="7"/>
  <c r="D10277" i="7"/>
  <c r="D10276" i="7"/>
  <c r="D10275" i="7"/>
  <c r="D10274" i="7"/>
  <c r="D10273" i="7"/>
  <c r="D10272" i="7"/>
  <c r="D10271" i="7"/>
  <c r="D10270" i="7"/>
  <c r="D10269" i="7"/>
  <c r="D10268" i="7"/>
  <c r="D10267" i="7"/>
  <c r="D10266" i="7"/>
  <c r="D10265" i="7"/>
  <c r="D10264" i="7"/>
  <c r="D10263" i="7"/>
  <c r="D10262" i="7"/>
  <c r="D10261" i="7"/>
  <c r="D10260" i="7"/>
  <c r="D10259" i="7"/>
  <c r="D10258" i="7"/>
  <c r="D10257" i="7"/>
  <c r="D10256" i="7"/>
  <c r="D10255" i="7"/>
  <c r="D10254" i="7"/>
  <c r="D10253" i="7"/>
  <c r="D10252" i="7"/>
  <c r="D10251" i="7"/>
  <c r="D10250" i="7"/>
  <c r="D10249" i="7"/>
  <c r="D10248" i="7"/>
  <c r="D10247" i="7"/>
  <c r="D10246" i="7"/>
  <c r="D10245" i="7"/>
  <c r="D10244" i="7"/>
  <c r="D10243" i="7"/>
  <c r="D10242" i="7"/>
  <c r="D10241" i="7"/>
  <c r="D10240" i="7"/>
  <c r="D10239" i="7"/>
  <c r="D10238" i="7"/>
  <c r="D10237" i="7"/>
  <c r="D10236" i="7"/>
  <c r="D10235" i="7"/>
  <c r="D10234" i="7"/>
  <c r="D10233" i="7"/>
  <c r="D10232" i="7"/>
  <c r="D10231" i="7"/>
  <c r="D10230" i="7"/>
  <c r="D10229" i="7"/>
  <c r="D10228" i="7"/>
  <c r="D10227" i="7"/>
  <c r="D10226" i="7"/>
  <c r="D10225" i="7"/>
  <c r="D10224" i="7"/>
  <c r="D10223" i="7"/>
  <c r="D10222" i="7"/>
  <c r="D10221" i="7"/>
  <c r="D10220" i="7"/>
  <c r="D10219" i="7"/>
  <c r="D10218" i="7"/>
  <c r="D10217" i="7"/>
  <c r="D10216" i="7"/>
  <c r="D10215" i="7"/>
  <c r="D10214" i="7"/>
  <c r="D10213" i="7"/>
  <c r="D10212" i="7"/>
  <c r="D10211" i="7"/>
  <c r="D10210" i="7"/>
  <c r="D10209" i="7"/>
  <c r="D10208" i="7"/>
  <c r="D10207" i="7"/>
  <c r="D10206" i="7"/>
  <c r="D10205" i="7"/>
  <c r="D10204" i="7"/>
  <c r="D10203" i="7"/>
  <c r="D10202" i="7"/>
  <c r="D10201" i="7"/>
  <c r="D10200" i="7"/>
  <c r="D10199" i="7"/>
  <c r="D10198" i="7"/>
  <c r="D10197" i="7"/>
  <c r="D10196" i="7"/>
  <c r="D10195" i="7"/>
  <c r="D10194" i="7"/>
  <c r="D10193" i="7"/>
  <c r="D10192" i="7"/>
  <c r="D10191" i="7"/>
  <c r="D10190" i="7"/>
  <c r="D10189" i="7"/>
  <c r="D10188" i="7"/>
  <c r="D10187" i="7"/>
  <c r="D10186" i="7"/>
  <c r="D10185" i="7"/>
  <c r="D10184" i="7"/>
  <c r="D10183" i="7"/>
  <c r="D10182" i="7"/>
  <c r="D10181" i="7"/>
  <c r="D10180" i="7"/>
  <c r="D10179" i="7"/>
  <c r="D10178" i="7"/>
  <c r="D10177" i="7"/>
  <c r="D10176" i="7"/>
  <c r="D10175" i="7"/>
  <c r="D10174" i="7"/>
  <c r="D10173" i="7"/>
  <c r="D10172" i="7"/>
  <c r="D10171" i="7"/>
  <c r="D10170" i="7"/>
  <c r="D10169" i="7"/>
  <c r="D10168" i="7"/>
  <c r="D10167" i="7"/>
  <c r="D10166" i="7"/>
  <c r="D10165" i="7"/>
  <c r="D10164" i="7"/>
  <c r="D10163" i="7"/>
  <c r="D10162" i="7"/>
  <c r="D10161" i="7"/>
  <c r="D10160" i="7"/>
  <c r="D10159" i="7"/>
  <c r="D10158" i="7"/>
  <c r="D10157" i="7"/>
  <c r="D10156" i="7"/>
  <c r="D10155" i="7"/>
  <c r="D10154" i="7"/>
  <c r="D10153" i="7"/>
  <c r="D10152" i="7"/>
  <c r="D10151" i="7"/>
  <c r="D10150" i="7"/>
  <c r="D10149" i="7"/>
  <c r="D10148" i="7"/>
  <c r="D10147" i="7"/>
  <c r="D10146" i="7"/>
  <c r="D10145" i="7"/>
  <c r="D10144" i="7"/>
  <c r="D10143" i="7"/>
  <c r="D10142" i="7"/>
  <c r="D10141" i="7"/>
  <c r="D10140" i="7"/>
  <c r="D10139" i="7"/>
  <c r="D10138" i="7"/>
  <c r="D10137" i="7"/>
  <c r="D10136" i="7"/>
  <c r="D10135" i="7"/>
  <c r="D10134" i="7"/>
  <c r="D10133" i="7"/>
  <c r="D10132" i="7"/>
  <c r="D10131" i="7"/>
  <c r="D10130" i="7"/>
  <c r="D10129" i="7"/>
  <c r="D10128" i="7"/>
  <c r="D10127" i="7"/>
  <c r="D10126" i="7"/>
  <c r="D10125" i="7"/>
  <c r="D10124" i="7"/>
  <c r="D10123" i="7"/>
  <c r="D10122" i="7"/>
  <c r="D10121" i="7"/>
  <c r="D10120" i="7"/>
  <c r="D10119" i="7"/>
  <c r="D10118" i="7"/>
  <c r="D10117" i="7"/>
  <c r="D10116" i="7"/>
  <c r="D10115" i="7"/>
  <c r="D10114" i="7"/>
  <c r="D10113" i="7"/>
  <c r="D10112" i="7"/>
  <c r="D10111" i="7"/>
  <c r="D10110" i="7"/>
  <c r="D10109" i="7"/>
  <c r="D10108" i="7"/>
  <c r="D10107" i="7"/>
  <c r="D10106" i="7"/>
  <c r="D10105" i="7"/>
  <c r="D10104" i="7"/>
  <c r="D10103" i="7"/>
  <c r="D10102" i="7"/>
  <c r="D10101" i="7"/>
  <c r="D10100" i="7"/>
  <c r="D10099" i="7"/>
  <c r="D10098" i="7"/>
  <c r="D10097" i="7"/>
  <c r="D10096" i="7"/>
  <c r="D10095" i="7"/>
  <c r="D10094" i="7"/>
  <c r="D10093" i="7"/>
  <c r="D10092" i="7"/>
  <c r="D10091" i="7"/>
  <c r="D10090" i="7"/>
  <c r="D10089" i="7"/>
  <c r="D10088" i="7"/>
  <c r="D10087" i="7"/>
  <c r="D10086" i="7"/>
  <c r="D10085" i="7"/>
  <c r="D10084" i="7"/>
  <c r="D10083" i="7"/>
  <c r="D10082" i="7"/>
  <c r="D10081" i="7"/>
  <c r="D10080" i="7"/>
  <c r="D10079" i="7"/>
  <c r="D10078" i="7"/>
  <c r="D10077" i="7"/>
  <c r="D10076" i="7"/>
  <c r="D10075" i="7"/>
  <c r="D10074" i="7"/>
  <c r="D10073" i="7"/>
  <c r="D10072" i="7"/>
  <c r="D10071" i="7"/>
  <c r="D10070" i="7"/>
  <c r="D10069" i="7"/>
  <c r="D10068" i="7"/>
  <c r="D10067" i="7"/>
  <c r="D10066" i="7"/>
  <c r="D10065" i="7"/>
  <c r="D10064" i="7"/>
  <c r="D10063" i="7"/>
  <c r="D10062" i="7"/>
  <c r="D10061" i="7"/>
  <c r="D10060" i="7"/>
  <c r="D10059" i="7"/>
  <c r="D10058" i="7"/>
  <c r="D10057" i="7"/>
  <c r="D10056" i="7"/>
  <c r="D10055" i="7"/>
  <c r="D10054" i="7"/>
  <c r="D10053" i="7"/>
  <c r="D10052" i="7"/>
  <c r="D10051" i="7"/>
  <c r="D10050" i="7"/>
  <c r="D10049" i="7"/>
  <c r="D10048" i="7"/>
  <c r="D10047" i="7"/>
  <c r="D10046" i="7"/>
  <c r="D10045" i="7"/>
  <c r="D10044" i="7"/>
  <c r="D10043" i="7"/>
  <c r="D10042" i="7"/>
  <c r="D10041" i="7"/>
  <c r="D10040" i="7"/>
  <c r="D10039" i="7"/>
  <c r="D10038" i="7"/>
  <c r="D10037" i="7"/>
  <c r="D10036" i="7"/>
  <c r="D10035" i="7"/>
  <c r="D10034" i="7"/>
  <c r="D10033" i="7"/>
  <c r="D10032" i="7"/>
  <c r="D10031" i="7"/>
  <c r="D10030" i="7"/>
  <c r="D10029" i="7"/>
  <c r="D10028" i="7"/>
  <c r="D10027" i="7"/>
  <c r="D10026" i="7"/>
  <c r="D10025" i="7"/>
  <c r="D10024" i="7"/>
  <c r="D10023" i="7"/>
  <c r="D10022" i="7"/>
  <c r="D10021" i="7"/>
  <c r="D10020" i="7"/>
  <c r="D10019" i="7"/>
  <c r="D10018" i="7"/>
  <c r="D10017" i="7"/>
  <c r="D10016" i="7"/>
  <c r="D10015" i="7"/>
  <c r="D10014" i="7"/>
  <c r="D10013" i="7"/>
  <c r="D10012" i="7"/>
  <c r="D10011" i="7"/>
  <c r="D10010" i="7"/>
  <c r="D10009" i="7"/>
  <c r="D10008" i="7"/>
  <c r="D10007" i="7"/>
  <c r="D10006" i="7"/>
  <c r="D10005" i="7"/>
  <c r="D10004" i="7"/>
  <c r="D10003" i="7"/>
  <c r="D10002" i="7"/>
  <c r="D10001" i="7"/>
  <c r="D10000" i="7"/>
  <c r="D9999" i="7"/>
  <c r="D9998" i="7"/>
  <c r="D9997" i="7"/>
  <c r="D9996" i="7"/>
  <c r="D9995" i="7"/>
  <c r="D9994" i="7"/>
  <c r="D9993" i="7"/>
  <c r="D9992" i="7"/>
  <c r="D9991" i="7"/>
  <c r="D9990" i="7"/>
  <c r="D9989" i="7"/>
  <c r="D9988" i="7"/>
  <c r="D9987" i="7"/>
  <c r="D9986" i="7"/>
  <c r="D9985" i="7"/>
  <c r="D9984" i="7"/>
  <c r="D9983" i="7"/>
  <c r="D9982" i="7"/>
  <c r="D9981" i="7"/>
  <c r="D9980" i="7"/>
  <c r="D9979" i="7"/>
  <c r="D9978" i="7"/>
  <c r="D9977" i="7"/>
  <c r="D9976" i="7"/>
  <c r="D9975" i="7"/>
  <c r="D9974" i="7"/>
  <c r="D9973" i="7"/>
  <c r="D9972" i="7"/>
  <c r="D9971" i="7"/>
  <c r="D9970" i="7"/>
  <c r="D9969" i="7"/>
  <c r="D9968" i="7"/>
  <c r="D9967" i="7"/>
  <c r="D9966" i="7"/>
  <c r="D9965" i="7"/>
  <c r="D9964" i="7"/>
  <c r="D9963" i="7"/>
  <c r="D9962" i="7"/>
  <c r="D9961" i="7"/>
  <c r="D9960" i="7"/>
  <c r="D9959" i="7"/>
  <c r="D9958" i="7"/>
  <c r="D9957" i="7"/>
  <c r="D9956" i="7"/>
  <c r="D9955" i="7"/>
  <c r="D9954" i="7"/>
  <c r="D9953" i="7"/>
  <c r="D9952" i="7"/>
  <c r="D9951" i="7"/>
  <c r="D9950" i="7"/>
  <c r="D9949" i="7"/>
  <c r="D9948" i="7"/>
  <c r="D9947" i="7"/>
  <c r="D9946" i="7"/>
  <c r="D9945" i="7"/>
  <c r="D9944" i="7"/>
  <c r="D9943" i="7"/>
  <c r="D9942" i="7"/>
  <c r="D9941" i="7"/>
  <c r="D9940" i="7"/>
  <c r="D9939" i="7"/>
  <c r="D9938" i="7"/>
  <c r="D9937" i="7"/>
  <c r="D9936" i="7"/>
  <c r="D9935" i="7"/>
  <c r="D9934" i="7"/>
  <c r="D9933" i="7"/>
  <c r="D9932" i="7"/>
  <c r="D9931" i="7"/>
  <c r="D9930" i="7"/>
  <c r="D9929" i="7"/>
  <c r="D9928" i="7"/>
  <c r="D9927" i="7"/>
  <c r="D9926" i="7"/>
  <c r="D9925" i="7"/>
  <c r="D9924" i="7"/>
  <c r="D9923" i="7"/>
  <c r="D9922" i="7"/>
  <c r="D9921" i="7"/>
  <c r="D9920" i="7"/>
  <c r="D9919" i="7"/>
  <c r="D9918" i="7"/>
  <c r="D9917" i="7"/>
  <c r="D9916" i="7"/>
  <c r="D9915" i="7"/>
  <c r="D9914" i="7"/>
  <c r="D9913" i="7"/>
  <c r="D9912" i="7"/>
  <c r="D9911" i="7"/>
  <c r="D9910" i="7"/>
  <c r="D9909" i="7"/>
  <c r="D9908" i="7"/>
  <c r="D9907" i="7"/>
  <c r="D9906" i="7"/>
  <c r="D9905" i="7"/>
  <c r="D9904" i="7"/>
  <c r="D9903" i="7"/>
  <c r="D9902" i="7"/>
  <c r="D9901" i="7"/>
  <c r="D9900" i="7"/>
  <c r="D9899" i="7"/>
  <c r="D9898" i="7"/>
  <c r="D9897" i="7"/>
  <c r="D9896" i="7"/>
  <c r="D9895" i="7"/>
  <c r="D9894" i="7"/>
  <c r="D9893" i="7"/>
  <c r="D9892" i="7"/>
  <c r="D9891" i="7"/>
  <c r="D9890" i="7"/>
  <c r="D9889" i="7"/>
  <c r="D9888" i="7"/>
  <c r="D9887" i="7"/>
  <c r="D9886" i="7"/>
  <c r="D9885" i="7"/>
  <c r="D9884" i="7"/>
  <c r="D9883" i="7"/>
  <c r="D9882" i="7"/>
  <c r="D9881" i="7"/>
  <c r="D9880" i="7"/>
  <c r="D9879" i="7"/>
  <c r="D9878" i="7"/>
  <c r="D9877" i="7"/>
  <c r="D9876" i="7"/>
  <c r="D9875" i="7"/>
  <c r="D9874" i="7"/>
  <c r="D9873" i="7"/>
  <c r="D9872" i="7"/>
  <c r="D9871" i="7"/>
  <c r="D9870" i="7"/>
  <c r="D9869" i="7"/>
  <c r="D9868" i="7"/>
  <c r="D9867" i="7"/>
  <c r="D9866" i="7"/>
  <c r="D9865" i="7"/>
  <c r="D9864" i="7"/>
  <c r="D9863" i="7"/>
  <c r="D9862" i="7"/>
  <c r="D9861" i="7"/>
  <c r="D9860" i="7"/>
  <c r="D9859" i="7"/>
  <c r="D9858" i="7"/>
  <c r="D9857" i="7"/>
  <c r="D9856" i="7"/>
  <c r="D9855" i="7"/>
  <c r="D9854" i="7"/>
  <c r="D9853" i="7"/>
  <c r="D9852" i="7"/>
  <c r="D9851" i="7"/>
  <c r="D9850" i="7"/>
  <c r="D9849" i="7"/>
  <c r="D9848" i="7"/>
  <c r="D9847" i="7"/>
  <c r="D9846" i="7"/>
  <c r="D9845" i="7"/>
  <c r="D9844" i="7"/>
  <c r="D9843" i="7"/>
  <c r="D9842" i="7"/>
  <c r="D9841" i="7"/>
  <c r="D9840" i="7"/>
  <c r="D9839" i="7"/>
  <c r="D9838" i="7"/>
  <c r="D9837" i="7"/>
  <c r="D9836" i="7"/>
  <c r="D9835" i="7"/>
  <c r="D9834" i="7"/>
  <c r="D9833" i="7"/>
  <c r="D9832" i="7"/>
  <c r="D9831" i="7"/>
  <c r="D9830" i="7"/>
  <c r="D9829" i="7"/>
  <c r="D9828" i="7"/>
  <c r="D9827" i="7"/>
  <c r="D9826" i="7"/>
  <c r="D9825" i="7"/>
  <c r="D9824" i="7"/>
  <c r="D9823" i="7"/>
  <c r="D9822" i="7"/>
  <c r="D9821" i="7"/>
  <c r="D9820" i="7"/>
  <c r="D9819" i="7"/>
  <c r="D9818" i="7"/>
  <c r="D9817" i="7"/>
  <c r="D9816" i="7"/>
  <c r="D9815" i="7"/>
  <c r="D9814" i="7"/>
  <c r="D9813" i="7"/>
  <c r="D9812" i="7"/>
  <c r="D9811" i="7"/>
  <c r="D9810" i="7"/>
  <c r="D9809" i="7"/>
  <c r="D9808" i="7"/>
  <c r="D9807" i="7"/>
  <c r="D9806" i="7"/>
  <c r="D9805" i="7"/>
  <c r="D9804" i="7"/>
  <c r="D9803" i="7"/>
  <c r="D9802" i="7"/>
  <c r="D9801" i="7"/>
  <c r="D9800" i="7"/>
  <c r="D9799" i="7"/>
  <c r="D9798" i="7"/>
  <c r="D9797" i="7"/>
  <c r="D9796" i="7"/>
  <c r="D9795" i="7"/>
  <c r="D9794" i="7"/>
  <c r="D9793" i="7"/>
  <c r="D9792" i="7"/>
  <c r="D9791" i="7"/>
  <c r="D9790" i="7"/>
  <c r="D9789" i="7"/>
  <c r="D9788" i="7"/>
  <c r="D9787" i="7"/>
  <c r="D9786" i="7"/>
  <c r="D9785" i="7"/>
  <c r="D9784" i="7"/>
  <c r="D9783" i="7"/>
  <c r="D9782" i="7"/>
  <c r="D9781" i="7"/>
  <c r="D9780" i="7"/>
  <c r="D9779" i="7"/>
  <c r="D9778" i="7"/>
  <c r="D9777" i="7"/>
  <c r="D9776" i="7"/>
  <c r="D9775" i="7"/>
  <c r="D9774" i="7"/>
  <c r="D9773" i="7"/>
  <c r="D9772" i="7"/>
  <c r="D9771" i="7"/>
  <c r="D9770" i="7"/>
  <c r="D9769" i="7"/>
  <c r="D9768" i="7"/>
  <c r="D9767" i="7"/>
  <c r="D9766" i="7"/>
  <c r="D9765" i="7"/>
  <c r="D9764" i="7"/>
  <c r="D9763" i="7"/>
  <c r="D9762" i="7"/>
  <c r="D9761" i="7"/>
  <c r="D9760" i="7"/>
  <c r="D9759" i="7"/>
  <c r="D9758" i="7"/>
  <c r="D9757" i="7"/>
  <c r="D9756" i="7"/>
  <c r="D9755" i="7"/>
  <c r="D9754" i="7"/>
  <c r="D9753" i="7"/>
  <c r="D9752" i="7"/>
  <c r="D9751" i="7"/>
  <c r="D9750" i="7"/>
  <c r="D9749" i="7"/>
  <c r="D9748" i="7"/>
  <c r="D9747" i="7"/>
  <c r="D9746" i="7"/>
  <c r="D9745" i="7"/>
  <c r="D9744" i="7"/>
  <c r="D9743" i="7"/>
  <c r="D9742" i="7"/>
  <c r="D9741" i="7"/>
  <c r="D9740" i="7"/>
  <c r="D9739" i="7"/>
  <c r="D9738" i="7"/>
  <c r="D9737" i="7"/>
  <c r="D9736" i="7"/>
  <c r="D9735" i="7"/>
  <c r="D9734" i="7"/>
  <c r="D9733" i="7"/>
  <c r="D9732" i="7"/>
  <c r="D9731" i="7"/>
  <c r="D9730" i="7"/>
  <c r="D9729" i="7"/>
  <c r="D9728" i="7"/>
  <c r="D9727" i="7"/>
  <c r="D9726" i="7"/>
  <c r="D9725" i="7"/>
  <c r="D9724" i="7"/>
  <c r="D9723" i="7"/>
  <c r="D9722" i="7"/>
  <c r="D9721" i="7"/>
  <c r="D9720" i="7"/>
  <c r="D9719" i="7"/>
  <c r="D9718" i="7"/>
  <c r="D9717" i="7"/>
  <c r="D9716" i="7"/>
  <c r="D9715" i="7"/>
  <c r="D9714" i="7"/>
  <c r="D9713" i="7"/>
  <c r="D9712" i="7"/>
  <c r="D9711" i="7"/>
  <c r="D9710" i="7"/>
  <c r="D9709" i="7"/>
  <c r="D9708" i="7"/>
  <c r="D9707" i="7"/>
  <c r="D9706" i="7"/>
  <c r="D9705" i="7"/>
  <c r="D9704" i="7"/>
  <c r="D9703" i="7"/>
  <c r="D9702" i="7"/>
  <c r="D9701" i="7"/>
  <c r="D9700" i="7"/>
  <c r="D9699" i="7"/>
  <c r="D9698" i="7"/>
  <c r="D9697" i="7"/>
  <c r="D9696" i="7"/>
  <c r="D9695" i="7"/>
  <c r="D9694" i="7"/>
  <c r="D9693" i="7"/>
  <c r="D9692" i="7"/>
  <c r="D9691" i="7"/>
  <c r="D9690" i="7"/>
  <c r="D9689" i="7"/>
  <c r="D9688" i="7"/>
  <c r="D9687" i="7"/>
  <c r="D9686" i="7"/>
  <c r="D9685" i="7"/>
  <c r="D9684" i="7"/>
  <c r="D9683" i="7"/>
  <c r="D9682" i="7"/>
  <c r="D9681" i="7"/>
  <c r="D9680" i="7"/>
  <c r="D9679" i="7"/>
  <c r="D9678" i="7"/>
  <c r="D9677" i="7"/>
  <c r="D9676" i="7"/>
  <c r="D9675" i="7"/>
  <c r="D9674" i="7"/>
  <c r="D9673" i="7"/>
  <c r="D9672" i="7"/>
  <c r="D9671" i="7"/>
  <c r="D9670" i="7"/>
  <c r="D9669" i="7"/>
  <c r="D9668" i="7"/>
  <c r="D9667" i="7"/>
  <c r="D9666" i="7"/>
  <c r="D9665" i="7"/>
  <c r="D9664" i="7"/>
  <c r="D9663" i="7"/>
  <c r="D9662" i="7"/>
  <c r="D9661" i="7"/>
  <c r="D9660" i="7"/>
  <c r="D9659" i="7"/>
  <c r="D9658" i="7"/>
  <c r="D9657" i="7"/>
  <c r="D9656" i="7"/>
  <c r="D9655" i="7"/>
  <c r="D9654" i="7"/>
  <c r="D9653" i="7"/>
  <c r="D9652" i="7"/>
  <c r="D9651" i="7"/>
  <c r="D9650" i="7"/>
  <c r="D9649" i="7"/>
  <c r="D9648" i="7"/>
  <c r="D9647" i="7"/>
  <c r="D9646" i="7"/>
  <c r="D9645" i="7"/>
  <c r="D9644" i="7"/>
  <c r="D9643" i="7"/>
  <c r="D9642" i="7"/>
  <c r="D9641" i="7"/>
  <c r="D9640" i="7"/>
  <c r="D9639" i="7"/>
  <c r="D9638" i="7"/>
  <c r="D9637" i="7"/>
  <c r="D9636" i="7"/>
  <c r="D9635" i="7"/>
  <c r="D9634" i="7"/>
  <c r="D9633" i="7"/>
  <c r="D9632" i="7"/>
  <c r="D9631" i="7"/>
  <c r="D9630" i="7"/>
  <c r="D9629" i="7"/>
  <c r="D9628" i="7"/>
  <c r="D9627" i="7"/>
  <c r="D9626" i="7"/>
  <c r="D9625" i="7"/>
  <c r="D9624" i="7"/>
  <c r="D9623" i="7"/>
  <c r="D9622" i="7"/>
  <c r="D9621" i="7"/>
  <c r="D9620" i="7"/>
  <c r="D9619" i="7"/>
  <c r="D9618" i="7"/>
  <c r="D9617" i="7"/>
  <c r="D9616" i="7"/>
  <c r="D9615" i="7"/>
  <c r="D9614" i="7"/>
  <c r="D9613" i="7"/>
  <c r="D9612" i="7"/>
  <c r="D9611" i="7"/>
  <c r="D9610" i="7"/>
  <c r="D9609" i="7"/>
  <c r="D9608" i="7"/>
  <c r="D9607" i="7"/>
  <c r="D9606" i="7"/>
  <c r="D9605" i="7"/>
  <c r="D9604" i="7"/>
  <c r="D9603" i="7"/>
  <c r="D9602" i="7"/>
  <c r="D9601" i="7"/>
  <c r="D9600" i="7"/>
  <c r="D9599" i="7"/>
  <c r="D9598" i="7"/>
  <c r="D9597" i="7"/>
  <c r="D9596" i="7"/>
  <c r="D9595" i="7"/>
  <c r="D9594" i="7"/>
  <c r="D9593" i="7"/>
  <c r="D9592" i="7"/>
  <c r="D9591" i="7"/>
  <c r="D9590" i="7"/>
  <c r="D9589" i="7"/>
  <c r="D9588" i="7"/>
  <c r="D9587" i="7"/>
  <c r="D9586" i="7"/>
  <c r="D9585" i="7"/>
  <c r="D9584" i="7"/>
  <c r="D9583" i="7"/>
  <c r="D9582" i="7"/>
  <c r="D9581" i="7"/>
  <c r="D9580" i="7"/>
  <c r="D9579" i="7"/>
  <c r="D9578" i="7"/>
  <c r="D9577" i="7"/>
  <c r="D9576" i="7"/>
  <c r="D9575" i="7"/>
  <c r="D9574" i="7"/>
  <c r="D9573" i="7"/>
  <c r="D9572" i="7"/>
  <c r="D9571" i="7"/>
  <c r="D9570" i="7"/>
  <c r="D9569" i="7"/>
  <c r="D9568" i="7"/>
  <c r="D9567" i="7"/>
  <c r="D9566" i="7"/>
  <c r="D9565" i="7"/>
  <c r="D9564" i="7"/>
  <c r="D9563" i="7"/>
  <c r="D9562" i="7"/>
  <c r="D9561" i="7"/>
  <c r="D9560" i="7"/>
  <c r="D9559" i="7"/>
  <c r="D9558" i="7"/>
  <c r="D9557" i="7"/>
  <c r="D9556" i="7"/>
  <c r="D9555" i="7"/>
  <c r="D9554" i="7"/>
  <c r="D9553" i="7"/>
  <c r="D9552" i="7"/>
  <c r="D9551" i="7"/>
  <c r="D9550" i="7"/>
  <c r="D9549" i="7"/>
  <c r="D9548" i="7"/>
  <c r="D9547" i="7"/>
  <c r="D9546" i="7"/>
  <c r="D9545" i="7"/>
  <c r="D9544" i="7"/>
  <c r="D9543" i="7"/>
  <c r="D9542" i="7"/>
  <c r="D9541" i="7"/>
  <c r="D9540" i="7"/>
  <c r="D9539" i="7"/>
  <c r="D9538" i="7"/>
  <c r="D9537" i="7"/>
  <c r="D9536" i="7"/>
  <c r="D9535" i="7"/>
  <c r="D9534" i="7"/>
  <c r="D9533" i="7"/>
  <c r="D9532" i="7"/>
  <c r="D9531" i="7"/>
  <c r="D9530" i="7"/>
  <c r="D9529" i="7"/>
  <c r="D9528" i="7"/>
  <c r="D9527" i="7"/>
  <c r="D9526" i="7"/>
  <c r="D9525" i="7"/>
  <c r="D9524" i="7"/>
  <c r="D9523" i="7"/>
  <c r="D9522" i="7"/>
  <c r="D9521" i="7"/>
  <c r="D9520" i="7"/>
  <c r="D9519" i="7"/>
  <c r="D9518" i="7"/>
  <c r="D9517" i="7"/>
  <c r="D9516" i="7"/>
  <c r="D9515" i="7"/>
  <c r="D9514" i="7"/>
  <c r="D9513" i="7"/>
  <c r="D9512" i="7"/>
  <c r="D9511" i="7"/>
  <c r="D9510" i="7"/>
  <c r="D9509" i="7"/>
  <c r="D9508" i="7"/>
  <c r="D9507" i="7"/>
  <c r="D9506" i="7"/>
  <c r="D9505" i="7"/>
  <c r="D9504" i="7"/>
  <c r="D9503" i="7"/>
  <c r="D9502" i="7"/>
  <c r="D9501" i="7"/>
  <c r="D9500" i="7"/>
  <c r="D9499" i="7"/>
  <c r="D9498" i="7"/>
  <c r="D9497" i="7"/>
  <c r="D9496" i="7"/>
  <c r="D9495" i="7"/>
  <c r="D9494" i="7"/>
  <c r="D9493" i="7"/>
  <c r="D9492" i="7"/>
  <c r="D9491" i="7"/>
  <c r="D9490" i="7"/>
  <c r="D9489" i="7"/>
  <c r="D9488" i="7"/>
  <c r="D9487" i="7"/>
  <c r="D9486" i="7"/>
  <c r="D9485" i="7"/>
  <c r="D9484" i="7"/>
  <c r="D9483" i="7"/>
  <c r="D9482" i="7"/>
  <c r="D9481" i="7"/>
  <c r="D9480" i="7"/>
  <c r="D9479" i="7"/>
  <c r="D9478" i="7"/>
  <c r="D9477" i="7"/>
  <c r="D9476" i="7"/>
  <c r="D9475" i="7"/>
  <c r="D9474" i="7"/>
  <c r="D9473" i="7"/>
  <c r="D9472" i="7"/>
  <c r="D9471" i="7"/>
  <c r="D9470" i="7"/>
  <c r="D9469" i="7"/>
  <c r="D9468" i="7"/>
  <c r="D9467" i="7"/>
  <c r="D9466" i="7"/>
  <c r="D9465" i="7"/>
  <c r="D9464" i="7"/>
  <c r="D9463" i="7"/>
  <c r="D9462" i="7"/>
  <c r="D9461" i="7"/>
  <c r="D9460" i="7"/>
  <c r="D9459" i="7"/>
  <c r="D9458" i="7"/>
  <c r="D9457" i="7"/>
  <c r="D9456" i="7"/>
  <c r="D9455" i="7"/>
  <c r="D9454" i="7"/>
  <c r="D9453" i="7"/>
  <c r="D9452" i="7"/>
  <c r="D9451" i="7"/>
  <c r="D9450" i="7"/>
  <c r="D9449" i="7"/>
  <c r="D9448" i="7"/>
  <c r="D9447" i="7"/>
  <c r="D9446" i="7"/>
  <c r="D9445" i="7"/>
  <c r="D9444" i="7"/>
  <c r="D9443" i="7"/>
  <c r="D9442" i="7"/>
  <c r="D9441" i="7"/>
  <c r="D9440" i="7"/>
  <c r="D9439" i="7"/>
  <c r="D9438" i="7"/>
  <c r="D9437" i="7"/>
  <c r="D9436" i="7"/>
  <c r="D9435" i="7"/>
  <c r="D9434" i="7"/>
  <c r="D9433" i="7"/>
  <c r="D9432" i="7"/>
  <c r="D9431" i="7"/>
  <c r="D9430" i="7"/>
  <c r="D9429" i="7"/>
  <c r="D9428" i="7"/>
  <c r="D9427" i="7"/>
  <c r="D9426" i="7"/>
  <c r="D9425" i="7"/>
  <c r="D9424" i="7"/>
  <c r="D9423" i="7"/>
  <c r="D9422" i="7"/>
  <c r="D9421" i="7"/>
  <c r="D9420" i="7"/>
  <c r="D9419" i="7"/>
  <c r="D9418" i="7"/>
  <c r="D9417" i="7"/>
  <c r="D9416" i="7"/>
  <c r="D9415" i="7"/>
  <c r="D9414" i="7"/>
  <c r="D9413" i="7"/>
  <c r="D9412" i="7"/>
  <c r="D9411" i="7"/>
  <c r="D9410" i="7"/>
  <c r="D9409" i="7"/>
  <c r="D9408" i="7"/>
  <c r="D9407" i="7"/>
  <c r="D9406" i="7"/>
  <c r="D9405" i="7"/>
  <c r="D9404" i="7"/>
  <c r="D9403" i="7"/>
  <c r="D9402" i="7"/>
  <c r="D9401" i="7"/>
  <c r="D9400" i="7"/>
  <c r="D9399" i="7"/>
  <c r="D9398" i="7"/>
  <c r="D9397" i="7"/>
  <c r="D9396" i="7"/>
  <c r="D9395" i="7"/>
  <c r="D9394" i="7"/>
  <c r="D9393" i="7"/>
  <c r="D9392" i="7"/>
  <c r="D9391" i="7"/>
  <c r="D9390" i="7"/>
  <c r="D9389" i="7"/>
  <c r="D9388" i="7"/>
  <c r="D9387" i="7"/>
  <c r="D9386" i="7"/>
  <c r="D9385" i="7"/>
  <c r="D9384" i="7"/>
  <c r="D9383" i="7"/>
  <c r="D9382" i="7"/>
  <c r="D9381" i="7"/>
  <c r="D9380" i="7"/>
  <c r="D9379" i="7"/>
  <c r="D9378" i="7"/>
  <c r="D9377" i="7"/>
  <c r="D9376" i="7"/>
  <c r="D9375" i="7"/>
  <c r="D9374" i="7"/>
  <c r="D9373" i="7"/>
  <c r="D9372" i="7"/>
  <c r="D9371" i="7"/>
  <c r="D9370" i="7"/>
  <c r="D9369" i="7"/>
  <c r="D9368" i="7"/>
  <c r="D9367" i="7"/>
  <c r="D9366" i="7"/>
  <c r="D9365" i="7"/>
  <c r="D9364" i="7"/>
  <c r="D9363" i="7"/>
  <c r="D9362" i="7"/>
  <c r="D9361" i="7"/>
  <c r="D9360" i="7"/>
  <c r="D9359" i="7"/>
  <c r="D9358" i="7"/>
  <c r="D9357" i="7"/>
  <c r="D9356" i="7"/>
  <c r="D9355" i="7"/>
  <c r="D9354" i="7"/>
  <c r="D9353" i="7"/>
  <c r="D9352" i="7"/>
  <c r="D9351" i="7"/>
  <c r="D9350" i="7"/>
  <c r="D9349" i="7"/>
  <c r="D9348" i="7"/>
  <c r="D9347" i="7"/>
  <c r="D9346" i="7"/>
  <c r="D9345" i="7"/>
  <c r="D9344" i="7"/>
  <c r="D9343" i="7"/>
  <c r="D9342" i="7"/>
  <c r="D9341" i="7"/>
  <c r="D9340" i="7"/>
  <c r="D9339" i="7"/>
  <c r="D9338" i="7"/>
  <c r="D9337" i="7"/>
  <c r="D9336" i="7"/>
  <c r="D9335" i="7"/>
  <c r="D9334" i="7"/>
  <c r="D9333" i="7"/>
  <c r="D9332" i="7"/>
  <c r="D9331" i="7"/>
  <c r="D9330" i="7"/>
  <c r="D9329" i="7"/>
  <c r="D9328" i="7"/>
  <c r="D9327" i="7"/>
  <c r="D9326" i="7"/>
  <c r="D9325" i="7"/>
  <c r="D9324" i="7"/>
  <c r="D9323" i="7"/>
  <c r="D9322" i="7"/>
  <c r="D9321" i="7"/>
  <c r="D9320" i="7"/>
  <c r="D9319" i="7"/>
  <c r="D9318" i="7"/>
  <c r="D9317" i="7"/>
  <c r="D9316" i="7"/>
  <c r="D9315" i="7"/>
  <c r="D9314" i="7"/>
  <c r="D9313" i="7"/>
  <c r="D9312" i="7"/>
  <c r="D9311" i="7"/>
  <c r="D9310" i="7"/>
  <c r="D9309" i="7"/>
  <c r="D9308" i="7"/>
  <c r="D9307" i="7"/>
  <c r="D9306" i="7"/>
  <c r="D9305" i="7"/>
  <c r="D9304" i="7"/>
  <c r="D9303" i="7"/>
  <c r="D9302" i="7"/>
  <c r="D9301" i="7"/>
  <c r="D9300" i="7"/>
  <c r="D9299" i="7"/>
  <c r="D9298" i="7"/>
  <c r="D9297" i="7"/>
  <c r="D9296" i="7"/>
  <c r="D9295" i="7"/>
  <c r="D9294" i="7"/>
  <c r="D9293" i="7"/>
  <c r="D9292" i="7"/>
  <c r="D9291" i="7"/>
  <c r="D9290" i="7"/>
  <c r="D9289" i="7"/>
  <c r="D9288" i="7"/>
  <c r="D9287" i="7"/>
  <c r="D9286" i="7"/>
  <c r="D9285" i="7"/>
  <c r="D9284" i="7"/>
  <c r="D9283" i="7"/>
  <c r="D9282" i="7"/>
  <c r="D9281" i="7"/>
  <c r="D9280" i="7"/>
  <c r="D9279" i="7"/>
  <c r="D9278" i="7"/>
  <c r="D9277" i="7"/>
  <c r="D9276" i="7"/>
  <c r="D9275" i="7"/>
  <c r="D9274" i="7"/>
  <c r="D9273" i="7"/>
  <c r="D9272" i="7"/>
  <c r="D9271" i="7"/>
  <c r="D9270" i="7"/>
  <c r="D9269" i="7"/>
  <c r="D9268" i="7"/>
  <c r="D9267" i="7"/>
  <c r="D9266" i="7"/>
  <c r="D9265" i="7"/>
  <c r="D9264" i="7"/>
  <c r="D9263" i="7"/>
  <c r="D9262" i="7"/>
  <c r="D9261" i="7"/>
  <c r="D9260" i="7"/>
  <c r="D9259" i="7"/>
  <c r="D9258" i="7"/>
  <c r="D9257" i="7"/>
  <c r="D9256" i="7"/>
  <c r="D9255" i="7"/>
  <c r="D9254" i="7"/>
  <c r="D9253" i="7"/>
  <c r="D9252" i="7"/>
  <c r="D9251" i="7"/>
  <c r="D9250" i="7"/>
  <c r="D9249" i="7"/>
  <c r="D9248" i="7"/>
  <c r="D9247" i="7"/>
  <c r="D9246" i="7"/>
  <c r="D9245" i="7"/>
  <c r="D9244" i="7"/>
  <c r="D9243" i="7"/>
  <c r="D9242" i="7"/>
  <c r="D9241" i="7"/>
  <c r="D9240" i="7"/>
  <c r="D9239" i="7"/>
  <c r="D9238" i="7"/>
  <c r="D9237" i="7"/>
  <c r="D9236" i="7"/>
  <c r="D9235" i="7"/>
  <c r="D9234" i="7"/>
  <c r="D9233" i="7"/>
  <c r="D9232" i="7"/>
  <c r="D9231" i="7"/>
  <c r="D9230" i="7"/>
  <c r="D9229" i="7"/>
  <c r="D9228" i="7"/>
  <c r="D9227" i="7"/>
  <c r="D9226" i="7"/>
  <c r="D9225" i="7"/>
  <c r="D9224" i="7"/>
  <c r="D9223" i="7"/>
  <c r="D9222" i="7"/>
  <c r="D9221" i="7"/>
  <c r="D9220" i="7"/>
  <c r="D9219" i="7"/>
  <c r="D9218" i="7"/>
  <c r="D9217" i="7"/>
  <c r="D9216" i="7"/>
  <c r="D9215" i="7"/>
  <c r="D9214" i="7"/>
  <c r="D9213" i="7"/>
  <c r="D9212" i="7"/>
  <c r="D9211" i="7"/>
  <c r="D9210" i="7"/>
  <c r="D9209" i="7"/>
  <c r="D9208" i="7"/>
  <c r="D9207" i="7"/>
  <c r="D9206" i="7"/>
  <c r="D9205" i="7"/>
  <c r="D9204" i="7"/>
  <c r="D9203" i="7"/>
  <c r="D9202" i="7"/>
  <c r="D9201" i="7"/>
  <c r="D9200" i="7"/>
  <c r="D9199" i="7"/>
  <c r="D9198" i="7"/>
  <c r="D9197" i="7"/>
  <c r="D9196" i="7"/>
  <c r="D9195" i="7"/>
  <c r="D9194" i="7"/>
  <c r="D9193" i="7"/>
  <c r="D9192" i="7"/>
  <c r="D9191" i="7"/>
  <c r="D9190" i="7"/>
  <c r="D9189" i="7"/>
  <c r="D9188" i="7"/>
  <c r="D9187" i="7"/>
  <c r="D9186" i="7"/>
  <c r="D9185" i="7"/>
  <c r="D9184" i="7"/>
  <c r="D9183" i="7"/>
  <c r="D9182" i="7"/>
  <c r="D9181" i="7"/>
  <c r="D9180" i="7"/>
  <c r="D9179" i="7"/>
  <c r="D9178" i="7"/>
  <c r="D9177" i="7"/>
  <c r="D9176" i="7"/>
  <c r="D9175" i="7"/>
  <c r="D9174" i="7"/>
  <c r="D9173" i="7"/>
  <c r="D9172" i="7"/>
  <c r="D9171" i="7"/>
  <c r="D9170" i="7"/>
  <c r="D9169" i="7"/>
  <c r="D9168" i="7"/>
  <c r="D9167" i="7"/>
  <c r="D9166" i="7"/>
  <c r="D9165" i="7"/>
  <c r="D9164" i="7"/>
  <c r="D9163" i="7"/>
  <c r="D9162" i="7"/>
  <c r="D9161" i="7"/>
  <c r="D9160" i="7"/>
  <c r="D9159" i="7"/>
  <c r="D9158" i="7"/>
  <c r="D9157" i="7"/>
  <c r="D9156" i="7"/>
  <c r="D9155" i="7"/>
  <c r="D9154" i="7"/>
  <c r="D9153" i="7"/>
  <c r="D9152" i="7"/>
  <c r="D9151" i="7"/>
  <c r="D9150" i="7"/>
  <c r="D9149" i="7"/>
  <c r="D9148" i="7"/>
  <c r="D9147" i="7"/>
  <c r="D9146" i="7"/>
  <c r="D9145" i="7"/>
  <c r="D9144" i="7"/>
  <c r="D9143" i="7"/>
  <c r="D9142" i="7"/>
  <c r="D9141" i="7"/>
  <c r="D9140" i="7"/>
  <c r="D9139" i="7"/>
  <c r="D9138" i="7"/>
  <c r="D9137" i="7"/>
  <c r="D9136" i="7"/>
  <c r="D9135" i="7"/>
  <c r="D9134" i="7"/>
  <c r="D9133" i="7"/>
  <c r="D9132" i="7"/>
  <c r="D9131" i="7"/>
  <c r="D9130" i="7"/>
  <c r="D9129" i="7"/>
  <c r="D9128" i="7"/>
  <c r="D9127" i="7"/>
  <c r="D9126" i="7"/>
  <c r="D9125" i="7"/>
  <c r="D9124" i="7"/>
  <c r="D9123" i="7"/>
  <c r="D9122" i="7"/>
  <c r="D9121" i="7"/>
  <c r="D9120" i="7"/>
  <c r="D9119" i="7"/>
  <c r="D9118" i="7"/>
  <c r="D9117" i="7"/>
  <c r="D9116" i="7"/>
  <c r="D9115" i="7"/>
  <c r="D9114" i="7"/>
  <c r="D9113" i="7"/>
  <c r="D9112" i="7"/>
  <c r="D9111" i="7"/>
  <c r="D9110" i="7"/>
  <c r="D9109" i="7"/>
  <c r="D9108" i="7"/>
  <c r="D9107" i="7"/>
  <c r="D9106" i="7"/>
  <c r="D9105" i="7"/>
  <c r="D9104" i="7"/>
  <c r="D9103" i="7"/>
  <c r="D9102" i="7"/>
  <c r="D9101" i="7"/>
  <c r="D9100" i="7"/>
  <c r="D9099" i="7"/>
  <c r="D9098" i="7"/>
  <c r="D9097" i="7"/>
  <c r="D9096" i="7"/>
  <c r="D9095" i="7"/>
  <c r="D9094" i="7"/>
  <c r="D9093" i="7"/>
  <c r="D9092" i="7"/>
  <c r="D9091" i="7"/>
  <c r="D9090" i="7"/>
  <c r="D9089" i="7"/>
  <c r="D9088" i="7"/>
  <c r="D9087" i="7"/>
  <c r="D9086" i="7"/>
  <c r="D9085" i="7"/>
  <c r="D9084" i="7"/>
  <c r="D9083" i="7"/>
  <c r="D9082" i="7"/>
  <c r="D9081" i="7"/>
  <c r="D9080" i="7"/>
  <c r="D9079" i="7"/>
  <c r="D9078" i="7"/>
  <c r="D9077" i="7"/>
  <c r="D9076" i="7"/>
  <c r="D9075" i="7"/>
  <c r="D9074" i="7"/>
  <c r="D9073" i="7"/>
  <c r="D9072" i="7"/>
  <c r="D9071" i="7"/>
  <c r="D9070" i="7"/>
  <c r="D9069" i="7"/>
  <c r="D9068" i="7"/>
  <c r="D9067" i="7"/>
  <c r="D9066" i="7"/>
  <c r="D9065" i="7"/>
  <c r="D9064" i="7"/>
  <c r="D9063" i="7"/>
  <c r="D9062" i="7"/>
  <c r="D9061" i="7"/>
  <c r="D9060" i="7"/>
  <c r="D9059" i="7"/>
  <c r="D9058" i="7"/>
  <c r="D9057" i="7"/>
  <c r="D9056" i="7"/>
  <c r="D9055" i="7"/>
  <c r="D9054" i="7"/>
  <c r="D9053" i="7"/>
  <c r="D9052" i="7"/>
  <c r="D9051" i="7"/>
  <c r="D9050" i="7"/>
  <c r="D9049" i="7"/>
  <c r="D9048" i="7"/>
  <c r="D9047" i="7"/>
  <c r="D9046" i="7"/>
  <c r="D9045" i="7"/>
  <c r="D9044" i="7"/>
  <c r="D9043" i="7"/>
  <c r="D9042" i="7"/>
  <c r="D9041" i="7"/>
  <c r="D9040" i="7"/>
  <c r="D9039" i="7"/>
  <c r="D9038" i="7"/>
  <c r="D9037" i="7"/>
  <c r="D9036" i="7"/>
  <c r="D9035" i="7"/>
  <c r="D9034" i="7"/>
  <c r="D9033" i="7"/>
  <c r="D9032" i="7"/>
  <c r="D9031" i="7"/>
  <c r="D9030" i="7"/>
  <c r="D9029" i="7"/>
  <c r="D9028" i="7"/>
  <c r="D9027" i="7"/>
  <c r="D9026" i="7"/>
  <c r="D9025" i="7"/>
  <c r="D9024" i="7"/>
  <c r="D9023" i="7"/>
  <c r="D9022" i="7"/>
  <c r="D9021" i="7"/>
  <c r="D9020" i="7"/>
  <c r="D9019" i="7"/>
  <c r="D9018" i="7"/>
  <c r="D9017" i="7"/>
  <c r="D9016" i="7"/>
  <c r="D9015" i="7"/>
  <c r="D9014" i="7"/>
  <c r="D9013" i="7"/>
  <c r="D9012" i="7"/>
  <c r="D9011" i="7"/>
  <c r="D9010" i="7"/>
  <c r="D9009" i="7"/>
  <c r="D9008" i="7"/>
  <c r="D9007" i="7"/>
  <c r="D9006" i="7"/>
  <c r="D9005" i="7"/>
  <c r="D9004" i="7"/>
  <c r="D9003" i="7"/>
  <c r="D9002" i="7"/>
  <c r="D9001" i="7"/>
  <c r="D9000" i="7"/>
  <c r="D8999" i="7"/>
  <c r="D8998" i="7"/>
  <c r="D8997" i="7"/>
  <c r="D8996" i="7"/>
  <c r="D8995" i="7"/>
  <c r="D8994" i="7"/>
  <c r="D8993" i="7"/>
  <c r="D8992" i="7"/>
  <c r="D8991" i="7"/>
  <c r="D8990" i="7"/>
  <c r="D8989" i="7"/>
  <c r="D8988" i="7"/>
  <c r="D8987" i="7"/>
  <c r="D8986" i="7"/>
  <c r="D8985" i="7"/>
  <c r="D8984" i="7"/>
  <c r="D8983" i="7"/>
  <c r="D8982" i="7"/>
  <c r="D8981" i="7"/>
  <c r="D8980" i="7"/>
  <c r="D8979" i="7"/>
  <c r="D8978" i="7"/>
  <c r="D8977" i="7"/>
  <c r="D8976" i="7"/>
  <c r="D8975" i="7"/>
  <c r="D8974" i="7"/>
  <c r="D8973" i="7"/>
  <c r="D8972" i="7"/>
  <c r="D8971" i="7"/>
  <c r="D8970" i="7"/>
  <c r="D8969" i="7"/>
  <c r="D8968" i="7"/>
  <c r="D8967" i="7"/>
  <c r="D8966" i="7"/>
  <c r="D8965" i="7"/>
  <c r="D8964" i="7"/>
  <c r="D8963" i="7"/>
  <c r="D8962" i="7"/>
  <c r="D8961" i="7"/>
  <c r="D8960" i="7"/>
  <c r="D8959" i="7"/>
  <c r="D8958" i="7"/>
  <c r="D8957" i="7"/>
  <c r="D8956" i="7"/>
  <c r="D8955" i="7"/>
  <c r="D8954" i="7"/>
  <c r="D8953" i="7"/>
  <c r="D8952" i="7"/>
  <c r="D8951" i="7"/>
  <c r="D8950" i="7"/>
  <c r="D8949" i="7"/>
  <c r="D8948" i="7"/>
  <c r="D8947" i="7"/>
  <c r="D8946" i="7"/>
  <c r="D8945" i="7"/>
  <c r="D8944" i="7"/>
  <c r="D8943" i="7"/>
  <c r="D8942" i="7"/>
  <c r="D8941" i="7"/>
  <c r="D8940" i="7"/>
  <c r="D8939" i="7"/>
  <c r="D8938" i="7"/>
  <c r="D8937" i="7"/>
  <c r="D8936" i="7"/>
  <c r="D8935" i="7"/>
  <c r="D8934" i="7"/>
  <c r="D8933" i="7"/>
  <c r="D8932" i="7"/>
  <c r="D8931" i="7"/>
  <c r="D8930" i="7"/>
  <c r="D8929" i="7"/>
  <c r="D8928" i="7"/>
  <c r="D8927" i="7"/>
  <c r="D8926" i="7"/>
  <c r="D8925" i="7"/>
  <c r="D8924" i="7"/>
  <c r="D8923" i="7"/>
  <c r="D8922" i="7"/>
  <c r="D8921" i="7"/>
  <c r="D8920" i="7"/>
  <c r="D8919" i="7"/>
  <c r="D8918" i="7"/>
  <c r="D8917" i="7"/>
  <c r="D8916" i="7"/>
  <c r="D8915" i="7"/>
  <c r="D8914" i="7"/>
  <c r="D8913" i="7"/>
  <c r="D8912" i="7"/>
  <c r="D8911" i="7"/>
  <c r="D8910" i="7"/>
  <c r="D8909" i="7"/>
  <c r="D8908" i="7"/>
  <c r="D8907" i="7"/>
  <c r="D8906" i="7"/>
  <c r="D8905" i="7"/>
  <c r="D8904" i="7"/>
  <c r="D8903" i="7"/>
  <c r="D8902" i="7"/>
  <c r="D8901" i="7"/>
  <c r="D8900" i="7"/>
  <c r="D8899" i="7"/>
  <c r="D8898" i="7"/>
  <c r="D8897" i="7"/>
  <c r="D8896" i="7"/>
  <c r="D8895" i="7"/>
  <c r="D8894" i="7"/>
  <c r="D8893" i="7"/>
  <c r="D8892" i="7"/>
  <c r="D8891" i="7"/>
  <c r="D8890" i="7"/>
  <c r="D8889" i="7"/>
  <c r="D8888" i="7"/>
  <c r="D8887" i="7"/>
  <c r="D8886" i="7"/>
  <c r="D8885" i="7"/>
  <c r="D8884" i="7"/>
  <c r="D8883" i="7"/>
  <c r="D8882" i="7"/>
  <c r="D8881" i="7"/>
  <c r="D8880" i="7"/>
  <c r="D8879" i="7"/>
  <c r="D8878" i="7"/>
  <c r="D8877" i="7"/>
  <c r="D8876" i="7"/>
  <c r="D8875" i="7"/>
  <c r="D8874" i="7"/>
  <c r="D8873" i="7"/>
  <c r="D8872" i="7"/>
  <c r="D8871" i="7"/>
  <c r="D8870" i="7"/>
  <c r="D8869" i="7"/>
  <c r="D8868" i="7"/>
  <c r="D8867" i="7"/>
  <c r="D8866" i="7"/>
  <c r="D8865" i="7"/>
  <c r="D8864" i="7"/>
  <c r="D8863" i="7"/>
  <c r="D8862" i="7"/>
  <c r="D8861" i="7"/>
  <c r="D8860" i="7"/>
  <c r="D8859" i="7"/>
  <c r="D8858" i="7"/>
  <c r="D8857" i="7"/>
  <c r="D8856" i="7"/>
  <c r="D8855" i="7"/>
  <c r="D8854" i="7"/>
  <c r="D8853" i="7"/>
  <c r="D8852" i="7"/>
  <c r="D8851" i="7"/>
  <c r="D8850" i="7"/>
  <c r="D8849" i="7"/>
  <c r="D8848" i="7"/>
  <c r="D8847" i="7"/>
  <c r="D8846" i="7"/>
  <c r="D8845" i="7"/>
  <c r="D8844" i="7"/>
  <c r="D8843" i="7"/>
  <c r="D8842" i="7"/>
  <c r="D8841" i="7"/>
  <c r="D8840" i="7"/>
  <c r="D8839" i="7"/>
  <c r="D8838" i="7"/>
  <c r="D8837" i="7"/>
  <c r="D8836" i="7"/>
  <c r="D8835" i="7"/>
  <c r="D8834" i="7"/>
  <c r="D8833" i="7"/>
  <c r="D8832" i="7"/>
  <c r="D8831" i="7"/>
  <c r="D8830" i="7"/>
  <c r="D8829" i="7"/>
  <c r="D8828" i="7"/>
  <c r="D8827" i="7"/>
  <c r="D8826" i="7"/>
  <c r="D8825" i="7"/>
  <c r="D8824" i="7"/>
  <c r="D8823" i="7"/>
  <c r="D8822" i="7"/>
  <c r="D8821" i="7"/>
  <c r="D8820" i="7"/>
  <c r="D8819" i="7"/>
  <c r="D8818" i="7"/>
  <c r="D8817" i="7"/>
  <c r="D8816" i="7"/>
  <c r="D8815" i="7"/>
  <c r="D8814" i="7"/>
  <c r="D8813" i="7"/>
  <c r="D8812" i="7"/>
  <c r="D8811" i="7"/>
  <c r="D8810" i="7"/>
  <c r="D8809" i="7"/>
  <c r="D8808" i="7"/>
  <c r="D8807" i="7"/>
  <c r="D8806" i="7"/>
  <c r="D8805" i="7"/>
  <c r="D8804" i="7"/>
  <c r="D8803" i="7"/>
  <c r="D8802" i="7"/>
  <c r="D8801" i="7"/>
  <c r="D8800" i="7"/>
  <c r="D8799" i="7"/>
  <c r="D8798" i="7"/>
  <c r="D8797" i="7"/>
  <c r="D8796" i="7"/>
  <c r="D8795" i="7"/>
  <c r="D8794" i="7"/>
  <c r="D8793" i="7"/>
  <c r="D8792" i="7"/>
  <c r="D8791" i="7"/>
  <c r="D8790" i="7"/>
  <c r="D8789" i="7"/>
  <c r="D8788" i="7"/>
  <c r="D8787" i="7"/>
  <c r="D8786" i="7"/>
  <c r="D8785" i="7"/>
  <c r="D8784" i="7"/>
  <c r="D8783" i="7"/>
  <c r="D8782" i="7"/>
  <c r="D8781" i="7"/>
  <c r="D8780" i="7"/>
  <c r="D8779" i="7"/>
  <c r="D8778" i="7"/>
  <c r="D8777" i="7"/>
  <c r="D8776" i="7"/>
  <c r="D8775" i="7"/>
  <c r="D8774" i="7"/>
  <c r="D8773" i="7"/>
  <c r="D8772" i="7"/>
  <c r="D8771" i="7"/>
  <c r="D8770" i="7"/>
  <c r="D8769" i="7"/>
  <c r="D8768" i="7"/>
  <c r="D8767" i="7"/>
  <c r="D8766" i="7"/>
  <c r="D8765" i="7"/>
  <c r="D8764" i="7"/>
  <c r="D8763" i="7"/>
  <c r="D8762" i="7"/>
  <c r="D8761" i="7"/>
  <c r="D8760" i="7"/>
  <c r="D8759" i="7"/>
  <c r="D8758" i="7"/>
  <c r="D8757" i="7"/>
  <c r="D8756" i="7"/>
  <c r="D8755" i="7"/>
  <c r="D8754" i="7"/>
  <c r="D8753" i="7"/>
  <c r="D8752" i="7"/>
  <c r="D8751" i="7"/>
  <c r="D8750" i="7"/>
  <c r="D8749" i="7"/>
  <c r="D8748" i="7"/>
  <c r="D8747" i="7"/>
  <c r="D8746" i="7"/>
  <c r="D8745" i="7"/>
  <c r="D8744" i="7"/>
  <c r="D8743" i="7"/>
  <c r="D8742" i="7"/>
  <c r="D8741" i="7"/>
  <c r="D8740" i="7"/>
  <c r="D8739" i="7"/>
  <c r="D8738" i="7"/>
  <c r="D8737" i="7"/>
  <c r="D8736" i="7"/>
  <c r="D8735" i="7"/>
  <c r="D8734" i="7"/>
  <c r="D8733" i="7"/>
  <c r="D8732" i="7"/>
  <c r="D8731" i="7"/>
  <c r="D8730" i="7"/>
  <c r="D8729" i="7"/>
  <c r="D8728" i="7"/>
  <c r="D8727" i="7"/>
  <c r="D8726" i="7"/>
  <c r="D8725" i="7"/>
  <c r="D8724" i="7"/>
  <c r="D8723" i="7"/>
  <c r="D8722" i="7"/>
  <c r="D8721" i="7"/>
  <c r="D8720" i="7"/>
  <c r="D8719" i="7"/>
  <c r="D8718" i="7"/>
  <c r="D8717" i="7"/>
  <c r="D8716" i="7"/>
  <c r="D8715" i="7"/>
  <c r="D8714" i="7"/>
  <c r="D8713" i="7"/>
  <c r="D8712" i="7"/>
  <c r="D8711" i="7"/>
  <c r="D8710" i="7"/>
  <c r="D8709" i="7"/>
  <c r="D8708" i="7"/>
  <c r="D8707" i="7"/>
  <c r="D8706" i="7"/>
  <c r="D8705" i="7"/>
  <c r="D8704" i="7"/>
  <c r="D8703" i="7"/>
  <c r="D8702" i="7"/>
  <c r="D8701" i="7"/>
  <c r="D8700" i="7"/>
  <c r="D8699" i="7"/>
  <c r="D8698" i="7"/>
  <c r="D8697" i="7"/>
  <c r="D8696" i="7"/>
  <c r="D8695" i="7"/>
  <c r="D8694" i="7"/>
  <c r="D8693" i="7"/>
  <c r="D8692" i="7"/>
  <c r="D8691" i="7"/>
  <c r="D8690" i="7"/>
  <c r="D8689" i="7"/>
  <c r="D8688" i="7"/>
  <c r="D8687" i="7"/>
  <c r="D8686" i="7"/>
  <c r="D8685" i="7"/>
  <c r="D8684" i="7"/>
  <c r="D8683" i="7"/>
  <c r="D8682" i="7"/>
  <c r="D8681" i="7"/>
  <c r="D8680" i="7"/>
  <c r="D8679" i="7"/>
  <c r="D8678" i="7"/>
  <c r="D8677" i="7"/>
  <c r="D8676" i="7"/>
  <c r="D8675" i="7"/>
  <c r="D8674" i="7"/>
  <c r="D8673" i="7"/>
  <c r="D8672" i="7"/>
  <c r="D8671" i="7"/>
  <c r="D8670" i="7"/>
  <c r="D8669" i="7"/>
  <c r="D8668" i="7"/>
  <c r="D8667" i="7"/>
  <c r="D8666" i="7"/>
  <c r="D8665" i="7"/>
  <c r="D8664" i="7"/>
  <c r="D8663" i="7"/>
  <c r="D8662" i="7"/>
  <c r="D8661" i="7"/>
  <c r="D8660" i="7"/>
  <c r="D8659" i="7"/>
  <c r="D8658" i="7"/>
  <c r="D8657" i="7"/>
  <c r="D8656" i="7"/>
  <c r="D8655" i="7"/>
  <c r="D8654" i="7"/>
  <c r="D8653" i="7"/>
  <c r="D8652" i="7"/>
  <c r="D8651" i="7"/>
  <c r="D8650" i="7"/>
  <c r="D8649" i="7"/>
  <c r="D8648" i="7"/>
  <c r="D8647" i="7"/>
  <c r="D8646" i="7"/>
  <c r="D8645" i="7"/>
  <c r="D8644" i="7"/>
  <c r="D8643" i="7"/>
  <c r="D8642" i="7"/>
  <c r="D8641" i="7"/>
  <c r="D8640" i="7"/>
  <c r="D8639" i="7"/>
  <c r="D8638" i="7"/>
  <c r="D8637" i="7"/>
  <c r="D8636" i="7"/>
  <c r="D8635" i="7"/>
  <c r="D8634" i="7"/>
  <c r="D8633" i="7"/>
  <c r="D8632" i="7"/>
  <c r="D8631" i="7"/>
  <c r="D8630" i="7"/>
  <c r="D8629" i="7"/>
  <c r="D8628" i="7"/>
  <c r="D8627" i="7"/>
  <c r="D8626" i="7"/>
  <c r="D8625" i="7"/>
  <c r="D8624" i="7"/>
  <c r="D8623" i="7"/>
  <c r="D8622" i="7"/>
  <c r="D8621" i="7"/>
  <c r="D8620" i="7"/>
  <c r="D8619" i="7"/>
  <c r="D8618" i="7"/>
  <c r="D8617" i="7"/>
  <c r="D8616" i="7"/>
  <c r="D8615" i="7"/>
  <c r="D8614" i="7"/>
  <c r="D8613" i="7"/>
  <c r="D8612" i="7"/>
  <c r="D8611" i="7"/>
  <c r="D8610" i="7"/>
  <c r="D8609" i="7"/>
  <c r="D8608" i="7"/>
  <c r="D8607" i="7"/>
  <c r="D8606" i="7"/>
  <c r="D8605" i="7"/>
  <c r="D8604" i="7"/>
  <c r="D8603" i="7"/>
  <c r="D8602" i="7"/>
  <c r="D8601" i="7"/>
  <c r="D8600" i="7"/>
  <c r="D8599" i="7"/>
  <c r="D8598" i="7"/>
  <c r="D8597" i="7"/>
  <c r="D8596" i="7"/>
  <c r="D8595" i="7"/>
  <c r="D8594" i="7"/>
  <c r="D8593" i="7"/>
  <c r="D8592" i="7"/>
  <c r="D8591" i="7"/>
  <c r="D8590" i="7"/>
  <c r="D8589" i="7"/>
  <c r="D8588" i="7"/>
  <c r="D8587" i="7"/>
  <c r="D8586" i="7"/>
  <c r="D8585" i="7"/>
  <c r="D8584" i="7"/>
  <c r="D8583" i="7"/>
  <c r="D8582" i="7"/>
  <c r="D8581" i="7"/>
  <c r="D8580" i="7"/>
  <c r="D8579" i="7"/>
  <c r="D8578" i="7"/>
  <c r="D8577" i="7"/>
  <c r="D8576" i="7"/>
  <c r="D8575" i="7"/>
  <c r="D8574" i="7"/>
  <c r="D8573" i="7"/>
  <c r="D8572" i="7"/>
  <c r="D8571" i="7"/>
  <c r="D8570" i="7"/>
  <c r="D8569" i="7"/>
  <c r="D8568" i="7"/>
  <c r="D8567" i="7"/>
  <c r="D8566" i="7"/>
  <c r="D8565" i="7"/>
  <c r="D8564" i="7"/>
  <c r="D8563" i="7"/>
  <c r="D8562" i="7"/>
  <c r="D8561" i="7"/>
  <c r="D8560" i="7"/>
  <c r="D8559" i="7"/>
  <c r="D8558" i="7"/>
  <c r="D8557" i="7"/>
  <c r="D8556" i="7"/>
  <c r="D8555" i="7"/>
  <c r="D8554" i="7"/>
  <c r="D8553" i="7"/>
  <c r="D8552" i="7"/>
  <c r="D8551" i="7"/>
  <c r="D8550" i="7"/>
  <c r="D8549" i="7"/>
  <c r="D8548" i="7"/>
  <c r="D8547" i="7"/>
  <c r="D8546" i="7"/>
  <c r="D8545" i="7"/>
  <c r="D8544" i="7"/>
  <c r="D8543" i="7"/>
  <c r="D8542" i="7"/>
  <c r="D8541" i="7"/>
  <c r="D8540" i="7"/>
  <c r="D8539" i="7"/>
  <c r="D8538" i="7"/>
  <c r="D8537" i="7"/>
  <c r="D8536" i="7"/>
  <c r="D8535" i="7"/>
  <c r="D8534" i="7"/>
  <c r="D8533" i="7"/>
  <c r="D8532" i="7"/>
  <c r="D8531" i="7"/>
  <c r="D8530" i="7"/>
  <c r="D8529" i="7"/>
  <c r="D8528" i="7"/>
  <c r="D8527" i="7"/>
  <c r="D8526" i="7"/>
  <c r="D8525" i="7"/>
  <c r="D8524" i="7"/>
  <c r="D8523" i="7"/>
  <c r="D8522" i="7"/>
  <c r="D8521" i="7"/>
  <c r="D8520" i="7"/>
  <c r="D8519" i="7"/>
  <c r="D8518" i="7"/>
  <c r="D8517" i="7"/>
  <c r="D8516" i="7"/>
  <c r="D8515" i="7"/>
  <c r="D8514" i="7"/>
  <c r="D8513" i="7"/>
  <c r="D8512" i="7"/>
  <c r="D8511" i="7"/>
  <c r="D8510" i="7"/>
  <c r="D8509" i="7"/>
  <c r="D8508" i="7"/>
  <c r="D8507" i="7"/>
  <c r="D8506" i="7"/>
  <c r="D8505" i="7"/>
  <c r="D8504" i="7"/>
  <c r="D8503" i="7"/>
  <c r="D8502" i="7"/>
  <c r="D8501" i="7"/>
  <c r="D8500" i="7"/>
  <c r="D8499" i="7"/>
  <c r="D8498" i="7"/>
  <c r="D8497" i="7"/>
  <c r="D8496" i="7"/>
  <c r="D8495" i="7"/>
  <c r="D8494" i="7"/>
  <c r="D8493" i="7"/>
  <c r="D8492" i="7"/>
  <c r="D8491" i="7"/>
  <c r="D8490" i="7"/>
  <c r="D8489" i="7"/>
  <c r="D8488" i="7"/>
  <c r="D8487" i="7"/>
  <c r="D8486" i="7"/>
  <c r="D8485" i="7"/>
  <c r="D8484" i="7"/>
  <c r="D8483" i="7"/>
  <c r="D8482" i="7"/>
  <c r="D8481" i="7"/>
  <c r="D8480" i="7"/>
  <c r="D8479" i="7"/>
  <c r="D8478" i="7"/>
  <c r="D8477" i="7"/>
  <c r="D8476" i="7"/>
  <c r="D8475" i="7"/>
  <c r="D8474" i="7"/>
  <c r="D8473" i="7"/>
  <c r="D8472" i="7"/>
  <c r="D8471" i="7"/>
  <c r="D8470" i="7"/>
  <c r="D8469" i="7"/>
  <c r="D8468" i="7"/>
  <c r="D8467" i="7"/>
  <c r="D8466" i="7"/>
  <c r="D8465" i="7"/>
  <c r="D8464" i="7"/>
  <c r="D8463" i="7"/>
  <c r="D8462" i="7"/>
  <c r="D8461" i="7"/>
  <c r="D8460" i="7"/>
  <c r="D8459" i="7"/>
  <c r="D8458" i="7"/>
  <c r="D8457" i="7"/>
  <c r="D8456" i="7"/>
  <c r="D8455" i="7"/>
  <c r="D8454" i="7"/>
  <c r="D8453" i="7"/>
  <c r="D8452" i="7"/>
  <c r="D8451" i="7"/>
  <c r="D8450" i="7"/>
  <c r="D8449" i="7"/>
  <c r="D8448" i="7"/>
  <c r="D8447" i="7"/>
  <c r="D8446" i="7"/>
  <c r="D8445" i="7"/>
  <c r="D8444" i="7"/>
  <c r="D8443" i="7"/>
  <c r="D8442" i="7"/>
  <c r="D8441" i="7"/>
  <c r="D8440" i="7"/>
  <c r="D8439" i="7"/>
  <c r="D8438" i="7"/>
  <c r="D8437" i="7"/>
  <c r="D8436" i="7"/>
  <c r="D8435" i="7"/>
  <c r="D8434" i="7"/>
  <c r="D8433" i="7"/>
  <c r="D8432" i="7"/>
  <c r="D8431" i="7"/>
  <c r="D8430" i="7"/>
  <c r="D8429" i="7"/>
  <c r="D8428" i="7"/>
  <c r="D8427" i="7"/>
  <c r="D8426" i="7"/>
  <c r="D8425" i="7"/>
  <c r="D8424" i="7"/>
  <c r="D8423" i="7"/>
  <c r="D8422" i="7"/>
  <c r="D8421" i="7"/>
  <c r="D8420" i="7"/>
  <c r="D8419" i="7"/>
  <c r="D8418" i="7"/>
  <c r="D8417" i="7"/>
  <c r="D8416" i="7"/>
  <c r="D8415" i="7"/>
  <c r="D8414" i="7"/>
  <c r="D8413" i="7"/>
  <c r="D8412" i="7"/>
  <c r="D8411" i="7"/>
  <c r="D8410" i="7"/>
  <c r="D8409" i="7"/>
  <c r="D8408" i="7"/>
  <c r="D8407" i="7"/>
  <c r="D8406" i="7"/>
  <c r="D8405" i="7"/>
  <c r="D8404" i="7"/>
  <c r="D8403" i="7"/>
  <c r="D8402" i="7"/>
  <c r="D8401" i="7"/>
  <c r="D8400" i="7"/>
  <c r="D8399" i="7"/>
  <c r="D8398" i="7"/>
  <c r="D8397" i="7"/>
  <c r="D8396" i="7"/>
  <c r="D8395" i="7"/>
  <c r="D8394" i="7"/>
  <c r="D8393" i="7"/>
  <c r="D8392" i="7"/>
  <c r="D8391" i="7"/>
  <c r="D8390" i="7"/>
  <c r="D8389" i="7"/>
  <c r="D8388" i="7"/>
  <c r="D8387" i="7"/>
  <c r="D8386" i="7"/>
  <c r="D8385" i="7"/>
  <c r="D8384" i="7"/>
  <c r="D8383" i="7"/>
  <c r="D8382" i="7"/>
  <c r="D8381" i="7"/>
  <c r="D8380" i="7"/>
  <c r="D8379" i="7"/>
  <c r="D8378" i="7"/>
  <c r="D8377" i="7"/>
  <c r="D8376" i="7"/>
  <c r="D8375" i="7"/>
  <c r="D8374" i="7"/>
  <c r="D8373" i="7"/>
  <c r="D8372" i="7"/>
  <c r="D8371" i="7"/>
  <c r="D8370" i="7"/>
  <c r="D8369" i="7"/>
  <c r="D8368" i="7"/>
  <c r="D8367" i="7"/>
  <c r="D8366" i="7"/>
  <c r="D8365" i="7"/>
  <c r="D8364" i="7"/>
  <c r="D8363" i="7"/>
  <c r="D8362" i="7"/>
  <c r="D8361" i="7"/>
  <c r="D8360" i="7"/>
  <c r="D8359" i="7"/>
  <c r="D8358" i="7"/>
  <c r="D8357" i="7"/>
  <c r="D8356" i="7"/>
  <c r="D8355" i="7"/>
  <c r="D8354" i="7"/>
  <c r="D8353" i="7"/>
  <c r="D8352" i="7"/>
  <c r="D8351" i="7"/>
  <c r="D8350" i="7"/>
  <c r="D8349" i="7"/>
  <c r="D8348" i="7"/>
  <c r="D8347" i="7"/>
  <c r="D8346" i="7"/>
  <c r="D8345" i="7"/>
  <c r="D8344" i="7"/>
  <c r="D8343" i="7"/>
  <c r="D8342" i="7"/>
  <c r="D8341" i="7"/>
  <c r="D8340" i="7"/>
  <c r="D8339" i="7"/>
  <c r="D8338" i="7"/>
  <c r="D8337" i="7"/>
  <c r="D8336" i="7"/>
  <c r="D8335" i="7"/>
  <c r="D8334" i="7"/>
  <c r="D8333" i="7"/>
  <c r="D8332" i="7"/>
  <c r="D8331" i="7"/>
  <c r="D8330" i="7"/>
  <c r="D8329" i="7"/>
  <c r="D8328" i="7"/>
  <c r="D8327" i="7"/>
  <c r="D8326" i="7"/>
  <c r="D8325" i="7"/>
  <c r="D8324" i="7"/>
  <c r="D8323" i="7"/>
  <c r="D8322" i="7"/>
  <c r="D8321" i="7"/>
  <c r="D8320" i="7"/>
  <c r="D8319" i="7"/>
  <c r="D8318" i="7"/>
  <c r="D8317" i="7"/>
  <c r="D8316" i="7"/>
  <c r="D8315" i="7"/>
  <c r="D8314" i="7"/>
  <c r="D8313" i="7"/>
  <c r="D8312" i="7"/>
  <c r="D8311" i="7"/>
  <c r="D8310" i="7"/>
  <c r="D8309" i="7"/>
  <c r="D8308" i="7"/>
  <c r="D8307" i="7"/>
  <c r="D8306" i="7"/>
  <c r="D8305" i="7"/>
  <c r="D8304" i="7"/>
  <c r="D8303" i="7"/>
  <c r="D8302" i="7"/>
  <c r="D8301" i="7"/>
  <c r="D8300" i="7"/>
  <c r="D8299" i="7"/>
  <c r="D8298" i="7"/>
  <c r="D8297" i="7"/>
  <c r="D8296" i="7"/>
  <c r="D8295" i="7"/>
  <c r="D8294" i="7"/>
  <c r="D8293" i="7"/>
  <c r="D8292" i="7"/>
  <c r="D8291" i="7"/>
  <c r="D8290" i="7"/>
  <c r="D8289" i="7"/>
  <c r="D8288" i="7"/>
  <c r="D8287" i="7"/>
  <c r="D8286" i="7"/>
  <c r="D8285" i="7"/>
  <c r="D8284" i="7"/>
  <c r="D8283" i="7"/>
  <c r="D8282" i="7"/>
  <c r="D8281" i="7"/>
  <c r="D8280" i="7"/>
  <c r="D8279" i="7"/>
  <c r="D8278" i="7"/>
  <c r="D8277" i="7"/>
  <c r="D8276" i="7"/>
  <c r="D8275" i="7"/>
  <c r="D8274" i="7"/>
  <c r="D8273" i="7"/>
  <c r="D8272" i="7"/>
  <c r="D8271" i="7"/>
  <c r="D8270" i="7"/>
  <c r="D8269" i="7"/>
  <c r="D8268" i="7"/>
  <c r="D8267" i="7"/>
  <c r="D8266" i="7"/>
  <c r="D8265" i="7"/>
  <c r="D8264" i="7"/>
  <c r="D8263" i="7"/>
  <c r="D8262" i="7"/>
  <c r="D8261" i="7"/>
  <c r="D8260" i="7"/>
  <c r="D8259" i="7"/>
  <c r="D8258" i="7"/>
  <c r="D8257" i="7"/>
  <c r="D8256" i="7"/>
  <c r="D8255" i="7"/>
  <c r="D8254" i="7"/>
  <c r="D8253" i="7"/>
  <c r="D8252" i="7"/>
  <c r="D8251" i="7"/>
  <c r="D8250" i="7"/>
  <c r="D8249" i="7"/>
  <c r="D8248" i="7"/>
  <c r="D8247" i="7"/>
  <c r="D8246" i="7"/>
  <c r="D8245" i="7"/>
  <c r="D8244" i="7"/>
  <c r="D8243" i="7"/>
  <c r="D8242" i="7"/>
  <c r="D8241" i="7"/>
  <c r="D8240" i="7"/>
  <c r="D8239" i="7"/>
  <c r="D8238" i="7"/>
  <c r="D8237" i="7"/>
  <c r="D8236" i="7"/>
  <c r="D8235" i="7"/>
  <c r="D8234" i="7"/>
  <c r="D8233" i="7"/>
  <c r="D8232" i="7"/>
  <c r="D8231" i="7"/>
  <c r="D8230" i="7"/>
  <c r="D8229" i="7"/>
  <c r="D8228" i="7"/>
  <c r="D8227" i="7"/>
  <c r="D8226" i="7"/>
  <c r="D8225" i="7"/>
  <c r="D8224" i="7"/>
  <c r="D8223" i="7"/>
  <c r="D8222" i="7"/>
  <c r="D8221" i="7"/>
  <c r="D8220" i="7"/>
  <c r="D8219" i="7"/>
  <c r="D8218" i="7"/>
  <c r="D8217" i="7"/>
  <c r="D8216" i="7"/>
  <c r="D8215" i="7"/>
  <c r="D8214" i="7"/>
  <c r="D8213" i="7"/>
  <c r="D8212" i="7"/>
  <c r="D8211" i="7"/>
  <c r="D8210" i="7"/>
  <c r="D8209" i="7"/>
  <c r="D8208" i="7"/>
  <c r="D8207" i="7"/>
  <c r="D8206" i="7"/>
  <c r="D8205" i="7"/>
  <c r="D8204" i="7"/>
  <c r="D8203" i="7"/>
  <c r="D8202" i="7"/>
  <c r="D8201" i="7"/>
  <c r="D8200" i="7"/>
  <c r="D8199" i="7"/>
  <c r="D8198" i="7"/>
  <c r="D8197" i="7"/>
  <c r="D8196" i="7"/>
  <c r="D8195" i="7"/>
  <c r="D8194" i="7"/>
  <c r="D8193" i="7"/>
  <c r="D8192" i="7"/>
  <c r="D8191" i="7"/>
  <c r="D8190" i="7"/>
  <c r="D8189" i="7"/>
  <c r="D8188" i="7"/>
  <c r="D8187" i="7"/>
  <c r="D8186" i="7"/>
  <c r="D8185" i="7"/>
  <c r="D8184" i="7"/>
  <c r="D8183" i="7"/>
  <c r="D8182" i="7"/>
  <c r="D8181" i="7"/>
  <c r="D8180" i="7"/>
  <c r="D8179" i="7"/>
  <c r="D8178" i="7"/>
  <c r="D8177" i="7"/>
  <c r="D8176" i="7"/>
  <c r="D8175" i="7"/>
  <c r="D8174" i="7"/>
  <c r="D8173" i="7"/>
  <c r="D8172" i="7"/>
  <c r="D8171" i="7"/>
  <c r="D8170" i="7"/>
  <c r="D8169" i="7"/>
  <c r="D8168" i="7"/>
  <c r="D8167" i="7"/>
  <c r="D8166" i="7"/>
  <c r="D8165" i="7"/>
  <c r="D8164" i="7"/>
  <c r="D8163" i="7"/>
  <c r="D8162" i="7"/>
  <c r="D8161" i="7"/>
  <c r="D8160" i="7"/>
  <c r="D8159" i="7"/>
  <c r="D8158" i="7"/>
  <c r="D8157" i="7"/>
  <c r="D8156" i="7"/>
  <c r="D8155" i="7"/>
  <c r="D8154" i="7"/>
  <c r="D8153" i="7"/>
  <c r="D8152" i="7"/>
  <c r="D8151" i="7"/>
  <c r="D8150" i="7"/>
  <c r="D8149" i="7"/>
  <c r="D8148" i="7"/>
  <c r="D8147" i="7"/>
  <c r="D8146" i="7"/>
  <c r="D8145" i="7"/>
  <c r="D8144" i="7"/>
  <c r="D8143" i="7"/>
  <c r="D8142" i="7"/>
  <c r="D8141" i="7"/>
  <c r="D8140" i="7"/>
  <c r="D8139" i="7"/>
  <c r="D8138" i="7"/>
  <c r="D8137" i="7"/>
  <c r="D8136" i="7"/>
  <c r="D8135" i="7"/>
  <c r="D8134" i="7"/>
  <c r="D8133" i="7"/>
  <c r="D8132" i="7"/>
  <c r="D8131" i="7"/>
  <c r="D8130" i="7"/>
  <c r="D8129" i="7"/>
  <c r="D8128" i="7"/>
  <c r="D8127" i="7"/>
  <c r="D8126" i="7"/>
  <c r="D8125" i="7"/>
  <c r="D8124" i="7"/>
  <c r="D8123" i="7"/>
  <c r="D8122" i="7"/>
  <c r="D8121" i="7"/>
  <c r="D8120" i="7"/>
  <c r="D8119" i="7"/>
  <c r="D8118" i="7"/>
  <c r="D8117" i="7"/>
  <c r="D8116" i="7"/>
  <c r="D8115" i="7"/>
  <c r="D8114" i="7"/>
  <c r="D8113" i="7"/>
  <c r="D8112" i="7"/>
  <c r="D8111" i="7"/>
  <c r="D8110" i="7"/>
  <c r="D8109" i="7"/>
  <c r="D8108" i="7"/>
  <c r="D8107" i="7"/>
  <c r="D8106" i="7"/>
  <c r="D8105" i="7"/>
  <c r="D8104" i="7"/>
  <c r="D8103" i="7"/>
  <c r="D8102" i="7"/>
  <c r="D8101" i="7"/>
  <c r="D8100" i="7"/>
  <c r="D8099" i="7"/>
  <c r="D8098" i="7"/>
  <c r="D8097" i="7"/>
  <c r="D8096" i="7"/>
  <c r="D8095" i="7"/>
  <c r="D8094" i="7"/>
  <c r="D8093" i="7"/>
  <c r="D8092" i="7"/>
  <c r="D8091" i="7"/>
  <c r="D8090" i="7"/>
  <c r="D8089" i="7"/>
  <c r="D8088" i="7"/>
  <c r="D8087" i="7"/>
  <c r="D8086" i="7"/>
  <c r="D8085" i="7"/>
  <c r="D8084" i="7"/>
  <c r="D8083" i="7"/>
  <c r="D8082" i="7"/>
  <c r="D8081" i="7"/>
  <c r="D8080" i="7"/>
  <c r="D8079" i="7"/>
  <c r="D8078" i="7"/>
  <c r="D8077" i="7"/>
  <c r="D8076" i="7"/>
  <c r="D8075" i="7"/>
  <c r="D8074" i="7"/>
  <c r="D8073" i="7"/>
  <c r="D8072" i="7"/>
  <c r="D8071" i="7"/>
  <c r="D8070" i="7"/>
  <c r="D8069" i="7"/>
  <c r="D8068" i="7"/>
  <c r="D8067" i="7"/>
  <c r="D8066" i="7"/>
  <c r="D8065" i="7"/>
  <c r="D8064" i="7"/>
  <c r="D8063" i="7"/>
  <c r="D8062" i="7"/>
  <c r="D8061" i="7"/>
  <c r="D8060" i="7"/>
  <c r="D8059" i="7"/>
  <c r="D8058" i="7"/>
  <c r="D8057" i="7"/>
  <c r="D8056" i="7"/>
  <c r="D8055" i="7"/>
  <c r="D8054" i="7"/>
  <c r="D8053" i="7"/>
  <c r="D8052" i="7"/>
  <c r="D8051" i="7"/>
  <c r="D8050" i="7"/>
  <c r="D8049" i="7"/>
  <c r="D8048" i="7"/>
  <c r="D8047" i="7"/>
  <c r="D8046" i="7"/>
  <c r="D8045" i="7"/>
  <c r="D8044" i="7"/>
  <c r="D8043" i="7"/>
  <c r="D8042" i="7"/>
  <c r="D8041" i="7"/>
  <c r="D8040" i="7"/>
  <c r="D8039" i="7"/>
  <c r="D8038" i="7"/>
  <c r="D8037" i="7"/>
  <c r="D8036" i="7"/>
  <c r="D8035" i="7"/>
  <c r="D8034" i="7"/>
  <c r="D8033" i="7"/>
  <c r="D8032" i="7"/>
  <c r="D8031" i="7"/>
  <c r="D8030" i="7"/>
  <c r="D8029" i="7"/>
  <c r="D8028" i="7"/>
  <c r="D8027" i="7"/>
  <c r="D8026" i="7"/>
  <c r="D8025" i="7"/>
  <c r="D8024" i="7"/>
  <c r="D8023" i="7"/>
  <c r="D8022" i="7"/>
  <c r="D8021" i="7"/>
  <c r="D8020" i="7"/>
  <c r="D8019" i="7"/>
  <c r="D8018" i="7"/>
  <c r="D8017" i="7"/>
  <c r="D8016" i="7"/>
  <c r="D8015" i="7"/>
  <c r="D8014" i="7"/>
  <c r="D8013" i="7"/>
  <c r="D8012" i="7"/>
  <c r="D8011" i="7"/>
  <c r="D8010" i="7"/>
  <c r="D8009" i="7"/>
  <c r="D8008" i="7"/>
  <c r="D8007" i="7"/>
  <c r="D8006" i="7"/>
  <c r="D8005" i="7"/>
  <c r="D8004" i="7"/>
  <c r="D8003" i="7"/>
  <c r="D8002" i="7"/>
  <c r="D8001" i="7"/>
  <c r="D8000" i="7"/>
  <c r="D7999" i="7"/>
  <c r="D7998" i="7"/>
  <c r="D7997" i="7"/>
  <c r="D7996" i="7"/>
  <c r="D7995" i="7"/>
  <c r="D7994" i="7"/>
  <c r="D7993" i="7"/>
  <c r="D7992" i="7"/>
  <c r="D7991" i="7"/>
  <c r="D7990" i="7"/>
  <c r="D7989" i="7"/>
  <c r="D7988" i="7"/>
  <c r="D7987" i="7"/>
  <c r="D7986" i="7"/>
  <c r="D7985" i="7"/>
  <c r="D7984" i="7"/>
  <c r="D7983" i="7"/>
  <c r="D7982" i="7"/>
  <c r="D7981" i="7"/>
  <c r="D7980" i="7"/>
  <c r="D7979" i="7"/>
  <c r="D7978" i="7"/>
  <c r="D7977" i="7"/>
  <c r="D7976" i="7"/>
  <c r="D7975" i="7"/>
  <c r="D7974" i="7"/>
  <c r="D7973" i="7"/>
  <c r="D7972" i="7"/>
  <c r="D7971" i="7"/>
  <c r="D7970" i="7"/>
  <c r="D7969" i="7"/>
  <c r="D7968" i="7"/>
  <c r="D7967" i="7"/>
  <c r="D7966" i="7"/>
  <c r="D7965" i="7"/>
  <c r="D7964" i="7"/>
  <c r="D7963" i="7"/>
  <c r="D7962" i="7"/>
  <c r="D7961" i="7"/>
  <c r="D7960" i="7"/>
  <c r="D7959" i="7"/>
  <c r="D7958" i="7"/>
  <c r="D7957" i="7"/>
  <c r="D7956" i="7"/>
  <c r="D7955" i="7"/>
  <c r="D7954" i="7"/>
  <c r="D7953" i="7"/>
  <c r="D7952" i="7"/>
  <c r="D7951" i="7"/>
  <c r="D7950" i="7"/>
  <c r="D7949" i="7"/>
  <c r="D7948" i="7"/>
  <c r="D7947" i="7"/>
  <c r="D7946" i="7"/>
  <c r="D7945" i="7"/>
  <c r="D7944" i="7"/>
  <c r="D7943" i="7"/>
  <c r="D7942" i="7"/>
  <c r="D7941" i="7"/>
  <c r="D7940" i="7"/>
  <c r="D7939" i="7"/>
  <c r="D7938" i="7"/>
  <c r="D7937" i="7"/>
  <c r="D7936" i="7"/>
  <c r="D7935" i="7"/>
  <c r="D7934" i="7"/>
  <c r="D7933" i="7"/>
  <c r="D7932" i="7"/>
  <c r="D7931" i="7"/>
  <c r="D7930" i="7"/>
  <c r="D7929" i="7"/>
  <c r="D7928" i="7"/>
  <c r="D7927" i="7"/>
  <c r="D7926" i="7"/>
  <c r="D7925" i="7"/>
  <c r="D7924" i="7"/>
  <c r="D7923" i="7"/>
  <c r="D7922" i="7"/>
  <c r="D7921" i="7"/>
  <c r="D7920" i="7"/>
  <c r="D7919" i="7"/>
  <c r="D7918" i="7"/>
  <c r="D7917" i="7"/>
  <c r="D7916" i="7"/>
  <c r="D7915" i="7"/>
  <c r="D7914" i="7"/>
  <c r="D7913" i="7"/>
  <c r="D7912" i="7"/>
  <c r="D7911" i="7"/>
  <c r="D7910" i="7"/>
  <c r="D7909" i="7"/>
  <c r="D7908" i="7"/>
  <c r="D7907" i="7"/>
  <c r="D7906" i="7"/>
  <c r="D7905" i="7"/>
  <c r="D7904" i="7"/>
  <c r="D7903" i="7"/>
  <c r="D7902" i="7"/>
  <c r="D7901" i="7"/>
  <c r="D7900" i="7"/>
  <c r="D7899" i="7"/>
  <c r="D7898" i="7"/>
  <c r="D7897" i="7"/>
  <c r="D7896" i="7"/>
  <c r="D7895" i="7"/>
  <c r="D7894" i="7"/>
  <c r="D7893" i="7"/>
  <c r="D7892" i="7"/>
  <c r="D7891" i="7"/>
  <c r="D7890" i="7"/>
  <c r="D7889" i="7"/>
  <c r="D7888" i="7"/>
  <c r="D7887" i="7"/>
  <c r="D7886" i="7"/>
  <c r="D7885" i="7"/>
  <c r="D7884" i="7"/>
  <c r="D7883" i="7"/>
  <c r="D7882" i="7"/>
  <c r="D7881" i="7"/>
  <c r="D7880" i="7"/>
  <c r="D7879" i="7"/>
  <c r="D7878" i="7"/>
  <c r="D7877" i="7"/>
  <c r="D7876" i="7"/>
  <c r="D7875" i="7"/>
  <c r="D7874" i="7"/>
  <c r="D7873" i="7"/>
  <c r="D7872" i="7"/>
  <c r="D7871" i="7"/>
  <c r="D7870" i="7"/>
  <c r="D7869" i="7"/>
  <c r="D7868" i="7"/>
  <c r="D7867" i="7"/>
  <c r="D7866" i="7"/>
  <c r="D7865" i="7"/>
  <c r="D7864" i="7"/>
  <c r="D7863" i="7"/>
  <c r="D7862" i="7"/>
  <c r="D7861" i="7"/>
  <c r="D7860" i="7"/>
  <c r="D7859" i="7"/>
  <c r="D7858" i="7"/>
  <c r="D7857" i="7"/>
  <c r="D7856" i="7"/>
  <c r="D7855" i="7"/>
  <c r="D7854" i="7"/>
  <c r="D7853" i="7"/>
  <c r="D7852" i="7"/>
  <c r="D7851" i="7"/>
  <c r="D7850" i="7"/>
  <c r="D7849" i="7"/>
  <c r="D7848" i="7"/>
  <c r="D7847" i="7"/>
  <c r="D7846" i="7"/>
  <c r="D7845" i="7"/>
  <c r="D7844" i="7"/>
  <c r="D7843" i="7"/>
  <c r="D7842" i="7"/>
  <c r="D7841" i="7"/>
  <c r="D7840" i="7"/>
  <c r="D7839" i="7"/>
  <c r="D7838" i="7"/>
  <c r="D7837" i="7"/>
  <c r="D7836" i="7"/>
  <c r="D7835" i="7"/>
  <c r="D7834" i="7"/>
  <c r="D7833" i="7"/>
  <c r="D7832" i="7"/>
  <c r="D7831" i="7"/>
  <c r="D7830" i="7"/>
  <c r="D7829" i="7"/>
  <c r="D7828" i="7"/>
  <c r="D7827" i="7"/>
  <c r="D7826" i="7"/>
  <c r="D7825" i="7"/>
  <c r="D7824" i="7"/>
  <c r="D7823" i="7"/>
  <c r="D7822" i="7"/>
  <c r="D7821" i="7"/>
  <c r="D7820" i="7"/>
  <c r="D7819" i="7"/>
  <c r="D7818" i="7"/>
  <c r="D7817" i="7"/>
  <c r="D7816" i="7"/>
  <c r="D7815" i="7"/>
  <c r="D7814" i="7"/>
  <c r="D7813" i="7"/>
  <c r="D7812" i="7"/>
  <c r="D7811" i="7"/>
  <c r="D7810" i="7"/>
  <c r="D7809" i="7"/>
  <c r="D7808" i="7"/>
  <c r="D7807" i="7"/>
  <c r="D7806" i="7"/>
  <c r="D7805" i="7"/>
  <c r="D7804" i="7"/>
  <c r="D7803" i="7"/>
  <c r="D7802" i="7"/>
  <c r="D7801" i="7"/>
  <c r="D7800" i="7"/>
  <c r="D7799" i="7"/>
  <c r="D7798" i="7"/>
  <c r="D7797" i="7"/>
  <c r="D7796" i="7"/>
  <c r="D7795" i="7"/>
  <c r="D7794" i="7"/>
  <c r="D7793" i="7"/>
  <c r="D7792" i="7"/>
  <c r="D7791" i="7"/>
  <c r="D7790" i="7"/>
  <c r="D7789" i="7"/>
  <c r="D7788" i="7"/>
  <c r="D7787" i="7"/>
  <c r="D7786" i="7"/>
  <c r="D7785" i="7"/>
  <c r="D7784" i="7"/>
  <c r="D7783" i="7"/>
  <c r="D7782" i="7"/>
  <c r="D7781" i="7"/>
  <c r="D7780" i="7"/>
  <c r="D7779" i="7"/>
  <c r="D7778" i="7"/>
  <c r="D7777" i="7"/>
  <c r="D7776" i="7"/>
  <c r="D7775" i="7"/>
  <c r="D7774" i="7"/>
  <c r="D7773" i="7"/>
  <c r="D7772" i="7"/>
  <c r="D7771" i="7"/>
  <c r="D7770" i="7"/>
  <c r="D7769" i="7"/>
  <c r="D7768" i="7"/>
  <c r="D7767" i="7"/>
  <c r="D7766" i="7"/>
  <c r="D7765" i="7"/>
  <c r="D7764" i="7"/>
  <c r="D7763" i="7"/>
  <c r="D7762" i="7"/>
  <c r="D7761" i="7"/>
  <c r="D7760" i="7"/>
  <c r="D7759" i="7"/>
  <c r="D7758" i="7"/>
  <c r="D7757" i="7"/>
  <c r="D7756" i="7"/>
  <c r="D7755" i="7"/>
  <c r="D7754" i="7"/>
  <c r="D7753" i="7"/>
  <c r="D7752" i="7"/>
  <c r="D7751" i="7"/>
  <c r="D7750" i="7"/>
  <c r="D7749" i="7"/>
  <c r="D7748" i="7"/>
  <c r="D7747" i="7"/>
  <c r="D7746" i="7"/>
  <c r="D7745" i="7"/>
  <c r="D7744" i="7"/>
  <c r="D7743" i="7"/>
  <c r="D7742" i="7"/>
  <c r="D7741" i="7"/>
  <c r="D7740" i="7"/>
  <c r="D7739" i="7"/>
  <c r="D7738" i="7"/>
  <c r="D7737" i="7"/>
  <c r="D7736" i="7"/>
  <c r="D7735" i="7"/>
  <c r="D7734" i="7"/>
  <c r="D7733" i="7"/>
  <c r="D7732" i="7"/>
  <c r="D7731" i="7"/>
  <c r="D7730" i="7"/>
  <c r="D7729" i="7"/>
  <c r="D7728" i="7"/>
  <c r="D7727" i="7"/>
  <c r="D7726" i="7"/>
  <c r="D7725" i="7"/>
  <c r="D7724" i="7"/>
  <c r="D7723" i="7"/>
  <c r="D7722" i="7"/>
  <c r="D7721" i="7"/>
  <c r="D7720" i="7"/>
  <c r="D7719" i="7"/>
  <c r="D7718" i="7"/>
  <c r="D7717" i="7"/>
  <c r="D7716" i="7"/>
  <c r="D7715" i="7"/>
  <c r="D7714" i="7"/>
  <c r="D7713" i="7"/>
  <c r="D7712" i="7"/>
  <c r="D7711" i="7"/>
  <c r="D7710" i="7"/>
  <c r="D7709" i="7"/>
  <c r="D7708" i="7"/>
  <c r="D7707" i="7"/>
  <c r="D7706" i="7"/>
  <c r="D7705" i="7"/>
  <c r="D7704" i="7"/>
  <c r="D7703" i="7"/>
  <c r="D7702" i="7"/>
  <c r="D7701" i="7"/>
  <c r="D7700" i="7"/>
  <c r="D7699" i="7"/>
  <c r="D7698" i="7"/>
  <c r="D7697" i="7"/>
  <c r="D7696" i="7"/>
  <c r="D7695" i="7"/>
  <c r="D7694" i="7"/>
  <c r="D7693" i="7"/>
  <c r="D7692" i="7"/>
  <c r="D7691" i="7"/>
  <c r="D7690" i="7"/>
  <c r="D7689" i="7"/>
  <c r="D7688" i="7"/>
  <c r="D7687" i="7"/>
  <c r="D7686" i="7"/>
  <c r="D7685" i="7"/>
  <c r="D7684" i="7"/>
  <c r="D7683" i="7"/>
  <c r="D7682" i="7"/>
  <c r="D7681" i="7"/>
  <c r="D7680" i="7"/>
  <c r="D7679" i="7"/>
  <c r="D7678" i="7"/>
  <c r="D7677" i="7"/>
  <c r="D7676" i="7"/>
  <c r="D7675" i="7"/>
  <c r="D7674" i="7"/>
  <c r="D7673" i="7"/>
  <c r="D7672" i="7"/>
  <c r="D7671" i="7"/>
  <c r="D7670" i="7"/>
  <c r="D7669" i="7"/>
  <c r="D7668" i="7"/>
  <c r="D7667" i="7"/>
  <c r="D7666" i="7"/>
  <c r="D7665" i="7"/>
  <c r="D7664" i="7"/>
  <c r="D7663" i="7"/>
  <c r="D7662" i="7"/>
  <c r="D7661" i="7"/>
  <c r="D7660" i="7"/>
  <c r="D7659" i="7"/>
  <c r="D7658" i="7"/>
  <c r="D7657" i="7"/>
  <c r="D7656" i="7"/>
  <c r="D7655" i="7"/>
  <c r="D7654" i="7"/>
  <c r="D7653" i="7"/>
  <c r="D7652" i="7"/>
  <c r="D7651" i="7"/>
  <c r="D7650" i="7"/>
  <c r="D7649" i="7"/>
  <c r="D7648" i="7"/>
  <c r="D7647" i="7"/>
  <c r="D7646" i="7"/>
  <c r="D7645" i="7"/>
  <c r="D7644" i="7"/>
  <c r="D7643" i="7"/>
  <c r="D7642" i="7"/>
  <c r="D7641" i="7"/>
  <c r="D7640" i="7"/>
  <c r="D7639" i="7"/>
  <c r="D7638" i="7"/>
  <c r="D7637" i="7"/>
  <c r="D7636" i="7"/>
  <c r="D7635" i="7"/>
  <c r="D7634" i="7"/>
  <c r="D7633" i="7"/>
  <c r="D7632" i="7"/>
  <c r="D7631" i="7"/>
  <c r="D7630" i="7"/>
  <c r="D7629" i="7"/>
  <c r="D7628" i="7"/>
  <c r="D7627" i="7"/>
  <c r="D7626" i="7"/>
  <c r="D7625" i="7"/>
  <c r="D7624" i="7"/>
  <c r="D7623" i="7"/>
  <c r="D7622" i="7"/>
  <c r="D7621" i="7"/>
  <c r="D7620" i="7"/>
  <c r="D7619" i="7"/>
  <c r="D7618" i="7"/>
  <c r="D7617" i="7"/>
  <c r="D7616" i="7"/>
  <c r="D7615" i="7"/>
  <c r="D7614" i="7"/>
  <c r="D7613" i="7"/>
  <c r="D7612" i="7"/>
  <c r="D7611" i="7"/>
  <c r="D7610" i="7"/>
  <c r="D7609" i="7"/>
  <c r="D7608" i="7"/>
  <c r="D7607" i="7"/>
  <c r="D7606" i="7"/>
  <c r="D7605" i="7"/>
  <c r="D7604" i="7"/>
  <c r="D7603" i="7"/>
  <c r="D7602" i="7"/>
  <c r="D7601" i="7"/>
  <c r="D7600" i="7"/>
  <c r="D7599" i="7"/>
  <c r="D7598" i="7"/>
  <c r="D7597" i="7"/>
  <c r="D7596" i="7"/>
  <c r="D7595" i="7"/>
  <c r="D7594" i="7"/>
  <c r="D7593" i="7"/>
  <c r="D7592" i="7"/>
  <c r="D7591" i="7"/>
  <c r="D7590" i="7"/>
  <c r="D7589" i="7"/>
  <c r="D7588" i="7"/>
  <c r="D7587" i="7"/>
  <c r="D7586" i="7"/>
  <c r="D7585" i="7"/>
  <c r="D7584" i="7"/>
  <c r="D7583" i="7"/>
  <c r="D7582" i="7"/>
  <c r="D7581" i="7"/>
  <c r="D7580" i="7"/>
  <c r="D7579" i="7"/>
  <c r="D7578" i="7"/>
  <c r="D7577" i="7"/>
  <c r="D7576" i="7"/>
  <c r="D7575" i="7"/>
  <c r="D7574" i="7"/>
  <c r="D7573" i="7"/>
  <c r="D7572" i="7"/>
  <c r="D7571" i="7"/>
  <c r="D7570" i="7"/>
  <c r="D7569" i="7"/>
  <c r="D7568" i="7"/>
  <c r="D7567" i="7"/>
  <c r="D7566" i="7"/>
  <c r="D7565" i="7"/>
  <c r="D7564" i="7"/>
  <c r="D7563" i="7"/>
  <c r="D7562" i="7"/>
  <c r="D7561" i="7"/>
  <c r="D7560" i="7"/>
  <c r="D7559" i="7"/>
  <c r="D7558" i="7"/>
  <c r="D7557" i="7"/>
  <c r="D7556" i="7"/>
  <c r="D7555" i="7"/>
  <c r="D7554" i="7"/>
  <c r="D7553" i="7"/>
  <c r="D7552" i="7"/>
  <c r="D7551" i="7"/>
  <c r="D7550" i="7"/>
  <c r="D7549" i="7"/>
  <c r="D7548" i="7"/>
  <c r="D7547" i="7"/>
  <c r="D7546" i="7"/>
  <c r="D7545" i="7"/>
  <c r="D7544" i="7"/>
  <c r="D7543" i="7"/>
  <c r="D7542" i="7"/>
  <c r="D7541" i="7"/>
  <c r="D7540" i="7"/>
  <c r="D7539" i="7"/>
  <c r="D7538" i="7"/>
  <c r="D7537" i="7"/>
  <c r="D7536" i="7"/>
  <c r="D7535" i="7"/>
  <c r="D7534" i="7"/>
  <c r="D7533" i="7"/>
  <c r="D7532" i="7"/>
  <c r="D7531" i="7"/>
  <c r="D7530" i="7"/>
  <c r="D7529" i="7"/>
  <c r="D7528" i="7"/>
  <c r="D7527" i="7"/>
  <c r="D7526" i="7"/>
  <c r="D7525" i="7"/>
  <c r="D7524" i="7"/>
  <c r="D7523" i="7"/>
  <c r="D7522" i="7"/>
  <c r="D7521" i="7"/>
  <c r="D7520" i="7"/>
  <c r="D7519" i="7"/>
  <c r="D7518" i="7"/>
  <c r="D7517" i="7"/>
  <c r="D7516" i="7"/>
  <c r="D7515" i="7"/>
  <c r="D7514" i="7"/>
  <c r="D7513" i="7"/>
  <c r="D7512" i="7"/>
  <c r="D7511" i="7"/>
  <c r="D7510" i="7"/>
  <c r="D7509" i="7"/>
  <c r="D7508" i="7"/>
  <c r="D7507" i="7"/>
  <c r="D7506" i="7"/>
  <c r="D7505" i="7"/>
  <c r="D7504" i="7"/>
  <c r="D7503" i="7"/>
  <c r="D7502" i="7"/>
  <c r="D7501" i="7"/>
  <c r="D7500" i="7"/>
  <c r="D7499" i="7"/>
  <c r="D7498" i="7"/>
  <c r="D7497" i="7"/>
  <c r="D7496" i="7"/>
  <c r="D7495" i="7"/>
  <c r="D7494" i="7"/>
  <c r="D7493" i="7"/>
  <c r="D7492" i="7"/>
  <c r="D7491" i="7"/>
  <c r="D7490" i="7"/>
  <c r="D7489" i="7"/>
  <c r="D7488" i="7"/>
  <c r="D7487" i="7"/>
  <c r="D7486" i="7"/>
  <c r="D7485" i="7"/>
  <c r="D7484" i="7"/>
  <c r="D7483" i="7"/>
  <c r="D7482" i="7"/>
  <c r="D7481" i="7"/>
  <c r="D7480" i="7"/>
  <c r="D7479" i="7"/>
  <c r="D7478" i="7"/>
  <c r="D7477" i="7"/>
  <c r="D7476" i="7"/>
  <c r="D7475" i="7"/>
  <c r="D7474" i="7"/>
  <c r="D7473" i="7"/>
  <c r="D7472" i="7"/>
  <c r="D7471" i="7"/>
  <c r="D7470" i="7"/>
  <c r="D7469" i="7"/>
  <c r="D7468" i="7"/>
  <c r="D7467" i="7"/>
  <c r="D7466" i="7"/>
  <c r="D7465" i="7"/>
  <c r="D7464" i="7"/>
  <c r="D7463" i="7"/>
  <c r="D7462" i="7"/>
  <c r="D7461" i="7"/>
  <c r="D7460" i="7"/>
  <c r="D7459" i="7"/>
  <c r="D7458" i="7"/>
  <c r="D7457" i="7"/>
  <c r="D7456" i="7"/>
  <c r="D7455" i="7"/>
  <c r="D7454" i="7"/>
  <c r="D7453" i="7"/>
  <c r="D7452" i="7"/>
  <c r="D7451" i="7"/>
  <c r="D7450" i="7"/>
  <c r="D7449" i="7"/>
  <c r="D7448" i="7"/>
  <c r="D7447" i="7"/>
  <c r="D7446" i="7"/>
  <c r="D7445" i="7"/>
  <c r="D7444" i="7"/>
  <c r="D7443" i="7"/>
  <c r="D7442" i="7"/>
  <c r="D7441" i="7"/>
  <c r="D7440" i="7"/>
  <c r="D7439" i="7"/>
  <c r="D7438" i="7"/>
  <c r="D7437" i="7"/>
  <c r="D7436" i="7"/>
  <c r="D7435" i="7"/>
  <c r="D7434" i="7"/>
  <c r="D7433" i="7"/>
  <c r="D7432" i="7"/>
  <c r="D7431" i="7"/>
  <c r="D7430" i="7"/>
  <c r="D7429" i="7"/>
  <c r="D7428" i="7"/>
  <c r="D7427" i="7"/>
  <c r="D7426" i="7"/>
  <c r="D7425" i="7"/>
  <c r="D7424" i="7"/>
  <c r="D7423" i="7"/>
  <c r="D7422" i="7"/>
  <c r="D7421" i="7"/>
  <c r="D7420" i="7"/>
  <c r="D7419" i="7"/>
  <c r="D7418" i="7"/>
  <c r="D7417" i="7"/>
  <c r="D7416" i="7"/>
  <c r="D7415" i="7"/>
  <c r="D7414" i="7"/>
  <c r="D7413" i="7"/>
  <c r="D7412" i="7"/>
  <c r="D7411" i="7"/>
  <c r="D7410" i="7"/>
  <c r="D7409" i="7"/>
  <c r="D7408" i="7"/>
  <c r="D7407" i="7"/>
  <c r="D7406" i="7"/>
  <c r="D7405" i="7"/>
  <c r="D7404" i="7"/>
  <c r="D7403" i="7"/>
  <c r="D7402" i="7"/>
  <c r="D7401" i="7"/>
  <c r="D7400" i="7"/>
  <c r="D7399" i="7"/>
  <c r="D7398" i="7"/>
  <c r="D7397" i="7"/>
  <c r="D7396" i="7"/>
  <c r="D7395" i="7"/>
  <c r="D7394" i="7"/>
  <c r="D7393" i="7"/>
  <c r="D7392" i="7"/>
  <c r="D7391" i="7"/>
  <c r="D7390" i="7"/>
  <c r="D7389" i="7"/>
  <c r="D7388" i="7"/>
  <c r="D7387" i="7"/>
  <c r="D7386" i="7"/>
  <c r="D7385" i="7"/>
  <c r="D7384" i="7"/>
  <c r="D7383" i="7"/>
  <c r="D7382" i="7"/>
  <c r="D7381" i="7"/>
  <c r="D7380" i="7"/>
  <c r="D7379" i="7"/>
  <c r="D7378" i="7"/>
  <c r="D7377" i="7"/>
  <c r="D7376" i="7"/>
  <c r="D7375" i="7"/>
  <c r="D7374" i="7"/>
  <c r="D7373" i="7"/>
  <c r="D7372" i="7"/>
  <c r="D7371" i="7"/>
  <c r="D7370" i="7"/>
  <c r="D7369" i="7"/>
  <c r="D7368" i="7"/>
  <c r="D7367" i="7"/>
  <c r="D7366" i="7"/>
  <c r="D7365" i="7"/>
  <c r="D7364" i="7"/>
  <c r="D7363" i="7"/>
  <c r="D7362" i="7"/>
  <c r="D7361" i="7"/>
  <c r="D7360" i="7"/>
  <c r="D7359" i="7"/>
  <c r="D7358" i="7"/>
  <c r="D7357" i="7"/>
  <c r="D7356" i="7"/>
  <c r="D7355" i="7"/>
  <c r="D7354" i="7"/>
  <c r="D7353" i="7"/>
  <c r="D7352" i="7"/>
  <c r="D7351" i="7"/>
  <c r="D7350" i="7"/>
  <c r="D7349" i="7"/>
  <c r="D7348" i="7"/>
  <c r="D7347" i="7"/>
  <c r="D7346" i="7"/>
  <c r="D7345" i="7"/>
  <c r="D7344" i="7"/>
  <c r="D7343" i="7"/>
  <c r="D7342" i="7"/>
  <c r="D7341" i="7"/>
  <c r="D7340" i="7"/>
  <c r="D7339" i="7"/>
  <c r="D7338" i="7"/>
  <c r="D7337" i="7"/>
  <c r="D7336" i="7"/>
  <c r="D7335" i="7"/>
  <c r="D7334" i="7"/>
  <c r="D7333" i="7"/>
  <c r="D7332" i="7"/>
  <c r="D7331" i="7"/>
  <c r="D7330" i="7"/>
  <c r="D7329" i="7"/>
  <c r="D7328" i="7"/>
  <c r="D7327" i="7"/>
  <c r="D7326" i="7"/>
  <c r="D7325" i="7"/>
  <c r="D7324" i="7"/>
  <c r="D7323" i="7"/>
  <c r="D7322" i="7"/>
  <c r="D7321" i="7"/>
  <c r="D7320" i="7"/>
  <c r="D7319" i="7"/>
  <c r="D7318" i="7"/>
  <c r="D7317" i="7"/>
  <c r="D7316" i="7"/>
  <c r="D7315" i="7"/>
  <c r="D7314" i="7"/>
  <c r="D7313" i="7"/>
  <c r="D7312" i="7"/>
  <c r="D7311" i="7"/>
  <c r="D7310" i="7"/>
  <c r="D7309" i="7"/>
  <c r="D7308" i="7"/>
  <c r="D7307" i="7"/>
  <c r="D7306" i="7"/>
  <c r="D7305" i="7"/>
  <c r="D7304" i="7"/>
  <c r="D7303" i="7"/>
  <c r="D7302" i="7"/>
  <c r="D7301" i="7"/>
  <c r="D7300" i="7"/>
  <c r="D7299" i="7"/>
  <c r="D7298" i="7"/>
  <c r="D7297" i="7"/>
  <c r="D7296" i="7"/>
  <c r="D7295" i="7"/>
  <c r="D7294" i="7"/>
  <c r="D7293" i="7"/>
  <c r="D7292" i="7"/>
  <c r="D7291" i="7"/>
  <c r="D7290" i="7"/>
  <c r="D7289" i="7"/>
  <c r="D7288" i="7"/>
  <c r="D7287" i="7"/>
  <c r="D7286" i="7"/>
  <c r="D7285" i="7"/>
  <c r="D7284" i="7"/>
  <c r="D7283" i="7"/>
  <c r="D7282" i="7"/>
  <c r="D7281" i="7"/>
  <c r="D7280" i="7"/>
  <c r="D7279" i="7"/>
  <c r="D7278" i="7"/>
  <c r="D7277" i="7"/>
  <c r="D7276" i="7"/>
  <c r="D7275" i="7"/>
  <c r="D7274" i="7"/>
  <c r="D7273" i="7"/>
  <c r="D7272" i="7"/>
  <c r="D7271" i="7"/>
  <c r="D7270" i="7"/>
  <c r="D7269" i="7"/>
  <c r="D7268" i="7"/>
  <c r="D7267" i="7"/>
  <c r="D7266" i="7"/>
  <c r="D7265" i="7"/>
  <c r="D7264" i="7"/>
  <c r="D7263" i="7"/>
  <c r="D7262" i="7"/>
  <c r="D7261" i="7"/>
  <c r="D7260" i="7"/>
  <c r="D7259" i="7"/>
  <c r="D7258" i="7"/>
  <c r="D7257" i="7"/>
  <c r="D7256" i="7"/>
  <c r="D7255" i="7"/>
  <c r="D7254" i="7"/>
  <c r="D7253" i="7"/>
  <c r="D7252" i="7"/>
  <c r="D7251" i="7"/>
  <c r="D7250" i="7"/>
  <c r="D7249" i="7"/>
  <c r="D7248" i="7"/>
  <c r="D7247" i="7"/>
  <c r="D7246" i="7"/>
  <c r="D7245" i="7"/>
  <c r="D7244" i="7"/>
  <c r="D7243" i="7"/>
  <c r="D7242" i="7"/>
  <c r="D7241" i="7"/>
  <c r="D7240" i="7"/>
  <c r="D7239" i="7"/>
  <c r="D7238" i="7"/>
  <c r="D7237" i="7"/>
  <c r="D7236" i="7"/>
  <c r="D7235" i="7"/>
  <c r="D7234" i="7"/>
  <c r="D7233" i="7"/>
  <c r="D7232" i="7"/>
  <c r="D7231" i="7"/>
  <c r="D7230" i="7"/>
  <c r="D7229" i="7"/>
  <c r="D7228" i="7"/>
  <c r="D7227" i="7"/>
  <c r="D7226" i="7"/>
  <c r="D7225" i="7"/>
  <c r="D7224" i="7"/>
  <c r="D7223" i="7"/>
  <c r="D7222" i="7"/>
  <c r="D7221" i="7"/>
  <c r="D7220" i="7"/>
  <c r="D7219" i="7"/>
  <c r="D7218" i="7"/>
  <c r="D7217" i="7"/>
  <c r="D7216" i="7"/>
  <c r="D7215" i="7"/>
  <c r="D7214" i="7"/>
  <c r="D7213" i="7"/>
  <c r="D7212" i="7"/>
  <c r="D7211" i="7"/>
  <c r="D7210" i="7"/>
  <c r="D7209" i="7"/>
  <c r="D7208" i="7"/>
  <c r="D7207" i="7"/>
  <c r="D7206" i="7"/>
  <c r="D7205" i="7"/>
  <c r="D7204" i="7"/>
  <c r="D7203" i="7"/>
  <c r="D7202" i="7"/>
  <c r="D7201" i="7"/>
  <c r="D7200" i="7"/>
  <c r="D7199" i="7"/>
  <c r="D7198" i="7"/>
  <c r="D7197" i="7"/>
  <c r="D7196" i="7"/>
  <c r="D7195" i="7"/>
  <c r="D7194" i="7"/>
  <c r="D7193" i="7"/>
  <c r="D7192" i="7"/>
  <c r="D7191" i="7"/>
  <c r="D7190" i="7"/>
  <c r="D7189" i="7"/>
  <c r="D7188" i="7"/>
  <c r="D7187" i="7"/>
  <c r="D7186" i="7"/>
  <c r="D7185" i="7"/>
  <c r="D7184" i="7"/>
  <c r="D7183" i="7"/>
  <c r="D7182" i="7"/>
  <c r="D7181" i="7"/>
  <c r="D7180" i="7"/>
  <c r="D7179" i="7"/>
  <c r="D7178" i="7"/>
  <c r="D7177" i="7"/>
  <c r="D7176" i="7"/>
  <c r="D7175" i="7"/>
  <c r="D7174" i="7"/>
  <c r="D7173" i="7"/>
  <c r="D7172" i="7"/>
  <c r="D7171" i="7"/>
  <c r="D7170" i="7"/>
  <c r="D7169" i="7"/>
  <c r="D7168" i="7"/>
  <c r="D7167" i="7"/>
  <c r="D7166" i="7"/>
  <c r="D7165" i="7"/>
  <c r="D7164" i="7"/>
  <c r="D7163" i="7"/>
  <c r="D7162" i="7"/>
  <c r="D7161" i="7"/>
  <c r="D7160" i="7"/>
  <c r="D7159" i="7"/>
  <c r="D7158" i="7"/>
  <c r="D7157" i="7"/>
  <c r="D7156" i="7"/>
  <c r="D7155" i="7"/>
  <c r="D7154" i="7"/>
  <c r="D7153" i="7"/>
  <c r="D7152" i="7"/>
  <c r="D7151" i="7"/>
  <c r="D7150" i="7"/>
  <c r="D7149" i="7"/>
  <c r="D7148" i="7"/>
  <c r="D7147" i="7"/>
  <c r="D7146" i="7"/>
  <c r="D7145" i="7"/>
  <c r="D7144" i="7"/>
  <c r="D7143" i="7"/>
  <c r="D7142" i="7"/>
  <c r="D7141" i="7"/>
  <c r="D7140" i="7"/>
  <c r="D7139" i="7"/>
  <c r="D7138" i="7"/>
  <c r="D7137" i="7"/>
  <c r="D7136" i="7"/>
  <c r="D7135" i="7"/>
  <c r="D7134" i="7"/>
  <c r="D7133" i="7"/>
  <c r="D7132" i="7"/>
  <c r="D7131" i="7"/>
  <c r="D7130" i="7"/>
  <c r="D7129" i="7"/>
  <c r="D7128" i="7"/>
  <c r="D7127" i="7"/>
  <c r="D7126" i="7"/>
  <c r="D7125" i="7"/>
  <c r="D7124" i="7"/>
  <c r="D7123" i="7"/>
  <c r="D7122" i="7"/>
  <c r="D7121" i="7"/>
  <c r="D7120" i="7"/>
  <c r="D7119" i="7"/>
  <c r="D7118" i="7"/>
  <c r="D7117" i="7"/>
  <c r="D7116" i="7"/>
  <c r="D7115" i="7"/>
  <c r="D7114" i="7"/>
  <c r="D7113" i="7"/>
  <c r="D7112" i="7"/>
  <c r="D7111" i="7"/>
  <c r="D7110" i="7"/>
  <c r="D7109" i="7"/>
  <c r="D7108" i="7"/>
  <c r="D7107" i="7"/>
  <c r="D7106" i="7"/>
  <c r="D7105" i="7"/>
  <c r="D7104" i="7"/>
  <c r="D7103" i="7"/>
  <c r="D7102" i="7"/>
  <c r="D7101" i="7"/>
  <c r="D7100" i="7"/>
  <c r="D7099" i="7"/>
  <c r="D7098" i="7"/>
  <c r="D7097" i="7"/>
  <c r="D7096" i="7"/>
  <c r="D7095" i="7"/>
  <c r="D7094" i="7"/>
  <c r="D7093" i="7"/>
  <c r="D7092" i="7"/>
  <c r="D7091" i="7"/>
  <c r="D7090" i="7"/>
  <c r="D7089" i="7"/>
  <c r="D7088" i="7"/>
  <c r="D7087" i="7"/>
  <c r="D7086" i="7"/>
  <c r="D7085" i="7"/>
  <c r="D7084" i="7"/>
  <c r="D7083" i="7"/>
  <c r="D7082" i="7"/>
  <c r="D7081" i="7"/>
  <c r="D7080" i="7"/>
  <c r="D7079" i="7"/>
  <c r="D7078" i="7"/>
  <c r="D7077" i="7"/>
  <c r="D7076" i="7"/>
  <c r="D7075" i="7"/>
  <c r="D7074" i="7"/>
  <c r="D7073" i="7"/>
  <c r="D7072" i="7"/>
  <c r="D7071" i="7"/>
  <c r="D7070" i="7"/>
  <c r="D7069" i="7"/>
  <c r="D7068" i="7"/>
  <c r="D7067" i="7"/>
  <c r="D7066" i="7"/>
  <c r="D7065" i="7"/>
  <c r="D7064" i="7"/>
  <c r="D7063" i="7"/>
  <c r="D7062" i="7"/>
  <c r="D7061" i="7"/>
  <c r="D7060" i="7"/>
  <c r="D7059" i="7"/>
  <c r="D7058" i="7"/>
  <c r="D7057" i="7"/>
  <c r="D7056" i="7"/>
  <c r="D7055" i="7"/>
  <c r="D7054" i="7"/>
  <c r="D7053" i="7"/>
  <c r="D7052" i="7"/>
  <c r="D7051" i="7"/>
  <c r="D7050" i="7"/>
  <c r="D7049" i="7"/>
  <c r="D7048" i="7"/>
  <c r="D7047" i="7"/>
  <c r="D7046" i="7"/>
  <c r="D7045" i="7"/>
  <c r="D7044" i="7"/>
  <c r="D7043" i="7"/>
  <c r="D7042" i="7"/>
  <c r="D7041" i="7"/>
  <c r="D7040" i="7"/>
  <c r="D7039" i="7"/>
  <c r="D7038" i="7"/>
  <c r="D7037" i="7"/>
  <c r="D7036" i="7"/>
  <c r="D7035" i="7"/>
  <c r="D7034" i="7"/>
  <c r="D7033" i="7"/>
  <c r="D7032" i="7"/>
  <c r="D7031" i="7"/>
  <c r="D7030" i="7"/>
  <c r="D7029" i="7"/>
  <c r="D7028" i="7"/>
  <c r="D7027" i="7"/>
  <c r="D7026" i="7"/>
  <c r="D7025" i="7"/>
  <c r="D7024" i="7"/>
  <c r="D7023" i="7"/>
  <c r="D7022" i="7"/>
  <c r="D7021" i="7"/>
  <c r="D7020" i="7"/>
  <c r="D7019" i="7"/>
  <c r="D7018" i="7"/>
  <c r="D7017" i="7"/>
  <c r="D7016" i="7"/>
  <c r="D7015" i="7"/>
  <c r="D7014" i="7"/>
  <c r="D7013" i="7"/>
  <c r="D7012" i="7"/>
  <c r="D7011" i="7"/>
  <c r="D7010" i="7"/>
  <c r="D7009" i="7"/>
  <c r="D7008" i="7"/>
  <c r="D7007" i="7"/>
  <c r="D7006" i="7"/>
  <c r="D7005" i="7"/>
  <c r="D7004" i="7"/>
  <c r="D7003" i="7"/>
  <c r="D7002" i="7"/>
  <c r="D7001" i="7"/>
  <c r="D7000" i="7"/>
  <c r="D6999" i="7"/>
  <c r="D6998" i="7"/>
  <c r="D6997" i="7"/>
  <c r="D6996" i="7"/>
  <c r="D6995" i="7"/>
  <c r="D6994" i="7"/>
  <c r="D6993" i="7"/>
  <c r="D6992" i="7"/>
  <c r="D6991" i="7"/>
  <c r="D6990" i="7"/>
  <c r="D6989" i="7"/>
  <c r="D6988" i="7"/>
  <c r="D6987" i="7"/>
  <c r="D6986" i="7"/>
  <c r="D6985" i="7"/>
  <c r="D6984" i="7"/>
  <c r="D6983" i="7"/>
  <c r="D6982" i="7"/>
  <c r="D6981" i="7"/>
  <c r="D6980" i="7"/>
  <c r="D6979" i="7"/>
  <c r="D6978" i="7"/>
  <c r="D6977" i="7"/>
  <c r="D6976" i="7"/>
  <c r="D6975" i="7"/>
  <c r="D6974" i="7"/>
  <c r="D6973" i="7"/>
  <c r="D6972" i="7"/>
  <c r="D6971" i="7"/>
  <c r="D6970" i="7"/>
  <c r="D6969" i="7"/>
  <c r="D6968" i="7"/>
  <c r="D6967" i="7"/>
  <c r="D6966" i="7"/>
  <c r="D6965" i="7"/>
  <c r="D6964" i="7"/>
  <c r="D6963" i="7"/>
  <c r="D6962" i="7"/>
  <c r="D6961" i="7"/>
  <c r="D6960" i="7"/>
  <c r="D6959" i="7"/>
  <c r="D6958" i="7"/>
  <c r="D6957" i="7"/>
  <c r="D6956" i="7"/>
  <c r="D6955" i="7"/>
  <c r="D6954" i="7"/>
  <c r="D6953" i="7"/>
  <c r="D6952" i="7"/>
  <c r="D6951" i="7"/>
  <c r="D6950" i="7"/>
  <c r="D6949" i="7"/>
  <c r="D6948" i="7"/>
  <c r="D6947" i="7"/>
  <c r="D6946" i="7"/>
  <c r="D6945" i="7"/>
  <c r="D6944" i="7"/>
  <c r="D6943" i="7"/>
  <c r="D6942" i="7"/>
  <c r="D6941" i="7"/>
  <c r="D6940" i="7"/>
  <c r="D6939" i="7"/>
  <c r="D6938" i="7"/>
  <c r="D6937" i="7"/>
  <c r="D6936" i="7"/>
  <c r="D6935" i="7"/>
  <c r="D6934" i="7"/>
  <c r="D6933" i="7"/>
  <c r="D6932" i="7"/>
  <c r="D6931" i="7"/>
  <c r="D6930" i="7"/>
  <c r="D6929" i="7"/>
  <c r="D6928" i="7"/>
  <c r="D6927" i="7"/>
  <c r="D6926" i="7"/>
  <c r="D6925" i="7"/>
  <c r="D6924" i="7"/>
  <c r="D6923" i="7"/>
  <c r="D6922" i="7"/>
  <c r="D6921" i="7"/>
  <c r="D6920" i="7"/>
  <c r="D6919" i="7"/>
  <c r="D6918" i="7"/>
  <c r="D6917" i="7"/>
  <c r="D6916" i="7"/>
  <c r="D6915" i="7"/>
  <c r="D6914" i="7"/>
  <c r="D6913" i="7"/>
  <c r="D6912" i="7"/>
  <c r="D6911" i="7"/>
  <c r="D6910" i="7"/>
  <c r="D6909" i="7"/>
  <c r="D6908" i="7"/>
  <c r="D6907" i="7"/>
  <c r="D6906" i="7"/>
  <c r="D6905" i="7"/>
  <c r="D6904" i="7"/>
  <c r="D6903" i="7"/>
  <c r="D6902" i="7"/>
  <c r="D6901" i="7"/>
  <c r="D6900" i="7"/>
  <c r="D6899" i="7"/>
  <c r="D6898" i="7"/>
  <c r="D6897" i="7"/>
  <c r="D6896" i="7"/>
  <c r="D6895" i="7"/>
  <c r="D6894" i="7"/>
  <c r="D6893" i="7"/>
  <c r="D6892" i="7"/>
  <c r="D6891" i="7"/>
  <c r="D6890" i="7"/>
  <c r="D6889" i="7"/>
  <c r="D6888" i="7"/>
  <c r="D6887" i="7"/>
  <c r="D6886" i="7"/>
  <c r="D6885" i="7"/>
  <c r="D6884" i="7"/>
  <c r="D6883" i="7"/>
  <c r="D6882" i="7"/>
  <c r="D6881" i="7"/>
  <c r="D6880" i="7"/>
  <c r="D6879" i="7"/>
  <c r="D6878" i="7"/>
  <c r="D6877" i="7"/>
  <c r="D6876" i="7"/>
  <c r="D6875" i="7"/>
  <c r="D6874" i="7"/>
  <c r="D6873" i="7"/>
  <c r="D6872" i="7"/>
  <c r="D6871" i="7"/>
  <c r="D6870" i="7"/>
  <c r="D6869" i="7"/>
  <c r="D6868" i="7"/>
  <c r="D6867" i="7"/>
  <c r="D6866" i="7"/>
  <c r="D6865" i="7"/>
  <c r="D6864" i="7"/>
  <c r="D6863" i="7"/>
  <c r="D6862" i="7"/>
  <c r="D6861" i="7"/>
  <c r="D6860" i="7"/>
  <c r="D6859" i="7"/>
  <c r="D6858" i="7"/>
  <c r="D6857" i="7"/>
  <c r="D6856" i="7"/>
  <c r="D6855" i="7"/>
  <c r="D6854" i="7"/>
  <c r="D6853" i="7"/>
  <c r="D6852" i="7"/>
  <c r="D6851" i="7"/>
  <c r="D6850" i="7"/>
  <c r="D6849" i="7"/>
  <c r="D6848" i="7"/>
  <c r="D6847" i="7"/>
  <c r="D6846" i="7"/>
  <c r="D6845" i="7"/>
  <c r="D6844" i="7"/>
  <c r="D6843" i="7"/>
  <c r="D6842" i="7"/>
  <c r="D6841" i="7"/>
  <c r="D6840" i="7"/>
  <c r="D6839" i="7"/>
  <c r="D6838" i="7"/>
  <c r="D6837" i="7"/>
  <c r="D6836" i="7"/>
  <c r="D6835" i="7"/>
  <c r="D6834" i="7"/>
  <c r="D6833" i="7"/>
  <c r="D6832" i="7"/>
  <c r="D6831" i="7"/>
  <c r="D6830" i="7"/>
  <c r="D6829" i="7"/>
  <c r="D6828" i="7"/>
  <c r="D6827" i="7"/>
  <c r="D6826" i="7"/>
  <c r="D6825" i="7"/>
  <c r="D6824" i="7"/>
  <c r="D6823" i="7"/>
  <c r="D6822" i="7"/>
  <c r="D6821" i="7"/>
  <c r="D6820" i="7"/>
  <c r="D6819" i="7"/>
  <c r="D6818" i="7"/>
  <c r="D6817" i="7"/>
  <c r="D6816" i="7"/>
  <c r="D6815" i="7"/>
  <c r="D6814" i="7"/>
  <c r="D6813" i="7"/>
  <c r="D6812" i="7"/>
  <c r="D6811" i="7"/>
  <c r="D6810" i="7"/>
  <c r="D6809" i="7"/>
  <c r="D6808" i="7"/>
  <c r="D6807" i="7"/>
  <c r="D6806" i="7"/>
  <c r="D6805" i="7"/>
  <c r="D6804" i="7"/>
  <c r="D6803" i="7"/>
  <c r="D6802" i="7"/>
  <c r="D6801" i="7"/>
  <c r="D6800" i="7"/>
  <c r="D6799" i="7"/>
  <c r="D6798" i="7"/>
  <c r="D6797" i="7"/>
  <c r="D6796" i="7"/>
  <c r="D6795" i="7"/>
  <c r="D6794" i="7"/>
  <c r="D6793" i="7"/>
  <c r="D6792" i="7"/>
  <c r="D6791" i="7"/>
  <c r="D6790" i="7"/>
  <c r="D6789" i="7"/>
  <c r="D6788" i="7"/>
  <c r="D6787" i="7"/>
  <c r="D6786" i="7"/>
  <c r="D6785" i="7"/>
  <c r="D6784" i="7"/>
  <c r="D6783" i="7"/>
  <c r="D6782" i="7"/>
  <c r="D6781" i="7"/>
  <c r="D6780" i="7"/>
  <c r="D6779" i="7"/>
  <c r="D6778" i="7"/>
  <c r="D6777" i="7"/>
  <c r="D6776" i="7"/>
  <c r="D6775" i="7"/>
  <c r="D6774" i="7"/>
  <c r="D6773" i="7"/>
  <c r="D6772" i="7"/>
  <c r="D6771" i="7"/>
  <c r="D6770" i="7"/>
  <c r="D6769" i="7"/>
  <c r="D6768" i="7"/>
  <c r="D6767" i="7"/>
  <c r="D6766" i="7"/>
  <c r="D6765" i="7"/>
  <c r="D6764" i="7"/>
  <c r="D6763" i="7"/>
  <c r="D6762" i="7"/>
  <c r="D6761" i="7"/>
  <c r="D6760" i="7"/>
  <c r="D6759" i="7"/>
  <c r="D6758" i="7"/>
  <c r="D6757" i="7"/>
  <c r="D6756" i="7"/>
  <c r="D6755" i="7"/>
  <c r="D6754" i="7"/>
  <c r="D6753" i="7"/>
  <c r="D6752" i="7"/>
  <c r="D6751" i="7"/>
  <c r="D6750" i="7"/>
  <c r="D6749" i="7"/>
  <c r="D6748" i="7"/>
  <c r="D6747" i="7"/>
  <c r="D6746" i="7"/>
  <c r="D6745" i="7"/>
  <c r="D6744" i="7"/>
  <c r="D6743" i="7"/>
  <c r="D6742" i="7"/>
  <c r="D6741" i="7"/>
  <c r="D6740" i="7"/>
  <c r="D6739" i="7"/>
  <c r="D6738" i="7"/>
  <c r="D6737" i="7"/>
  <c r="D6736" i="7"/>
  <c r="D6735" i="7"/>
  <c r="D6734" i="7"/>
  <c r="D6733" i="7"/>
  <c r="D6732" i="7"/>
  <c r="D6731" i="7"/>
  <c r="D6730" i="7"/>
  <c r="D6729" i="7"/>
  <c r="D6728" i="7"/>
  <c r="D6727" i="7"/>
  <c r="D6726" i="7"/>
  <c r="D6725" i="7"/>
  <c r="D6724" i="7"/>
  <c r="D6723" i="7"/>
  <c r="D6722" i="7"/>
  <c r="D6721" i="7"/>
  <c r="D6720" i="7"/>
  <c r="D6719" i="7"/>
  <c r="D6718" i="7"/>
  <c r="D6717" i="7"/>
  <c r="D6716" i="7"/>
  <c r="D6715" i="7"/>
  <c r="D6714" i="7"/>
  <c r="D6713" i="7"/>
  <c r="D6712" i="7"/>
  <c r="D6711" i="7"/>
  <c r="D6710" i="7"/>
  <c r="D6709" i="7"/>
  <c r="D6708" i="7"/>
  <c r="D6707" i="7"/>
  <c r="D6706" i="7"/>
  <c r="D6705" i="7"/>
  <c r="D6704" i="7"/>
  <c r="D6703" i="7"/>
  <c r="D6702" i="7"/>
  <c r="D6701" i="7"/>
  <c r="D6700" i="7"/>
  <c r="D6699" i="7"/>
  <c r="D6698" i="7"/>
  <c r="D6697" i="7"/>
  <c r="D6696" i="7"/>
  <c r="D6695" i="7"/>
  <c r="D6694" i="7"/>
  <c r="D6693" i="7"/>
  <c r="D6692" i="7"/>
  <c r="D6691" i="7"/>
  <c r="D6690" i="7"/>
  <c r="D6689" i="7"/>
  <c r="D6688" i="7"/>
  <c r="D6687" i="7"/>
  <c r="D6686" i="7"/>
  <c r="D6685" i="7"/>
  <c r="D6684" i="7"/>
  <c r="D6683" i="7"/>
  <c r="D6682" i="7"/>
  <c r="D6681" i="7"/>
  <c r="D6680" i="7"/>
  <c r="D6679" i="7"/>
  <c r="D6678" i="7"/>
  <c r="D6677" i="7"/>
  <c r="D6676" i="7"/>
  <c r="D6675" i="7"/>
  <c r="D6674" i="7"/>
  <c r="D6673" i="7"/>
  <c r="D6672" i="7"/>
  <c r="D6671" i="7"/>
  <c r="D6670" i="7"/>
  <c r="D6669" i="7"/>
  <c r="D6668" i="7"/>
  <c r="D6667" i="7"/>
  <c r="D6666" i="7"/>
  <c r="D6665" i="7"/>
  <c r="D6664" i="7"/>
  <c r="D6663" i="7"/>
  <c r="D6662" i="7"/>
  <c r="D6661" i="7"/>
  <c r="D6660" i="7"/>
  <c r="D6659" i="7"/>
  <c r="D6658" i="7"/>
  <c r="D6657" i="7"/>
  <c r="D6656" i="7"/>
  <c r="D6655" i="7"/>
  <c r="D6654" i="7"/>
  <c r="D6653" i="7"/>
  <c r="D6652" i="7"/>
  <c r="D6651" i="7"/>
  <c r="D6650" i="7"/>
  <c r="D6649" i="7"/>
  <c r="D6648" i="7"/>
  <c r="D6647" i="7"/>
  <c r="D6646" i="7"/>
  <c r="D6645" i="7"/>
  <c r="D6644" i="7"/>
  <c r="D6643" i="7"/>
  <c r="D6642" i="7"/>
  <c r="D6641" i="7"/>
  <c r="D6640" i="7"/>
  <c r="D6639" i="7"/>
  <c r="D6638" i="7"/>
  <c r="D6637" i="7"/>
  <c r="D6636" i="7"/>
  <c r="D6635" i="7"/>
  <c r="D6634" i="7"/>
  <c r="D6633" i="7"/>
  <c r="D6632" i="7"/>
  <c r="D6631" i="7"/>
  <c r="D6630" i="7"/>
  <c r="D6629" i="7"/>
  <c r="D6628" i="7"/>
  <c r="D6627" i="7"/>
  <c r="D6626" i="7"/>
  <c r="D6625" i="7"/>
  <c r="D6624" i="7"/>
  <c r="D6623" i="7"/>
  <c r="D6622" i="7"/>
  <c r="D6621" i="7"/>
  <c r="D6620" i="7"/>
  <c r="D6619" i="7"/>
  <c r="D6618" i="7"/>
  <c r="D6617" i="7"/>
  <c r="D6616" i="7"/>
  <c r="D6615" i="7"/>
  <c r="D6614" i="7"/>
  <c r="D6613" i="7"/>
  <c r="D6612" i="7"/>
  <c r="D6611" i="7"/>
  <c r="D6610" i="7"/>
  <c r="D6609" i="7"/>
  <c r="D6608" i="7"/>
  <c r="D6607" i="7"/>
  <c r="D6606" i="7"/>
  <c r="D6605" i="7"/>
  <c r="D6604" i="7"/>
  <c r="D6603" i="7"/>
  <c r="D6602" i="7"/>
  <c r="D6601" i="7"/>
  <c r="D6600" i="7"/>
  <c r="D6599" i="7"/>
  <c r="D6598" i="7"/>
  <c r="D6597" i="7"/>
  <c r="D6596" i="7"/>
  <c r="D6595" i="7"/>
  <c r="D6594" i="7"/>
  <c r="D6593" i="7"/>
  <c r="D6592" i="7"/>
  <c r="D6591" i="7"/>
  <c r="D6590" i="7"/>
  <c r="D6589" i="7"/>
  <c r="D6588" i="7"/>
  <c r="D6587" i="7"/>
  <c r="D6586" i="7"/>
  <c r="D6585" i="7"/>
  <c r="D6584" i="7"/>
  <c r="D6583" i="7"/>
  <c r="D6582" i="7"/>
  <c r="D6581" i="7"/>
  <c r="D6580" i="7"/>
  <c r="D6579" i="7"/>
  <c r="D6578" i="7"/>
  <c r="D6577" i="7"/>
  <c r="D6576" i="7"/>
  <c r="D6575" i="7"/>
  <c r="D6574" i="7"/>
  <c r="D6573" i="7"/>
  <c r="D6572" i="7"/>
  <c r="D6571" i="7"/>
  <c r="D6570" i="7"/>
  <c r="D6569" i="7"/>
  <c r="D6568" i="7"/>
  <c r="D6567" i="7"/>
  <c r="D6566" i="7"/>
  <c r="D6565" i="7"/>
  <c r="D6564" i="7"/>
  <c r="D6563" i="7"/>
  <c r="D6562" i="7"/>
  <c r="D6561" i="7"/>
  <c r="D6560" i="7"/>
  <c r="D6559" i="7"/>
  <c r="D6558" i="7"/>
  <c r="D6557" i="7"/>
  <c r="D6556" i="7"/>
  <c r="D6555" i="7"/>
  <c r="D6554" i="7"/>
  <c r="D6553" i="7"/>
  <c r="D6552" i="7"/>
  <c r="D6551" i="7"/>
  <c r="D6550" i="7"/>
  <c r="D6549" i="7"/>
  <c r="D6548" i="7"/>
  <c r="D6547" i="7"/>
  <c r="D6546" i="7"/>
  <c r="D6545" i="7"/>
  <c r="D6544" i="7"/>
  <c r="D6543" i="7"/>
  <c r="D6542" i="7"/>
  <c r="D6541" i="7"/>
  <c r="D6540" i="7"/>
  <c r="D6539" i="7"/>
  <c r="D6538" i="7"/>
  <c r="D6537" i="7"/>
  <c r="D6536" i="7"/>
  <c r="D6535" i="7"/>
  <c r="D6534" i="7"/>
  <c r="D6533" i="7"/>
  <c r="D6532" i="7"/>
  <c r="D6531" i="7"/>
  <c r="D6530" i="7"/>
  <c r="D6529" i="7"/>
  <c r="D6528" i="7"/>
  <c r="D6527" i="7"/>
  <c r="D6526" i="7"/>
  <c r="D6525" i="7"/>
  <c r="D6524" i="7"/>
  <c r="D6523" i="7"/>
  <c r="D6522" i="7"/>
  <c r="D6521" i="7"/>
  <c r="D6520" i="7"/>
  <c r="D6519" i="7"/>
  <c r="D6518" i="7"/>
  <c r="D6517" i="7"/>
  <c r="D6516" i="7"/>
  <c r="D6515" i="7"/>
  <c r="D6514" i="7"/>
  <c r="D6513" i="7"/>
  <c r="D6512" i="7"/>
  <c r="D6511" i="7"/>
  <c r="D6510" i="7"/>
  <c r="D6509" i="7"/>
  <c r="D6508" i="7"/>
  <c r="D6507" i="7"/>
  <c r="D6506" i="7"/>
  <c r="D6505" i="7"/>
  <c r="D6504" i="7"/>
  <c r="D6503" i="7"/>
  <c r="D6502" i="7"/>
  <c r="D6501" i="7"/>
  <c r="D6500" i="7"/>
  <c r="D6499" i="7"/>
  <c r="D6498" i="7"/>
  <c r="D6497" i="7"/>
  <c r="D6496" i="7"/>
  <c r="D6495" i="7"/>
  <c r="D6494" i="7"/>
  <c r="D6493" i="7"/>
  <c r="D6492" i="7"/>
  <c r="D6491" i="7"/>
  <c r="D6490" i="7"/>
  <c r="D6489" i="7"/>
  <c r="D6488" i="7"/>
  <c r="D6487" i="7"/>
  <c r="D6486" i="7"/>
  <c r="D6485" i="7"/>
  <c r="D6484" i="7"/>
  <c r="D6483" i="7"/>
  <c r="D6482" i="7"/>
  <c r="D6481" i="7"/>
  <c r="D6480" i="7"/>
  <c r="D6479" i="7"/>
  <c r="D6478" i="7"/>
  <c r="D6477" i="7"/>
  <c r="D6476" i="7"/>
  <c r="D6475" i="7"/>
  <c r="D6474" i="7"/>
  <c r="D6473" i="7"/>
  <c r="D6472" i="7"/>
  <c r="D6471" i="7"/>
  <c r="D6470" i="7"/>
  <c r="D6469" i="7"/>
  <c r="D6468" i="7"/>
  <c r="D6467" i="7"/>
  <c r="D6466" i="7"/>
  <c r="D6465" i="7"/>
  <c r="D6464" i="7"/>
  <c r="D6463" i="7"/>
  <c r="D6462" i="7"/>
  <c r="D6461" i="7"/>
  <c r="D6460" i="7"/>
  <c r="D6459" i="7"/>
  <c r="D6458" i="7"/>
  <c r="D6457" i="7"/>
  <c r="D6456" i="7"/>
  <c r="D6455" i="7"/>
  <c r="D6454" i="7"/>
  <c r="D6453" i="7"/>
  <c r="D6452" i="7"/>
  <c r="D6451" i="7"/>
  <c r="D6450" i="7"/>
  <c r="D6449" i="7"/>
  <c r="D6448" i="7"/>
  <c r="D6447" i="7"/>
  <c r="D6446" i="7"/>
  <c r="D6445" i="7"/>
  <c r="D6444" i="7"/>
  <c r="D6443" i="7"/>
  <c r="D6442" i="7"/>
  <c r="D6441" i="7"/>
  <c r="D6440" i="7"/>
  <c r="D6439" i="7"/>
  <c r="D6438" i="7"/>
  <c r="D6437" i="7"/>
  <c r="D6436" i="7"/>
  <c r="D6435" i="7"/>
  <c r="D6434" i="7"/>
  <c r="D6433" i="7"/>
  <c r="D6432" i="7"/>
  <c r="D6431" i="7"/>
  <c r="D6430" i="7"/>
  <c r="D6429" i="7"/>
  <c r="D6428" i="7"/>
  <c r="D6427" i="7"/>
  <c r="D6426" i="7"/>
  <c r="D6425" i="7"/>
  <c r="D6424" i="7"/>
  <c r="D6423" i="7"/>
  <c r="D6422" i="7"/>
  <c r="D6421" i="7"/>
  <c r="D6420" i="7"/>
  <c r="D6419" i="7"/>
  <c r="D6418" i="7"/>
  <c r="D6417" i="7"/>
  <c r="D6416" i="7"/>
  <c r="D6415" i="7"/>
  <c r="D6414" i="7"/>
  <c r="D6413" i="7"/>
  <c r="D6412" i="7"/>
  <c r="D6411" i="7"/>
  <c r="D6410" i="7"/>
  <c r="D6409" i="7"/>
  <c r="D6408" i="7"/>
  <c r="D6407" i="7"/>
  <c r="D6406" i="7"/>
  <c r="D6405" i="7"/>
  <c r="D6404" i="7"/>
  <c r="D6403" i="7"/>
  <c r="D6402" i="7"/>
  <c r="D6401" i="7"/>
  <c r="D6400" i="7"/>
  <c r="D6399" i="7"/>
  <c r="D6398" i="7"/>
  <c r="D6397" i="7"/>
  <c r="D6396" i="7"/>
  <c r="D6395" i="7"/>
  <c r="D6394" i="7"/>
  <c r="D6393" i="7"/>
  <c r="D6392" i="7"/>
  <c r="D6391" i="7"/>
  <c r="D6390" i="7"/>
  <c r="D6389" i="7"/>
  <c r="D6388" i="7"/>
  <c r="D6387" i="7"/>
  <c r="D6386" i="7"/>
  <c r="D6385" i="7"/>
  <c r="D6384" i="7"/>
  <c r="D6383" i="7"/>
  <c r="D6382" i="7"/>
  <c r="D6381" i="7"/>
  <c r="D6380" i="7"/>
  <c r="D6379" i="7"/>
  <c r="D6378" i="7"/>
  <c r="D6377" i="7"/>
  <c r="D6376" i="7"/>
  <c r="D6375" i="7"/>
  <c r="D6374" i="7"/>
  <c r="D6373" i="7"/>
  <c r="D6372" i="7"/>
  <c r="D6371" i="7"/>
  <c r="D6370" i="7"/>
  <c r="D6369" i="7"/>
  <c r="D6368" i="7"/>
  <c r="D6367" i="7"/>
  <c r="D6366" i="7"/>
  <c r="D6365" i="7"/>
  <c r="D6364" i="7"/>
  <c r="D6363" i="7"/>
  <c r="D6362" i="7"/>
  <c r="D6361" i="7"/>
  <c r="D6360" i="7"/>
  <c r="D6359" i="7"/>
  <c r="D6358" i="7"/>
  <c r="D6357" i="7"/>
  <c r="D6356" i="7"/>
  <c r="D6355" i="7"/>
  <c r="D6354" i="7"/>
  <c r="D6353" i="7"/>
  <c r="D6352" i="7"/>
  <c r="D6351" i="7"/>
  <c r="D6350" i="7"/>
  <c r="D6349" i="7"/>
  <c r="D6348" i="7"/>
  <c r="D6347" i="7"/>
  <c r="D6346" i="7"/>
  <c r="D6345" i="7"/>
  <c r="D6344" i="7"/>
  <c r="D6343" i="7"/>
  <c r="D6342" i="7"/>
  <c r="D6341" i="7"/>
  <c r="D6340" i="7"/>
  <c r="D6339" i="7"/>
  <c r="D6338" i="7"/>
  <c r="D6337" i="7"/>
  <c r="D6336" i="7"/>
  <c r="D6335" i="7"/>
  <c r="D6334" i="7"/>
  <c r="D6333" i="7"/>
  <c r="D6332" i="7"/>
  <c r="D6331" i="7"/>
  <c r="D6330" i="7"/>
  <c r="D6329" i="7"/>
  <c r="D6328" i="7"/>
  <c r="D6327" i="7"/>
  <c r="D6326" i="7"/>
  <c r="D6325" i="7"/>
  <c r="D6324" i="7"/>
  <c r="D6323" i="7"/>
  <c r="D6322" i="7"/>
  <c r="D6321" i="7"/>
  <c r="D6320" i="7"/>
  <c r="D6319" i="7"/>
  <c r="D6318" i="7"/>
  <c r="D6317" i="7"/>
  <c r="D6316" i="7"/>
  <c r="D6315" i="7"/>
  <c r="D6314" i="7"/>
  <c r="D6313" i="7"/>
  <c r="D6312" i="7"/>
  <c r="D6311" i="7"/>
  <c r="D6310" i="7"/>
  <c r="D6309" i="7"/>
  <c r="D6308" i="7"/>
  <c r="D6307" i="7"/>
  <c r="D6306" i="7"/>
  <c r="D6305" i="7"/>
  <c r="D6304" i="7"/>
  <c r="D6303" i="7"/>
  <c r="D6302" i="7"/>
  <c r="D6301" i="7"/>
  <c r="D6300" i="7"/>
  <c r="D6299" i="7"/>
  <c r="D6298" i="7"/>
  <c r="D6297" i="7"/>
  <c r="D6296" i="7"/>
  <c r="D6295" i="7"/>
  <c r="D6294" i="7"/>
  <c r="D6293" i="7"/>
  <c r="D6292" i="7"/>
  <c r="D6291" i="7"/>
  <c r="D6290" i="7"/>
  <c r="D6289" i="7"/>
  <c r="D6288" i="7"/>
  <c r="D6287" i="7"/>
  <c r="D6286" i="7"/>
  <c r="D6285" i="7"/>
  <c r="D6284" i="7"/>
  <c r="D6283" i="7"/>
  <c r="D6282" i="7"/>
  <c r="D6281" i="7"/>
  <c r="D6280" i="7"/>
  <c r="D6279" i="7"/>
  <c r="D6278" i="7"/>
  <c r="D6277" i="7"/>
  <c r="D6276" i="7"/>
  <c r="D6275" i="7"/>
  <c r="D6274" i="7"/>
  <c r="D6273" i="7"/>
  <c r="D6272" i="7"/>
  <c r="D6271" i="7"/>
  <c r="D6270" i="7"/>
  <c r="D6269" i="7"/>
  <c r="D6268" i="7"/>
  <c r="D6267" i="7"/>
  <c r="D6266" i="7"/>
  <c r="D6265" i="7"/>
  <c r="D6264" i="7"/>
  <c r="D6263" i="7"/>
  <c r="D6262" i="7"/>
  <c r="D6261" i="7"/>
  <c r="D6260" i="7"/>
  <c r="D6259" i="7"/>
  <c r="D6258" i="7"/>
  <c r="D6257" i="7"/>
  <c r="D6256" i="7"/>
  <c r="D6255" i="7"/>
  <c r="D6254" i="7"/>
  <c r="D6253" i="7"/>
  <c r="D6252" i="7"/>
  <c r="D6251" i="7"/>
  <c r="D6250" i="7"/>
  <c r="D6249" i="7"/>
  <c r="D6248" i="7"/>
  <c r="D6247" i="7"/>
  <c r="D6246" i="7"/>
  <c r="D6245" i="7"/>
  <c r="D6244" i="7"/>
  <c r="D6243" i="7"/>
  <c r="D6242" i="7"/>
  <c r="D6241" i="7"/>
  <c r="D6240" i="7"/>
  <c r="D6239" i="7"/>
  <c r="D6238" i="7"/>
  <c r="D6237" i="7"/>
  <c r="D6236" i="7"/>
  <c r="D6235" i="7"/>
  <c r="D6234" i="7"/>
  <c r="D6233" i="7"/>
  <c r="D6232" i="7"/>
  <c r="D6231" i="7"/>
  <c r="D6230" i="7"/>
  <c r="D6229" i="7"/>
  <c r="D6228" i="7"/>
  <c r="D6227" i="7"/>
  <c r="D6226" i="7"/>
  <c r="D6225" i="7"/>
  <c r="D6224" i="7"/>
  <c r="D6223" i="7"/>
  <c r="D6222" i="7"/>
  <c r="D6221" i="7"/>
  <c r="D6220" i="7"/>
  <c r="D6219" i="7"/>
  <c r="D6218" i="7"/>
  <c r="D6217" i="7"/>
  <c r="D6216" i="7"/>
  <c r="D6215" i="7"/>
  <c r="D6214" i="7"/>
  <c r="D6213" i="7"/>
  <c r="D6212" i="7"/>
  <c r="D6211" i="7"/>
  <c r="D6210" i="7"/>
  <c r="D6209" i="7"/>
  <c r="D6208" i="7"/>
  <c r="D6207" i="7"/>
  <c r="D6206" i="7"/>
  <c r="D6205" i="7"/>
  <c r="D6204" i="7"/>
  <c r="D6203" i="7"/>
  <c r="D6202" i="7"/>
  <c r="D6201" i="7"/>
  <c r="D6200" i="7"/>
  <c r="D6199" i="7"/>
  <c r="D6198" i="7"/>
  <c r="D6197" i="7"/>
  <c r="D6196" i="7"/>
  <c r="D6195" i="7"/>
  <c r="D6194" i="7"/>
  <c r="D6193" i="7"/>
  <c r="D6192" i="7"/>
  <c r="D6191" i="7"/>
  <c r="D6190" i="7"/>
  <c r="D6189" i="7"/>
  <c r="D6188" i="7"/>
  <c r="D6187" i="7"/>
  <c r="D6186" i="7"/>
  <c r="D6185" i="7"/>
  <c r="D6184" i="7"/>
  <c r="D6183" i="7"/>
  <c r="D6182" i="7"/>
  <c r="D6181" i="7"/>
  <c r="D6180" i="7"/>
  <c r="D6179" i="7"/>
  <c r="D6178" i="7"/>
  <c r="D6177" i="7"/>
  <c r="D6176" i="7"/>
  <c r="D6175" i="7"/>
  <c r="D6174" i="7"/>
  <c r="D6173" i="7"/>
  <c r="D6172" i="7"/>
  <c r="D6171" i="7"/>
  <c r="D6170" i="7"/>
  <c r="D6169" i="7"/>
  <c r="D6168" i="7"/>
  <c r="D6167" i="7"/>
  <c r="D6166" i="7"/>
  <c r="D6165" i="7"/>
  <c r="D6164" i="7"/>
  <c r="D6163" i="7"/>
  <c r="D6162" i="7"/>
  <c r="D6161" i="7"/>
  <c r="D6160" i="7"/>
  <c r="D6159" i="7"/>
  <c r="D6158" i="7"/>
  <c r="D6157" i="7"/>
  <c r="D6156" i="7"/>
  <c r="D6155" i="7"/>
  <c r="D6154" i="7"/>
  <c r="D6153" i="7"/>
  <c r="D6152" i="7"/>
  <c r="D6151" i="7"/>
  <c r="D6150" i="7"/>
  <c r="D6149" i="7"/>
  <c r="D6148" i="7"/>
  <c r="D6147" i="7"/>
  <c r="D6146" i="7"/>
  <c r="D6145" i="7"/>
  <c r="D6144" i="7"/>
  <c r="D6143" i="7"/>
  <c r="D6142" i="7"/>
  <c r="D6141" i="7"/>
  <c r="D6140" i="7"/>
  <c r="D6139" i="7"/>
  <c r="D6138" i="7"/>
  <c r="D6137" i="7"/>
  <c r="D6136" i="7"/>
  <c r="D6135" i="7"/>
  <c r="D6134" i="7"/>
  <c r="D6133" i="7"/>
  <c r="D6132" i="7"/>
  <c r="D6131" i="7"/>
  <c r="D6130" i="7"/>
  <c r="D6129" i="7"/>
  <c r="D6128" i="7"/>
  <c r="D6127" i="7"/>
  <c r="D6126" i="7"/>
  <c r="D6125" i="7"/>
  <c r="D6124" i="7"/>
  <c r="D6123" i="7"/>
  <c r="D6122" i="7"/>
  <c r="D6121" i="7"/>
  <c r="D6120" i="7"/>
  <c r="D6119" i="7"/>
  <c r="D6118" i="7"/>
  <c r="D6117" i="7"/>
  <c r="D6116" i="7"/>
  <c r="D6115" i="7"/>
  <c r="D6114" i="7"/>
  <c r="D6113" i="7"/>
  <c r="D6112" i="7"/>
  <c r="D6111" i="7"/>
  <c r="D6110" i="7"/>
  <c r="D6109" i="7"/>
  <c r="D6108" i="7"/>
  <c r="D6107" i="7"/>
  <c r="D6106" i="7"/>
  <c r="D6105" i="7"/>
  <c r="D6104" i="7"/>
  <c r="D6103" i="7"/>
  <c r="D6102" i="7"/>
  <c r="D6101" i="7"/>
  <c r="D6100" i="7"/>
  <c r="D6099" i="7"/>
  <c r="D6098" i="7"/>
  <c r="D6097" i="7"/>
  <c r="D6096" i="7"/>
  <c r="D6095" i="7"/>
  <c r="D6094" i="7"/>
  <c r="D6093" i="7"/>
  <c r="D6092" i="7"/>
  <c r="D6091" i="7"/>
  <c r="D6090" i="7"/>
  <c r="D6089" i="7"/>
  <c r="D6088" i="7"/>
  <c r="D6087" i="7"/>
  <c r="D6086" i="7"/>
  <c r="D6085" i="7"/>
  <c r="D6084" i="7"/>
  <c r="D6083" i="7"/>
  <c r="D6082" i="7"/>
  <c r="D6081" i="7"/>
  <c r="D6080" i="7"/>
  <c r="D6079" i="7"/>
  <c r="D6078" i="7"/>
  <c r="D6077" i="7"/>
  <c r="D6076" i="7"/>
  <c r="D6075" i="7"/>
  <c r="D6074" i="7"/>
  <c r="D6073" i="7"/>
  <c r="D6072" i="7"/>
  <c r="D6071" i="7"/>
  <c r="D6070" i="7"/>
  <c r="D6069" i="7"/>
  <c r="D6068" i="7"/>
  <c r="D6067" i="7"/>
  <c r="D6066" i="7"/>
  <c r="D6065" i="7"/>
  <c r="D6064" i="7"/>
  <c r="D6063" i="7"/>
  <c r="D6062" i="7"/>
  <c r="D6061" i="7"/>
  <c r="D6060" i="7"/>
  <c r="D6059" i="7"/>
  <c r="D6058" i="7"/>
  <c r="D6057" i="7"/>
  <c r="D6056" i="7"/>
  <c r="D6055" i="7"/>
  <c r="D6054" i="7"/>
  <c r="D6053" i="7"/>
  <c r="D6052" i="7"/>
  <c r="D6051" i="7"/>
  <c r="D6050" i="7"/>
  <c r="D6049" i="7"/>
  <c r="D6048" i="7"/>
  <c r="D6047" i="7"/>
  <c r="D6046" i="7"/>
  <c r="D6045" i="7"/>
  <c r="D6044" i="7"/>
  <c r="D6043" i="7"/>
  <c r="D6042" i="7"/>
  <c r="D6041" i="7"/>
  <c r="D6040" i="7"/>
  <c r="D6039" i="7"/>
  <c r="D6038" i="7"/>
  <c r="D6037" i="7"/>
  <c r="D6036" i="7"/>
  <c r="D6035" i="7"/>
  <c r="D6034" i="7"/>
  <c r="D6033" i="7"/>
  <c r="D6032" i="7"/>
  <c r="D6031" i="7"/>
  <c r="D6030" i="7"/>
  <c r="D6029" i="7"/>
  <c r="D6028" i="7"/>
  <c r="D6027" i="7"/>
  <c r="D6026" i="7"/>
  <c r="D6025" i="7"/>
  <c r="D6024" i="7"/>
  <c r="D6023" i="7"/>
  <c r="D6022" i="7"/>
  <c r="D6021" i="7"/>
  <c r="D6020" i="7"/>
  <c r="D6019" i="7"/>
  <c r="D6018" i="7"/>
  <c r="D6017" i="7"/>
  <c r="D6016" i="7"/>
  <c r="D6015" i="7"/>
  <c r="D6014" i="7"/>
  <c r="D6013" i="7"/>
  <c r="D6012" i="7"/>
  <c r="D6011" i="7"/>
  <c r="D6010" i="7"/>
  <c r="D6009" i="7"/>
  <c r="D6008" i="7"/>
  <c r="D6007" i="7"/>
  <c r="D6006" i="7"/>
  <c r="D6005" i="7"/>
  <c r="D6004" i="7"/>
  <c r="D6003" i="7"/>
  <c r="D6002" i="7"/>
  <c r="D6001" i="7"/>
  <c r="D6000" i="7"/>
  <c r="D5999" i="7"/>
  <c r="D5998" i="7"/>
  <c r="D5997" i="7"/>
  <c r="D5996" i="7"/>
  <c r="D5995" i="7"/>
  <c r="D5994" i="7"/>
  <c r="D5993" i="7"/>
  <c r="D5992" i="7"/>
  <c r="D5991" i="7"/>
  <c r="D5990" i="7"/>
  <c r="D5989" i="7"/>
  <c r="D5988" i="7"/>
  <c r="D5987" i="7"/>
  <c r="D5986" i="7"/>
  <c r="D5985" i="7"/>
  <c r="D5984" i="7"/>
  <c r="D5983" i="7"/>
  <c r="D5982" i="7"/>
  <c r="D5981" i="7"/>
  <c r="D5980" i="7"/>
  <c r="D5979" i="7"/>
  <c r="D5978" i="7"/>
  <c r="D5977" i="7"/>
  <c r="D5976" i="7"/>
  <c r="D5975" i="7"/>
  <c r="D5974" i="7"/>
  <c r="D5973" i="7"/>
  <c r="D5972" i="7"/>
  <c r="D5971" i="7"/>
  <c r="D5970" i="7"/>
  <c r="D5969" i="7"/>
  <c r="D5968" i="7"/>
  <c r="D5967" i="7"/>
  <c r="D5966" i="7"/>
  <c r="D5965" i="7"/>
  <c r="D5964" i="7"/>
  <c r="D5963" i="7"/>
  <c r="D5962" i="7"/>
  <c r="D5961" i="7"/>
  <c r="D5960" i="7"/>
  <c r="D5959" i="7"/>
  <c r="D5958" i="7"/>
  <c r="D5957" i="7"/>
  <c r="D5956" i="7"/>
  <c r="D5955" i="7"/>
  <c r="D5954" i="7"/>
  <c r="D5953" i="7"/>
  <c r="D5952" i="7"/>
  <c r="D5951" i="7"/>
  <c r="D5950" i="7"/>
  <c r="D5949" i="7"/>
  <c r="D5948" i="7"/>
  <c r="D5947" i="7"/>
  <c r="D5946" i="7"/>
  <c r="D5945" i="7"/>
  <c r="D5944" i="7"/>
  <c r="D5943" i="7"/>
  <c r="D5942" i="7"/>
  <c r="D5941" i="7"/>
  <c r="D5940" i="7"/>
  <c r="D5939" i="7"/>
  <c r="D5938" i="7"/>
  <c r="D5937" i="7"/>
  <c r="D5936" i="7"/>
  <c r="D5935" i="7"/>
  <c r="D5934" i="7"/>
  <c r="D5933" i="7"/>
  <c r="D5932" i="7"/>
  <c r="D5931" i="7"/>
  <c r="D5930" i="7"/>
  <c r="D5929" i="7"/>
  <c r="D5928" i="7"/>
  <c r="D5927" i="7"/>
  <c r="D5926" i="7"/>
  <c r="D5925" i="7"/>
  <c r="D5924" i="7"/>
  <c r="D5923" i="7"/>
  <c r="D5922" i="7"/>
  <c r="D5921" i="7"/>
  <c r="D5920" i="7"/>
  <c r="D5919" i="7"/>
  <c r="D5918" i="7"/>
  <c r="D5917" i="7"/>
  <c r="D5916" i="7"/>
  <c r="D5915" i="7"/>
  <c r="D5914" i="7"/>
  <c r="D5913" i="7"/>
  <c r="D5912" i="7"/>
  <c r="D5911" i="7"/>
  <c r="D5910" i="7"/>
  <c r="D5909" i="7"/>
  <c r="D5908" i="7"/>
  <c r="D5907" i="7"/>
  <c r="D5906" i="7"/>
  <c r="D5905" i="7"/>
  <c r="D5904" i="7"/>
  <c r="D5903" i="7"/>
  <c r="D5902" i="7"/>
  <c r="D5901" i="7"/>
  <c r="D5900" i="7"/>
  <c r="D5899" i="7"/>
  <c r="D5898" i="7"/>
  <c r="D5897" i="7"/>
  <c r="D5896" i="7"/>
  <c r="D5895" i="7"/>
  <c r="D5894" i="7"/>
  <c r="D5893" i="7"/>
  <c r="D5892" i="7"/>
  <c r="D5891" i="7"/>
  <c r="D5890" i="7"/>
  <c r="D5889" i="7"/>
  <c r="D5888" i="7"/>
  <c r="D5887" i="7"/>
  <c r="D5886" i="7"/>
  <c r="D5885" i="7"/>
  <c r="D5884" i="7"/>
  <c r="D5883" i="7"/>
  <c r="D5882" i="7"/>
  <c r="D5881" i="7"/>
  <c r="D5880" i="7"/>
  <c r="D5879" i="7"/>
  <c r="D5878" i="7"/>
  <c r="D5877" i="7"/>
  <c r="D5876" i="7"/>
  <c r="D5875" i="7"/>
  <c r="D5874" i="7"/>
  <c r="D5873" i="7"/>
  <c r="D5872" i="7"/>
  <c r="D5871" i="7"/>
  <c r="D5870" i="7"/>
  <c r="D5869" i="7"/>
  <c r="D5868" i="7"/>
  <c r="D5867" i="7"/>
  <c r="D5866" i="7"/>
  <c r="D5865" i="7"/>
  <c r="D5864" i="7"/>
  <c r="D5863" i="7"/>
  <c r="D5862" i="7"/>
  <c r="D5861" i="7"/>
  <c r="D5860" i="7"/>
  <c r="D5859" i="7"/>
  <c r="D5858" i="7"/>
  <c r="D5857" i="7"/>
  <c r="D5856" i="7"/>
  <c r="D5855" i="7"/>
  <c r="D5854" i="7"/>
  <c r="D5853" i="7"/>
  <c r="D5852" i="7"/>
  <c r="D5851" i="7"/>
  <c r="D5850" i="7"/>
  <c r="D5849" i="7"/>
  <c r="D5848" i="7"/>
  <c r="D5847" i="7"/>
  <c r="D5846" i="7"/>
  <c r="D5845" i="7"/>
  <c r="D5844" i="7"/>
  <c r="D5843" i="7"/>
  <c r="D5842" i="7"/>
  <c r="D5841" i="7"/>
  <c r="D5840" i="7"/>
  <c r="D5839" i="7"/>
  <c r="D5838" i="7"/>
  <c r="D5837" i="7"/>
  <c r="D5836" i="7"/>
  <c r="D5835" i="7"/>
  <c r="D5834" i="7"/>
  <c r="D5833" i="7"/>
  <c r="D5832" i="7"/>
  <c r="D5831" i="7"/>
  <c r="D5830" i="7"/>
  <c r="D5829" i="7"/>
  <c r="D5828" i="7"/>
  <c r="D5827" i="7"/>
  <c r="D5826" i="7"/>
  <c r="D5825" i="7"/>
  <c r="D5824" i="7"/>
  <c r="D5823" i="7"/>
  <c r="D5822" i="7"/>
  <c r="D5821" i="7"/>
  <c r="D5820" i="7"/>
  <c r="D5819" i="7"/>
  <c r="D5818" i="7"/>
  <c r="D5817" i="7"/>
  <c r="D5816" i="7"/>
  <c r="D5815" i="7"/>
  <c r="D5814" i="7"/>
  <c r="D5813" i="7"/>
  <c r="D5812" i="7"/>
  <c r="D5811" i="7"/>
  <c r="D5810" i="7"/>
  <c r="D5809" i="7"/>
  <c r="D5808" i="7"/>
  <c r="D5807" i="7"/>
  <c r="D5806" i="7"/>
  <c r="D5805" i="7"/>
  <c r="D5804" i="7"/>
  <c r="D5803" i="7"/>
  <c r="D5802" i="7"/>
  <c r="D5801" i="7"/>
  <c r="D5800" i="7"/>
  <c r="D5799" i="7"/>
  <c r="D5798" i="7"/>
  <c r="D5797" i="7"/>
  <c r="D5796" i="7"/>
  <c r="D5795" i="7"/>
  <c r="D5794" i="7"/>
  <c r="D5793" i="7"/>
  <c r="D5792" i="7"/>
  <c r="D5791" i="7"/>
  <c r="D5790" i="7"/>
  <c r="D5789" i="7"/>
  <c r="D5788" i="7"/>
  <c r="D5787" i="7"/>
  <c r="D5786" i="7"/>
  <c r="D5785" i="7"/>
  <c r="D5784" i="7"/>
  <c r="D5783" i="7"/>
  <c r="D5782" i="7"/>
  <c r="D5781" i="7"/>
  <c r="D5780" i="7"/>
  <c r="D5779" i="7"/>
  <c r="D5778" i="7"/>
  <c r="D5777" i="7"/>
  <c r="D5776" i="7"/>
  <c r="D5775" i="7"/>
  <c r="D5774" i="7"/>
  <c r="D5773" i="7"/>
  <c r="D5772" i="7"/>
  <c r="D5771" i="7"/>
  <c r="D5770" i="7"/>
  <c r="D5769" i="7"/>
  <c r="D5768" i="7"/>
  <c r="D5767" i="7"/>
  <c r="D5766" i="7"/>
  <c r="D5765" i="7"/>
  <c r="D5764" i="7"/>
  <c r="D5763" i="7"/>
  <c r="D5762" i="7"/>
  <c r="D5761" i="7"/>
  <c r="D5760" i="7"/>
  <c r="D5759" i="7"/>
  <c r="D5758" i="7"/>
  <c r="D5757" i="7"/>
  <c r="D5756" i="7"/>
  <c r="D5755" i="7"/>
  <c r="D5754" i="7"/>
  <c r="D5753" i="7"/>
  <c r="D5752" i="7"/>
  <c r="D5751" i="7"/>
  <c r="D5750" i="7"/>
  <c r="D5749" i="7"/>
  <c r="D5748" i="7"/>
  <c r="D5747" i="7"/>
  <c r="D5746" i="7"/>
  <c r="D5745" i="7"/>
  <c r="D5744" i="7"/>
  <c r="D5743" i="7"/>
  <c r="D5742" i="7"/>
  <c r="D5741" i="7"/>
  <c r="D5740" i="7"/>
  <c r="D5739" i="7"/>
  <c r="D5738" i="7"/>
  <c r="D5737" i="7"/>
  <c r="D5736" i="7"/>
  <c r="D5735" i="7"/>
  <c r="D5734" i="7"/>
  <c r="D5733" i="7"/>
  <c r="D5732" i="7"/>
  <c r="D5731" i="7"/>
  <c r="D5730" i="7"/>
  <c r="D5729" i="7"/>
  <c r="D5728" i="7"/>
  <c r="D5727" i="7"/>
  <c r="D5726" i="7"/>
  <c r="D5725" i="7"/>
  <c r="D5724" i="7"/>
  <c r="D5723" i="7"/>
  <c r="D5722" i="7"/>
  <c r="D5721" i="7"/>
  <c r="D5720" i="7"/>
  <c r="D5719" i="7"/>
  <c r="D5718" i="7"/>
  <c r="D5717" i="7"/>
  <c r="D5716" i="7"/>
  <c r="D5715" i="7"/>
  <c r="D5714" i="7"/>
  <c r="D5713" i="7"/>
  <c r="D5712" i="7"/>
  <c r="D5711" i="7"/>
  <c r="D5710" i="7"/>
  <c r="D5709" i="7"/>
  <c r="D5708" i="7"/>
  <c r="D5707" i="7"/>
  <c r="D5706" i="7"/>
  <c r="D5705" i="7"/>
  <c r="D5704" i="7"/>
  <c r="D5703" i="7"/>
  <c r="D5702" i="7"/>
  <c r="D5701" i="7"/>
  <c r="D5700" i="7"/>
  <c r="D5699" i="7"/>
  <c r="D5698" i="7"/>
  <c r="D5697" i="7"/>
  <c r="D5696" i="7"/>
  <c r="D5695" i="7"/>
  <c r="D5694" i="7"/>
  <c r="D5693" i="7"/>
  <c r="D5692" i="7"/>
  <c r="D5691" i="7"/>
  <c r="D5690" i="7"/>
  <c r="D5689" i="7"/>
  <c r="D5688" i="7"/>
  <c r="D5687" i="7"/>
  <c r="D5686" i="7"/>
  <c r="D5685" i="7"/>
  <c r="D5684" i="7"/>
  <c r="D5683" i="7"/>
  <c r="D5682" i="7"/>
  <c r="D5681" i="7"/>
  <c r="D5680" i="7"/>
  <c r="D5679" i="7"/>
  <c r="D5678" i="7"/>
  <c r="D5677" i="7"/>
  <c r="D5676" i="7"/>
  <c r="D5675" i="7"/>
  <c r="D5674" i="7"/>
  <c r="D5673" i="7"/>
  <c r="D5672" i="7"/>
  <c r="D5671" i="7"/>
  <c r="D5670" i="7"/>
  <c r="D5669" i="7"/>
  <c r="D5668" i="7"/>
  <c r="D5667" i="7"/>
  <c r="D5666" i="7"/>
  <c r="D5665" i="7"/>
  <c r="D5664" i="7"/>
  <c r="D5663" i="7"/>
  <c r="D5662" i="7"/>
  <c r="D5661" i="7"/>
  <c r="D5660" i="7"/>
  <c r="D5659" i="7"/>
  <c r="D5658" i="7"/>
  <c r="D5657" i="7"/>
  <c r="D5656" i="7"/>
  <c r="D5655" i="7"/>
  <c r="D5654" i="7"/>
  <c r="D5653" i="7"/>
  <c r="D5652" i="7"/>
  <c r="D5651" i="7"/>
  <c r="D5650" i="7"/>
  <c r="D5649" i="7"/>
  <c r="D5648" i="7"/>
  <c r="D5647" i="7"/>
  <c r="D5646" i="7"/>
  <c r="D5645" i="7"/>
  <c r="D5644" i="7"/>
  <c r="D5643" i="7"/>
  <c r="D5642" i="7"/>
  <c r="D5641" i="7"/>
  <c r="D5640" i="7"/>
  <c r="D5639" i="7"/>
  <c r="D5638" i="7"/>
  <c r="D5637" i="7"/>
  <c r="D5636" i="7"/>
  <c r="D5635" i="7"/>
  <c r="D5634" i="7"/>
  <c r="D5633" i="7"/>
  <c r="D5632" i="7"/>
  <c r="D5631" i="7"/>
  <c r="D5630" i="7"/>
  <c r="D5629" i="7"/>
  <c r="D5628" i="7"/>
  <c r="D5627" i="7"/>
  <c r="D5626" i="7"/>
  <c r="D5625" i="7"/>
  <c r="D5624" i="7"/>
  <c r="D5623" i="7"/>
  <c r="D5622" i="7"/>
  <c r="D5621" i="7"/>
  <c r="D5620" i="7"/>
  <c r="D5619" i="7"/>
  <c r="D5618" i="7"/>
  <c r="D5617" i="7"/>
  <c r="D5616" i="7"/>
  <c r="D5615" i="7"/>
  <c r="D5614" i="7"/>
  <c r="D5613" i="7"/>
  <c r="D5612" i="7"/>
  <c r="D5611" i="7"/>
  <c r="D5610" i="7"/>
  <c r="D5609" i="7"/>
  <c r="D5608" i="7"/>
  <c r="D5607" i="7"/>
  <c r="D5606" i="7"/>
  <c r="D5605" i="7"/>
  <c r="D5604" i="7"/>
  <c r="D5603" i="7"/>
  <c r="D5602" i="7"/>
  <c r="D5601" i="7"/>
  <c r="D5600" i="7"/>
  <c r="D5599" i="7"/>
  <c r="D5598" i="7"/>
  <c r="D5597" i="7"/>
  <c r="D5596" i="7"/>
  <c r="D5595" i="7"/>
  <c r="D5594" i="7"/>
  <c r="D5593" i="7"/>
  <c r="D5592" i="7"/>
  <c r="D5591" i="7"/>
  <c r="D5590" i="7"/>
  <c r="D5589" i="7"/>
  <c r="D5588" i="7"/>
  <c r="D5587" i="7"/>
  <c r="D5586" i="7"/>
  <c r="D5585" i="7"/>
  <c r="D5584" i="7"/>
  <c r="D5583" i="7"/>
  <c r="D5582" i="7"/>
  <c r="D5581" i="7"/>
  <c r="D5580" i="7"/>
  <c r="D5579" i="7"/>
  <c r="D5578" i="7"/>
  <c r="D5577" i="7"/>
  <c r="D5576" i="7"/>
  <c r="D5575" i="7"/>
  <c r="D5574" i="7"/>
  <c r="D5573" i="7"/>
  <c r="D5572" i="7"/>
  <c r="D5571" i="7"/>
  <c r="D5570" i="7"/>
  <c r="D5569" i="7"/>
  <c r="D5568" i="7"/>
  <c r="D5567" i="7"/>
  <c r="D5566" i="7"/>
  <c r="D5565" i="7"/>
  <c r="D5564" i="7"/>
  <c r="D5563" i="7"/>
  <c r="D5562" i="7"/>
  <c r="D5561" i="7"/>
  <c r="D5560" i="7"/>
  <c r="D5559" i="7"/>
  <c r="D5558" i="7"/>
  <c r="D5557" i="7"/>
  <c r="D5556" i="7"/>
  <c r="D5555" i="7"/>
  <c r="D5554" i="7"/>
  <c r="D5553" i="7"/>
  <c r="D5552" i="7"/>
  <c r="D5551" i="7"/>
  <c r="D5550" i="7"/>
  <c r="D5549" i="7"/>
  <c r="D5548" i="7"/>
  <c r="D5547" i="7"/>
  <c r="D5546" i="7"/>
  <c r="D5545" i="7"/>
  <c r="D5544" i="7"/>
  <c r="D5543" i="7"/>
  <c r="D5542" i="7"/>
  <c r="D5541" i="7"/>
  <c r="D5540" i="7"/>
  <c r="D5539" i="7"/>
  <c r="D5538" i="7"/>
  <c r="D5537" i="7"/>
  <c r="D5536" i="7"/>
  <c r="D5535" i="7"/>
  <c r="D5534" i="7"/>
  <c r="D5533" i="7"/>
  <c r="D5532" i="7"/>
  <c r="D5531" i="7"/>
  <c r="D5530" i="7"/>
  <c r="D5529" i="7"/>
  <c r="D5528" i="7"/>
  <c r="D5527" i="7"/>
  <c r="D5526" i="7"/>
  <c r="D5525" i="7"/>
  <c r="D5524" i="7"/>
  <c r="D5523" i="7"/>
  <c r="D5522" i="7"/>
  <c r="D5521" i="7"/>
  <c r="D5520" i="7"/>
  <c r="D5519" i="7"/>
  <c r="D5518" i="7"/>
  <c r="D5517" i="7"/>
  <c r="D5516" i="7"/>
  <c r="D5515" i="7"/>
  <c r="D5514" i="7"/>
  <c r="D5513" i="7"/>
  <c r="D5512" i="7"/>
  <c r="D5511" i="7"/>
  <c r="D5510" i="7"/>
  <c r="D5509" i="7"/>
  <c r="D5508" i="7"/>
  <c r="D5507" i="7"/>
  <c r="D5506" i="7"/>
  <c r="D5505" i="7"/>
  <c r="D5504" i="7"/>
  <c r="D5503" i="7"/>
  <c r="D5502" i="7"/>
  <c r="D5501" i="7"/>
  <c r="D5500" i="7"/>
  <c r="D5499" i="7"/>
  <c r="D5498" i="7"/>
  <c r="D5497" i="7"/>
  <c r="D5496" i="7"/>
  <c r="D5495" i="7"/>
  <c r="D5494" i="7"/>
  <c r="D5493" i="7"/>
  <c r="D5492" i="7"/>
  <c r="D5491" i="7"/>
  <c r="D5490" i="7"/>
  <c r="D5489" i="7"/>
  <c r="D5488" i="7"/>
  <c r="D5487" i="7"/>
  <c r="D5486" i="7"/>
  <c r="D5485" i="7"/>
  <c r="D5484" i="7"/>
  <c r="D5483" i="7"/>
  <c r="D5482" i="7"/>
  <c r="D5481" i="7"/>
  <c r="D5480" i="7"/>
  <c r="D5479" i="7"/>
  <c r="D5478" i="7"/>
  <c r="D5477" i="7"/>
  <c r="D5476" i="7"/>
  <c r="D5475" i="7"/>
  <c r="D5474" i="7"/>
  <c r="D5473" i="7"/>
  <c r="D5472" i="7"/>
  <c r="D5471" i="7"/>
  <c r="D5470" i="7"/>
  <c r="D5469" i="7"/>
  <c r="D5468" i="7"/>
  <c r="D5467" i="7"/>
  <c r="D5466" i="7"/>
  <c r="D5465" i="7"/>
  <c r="D5464" i="7"/>
  <c r="D5463" i="7"/>
  <c r="D5462" i="7"/>
  <c r="D5461" i="7"/>
  <c r="D5460" i="7"/>
  <c r="D5459" i="7"/>
  <c r="D5458" i="7"/>
  <c r="D5457" i="7"/>
  <c r="D5456" i="7"/>
  <c r="D5455" i="7"/>
  <c r="D5454" i="7"/>
  <c r="D5453" i="7"/>
  <c r="D5452" i="7"/>
  <c r="D5451" i="7"/>
  <c r="D5450" i="7"/>
  <c r="D5449" i="7"/>
  <c r="D5448" i="7"/>
  <c r="D5447" i="7"/>
  <c r="D5446" i="7"/>
  <c r="D5445" i="7"/>
  <c r="D5444" i="7"/>
  <c r="D5443" i="7"/>
  <c r="D5442" i="7"/>
  <c r="D5441" i="7"/>
  <c r="D5440" i="7"/>
  <c r="D5439" i="7"/>
  <c r="D5438" i="7"/>
  <c r="D5437" i="7"/>
  <c r="D5436" i="7"/>
  <c r="D5435" i="7"/>
  <c r="D5434" i="7"/>
  <c r="D5433" i="7"/>
  <c r="D5432" i="7"/>
  <c r="D5431" i="7"/>
  <c r="D5430" i="7"/>
  <c r="D5429" i="7"/>
  <c r="D5428" i="7"/>
  <c r="D5427" i="7"/>
  <c r="D5426" i="7"/>
  <c r="D5425" i="7"/>
  <c r="D5424" i="7"/>
  <c r="D5423" i="7"/>
  <c r="D5422" i="7"/>
  <c r="D5421" i="7"/>
  <c r="D5420" i="7"/>
  <c r="D5419" i="7"/>
  <c r="D5418" i="7"/>
  <c r="D5417" i="7"/>
  <c r="D5416" i="7"/>
  <c r="D5415" i="7"/>
  <c r="D5414" i="7"/>
  <c r="D5413" i="7"/>
  <c r="D5412" i="7"/>
  <c r="D5411" i="7"/>
  <c r="D5410" i="7"/>
  <c r="D5409" i="7"/>
  <c r="D5408" i="7"/>
  <c r="D5407" i="7"/>
  <c r="D5406" i="7"/>
  <c r="D5405" i="7"/>
  <c r="D5404" i="7"/>
  <c r="D5403" i="7"/>
  <c r="D5402" i="7"/>
  <c r="D5401" i="7"/>
  <c r="D5400" i="7"/>
  <c r="D5399" i="7"/>
  <c r="D5398" i="7"/>
  <c r="D5397" i="7"/>
  <c r="D5396" i="7"/>
  <c r="D5395" i="7"/>
  <c r="D5394" i="7"/>
  <c r="D5393" i="7"/>
  <c r="D5392" i="7"/>
  <c r="D5391" i="7"/>
  <c r="D5390" i="7"/>
  <c r="D5389" i="7"/>
  <c r="D5388" i="7"/>
  <c r="D5387" i="7"/>
  <c r="D5386" i="7"/>
  <c r="D5385" i="7"/>
  <c r="D5384" i="7"/>
  <c r="D5383" i="7"/>
  <c r="D5382" i="7"/>
  <c r="D5381" i="7"/>
  <c r="D5380" i="7"/>
  <c r="D5379" i="7"/>
  <c r="D5378" i="7"/>
  <c r="D5377" i="7"/>
  <c r="D5376" i="7"/>
  <c r="D5375" i="7"/>
  <c r="D5374" i="7"/>
  <c r="D5373" i="7"/>
  <c r="D5372" i="7"/>
  <c r="D5371" i="7"/>
  <c r="D5370" i="7"/>
  <c r="D5369" i="7"/>
  <c r="D5368" i="7"/>
  <c r="D5367" i="7"/>
  <c r="D5366" i="7"/>
  <c r="D5365" i="7"/>
  <c r="D5364" i="7"/>
  <c r="D5363" i="7"/>
  <c r="D5362" i="7"/>
  <c r="D5361" i="7"/>
  <c r="D5360" i="7"/>
  <c r="D5359" i="7"/>
  <c r="D5358" i="7"/>
  <c r="D5357" i="7"/>
  <c r="D5356" i="7"/>
  <c r="D5355" i="7"/>
  <c r="D5354" i="7"/>
  <c r="D5353" i="7"/>
  <c r="D5352" i="7"/>
  <c r="D5351" i="7"/>
  <c r="D5350" i="7"/>
  <c r="D5349" i="7"/>
  <c r="D5348" i="7"/>
  <c r="D5347" i="7"/>
  <c r="D5346" i="7"/>
  <c r="D5345" i="7"/>
  <c r="D5344" i="7"/>
  <c r="D5343" i="7"/>
  <c r="D5342" i="7"/>
  <c r="D5341" i="7"/>
  <c r="D5340" i="7"/>
  <c r="D5339" i="7"/>
  <c r="D5338" i="7"/>
  <c r="D5337" i="7"/>
  <c r="D5336" i="7"/>
  <c r="D5335" i="7"/>
  <c r="D5334" i="7"/>
  <c r="D5333" i="7"/>
  <c r="D5332" i="7"/>
  <c r="D5331" i="7"/>
  <c r="D5330" i="7"/>
  <c r="D5329" i="7"/>
  <c r="D5328" i="7"/>
  <c r="D5327" i="7"/>
  <c r="D5326" i="7"/>
  <c r="D5325" i="7"/>
  <c r="D5324" i="7"/>
  <c r="D5323" i="7"/>
  <c r="D5322" i="7"/>
  <c r="D5321" i="7"/>
  <c r="D5320" i="7"/>
  <c r="D5319" i="7"/>
  <c r="D5318" i="7"/>
  <c r="D5317" i="7"/>
  <c r="D5316" i="7"/>
  <c r="D5315" i="7"/>
  <c r="D5314" i="7"/>
  <c r="D5313" i="7"/>
  <c r="D5312" i="7"/>
  <c r="D5311" i="7"/>
  <c r="D5310" i="7"/>
  <c r="D5309" i="7"/>
  <c r="D5308" i="7"/>
  <c r="D5307" i="7"/>
  <c r="D5306" i="7"/>
  <c r="D5305" i="7"/>
  <c r="D5304" i="7"/>
  <c r="D5303" i="7"/>
  <c r="D5302" i="7"/>
  <c r="D5301" i="7"/>
  <c r="D5300" i="7"/>
  <c r="D5299" i="7"/>
  <c r="D5298" i="7"/>
  <c r="D5297" i="7"/>
  <c r="D5296" i="7"/>
  <c r="D5295" i="7"/>
  <c r="D5294" i="7"/>
  <c r="D5293" i="7"/>
  <c r="D5292" i="7"/>
  <c r="D5291" i="7"/>
  <c r="D5290" i="7"/>
  <c r="D5289" i="7"/>
  <c r="D5288" i="7"/>
  <c r="D5287" i="7"/>
  <c r="D5286" i="7"/>
  <c r="D5285" i="7"/>
  <c r="D5284" i="7"/>
  <c r="D5283" i="7"/>
  <c r="D5282" i="7"/>
  <c r="D5281" i="7"/>
  <c r="D5280" i="7"/>
  <c r="D5279" i="7"/>
  <c r="D5278" i="7"/>
  <c r="D5277" i="7"/>
  <c r="D5276" i="7"/>
  <c r="D5275" i="7"/>
  <c r="D5274" i="7"/>
  <c r="D5273" i="7"/>
  <c r="D5272" i="7"/>
  <c r="D5271" i="7"/>
  <c r="D5270" i="7"/>
  <c r="D5269" i="7"/>
  <c r="D5268" i="7"/>
  <c r="D5267" i="7"/>
  <c r="D5266" i="7"/>
  <c r="D5265" i="7"/>
  <c r="D5264" i="7"/>
  <c r="D5263" i="7"/>
  <c r="D5262" i="7"/>
  <c r="D5261" i="7"/>
  <c r="D5260" i="7"/>
  <c r="D5259" i="7"/>
  <c r="D5258" i="7"/>
  <c r="D5257" i="7"/>
  <c r="D5256" i="7"/>
  <c r="D5255" i="7"/>
  <c r="D5254" i="7"/>
  <c r="D5253" i="7"/>
  <c r="D5252" i="7"/>
  <c r="D5251" i="7"/>
  <c r="D5250" i="7"/>
  <c r="D5249" i="7"/>
  <c r="D5248" i="7"/>
  <c r="D5247" i="7"/>
  <c r="D5246" i="7"/>
  <c r="D5245" i="7"/>
  <c r="D5244" i="7"/>
  <c r="D5243" i="7"/>
  <c r="D5242" i="7"/>
  <c r="D5241" i="7"/>
  <c r="D5240" i="7"/>
  <c r="D5239" i="7"/>
  <c r="D5238" i="7"/>
  <c r="D5237" i="7"/>
  <c r="D5236" i="7"/>
  <c r="D5235" i="7"/>
  <c r="D5234" i="7"/>
  <c r="D5233" i="7"/>
  <c r="D5232" i="7"/>
  <c r="D5231" i="7"/>
  <c r="D5230" i="7"/>
  <c r="D5229" i="7"/>
  <c r="D5228" i="7"/>
  <c r="D5227" i="7"/>
  <c r="D5226" i="7"/>
  <c r="D5225" i="7"/>
  <c r="D5224" i="7"/>
  <c r="D5223" i="7"/>
  <c r="D5222" i="7"/>
  <c r="D5221" i="7"/>
  <c r="D5220" i="7"/>
  <c r="D5219" i="7"/>
  <c r="D5218" i="7"/>
  <c r="D5217" i="7"/>
  <c r="D5216" i="7"/>
  <c r="D5215" i="7"/>
  <c r="D5214" i="7"/>
  <c r="D5213" i="7"/>
  <c r="D5212" i="7"/>
  <c r="D5211" i="7"/>
  <c r="D5210" i="7"/>
  <c r="D5209" i="7"/>
  <c r="D5208" i="7"/>
  <c r="D5207" i="7"/>
  <c r="D5206" i="7"/>
  <c r="D5205" i="7"/>
  <c r="D5204" i="7"/>
  <c r="D5203" i="7"/>
  <c r="D5202" i="7"/>
  <c r="D5201" i="7"/>
  <c r="D5200" i="7"/>
  <c r="D5199" i="7"/>
  <c r="D5198" i="7"/>
  <c r="D5197" i="7"/>
  <c r="D5196" i="7"/>
  <c r="D5195" i="7"/>
  <c r="D5194" i="7"/>
  <c r="D5193" i="7"/>
  <c r="D5192" i="7"/>
  <c r="D5191" i="7"/>
  <c r="D5190" i="7"/>
  <c r="D5189" i="7"/>
  <c r="D5188" i="7"/>
  <c r="D5187" i="7"/>
  <c r="D5186" i="7"/>
  <c r="D5185" i="7"/>
  <c r="D5184" i="7"/>
  <c r="D5183" i="7"/>
  <c r="D5182" i="7"/>
  <c r="D5181" i="7"/>
  <c r="D5180" i="7"/>
  <c r="D5179" i="7"/>
  <c r="D5178" i="7"/>
  <c r="D5177" i="7"/>
  <c r="D5176" i="7"/>
  <c r="D5175" i="7"/>
  <c r="D5174" i="7"/>
  <c r="D5173" i="7"/>
  <c r="D5172" i="7"/>
  <c r="D5171" i="7"/>
  <c r="D5170" i="7"/>
  <c r="D5169" i="7"/>
  <c r="D5168" i="7"/>
  <c r="D5167" i="7"/>
  <c r="D5166" i="7"/>
  <c r="D5165" i="7"/>
  <c r="D5164" i="7"/>
  <c r="D5163" i="7"/>
  <c r="D5162" i="7"/>
  <c r="D5161" i="7"/>
  <c r="D5160" i="7"/>
  <c r="D5159" i="7"/>
  <c r="D5158" i="7"/>
  <c r="D5157" i="7"/>
  <c r="D5156" i="7"/>
  <c r="D5155" i="7"/>
  <c r="D5154" i="7"/>
  <c r="D5153" i="7"/>
  <c r="D5152" i="7"/>
  <c r="D5151" i="7"/>
  <c r="D5150" i="7"/>
  <c r="D5149" i="7"/>
  <c r="D5148" i="7"/>
  <c r="D5147" i="7"/>
  <c r="D5146" i="7"/>
  <c r="D5145" i="7"/>
  <c r="D5144" i="7"/>
  <c r="D5143" i="7"/>
  <c r="D5142" i="7"/>
  <c r="D5141" i="7"/>
  <c r="D5140" i="7"/>
  <c r="D5139" i="7"/>
  <c r="D5138" i="7"/>
  <c r="D5137" i="7"/>
  <c r="D5136" i="7"/>
  <c r="D5135" i="7"/>
  <c r="D5134" i="7"/>
  <c r="D5133" i="7"/>
  <c r="D5132" i="7"/>
  <c r="D5131" i="7"/>
  <c r="D5130" i="7"/>
  <c r="D5129" i="7"/>
  <c r="D5128" i="7"/>
  <c r="D5127" i="7"/>
  <c r="D5126" i="7"/>
  <c r="D5125" i="7"/>
  <c r="D5124" i="7"/>
  <c r="D5123" i="7"/>
  <c r="D5122" i="7"/>
  <c r="D5121" i="7"/>
  <c r="D5120" i="7"/>
  <c r="D5119" i="7"/>
  <c r="D5118" i="7"/>
  <c r="D5117" i="7"/>
  <c r="D5116" i="7"/>
  <c r="D5115" i="7"/>
  <c r="D5114" i="7"/>
  <c r="D5113" i="7"/>
  <c r="D5112" i="7"/>
  <c r="D5111" i="7"/>
  <c r="D5110" i="7"/>
  <c r="D5109" i="7"/>
  <c r="D5108" i="7"/>
  <c r="D5107" i="7"/>
  <c r="D5106" i="7"/>
  <c r="D5105" i="7"/>
  <c r="D5104" i="7"/>
  <c r="D5103" i="7"/>
  <c r="D5102" i="7"/>
  <c r="D5101" i="7"/>
  <c r="D5100" i="7"/>
  <c r="D5099" i="7"/>
  <c r="D5098" i="7"/>
  <c r="D5097" i="7"/>
  <c r="D5096" i="7"/>
  <c r="D5095" i="7"/>
  <c r="D5094" i="7"/>
  <c r="D5093" i="7"/>
  <c r="D5092" i="7"/>
  <c r="D5091" i="7"/>
  <c r="D5090" i="7"/>
  <c r="D5089" i="7"/>
  <c r="D5088" i="7"/>
  <c r="D5087" i="7"/>
  <c r="D5086" i="7"/>
  <c r="D5085" i="7"/>
  <c r="D5084" i="7"/>
  <c r="D5083" i="7"/>
  <c r="D5082" i="7"/>
  <c r="D5081" i="7"/>
  <c r="D5080" i="7"/>
  <c r="D5079" i="7"/>
  <c r="D5078" i="7"/>
  <c r="D5077" i="7"/>
  <c r="D5076" i="7"/>
  <c r="D5075" i="7"/>
  <c r="D5074" i="7"/>
  <c r="D5073" i="7"/>
  <c r="D5072" i="7"/>
  <c r="D5071" i="7"/>
  <c r="D5070" i="7"/>
  <c r="D5069" i="7"/>
  <c r="D5068" i="7"/>
  <c r="D5067" i="7"/>
  <c r="D5066" i="7"/>
  <c r="D5065" i="7"/>
  <c r="D5064" i="7"/>
  <c r="D5063" i="7"/>
  <c r="D5062" i="7"/>
  <c r="D5061" i="7"/>
  <c r="D5060" i="7"/>
  <c r="D5059" i="7"/>
  <c r="D5058" i="7"/>
  <c r="D5057" i="7"/>
  <c r="D5056" i="7"/>
  <c r="D5055" i="7"/>
  <c r="D5054" i="7"/>
  <c r="D5053" i="7"/>
  <c r="D5052" i="7"/>
  <c r="D5051" i="7"/>
  <c r="D5050" i="7"/>
  <c r="D5049" i="7"/>
  <c r="D5048" i="7"/>
  <c r="D5047" i="7"/>
  <c r="D5046" i="7"/>
  <c r="D5045" i="7"/>
  <c r="D5044" i="7"/>
  <c r="D5043" i="7"/>
  <c r="D5042" i="7"/>
  <c r="D5041" i="7"/>
  <c r="D5040" i="7"/>
  <c r="D5039" i="7"/>
  <c r="D5038" i="7"/>
  <c r="D5037" i="7"/>
  <c r="D5036" i="7"/>
  <c r="D5035" i="7"/>
  <c r="D5034" i="7"/>
  <c r="D5033" i="7"/>
  <c r="D5032" i="7"/>
  <c r="D5031" i="7"/>
  <c r="D5030" i="7"/>
  <c r="D5029" i="7"/>
  <c r="D5028" i="7"/>
  <c r="D5027" i="7"/>
  <c r="D5026" i="7"/>
  <c r="D5025" i="7"/>
  <c r="D5024" i="7"/>
  <c r="D5023" i="7"/>
  <c r="D5022" i="7"/>
  <c r="D5021" i="7"/>
  <c r="D5020" i="7"/>
  <c r="D5019" i="7"/>
  <c r="D5018" i="7"/>
  <c r="D5017" i="7"/>
  <c r="D5016" i="7"/>
  <c r="D5015" i="7"/>
  <c r="D5014" i="7"/>
  <c r="D5013" i="7"/>
  <c r="D5012" i="7"/>
  <c r="D5011" i="7"/>
  <c r="D5010" i="7"/>
  <c r="D5009" i="7"/>
  <c r="D5008" i="7"/>
  <c r="D5007" i="7"/>
  <c r="D5006" i="7"/>
  <c r="D5005" i="7"/>
  <c r="D5004" i="7"/>
  <c r="D5003" i="7"/>
  <c r="D5002" i="7"/>
  <c r="D5001" i="7"/>
  <c r="D5000" i="7"/>
  <c r="D4999" i="7"/>
  <c r="D4998" i="7"/>
  <c r="D4997" i="7"/>
  <c r="D4996" i="7"/>
  <c r="D4995" i="7"/>
  <c r="D4994" i="7"/>
  <c r="D4993" i="7"/>
  <c r="D4992" i="7"/>
  <c r="D4991" i="7"/>
  <c r="D4990" i="7"/>
  <c r="D4989" i="7"/>
  <c r="D4988" i="7"/>
  <c r="D4987" i="7"/>
  <c r="D4986" i="7"/>
  <c r="D4985" i="7"/>
  <c r="D4984" i="7"/>
  <c r="D4983" i="7"/>
  <c r="D4982" i="7"/>
  <c r="D4981" i="7"/>
  <c r="D4980" i="7"/>
  <c r="D4979" i="7"/>
  <c r="D4978" i="7"/>
  <c r="D4977" i="7"/>
  <c r="D4976" i="7"/>
  <c r="D4975" i="7"/>
  <c r="D4974" i="7"/>
  <c r="D4973" i="7"/>
  <c r="D4972" i="7"/>
  <c r="D4971" i="7"/>
  <c r="D4970" i="7"/>
  <c r="D4969" i="7"/>
  <c r="D4968" i="7"/>
  <c r="D4967" i="7"/>
  <c r="D4966" i="7"/>
  <c r="D4965" i="7"/>
  <c r="D4964" i="7"/>
  <c r="D4963" i="7"/>
  <c r="D4962" i="7"/>
  <c r="D4961" i="7"/>
  <c r="D4960" i="7"/>
  <c r="D4959" i="7"/>
  <c r="D4958" i="7"/>
  <c r="D4957" i="7"/>
  <c r="D4956" i="7"/>
  <c r="D4955" i="7"/>
  <c r="D4954" i="7"/>
  <c r="D4953" i="7"/>
  <c r="D4952" i="7"/>
  <c r="D4951" i="7"/>
  <c r="D4950" i="7"/>
  <c r="D4949" i="7"/>
  <c r="D4948" i="7"/>
  <c r="D4947" i="7"/>
  <c r="D4946" i="7"/>
  <c r="D4945" i="7"/>
  <c r="D4944" i="7"/>
  <c r="D4943" i="7"/>
  <c r="D4942" i="7"/>
  <c r="D4941" i="7"/>
  <c r="D4940" i="7"/>
  <c r="D4939" i="7"/>
  <c r="D4938" i="7"/>
  <c r="D4937" i="7"/>
  <c r="D4936" i="7"/>
  <c r="D4935" i="7"/>
  <c r="D4934" i="7"/>
  <c r="D4933" i="7"/>
  <c r="D4932" i="7"/>
  <c r="D4931" i="7"/>
  <c r="D4930" i="7"/>
  <c r="D4929" i="7"/>
  <c r="D4928" i="7"/>
  <c r="D4927" i="7"/>
  <c r="D4926" i="7"/>
  <c r="D4925" i="7"/>
  <c r="D4924" i="7"/>
  <c r="D4923" i="7"/>
  <c r="D4922" i="7"/>
  <c r="D4921" i="7"/>
  <c r="D4920" i="7"/>
  <c r="D4919" i="7"/>
  <c r="D4918" i="7"/>
  <c r="D4917" i="7"/>
  <c r="D4916" i="7"/>
  <c r="D4915" i="7"/>
  <c r="D4914" i="7"/>
  <c r="D4913" i="7"/>
  <c r="D4912" i="7"/>
  <c r="D4911" i="7"/>
  <c r="D4910" i="7"/>
  <c r="D4909" i="7"/>
  <c r="D4908" i="7"/>
  <c r="D4907" i="7"/>
  <c r="D4906" i="7"/>
  <c r="D4905" i="7"/>
  <c r="D4904" i="7"/>
  <c r="D4903" i="7"/>
  <c r="D4902" i="7"/>
  <c r="D4901" i="7"/>
  <c r="D4900" i="7"/>
  <c r="D4899" i="7"/>
  <c r="D4898" i="7"/>
  <c r="D4897" i="7"/>
  <c r="D4896" i="7"/>
  <c r="D4895" i="7"/>
  <c r="D4894" i="7"/>
  <c r="D4893" i="7"/>
  <c r="D4892" i="7"/>
  <c r="D4891" i="7"/>
  <c r="D4890" i="7"/>
  <c r="D4889" i="7"/>
  <c r="D4888" i="7"/>
  <c r="D4887" i="7"/>
  <c r="D4886" i="7"/>
  <c r="D4885" i="7"/>
  <c r="D4884" i="7"/>
  <c r="D4883" i="7"/>
  <c r="D4882" i="7"/>
  <c r="D4881" i="7"/>
  <c r="D4880" i="7"/>
  <c r="D4879" i="7"/>
  <c r="D4878" i="7"/>
  <c r="D4877" i="7"/>
  <c r="D4876" i="7"/>
  <c r="D4875" i="7"/>
  <c r="D4874" i="7"/>
  <c r="D4873" i="7"/>
  <c r="D4872" i="7"/>
  <c r="D4871" i="7"/>
  <c r="D4870" i="7"/>
  <c r="D4869" i="7"/>
  <c r="D4868" i="7"/>
  <c r="D4867" i="7"/>
  <c r="D4866" i="7"/>
  <c r="D4865" i="7"/>
  <c r="D4864" i="7"/>
  <c r="D4863" i="7"/>
  <c r="D4862" i="7"/>
  <c r="D4861" i="7"/>
  <c r="D4860" i="7"/>
  <c r="D4859" i="7"/>
  <c r="D4858" i="7"/>
  <c r="D4857" i="7"/>
  <c r="D4856" i="7"/>
  <c r="D4855" i="7"/>
  <c r="D4854" i="7"/>
  <c r="D4853" i="7"/>
  <c r="D4852" i="7"/>
  <c r="D4851" i="7"/>
  <c r="D4850" i="7"/>
  <c r="D4849" i="7"/>
  <c r="D4848" i="7"/>
  <c r="D4847" i="7"/>
  <c r="D4846" i="7"/>
  <c r="D4845" i="7"/>
  <c r="D4844" i="7"/>
  <c r="D4843" i="7"/>
  <c r="D4842" i="7"/>
  <c r="D4841" i="7"/>
  <c r="D4840" i="7"/>
  <c r="D4839" i="7"/>
  <c r="D4838" i="7"/>
  <c r="D4837" i="7"/>
  <c r="D4836" i="7"/>
  <c r="D4835" i="7"/>
  <c r="D4834" i="7"/>
  <c r="D4833" i="7"/>
  <c r="D4832" i="7"/>
  <c r="D4831" i="7"/>
  <c r="D4830" i="7"/>
  <c r="D4829" i="7"/>
  <c r="D4828" i="7"/>
  <c r="D4827" i="7"/>
  <c r="D4826" i="7"/>
  <c r="D4825" i="7"/>
  <c r="D4824" i="7"/>
  <c r="D4823" i="7"/>
  <c r="D4822" i="7"/>
  <c r="D4821" i="7"/>
  <c r="D4820" i="7"/>
  <c r="D4819" i="7"/>
  <c r="D4818" i="7"/>
  <c r="D4817" i="7"/>
  <c r="D4816" i="7"/>
  <c r="D4815" i="7"/>
  <c r="D4814" i="7"/>
  <c r="D4813" i="7"/>
  <c r="D4812" i="7"/>
  <c r="D4811" i="7"/>
  <c r="D4810" i="7"/>
  <c r="D4809" i="7"/>
  <c r="D4808" i="7"/>
  <c r="D4807" i="7"/>
  <c r="D4806" i="7"/>
  <c r="D4805" i="7"/>
  <c r="D4804" i="7"/>
  <c r="D4803" i="7"/>
  <c r="D4802" i="7"/>
  <c r="D4801" i="7"/>
  <c r="D4800" i="7"/>
  <c r="D4799" i="7"/>
  <c r="D4798" i="7"/>
  <c r="D4797" i="7"/>
  <c r="D4796" i="7"/>
  <c r="D4795" i="7"/>
  <c r="D4794" i="7"/>
  <c r="D4793" i="7"/>
  <c r="D4792" i="7"/>
  <c r="D4791" i="7"/>
  <c r="D4790" i="7"/>
  <c r="D4789" i="7"/>
  <c r="D4788" i="7"/>
  <c r="D4787" i="7"/>
  <c r="D4786" i="7"/>
  <c r="D4785" i="7"/>
  <c r="D4784" i="7"/>
  <c r="D4783" i="7"/>
  <c r="D4782" i="7"/>
  <c r="D4781" i="7"/>
  <c r="D4780" i="7"/>
  <c r="D4779" i="7"/>
  <c r="D4778" i="7"/>
  <c r="D4777" i="7"/>
  <c r="D4776" i="7"/>
  <c r="D4775" i="7"/>
  <c r="D4774" i="7"/>
  <c r="D4773" i="7"/>
  <c r="D4772" i="7"/>
  <c r="D4771" i="7"/>
  <c r="D4770" i="7"/>
  <c r="D4769" i="7"/>
  <c r="D4768" i="7"/>
  <c r="D4767" i="7"/>
  <c r="D4766" i="7"/>
  <c r="D4765" i="7"/>
  <c r="D4764" i="7"/>
  <c r="D4763" i="7"/>
  <c r="D4762" i="7"/>
  <c r="D4761" i="7"/>
  <c r="D4760" i="7"/>
  <c r="D4759" i="7"/>
  <c r="D4758" i="7"/>
  <c r="D4757" i="7"/>
  <c r="D4756" i="7"/>
  <c r="D4755" i="7"/>
  <c r="D4754" i="7"/>
  <c r="D4753" i="7"/>
  <c r="D4752" i="7"/>
  <c r="D4751" i="7"/>
  <c r="D4750" i="7"/>
  <c r="D4749" i="7"/>
  <c r="D4748" i="7"/>
  <c r="D4747" i="7"/>
  <c r="D4746" i="7"/>
  <c r="D4745" i="7"/>
  <c r="D4744" i="7"/>
  <c r="D4743" i="7"/>
  <c r="D4742" i="7"/>
  <c r="D4741" i="7"/>
  <c r="D4740" i="7"/>
  <c r="D4739" i="7"/>
  <c r="D4738" i="7"/>
  <c r="D4737" i="7"/>
  <c r="D4736" i="7"/>
  <c r="D4735" i="7"/>
  <c r="D4734" i="7"/>
  <c r="D4733" i="7"/>
  <c r="D4732" i="7"/>
  <c r="D4731" i="7"/>
  <c r="D4730" i="7"/>
  <c r="D4729" i="7"/>
  <c r="D4728" i="7"/>
  <c r="D4727" i="7"/>
  <c r="D4726" i="7"/>
  <c r="D4725" i="7"/>
  <c r="D4724" i="7"/>
  <c r="D4723" i="7"/>
  <c r="D4722" i="7"/>
  <c r="D4721" i="7"/>
  <c r="D4720" i="7"/>
  <c r="D4719" i="7"/>
  <c r="D4718" i="7"/>
  <c r="D4717" i="7"/>
  <c r="D4716" i="7"/>
  <c r="D4715" i="7"/>
  <c r="D4714" i="7"/>
  <c r="D4713" i="7"/>
  <c r="D4712" i="7"/>
  <c r="D4711" i="7"/>
  <c r="D4710" i="7"/>
  <c r="D4709" i="7"/>
  <c r="D4708" i="7"/>
  <c r="D4707" i="7"/>
  <c r="D4706" i="7"/>
  <c r="D4705" i="7"/>
  <c r="D4704" i="7"/>
  <c r="D4703" i="7"/>
  <c r="D4702" i="7"/>
  <c r="D4701" i="7"/>
  <c r="D4700" i="7"/>
  <c r="D4699" i="7"/>
  <c r="D4698" i="7"/>
  <c r="D4697" i="7"/>
  <c r="D4696" i="7"/>
  <c r="D4695" i="7"/>
  <c r="D4694" i="7"/>
  <c r="D4693" i="7"/>
  <c r="D4692" i="7"/>
  <c r="D4691" i="7"/>
  <c r="D4690" i="7"/>
  <c r="D4689" i="7"/>
  <c r="D4688" i="7"/>
  <c r="D4687" i="7"/>
  <c r="D4686" i="7"/>
  <c r="D4685" i="7"/>
  <c r="D4684" i="7"/>
  <c r="D4683" i="7"/>
  <c r="D4682" i="7"/>
  <c r="D4681" i="7"/>
  <c r="D4680" i="7"/>
  <c r="D4679" i="7"/>
  <c r="D4678" i="7"/>
  <c r="D4677" i="7"/>
  <c r="D4676" i="7"/>
  <c r="D4675" i="7"/>
  <c r="D4674" i="7"/>
  <c r="D4673" i="7"/>
  <c r="D4672" i="7"/>
  <c r="D4671" i="7"/>
  <c r="D4670" i="7"/>
  <c r="D4669" i="7"/>
  <c r="D4668" i="7"/>
  <c r="D4667" i="7"/>
  <c r="D4666" i="7"/>
  <c r="D4665" i="7"/>
  <c r="D4664" i="7"/>
  <c r="D4663" i="7"/>
  <c r="D4662" i="7"/>
  <c r="D4661" i="7"/>
  <c r="D4660" i="7"/>
  <c r="D4659" i="7"/>
  <c r="D4658" i="7"/>
  <c r="D4657" i="7"/>
  <c r="D4656" i="7"/>
  <c r="D4655" i="7"/>
  <c r="D4654" i="7"/>
  <c r="D4653" i="7"/>
  <c r="D4652" i="7"/>
  <c r="D4651" i="7"/>
  <c r="D4650" i="7"/>
  <c r="D4649" i="7"/>
  <c r="D4648" i="7"/>
  <c r="D4647" i="7"/>
  <c r="D4646" i="7"/>
  <c r="D4645" i="7"/>
  <c r="D4644" i="7"/>
  <c r="D4643" i="7"/>
  <c r="D4642" i="7"/>
  <c r="D4641" i="7"/>
  <c r="D4640" i="7"/>
  <c r="D4639" i="7"/>
  <c r="D4638" i="7"/>
  <c r="D4637" i="7"/>
  <c r="D4636" i="7"/>
  <c r="D4635" i="7"/>
  <c r="D4634" i="7"/>
  <c r="D4633" i="7"/>
  <c r="D4632" i="7"/>
  <c r="D4631" i="7"/>
  <c r="D4630" i="7"/>
  <c r="D4629" i="7"/>
  <c r="D4628" i="7"/>
  <c r="D4627" i="7"/>
  <c r="D4626" i="7"/>
  <c r="D4625" i="7"/>
  <c r="D4624" i="7"/>
  <c r="D4623" i="7"/>
  <c r="D4622" i="7"/>
  <c r="D4621" i="7"/>
  <c r="D4620" i="7"/>
  <c r="D4619" i="7"/>
  <c r="D4618" i="7"/>
  <c r="D4617" i="7"/>
  <c r="D4616" i="7"/>
  <c r="D4615" i="7"/>
  <c r="D4614" i="7"/>
  <c r="D4613" i="7"/>
  <c r="D4612" i="7"/>
  <c r="D4611" i="7"/>
  <c r="D4610" i="7"/>
  <c r="D4609" i="7"/>
  <c r="D4608" i="7"/>
  <c r="D4607" i="7"/>
  <c r="D4606" i="7"/>
  <c r="D4605" i="7"/>
  <c r="D4604" i="7"/>
  <c r="D4603" i="7"/>
  <c r="D4602" i="7"/>
  <c r="D4601" i="7"/>
  <c r="D4600" i="7"/>
  <c r="D4599" i="7"/>
  <c r="D4598" i="7"/>
  <c r="D4597" i="7"/>
  <c r="D4596" i="7"/>
  <c r="D4595" i="7"/>
  <c r="D4594" i="7"/>
  <c r="D4593" i="7"/>
  <c r="D4592" i="7"/>
  <c r="D4591" i="7"/>
  <c r="D4590" i="7"/>
  <c r="D4589" i="7"/>
  <c r="D4588" i="7"/>
  <c r="D4587" i="7"/>
  <c r="D4586" i="7"/>
  <c r="D4585" i="7"/>
  <c r="D4584" i="7"/>
  <c r="D4583" i="7"/>
  <c r="D4582" i="7"/>
  <c r="D4581" i="7"/>
  <c r="D4580" i="7"/>
  <c r="D4579" i="7"/>
  <c r="D4578" i="7"/>
  <c r="D4577" i="7"/>
  <c r="D4576" i="7"/>
  <c r="D4575" i="7"/>
  <c r="D4574" i="7"/>
  <c r="D4573" i="7"/>
  <c r="D4572" i="7"/>
  <c r="D4571" i="7"/>
  <c r="D4570" i="7"/>
  <c r="D4569" i="7"/>
  <c r="D4568" i="7"/>
  <c r="D4567" i="7"/>
  <c r="D4566" i="7"/>
  <c r="D4565" i="7"/>
  <c r="D4564" i="7"/>
  <c r="D4563" i="7"/>
  <c r="D4562" i="7"/>
  <c r="D4561" i="7"/>
  <c r="D4560" i="7"/>
  <c r="D4559" i="7"/>
  <c r="D4558" i="7"/>
  <c r="D4557" i="7"/>
  <c r="D4556" i="7"/>
  <c r="D4555" i="7"/>
  <c r="D4554" i="7"/>
  <c r="D4553" i="7"/>
  <c r="D4552" i="7"/>
  <c r="D4551" i="7"/>
  <c r="D4550" i="7"/>
  <c r="D4549" i="7"/>
  <c r="D4548" i="7"/>
  <c r="D4547" i="7"/>
  <c r="D4546" i="7"/>
  <c r="D4545" i="7"/>
  <c r="D4544" i="7"/>
  <c r="D4543" i="7"/>
  <c r="D4542" i="7"/>
  <c r="D4541" i="7"/>
  <c r="D4540" i="7"/>
  <c r="D4539" i="7"/>
  <c r="D4538" i="7"/>
  <c r="D4537" i="7"/>
  <c r="D4536" i="7"/>
  <c r="D4535" i="7"/>
  <c r="D4534" i="7"/>
  <c r="D4533" i="7"/>
  <c r="D4532" i="7"/>
  <c r="D4531" i="7"/>
  <c r="D4530" i="7"/>
  <c r="D4529" i="7"/>
  <c r="D4528" i="7"/>
  <c r="D4527" i="7"/>
  <c r="D4526" i="7"/>
  <c r="D4525" i="7"/>
  <c r="D4524" i="7"/>
  <c r="D4523" i="7"/>
  <c r="D4522" i="7"/>
  <c r="D4521" i="7"/>
  <c r="D4520" i="7"/>
  <c r="D4519" i="7"/>
  <c r="D4518" i="7"/>
  <c r="D4517" i="7"/>
  <c r="D4516" i="7"/>
  <c r="D4515" i="7"/>
  <c r="D4514" i="7"/>
  <c r="D4513" i="7"/>
  <c r="D4512" i="7"/>
  <c r="D4511" i="7"/>
  <c r="D4510" i="7"/>
  <c r="D4509" i="7"/>
  <c r="D4508" i="7"/>
  <c r="D4507" i="7"/>
  <c r="D4506" i="7"/>
  <c r="D4505" i="7"/>
  <c r="D4504" i="7"/>
  <c r="D4503" i="7"/>
  <c r="D4502" i="7"/>
  <c r="D4501" i="7"/>
  <c r="D4500" i="7"/>
  <c r="D4499" i="7"/>
  <c r="D4498" i="7"/>
  <c r="D4497" i="7"/>
  <c r="D4496" i="7"/>
  <c r="D4495" i="7"/>
  <c r="D4494" i="7"/>
  <c r="D4493" i="7"/>
  <c r="D4492" i="7"/>
  <c r="D4491" i="7"/>
  <c r="D4490" i="7"/>
  <c r="D4489" i="7"/>
  <c r="D4488" i="7"/>
  <c r="D4487" i="7"/>
  <c r="D4486" i="7"/>
  <c r="D4485" i="7"/>
  <c r="D4484" i="7"/>
  <c r="D4483" i="7"/>
  <c r="D4482" i="7"/>
  <c r="D4481" i="7"/>
  <c r="D4480" i="7"/>
  <c r="D4479" i="7"/>
  <c r="D4478" i="7"/>
  <c r="D4477" i="7"/>
  <c r="D4476" i="7"/>
  <c r="D4475" i="7"/>
  <c r="D4474" i="7"/>
  <c r="D4473" i="7"/>
  <c r="D4472" i="7"/>
  <c r="D4471" i="7"/>
  <c r="D4470" i="7"/>
  <c r="D4469" i="7"/>
  <c r="D4468" i="7"/>
  <c r="D4467" i="7"/>
  <c r="D4466" i="7"/>
  <c r="D4465" i="7"/>
  <c r="D4464" i="7"/>
  <c r="D4463" i="7"/>
  <c r="D4462" i="7"/>
  <c r="D4461" i="7"/>
  <c r="D4460" i="7"/>
  <c r="D4459" i="7"/>
  <c r="D4458" i="7"/>
  <c r="D4457" i="7"/>
  <c r="D4456" i="7"/>
  <c r="D4455" i="7"/>
  <c r="D4454" i="7"/>
  <c r="D4453" i="7"/>
  <c r="D4452" i="7"/>
  <c r="D4451" i="7"/>
  <c r="D4450" i="7"/>
  <c r="D4449" i="7"/>
  <c r="D4448" i="7"/>
  <c r="D4447" i="7"/>
  <c r="D4446" i="7"/>
  <c r="D4445" i="7"/>
  <c r="D4444" i="7"/>
  <c r="D4443" i="7"/>
  <c r="D4442" i="7"/>
  <c r="D4441" i="7"/>
  <c r="D4440" i="7"/>
  <c r="D4439" i="7"/>
  <c r="D4438" i="7"/>
  <c r="D4437" i="7"/>
  <c r="D4436" i="7"/>
  <c r="D4435" i="7"/>
  <c r="D4434" i="7"/>
  <c r="D4433" i="7"/>
  <c r="D4432" i="7"/>
  <c r="D4431" i="7"/>
  <c r="D4430" i="7"/>
  <c r="D4429" i="7"/>
  <c r="D4428" i="7"/>
  <c r="D4427" i="7"/>
  <c r="D4426" i="7"/>
  <c r="D4425" i="7"/>
  <c r="D4424" i="7"/>
  <c r="D4423" i="7"/>
  <c r="D4422" i="7"/>
  <c r="D4421" i="7"/>
  <c r="D4420" i="7"/>
  <c r="D4419" i="7"/>
  <c r="D4418" i="7"/>
  <c r="D4417" i="7"/>
  <c r="D4416" i="7"/>
  <c r="D4415" i="7"/>
  <c r="D4414" i="7"/>
  <c r="D4413" i="7"/>
  <c r="D4412" i="7"/>
  <c r="D4411" i="7"/>
  <c r="D4410" i="7"/>
  <c r="D4409" i="7"/>
  <c r="D4408" i="7"/>
  <c r="D4407" i="7"/>
  <c r="D4406" i="7"/>
  <c r="D4405" i="7"/>
  <c r="D4404" i="7"/>
  <c r="D4403" i="7"/>
  <c r="D4402" i="7"/>
  <c r="D4401" i="7"/>
  <c r="D4400" i="7"/>
  <c r="D4399" i="7"/>
  <c r="D4398" i="7"/>
  <c r="D4397" i="7"/>
  <c r="D4396" i="7"/>
  <c r="D4395" i="7"/>
  <c r="D4394" i="7"/>
  <c r="D4393" i="7"/>
  <c r="D4392" i="7"/>
  <c r="D4391" i="7"/>
  <c r="D4390" i="7"/>
  <c r="D4389" i="7"/>
  <c r="D4388" i="7"/>
  <c r="D4387" i="7"/>
  <c r="D4386" i="7"/>
  <c r="D4385" i="7"/>
  <c r="D4384" i="7"/>
  <c r="D4383" i="7"/>
  <c r="D4382" i="7"/>
  <c r="D4381" i="7"/>
  <c r="D4380" i="7"/>
  <c r="D4379" i="7"/>
  <c r="D4378" i="7"/>
  <c r="D4377" i="7"/>
  <c r="D4376" i="7"/>
  <c r="D4375" i="7"/>
  <c r="D4374" i="7"/>
  <c r="D4373" i="7"/>
  <c r="D4372" i="7"/>
  <c r="D4371" i="7"/>
  <c r="D4370" i="7"/>
  <c r="D4369" i="7"/>
  <c r="D4368" i="7"/>
  <c r="D4367" i="7"/>
  <c r="D4366" i="7"/>
  <c r="D4365" i="7"/>
  <c r="D4364" i="7"/>
  <c r="D4363" i="7"/>
  <c r="D4362" i="7"/>
  <c r="D4361" i="7"/>
  <c r="D4360" i="7"/>
  <c r="D4359" i="7"/>
  <c r="D4358" i="7"/>
  <c r="D4357" i="7"/>
  <c r="D4356" i="7"/>
  <c r="D4355" i="7"/>
  <c r="D4354" i="7"/>
  <c r="D4353" i="7"/>
  <c r="D4352" i="7"/>
  <c r="D4351" i="7"/>
  <c r="D4350" i="7"/>
  <c r="D4349" i="7"/>
  <c r="D4348" i="7"/>
  <c r="D4347" i="7"/>
  <c r="D4346" i="7"/>
  <c r="D4345" i="7"/>
  <c r="D4344" i="7"/>
  <c r="D4343" i="7"/>
  <c r="D4342" i="7"/>
  <c r="D4341" i="7"/>
  <c r="D4340" i="7"/>
  <c r="D4339" i="7"/>
  <c r="D4338" i="7"/>
  <c r="D4337" i="7"/>
  <c r="D4336" i="7"/>
  <c r="D4335" i="7"/>
  <c r="D4334" i="7"/>
  <c r="D4333" i="7"/>
  <c r="D4332" i="7"/>
  <c r="D4331" i="7"/>
  <c r="D4330" i="7"/>
  <c r="D4329" i="7"/>
  <c r="D4328" i="7"/>
  <c r="D4327" i="7"/>
  <c r="D4326" i="7"/>
  <c r="D4325" i="7"/>
  <c r="D4324" i="7"/>
  <c r="D4323" i="7"/>
  <c r="D4322" i="7"/>
  <c r="D4321" i="7"/>
  <c r="D4320" i="7"/>
  <c r="D4319" i="7"/>
  <c r="D4318" i="7"/>
  <c r="D4317" i="7"/>
  <c r="D4316" i="7"/>
  <c r="D4315" i="7"/>
  <c r="D4314" i="7"/>
  <c r="D4313" i="7"/>
  <c r="D4312" i="7"/>
  <c r="D4311" i="7"/>
  <c r="D4310" i="7"/>
  <c r="D4309" i="7"/>
  <c r="D4308" i="7"/>
  <c r="D4307" i="7"/>
  <c r="D4306" i="7"/>
  <c r="D4305" i="7"/>
  <c r="D4304" i="7"/>
  <c r="D4303" i="7"/>
  <c r="D4302" i="7"/>
  <c r="D4301" i="7"/>
  <c r="D4300" i="7"/>
  <c r="D4299" i="7"/>
  <c r="D4298" i="7"/>
  <c r="D4297" i="7"/>
  <c r="D4296" i="7"/>
  <c r="D4295" i="7"/>
  <c r="D4294" i="7"/>
  <c r="D4293" i="7"/>
  <c r="D4292" i="7"/>
  <c r="D4291" i="7"/>
  <c r="D4290" i="7"/>
  <c r="D4289" i="7"/>
  <c r="D4288" i="7"/>
  <c r="D4287" i="7"/>
  <c r="D4286" i="7"/>
  <c r="D4285" i="7"/>
  <c r="D4284" i="7"/>
  <c r="D4283" i="7"/>
  <c r="D4282" i="7"/>
  <c r="D4281" i="7"/>
  <c r="D4280" i="7"/>
  <c r="D4279" i="7"/>
  <c r="D4278" i="7"/>
  <c r="D4277" i="7"/>
  <c r="D4276" i="7"/>
  <c r="D4275" i="7"/>
  <c r="D4274" i="7"/>
  <c r="D4273" i="7"/>
  <c r="D4272" i="7"/>
  <c r="D4271" i="7"/>
  <c r="D4270" i="7"/>
  <c r="D4269" i="7"/>
  <c r="D4268" i="7"/>
  <c r="D4267" i="7"/>
  <c r="D4266" i="7"/>
  <c r="D4265" i="7"/>
  <c r="D4264" i="7"/>
  <c r="D4263" i="7"/>
  <c r="D4262" i="7"/>
  <c r="D4261" i="7"/>
  <c r="D4260" i="7"/>
  <c r="D4259" i="7"/>
  <c r="D4258" i="7"/>
  <c r="D4257" i="7"/>
  <c r="D4256" i="7"/>
  <c r="D4255" i="7"/>
  <c r="D4254" i="7"/>
  <c r="D4253" i="7"/>
  <c r="D4252" i="7"/>
  <c r="D4251" i="7"/>
  <c r="D4250" i="7"/>
  <c r="D4249" i="7"/>
  <c r="D4248" i="7"/>
  <c r="D4247" i="7"/>
  <c r="D4246" i="7"/>
  <c r="D4245" i="7"/>
  <c r="D4244" i="7"/>
  <c r="D4243" i="7"/>
  <c r="D4242" i="7"/>
  <c r="D4241" i="7"/>
  <c r="D4240" i="7"/>
  <c r="D4239" i="7"/>
  <c r="D4238" i="7"/>
  <c r="D4237" i="7"/>
  <c r="D4236" i="7"/>
  <c r="D4235" i="7"/>
  <c r="D4234" i="7"/>
  <c r="D4233" i="7"/>
  <c r="D4232" i="7"/>
  <c r="D4231" i="7"/>
  <c r="D4230" i="7"/>
  <c r="D4229" i="7"/>
  <c r="D4228" i="7"/>
  <c r="D4227" i="7"/>
  <c r="D4226" i="7"/>
  <c r="D4225" i="7"/>
  <c r="D4224" i="7"/>
  <c r="D4223" i="7"/>
  <c r="D4222" i="7"/>
  <c r="D4221" i="7"/>
  <c r="D4220" i="7"/>
  <c r="D4219" i="7"/>
  <c r="D4218" i="7"/>
  <c r="D4217" i="7"/>
  <c r="D4216" i="7"/>
  <c r="D4215" i="7"/>
  <c r="D4214" i="7"/>
  <c r="D4213" i="7"/>
  <c r="D4212" i="7"/>
  <c r="D4211" i="7"/>
  <c r="D4210" i="7"/>
  <c r="D4209" i="7"/>
  <c r="D4208" i="7"/>
  <c r="D4207" i="7"/>
  <c r="D4206" i="7"/>
  <c r="D4205" i="7"/>
  <c r="D4204" i="7"/>
  <c r="D4203" i="7"/>
  <c r="D4202" i="7"/>
  <c r="D4201" i="7"/>
  <c r="D4200" i="7"/>
  <c r="D4199" i="7"/>
  <c r="D4198" i="7"/>
  <c r="D4197" i="7"/>
  <c r="D4196" i="7"/>
  <c r="D4195" i="7"/>
  <c r="D4194" i="7"/>
  <c r="D4193" i="7"/>
  <c r="D4192" i="7"/>
  <c r="D4191" i="7"/>
  <c r="D4190" i="7"/>
  <c r="D4189" i="7"/>
  <c r="D4188" i="7"/>
  <c r="D4187" i="7"/>
  <c r="D4186" i="7"/>
  <c r="D4185" i="7"/>
  <c r="D4184" i="7"/>
  <c r="D4183" i="7"/>
  <c r="D4182" i="7"/>
  <c r="D4181" i="7"/>
  <c r="D4180" i="7"/>
  <c r="D4179" i="7"/>
  <c r="D4178" i="7"/>
  <c r="D4177" i="7"/>
  <c r="D4176" i="7"/>
  <c r="D4175" i="7"/>
  <c r="D4174" i="7"/>
  <c r="D4173" i="7"/>
  <c r="D4172" i="7"/>
  <c r="D4171" i="7"/>
  <c r="D4170" i="7"/>
  <c r="D4169" i="7"/>
  <c r="D4168" i="7"/>
  <c r="D4167" i="7"/>
  <c r="D4166" i="7"/>
  <c r="D4165" i="7"/>
  <c r="D4164" i="7"/>
  <c r="D4163" i="7"/>
  <c r="D4162" i="7"/>
  <c r="D4161" i="7"/>
  <c r="D4160" i="7"/>
  <c r="D4159" i="7"/>
  <c r="D4158" i="7"/>
  <c r="D4157" i="7"/>
  <c r="D4156" i="7"/>
  <c r="D4155" i="7"/>
  <c r="D4154" i="7"/>
  <c r="D4153" i="7"/>
  <c r="D4152" i="7"/>
  <c r="D4151" i="7"/>
  <c r="D4150" i="7"/>
  <c r="D4149" i="7"/>
  <c r="D4148" i="7"/>
  <c r="D4147" i="7"/>
  <c r="D4146" i="7"/>
  <c r="D4145" i="7"/>
  <c r="D4144" i="7"/>
  <c r="D4143" i="7"/>
  <c r="D4142" i="7"/>
  <c r="D4141" i="7"/>
  <c r="D4140" i="7"/>
  <c r="D4139" i="7"/>
  <c r="D4138" i="7"/>
  <c r="D4137" i="7"/>
  <c r="D4136" i="7"/>
  <c r="D4135" i="7"/>
  <c r="D4134" i="7"/>
  <c r="D4133" i="7"/>
  <c r="D4132" i="7"/>
  <c r="D4131" i="7"/>
  <c r="D4130" i="7"/>
  <c r="D4129" i="7"/>
  <c r="D4128" i="7"/>
  <c r="D4127" i="7"/>
  <c r="D4126" i="7"/>
  <c r="D4125" i="7"/>
  <c r="D4124" i="7"/>
  <c r="D4123" i="7"/>
  <c r="D4122" i="7"/>
  <c r="D4121" i="7"/>
  <c r="D4120" i="7"/>
  <c r="D4119" i="7"/>
  <c r="D4118" i="7"/>
  <c r="D4117" i="7"/>
  <c r="D4116" i="7"/>
  <c r="D4115" i="7"/>
  <c r="D4114" i="7"/>
  <c r="D4113" i="7"/>
  <c r="D4112" i="7"/>
  <c r="D4111" i="7"/>
  <c r="D4110" i="7"/>
  <c r="D4109" i="7"/>
  <c r="D4108" i="7"/>
  <c r="D4107" i="7"/>
  <c r="D4106" i="7"/>
  <c r="D4105" i="7"/>
  <c r="D4104" i="7"/>
  <c r="D4103" i="7"/>
  <c r="D4102" i="7"/>
  <c r="D4101" i="7"/>
  <c r="D4100" i="7"/>
  <c r="D4099" i="7"/>
  <c r="D4098" i="7"/>
  <c r="D4097" i="7"/>
  <c r="D4096" i="7"/>
  <c r="D4095" i="7"/>
  <c r="D4094" i="7"/>
  <c r="D4093" i="7"/>
  <c r="D4092" i="7"/>
  <c r="D4091" i="7"/>
  <c r="D4090" i="7"/>
  <c r="D4089" i="7"/>
  <c r="D4088" i="7"/>
  <c r="D4087" i="7"/>
  <c r="D4086" i="7"/>
  <c r="D4085" i="7"/>
  <c r="D4084" i="7"/>
  <c r="D4083" i="7"/>
  <c r="D4082" i="7"/>
  <c r="D4081" i="7"/>
  <c r="D4080" i="7"/>
  <c r="D4079" i="7"/>
  <c r="D4078" i="7"/>
  <c r="D4077" i="7"/>
  <c r="D4076" i="7"/>
  <c r="D4075" i="7"/>
  <c r="D4074" i="7"/>
  <c r="D4073" i="7"/>
  <c r="D4072" i="7"/>
  <c r="D4071" i="7"/>
  <c r="D4070" i="7"/>
  <c r="D4069" i="7"/>
  <c r="D4068" i="7"/>
  <c r="D4067" i="7"/>
  <c r="D4066" i="7"/>
  <c r="D4065" i="7"/>
  <c r="D4064" i="7"/>
  <c r="D4063" i="7"/>
  <c r="D4062" i="7"/>
  <c r="D4061" i="7"/>
  <c r="D4060" i="7"/>
  <c r="D4059" i="7"/>
  <c r="D4058" i="7"/>
  <c r="D4057" i="7"/>
  <c r="D4056" i="7"/>
  <c r="D4055" i="7"/>
  <c r="D4054" i="7"/>
  <c r="D4053" i="7"/>
  <c r="D4052" i="7"/>
  <c r="D4051" i="7"/>
  <c r="D4050" i="7"/>
  <c r="D4049" i="7"/>
  <c r="D4048" i="7"/>
  <c r="D4047" i="7"/>
  <c r="D4046" i="7"/>
  <c r="D4045" i="7"/>
  <c r="D4044" i="7"/>
  <c r="D4043" i="7"/>
  <c r="D4042" i="7"/>
  <c r="D4041" i="7"/>
  <c r="D4040" i="7"/>
  <c r="D4039" i="7"/>
  <c r="D4038" i="7"/>
  <c r="D4037" i="7"/>
  <c r="D4036" i="7"/>
  <c r="D4035" i="7"/>
  <c r="D4034" i="7"/>
  <c r="D4033" i="7"/>
  <c r="D4032" i="7"/>
  <c r="D4031" i="7"/>
  <c r="D4030" i="7"/>
  <c r="D4029" i="7"/>
  <c r="D4028" i="7"/>
  <c r="D4027" i="7"/>
  <c r="D4026" i="7"/>
  <c r="D4025" i="7"/>
  <c r="D4024" i="7"/>
  <c r="D4023" i="7"/>
  <c r="D4022" i="7"/>
  <c r="D4021" i="7"/>
  <c r="D4020" i="7"/>
  <c r="D4019" i="7"/>
  <c r="D4018" i="7"/>
  <c r="D4017" i="7"/>
  <c r="D4016" i="7"/>
  <c r="D4015" i="7"/>
  <c r="D4014" i="7"/>
  <c r="D4013" i="7"/>
  <c r="D4012" i="7"/>
  <c r="D4011" i="7"/>
  <c r="D4010" i="7"/>
  <c r="D4009" i="7"/>
  <c r="D4008" i="7"/>
  <c r="D4007" i="7"/>
  <c r="D4006" i="7"/>
  <c r="D4005" i="7"/>
  <c r="D4004" i="7"/>
  <c r="D4003" i="7"/>
  <c r="D4002" i="7"/>
  <c r="D4001" i="7"/>
  <c r="D4000" i="7"/>
  <c r="D3999" i="7"/>
  <c r="D3998" i="7"/>
  <c r="D3997" i="7"/>
  <c r="D3996" i="7"/>
  <c r="D3995" i="7"/>
  <c r="D3994" i="7"/>
  <c r="D3993" i="7"/>
  <c r="D3992" i="7"/>
  <c r="D3991" i="7"/>
  <c r="D3990" i="7"/>
  <c r="D3989" i="7"/>
  <c r="D3988" i="7"/>
  <c r="D3987" i="7"/>
  <c r="D3986" i="7"/>
  <c r="D3985" i="7"/>
  <c r="D3984" i="7"/>
  <c r="D3983" i="7"/>
  <c r="D3982" i="7"/>
  <c r="D3981" i="7"/>
  <c r="D3980" i="7"/>
  <c r="D3979" i="7"/>
  <c r="D3978" i="7"/>
  <c r="D3977" i="7"/>
  <c r="D3976" i="7"/>
  <c r="D3975" i="7"/>
  <c r="D3974" i="7"/>
  <c r="D3973" i="7"/>
  <c r="D3972" i="7"/>
  <c r="D3971" i="7"/>
  <c r="D3970" i="7"/>
  <c r="D3969" i="7"/>
  <c r="D3968" i="7"/>
  <c r="D3967" i="7"/>
  <c r="D3966" i="7"/>
  <c r="D3965" i="7"/>
  <c r="D3964" i="7"/>
  <c r="D3963" i="7"/>
  <c r="D3962" i="7"/>
  <c r="D3961" i="7"/>
  <c r="D3960" i="7"/>
  <c r="D3959" i="7"/>
  <c r="D3958" i="7"/>
  <c r="D3957" i="7"/>
  <c r="D3956" i="7"/>
  <c r="D3955" i="7"/>
  <c r="D3954" i="7"/>
  <c r="D3953" i="7"/>
  <c r="D3952" i="7"/>
  <c r="D3951" i="7"/>
  <c r="D3950" i="7"/>
  <c r="D3949" i="7"/>
  <c r="D3948" i="7"/>
  <c r="D3947" i="7"/>
  <c r="D3946" i="7"/>
  <c r="D3945" i="7"/>
  <c r="D3944" i="7"/>
  <c r="D3943" i="7"/>
  <c r="D3942" i="7"/>
  <c r="D3941" i="7"/>
  <c r="D3940" i="7"/>
  <c r="D3939" i="7"/>
  <c r="D3938" i="7"/>
  <c r="D3937" i="7"/>
  <c r="D3936" i="7"/>
  <c r="D3935" i="7"/>
  <c r="D3934" i="7"/>
  <c r="D3933" i="7"/>
  <c r="D3932" i="7"/>
  <c r="D3931" i="7"/>
  <c r="D3930" i="7"/>
  <c r="D3929" i="7"/>
  <c r="D3928" i="7"/>
  <c r="D3927" i="7"/>
  <c r="D3926" i="7"/>
  <c r="D3925" i="7"/>
  <c r="D3924" i="7"/>
  <c r="D3923" i="7"/>
  <c r="D3922" i="7"/>
  <c r="D3921" i="7"/>
  <c r="D3920" i="7"/>
  <c r="D3919" i="7"/>
  <c r="D3918" i="7"/>
  <c r="D3917" i="7"/>
  <c r="D3916" i="7"/>
  <c r="D3915" i="7"/>
  <c r="D3914" i="7"/>
  <c r="D3913" i="7"/>
  <c r="D3912" i="7"/>
  <c r="D3911" i="7"/>
  <c r="D3910" i="7"/>
  <c r="D3909" i="7"/>
  <c r="D3908" i="7"/>
  <c r="D3907" i="7"/>
  <c r="D3906" i="7"/>
  <c r="D3905" i="7"/>
  <c r="D3904" i="7"/>
  <c r="D3903" i="7"/>
  <c r="D3902" i="7"/>
  <c r="D3901" i="7"/>
  <c r="D3900" i="7"/>
  <c r="D3899" i="7"/>
  <c r="D3898" i="7"/>
  <c r="D3897" i="7"/>
  <c r="D3896" i="7"/>
  <c r="D3895" i="7"/>
  <c r="D3894" i="7"/>
  <c r="D3893" i="7"/>
  <c r="D3892" i="7"/>
  <c r="D3891" i="7"/>
  <c r="D3890" i="7"/>
  <c r="D3889" i="7"/>
  <c r="D3888" i="7"/>
  <c r="D3887" i="7"/>
  <c r="D3886" i="7"/>
  <c r="D3885" i="7"/>
  <c r="D3884" i="7"/>
  <c r="D3883" i="7"/>
  <c r="D3882" i="7"/>
  <c r="D3881" i="7"/>
  <c r="D3880" i="7"/>
  <c r="D3879" i="7"/>
  <c r="D3878" i="7"/>
  <c r="D3877" i="7"/>
  <c r="D3876" i="7"/>
  <c r="D3875" i="7"/>
  <c r="D3874" i="7"/>
  <c r="D3873" i="7"/>
  <c r="D3872" i="7"/>
  <c r="D3871" i="7"/>
  <c r="D3870" i="7"/>
  <c r="D3869" i="7"/>
  <c r="D3868" i="7"/>
  <c r="D3867" i="7"/>
  <c r="D3866" i="7"/>
  <c r="D3865" i="7"/>
  <c r="D3864" i="7"/>
  <c r="D3863" i="7"/>
  <c r="D3862" i="7"/>
  <c r="D3861" i="7"/>
  <c r="D3860" i="7"/>
  <c r="D3859" i="7"/>
  <c r="D3858" i="7"/>
  <c r="D3857" i="7"/>
  <c r="D3856" i="7"/>
  <c r="D3855" i="7"/>
  <c r="D3854" i="7"/>
  <c r="D3853" i="7"/>
  <c r="D3852" i="7"/>
  <c r="D3851" i="7"/>
  <c r="D3850" i="7"/>
  <c r="D3849" i="7"/>
  <c r="D3848" i="7"/>
  <c r="D3847" i="7"/>
  <c r="D3846" i="7"/>
  <c r="D3845" i="7"/>
  <c r="D3844" i="7"/>
  <c r="D3843" i="7"/>
  <c r="D3842" i="7"/>
  <c r="D3841" i="7"/>
  <c r="D3840" i="7"/>
  <c r="D3839" i="7"/>
  <c r="D3838" i="7"/>
  <c r="D3837" i="7"/>
  <c r="D3836" i="7"/>
  <c r="D3835" i="7"/>
  <c r="D3834" i="7"/>
  <c r="D3833" i="7"/>
  <c r="D3832" i="7"/>
  <c r="D3831" i="7"/>
  <c r="D3830" i="7"/>
  <c r="D3829" i="7"/>
  <c r="D3828" i="7"/>
  <c r="D3827" i="7"/>
  <c r="D3826" i="7"/>
  <c r="D3825" i="7"/>
  <c r="D3824" i="7"/>
  <c r="D3823" i="7"/>
  <c r="D3822" i="7"/>
  <c r="D3821" i="7"/>
  <c r="D3820" i="7"/>
  <c r="D3819" i="7"/>
  <c r="D3818" i="7"/>
  <c r="D3817" i="7"/>
  <c r="D3816" i="7"/>
  <c r="D3815" i="7"/>
  <c r="D3814" i="7"/>
  <c r="D3813" i="7"/>
  <c r="D3812" i="7"/>
  <c r="D3811" i="7"/>
  <c r="D3810" i="7"/>
  <c r="D3809" i="7"/>
  <c r="D3808" i="7"/>
  <c r="D3807" i="7"/>
  <c r="D3806" i="7"/>
  <c r="D3805" i="7"/>
  <c r="D3804" i="7"/>
  <c r="D3803" i="7"/>
  <c r="D3802" i="7"/>
  <c r="D3801" i="7"/>
  <c r="D3800" i="7"/>
  <c r="D3799" i="7"/>
  <c r="D3798" i="7"/>
  <c r="D3797" i="7"/>
  <c r="D3796" i="7"/>
  <c r="D3795" i="7"/>
  <c r="D3794" i="7"/>
  <c r="D3793" i="7"/>
  <c r="D3792" i="7"/>
  <c r="D3791" i="7"/>
  <c r="D3790" i="7"/>
  <c r="D3789" i="7"/>
  <c r="D3788" i="7"/>
  <c r="D3787" i="7"/>
  <c r="D3786" i="7"/>
  <c r="D3785" i="7"/>
  <c r="D3784" i="7"/>
  <c r="D3783" i="7"/>
  <c r="D3782" i="7"/>
  <c r="D3781" i="7"/>
  <c r="D3780" i="7"/>
  <c r="D3779" i="7"/>
  <c r="D3778" i="7"/>
  <c r="D3777" i="7"/>
  <c r="D3776" i="7"/>
  <c r="D3775" i="7"/>
  <c r="D3774" i="7"/>
  <c r="D3773" i="7"/>
  <c r="D3772" i="7"/>
  <c r="D3771" i="7"/>
  <c r="D3770" i="7"/>
  <c r="D3769" i="7"/>
  <c r="D3768" i="7"/>
  <c r="D3767" i="7"/>
  <c r="D3766" i="7"/>
  <c r="D3765" i="7"/>
  <c r="D3764" i="7"/>
  <c r="D3763" i="7"/>
  <c r="D3762" i="7"/>
  <c r="D3761" i="7"/>
  <c r="D3760" i="7"/>
  <c r="D3759" i="7"/>
  <c r="D3758" i="7"/>
  <c r="D3757" i="7"/>
  <c r="D3756" i="7"/>
  <c r="D3755" i="7"/>
  <c r="D3754" i="7"/>
  <c r="D3753" i="7"/>
  <c r="D3752" i="7"/>
  <c r="D3751" i="7"/>
  <c r="D3750" i="7"/>
  <c r="D3749" i="7"/>
  <c r="D3748" i="7"/>
  <c r="D3747" i="7"/>
  <c r="D3746" i="7"/>
  <c r="D3745" i="7"/>
  <c r="D3744" i="7"/>
  <c r="D3743" i="7"/>
  <c r="D3742" i="7"/>
  <c r="D3741" i="7"/>
  <c r="D3740" i="7"/>
  <c r="D3739" i="7"/>
  <c r="D3738" i="7"/>
  <c r="D3737" i="7"/>
  <c r="D3736" i="7"/>
  <c r="D3735" i="7"/>
  <c r="D3734" i="7"/>
  <c r="D3733" i="7"/>
  <c r="D3732" i="7"/>
  <c r="D3731" i="7"/>
  <c r="D3730" i="7"/>
  <c r="D3729" i="7"/>
  <c r="D3728" i="7"/>
  <c r="D3727" i="7"/>
  <c r="D3726" i="7"/>
  <c r="D3725" i="7"/>
  <c r="D3724" i="7"/>
  <c r="D3723" i="7"/>
  <c r="D3722" i="7"/>
  <c r="D3721" i="7"/>
  <c r="D3720" i="7"/>
  <c r="D3719" i="7"/>
  <c r="D3718" i="7"/>
  <c r="D3717" i="7"/>
  <c r="D3716" i="7"/>
  <c r="D3715" i="7"/>
  <c r="D3714" i="7"/>
  <c r="D3713" i="7"/>
  <c r="D3712" i="7"/>
  <c r="D3711" i="7"/>
  <c r="D3710" i="7"/>
  <c r="D3709" i="7"/>
  <c r="D3708" i="7"/>
  <c r="D3707" i="7"/>
  <c r="D3706" i="7"/>
  <c r="D3705" i="7"/>
  <c r="D3704" i="7"/>
  <c r="D3703" i="7"/>
  <c r="D3702" i="7"/>
  <c r="D3701" i="7"/>
  <c r="D3700" i="7"/>
  <c r="D3699" i="7"/>
  <c r="D3698" i="7"/>
  <c r="D3697" i="7"/>
  <c r="D3696" i="7"/>
  <c r="D3695" i="7"/>
  <c r="D3694" i="7"/>
  <c r="D3693" i="7"/>
  <c r="D3692" i="7"/>
  <c r="D3691" i="7"/>
  <c r="D3690" i="7"/>
  <c r="D3689" i="7"/>
  <c r="D3688" i="7"/>
  <c r="D3687" i="7"/>
  <c r="D3686" i="7"/>
  <c r="D3685" i="7"/>
  <c r="D3684" i="7"/>
  <c r="D3683" i="7"/>
  <c r="D3682" i="7"/>
  <c r="D3681" i="7"/>
  <c r="D3680" i="7"/>
  <c r="D3679" i="7"/>
  <c r="D3678" i="7"/>
  <c r="D3677" i="7"/>
  <c r="D3676" i="7"/>
  <c r="D3675" i="7"/>
  <c r="D3674" i="7"/>
  <c r="D3673" i="7"/>
  <c r="D3672" i="7"/>
  <c r="D3671" i="7"/>
  <c r="D3670" i="7"/>
  <c r="D3669" i="7"/>
  <c r="D3668" i="7"/>
  <c r="D3667" i="7"/>
  <c r="D3666" i="7"/>
  <c r="D3665" i="7"/>
  <c r="D3664" i="7"/>
  <c r="D3663" i="7"/>
  <c r="D3662" i="7"/>
  <c r="D3661" i="7"/>
  <c r="D3660" i="7"/>
  <c r="D3659" i="7"/>
  <c r="D3658" i="7"/>
  <c r="D3657" i="7"/>
  <c r="D3656" i="7"/>
  <c r="D3655" i="7"/>
  <c r="D3654" i="7"/>
  <c r="D3653" i="7"/>
  <c r="D3652" i="7"/>
  <c r="D3651" i="7"/>
  <c r="D3650" i="7"/>
  <c r="D3649" i="7"/>
  <c r="D3648" i="7"/>
  <c r="D3647" i="7"/>
  <c r="D3646" i="7"/>
  <c r="D3645" i="7"/>
  <c r="D3644" i="7"/>
  <c r="D3643" i="7"/>
  <c r="D3642" i="7"/>
  <c r="D3641" i="7"/>
  <c r="D3640" i="7"/>
  <c r="D3639" i="7"/>
  <c r="D3638" i="7"/>
  <c r="D3637" i="7"/>
  <c r="D3636" i="7"/>
  <c r="D3635" i="7"/>
  <c r="D3634" i="7"/>
  <c r="D3633" i="7"/>
  <c r="D3632" i="7"/>
  <c r="D3631" i="7"/>
  <c r="D3630" i="7"/>
  <c r="D3629" i="7"/>
  <c r="D3628" i="7"/>
  <c r="D3627" i="7"/>
  <c r="D3626" i="7"/>
  <c r="D3625" i="7"/>
  <c r="D3624" i="7"/>
  <c r="D3623" i="7"/>
  <c r="D3622" i="7"/>
  <c r="D3621" i="7"/>
  <c r="D3620" i="7"/>
  <c r="D3619" i="7"/>
  <c r="D3618" i="7"/>
  <c r="D3617" i="7"/>
  <c r="D3616" i="7"/>
  <c r="D3615" i="7"/>
  <c r="D3614" i="7"/>
  <c r="D3613" i="7"/>
  <c r="D3612" i="7"/>
  <c r="D3611" i="7"/>
  <c r="D3610" i="7"/>
  <c r="D3609" i="7"/>
  <c r="D3608" i="7"/>
  <c r="D3607" i="7"/>
  <c r="D3606" i="7"/>
  <c r="D3605" i="7"/>
  <c r="D3604" i="7"/>
  <c r="D3603" i="7"/>
  <c r="D3602" i="7"/>
  <c r="D3601" i="7"/>
  <c r="D3600" i="7"/>
  <c r="D3599" i="7"/>
  <c r="D3598" i="7"/>
  <c r="D3597" i="7"/>
  <c r="D3596" i="7"/>
  <c r="D3595" i="7"/>
  <c r="D3594" i="7"/>
  <c r="D3593" i="7"/>
  <c r="D3592" i="7"/>
  <c r="D3591" i="7"/>
  <c r="D3590" i="7"/>
  <c r="D3589" i="7"/>
  <c r="D3588" i="7"/>
  <c r="D3587" i="7"/>
  <c r="D3586" i="7"/>
  <c r="D3585" i="7"/>
  <c r="D3584" i="7"/>
  <c r="D3583" i="7"/>
  <c r="D3582" i="7"/>
  <c r="D3581" i="7"/>
  <c r="D3580" i="7"/>
  <c r="D3579" i="7"/>
  <c r="D3578" i="7"/>
  <c r="D3577" i="7"/>
  <c r="D3576" i="7"/>
  <c r="D3575" i="7"/>
  <c r="D3574" i="7"/>
  <c r="D3573" i="7"/>
  <c r="D3572" i="7"/>
  <c r="D3571" i="7"/>
  <c r="D3570" i="7"/>
  <c r="D3569" i="7"/>
  <c r="D3568" i="7"/>
  <c r="D3567" i="7"/>
  <c r="D3566" i="7"/>
  <c r="D3565" i="7"/>
  <c r="D3564" i="7"/>
  <c r="D3563" i="7"/>
  <c r="D3562" i="7"/>
  <c r="D3561" i="7"/>
  <c r="D3560" i="7"/>
  <c r="D3559" i="7"/>
  <c r="D3558" i="7"/>
  <c r="D3557" i="7"/>
  <c r="D3556" i="7"/>
  <c r="D3555" i="7"/>
  <c r="D3554" i="7"/>
  <c r="D3553" i="7"/>
  <c r="D3552" i="7"/>
  <c r="D3551" i="7"/>
  <c r="D3550" i="7"/>
  <c r="D3549" i="7"/>
  <c r="D3548" i="7"/>
  <c r="D3547" i="7"/>
  <c r="D3546" i="7"/>
  <c r="D3545" i="7"/>
  <c r="D3544" i="7"/>
  <c r="D3543" i="7"/>
  <c r="D3542" i="7"/>
  <c r="D3541" i="7"/>
  <c r="D3540" i="7"/>
  <c r="D3539" i="7"/>
  <c r="D3538" i="7"/>
  <c r="D3537" i="7"/>
  <c r="D3536" i="7"/>
  <c r="D3535" i="7"/>
  <c r="D3534" i="7"/>
  <c r="D3533" i="7"/>
  <c r="D3532" i="7"/>
  <c r="D3531" i="7"/>
  <c r="D3530" i="7"/>
  <c r="D3529" i="7"/>
  <c r="D3528" i="7"/>
  <c r="D3527" i="7"/>
  <c r="D3526" i="7"/>
  <c r="D3525" i="7"/>
  <c r="D3524" i="7"/>
  <c r="D3523" i="7"/>
  <c r="D3522" i="7"/>
  <c r="D3521" i="7"/>
  <c r="D3520" i="7"/>
  <c r="D3519" i="7"/>
  <c r="D3518" i="7"/>
  <c r="D3517" i="7"/>
  <c r="D3516" i="7"/>
  <c r="D3515" i="7"/>
  <c r="D3514" i="7"/>
  <c r="D3513" i="7"/>
  <c r="D3512" i="7"/>
  <c r="D3511" i="7"/>
  <c r="D3510" i="7"/>
  <c r="D3509" i="7"/>
  <c r="D3508" i="7"/>
  <c r="D3507" i="7"/>
  <c r="D3506" i="7"/>
  <c r="D3505" i="7"/>
  <c r="D3504" i="7"/>
  <c r="D3503" i="7"/>
  <c r="D3502" i="7"/>
  <c r="D3501" i="7"/>
  <c r="D3500" i="7"/>
  <c r="D3499" i="7"/>
  <c r="D3498" i="7"/>
  <c r="D3497" i="7"/>
  <c r="D3496" i="7"/>
  <c r="D3495" i="7"/>
  <c r="D3494" i="7"/>
  <c r="D3493" i="7"/>
  <c r="D3492" i="7"/>
  <c r="D3491" i="7"/>
  <c r="D3490" i="7"/>
  <c r="D3489" i="7"/>
  <c r="D3488" i="7"/>
  <c r="D3487" i="7"/>
  <c r="D3486" i="7"/>
  <c r="D3485" i="7"/>
  <c r="D3484" i="7"/>
  <c r="D3483" i="7"/>
  <c r="D3482" i="7"/>
  <c r="D3481" i="7"/>
  <c r="D3480" i="7"/>
  <c r="D3479" i="7"/>
  <c r="D3478" i="7"/>
  <c r="D3475" i="7"/>
  <c r="D3474" i="7"/>
  <c r="D3473" i="7"/>
  <c r="D3472" i="7"/>
  <c r="D3471" i="7"/>
  <c r="D3470" i="7"/>
  <c r="D3469" i="7"/>
  <c r="D3468" i="7"/>
  <c r="D3467" i="7"/>
  <c r="D3466" i="7"/>
  <c r="D3465" i="7"/>
  <c r="D3464" i="7"/>
  <c r="D3463" i="7"/>
  <c r="D3462" i="7"/>
  <c r="D3461" i="7"/>
  <c r="D3460" i="7"/>
  <c r="D3459" i="7"/>
  <c r="D3458" i="7"/>
  <c r="D3457" i="7"/>
  <c r="D3456" i="7"/>
  <c r="D3455" i="7"/>
  <c r="D3454" i="7"/>
  <c r="D3453" i="7"/>
  <c r="D3452" i="7"/>
  <c r="D3451" i="7"/>
  <c r="D3450" i="7"/>
  <c r="D3449" i="7"/>
  <c r="D3448" i="7"/>
  <c r="D3447" i="7"/>
  <c r="D3446" i="7"/>
  <c r="D3445" i="7"/>
  <c r="D3444" i="7"/>
  <c r="D3443" i="7"/>
  <c r="D3442" i="7"/>
  <c r="D3441" i="7"/>
  <c r="D3440" i="7"/>
  <c r="D3439" i="7"/>
  <c r="D3438" i="7"/>
  <c r="D3437" i="7"/>
  <c r="D3436" i="7"/>
  <c r="D3435" i="7"/>
  <c r="D3434" i="7"/>
  <c r="D3433" i="7"/>
  <c r="D3432" i="7"/>
  <c r="D3431" i="7"/>
  <c r="D3430" i="7"/>
  <c r="D3429" i="7"/>
  <c r="D3428" i="7"/>
  <c r="D3427" i="7"/>
  <c r="D3426" i="7"/>
  <c r="D3425" i="7"/>
  <c r="D3424" i="7"/>
  <c r="D3423" i="7"/>
  <c r="D3422" i="7"/>
  <c r="D3421" i="7"/>
  <c r="D3418" i="7"/>
  <c r="D3417" i="7"/>
  <c r="D3416" i="7"/>
  <c r="D3415" i="7"/>
  <c r="D3414" i="7"/>
  <c r="D3413" i="7"/>
  <c r="D3412" i="7"/>
  <c r="D3411" i="7"/>
  <c r="D3410" i="7"/>
  <c r="D3409" i="7"/>
  <c r="D3408" i="7"/>
  <c r="D3407" i="7"/>
  <c r="D3406" i="7"/>
  <c r="D3405" i="7"/>
  <c r="D3404" i="7"/>
  <c r="D3403" i="7"/>
  <c r="D3402" i="7"/>
  <c r="D3401" i="7"/>
  <c r="D3400" i="7"/>
  <c r="D3399" i="7"/>
  <c r="D3398" i="7"/>
  <c r="D3397" i="7"/>
  <c r="D3396" i="7"/>
  <c r="D3395" i="7"/>
  <c r="D3394" i="7"/>
  <c r="D3393" i="7"/>
  <c r="D3392" i="7"/>
  <c r="D3391" i="7"/>
  <c r="D3390" i="7"/>
  <c r="D3389" i="7"/>
  <c r="D3388" i="7"/>
  <c r="D3387" i="7"/>
  <c r="D3386" i="7"/>
  <c r="D3385" i="7"/>
  <c r="D3384" i="7"/>
  <c r="D3383" i="7"/>
  <c r="D3382" i="7"/>
  <c r="D3381" i="7"/>
  <c r="D3380" i="7"/>
  <c r="D3379" i="7"/>
  <c r="D3378" i="7"/>
  <c r="D3377" i="7"/>
  <c r="D3376" i="7"/>
  <c r="D3375" i="7"/>
  <c r="D3374" i="7"/>
  <c r="D3373" i="7"/>
  <c r="D3372" i="7"/>
  <c r="D3369" i="7"/>
  <c r="D3368" i="7"/>
  <c r="D3367" i="7"/>
  <c r="D3366" i="7"/>
  <c r="D3365" i="7"/>
  <c r="D3364" i="7"/>
  <c r="D3363" i="7"/>
  <c r="D3362" i="7"/>
  <c r="D3361" i="7"/>
  <c r="D3360" i="7"/>
  <c r="D3359" i="7"/>
  <c r="D3358" i="7"/>
  <c r="D3357" i="7"/>
  <c r="D3356" i="7"/>
  <c r="D3355" i="7"/>
  <c r="D3354" i="7"/>
  <c r="D3353" i="7"/>
  <c r="D3352" i="7"/>
  <c r="D3351" i="7"/>
  <c r="D3350" i="7"/>
  <c r="D3349" i="7"/>
  <c r="D3348" i="7"/>
  <c r="D3347" i="7"/>
  <c r="D3346" i="7"/>
  <c r="D3345" i="7"/>
  <c r="D3344" i="7"/>
  <c r="D3343" i="7"/>
  <c r="D3342" i="7"/>
  <c r="D3341" i="7"/>
  <c r="D3340" i="7"/>
  <c r="D3339" i="7"/>
  <c r="D3338" i="7"/>
  <c r="D3337" i="7"/>
  <c r="D3336" i="7"/>
  <c r="D3335" i="7"/>
  <c r="D3334" i="7"/>
  <c r="D3333" i="7"/>
  <c r="D3332" i="7"/>
  <c r="D3331" i="7"/>
  <c r="D3330" i="7"/>
  <c r="D3329" i="7"/>
  <c r="D3328" i="7"/>
  <c r="D3327" i="7"/>
  <c r="D3326" i="7"/>
  <c r="D3325" i="7"/>
  <c r="D3324" i="7"/>
  <c r="D3323" i="7"/>
  <c r="D3322" i="7"/>
  <c r="D3321" i="7"/>
  <c r="D3320" i="7"/>
  <c r="D3319" i="7"/>
  <c r="D3318" i="7"/>
  <c r="D3315" i="7"/>
  <c r="D3314" i="7"/>
  <c r="D3313" i="7"/>
  <c r="D3312" i="7"/>
  <c r="D3311" i="7"/>
  <c r="D3310" i="7"/>
  <c r="D3309" i="7"/>
  <c r="D3308" i="7"/>
  <c r="D3307" i="7"/>
  <c r="D3306" i="7"/>
  <c r="D3305" i="7"/>
  <c r="D3304" i="7"/>
  <c r="D3303" i="7"/>
  <c r="D3302" i="7"/>
  <c r="D3301" i="7"/>
  <c r="D3300" i="7"/>
  <c r="D3299" i="7"/>
  <c r="D3298" i="7"/>
  <c r="D3297" i="7"/>
  <c r="D3296" i="7"/>
  <c r="D3295" i="7"/>
  <c r="D3294" i="7"/>
  <c r="D3293" i="7"/>
  <c r="D3292" i="7"/>
  <c r="D3291" i="7"/>
  <c r="D3290" i="7"/>
  <c r="D3289" i="7"/>
  <c r="D3288" i="7"/>
  <c r="D3287" i="7"/>
  <c r="D3286" i="7"/>
  <c r="D3285" i="7"/>
  <c r="D3284" i="7"/>
  <c r="D3283" i="7"/>
  <c r="D3282" i="7"/>
  <c r="D3281" i="7"/>
  <c r="D3280" i="7"/>
  <c r="D3279" i="7"/>
  <c r="D3278" i="7"/>
  <c r="D3277" i="7"/>
  <c r="D3276" i="7"/>
  <c r="D3275" i="7"/>
  <c r="D3274" i="7"/>
  <c r="D3273" i="7"/>
  <c r="D3272" i="7"/>
  <c r="D3271" i="7"/>
  <c r="D3268" i="7"/>
  <c r="D3267" i="7"/>
  <c r="D3266" i="7"/>
  <c r="D3265" i="7"/>
  <c r="D3264" i="7"/>
  <c r="D3263" i="7"/>
  <c r="D3262" i="7"/>
  <c r="D3261" i="7"/>
  <c r="D3260" i="7"/>
  <c r="D3259" i="7"/>
  <c r="D3258" i="7"/>
  <c r="D3257" i="7"/>
  <c r="D3256" i="7"/>
  <c r="D3255" i="7"/>
  <c r="D3254" i="7"/>
  <c r="D3253" i="7"/>
  <c r="D3252" i="7"/>
  <c r="D3251" i="7"/>
  <c r="D3250" i="7"/>
  <c r="D3249" i="7"/>
  <c r="D3248" i="7"/>
  <c r="D3247" i="7"/>
  <c r="D3246" i="7"/>
  <c r="D3245" i="7"/>
  <c r="D3244" i="7"/>
  <c r="D3243" i="7"/>
  <c r="D3242" i="7"/>
  <c r="D3241" i="7"/>
  <c r="D3240" i="7"/>
  <c r="D3239" i="7"/>
  <c r="D3238" i="7"/>
  <c r="D3237" i="7"/>
  <c r="D3236" i="7"/>
  <c r="D3235" i="7"/>
  <c r="D3234" i="7"/>
  <c r="D3233" i="7"/>
  <c r="D3232" i="7"/>
  <c r="D3231" i="7"/>
  <c r="D3230" i="7"/>
  <c r="D3229" i="7"/>
  <c r="D3228" i="7"/>
  <c r="D3227" i="7"/>
  <c r="D3226" i="7"/>
  <c r="D3225" i="7"/>
  <c r="D3224" i="7"/>
  <c r="D3223" i="7"/>
  <c r="D3222" i="7"/>
  <c r="D3221" i="7"/>
  <c r="D3220" i="7"/>
  <c r="D3219" i="7"/>
  <c r="D3218" i="7"/>
  <c r="D3217" i="7"/>
  <c r="D3216" i="7"/>
  <c r="D3215" i="7"/>
  <c r="D3214" i="7"/>
  <c r="D3213" i="7"/>
  <c r="D3212" i="7"/>
  <c r="D3211" i="7"/>
  <c r="D3210" i="7"/>
  <c r="D3209" i="7"/>
  <c r="D3208" i="7"/>
  <c r="D3207" i="7"/>
  <c r="D3206" i="7"/>
  <c r="D3205" i="7"/>
  <c r="D3204" i="7"/>
  <c r="D3203" i="7"/>
  <c r="D3202" i="7"/>
  <c r="D3201" i="7"/>
  <c r="D3200" i="7"/>
  <c r="D3199" i="7"/>
  <c r="D3198" i="7"/>
  <c r="D3197" i="7"/>
  <c r="D3196" i="7"/>
  <c r="D3195" i="7"/>
  <c r="D3194" i="7"/>
  <c r="D3193" i="7"/>
  <c r="D3192" i="7"/>
  <c r="D3191" i="7"/>
  <c r="D3190" i="7"/>
  <c r="D3189" i="7"/>
  <c r="D3188" i="7"/>
  <c r="D3187" i="7"/>
  <c r="D3186" i="7"/>
  <c r="D3185" i="7"/>
  <c r="D3184" i="7"/>
  <c r="D3183" i="7"/>
  <c r="D3182" i="7"/>
  <c r="D3181" i="7"/>
  <c r="D3180" i="7"/>
  <c r="D3179" i="7"/>
  <c r="D3178" i="7"/>
  <c r="D3177" i="7"/>
  <c r="D3176" i="7"/>
  <c r="D3175" i="7"/>
  <c r="D3174" i="7"/>
  <c r="D3173" i="7"/>
  <c r="D3172" i="7"/>
  <c r="D3171" i="7"/>
  <c r="D3170" i="7"/>
  <c r="D3169" i="7"/>
  <c r="D3168" i="7"/>
  <c r="D3167" i="7"/>
  <c r="D3166" i="7"/>
  <c r="D3165" i="7"/>
  <c r="D3164" i="7"/>
  <c r="D3163" i="7"/>
  <c r="D3162" i="7"/>
  <c r="D3161" i="7"/>
  <c r="D3160" i="7"/>
  <c r="D3159" i="7"/>
  <c r="D3158" i="7"/>
  <c r="D3157" i="7"/>
  <c r="D3156" i="7"/>
  <c r="D3155" i="7"/>
  <c r="D3154" i="7"/>
  <c r="D3153" i="7"/>
  <c r="D3152" i="7"/>
  <c r="D3151" i="7"/>
  <c r="D3150" i="7"/>
  <c r="D3149" i="7"/>
  <c r="D3148" i="7"/>
  <c r="D3147" i="7"/>
  <c r="D3146" i="7"/>
  <c r="D3145" i="7"/>
  <c r="D3144" i="7"/>
  <c r="D3141" i="7"/>
  <c r="D3140" i="7"/>
  <c r="D3139" i="7"/>
  <c r="D3138" i="7"/>
  <c r="D3137" i="7"/>
  <c r="D3136" i="7"/>
  <c r="D3135" i="7"/>
  <c r="D3134" i="7"/>
  <c r="D3133" i="7"/>
  <c r="D3132" i="7"/>
  <c r="D3131" i="7"/>
  <c r="D3130" i="7"/>
  <c r="D3129" i="7"/>
  <c r="D3128" i="7"/>
  <c r="D3127" i="7"/>
  <c r="D3126" i="7"/>
  <c r="D3125" i="7"/>
  <c r="D3124" i="7"/>
  <c r="D3123" i="7"/>
  <c r="D3122" i="7"/>
  <c r="D3121" i="7"/>
  <c r="D3120" i="7"/>
  <c r="D3119" i="7"/>
  <c r="D3118" i="7"/>
  <c r="D3117" i="7"/>
  <c r="D3116" i="7"/>
  <c r="D3115" i="7"/>
  <c r="D3114" i="7"/>
  <c r="D3113" i="7"/>
  <c r="D3112" i="7"/>
  <c r="D3111" i="7"/>
  <c r="D3110" i="7"/>
  <c r="D3109" i="7"/>
  <c r="D3108" i="7"/>
  <c r="D3107" i="7"/>
  <c r="D3106" i="7"/>
  <c r="D3105" i="7"/>
  <c r="D3104" i="7"/>
  <c r="D3103" i="7"/>
  <c r="D3102" i="7"/>
  <c r="D3101" i="7"/>
  <c r="D3100" i="7"/>
  <c r="D3099" i="7"/>
  <c r="D3098" i="7"/>
  <c r="D3097" i="7"/>
  <c r="D3096" i="7"/>
  <c r="D3095" i="7"/>
  <c r="D3094" i="7"/>
  <c r="D3093" i="7"/>
  <c r="D3092" i="7"/>
  <c r="D3091" i="7"/>
  <c r="D3090" i="7"/>
  <c r="D3089" i="7"/>
  <c r="D3088" i="7"/>
  <c r="D3087" i="7"/>
  <c r="D3086" i="7"/>
  <c r="D3085" i="7"/>
  <c r="D3084" i="7"/>
  <c r="D3083" i="7"/>
  <c r="D3082" i="7"/>
  <c r="D3081" i="7"/>
  <c r="D3080" i="7"/>
  <c r="D3079" i="7"/>
  <c r="D3078" i="7"/>
  <c r="D3077" i="7"/>
  <c r="D3076" i="7"/>
  <c r="D3075" i="7"/>
  <c r="D3074" i="7"/>
  <c r="D3073" i="7"/>
  <c r="D3072" i="7"/>
  <c r="D3071" i="7"/>
  <c r="D3070" i="7"/>
  <c r="D3069" i="7"/>
  <c r="D3068" i="7"/>
  <c r="D3067" i="7"/>
  <c r="D3066" i="7"/>
  <c r="D3065" i="7"/>
  <c r="D3064" i="7"/>
  <c r="D3063" i="7"/>
  <c r="D3062" i="7"/>
  <c r="D3061" i="7"/>
  <c r="D3060" i="7"/>
  <c r="D3059" i="7"/>
  <c r="D3058" i="7"/>
  <c r="D3057" i="7"/>
  <c r="D3056" i="7"/>
  <c r="D3055" i="7"/>
  <c r="D3054" i="7"/>
  <c r="D3053" i="7"/>
  <c r="D3052" i="7"/>
  <c r="D3051" i="7"/>
  <c r="D3050" i="7"/>
  <c r="D3049" i="7"/>
  <c r="D3048" i="7"/>
  <c r="D3047" i="7"/>
  <c r="D3046" i="7"/>
  <c r="D3045" i="7"/>
  <c r="D3044" i="7"/>
  <c r="D3043" i="7"/>
  <c r="D3040" i="7"/>
  <c r="D3039" i="7"/>
  <c r="D3038" i="7"/>
  <c r="D3037" i="7"/>
  <c r="D3036" i="7"/>
  <c r="D3035" i="7"/>
  <c r="D3034" i="7"/>
  <c r="D3033" i="7"/>
  <c r="D3032" i="7"/>
  <c r="D3031" i="7"/>
  <c r="D3030" i="7"/>
  <c r="D3029" i="7"/>
  <c r="D3028" i="7"/>
  <c r="D3027" i="7"/>
  <c r="D3026" i="7"/>
  <c r="D3025" i="7"/>
  <c r="D3024" i="7"/>
  <c r="D3023" i="7"/>
  <c r="D3022" i="7"/>
  <c r="D3021" i="7"/>
  <c r="D3020" i="7"/>
  <c r="D3019" i="7"/>
  <c r="D3018" i="7"/>
  <c r="D3017" i="7"/>
  <c r="D3016" i="7"/>
  <c r="D3015" i="7"/>
  <c r="D3014" i="7"/>
  <c r="D3013" i="7"/>
  <c r="D3012" i="7"/>
  <c r="D3011" i="7"/>
  <c r="D3010" i="7"/>
  <c r="D3009" i="7"/>
  <c r="D3008" i="7"/>
  <c r="D3007" i="7"/>
  <c r="D3006" i="7"/>
  <c r="D3005" i="7"/>
  <c r="D3004" i="7"/>
  <c r="D3003" i="7"/>
  <c r="D3002" i="7"/>
  <c r="D3001" i="7"/>
  <c r="D3000" i="7"/>
  <c r="D2999" i="7"/>
  <c r="D2998" i="7"/>
  <c r="D2997" i="7"/>
  <c r="D2996" i="7"/>
  <c r="D2995" i="7"/>
  <c r="D2994" i="7"/>
  <c r="D2993" i="7"/>
  <c r="D2992" i="7"/>
  <c r="D2991" i="7"/>
  <c r="D2990" i="7"/>
  <c r="D2989" i="7"/>
  <c r="D2988" i="7"/>
  <c r="D2987" i="7"/>
  <c r="D2986" i="7"/>
  <c r="D2985" i="7"/>
  <c r="D2984" i="7"/>
  <c r="D2983" i="7"/>
  <c r="D2982" i="7"/>
  <c r="D2981" i="7"/>
  <c r="D2980" i="7"/>
  <c r="D2979" i="7"/>
  <c r="D2978" i="7"/>
  <c r="D2977" i="7"/>
  <c r="D2974" i="7"/>
  <c r="D2973" i="7"/>
  <c r="D2972" i="7"/>
  <c r="D2971" i="7"/>
  <c r="D2970" i="7"/>
  <c r="D2969" i="7"/>
  <c r="D2968" i="7"/>
  <c r="D2967" i="7"/>
  <c r="D2966" i="7"/>
  <c r="D2965" i="7"/>
  <c r="D2964" i="7"/>
  <c r="D2963" i="7"/>
  <c r="D2962" i="7"/>
  <c r="D2961" i="7"/>
  <c r="D2960" i="7"/>
  <c r="D2959" i="7"/>
  <c r="D2958" i="7"/>
  <c r="D2957" i="7"/>
  <c r="D2956" i="7"/>
  <c r="D2955" i="7"/>
  <c r="D2954" i="7"/>
  <c r="D2953" i="7"/>
  <c r="D2952" i="7"/>
  <c r="D2951" i="7"/>
  <c r="D2950" i="7"/>
  <c r="D2949" i="7"/>
  <c r="D2948" i="7"/>
  <c r="D2947" i="7"/>
  <c r="D2946" i="7"/>
  <c r="D2945" i="7"/>
  <c r="D2944" i="7"/>
  <c r="D2943" i="7"/>
  <c r="D2942" i="7"/>
  <c r="D2941" i="7"/>
  <c r="D2940" i="7"/>
  <c r="D2939" i="7"/>
  <c r="D2938" i="7"/>
  <c r="D2937" i="7"/>
  <c r="D2936" i="7"/>
  <c r="D2935" i="7"/>
  <c r="D2934" i="7"/>
  <c r="D2933" i="7"/>
  <c r="D2932" i="7"/>
  <c r="D2931" i="7"/>
  <c r="D2930" i="7"/>
  <c r="D2929" i="7"/>
  <c r="D2928" i="7"/>
  <c r="D2927" i="7"/>
  <c r="D2926" i="7"/>
  <c r="D2925" i="7"/>
  <c r="D2924" i="7"/>
  <c r="D2923" i="7"/>
  <c r="D2922" i="7"/>
  <c r="D2921" i="7"/>
  <c r="D2920" i="7"/>
  <c r="D2918" i="7"/>
  <c r="D2917" i="7"/>
  <c r="D2916" i="7"/>
  <c r="D2915" i="7"/>
  <c r="D2914" i="7"/>
  <c r="D2913" i="7"/>
  <c r="D2912" i="7"/>
  <c r="D2911" i="7"/>
  <c r="D2910" i="7"/>
  <c r="D2909" i="7"/>
  <c r="D2908" i="7"/>
  <c r="D2907" i="7"/>
  <c r="D2906" i="7"/>
  <c r="D2905" i="7"/>
  <c r="D2904" i="7"/>
  <c r="D2903" i="7"/>
  <c r="D2902" i="7"/>
  <c r="D2901" i="7"/>
  <c r="D2900" i="7"/>
  <c r="D2899" i="7"/>
  <c r="D2898" i="7"/>
  <c r="D2897" i="7"/>
  <c r="D2896" i="7"/>
  <c r="D2895" i="7"/>
  <c r="D2894" i="7"/>
  <c r="D2893" i="7"/>
  <c r="D2892" i="7"/>
  <c r="D2891" i="7"/>
  <c r="D2890" i="7"/>
  <c r="D2889" i="7"/>
  <c r="D2888" i="7"/>
  <c r="D2887" i="7"/>
  <c r="D2886" i="7"/>
  <c r="D2885" i="7"/>
  <c r="D2884" i="7"/>
  <c r="D2883" i="7"/>
  <c r="D2882" i="7"/>
  <c r="D2881" i="7"/>
  <c r="D2880" i="7"/>
  <c r="D2879" i="7"/>
  <c r="D2878" i="7"/>
  <c r="D2877" i="7"/>
  <c r="D2876" i="7"/>
  <c r="D2875" i="7"/>
  <c r="D2874" i="7"/>
  <c r="D2873" i="7"/>
  <c r="D2872" i="7"/>
  <c r="D2871" i="7"/>
  <c r="D2870" i="7"/>
  <c r="D2869" i="7"/>
  <c r="D2868" i="7"/>
  <c r="D2867" i="7"/>
  <c r="D2866" i="7"/>
  <c r="D2865" i="7"/>
  <c r="D2864" i="7"/>
  <c r="D2863" i="7"/>
  <c r="D2862" i="7"/>
  <c r="D2861" i="7"/>
  <c r="D2860" i="7"/>
  <c r="D2859" i="7"/>
  <c r="D2858" i="7"/>
  <c r="D2857" i="7"/>
  <c r="D2856" i="7"/>
  <c r="D2855" i="7"/>
  <c r="D2854" i="7"/>
  <c r="D2853" i="7"/>
  <c r="D2852" i="7"/>
  <c r="D2851" i="7"/>
  <c r="D2850" i="7"/>
  <c r="D2849" i="7"/>
  <c r="D2848" i="7"/>
  <c r="D2847" i="7"/>
  <c r="D2846" i="7"/>
  <c r="D2845" i="7"/>
  <c r="D2844" i="7"/>
  <c r="D2843" i="7"/>
  <c r="D2842" i="7"/>
  <c r="D2841" i="7"/>
  <c r="D2840" i="7"/>
  <c r="D2839" i="7"/>
  <c r="D2838" i="7"/>
  <c r="D2837" i="7"/>
  <c r="D2836" i="7"/>
  <c r="D2835" i="7"/>
  <c r="D2834" i="7"/>
  <c r="D2833" i="7"/>
  <c r="D2832" i="7"/>
  <c r="D2831" i="7"/>
  <c r="D2830" i="7"/>
  <c r="D2829" i="7"/>
  <c r="D2828" i="7"/>
  <c r="D2827" i="7"/>
  <c r="D2826" i="7"/>
  <c r="D2825" i="7"/>
  <c r="D2824" i="7"/>
  <c r="D2823" i="7"/>
  <c r="D2822" i="7"/>
  <c r="D2821" i="7"/>
  <c r="D2820" i="7"/>
  <c r="D2819" i="7"/>
  <c r="D2818" i="7"/>
  <c r="D2817" i="7"/>
  <c r="D2816" i="7"/>
  <c r="D2815" i="7"/>
  <c r="D2814" i="7"/>
  <c r="D2813" i="7"/>
  <c r="D2812" i="7"/>
  <c r="D2811" i="7"/>
  <c r="D2810" i="7"/>
  <c r="D2809" i="7"/>
  <c r="D2808" i="7"/>
  <c r="D2807" i="7"/>
  <c r="D2806" i="7"/>
  <c r="D2805" i="7"/>
  <c r="D2804" i="7"/>
  <c r="D2803" i="7"/>
  <c r="D2802" i="7"/>
  <c r="D2801" i="7"/>
  <c r="D2800" i="7"/>
  <c r="D2799" i="7"/>
  <c r="D2798" i="7"/>
  <c r="D2797" i="7"/>
  <c r="D2796" i="7"/>
  <c r="D2795" i="7"/>
  <c r="D2794" i="7"/>
  <c r="D2793" i="7"/>
  <c r="D2792" i="7"/>
  <c r="D2791" i="7"/>
  <c r="D2790" i="7"/>
  <c r="D2789" i="7"/>
  <c r="D2788" i="7"/>
  <c r="D2787" i="7"/>
  <c r="D2786" i="7"/>
  <c r="D2785" i="7"/>
  <c r="D2784" i="7"/>
  <c r="D2783" i="7"/>
  <c r="D2782" i="7"/>
  <c r="D2781" i="7"/>
  <c r="D2780" i="7"/>
  <c r="D2779" i="7"/>
  <c r="D2778" i="7"/>
  <c r="D2777" i="7"/>
  <c r="D2776" i="7"/>
  <c r="D2775" i="7"/>
  <c r="D2774" i="7"/>
  <c r="D2773" i="7"/>
  <c r="D2772" i="7"/>
  <c r="D2771" i="7"/>
  <c r="D2770" i="7"/>
  <c r="D2769" i="7"/>
  <c r="D2768" i="7"/>
  <c r="D2767" i="7"/>
  <c r="D2766" i="7"/>
  <c r="D2765" i="7"/>
  <c r="D2764" i="7"/>
  <c r="D2763" i="7"/>
  <c r="D2762" i="7"/>
  <c r="D2761" i="7"/>
  <c r="D2760" i="7"/>
  <c r="D2759" i="7"/>
  <c r="D2758" i="7"/>
  <c r="D2757" i="7"/>
  <c r="D2756" i="7"/>
  <c r="D2755" i="7"/>
  <c r="D2754" i="7"/>
  <c r="D2753" i="7"/>
  <c r="D2752" i="7"/>
  <c r="D2751" i="7"/>
  <c r="D2750" i="7"/>
  <c r="D2749" i="7"/>
  <c r="D2748" i="7"/>
  <c r="D2747" i="7"/>
  <c r="D2746" i="7"/>
  <c r="D2745" i="7"/>
  <c r="D2744" i="7"/>
  <c r="D2743" i="7"/>
  <c r="D2742" i="7"/>
  <c r="D2741" i="7"/>
  <c r="D2740" i="7"/>
  <c r="D2739" i="7"/>
  <c r="D2738" i="7"/>
  <c r="D2737" i="7"/>
  <c r="D2736" i="7"/>
  <c r="D2733" i="7"/>
  <c r="D2732" i="7"/>
  <c r="D2731" i="7"/>
  <c r="D2730" i="7"/>
  <c r="D2729" i="7"/>
  <c r="D2728" i="7"/>
  <c r="D2727" i="7"/>
  <c r="D2726" i="7"/>
  <c r="D2725" i="7"/>
  <c r="D2724" i="7"/>
  <c r="D2723" i="7"/>
  <c r="D2722" i="7"/>
  <c r="D2721" i="7"/>
  <c r="D2720" i="7"/>
  <c r="D2719" i="7"/>
  <c r="D2718" i="7"/>
  <c r="D2717" i="7"/>
  <c r="D2716" i="7"/>
  <c r="D2715" i="7"/>
  <c r="D2714" i="7"/>
  <c r="D2713" i="7"/>
  <c r="D2712" i="7"/>
  <c r="D2711" i="7"/>
  <c r="D2710" i="7"/>
  <c r="D2709" i="7"/>
  <c r="D2708" i="7"/>
  <c r="D2707" i="7"/>
  <c r="D2706" i="7"/>
  <c r="D2705" i="7"/>
  <c r="D2704" i="7"/>
  <c r="D2703" i="7"/>
  <c r="D2702" i="7"/>
  <c r="D2701" i="7"/>
  <c r="D2700" i="7"/>
  <c r="D2699" i="7"/>
  <c r="D2698" i="7"/>
  <c r="D2697" i="7"/>
  <c r="D2696" i="7"/>
  <c r="D2695" i="7"/>
  <c r="D2694" i="7"/>
  <c r="D2693" i="7"/>
  <c r="D2692" i="7"/>
  <c r="D2691" i="7"/>
  <c r="D2690" i="7"/>
  <c r="D2689" i="7"/>
  <c r="D2688" i="7"/>
  <c r="D2687" i="7"/>
  <c r="D2686" i="7"/>
  <c r="D2685" i="7"/>
  <c r="D2684" i="7"/>
  <c r="D2683" i="7"/>
  <c r="D2682" i="7"/>
  <c r="D2681" i="7"/>
  <c r="D2680" i="7"/>
  <c r="D2679" i="7"/>
  <c r="D2676" i="7"/>
  <c r="D2675" i="7"/>
  <c r="D2674" i="7"/>
  <c r="D2673" i="7"/>
  <c r="D2672" i="7"/>
  <c r="D2671" i="7"/>
  <c r="D2670" i="7"/>
  <c r="D2669" i="7"/>
  <c r="D2668" i="7"/>
  <c r="D2667" i="7"/>
  <c r="D2666" i="7"/>
  <c r="D2665" i="7"/>
  <c r="D2664" i="7"/>
  <c r="D2663" i="7"/>
  <c r="D2662" i="7"/>
  <c r="D2661" i="7"/>
  <c r="D2660" i="7"/>
  <c r="D2659" i="7"/>
  <c r="D2658" i="7"/>
  <c r="D2657" i="7"/>
  <c r="D2656" i="7"/>
  <c r="D2655" i="7"/>
  <c r="D2654" i="7"/>
  <c r="D2653" i="7"/>
  <c r="D2652" i="7"/>
  <c r="D2651" i="7"/>
  <c r="D2650" i="7"/>
  <c r="D2649" i="7"/>
  <c r="D2648" i="7"/>
  <c r="D2647" i="7"/>
  <c r="D2646" i="7"/>
  <c r="D2645" i="7"/>
  <c r="D2644" i="7"/>
  <c r="D2643" i="7"/>
  <c r="D2642" i="7"/>
  <c r="D2641" i="7"/>
  <c r="D2640" i="7"/>
  <c r="D2639" i="7"/>
  <c r="D2638" i="7"/>
  <c r="D2637" i="7"/>
  <c r="D2636" i="7"/>
  <c r="D2635" i="7"/>
  <c r="D2634" i="7"/>
  <c r="D2633" i="7"/>
  <c r="D2632" i="7"/>
  <c r="D2631" i="7"/>
  <c r="D2630" i="7"/>
  <c r="D2629" i="7"/>
  <c r="D2628" i="7"/>
  <c r="D2627" i="7"/>
  <c r="D2626" i="7"/>
  <c r="D2625" i="7"/>
  <c r="D2624" i="7"/>
  <c r="D2623" i="7"/>
  <c r="D2622" i="7"/>
  <c r="D2621" i="7"/>
  <c r="D2620" i="7"/>
  <c r="D2619" i="7"/>
  <c r="D2618" i="7"/>
  <c r="D2617" i="7"/>
  <c r="D2616" i="7"/>
  <c r="D2615" i="7"/>
  <c r="D2614" i="7"/>
  <c r="D2613" i="7"/>
  <c r="D2612" i="7"/>
  <c r="D2611" i="7"/>
  <c r="D2610" i="7"/>
  <c r="D2609" i="7"/>
  <c r="D2608" i="7"/>
  <c r="D2607" i="7"/>
  <c r="D2606" i="7"/>
  <c r="D2605" i="7"/>
  <c r="D2604" i="7"/>
  <c r="D2603" i="7"/>
  <c r="D2602" i="7"/>
  <c r="D2601" i="7"/>
  <c r="D2600" i="7"/>
  <c r="D2599" i="7"/>
  <c r="D2598" i="7"/>
  <c r="D2595" i="7"/>
  <c r="D2594" i="7"/>
  <c r="D2593" i="7"/>
  <c r="D2592" i="7"/>
  <c r="D2591" i="7"/>
  <c r="D2590" i="7"/>
  <c r="D2589" i="7"/>
  <c r="D2588" i="7"/>
  <c r="D2587" i="7"/>
  <c r="D2586" i="7"/>
  <c r="D2585" i="7"/>
  <c r="D2584" i="7"/>
  <c r="D2583" i="7"/>
  <c r="D2582" i="7"/>
  <c r="D2581" i="7"/>
  <c r="D2580" i="7"/>
  <c r="D2579" i="7"/>
  <c r="D2578" i="7"/>
  <c r="D2577" i="7"/>
  <c r="D2576" i="7"/>
  <c r="D2575" i="7"/>
  <c r="D2574" i="7"/>
  <c r="D2573" i="7"/>
  <c r="D2572" i="7"/>
  <c r="D2571" i="7"/>
  <c r="D2570" i="7"/>
  <c r="D2569" i="7"/>
  <c r="D2568" i="7"/>
  <c r="D2567" i="7"/>
  <c r="D2566" i="7"/>
  <c r="D2565" i="7"/>
  <c r="D2564" i="7"/>
  <c r="D2563" i="7"/>
  <c r="D2562" i="7"/>
  <c r="D2561" i="7"/>
  <c r="D2560" i="7"/>
  <c r="D2559" i="7"/>
  <c r="D2558" i="7"/>
  <c r="D2557" i="7"/>
  <c r="D2556" i="7"/>
  <c r="D2555" i="7"/>
  <c r="D2554" i="7"/>
  <c r="D2551" i="7"/>
  <c r="D2550" i="7"/>
  <c r="D2549" i="7"/>
  <c r="D2548" i="7"/>
  <c r="D2547" i="7"/>
  <c r="D2546" i="7"/>
  <c r="D2545" i="7"/>
  <c r="D2544" i="7"/>
  <c r="D2543" i="7"/>
  <c r="D2542" i="7"/>
  <c r="D2541" i="7"/>
  <c r="D2540" i="7"/>
  <c r="D2539" i="7"/>
  <c r="D2538" i="7"/>
  <c r="D2537" i="7"/>
  <c r="D2536" i="7"/>
  <c r="D2535" i="7"/>
  <c r="D2534" i="7"/>
  <c r="D2533" i="7"/>
  <c r="D2532" i="7"/>
  <c r="D2531" i="7"/>
  <c r="D2530" i="7"/>
  <c r="D2529" i="7"/>
  <c r="D2528" i="7"/>
  <c r="D2527" i="7"/>
  <c r="D2526" i="7"/>
  <c r="D2525" i="7"/>
  <c r="D2524" i="7"/>
  <c r="D2523" i="7"/>
  <c r="D2522" i="7"/>
  <c r="D2521" i="7"/>
  <c r="D2520" i="7"/>
  <c r="D2519" i="7"/>
  <c r="D2518" i="7"/>
  <c r="D2517" i="7"/>
  <c r="D2516" i="7"/>
  <c r="D2515" i="7"/>
  <c r="D2514" i="7"/>
  <c r="D2513" i="7"/>
  <c r="D2512" i="7"/>
  <c r="D2511" i="7"/>
  <c r="D2510" i="7"/>
  <c r="D2509" i="7"/>
  <c r="D2508" i="7"/>
  <c r="D2507" i="7"/>
  <c r="D2506" i="7"/>
  <c r="D2505" i="7"/>
  <c r="D2504" i="7"/>
  <c r="D2503" i="7"/>
  <c r="D2502" i="7"/>
  <c r="D2501" i="7"/>
  <c r="D2500" i="7"/>
  <c r="D2499" i="7"/>
  <c r="D2498" i="7"/>
  <c r="D2497" i="7"/>
  <c r="D2496" i="7"/>
  <c r="D2495" i="7"/>
  <c r="D2494" i="7"/>
  <c r="D2493" i="7"/>
  <c r="D2492" i="7"/>
  <c r="D2491" i="7"/>
  <c r="D2490" i="7"/>
  <c r="D2489" i="7"/>
  <c r="D2488" i="7"/>
  <c r="D2487" i="7"/>
  <c r="D2486" i="7"/>
  <c r="D2485" i="7"/>
  <c r="D2484" i="7"/>
  <c r="D2483" i="7"/>
  <c r="D2482" i="7"/>
  <c r="D2481" i="7"/>
  <c r="D2480" i="7"/>
  <c r="D2479" i="7"/>
  <c r="D2478" i="7"/>
  <c r="D2477" i="7"/>
  <c r="D2476" i="7"/>
  <c r="D2475" i="7"/>
  <c r="D2474" i="7"/>
  <c r="D2473" i="7"/>
  <c r="D2472" i="7"/>
  <c r="D2471" i="7"/>
  <c r="D2470" i="7"/>
  <c r="D2467" i="7"/>
  <c r="D2466" i="7"/>
  <c r="D2465" i="7"/>
  <c r="D2464" i="7"/>
  <c r="D2463" i="7"/>
  <c r="D2462" i="7"/>
  <c r="D2461" i="7"/>
  <c r="D2460" i="7"/>
  <c r="D2459" i="7"/>
  <c r="D2458" i="7"/>
  <c r="D2457" i="7"/>
  <c r="D2456" i="7"/>
  <c r="D2455" i="7"/>
  <c r="D2454" i="7"/>
  <c r="D2453" i="7"/>
  <c r="D2452" i="7"/>
  <c r="D2451" i="7"/>
  <c r="D2450" i="7"/>
  <c r="D2449" i="7"/>
  <c r="D2448" i="7"/>
  <c r="D2447" i="7"/>
  <c r="D2446" i="7"/>
  <c r="D2445" i="7"/>
  <c r="D2444" i="7"/>
  <c r="D2443" i="7"/>
  <c r="D2442" i="7"/>
  <c r="D2441" i="7"/>
  <c r="D2440" i="7"/>
  <c r="D2439" i="7"/>
  <c r="D2438" i="7"/>
  <c r="D2437" i="7"/>
  <c r="D2436" i="7"/>
  <c r="D2435" i="7"/>
  <c r="D2434" i="7"/>
  <c r="D2433" i="7"/>
  <c r="D2432" i="7"/>
  <c r="D2431" i="7"/>
  <c r="D2430" i="7"/>
  <c r="D2429" i="7"/>
  <c r="D2426" i="7"/>
  <c r="D2425" i="7"/>
  <c r="D2424" i="7"/>
  <c r="D2423" i="7"/>
  <c r="D2422" i="7"/>
  <c r="D2421" i="7"/>
  <c r="D2420" i="7"/>
  <c r="D2419" i="7"/>
  <c r="D2418" i="7"/>
  <c r="D2417" i="7"/>
  <c r="D2416" i="7"/>
  <c r="D2415" i="7"/>
  <c r="D2414" i="7"/>
  <c r="D2413" i="7"/>
  <c r="D2412" i="7"/>
  <c r="D2411" i="7"/>
  <c r="D2410" i="7"/>
  <c r="D2409" i="7"/>
  <c r="D2408" i="7"/>
  <c r="D2407" i="7"/>
  <c r="D2406" i="7"/>
  <c r="D2405" i="7"/>
  <c r="D2404" i="7"/>
  <c r="D2403" i="7"/>
  <c r="D2402" i="7"/>
  <c r="D2401" i="7"/>
  <c r="D2400" i="7"/>
  <c r="D2399" i="7"/>
  <c r="D2398" i="7"/>
  <c r="D2397" i="7"/>
  <c r="D2396" i="7"/>
  <c r="D2395" i="7"/>
  <c r="D2394" i="7"/>
  <c r="D2393" i="7"/>
  <c r="D2392" i="7"/>
  <c r="D2391" i="7"/>
  <c r="D2390" i="7"/>
  <c r="D2389" i="7"/>
  <c r="D2388" i="7"/>
  <c r="D2387" i="7"/>
  <c r="D2386" i="7"/>
  <c r="D2385" i="7"/>
  <c r="D2384" i="7"/>
  <c r="D2383" i="7"/>
  <c r="D2382" i="7"/>
  <c r="D2381" i="7"/>
  <c r="D2380" i="7"/>
  <c r="D2379" i="7"/>
  <c r="D2378" i="7"/>
  <c r="D2377" i="7"/>
  <c r="D2376" i="7"/>
  <c r="D2375" i="7"/>
  <c r="D2374" i="7"/>
  <c r="D2373" i="7"/>
  <c r="D2372" i="7"/>
  <c r="D2371" i="7"/>
  <c r="D2370" i="7"/>
  <c r="D2369" i="7"/>
  <c r="D2368" i="7"/>
  <c r="D2367" i="7"/>
  <c r="D2366" i="7"/>
  <c r="D2365" i="7"/>
  <c r="D2364" i="7"/>
  <c r="D2363" i="7"/>
  <c r="D2360" i="7"/>
  <c r="D2359" i="7"/>
  <c r="D2358" i="7"/>
  <c r="D2357" i="7"/>
  <c r="D2356" i="7"/>
  <c r="D2355" i="7"/>
  <c r="D2354" i="7"/>
  <c r="D2353" i="7"/>
  <c r="D2352" i="7"/>
  <c r="D2351" i="7"/>
  <c r="D2350" i="7"/>
  <c r="D2349" i="7"/>
  <c r="D2348" i="7"/>
  <c r="D2347" i="7"/>
  <c r="D2346" i="7"/>
  <c r="D2345" i="7"/>
  <c r="D2344" i="7"/>
  <c r="D2343" i="7"/>
  <c r="D2342" i="7"/>
  <c r="D2341" i="7"/>
  <c r="D2340" i="7"/>
  <c r="D2339" i="7"/>
  <c r="D2338" i="7"/>
  <c r="D2337" i="7"/>
  <c r="D2336" i="7"/>
  <c r="D2335" i="7"/>
  <c r="D2334" i="7"/>
  <c r="D2333" i="7"/>
  <c r="D2332" i="7"/>
  <c r="D2331" i="7"/>
  <c r="D2330" i="7"/>
  <c r="D2329" i="7"/>
  <c r="D2328" i="7"/>
  <c r="D2327" i="7"/>
  <c r="D2326" i="7"/>
  <c r="D2325" i="7"/>
  <c r="D2324" i="7"/>
  <c r="D2323" i="7"/>
  <c r="D2322" i="7"/>
  <c r="D2321" i="7"/>
  <c r="D2320" i="7"/>
  <c r="D2319" i="7"/>
  <c r="D2318" i="7"/>
  <c r="D2317" i="7"/>
  <c r="D2316" i="7"/>
  <c r="D2315" i="7"/>
  <c r="D2314" i="7"/>
  <c r="D2313" i="7"/>
  <c r="D2312" i="7"/>
  <c r="D2311" i="7"/>
  <c r="D2310" i="7"/>
  <c r="D2309" i="7"/>
  <c r="D2308" i="7"/>
  <c r="D2307" i="7"/>
  <c r="D2306" i="7"/>
  <c r="D2305" i="7"/>
  <c r="D2302" i="7"/>
  <c r="D2301" i="7"/>
  <c r="D2300" i="7"/>
  <c r="D2299" i="7"/>
  <c r="D2298" i="7"/>
  <c r="D2297" i="7"/>
  <c r="D2296" i="7"/>
  <c r="D2295" i="7"/>
  <c r="D2294" i="7"/>
  <c r="D2293" i="7"/>
  <c r="D2292" i="7"/>
  <c r="D2291" i="7"/>
  <c r="D2290" i="7"/>
  <c r="D2289" i="7"/>
  <c r="D2288" i="7"/>
  <c r="D2287" i="7"/>
  <c r="D2286" i="7"/>
  <c r="D2285" i="7"/>
  <c r="D2284" i="7"/>
  <c r="D2283" i="7"/>
  <c r="D2282" i="7"/>
  <c r="D2281" i="7"/>
  <c r="D2280" i="7"/>
  <c r="D2279" i="7"/>
  <c r="D2278" i="7"/>
  <c r="D2277" i="7"/>
  <c r="D2276" i="7"/>
  <c r="D2275" i="7"/>
  <c r="D2274" i="7"/>
  <c r="D2273" i="7"/>
  <c r="D2272" i="7"/>
  <c r="D2271" i="7"/>
  <c r="D2270" i="7"/>
  <c r="D2269" i="7"/>
  <c r="D2268" i="7"/>
  <c r="D2267" i="7"/>
  <c r="D2266" i="7"/>
  <c r="D2265" i="7"/>
  <c r="D2264" i="7"/>
  <c r="D2263" i="7"/>
  <c r="D2262" i="7"/>
  <c r="D2261" i="7"/>
  <c r="D2260" i="7"/>
  <c r="D2257" i="7"/>
  <c r="D2256" i="7"/>
  <c r="D2255" i="7"/>
  <c r="D2254" i="7"/>
  <c r="D2253" i="7"/>
  <c r="D2252" i="7"/>
  <c r="D2251" i="7"/>
  <c r="D2250" i="7"/>
  <c r="D2249" i="7"/>
  <c r="D2248" i="7"/>
  <c r="D2247" i="7"/>
  <c r="D2246" i="7"/>
  <c r="D2245" i="7"/>
  <c r="D2244" i="7"/>
  <c r="D2243" i="7"/>
  <c r="D2242" i="7"/>
  <c r="D2241" i="7"/>
  <c r="D2240" i="7"/>
  <c r="D2239" i="7"/>
  <c r="D2238" i="7"/>
  <c r="D2237" i="7"/>
  <c r="D2236" i="7"/>
  <c r="D2235" i="7"/>
  <c r="D2234" i="7"/>
  <c r="D2233" i="7"/>
  <c r="D2232" i="7"/>
  <c r="D2231" i="7"/>
  <c r="D2230" i="7"/>
  <c r="D2229" i="7"/>
  <c r="D2228" i="7"/>
  <c r="D2227" i="7"/>
  <c r="D2226" i="7"/>
  <c r="D2225" i="7"/>
  <c r="D2224" i="7"/>
  <c r="D2223" i="7"/>
  <c r="D2222" i="7"/>
  <c r="D2221" i="7"/>
  <c r="D2220" i="7"/>
  <c r="D2219" i="7"/>
  <c r="D2218" i="7"/>
  <c r="D2217" i="7"/>
  <c r="D2216" i="7"/>
  <c r="D2215" i="7"/>
  <c r="D2214" i="7"/>
  <c r="D2213" i="7"/>
  <c r="D2212" i="7"/>
  <c r="D2211" i="7"/>
  <c r="D2210" i="7"/>
  <c r="D2209" i="7"/>
  <c r="D2208" i="7"/>
  <c r="D2207" i="7"/>
  <c r="D2206" i="7"/>
  <c r="D2205" i="7"/>
  <c r="D2204" i="7"/>
  <c r="D2203" i="7"/>
  <c r="D2202" i="7"/>
  <c r="D2201" i="7"/>
  <c r="D2200" i="7"/>
  <c r="D2199" i="7"/>
  <c r="D2198" i="7"/>
  <c r="D2197" i="7"/>
  <c r="D2196" i="7"/>
  <c r="D2195" i="7"/>
  <c r="D2194" i="7"/>
  <c r="D2193" i="7"/>
  <c r="D2192" i="7"/>
  <c r="D2191" i="7"/>
  <c r="D2190" i="7"/>
  <c r="D2189" i="7"/>
  <c r="D2188" i="7"/>
  <c r="D2187" i="7"/>
  <c r="D2186" i="7"/>
  <c r="D2185" i="7"/>
  <c r="D2182" i="7"/>
  <c r="D2181" i="7"/>
  <c r="D2180" i="7"/>
  <c r="D2179" i="7"/>
  <c r="D2178" i="7"/>
  <c r="D2177" i="7"/>
  <c r="D2176" i="7"/>
  <c r="D2175" i="7"/>
  <c r="D2174" i="7"/>
  <c r="D2173" i="7"/>
  <c r="D2172" i="7"/>
  <c r="D2171" i="7"/>
  <c r="D2170" i="7"/>
  <c r="D2169" i="7"/>
  <c r="D2168" i="7"/>
  <c r="D2167" i="7"/>
  <c r="D2166" i="7"/>
  <c r="D2165" i="7"/>
  <c r="D2164" i="7"/>
  <c r="D2163" i="7"/>
  <c r="D2162" i="7"/>
  <c r="D2161" i="7"/>
  <c r="D2160" i="7"/>
  <c r="D2159" i="7"/>
  <c r="D2158" i="7"/>
  <c r="D2157" i="7"/>
  <c r="D2156" i="7"/>
  <c r="D2155" i="7"/>
  <c r="D2154" i="7"/>
  <c r="D2153" i="7"/>
  <c r="D2152" i="7"/>
  <c r="D2151" i="7"/>
  <c r="D2150" i="7"/>
  <c r="D2149" i="7"/>
  <c r="D2148" i="7"/>
  <c r="D2147" i="7"/>
  <c r="D2146" i="7"/>
  <c r="D2145" i="7"/>
  <c r="D2144" i="7"/>
  <c r="D2143" i="7"/>
  <c r="D2142" i="7"/>
  <c r="D2141" i="7"/>
  <c r="D2140" i="7"/>
  <c r="D2139" i="7"/>
  <c r="D2138" i="7"/>
  <c r="D2137" i="7"/>
  <c r="D2134" i="7"/>
  <c r="D2133" i="7"/>
  <c r="D2132" i="7"/>
  <c r="D2131" i="7"/>
  <c r="D2130" i="7"/>
  <c r="D2129" i="7"/>
  <c r="D2128" i="7"/>
  <c r="D2127" i="7"/>
  <c r="D2126" i="7"/>
  <c r="D2125" i="7"/>
  <c r="D2124" i="7"/>
  <c r="D2123" i="7"/>
  <c r="D2122" i="7"/>
  <c r="D2121" i="7"/>
  <c r="D2120" i="7"/>
  <c r="D2119" i="7"/>
  <c r="D2118" i="7"/>
  <c r="D2117" i="7"/>
  <c r="D2116" i="7"/>
  <c r="D2115" i="7"/>
  <c r="D2114" i="7"/>
  <c r="D2113" i="7"/>
  <c r="D2112" i="7"/>
  <c r="D2111" i="7"/>
  <c r="D2110" i="7"/>
  <c r="D2109" i="7"/>
  <c r="D2108" i="7"/>
  <c r="D2107" i="7"/>
  <c r="D2106" i="7"/>
  <c r="D2105" i="7"/>
  <c r="D2104" i="7"/>
  <c r="D2103" i="7"/>
  <c r="D2102" i="7"/>
  <c r="D2101" i="7"/>
  <c r="D2100" i="7"/>
  <c r="D2099" i="7"/>
  <c r="D2098" i="7"/>
  <c r="D2097" i="7"/>
  <c r="D2096" i="7"/>
  <c r="D2095" i="7"/>
  <c r="D2094" i="7"/>
  <c r="D2093" i="7"/>
  <c r="D2092" i="7"/>
  <c r="D2091" i="7"/>
  <c r="D2090" i="7"/>
  <c r="D2089" i="7"/>
  <c r="D2088" i="7"/>
  <c r="D2087" i="7"/>
  <c r="D2086" i="7"/>
  <c r="D2085" i="7"/>
  <c r="D2084" i="7"/>
  <c r="D2083" i="7"/>
  <c r="D2082" i="7"/>
  <c r="D2081" i="7"/>
  <c r="D2080" i="7"/>
  <c r="D2079" i="7"/>
  <c r="D2078" i="7"/>
  <c r="D2077" i="7"/>
  <c r="D2076" i="7"/>
  <c r="D2075" i="7"/>
  <c r="D2074" i="7"/>
  <c r="D2073" i="7"/>
  <c r="D2072" i="7"/>
  <c r="D2071" i="7"/>
  <c r="D2070" i="7"/>
  <c r="D2069" i="7"/>
  <c r="D2068" i="7"/>
  <c r="D2067" i="7"/>
  <c r="D2066" i="7"/>
  <c r="D2065" i="7"/>
  <c r="D2064" i="7"/>
  <c r="D2063" i="7"/>
  <c r="D2062" i="7"/>
  <c r="D2061" i="7"/>
  <c r="D2060" i="7"/>
  <c r="D2059" i="7"/>
  <c r="D2058" i="7"/>
  <c r="D2057" i="7"/>
  <c r="D2056" i="7"/>
  <c r="D2055" i="7"/>
  <c r="D2054" i="7"/>
  <c r="D2053" i="7"/>
  <c r="D2052" i="7"/>
  <c r="D2051" i="7"/>
  <c r="D2050" i="7"/>
  <c r="D2049" i="7"/>
  <c r="D2048" i="7"/>
  <c r="D2047" i="7"/>
  <c r="D2046" i="7"/>
  <c r="D2045" i="7"/>
  <c r="D2044" i="7"/>
  <c r="D2043" i="7"/>
  <c r="D2042" i="7"/>
  <c r="D2041" i="7"/>
  <c r="D2040" i="7"/>
  <c r="D2039" i="7"/>
  <c r="D2038" i="7"/>
  <c r="D2037" i="7"/>
  <c r="D2036" i="7"/>
  <c r="D2035" i="7"/>
  <c r="D2034" i="7"/>
  <c r="D2033" i="7"/>
  <c r="D2032" i="7"/>
  <c r="D2031" i="7"/>
  <c r="D2030" i="7"/>
  <c r="D2029" i="7"/>
  <c r="D2028" i="7"/>
  <c r="D2027" i="7"/>
  <c r="D2026" i="7"/>
  <c r="D2023" i="7"/>
  <c r="D2022" i="7"/>
  <c r="D2021" i="7"/>
  <c r="D2020" i="7"/>
  <c r="D2019" i="7"/>
  <c r="D2018" i="7"/>
  <c r="D2017" i="7"/>
  <c r="D2016" i="7"/>
  <c r="D2015" i="7"/>
  <c r="D2014" i="7"/>
  <c r="D2013" i="7"/>
  <c r="D2012" i="7"/>
  <c r="D2011" i="7"/>
  <c r="D2010" i="7"/>
  <c r="D2009" i="7"/>
  <c r="D2008" i="7"/>
  <c r="D2007" i="7"/>
  <c r="D2006" i="7"/>
  <c r="D2005" i="7"/>
  <c r="D2004" i="7"/>
  <c r="D2003" i="7"/>
  <c r="D2002" i="7"/>
  <c r="D2001" i="7"/>
  <c r="D2000" i="7"/>
  <c r="D1999" i="7"/>
  <c r="D1998" i="7"/>
  <c r="D1997" i="7"/>
  <c r="D1996" i="7"/>
  <c r="D1995" i="7"/>
  <c r="D1994" i="7"/>
  <c r="D1993" i="7"/>
  <c r="D1992" i="7"/>
  <c r="D1991" i="7"/>
  <c r="D1990" i="7"/>
  <c r="D1989" i="7"/>
  <c r="D1988" i="7"/>
  <c r="D1987" i="7"/>
  <c r="D1986" i="7"/>
  <c r="D1985" i="7"/>
  <c r="D1984" i="7"/>
  <c r="D1983" i="7"/>
  <c r="D1982" i="7"/>
  <c r="D1981" i="7"/>
  <c r="D1980" i="7"/>
  <c r="D1979" i="7"/>
  <c r="D1978" i="7"/>
  <c r="D1977" i="7"/>
  <c r="D1976" i="7"/>
  <c r="D1975" i="7"/>
  <c r="D1974" i="7"/>
  <c r="D1973" i="7"/>
  <c r="D1972" i="7"/>
  <c r="D1971" i="7"/>
  <c r="D1970" i="7"/>
  <c r="D1967" i="7"/>
  <c r="D1966" i="7"/>
  <c r="D1965" i="7"/>
  <c r="D1964" i="7"/>
  <c r="D1963" i="7"/>
  <c r="D1962" i="7"/>
  <c r="D1961" i="7"/>
  <c r="D1960" i="7"/>
  <c r="D1959" i="7"/>
  <c r="D1958" i="7"/>
  <c r="D1957" i="7"/>
  <c r="D1956" i="7"/>
  <c r="D1955" i="7"/>
  <c r="D1954" i="7"/>
  <c r="D1953" i="7"/>
  <c r="D1952" i="7"/>
  <c r="D1951" i="7"/>
  <c r="D1950" i="7"/>
  <c r="D1949" i="7"/>
  <c r="D1948" i="7"/>
  <c r="D1947" i="7"/>
  <c r="D1946" i="7"/>
  <c r="D1945" i="7"/>
  <c r="D1944" i="7"/>
  <c r="D1943" i="7"/>
  <c r="D1942" i="7"/>
  <c r="D1941" i="7"/>
  <c r="D1940" i="7"/>
  <c r="D1939" i="7"/>
  <c r="D1938" i="7"/>
  <c r="D1937" i="7"/>
  <c r="D1936" i="7"/>
  <c r="D1935" i="7"/>
  <c r="D1934" i="7"/>
  <c r="D1933" i="7"/>
  <c r="D1932" i="7"/>
  <c r="D1931" i="7"/>
  <c r="D1930" i="7"/>
  <c r="D1929" i="7"/>
  <c r="D1928" i="7"/>
  <c r="D1927" i="7"/>
  <c r="D1926" i="7"/>
  <c r="D1925" i="7"/>
  <c r="D1924" i="7"/>
  <c r="D1923" i="7"/>
  <c r="D1922" i="7"/>
  <c r="D1921" i="7"/>
  <c r="D1920" i="7"/>
  <c r="D1919" i="7"/>
  <c r="D1918" i="7"/>
  <c r="D1917" i="7"/>
  <c r="D1916" i="7"/>
  <c r="D1915" i="7"/>
  <c r="D1914" i="7"/>
  <c r="D1913" i="7"/>
  <c r="D1912" i="7"/>
  <c r="D1911" i="7"/>
  <c r="D1910" i="7"/>
  <c r="D1909" i="7"/>
  <c r="D1908" i="7"/>
  <c r="D1907" i="7"/>
  <c r="D1906" i="7"/>
  <c r="D1905" i="7"/>
  <c r="D1904" i="7"/>
  <c r="D1903" i="7"/>
  <c r="D1902" i="7"/>
  <c r="D1901" i="7"/>
  <c r="D1900" i="7"/>
  <c r="D1899" i="7"/>
  <c r="D1898" i="7"/>
  <c r="D1895" i="7"/>
  <c r="D1894" i="7"/>
  <c r="D1893" i="7"/>
  <c r="D1892" i="7"/>
  <c r="D1891" i="7"/>
  <c r="D1890" i="7"/>
  <c r="D1889" i="7"/>
  <c r="D1888" i="7"/>
  <c r="D1887" i="7"/>
  <c r="D1886" i="7"/>
  <c r="D1885" i="7"/>
  <c r="D1884" i="7"/>
  <c r="D1883" i="7"/>
  <c r="D1882" i="7"/>
  <c r="D1881" i="7"/>
  <c r="D1880" i="7"/>
  <c r="D1879" i="7"/>
  <c r="D1878" i="7"/>
  <c r="D1877" i="7"/>
  <c r="D1876" i="7"/>
  <c r="D1875" i="7"/>
  <c r="D1874" i="7"/>
  <c r="D1873" i="7"/>
  <c r="D1872" i="7"/>
  <c r="D1871" i="7"/>
  <c r="D1870" i="7"/>
  <c r="D1869" i="7"/>
  <c r="D1868" i="7"/>
  <c r="D1867" i="7"/>
  <c r="D1866" i="7"/>
  <c r="D1865" i="7"/>
  <c r="D1864" i="7"/>
  <c r="D1863" i="7"/>
  <c r="D1862" i="7"/>
  <c r="D1861" i="7"/>
  <c r="D1860" i="7"/>
  <c r="D1859" i="7"/>
  <c r="D1858" i="7"/>
  <c r="D1857" i="7"/>
  <c r="D1856" i="7"/>
  <c r="D1855" i="7"/>
  <c r="D1854" i="7"/>
  <c r="D1853" i="7"/>
  <c r="D1852" i="7"/>
  <c r="D1851" i="7"/>
  <c r="D1850" i="7"/>
  <c r="D1849" i="7"/>
  <c r="D1848" i="7"/>
  <c r="D1847" i="7"/>
  <c r="D1846" i="7"/>
  <c r="D1845" i="7"/>
  <c r="D1844" i="7"/>
  <c r="D1843" i="7"/>
  <c r="D1842" i="7"/>
  <c r="D1841" i="7"/>
  <c r="D1840" i="7"/>
  <c r="D1839" i="7"/>
  <c r="D1838" i="7"/>
  <c r="D1837" i="7"/>
  <c r="D1836" i="7"/>
  <c r="D1835" i="7"/>
  <c r="D1834" i="7"/>
  <c r="D1833" i="7"/>
  <c r="D1832" i="7"/>
  <c r="D1831" i="7"/>
  <c r="D1830" i="7"/>
  <c r="D1829" i="7"/>
  <c r="D1828" i="7"/>
  <c r="D1827" i="7"/>
  <c r="D1826" i="7"/>
  <c r="D1823" i="7"/>
  <c r="D1822" i="7"/>
  <c r="D1821" i="7"/>
  <c r="D1820" i="7"/>
  <c r="D1819" i="7"/>
  <c r="D1818" i="7"/>
  <c r="D1817" i="7"/>
  <c r="D1816" i="7"/>
  <c r="D1815" i="7"/>
  <c r="D1814" i="7"/>
  <c r="D1813" i="7"/>
  <c r="D1812" i="7"/>
  <c r="D1811" i="7"/>
  <c r="D1810" i="7"/>
  <c r="D1809" i="7"/>
  <c r="D1808" i="7"/>
  <c r="D1807" i="7"/>
  <c r="D1806" i="7"/>
  <c r="D1805" i="7"/>
  <c r="D1804" i="7"/>
  <c r="D1803" i="7"/>
  <c r="D1802" i="7"/>
  <c r="D1801" i="7"/>
  <c r="D1800" i="7"/>
  <c r="D1799" i="7"/>
  <c r="D1798" i="7"/>
  <c r="D1797" i="7"/>
  <c r="D1796" i="7"/>
  <c r="D1795" i="7"/>
  <c r="D1794" i="7"/>
  <c r="D1793" i="7"/>
  <c r="D1792" i="7"/>
  <c r="D1791" i="7"/>
  <c r="D1790" i="7"/>
  <c r="D1789" i="7"/>
  <c r="D1788" i="7"/>
  <c r="D1787" i="7"/>
  <c r="D1786" i="7"/>
  <c r="D1785" i="7"/>
  <c r="D1784" i="7"/>
  <c r="D1783" i="7"/>
  <c r="D1782" i="7"/>
  <c r="D1781" i="7"/>
  <c r="D1780" i="7"/>
  <c r="D1779" i="7"/>
  <c r="D1778" i="7"/>
  <c r="D1777" i="7"/>
  <c r="D1776" i="7"/>
  <c r="D1775" i="7"/>
  <c r="D1774" i="7"/>
  <c r="D1773" i="7"/>
  <c r="D1772" i="7"/>
  <c r="D1771" i="7"/>
  <c r="D1770" i="7"/>
  <c r="D1769" i="7"/>
  <c r="D1768" i="7"/>
  <c r="D1767" i="7"/>
  <c r="D1766" i="7"/>
  <c r="D1765" i="7"/>
  <c r="D1764" i="7"/>
  <c r="D1763" i="7"/>
  <c r="D1762" i="7"/>
  <c r="D1761" i="7"/>
  <c r="D1760" i="7"/>
  <c r="D1759" i="7"/>
  <c r="D1758" i="7"/>
  <c r="D1757" i="7"/>
  <c r="D1754" i="7"/>
  <c r="D1753" i="7"/>
  <c r="D1752" i="7"/>
  <c r="D1751" i="7"/>
  <c r="D1750" i="7"/>
  <c r="D1749" i="7"/>
  <c r="D1748" i="7"/>
  <c r="D1747" i="7"/>
  <c r="D1746" i="7"/>
  <c r="D1745" i="7"/>
  <c r="D1744" i="7"/>
  <c r="D1743" i="7"/>
  <c r="D1742" i="7"/>
  <c r="D1741" i="7"/>
  <c r="D1740" i="7"/>
  <c r="D1739" i="7"/>
  <c r="D1738" i="7"/>
  <c r="D1737" i="7"/>
  <c r="D1736" i="7"/>
  <c r="D1735" i="7"/>
  <c r="D1734" i="7"/>
  <c r="D1733" i="7"/>
  <c r="D1732" i="7"/>
  <c r="D1731" i="7"/>
  <c r="D1730" i="7"/>
  <c r="D1729" i="7"/>
  <c r="D1728" i="7"/>
  <c r="D1727" i="7"/>
  <c r="D1726" i="7"/>
  <c r="D1725" i="7"/>
  <c r="D1724" i="7"/>
  <c r="D1723" i="7"/>
  <c r="D1722" i="7"/>
  <c r="D1721" i="7"/>
  <c r="D1720" i="7"/>
  <c r="D1719" i="7"/>
  <c r="D1718" i="7"/>
  <c r="D1717" i="7"/>
  <c r="D1716" i="7"/>
  <c r="D1715" i="7"/>
  <c r="D1714" i="7"/>
  <c r="D1713" i="7"/>
  <c r="D1712" i="7"/>
  <c r="D1711" i="7"/>
  <c r="D1710" i="7"/>
  <c r="D1709" i="7"/>
  <c r="D1708" i="7"/>
  <c r="D1707" i="7"/>
  <c r="D1706" i="7"/>
  <c r="D1705" i="7"/>
  <c r="D1704" i="7"/>
  <c r="D1703" i="7"/>
  <c r="D1702" i="7"/>
  <c r="D1699" i="7"/>
  <c r="D1698" i="7"/>
  <c r="D1697" i="7"/>
  <c r="D1696" i="7"/>
  <c r="D1695" i="7"/>
  <c r="D1694" i="7"/>
  <c r="D1693" i="7"/>
  <c r="D1692" i="7"/>
  <c r="D1691" i="7"/>
  <c r="D1690" i="7"/>
  <c r="D1689" i="7"/>
  <c r="D1688" i="7"/>
  <c r="D1687" i="7"/>
  <c r="D1686" i="7"/>
  <c r="D1685" i="7"/>
  <c r="D1684" i="7"/>
  <c r="D1683" i="7"/>
  <c r="D1682" i="7"/>
  <c r="D1681" i="7"/>
  <c r="D1680" i="7"/>
  <c r="D1679" i="7"/>
  <c r="D1678" i="7"/>
  <c r="D1677" i="7"/>
  <c r="D1676" i="7"/>
  <c r="D1675" i="7"/>
  <c r="D1674" i="7"/>
  <c r="D1673" i="7"/>
  <c r="D1672" i="7"/>
  <c r="D1671" i="7"/>
  <c r="D1670" i="7"/>
  <c r="D1669" i="7"/>
  <c r="D1668" i="7"/>
  <c r="D1667" i="7"/>
  <c r="D1666" i="7"/>
  <c r="D1665" i="7"/>
  <c r="D1664" i="7"/>
  <c r="D1663" i="7"/>
  <c r="D1662" i="7"/>
  <c r="D1661" i="7"/>
  <c r="D1660" i="7"/>
  <c r="D1659" i="7"/>
  <c r="D1658" i="7"/>
  <c r="D1657" i="7"/>
  <c r="D1656" i="7"/>
  <c r="D1655" i="7"/>
  <c r="D1654" i="7"/>
  <c r="D1653" i="7"/>
  <c r="D1652" i="7"/>
  <c r="D1651" i="7"/>
  <c r="D1650" i="7"/>
  <c r="D1649" i="7"/>
  <c r="D1648" i="7"/>
  <c r="D1647" i="7"/>
  <c r="D1646" i="7"/>
  <c r="D1645" i="7"/>
  <c r="D1644" i="7"/>
  <c r="D1643" i="7"/>
  <c r="D1642" i="7"/>
  <c r="D1641" i="7"/>
  <c r="D1640" i="7"/>
  <c r="D1639" i="7"/>
  <c r="D1638" i="7"/>
  <c r="D1637" i="7"/>
  <c r="D1636" i="7"/>
  <c r="D1635" i="7"/>
  <c r="D1634" i="7"/>
  <c r="D1633" i="7"/>
  <c r="D1632" i="7"/>
  <c r="D1631" i="7"/>
  <c r="D1630" i="7"/>
  <c r="D1629" i="7"/>
  <c r="D1628" i="7"/>
  <c r="D1627" i="7"/>
  <c r="D1624" i="7"/>
  <c r="D1623" i="7"/>
  <c r="D1622" i="7"/>
  <c r="D1621" i="7"/>
  <c r="D1620" i="7"/>
  <c r="D1619" i="7"/>
  <c r="D1618" i="7"/>
  <c r="D1617" i="7"/>
  <c r="D1616" i="7"/>
  <c r="D1615" i="7"/>
  <c r="D1614" i="7"/>
  <c r="D1613" i="7"/>
  <c r="D1612" i="7"/>
  <c r="D1611" i="7"/>
  <c r="D1610" i="7"/>
  <c r="D1609" i="7"/>
  <c r="D1608" i="7"/>
  <c r="D1607" i="7"/>
  <c r="D1606" i="7"/>
  <c r="D1605" i="7"/>
  <c r="D1604" i="7"/>
  <c r="D1603" i="7"/>
  <c r="D1602" i="7"/>
  <c r="D1601" i="7"/>
  <c r="D1600" i="7"/>
  <c r="D1599" i="7"/>
  <c r="D1598" i="7"/>
  <c r="D1597" i="7"/>
  <c r="D1596" i="7"/>
  <c r="D1595" i="7"/>
  <c r="D1594" i="7"/>
  <c r="D1593" i="7"/>
  <c r="D1592" i="7"/>
  <c r="D1591" i="7"/>
  <c r="D1590" i="7"/>
  <c r="D1589" i="7"/>
  <c r="D1588" i="7"/>
  <c r="D1587" i="7"/>
  <c r="D1586" i="7"/>
  <c r="D1585" i="7"/>
  <c r="D1584" i="7"/>
  <c r="D1583" i="7"/>
  <c r="D1582" i="7"/>
  <c r="D1581" i="7"/>
  <c r="D1580" i="7"/>
  <c r="D1579" i="7"/>
  <c r="D1578" i="7"/>
  <c r="D1577" i="7"/>
  <c r="D1576" i="7"/>
  <c r="D1575" i="7"/>
  <c r="D1574" i="7"/>
  <c r="D1573" i="7"/>
  <c r="D1572" i="7"/>
  <c r="D1571" i="7"/>
  <c r="D1570" i="7"/>
  <c r="D1569" i="7"/>
  <c r="D1568" i="7"/>
  <c r="D1567" i="7"/>
  <c r="D1566" i="7"/>
  <c r="D1565" i="7"/>
  <c r="D1564" i="7"/>
  <c r="D1563" i="7"/>
  <c r="D1562" i="7"/>
  <c r="D1561" i="7"/>
  <c r="D1560" i="7"/>
  <c r="D1559" i="7"/>
  <c r="D1558" i="7"/>
  <c r="D1557" i="7"/>
  <c r="D1556" i="7"/>
  <c r="D1555" i="7"/>
  <c r="D1554" i="7"/>
  <c r="D1553" i="7"/>
  <c r="D1552" i="7"/>
  <c r="D1551" i="7"/>
  <c r="D1550" i="7"/>
  <c r="D1549" i="7"/>
  <c r="D1548" i="7"/>
  <c r="D1547" i="7"/>
  <c r="D1546" i="7"/>
  <c r="D1545" i="7"/>
  <c r="D1544" i="7"/>
  <c r="D1543" i="7"/>
  <c r="D1542" i="7"/>
  <c r="D1541" i="7"/>
  <c r="D1538" i="7"/>
  <c r="D1537" i="7"/>
  <c r="D1536" i="7"/>
  <c r="D1535" i="7"/>
  <c r="D1534" i="7"/>
  <c r="D1533" i="7"/>
  <c r="D1532" i="7"/>
  <c r="D1531" i="7"/>
  <c r="D1530" i="7"/>
  <c r="D1529" i="7"/>
  <c r="D1528" i="7"/>
  <c r="D1527" i="7"/>
  <c r="D1526" i="7"/>
  <c r="D1525" i="7"/>
  <c r="D1524" i="7"/>
  <c r="D1523" i="7"/>
  <c r="D1522" i="7"/>
  <c r="D1521" i="7"/>
  <c r="D1520" i="7"/>
  <c r="D1519" i="7"/>
  <c r="D1518" i="7"/>
  <c r="D1517" i="7"/>
  <c r="D1516" i="7"/>
  <c r="D1515" i="7"/>
  <c r="D1514" i="7"/>
  <c r="D1513" i="7"/>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D1423" i="7"/>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D1332" i="7"/>
  <c r="D1331" i="7"/>
  <c r="D1330" i="7"/>
  <c r="D1329" i="7"/>
  <c r="D1328" i="7"/>
  <c r="D1327" i="7"/>
  <c r="D1326" i="7"/>
  <c r="D1325" i="7"/>
  <c r="D1324" i="7"/>
  <c r="D1323" i="7"/>
  <c r="D1322" i="7"/>
  <c r="D1321" i="7"/>
  <c r="D1320" i="7"/>
  <c r="D1319"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E12879" i="7" l="1"/>
  <c r="L12879" i="7"/>
  <c r="E12878" i="7"/>
  <c r="E12877" i="7"/>
  <c r="L12877" i="7"/>
  <c r="E12876" i="7"/>
  <c r="L12875" i="7"/>
  <c r="E12875" i="7"/>
  <c r="E12874" i="7"/>
  <c r="L12873" i="7"/>
  <c r="E12873" i="7"/>
  <c r="E12872" i="7"/>
  <c r="L12871" i="7"/>
  <c r="E12871" i="7"/>
  <c r="E12870" i="7"/>
  <c r="L12869" i="7"/>
  <c r="E12869" i="7"/>
  <c r="E12868" i="7"/>
  <c r="L12867" i="7"/>
  <c r="E12867" i="7"/>
  <c r="E12866" i="7"/>
  <c r="L12865" i="7"/>
  <c r="E12865" i="7"/>
  <c r="E12864" i="7"/>
  <c r="L12863" i="7"/>
  <c r="E12863" i="7"/>
  <c r="E12862" i="7"/>
  <c r="L12861" i="7"/>
  <c r="E12861" i="7"/>
  <c r="E12860" i="7"/>
  <c r="L12859" i="7"/>
  <c r="E12859" i="7"/>
  <c r="E12858" i="7"/>
  <c r="L12857" i="7"/>
  <c r="E12857" i="7"/>
  <c r="E12856" i="7"/>
  <c r="L12855" i="7"/>
  <c r="E12855" i="7"/>
  <c r="E12854" i="7"/>
  <c r="L12853" i="7"/>
  <c r="E12853" i="7"/>
  <c r="E12852" i="7"/>
  <c r="L12851" i="7"/>
  <c r="E12851" i="7"/>
  <c r="E12850" i="7"/>
  <c r="L12849" i="7"/>
  <c r="E12849" i="7"/>
  <c r="E12848" i="7"/>
  <c r="L12847" i="7"/>
  <c r="E12847" i="7"/>
  <c r="E12846" i="7"/>
  <c r="L12845" i="7"/>
  <c r="E12845" i="7"/>
  <c r="E12844" i="7"/>
  <c r="K12842" i="7"/>
  <c r="K12840" i="7"/>
  <c r="A74" i="58" l="1"/>
  <c r="L12843" i="7"/>
  <c r="E12843" i="7"/>
  <c r="E12842" i="7"/>
  <c r="L12841" i="7"/>
  <c r="E12841" i="7"/>
  <c r="E12840" i="7"/>
  <c r="L12839" i="7"/>
  <c r="E12839" i="7"/>
  <c r="E12838" i="7"/>
  <c r="L12837" i="7"/>
  <c r="E12837" i="7"/>
  <c r="E12836" i="7"/>
  <c r="L12835" i="7"/>
  <c r="E12835" i="7"/>
  <c r="E12834" i="7"/>
  <c r="L12833" i="7"/>
  <c r="E12833" i="7"/>
  <c r="E12832" i="7"/>
  <c r="L12831" i="7"/>
  <c r="E12831" i="7"/>
  <c r="E12830" i="7"/>
  <c r="L12829" i="7"/>
  <c r="E12829" i="7"/>
  <c r="E12828" i="7"/>
  <c r="L12827" i="7"/>
  <c r="E12827" i="7"/>
  <c r="E12826" i="7"/>
  <c r="L12825" i="7"/>
  <c r="E12825" i="7"/>
  <c r="E12824" i="7"/>
  <c r="L12823" i="7"/>
  <c r="E12823" i="7"/>
  <c r="E12822" i="7"/>
  <c r="L12821" i="7"/>
  <c r="E12821" i="7"/>
  <c r="E12820" i="7"/>
  <c r="L12819" i="7"/>
  <c r="E12819" i="7"/>
  <c r="E12818" i="7"/>
  <c r="L12817" i="7"/>
  <c r="E12817" i="7"/>
  <c r="E12816" i="7"/>
  <c r="L12815" i="7"/>
  <c r="E12815" i="7"/>
  <c r="E12814" i="7"/>
  <c r="L12813" i="7"/>
  <c r="E12813" i="7"/>
  <c r="E12812" i="7"/>
  <c r="L12811" i="7"/>
  <c r="E12811" i="7"/>
  <c r="E12810" i="7"/>
  <c r="L12809" i="7"/>
  <c r="E12809" i="7"/>
  <c r="E12808" i="7"/>
  <c r="E12764" i="7"/>
  <c r="E12763" i="7"/>
  <c r="E12762" i="7"/>
  <c r="E12807" i="7" l="1"/>
  <c r="E12806" i="7"/>
  <c r="E12805" i="7"/>
  <c r="E12804" i="7" l="1"/>
  <c r="E12803" i="7"/>
  <c r="E12802" i="7"/>
  <c r="E12801" i="7"/>
  <c r="E12800" i="7"/>
  <c r="E12799" i="7"/>
  <c r="E12761" i="7" l="1"/>
  <c r="E12760" i="7"/>
  <c r="E12759" i="7"/>
  <c r="I120" i="59"/>
  <c r="I121" i="59"/>
  <c r="I122" i="59"/>
  <c r="I123" i="59"/>
  <c r="I124" i="59" s="1"/>
  <c r="I125" i="59" s="1"/>
  <c r="I126" i="59" s="1"/>
  <c r="I127" i="59" s="1"/>
  <c r="I128" i="59" s="1"/>
  <c r="I129" i="59" s="1"/>
  <c r="I130" i="59" s="1"/>
  <c r="E12798" i="7" l="1"/>
  <c r="L12798" i="7"/>
  <c r="E12797" i="7"/>
  <c r="E12796" i="7"/>
  <c r="L12796" i="7"/>
  <c r="E12795" i="7"/>
  <c r="L12794" i="7"/>
  <c r="E12794" i="7"/>
  <c r="E12793" i="7"/>
  <c r="L12792" i="7"/>
  <c r="E12792" i="7"/>
  <c r="E12791" i="7"/>
  <c r="L12790" i="7"/>
  <c r="E12790" i="7"/>
  <c r="E12789" i="7"/>
  <c r="L12788" i="7"/>
  <c r="E12788" i="7"/>
  <c r="E12787" i="7"/>
  <c r="L12786" i="7"/>
  <c r="E12786" i="7"/>
  <c r="E12785" i="7"/>
  <c r="L12784" i="7"/>
  <c r="E12784" i="7"/>
  <c r="E12783" i="7"/>
  <c r="L12782" i="7"/>
  <c r="E12782" i="7"/>
  <c r="E12781" i="7"/>
  <c r="L12780" i="7"/>
  <c r="E12780" i="7"/>
  <c r="E12779" i="7"/>
  <c r="L12778" i="7"/>
  <c r="E12778" i="7"/>
  <c r="E12777" i="7"/>
  <c r="L12776" i="7"/>
  <c r="E12776" i="7"/>
  <c r="E12775" i="7"/>
  <c r="L12774" i="7"/>
  <c r="E12774" i="7"/>
  <c r="E12773" i="7"/>
  <c r="L12772" i="7"/>
  <c r="E12772" i="7"/>
  <c r="E12771" i="7"/>
  <c r="L12770" i="7"/>
  <c r="E12770" i="7"/>
  <c r="E12769" i="7"/>
  <c r="L12768" i="7"/>
  <c r="E12768" i="7"/>
  <c r="E12767" i="7"/>
  <c r="L12766" i="7"/>
  <c r="E12766" i="7"/>
  <c r="E12765" i="7"/>
  <c r="E12758" i="7"/>
  <c r="E12757" i="7"/>
  <c r="E12756" i="7"/>
  <c r="N77" i="58"/>
  <c r="L77" i="58"/>
  <c r="J77" i="58"/>
  <c r="H77" i="58"/>
  <c r="F77" i="58"/>
  <c r="D77" i="58"/>
  <c r="I119" i="59"/>
  <c r="E12755" i="7"/>
  <c r="K12754" i="7"/>
  <c r="L12755" i="7" s="1"/>
  <c r="E12754" i="7"/>
  <c r="E12753" i="7"/>
  <c r="K12752" i="7"/>
  <c r="L12753" i="7" s="1"/>
  <c r="E12752" i="7"/>
  <c r="L12751" i="7"/>
  <c r="E12751" i="7"/>
  <c r="E12750" i="7"/>
  <c r="L12749" i="7"/>
  <c r="E12749" i="7"/>
  <c r="E12748" i="7"/>
  <c r="L12747" i="7"/>
  <c r="E12747" i="7"/>
  <c r="E12746" i="7"/>
  <c r="L12745" i="7"/>
  <c r="E12745" i="7"/>
  <c r="E12744" i="7"/>
  <c r="L12743" i="7"/>
  <c r="E12743" i="7"/>
  <c r="E12742" i="7"/>
  <c r="L12741" i="7"/>
  <c r="E12741" i="7"/>
  <c r="E12740" i="7"/>
  <c r="L12739" i="7"/>
  <c r="E12739" i="7"/>
  <c r="E12738" i="7"/>
  <c r="L12737" i="7"/>
  <c r="E12737" i="7"/>
  <c r="E12736" i="7"/>
  <c r="L12735" i="7"/>
  <c r="E12735" i="7"/>
  <c r="E12734" i="7"/>
  <c r="L12733" i="7"/>
  <c r="E12733" i="7"/>
  <c r="E12732" i="7"/>
  <c r="L12731" i="7"/>
  <c r="E12731" i="7"/>
  <c r="E12730" i="7"/>
  <c r="L12729" i="7"/>
  <c r="E12729" i="7"/>
  <c r="E12728" i="7"/>
  <c r="L12727" i="7"/>
  <c r="E12727" i="7"/>
  <c r="E12726" i="7"/>
  <c r="L12725" i="7"/>
  <c r="E12725" i="7"/>
  <c r="E12724" i="7"/>
  <c r="L12723" i="7"/>
  <c r="E12723" i="7"/>
  <c r="E12722" i="7"/>
  <c r="K12718" i="7"/>
  <c r="L12719" i="7" s="1"/>
  <c r="I118" i="59"/>
  <c r="N80" i="58"/>
  <c r="L80" i="58"/>
  <c r="J80" i="58"/>
  <c r="H80" i="58"/>
  <c r="F80" i="58"/>
  <c r="D80" i="58"/>
  <c r="N79" i="58"/>
  <c r="L79" i="58"/>
  <c r="J79" i="58"/>
  <c r="H79" i="58"/>
  <c r="F79" i="58"/>
  <c r="D79" i="58"/>
  <c r="N78" i="58"/>
  <c r="L78" i="58"/>
  <c r="J78" i="58"/>
  <c r="H78" i="58"/>
  <c r="F78" i="58"/>
  <c r="D78" i="58"/>
  <c r="E12721" i="7"/>
  <c r="K12720" i="7"/>
  <c r="L12721" i="7" s="1"/>
  <c r="E12720" i="7"/>
  <c r="E12719" i="7"/>
  <c r="E12718" i="7"/>
  <c r="L12717" i="7"/>
  <c r="E12717" i="7"/>
  <c r="E12716" i="7"/>
  <c r="L12715" i="7"/>
  <c r="E12715" i="7"/>
  <c r="E12714" i="7"/>
  <c r="L12713" i="7"/>
  <c r="E12713" i="7"/>
  <c r="E12712" i="7"/>
  <c r="L12711" i="7"/>
  <c r="E12711" i="7"/>
  <c r="E12710" i="7"/>
  <c r="L12709" i="7"/>
  <c r="E12709" i="7"/>
  <c r="E12708" i="7"/>
  <c r="L12707" i="7"/>
  <c r="E12707" i="7"/>
  <c r="E12706" i="7"/>
  <c r="L12705" i="7"/>
  <c r="E12705" i="7"/>
  <c r="E12704" i="7"/>
  <c r="L12703" i="7"/>
  <c r="E12703" i="7"/>
  <c r="E12702" i="7"/>
  <c r="L12701" i="7"/>
  <c r="E12701" i="7"/>
  <c r="E12700" i="7"/>
  <c r="L12699" i="7"/>
  <c r="E12699" i="7"/>
  <c r="E12698" i="7"/>
  <c r="L12697" i="7"/>
  <c r="E12697" i="7"/>
  <c r="E12696" i="7"/>
  <c r="L12695" i="7"/>
  <c r="E12695" i="7"/>
  <c r="E12694" i="7"/>
  <c r="L12693" i="7"/>
  <c r="E12693" i="7"/>
  <c r="E12692" i="7"/>
  <c r="L12691" i="7"/>
  <c r="E12691" i="7"/>
  <c r="E12690" i="7"/>
  <c r="L12689" i="7"/>
  <c r="E12689" i="7"/>
  <c r="E12688" i="7"/>
  <c r="L12633" i="7"/>
  <c r="E12633" i="7"/>
  <c r="E12632" i="7"/>
  <c r="L12687" i="7"/>
  <c r="E12687" i="7"/>
  <c r="E12686" i="7"/>
  <c r="L12685" i="7"/>
  <c r="E12685" i="7"/>
  <c r="E12684" i="7"/>
  <c r="E12683" i="7"/>
  <c r="E12682" i="7"/>
  <c r="E12681" i="7"/>
  <c r="E12680" i="7"/>
  <c r="E12679" i="7"/>
  <c r="E12678" i="7"/>
  <c r="E12677" i="7" l="1"/>
  <c r="E12676" i="7"/>
  <c r="E12675" i="7"/>
  <c r="E12674" i="7"/>
  <c r="E12673" i="7"/>
  <c r="E12672" i="7"/>
  <c r="L12281" i="7"/>
  <c r="E12281" i="7"/>
  <c r="E12280" i="7"/>
  <c r="E12671" i="7" l="1"/>
  <c r="E12670" i="7"/>
  <c r="E12669" i="7"/>
  <c r="E12668" i="7"/>
  <c r="N81" i="58" l="1"/>
  <c r="L81" i="58"/>
  <c r="J81" i="58"/>
  <c r="H81" i="58"/>
  <c r="F81" i="58"/>
  <c r="D81" i="58"/>
  <c r="E12667" i="7"/>
  <c r="K12666" i="7"/>
  <c r="L12667" i="7" s="1"/>
  <c r="E12666" i="7"/>
  <c r="E12665" i="7"/>
  <c r="K12664" i="7"/>
  <c r="L12665" i="7" s="1"/>
  <c r="E12664" i="7"/>
  <c r="L12663" i="7"/>
  <c r="E12663" i="7"/>
  <c r="E12662" i="7"/>
  <c r="L12661" i="7"/>
  <c r="E12661" i="7"/>
  <c r="E12660" i="7"/>
  <c r="L12659" i="7"/>
  <c r="E12659" i="7"/>
  <c r="E12658" i="7"/>
  <c r="L12657" i="7"/>
  <c r="E12657" i="7"/>
  <c r="E12656" i="7"/>
  <c r="L12655" i="7"/>
  <c r="E12655" i="7"/>
  <c r="E12654" i="7"/>
  <c r="L12653" i="7"/>
  <c r="E12653" i="7"/>
  <c r="E12652" i="7"/>
  <c r="L12651" i="7"/>
  <c r="E12651" i="7"/>
  <c r="E12650" i="7"/>
  <c r="L12649" i="7"/>
  <c r="E12649" i="7"/>
  <c r="E12648" i="7"/>
  <c r="L12647" i="7"/>
  <c r="E12647" i="7"/>
  <c r="E12646" i="7"/>
  <c r="L12645" i="7"/>
  <c r="E12645" i="7"/>
  <c r="E12644" i="7"/>
  <c r="L12643" i="7"/>
  <c r="E12643" i="7"/>
  <c r="E12642" i="7"/>
  <c r="L12641" i="7"/>
  <c r="E12641" i="7"/>
  <c r="E12640" i="7"/>
  <c r="L12639" i="7"/>
  <c r="E12639" i="7"/>
  <c r="E12638" i="7"/>
  <c r="L12637" i="7"/>
  <c r="E12637" i="7"/>
  <c r="E12636" i="7"/>
  <c r="L12635" i="7"/>
  <c r="E12635" i="7"/>
  <c r="E12634" i="7"/>
  <c r="E12631" i="7" l="1"/>
  <c r="E12630" i="7"/>
  <c r="E12629" i="7"/>
  <c r="E12628" i="7" l="1"/>
  <c r="E12627" i="7"/>
  <c r="N82" i="58"/>
  <c r="L82" i="58"/>
  <c r="J82" i="58"/>
  <c r="H82" i="58"/>
  <c r="F82" i="58"/>
  <c r="D82" i="58"/>
  <c r="E12626" i="7"/>
  <c r="K12625" i="7"/>
  <c r="L12626" i="7" s="1"/>
  <c r="E12625" i="7"/>
  <c r="E12624" i="7"/>
  <c r="K12623" i="7"/>
  <c r="L12624" i="7" s="1"/>
  <c r="E12623" i="7"/>
  <c r="L12622" i="7"/>
  <c r="E12622" i="7"/>
  <c r="E12621" i="7"/>
  <c r="L12620" i="7"/>
  <c r="E12620" i="7"/>
  <c r="E12619" i="7"/>
  <c r="L12618" i="7"/>
  <c r="E12618" i="7"/>
  <c r="E12617" i="7"/>
  <c r="L12616" i="7"/>
  <c r="E12616" i="7"/>
  <c r="E12615" i="7"/>
  <c r="L12614" i="7"/>
  <c r="E12614" i="7"/>
  <c r="E12613" i="7"/>
  <c r="L12612" i="7"/>
  <c r="E12612" i="7"/>
  <c r="E12611" i="7"/>
  <c r="L12610" i="7"/>
  <c r="E12610" i="7"/>
  <c r="E12609" i="7"/>
  <c r="L12608" i="7"/>
  <c r="E12608" i="7"/>
  <c r="E12607" i="7"/>
  <c r="L12606" i="7"/>
  <c r="E12606" i="7"/>
  <c r="E12605" i="7"/>
  <c r="L12604" i="7"/>
  <c r="E12604" i="7"/>
  <c r="E12603" i="7"/>
  <c r="L12602" i="7"/>
  <c r="E12602" i="7"/>
  <c r="E12601" i="7"/>
  <c r="L12600" i="7"/>
  <c r="E12600" i="7"/>
  <c r="E12599" i="7"/>
  <c r="L12598" i="7"/>
  <c r="E12598" i="7"/>
  <c r="E12597" i="7"/>
  <c r="L12596" i="7"/>
  <c r="E12596" i="7"/>
  <c r="E12595" i="7"/>
  <c r="L12594" i="7"/>
  <c r="E12594" i="7"/>
  <c r="E12593" i="7"/>
  <c r="L12592" i="7"/>
  <c r="E12592" i="7"/>
  <c r="E12591" i="7"/>
  <c r="E12590" i="7"/>
  <c r="E12589" i="7"/>
  <c r="E12588" i="7"/>
  <c r="E12587" i="7"/>
  <c r="E12586" i="7"/>
  <c r="E12585" i="7"/>
  <c r="E12584" i="7" l="1"/>
  <c r="K12583" i="7"/>
  <c r="L12584" i="7" s="1"/>
  <c r="E12583" i="7"/>
  <c r="E12582" i="7"/>
  <c r="K12581" i="7"/>
  <c r="L12582" i="7" s="1"/>
  <c r="E12581" i="7"/>
  <c r="L12580" i="7"/>
  <c r="E12580" i="7"/>
  <c r="E12579" i="7"/>
  <c r="L12578" i="7"/>
  <c r="E12578" i="7"/>
  <c r="E12577" i="7"/>
  <c r="L12576" i="7"/>
  <c r="E12576" i="7"/>
  <c r="E12575" i="7"/>
  <c r="L12574" i="7"/>
  <c r="E12574" i="7"/>
  <c r="E12573" i="7"/>
  <c r="L12572" i="7"/>
  <c r="E12572" i="7"/>
  <c r="E12571" i="7"/>
  <c r="L12570" i="7"/>
  <c r="E12570" i="7"/>
  <c r="E12569" i="7"/>
  <c r="L12568" i="7"/>
  <c r="E12568" i="7"/>
  <c r="E12567" i="7"/>
  <c r="L12566" i="7"/>
  <c r="E12566" i="7"/>
  <c r="E12565" i="7"/>
  <c r="L12564" i="7"/>
  <c r="E12564" i="7"/>
  <c r="E12563" i="7"/>
  <c r="L12562" i="7"/>
  <c r="E12562" i="7"/>
  <c r="E12561" i="7"/>
  <c r="L12560" i="7"/>
  <c r="E12560" i="7"/>
  <c r="E12559" i="7"/>
  <c r="L12558" i="7"/>
  <c r="E12558" i="7"/>
  <c r="E12557" i="7"/>
  <c r="L12556" i="7"/>
  <c r="E12556" i="7"/>
  <c r="E12555" i="7"/>
  <c r="L12554" i="7"/>
  <c r="E12554" i="7"/>
  <c r="E12553" i="7"/>
  <c r="L12552" i="7"/>
  <c r="E12552" i="7"/>
  <c r="E12551" i="7"/>
  <c r="E12545" i="7"/>
  <c r="K12544" i="7"/>
  <c r="L12545" i="7" s="1"/>
  <c r="E12544" i="7"/>
  <c r="E12543" i="7"/>
  <c r="K12542" i="7"/>
  <c r="L12543" i="7" s="1"/>
  <c r="E12542" i="7"/>
  <c r="L12541" i="7"/>
  <c r="E12541" i="7"/>
  <c r="E12540" i="7"/>
  <c r="L12539" i="7"/>
  <c r="E12539" i="7"/>
  <c r="E12538" i="7"/>
  <c r="L12537" i="7"/>
  <c r="E12537" i="7"/>
  <c r="E12536" i="7"/>
  <c r="L12535" i="7"/>
  <c r="E12535" i="7"/>
  <c r="E12534" i="7"/>
  <c r="L12533" i="7"/>
  <c r="E12533" i="7"/>
  <c r="E12532" i="7"/>
  <c r="L12531" i="7"/>
  <c r="E12531" i="7"/>
  <c r="E12530" i="7"/>
  <c r="L12529" i="7"/>
  <c r="E12529" i="7"/>
  <c r="E12528" i="7"/>
  <c r="L12527" i="7"/>
  <c r="E12527" i="7"/>
  <c r="E12526" i="7"/>
  <c r="L12525" i="7"/>
  <c r="E12525" i="7"/>
  <c r="E12524" i="7"/>
  <c r="L12523" i="7"/>
  <c r="E12523" i="7"/>
  <c r="E12522" i="7"/>
  <c r="L12521" i="7"/>
  <c r="E12521" i="7"/>
  <c r="E12520" i="7"/>
  <c r="L12519" i="7"/>
  <c r="E12519" i="7"/>
  <c r="E12518" i="7"/>
  <c r="L12517" i="7"/>
  <c r="E12517" i="7"/>
  <c r="E12516" i="7"/>
  <c r="L12515" i="7"/>
  <c r="E12515" i="7"/>
  <c r="E12514" i="7"/>
  <c r="L12513" i="7"/>
  <c r="E12513" i="7"/>
  <c r="E12512" i="7"/>
  <c r="L12470" i="7" l="1"/>
  <c r="E12470" i="7"/>
  <c r="E12469" i="7"/>
  <c r="L12550" i="7"/>
  <c r="E12550" i="7"/>
  <c r="E12549" i="7"/>
  <c r="E12548" i="7"/>
  <c r="E12547" i="7"/>
  <c r="E12546" i="7"/>
  <c r="E12511" i="7"/>
  <c r="E12510" i="7"/>
  <c r="E12509" i="7"/>
  <c r="N84" i="58"/>
  <c r="L84" i="58"/>
  <c r="J84" i="58"/>
  <c r="H84" i="58"/>
  <c r="F84" i="58"/>
  <c r="D84" i="58"/>
  <c r="N83" i="58"/>
  <c r="L83" i="58"/>
  <c r="J83" i="58"/>
  <c r="H83" i="58"/>
  <c r="F83" i="58"/>
  <c r="D83" i="58"/>
  <c r="E12508" i="7" l="1"/>
  <c r="E12507" i="7"/>
  <c r="E12506" i="7"/>
  <c r="E12505" i="7"/>
  <c r="E12468" i="7" l="1"/>
  <c r="E12467" i="7"/>
  <c r="E12466" i="7"/>
  <c r="N87" i="58" l="1"/>
  <c r="L87" i="58"/>
  <c r="J87" i="58"/>
  <c r="H87" i="58"/>
  <c r="F87" i="58"/>
  <c r="D87" i="58"/>
  <c r="N86" i="58"/>
  <c r="L86" i="58"/>
  <c r="J86" i="58"/>
  <c r="H86" i="58"/>
  <c r="F86" i="58"/>
  <c r="D86" i="58"/>
  <c r="N85" i="58"/>
  <c r="L85" i="58"/>
  <c r="J85" i="58"/>
  <c r="H85" i="58"/>
  <c r="F85" i="58"/>
  <c r="D85" i="58"/>
  <c r="I109" i="59"/>
  <c r="I110" i="59" s="1"/>
  <c r="I111" i="59" s="1"/>
  <c r="I112" i="59" s="1"/>
  <c r="I113" i="59" s="1"/>
  <c r="I114" i="59" s="1"/>
  <c r="I115" i="59" s="1"/>
  <c r="I116" i="59" s="1"/>
  <c r="I117" i="59" s="1"/>
  <c r="E12504" i="7"/>
  <c r="K12503" i="7"/>
  <c r="L12504" i="7" s="1"/>
  <c r="E12503" i="7"/>
  <c r="E12502" i="7"/>
  <c r="K12501" i="7"/>
  <c r="L12502" i="7" s="1"/>
  <c r="E12501" i="7"/>
  <c r="L12500" i="7"/>
  <c r="E12500" i="7"/>
  <c r="E12499" i="7"/>
  <c r="L12498" i="7"/>
  <c r="E12498" i="7"/>
  <c r="E12497" i="7"/>
  <c r="L12496" i="7"/>
  <c r="E12496" i="7"/>
  <c r="E12495" i="7"/>
  <c r="L12494" i="7"/>
  <c r="E12494" i="7"/>
  <c r="E12493" i="7"/>
  <c r="L12492" i="7"/>
  <c r="E12492" i="7"/>
  <c r="E12491" i="7"/>
  <c r="L12490" i="7"/>
  <c r="E12490" i="7"/>
  <c r="E12489" i="7"/>
  <c r="L12488" i="7"/>
  <c r="E12488" i="7"/>
  <c r="E12487" i="7"/>
  <c r="L12486" i="7"/>
  <c r="E12486" i="7"/>
  <c r="E12485" i="7"/>
  <c r="L12484" i="7"/>
  <c r="E12484" i="7"/>
  <c r="E12483" i="7"/>
  <c r="L12482" i="7"/>
  <c r="E12482" i="7"/>
  <c r="E12481" i="7"/>
  <c r="L12480" i="7"/>
  <c r="E12480" i="7"/>
  <c r="E12479" i="7"/>
  <c r="L12478" i="7"/>
  <c r="E12478" i="7"/>
  <c r="E12477" i="7"/>
  <c r="L12476" i="7"/>
  <c r="E12476" i="7"/>
  <c r="E12475" i="7"/>
  <c r="L12474" i="7"/>
  <c r="E12474" i="7"/>
  <c r="E12473" i="7"/>
  <c r="L12472" i="7"/>
  <c r="E12472" i="7"/>
  <c r="E12471" i="7"/>
  <c r="N88" i="58"/>
  <c r="L88" i="58"/>
  <c r="J88" i="58"/>
  <c r="H88" i="58"/>
  <c r="F88" i="58"/>
  <c r="D88" i="58"/>
  <c r="E12465" i="7"/>
  <c r="K12464" i="7"/>
  <c r="L12465" i="7" s="1"/>
  <c r="E12464" i="7"/>
  <c r="E12463" i="7"/>
  <c r="K12462" i="7"/>
  <c r="L12463" i="7" s="1"/>
  <c r="E12462" i="7"/>
  <c r="L12461" i="7"/>
  <c r="E12461" i="7"/>
  <c r="E12460" i="7"/>
  <c r="L12459" i="7"/>
  <c r="E12459" i="7"/>
  <c r="E12458" i="7"/>
  <c r="L12457" i="7"/>
  <c r="E12457" i="7"/>
  <c r="E12456" i="7"/>
  <c r="L12455" i="7"/>
  <c r="E12455" i="7"/>
  <c r="E12454" i="7"/>
  <c r="L12453" i="7"/>
  <c r="E12453" i="7"/>
  <c r="E12452" i="7"/>
  <c r="L12451" i="7"/>
  <c r="E12451" i="7"/>
  <c r="E12450" i="7"/>
  <c r="L12449" i="7"/>
  <c r="E12449" i="7"/>
  <c r="E12448" i="7"/>
  <c r="L12447" i="7"/>
  <c r="E12447" i="7"/>
  <c r="E12446" i="7"/>
  <c r="L12445" i="7"/>
  <c r="E12445" i="7"/>
  <c r="E12444" i="7"/>
  <c r="L12443" i="7"/>
  <c r="E12443" i="7"/>
  <c r="E12442" i="7"/>
  <c r="L12441" i="7"/>
  <c r="E12441" i="7"/>
  <c r="E12440" i="7"/>
  <c r="L12439" i="7"/>
  <c r="E12439" i="7"/>
  <c r="E12438" i="7"/>
  <c r="L12437" i="7"/>
  <c r="E12437" i="7"/>
  <c r="E12436" i="7"/>
  <c r="L12435" i="7"/>
  <c r="E12435" i="7"/>
  <c r="E12434" i="7"/>
  <c r="L12433" i="7"/>
  <c r="E12433" i="7"/>
  <c r="E12432" i="7"/>
  <c r="N89" i="58" l="1"/>
  <c r="L89" i="58"/>
  <c r="J89" i="58"/>
  <c r="H89" i="58"/>
  <c r="F89" i="58"/>
  <c r="D89" i="58"/>
  <c r="E12425" i="7"/>
  <c r="K12424" i="7"/>
  <c r="L12425" i="7" s="1"/>
  <c r="E12424" i="7"/>
  <c r="E12423" i="7"/>
  <c r="K12422" i="7"/>
  <c r="L12423" i="7" s="1"/>
  <c r="E12422" i="7"/>
  <c r="L12421" i="7"/>
  <c r="E12421" i="7"/>
  <c r="E12420" i="7"/>
  <c r="L12419" i="7"/>
  <c r="E12419" i="7"/>
  <c r="E12418" i="7"/>
  <c r="L12417" i="7"/>
  <c r="E12417" i="7"/>
  <c r="E12416" i="7"/>
  <c r="L12415" i="7"/>
  <c r="E12415" i="7"/>
  <c r="E12414" i="7"/>
  <c r="L12413" i="7"/>
  <c r="E12413" i="7"/>
  <c r="E12412" i="7"/>
  <c r="L12411" i="7"/>
  <c r="E12411" i="7"/>
  <c r="E12410" i="7"/>
  <c r="L12409" i="7"/>
  <c r="E12409" i="7"/>
  <c r="E12408" i="7"/>
  <c r="L12407" i="7"/>
  <c r="E12407" i="7"/>
  <c r="E12406" i="7"/>
  <c r="L12405" i="7"/>
  <c r="E12405" i="7"/>
  <c r="E12404" i="7"/>
  <c r="L12403" i="7"/>
  <c r="E12403" i="7"/>
  <c r="E12402" i="7"/>
  <c r="L12401" i="7"/>
  <c r="E12401" i="7"/>
  <c r="E12400" i="7"/>
  <c r="L12399" i="7"/>
  <c r="E12399" i="7"/>
  <c r="E12398" i="7"/>
  <c r="L12397" i="7"/>
  <c r="E12397" i="7"/>
  <c r="E12396" i="7"/>
  <c r="L12395" i="7"/>
  <c r="E12395" i="7"/>
  <c r="E12394" i="7"/>
  <c r="L12393" i="7"/>
  <c r="E12393" i="7"/>
  <c r="E12392" i="7"/>
  <c r="E12431" i="7"/>
  <c r="E12430" i="7"/>
  <c r="E12429" i="7"/>
  <c r="E12428" i="7" l="1"/>
  <c r="E12427" i="7"/>
  <c r="E12426" i="7"/>
  <c r="E12391" i="7" l="1"/>
  <c r="K12390" i="7"/>
  <c r="L12391" i="7" s="1"/>
  <c r="E12390" i="7"/>
  <c r="E12389" i="7"/>
  <c r="K12388" i="7"/>
  <c r="L12389" i="7" s="1"/>
  <c r="E12388" i="7"/>
  <c r="L12387" i="7"/>
  <c r="E12387" i="7"/>
  <c r="E12386" i="7"/>
  <c r="L12385" i="7"/>
  <c r="E12385" i="7"/>
  <c r="E12384" i="7"/>
  <c r="L12383" i="7"/>
  <c r="E12383" i="7"/>
  <c r="E12382" i="7"/>
  <c r="L12381" i="7"/>
  <c r="E12381" i="7"/>
  <c r="E12380" i="7"/>
  <c r="L12379" i="7"/>
  <c r="E12379" i="7"/>
  <c r="E12378" i="7"/>
  <c r="L12377" i="7"/>
  <c r="E12377" i="7"/>
  <c r="E12376" i="7"/>
  <c r="L12375" i="7"/>
  <c r="E12375" i="7"/>
  <c r="E12374" i="7"/>
  <c r="L12373" i="7"/>
  <c r="E12373" i="7"/>
  <c r="E12372" i="7"/>
  <c r="L12371" i="7"/>
  <c r="E12371" i="7"/>
  <c r="E12370" i="7"/>
  <c r="L12369" i="7"/>
  <c r="E12369" i="7"/>
  <c r="E12368" i="7"/>
  <c r="L12367" i="7"/>
  <c r="E12367" i="7"/>
  <c r="E12366" i="7"/>
  <c r="L12365" i="7"/>
  <c r="E12365" i="7"/>
  <c r="E12364" i="7"/>
  <c r="L12363" i="7"/>
  <c r="E12363" i="7"/>
  <c r="E12362" i="7"/>
  <c r="L12361" i="7"/>
  <c r="E12361" i="7"/>
  <c r="E12360" i="7"/>
  <c r="L12359" i="7"/>
  <c r="E12359" i="7"/>
  <c r="E12358" i="7"/>
  <c r="L12353" i="7"/>
  <c r="L12347" i="7"/>
  <c r="L12345" i="7"/>
  <c r="L12343" i="7"/>
  <c r="L12341" i="7"/>
  <c r="L12339" i="7"/>
  <c r="L12337" i="7"/>
  <c r="L12335" i="7"/>
  <c r="L12333" i="7"/>
  <c r="L12331" i="7"/>
  <c r="L12329" i="7"/>
  <c r="L12327" i="7"/>
  <c r="L12325" i="7"/>
  <c r="E12357" i="7"/>
  <c r="K12356" i="7"/>
  <c r="L12357" i="7" s="1"/>
  <c r="E12356" i="7"/>
  <c r="E12355" i="7"/>
  <c r="K12354" i="7"/>
  <c r="L12355" i="7" s="1"/>
  <c r="E12354" i="7"/>
  <c r="E12353" i="7"/>
  <c r="E12352" i="7"/>
  <c r="L12351" i="7"/>
  <c r="E12351" i="7"/>
  <c r="E12350" i="7"/>
  <c r="L12349" i="7"/>
  <c r="E12349" i="7"/>
  <c r="E12348" i="7"/>
  <c r="E12347" i="7"/>
  <c r="E12346" i="7"/>
  <c r="E12345" i="7"/>
  <c r="E12344" i="7"/>
  <c r="E12343" i="7"/>
  <c r="E12342" i="7"/>
  <c r="E12341" i="7"/>
  <c r="E12340" i="7"/>
  <c r="E12339" i="7"/>
  <c r="E12338" i="7"/>
  <c r="E12337" i="7"/>
  <c r="E12336" i="7"/>
  <c r="E12335" i="7"/>
  <c r="E12334" i="7"/>
  <c r="E12333" i="7"/>
  <c r="E12332" i="7"/>
  <c r="E12331" i="7"/>
  <c r="E12330" i="7"/>
  <c r="E12329" i="7"/>
  <c r="E12328" i="7"/>
  <c r="E12327" i="7"/>
  <c r="E12326" i="7"/>
  <c r="E12325" i="7"/>
  <c r="E12324" i="7"/>
  <c r="L12279" i="7"/>
  <c r="E12279" i="7"/>
  <c r="E12278" i="7"/>
  <c r="E12323" i="7"/>
  <c r="E12322" i="7"/>
  <c r="E12321" i="7"/>
  <c r="L12320" i="7"/>
  <c r="E12320" i="7"/>
  <c r="E12319" i="7"/>
  <c r="E12318" i="7"/>
  <c r="E12317" i="7"/>
  <c r="E12316" i="7"/>
  <c r="E12277" i="7"/>
  <c r="E12276" i="7"/>
  <c r="K12312" i="7"/>
  <c r="L12313" i="7" s="1"/>
  <c r="N90" i="58"/>
  <c r="L90" i="58"/>
  <c r="J90" i="58"/>
  <c r="H90" i="58"/>
  <c r="F90" i="58"/>
  <c r="D90" i="58"/>
  <c r="B94" i="58"/>
  <c r="B93" i="58" s="1"/>
  <c r="B92" i="58" s="1"/>
  <c r="B91" i="58" s="1"/>
  <c r="B90" i="58" s="1"/>
  <c r="B89" i="58" s="1"/>
  <c r="B88" i="58" s="1"/>
  <c r="B87" i="58" s="1"/>
  <c r="B86" i="58" s="1"/>
  <c r="B85" i="58" s="1"/>
  <c r="B84" i="58" s="1"/>
  <c r="B83" i="58" s="1"/>
  <c r="B82" i="58" s="1"/>
  <c r="B81" i="58" s="1"/>
  <c r="B80" i="58" s="1"/>
  <c r="B79" i="58" s="1"/>
  <c r="B78" i="58" s="1"/>
  <c r="B77" i="58" s="1"/>
  <c r="B76" i="58" s="1"/>
  <c r="B75" i="58" s="1"/>
  <c r="B74" i="58" s="1"/>
  <c r="B73" i="58" s="1"/>
  <c r="B72" i="58" s="1"/>
  <c r="B71" i="58" s="1"/>
  <c r="B70" i="58" s="1"/>
  <c r="B69" i="58" s="1"/>
  <c r="B68" i="58" s="1"/>
  <c r="B67" i="58" s="1"/>
  <c r="B66" i="58" s="1"/>
  <c r="B65" i="58" s="1"/>
  <c r="B64" i="58" s="1"/>
  <c r="B63" i="58" s="1"/>
  <c r="B62" i="58" s="1"/>
  <c r="B61" i="58" s="1"/>
  <c r="B60" i="58" s="1"/>
  <c r="B59" i="58" s="1"/>
  <c r="B58" i="58" s="1"/>
  <c r="B57" i="58" s="1"/>
  <c r="B56" i="58" s="1"/>
  <c r="B55" i="58" s="1"/>
  <c r="B54" i="58" s="1"/>
  <c r="B53" i="58" s="1"/>
  <c r="B52" i="58" s="1"/>
  <c r="B51" i="58" s="1"/>
  <c r="B50" i="58" s="1"/>
  <c r="B49" i="58" s="1"/>
  <c r="B48" i="58" s="1"/>
  <c r="B47" i="58" s="1"/>
  <c r="B46" i="58" s="1"/>
  <c r="B45" i="58" s="1"/>
  <c r="B44" i="58" s="1"/>
  <c r="B43" i="58" s="1"/>
  <c r="B42" i="58" s="1"/>
  <c r="B41" i="58" s="1"/>
  <c r="B40" i="58" s="1"/>
  <c r="B39" i="58" s="1"/>
  <c r="B38" i="58" s="1"/>
  <c r="B37" i="58" s="1"/>
  <c r="B36" i="58" s="1"/>
  <c r="B35" i="58" s="1"/>
  <c r="B34" i="58" s="1"/>
  <c r="B33" i="58" s="1"/>
  <c r="B32" i="58" s="1"/>
  <c r="B31" i="58" s="1"/>
  <c r="B30" i="58" s="1"/>
  <c r="B29" i="58" s="1"/>
  <c r="B28" i="58" s="1"/>
  <c r="B27" i="58" s="1"/>
  <c r="B26" i="58" s="1"/>
  <c r="B25" i="58" s="1"/>
  <c r="B24" i="58" s="1"/>
  <c r="B23" i="58" s="1"/>
  <c r="B22" i="58" s="1"/>
  <c r="B21" i="58" s="1"/>
  <c r="N94" i="58"/>
  <c r="L94" i="58"/>
  <c r="J94" i="58"/>
  <c r="H94" i="58"/>
  <c r="F94" i="58"/>
  <c r="D94" i="58"/>
  <c r="N93" i="58"/>
  <c r="L93" i="58"/>
  <c r="J93" i="58"/>
  <c r="H93" i="58"/>
  <c r="F93" i="58"/>
  <c r="D93" i="58"/>
  <c r="N92" i="58"/>
  <c r="L92" i="58"/>
  <c r="J92" i="58"/>
  <c r="H92" i="58"/>
  <c r="F92" i="58"/>
  <c r="D92" i="58"/>
  <c r="N91" i="58"/>
  <c r="L91" i="58"/>
  <c r="J91" i="58"/>
  <c r="H91" i="58"/>
  <c r="F91" i="58"/>
  <c r="D91" i="58"/>
  <c r="L12305" i="7"/>
  <c r="L12303" i="7"/>
  <c r="L12301" i="7"/>
  <c r="L12299" i="7"/>
  <c r="L12297" i="7"/>
  <c r="L12295" i="7"/>
  <c r="L12293" i="7"/>
  <c r="L12291" i="7"/>
  <c r="L12289" i="7"/>
  <c r="L12287" i="7"/>
  <c r="L12285" i="7"/>
  <c r="L12283" i="7"/>
  <c r="E12315" i="7"/>
  <c r="K12314" i="7"/>
  <c r="L12315" i="7" s="1"/>
  <c r="E12314" i="7"/>
  <c r="E12313" i="7"/>
  <c r="E12312" i="7"/>
  <c r="L12311" i="7"/>
  <c r="E12311" i="7"/>
  <c r="E12310" i="7"/>
  <c r="L12309" i="7"/>
  <c r="E12309" i="7"/>
  <c r="E12308" i="7"/>
  <c r="L12307" i="7"/>
  <c r="E12307" i="7"/>
  <c r="E12306" i="7"/>
  <c r="E12305" i="7"/>
  <c r="E12304" i="7"/>
  <c r="E12303" i="7"/>
  <c r="E12302" i="7"/>
  <c r="E12301" i="7"/>
  <c r="E12300" i="7"/>
  <c r="E12299" i="7"/>
  <c r="E12298" i="7"/>
  <c r="E12297" i="7"/>
  <c r="E12296" i="7"/>
  <c r="E12295" i="7"/>
  <c r="E12294" i="7"/>
  <c r="E12293" i="7"/>
  <c r="E12292" i="7"/>
  <c r="E12291" i="7"/>
  <c r="E12290" i="7"/>
  <c r="E12289" i="7"/>
  <c r="E12288" i="7"/>
  <c r="E12287" i="7"/>
  <c r="E12286" i="7"/>
  <c r="E12285" i="7"/>
  <c r="E12284" i="7"/>
  <c r="E12283" i="7"/>
  <c r="E12282" i="7"/>
  <c r="L12275" i="7"/>
  <c r="E12275" i="7"/>
  <c r="E12274" i="7"/>
  <c r="E12273" i="7" l="1"/>
  <c r="E12272" i="7"/>
  <c r="E12271" i="7"/>
  <c r="E12270" i="7"/>
  <c r="E12269" i="7"/>
  <c r="E12268" i="7"/>
  <c r="N95" i="58" l="1"/>
  <c r="L95" i="58"/>
  <c r="J95" i="58"/>
  <c r="H95" i="58"/>
  <c r="F95" i="58"/>
  <c r="L12253" i="7"/>
  <c r="L12251" i="7"/>
  <c r="L12249" i="7"/>
  <c r="L12247" i="7"/>
  <c r="L12245" i="7"/>
  <c r="L12243" i="7"/>
  <c r="L12241" i="7"/>
  <c r="L12239" i="7"/>
  <c r="L12237" i="7"/>
  <c r="L12235" i="7"/>
  <c r="D95" i="58"/>
  <c r="D96" i="58"/>
  <c r="J96" i="58"/>
  <c r="L96" i="58" s="1"/>
  <c r="E12267" i="7"/>
  <c r="K12266" i="7"/>
  <c r="L12267" i="7" s="1"/>
  <c r="E12266" i="7"/>
  <c r="E12265" i="7"/>
  <c r="K12264" i="7"/>
  <c r="L12265" i="7" s="1"/>
  <c r="E12264" i="7"/>
  <c r="L12263" i="7"/>
  <c r="E12263" i="7"/>
  <c r="E12262" i="7"/>
  <c r="L12261" i="7"/>
  <c r="E12261" i="7"/>
  <c r="E12260" i="7"/>
  <c r="L12259" i="7"/>
  <c r="E12259" i="7"/>
  <c r="E12258" i="7"/>
  <c r="L12257" i="7"/>
  <c r="E12257" i="7"/>
  <c r="E12256" i="7"/>
  <c r="L12255" i="7"/>
  <c r="E12255" i="7"/>
  <c r="E12254" i="7"/>
  <c r="E12253" i="7"/>
  <c r="E12252" i="7"/>
  <c r="E12251" i="7"/>
  <c r="E12250" i="7"/>
  <c r="E12249" i="7"/>
  <c r="E12248" i="7"/>
  <c r="E12247" i="7"/>
  <c r="E12246" i="7"/>
  <c r="E12245" i="7"/>
  <c r="E12244" i="7"/>
  <c r="E12243" i="7"/>
  <c r="E12242" i="7"/>
  <c r="E12241" i="7"/>
  <c r="E12240" i="7"/>
  <c r="E12239" i="7"/>
  <c r="E12238" i="7"/>
  <c r="E12237" i="7"/>
  <c r="E12236" i="7"/>
  <c r="E12235" i="7"/>
  <c r="E12234" i="7"/>
  <c r="L12233" i="7"/>
  <c r="E12233" i="7"/>
  <c r="E12232" i="7"/>
  <c r="E12231" i="7"/>
  <c r="E12230" i="7"/>
  <c r="E12229" i="7"/>
  <c r="L12178" i="7" l="1"/>
  <c r="E12178" i="7"/>
  <c r="E12177" i="7"/>
  <c r="E12176" i="7"/>
  <c r="E12175" i="7"/>
  <c r="E12174" i="7"/>
  <c r="L12168" i="7"/>
  <c r="E12168" i="7"/>
  <c r="E12167" i="7"/>
  <c r="L12216" i="7"/>
  <c r="L12214" i="7"/>
  <c r="L12212" i="7"/>
  <c r="L12210" i="7"/>
  <c r="L12208" i="7"/>
  <c r="L12206" i="7"/>
  <c r="L12204" i="7"/>
  <c r="L12202" i="7"/>
  <c r="L12200" i="7"/>
  <c r="L12198" i="7"/>
  <c r="L12196" i="7"/>
  <c r="L12218" i="7"/>
  <c r="L12220" i="7"/>
  <c r="L12222" i="7"/>
  <c r="L12224" i="7"/>
  <c r="K12225" i="7"/>
  <c r="L12226" i="7" s="1"/>
  <c r="K12227" i="7"/>
  <c r="L12228" i="7" s="1"/>
  <c r="E12228" i="7"/>
  <c r="E12227" i="7"/>
  <c r="E12226" i="7"/>
  <c r="E12225" i="7"/>
  <c r="E12224" i="7"/>
  <c r="E12223" i="7"/>
  <c r="E12222" i="7"/>
  <c r="E12221" i="7"/>
  <c r="E12220" i="7"/>
  <c r="E12219" i="7"/>
  <c r="E12218" i="7"/>
  <c r="E12217" i="7"/>
  <c r="E12216" i="7"/>
  <c r="E12215" i="7"/>
  <c r="E12214" i="7"/>
  <c r="E12213" i="7"/>
  <c r="E12212" i="7"/>
  <c r="E12211" i="7"/>
  <c r="E12210" i="7"/>
  <c r="E12209" i="7"/>
  <c r="E12208" i="7"/>
  <c r="E12207" i="7"/>
  <c r="E12206" i="7"/>
  <c r="E12205" i="7"/>
  <c r="E12204" i="7"/>
  <c r="E12203" i="7"/>
  <c r="E12202" i="7"/>
  <c r="E12201" i="7"/>
  <c r="E12200" i="7"/>
  <c r="E12199" i="7"/>
  <c r="E12198" i="7"/>
  <c r="E12197" i="7"/>
  <c r="E12196" i="7"/>
  <c r="E12195" i="7"/>
  <c r="N97" i="58"/>
  <c r="L97" i="58"/>
  <c r="J97" i="58"/>
  <c r="H97" i="58"/>
  <c r="F97" i="58"/>
  <c r="D97" i="58"/>
  <c r="D98" i="58"/>
  <c r="F98" i="58"/>
  <c r="H98" i="58"/>
  <c r="J98" i="58"/>
  <c r="L98" i="58"/>
  <c r="N98" i="58"/>
  <c r="L12173" i="7"/>
  <c r="E12173" i="7"/>
  <c r="E12172" i="7"/>
  <c r="E12171" i="7"/>
  <c r="E12170" i="7"/>
  <c r="E12169" i="7"/>
  <c r="L12166" i="7"/>
  <c r="E12166" i="7"/>
  <c r="E12165" i="7"/>
  <c r="L12150" i="7"/>
  <c r="E12150" i="7"/>
  <c r="E12149" i="7"/>
  <c r="L12148" i="7"/>
  <c r="E12148" i="7"/>
  <c r="E12147" i="7"/>
  <c r="E12164" i="7"/>
  <c r="E12163" i="7"/>
  <c r="E12162" i="7"/>
  <c r="E12156" i="7" l="1"/>
  <c r="E12155" i="7"/>
  <c r="E12154" i="7"/>
  <c r="E12161" i="7"/>
  <c r="E12160" i="7"/>
  <c r="E12159" i="7"/>
  <c r="E12153" i="7"/>
  <c r="E12152" i="7"/>
  <c r="E12151" i="7"/>
  <c r="K12143" i="7" l="1"/>
  <c r="L12144" i="7" s="1"/>
  <c r="N102" i="58"/>
  <c r="L102" i="58"/>
  <c r="J102" i="58"/>
  <c r="H102" i="58"/>
  <c r="F102" i="58"/>
  <c r="D102" i="58"/>
  <c r="N101" i="58"/>
  <c r="L101" i="58"/>
  <c r="J101" i="58"/>
  <c r="H101" i="58"/>
  <c r="F101" i="58"/>
  <c r="D101" i="58"/>
  <c r="N100" i="58"/>
  <c r="L100" i="58"/>
  <c r="J100" i="58"/>
  <c r="H100" i="58"/>
  <c r="F100" i="58"/>
  <c r="D100" i="58"/>
  <c r="N99" i="58"/>
  <c r="L99" i="58"/>
  <c r="J99" i="58"/>
  <c r="H99" i="58"/>
  <c r="F99" i="58"/>
  <c r="D99" i="58"/>
  <c r="E12146" i="7"/>
  <c r="K12145" i="7"/>
  <c r="L12146" i="7" s="1"/>
  <c r="E12145" i="7"/>
  <c r="E12144" i="7"/>
  <c r="E12143" i="7"/>
  <c r="L12142" i="7"/>
  <c r="E12142" i="7"/>
  <c r="E12141" i="7"/>
  <c r="L12140" i="7"/>
  <c r="E12140" i="7"/>
  <c r="E12139" i="7"/>
  <c r="L12138" i="7"/>
  <c r="E12138" i="7"/>
  <c r="E12137" i="7"/>
  <c r="L12136" i="7"/>
  <c r="E12136" i="7"/>
  <c r="E12135" i="7"/>
  <c r="L12134" i="7"/>
  <c r="E12134" i="7"/>
  <c r="E12133" i="7"/>
  <c r="L12132" i="7"/>
  <c r="E12132" i="7"/>
  <c r="E12131" i="7"/>
  <c r="L12130" i="7"/>
  <c r="E12130" i="7"/>
  <c r="E12129" i="7"/>
  <c r="L12128" i="7"/>
  <c r="E12128" i="7"/>
  <c r="E12127" i="7"/>
  <c r="L12126" i="7"/>
  <c r="E12126" i="7"/>
  <c r="E12125" i="7"/>
  <c r="L12124" i="7"/>
  <c r="E12124" i="7"/>
  <c r="E12123" i="7"/>
  <c r="L12122" i="7"/>
  <c r="E12122" i="7"/>
  <c r="E12121" i="7"/>
  <c r="L12120" i="7"/>
  <c r="E12120" i="7"/>
  <c r="E12119" i="7"/>
  <c r="L12118" i="7"/>
  <c r="E12118" i="7"/>
  <c r="E12117" i="7"/>
  <c r="L12116" i="7"/>
  <c r="E12116" i="7"/>
  <c r="E12115" i="7"/>
  <c r="L12114" i="7"/>
  <c r="E12114" i="7"/>
  <c r="E12113" i="7"/>
  <c r="E12112" i="7" l="1"/>
  <c r="E12111" i="7"/>
  <c r="E12110" i="7"/>
  <c r="E12062" i="7" l="1"/>
  <c r="E12061" i="7"/>
  <c r="E12109" i="7"/>
  <c r="E12108" i="7"/>
  <c r="E12107" i="7"/>
  <c r="E12101" i="7"/>
  <c r="E12100" i="7"/>
  <c r="E12099" i="7"/>
  <c r="L12106" i="7"/>
  <c r="E12106" i="7"/>
  <c r="E12105" i="7"/>
  <c r="E12104" i="7"/>
  <c r="E12103" i="7"/>
  <c r="E12102" i="7"/>
  <c r="N103" i="58" l="1"/>
  <c r="L103" i="58"/>
  <c r="J103" i="58"/>
  <c r="H103" i="58"/>
  <c r="F103" i="58"/>
  <c r="D103" i="58"/>
  <c r="E12098" i="7"/>
  <c r="K12097" i="7"/>
  <c r="L12098" i="7" s="1"/>
  <c r="E12097" i="7"/>
  <c r="E12096" i="7"/>
  <c r="K12095" i="7"/>
  <c r="L12096" i="7" s="1"/>
  <c r="E12095" i="7"/>
  <c r="L12094" i="7"/>
  <c r="E12094" i="7"/>
  <c r="E12093" i="7"/>
  <c r="L12092" i="7"/>
  <c r="E12092" i="7"/>
  <c r="E12091" i="7"/>
  <c r="L12090" i="7"/>
  <c r="E12090" i="7"/>
  <c r="E12089" i="7"/>
  <c r="L12088" i="7"/>
  <c r="E12088" i="7"/>
  <c r="E12087" i="7"/>
  <c r="L12086" i="7"/>
  <c r="E12086" i="7"/>
  <c r="E12085" i="7"/>
  <c r="L12084" i="7"/>
  <c r="E12084" i="7"/>
  <c r="E12083" i="7"/>
  <c r="L12082" i="7"/>
  <c r="E12082" i="7"/>
  <c r="E12081" i="7"/>
  <c r="L12080" i="7"/>
  <c r="E12080" i="7"/>
  <c r="E12079" i="7"/>
  <c r="L12078" i="7"/>
  <c r="E12078" i="7"/>
  <c r="E12077" i="7"/>
  <c r="L12076" i="7"/>
  <c r="E12076" i="7"/>
  <c r="E12075" i="7"/>
  <c r="L12074" i="7"/>
  <c r="E12074" i="7"/>
  <c r="E12073" i="7"/>
  <c r="L12072" i="7"/>
  <c r="E12072" i="7"/>
  <c r="E12071" i="7"/>
  <c r="L12070" i="7"/>
  <c r="E12070" i="7"/>
  <c r="E12069" i="7"/>
  <c r="L12068" i="7"/>
  <c r="E12068" i="7"/>
  <c r="E12067" i="7"/>
  <c r="L12066" i="7"/>
  <c r="E12066" i="7"/>
  <c r="E12065" i="7"/>
  <c r="L12064" i="7"/>
  <c r="E12064" i="7"/>
  <c r="E12063" i="7"/>
  <c r="L12060" i="7"/>
  <c r="E12060" i="7"/>
  <c r="E12059" i="7"/>
  <c r="L12058" i="7"/>
  <c r="E12058" i="7"/>
  <c r="E12057" i="7"/>
  <c r="L12056" i="7" l="1"/>
  <c r="E12056" i="7"/>
  <c r="E12055" i="7"/>
  <c r="N104" i="58" l="1"/>
  <c r="L104" i="58"/>
  <c r="J104" i="58"/>
  <c r="H104" i="58"/>
  <c r="F104" i="58"/>
  <c r="D104" i="58"/>
  <c r="E12054" i="7"/>
  <c r="K12053" i="7"/>
  <c r="L12054" i="7" s="1"/>
  <c r="E12053" i="7"/>
  <c r="E12052" i="7"/>
  <c r="K12051" i="7"/>
  <c r="L12052" i="7" s="1"/>
  <c r="E12051" i="7"/>
  <c r="L12050" i="7"/>
  <c r="E12050" i="7"/>
  <c r="E12049" i="7"/>
  <c r="L12048" i="7"/>
  <c r="E12048" i="7"/>
  <c r="E12047" i="7"/>
  <c r="L12046" i="7"/>
  <c r="E12046" i="7"/>
  <c r="E12045" i="7"/>
  <c r="L12044" i="7"/>
  <c r="E12044" i="7"/>
  <c r="E12043" i="7"/>
  <c r="L12042" i="7"/>
  <c r="E12042" i="7"/>
  <c r="E12041" i="7"/>
  <c r="L12040" i="7"/>
  <c r="E12040" i="7"/>
  <c r="E12039" i="7"/>
  <c r="L12038" i="7"/>
  <c r="E12038" i="7"/>
  <c r="E12037" i="7"/>
  <c r="L12036" i="7"/>
  <c r="E12036" i="7"/>
  <c r="E12035" i="7"/>
  <c r="L12034" i="7"/>
  <c r="E12034" i="7"/>
  <c r="E12033" i="7"/>
  <c r="L12032" i="7"/>
  <c r="E12032" i="7"/>
  <c r="E12031" i="7"/>
  <c r="L12030" i="7"/>
  <c r="E12030" i="7"/>
  <c r="E12029" i="7"/>
  <c r="L12028" i="7"/>
  <c r="E12028" i="7"/>
  <c r="E12027" i="7"/>
  <c r="L12026" i="7"/>
  <c r="E12026" i="7"/>
  <c r="E12025" i="7"/>
  <c r="L12024" i="7"/>
  <c r="E12024" i="7"/>
  <c r="E12023" i="7"/>
  <c r="L12022" i="7"/>
  <c r="E12022" i="7"/>
  <c r="E12021" i="7"/>
  <c r="L12020" i="7"/>
  <c r="E12020" i="7"/>
  <c r="E12019" i="7"/>
  <c r="E12014" i="7"/>
  <c r="E12013" i="7"/>
  <c r="E12012" i="7"/>
  <c r="E12011" i="7"/>
  <c r="L12011" i="7"/>
  <c r="E12010" i="7"/>
  <c r="E12009" i="7"/>
  <c r="E12008" i="7"/>
  <c r="E12007" i="7"/>
  <c r="E12006" i="7" l="1"/>
  <c r="K12005" i="7"/>
  <c r="L12006" i="7" s="1"/>
  <c r="E12005" i="7"/>
  <c r="E12004" i="7"/>
  <c r="K12003" i="7"/>
  <c r="L12004" i="7" s="1"/>
  <c r="E12003" i="7"/>
  <c r="L12002" i="7"/>
  <c r="E12002" i="7"/>
  <c r="E12001" i="7"/>
  <c r="L12000" i="7"/>
  <c r="E12000" i="7"/>
  <c r="E11999" i="7"/>
  <c r="L11998" i="7"/>
  <c r="E11998" i="7"/>
  <c r="E11997" i="7"/>
  <c r="L11996" i="7"/>
  <c r="E11996" i="7"/>
  <c r="E11995" i="7"/>
  <c r="L11994" i="7"/>
  <c r="E11994" i="7"/>
  <c r="E11993" i="7"/>
  <c r="L11992" i="7"/>
  <c r="E11992" i="7"/>
  <c r="E11991" i="7"/>
  <c r="L11990" i="7"/>
  <c r="E11990" i="7"/>
  <c r="E11989" i="7"/>
  <c r="L11988" i="7"/>
  <c r="E11988" i="7"/>
  <c r="E11987" i="7"/>
  <c r="L11986" i="7"/>
  <c r="E11986" i="7"/>
  <c r="E11985" i="7"/>
  <c r="L11984" i="7"/>
  <c r="E11984" i="7"/>
  <c r="E11983" i="7"/>
  <c r="L11982" i="7"/>
  <c r="E11982" i="7"/>
  <c r="E11981" i="7"/>
  <c r="L11980" i="7"/>
  <c r="E11980" i="7"/>
  <c r="E11979" i="7"/>
  <c r="L11978" i="7"/>
  <c r="E11978" i="7"/>
  <c r="E11977" i="7"/>
  <c r="L11976" i="7"/>
  <c r="E11976" i="7"/>
  <c r="E11975" i="7"/>
  <c r="L11974" i="7"/>
  <c r="E11974" i="7"/>
  <c r="E11973" i="7"/>
  <c r="L11972" i="7"/>
  <c r="E11972" i="7"/>
  <c r="E11971" i="7"/>
  <c r="N105" i="58"/>
  <c r="L105" i="58"/>
  <c r="J105" i="58"/>
  <c r="H105" i="58"/>
  <c r="F105" i="58"/>
  <c r="D105" i="58"/>
  <c r="K11969" i="7" l="1"/>
  <c r="L11970" i="7" s="1"/>
  <c r="E11970" i="7"/>
  <c r="E11969" i="7"/>
  <c r="E11968" i="7"/>
  <c r="E11967" i="7"/>
  <c r="E11966" i="7"/>
  <c r="E11962" i="7" l="1"/>
  <c r="E11961" i="7"/>
  <c r="E11960" i="7"/>
  <c r="N108" i="58"/>
  <c r="L108" i="58"/>
  <c r="J108" i="58"/>
  <c r="H108" i="58"/>
  <c r="F108" i="58"/>
  <c r="D108" i="58"/>
  <c r="N107" i="58"/>
  <c r="L107" i="58"/>
  <c r="J107" i="58"/>
  <c r="H107" i="58"/>
  <c r="F107" i="58"/>
  <c r="D107" i="58"/>
  <c r="N106" i="58"/>
  <c r="L106" i="58"/>
  <c r="J106" i="58"/>
  <c r="H106" i="58"/>
  <c r="F106" i="58"/>
  <c r="D106" i="58"/>
  <c r="K11958" i="7"/>
  <c r="L11959" i="7" s="1"/>
  <c r="E11959" i="7"/>
  <c r="E11958" i="7"/>
  <c r="E11957" i="7"/>
  <c r="K11956" i="7"/>
  <c r="L11957" i="7" s="1"/>
  <c r="E11956" i="7"/>
  <c r="L11955" i="7"/>
  <c r="E11955" i="7"/>
  <c r="E11954" i="7"/>
  <c r="L11953" i="7"/>
  <c r="E11953" i="7"/>
  <c r="E11952" i="7"/>
  <c r="L11951" i="7"/>
  <c r="E11951" i="7"/>
  <c r="E11950" i="7"/>
  <c r="L11949" i="7"/>
  <c r="E11949" i="7"/>
  <c r="E11948" i="7"/>
  <c r="L11947" i="7"/>
  <c r="E11947" i="7"/>
  <c r="E11946" i="7"/>
  <c r="L11945" i="7"/>
  <c r="E11945" i="7"/>
  <c r="E11944" i="7"/>
  <c r="L11943" i="7"/>
  <c r="E11943" i="7"/>
  <c r="E11942" i="7"/>
  <c r="L11941" i="7"/>
  <c r="E11941" i="7"/>
  <c r="E11940" i="7"/>
  <c r="L11939" i="7"/>
  <c r="E11939" i="7"/>
  <c r="E11938" i="7"/>
  <c r="L11937" i="7"/>
  <c r="E11937" i="7"/>
  <c r="E11936" i="7"/>
  <c r="L11935" i="7"/>
  <c r="E11935" i="7"/>
  <c r="E11934" i="7"/>
  <c r="L11933" i="7"/>
  <c r="E11933" i="7"/>
  <c r="E11932" i="7"/>
  <c r="L11931" i="7"/>
  <c r="E11931" i="7"/>
  <c r="E11930" i="7"/>
  <c r="L11929" i="7"/>
  <c r="E11929" i="7"/>
  <c r="E11928" i="7"/>
  <c r="L11927" i="7"/>
  <c r="E11927" i="7"/>
  <c r="E11926" i="7"/>
  <c r="L11925" i="7"/>
  <c r="E11925" i="7"/>
  <c r="E11924" i="7"/>
  <c r="L11923" i="7"/>
  <c r="E11923" i="7"/>
  <c r="E11922" i="7"/>
  <c r="L11921" i="7" l="1"/>
  <c r="E11921" i="7"/>
  <c r="E11920" i="7"/>
  <c r="E11875" i="7"/>
  <c r="E11874" i="7"/>
  <c r="L11919" i="7"/>
  <c r="E11919" i="7"/>
  <c r="E11918" i="7"/>
  <c r="E11917" i="7"/>
  <c r="E11916" i="7"/>
  <c r="E11915" i="7"/>
  <c r="E11914" i="7"/>
  <c r="E11913" i="7"/>
  <c r="E11912" i="7"/>
  <c r="E11911" i="7" l="1"/>
  <c r="K11910" i="7"/>
  <c r="L11911" i="7" s="1"/>
  <c r="E11910" i="7"/>
  <c r="E11909" i="7"/>
  <c r="K11908" i="7"/>
  <c r="L11909" i="7" s="1"/>
  <c r="E11908" i="7"/>
  <c r="L11907" i="7"/>
  <c r="E11907" i="7"/>
  <c r="E11906" i="7"/>
  <c r="L11905" i="7"/>
  <c r="E11905" i="7"/>
  <c r="E11904" i="7"/>
  <c r="L11903" i="7"/>
  <c r="E11903" i="7"/>
  <c r="E11902" i="7"/>
  <c r="L11901" i="7"/>
  <c r="E11901" i="7"/>
  <c r="E11900" i="7"/>
  <c r="L11899" i="7"/>
  <c r="E11899" i="7"/>
  <c r="E11898" i="7"/>
  <c r="L11897" i="7"/>
  <c r="E11897" i="7"/>
  <c r="E11896" i="7"/>
  <c r="L11895" i="7"/>
  <c r="E11895" i="7"/>
  <c r="E11894" i="7"/>
  <c r="L11893" i="7"/>
  <c r="E11893" i="7"/>
  <c r="E11892" i="7"/>
  <c r="L11891" i="7"/>
  <c r="E11891" i="7"/>
  <c r="E11890" i="7"/>
  <c r="L11889" i="7"/>
  <c r="E11889" i="7"/>
  <c r="E11888" i="7"/>
  <c r="L11887" i="7"/>
  <c r="E11887" i="7"/>
  <c r="E11886" i="7"/>
  <c r="L11885" i="7"/>
  <c r="E11885" i="7"/>
  <c r="E11884" i="7"/>
  <c r="L11883" i="7"/>
  <c r="E11883" i="7"/>
  <c r="E11882" i="7"/>
  <c r="L11881" i="7"/>
  <c r="E11881" i="7"/>
  <c r="E11880" i="7"/>
  <c r="L11879" i="7"/>
  <c r="E11879" i="7"/>
  <c r="E11878" i="7"/>
  <c r="L11877" i="7"/>
  <c r="E11877" i="7"/>
  <c r="E11876" i="7"/>
  <c r="N109" i="58"/>
  <c r="L109" i="58"/>
  <c r="J109" i="58"/>
  <c r="H109" i="58"/>
  <c r="F109" i="58"/>
  <c r="D109" i="58"/>
  <c r="L11873" i="7" l="1"/>
  <c r="E11873" i="7"/>
  <c r="E11872" i="7"/>
  <c r="E11868" i="7"/>
  <c r="E11867" i="7"/>
  <c r="E11866" i="7"/>
  <c r="E11871" i="7"/>
  <c r="E11870" i="7"/>
  <c r="E11869" i="7"/>
  <c r="E11781" i="7"/>
  <c r="E11780" i="7"/>
  <c r="E11779" i="7"/>
  <c r="E11782" i="7"/>
  <c r="E11778" i="7"/>
  <c r="E11777" i="7"/>
  <c r="E11776" i="7"/>
  <c r="E11865" i="7"/>
  <c r="E11864" i="7"/>
  <c r="E11863" i="7"/>
  <c r="L11862" i="7" l="1"/>
  <c r="E11862" i="7"/>
  <c r="E11861" i="7"/>
  <c r="N111" i="58"/>
  <c r="L111" i="58"/>
  <c r="J111" i="58"/>
  <c r="H111" i="58"/>
  <c r="F111" i="58"/>
  <c r="D111" i="58"/>
  <c r="N110" i="58"/>
  <c r="L110" i="58"/>
  <c r="J110" i="58"/>
  <c r="H110" i="58"/>
  <c r="F110" i="58"/>
  <c r="D110" i="58"/>
  <c r="E11860" i="7"/>
  <c r="K11859" i="7"/>
  <c r="L11860" i="7" s="1"/>
  <c r="E11859" i="7"/>
  <c r="E11858" i="7"/>
  <c r="K11857" i="7"/>
  <c r="L11858" i="7" s="1"/>
  <c r="E11857" i="7"/>
  <c r="L11856" i="7"/>
  <c r="E11856" i="7"/>
  <c r="E11855" i="7"/>
  <c r="L11854" i="7"/>
  <c r="E11854" i="7"/>
  <c r="E11853" i="7"/>
  <c r="L11852" i="7"/>
  <c r="E11852" i="7"/>
  <c r="E11851" i="7"/>
  <c r="L11850" i="7"/>
  <c r="E11850" i="7"/>
  <c r="E11849" i="7"/>
  <c r="L11848" i="7"/>
  <c r="E11848" i="7"/>
  <c r="E11847" i="7"/>
  <c r="L11846" i="7"/>
  <c r="E11846" i="7"/>
  <c r="E11845" i="7"/>
  <c r="L11844" i="7"/>
  <c r="E11844" i="7"/>
  <c r="E11843" i="7"/>
  <c r="L11842" i="7"/>
  <c r="E11842" i="7"/>
  <c r="E11841" i="7"/>
  <c r="L11840" i="7"/>
  <c r="E11840" i="7"/>
  <c r="E11839" i="7"/>
  <c r="L11838" i="7"/>
  <c r="E11838" i="7"/>
  <c r="E11837" i="7"/>
  <c r="L11836" i="7"/>
  <c r="E11836" i="7"/>
  <c r="E11835" i="7"/>
  <c r="L11834" i="7"/>
  <c r="E11834" i="7"/>
  <c r="E11833" i="7"/>
  <c r="L11832" i="7"/>
  <c r="E11832" i="7"/>
  <c r="E11831" i="7"/>
  <c r="L11830" i="7"/>
  <c r="E11830" i="7"/>
  <c r="E11829" i="7"/>
  <c r="L11828" i="7"/>
  <c r="E11828" i="7"/>
  <c r="E11827" i="7"/>
  <c r="L11826" i="7"/>
  <c r="E11826" i="7"/>
  <c r="E11825" i="7"/>
  <c r="L11824" i="7"/>
  <c r="E11824" i="7"/>
  <c r="E11823" i="7"/>
  <c r="E11773" i="7" l="1"/>
  <c r="E11772" i="7"/>
  <c r="E11771" i="7"/>
  <c r="L11822" i="7" l="1"/>
  <c r="E11822" i="7"/>
  <c r="E11821" i="7"/>
  <c r="E11820" i="7"/>
  <c r="E11819" i="7"/>
  <c r="E11818" i="7"/>
  <c r="E15" i="8" l="1"/>
  <c r="E11965" i="7"/>
  <c r="E11964" i="7"/>
  <c r="E11963" i="7"/>
  <c r="N112" i="58"/>
  <c r="L112" i="58"/>
  <c r="J112" i="58"/>
  <c r="H112" i="58"/>
  <c r="F112" i="58"/>
  <c r="D112" i="58"/>
  <c r="E11817" i="7" l="1"/>
  <c r="K11816" i="7"/>
  <c r="L11817" i="7" s="1"/>
  <c r="E11816" i="7"/>
  <c r="E11815" i="7"/>
  <c r="K11814" i="7"/>
  <c r="L11815" i="7" s="1"/>
  <c r="E11814" i="7"/>
  <c r="L11813" i="7"/>
  <c r="E11813" i="7"/>
  <c r="E11812" i="7"/>
  <c r="L11811" i="7"/>
  <c r="E11811" i="7"/>
  <c r="E11810" i="7"/>
  <c r="L11809" i="7"/>
  <c r="E11809" i="7"/>
  <c r="E11808" i="7"/>
  <c r="L11807" i="7"/>
  <c r="E11807" i="7"/>
  <c r="E11806" i="7"/>
  <c r="L11805" i="7"/>
  <c r="E11805" i="7"/>
  <c r="E11804" i="7"/>
  <c r="L11803" i="7"/>
  <c r="E11803" i="7"/>
  <c r="E11802" i="7"/>
  <c r="L11801" i="7"/>
  <c r="E11801" i="7"/>
  <c r="E11800" i="7"/>
  <c r="L11799" i="7"/>
  <c r="E11799" i="7"/>
  <c r="E11798" i="7"/>
  <c r="L11797" i="7"/>
  <c r="E11797" i="7"/>
  <c r="E11796" i="7"/>
  <c r="L11795" i="7"/>
  <c r="E11795" i="7"/>
  <c r="E11794" i="7"/>
  <c r="L11793" i="7"/>
  <c r="E11793" i="7"/>
  <c r="E11792" i="7"/>
  <c r="L11791" i="7"/>
  <c r="E11791" i="7"/>
  <c r="E11790" i="7"/>
  <c r="L11789" i="7"/>
  <c r="E11789" i="7"/>
  <c r="E11788" i="7"/>
  <c r="L11787" i="7"/>
  <c r="E11787" i="7"/>
  <c r="E11786" i="7"/>
  <c r="L11785" i="7"/>
  <c r="E11785" i="7"/>
  <c r="E11784" i="7"/>
  <c r="L11783" i="7"/>
  <c r="E11783" i="7"/>
  <c r="L11775" i="7"/>
  <c r="E11775" i="7"/>
  <c r="E11774" i="7"/>
  <c r="L11731" i="7"/>
  <c r="E11731" i="7"/>
  <c r="E11730" i="7"/>
  <c r="E11770" i="7"/>
  <c r="E11769" i="7"/>
  <c r="E11768" i="7"/>
  <c r="E11729" i="7"/>
  <c r="E11728" i="7"/>
  <c r="E11727" i="7"/>
  <c r="E11726" i="7"/>
  <c r="E11725" i="7"/>
  <c r="E11724" i="7"/>
  <c r="N113" i="58" l="1"/>
  <c r="L113" i="58"/>
  <c r="J113" i="58"/>
  <c r="H113" i="58"/>
  <c r="F113" i="58"/>
  <c r="D113" i="58"/>
  <c r="E11767" i="7"/>
  <c r="K11766" i="7"/>
  <c r="L11767" i="7" s="1"/>
  <c r="E11766" i="7"/>
  <c r="E11765" i="7"/>
  <c r="K11764" i="7"/>
  <c r="L11765" i="7" s="1"/>
  <c r="E11764" i="7"/>
  <c r="L11763" i="7"/>
  <c r="E11763" i="7"/>
  <c r="E11762" i="7"/>
  <c r="L11761" i="7"/>
  <c r="E11761" i="7"/>
  <c r="E11760" i="7"/>
  <c r="L11759" i="7"/>
  <c r="E11759" i="7"/>
  <c r="E11758" i="7"/>
  <c r="L11757" i="7"/>
  <c r="E11757" i="7"/>
  <c r="E11756" i="7"/>
  <c r="L11755" i="7"/>
  <c r="E11755" i="7"/>
  <c r="E11754" i="7"/>
  <c r="L11753" i="7"/>
  <c r="E11753" i="7"/>
  <c r="E11752" i="7"/>
  <c r="L11751" i="7"/>
  <c r="E11751" i="7"/>
  <c r="E11750" i="7"/>
  <c r="L11749" i="7"/>
  <c r="E11749" i="7"/>
  <c r="E11748" i="7"/>
  <c r="L11747" i="7"/>
  <c r="E11747" i="7"/>
  <c r="E11746" i="7"/>
  <c r="L11745" i="7"/>
  <c r="E11745" i="7"/>
  <c r="E11744" i="7"/>
  <c r="L11743" i="7"/>
  <c r="E11743" i="7"/>
  <c r="E11742" i="7"/>
  <c r="L11741" i="7"/>
  <c r="E11741" i="7"/>
  <c r="E11740" i="7"/>
  <c r="L11739" i="7"/>
  <c r="E11739" i="7"/>
  <c r="E11738" i="7"/>
  <c r="L11737" i="7"/>
  <c r="E11737" i="7"/>
  <c r="E11736" i="7"/>
  <c r="L11735" i="7"/>
  <c r="E11735" i="7"/>
  <c r="E11734" i="7"/>
  <c r="L11733" i="7"/>
  <c r="E11733" i="7"/>
  <c r="E11732" i="7"/>
  <c r="E11687" i="7"/>
  <c r="E11686" i="7"/>
  <c r="L11685" i="7"/>
  <c r="E11685" i="7"/>
  <c r="E11684" i="7"/>
  <c r="E11723" i="7" l="1"/>
  <c r="K11722" i="7"/>
  <c r="L11723" i="7" s="1"/>
  <c r="E11722" i="7"/>
  <c r="E11721" i="7"/>
  <c r="K11720" i="7"/>
  <c r="L11721" i="7" s="1"/>
  <c r="E11720" i="7"/>
  <c r="L11719" i="7"/>
  <c r="E11719" i="7"/>
  <c r="E11718" i="7"/>
  <c r="L11717" i="7"/>
  <c r="E11717" i="7"/>
  <c r="E11716" i="7"/>
  <c r="L11715" i="7"/>
  <c r="E11715" i="7"/>
  <c r="E11714" i="7"/>
  <c r="L11713" i="7"/>
  <c r="E11713" i="7"/>
  <c r="E11712" i="7"/>
  <c r="L11711" i="7"/>
  <c r="E11711" i="7"/>
  <c r="E11710" i="7"/>
  <c r="L11709" i="7"/>
  <c r="E11709" i="7"/>
  <c r="E11708" i="7"/>
  <c r="L11707" i="7"/>
  <c r="E11707" i="7"/>
  <c r="E11706" i="7"/>
  <c r="L11705" i="7"/>
  <c r="E11705" i="7"/>
  <c r="E11704" i="7"/>
  <c r="L11703" i="7"/>
  <c r="E11703" i="7"/>
  <c r="E11702" i="7"/>
  <c r="L11701" i="7"/>
  <c r="E11701" i="7"/>
  <c r="E11700" i="7"/>
  <c r="L11699" i="7"/>
  <c r="E11699" i="7"/>
  <c r="E11698" i="7"/>
  <c r="L11697" i="7"/>
  <c r="E11697" i="7"/>
  <c r="E11696" i="7"/>
  <c r="L11695" i="7"/>
  <c r="E11695" i="7"/>
  <c r="E11694" i="7"/>
  <c r="L11693" i="7"/>
  <c r="E11693" i="7"/>
  <c r="E11692" i="7"/>
  <c r="L11691" i="7"/>
  <c r="E11691" i="7"/>
  <c r="E11690" i="7"/>
  <c r="L11689" i="7"/>
  <c r="E11689" i="7"/>
  <c r="E11688" i="7"/>
  <c r="N115" i="58"/>
  <c r="L115" i="58"/>
  <c r="J115" i="58"/>
  <c r="H115" i="58"/>
  <c r="F115" i="58"/>
  <c r="D115" i="58"/>
  <c r="N114" i="58"/>
  <c r="L114" i="58"/>
  <c r="J114" i="58"/>
  <c r="H114" i="58"/>
  <c r="F114" i="58"/>
  <c r="D114" i="58"/>
  <c r="N116" i="58"/>
  <c r="L116" i="58"/>
  <c r="J116" i="58"/>
  <c r="H116" i="58"/>
  <c r="F116" i="58"/>
  <c r="D116" i="58"/>
  <c r="E11683" i="7"/>
  <c r="E11682" i="7"/>
  <c r="E11681" i="7"/>
  <c r="E11642" i="7"/>
  <c r="E11641" i="7"/>
  <c r="E11640" i="7"/>
  <c r="L11680" i="7" l="1"/>
  <c r="E11680" i="7"/>
  <c r="E11679" i="7"/>
  <c r="L11639" i="7"/>
  <c r="E11639" i="7"/>
  <c r="E11638" i="7"/>
  <c r="E11678" i="7"/>
  <c r="K11677" i="7"/>
  <c r="L11678" i="7" s="1"/>
  <c r="E11677" i="7"/>
  <c r="E11676" i="7"/>
  <c r="K11675" i="7"/>
  <c r="L11676" i="7" s="1"/>
  <c r="E11675" i="7"/>
  <c r="L11674" i="7"/>
  <c r="E11674" i="7"/>
  <c r="E11673" i="7"/>
  <c r="L11672" i="7"/>
  <c r="E11672" i="7"/>
  <c r="E11671" i="7"/>
  <c r="L11670" i="7"/>
  <c r="E11670" i="7"/>
  <c r="E11669" i="7"/>
  <c r="L11668" i="7"/>
  <c r="E11668" i="7"/>
  <c r="E11667" i="7"/>
  <c r="L11666" i="7"/>
  <c r="E11666" i="7"/>
  <c r="E11665" i="7"/>
  <c r="L11664" i="7"/>
  <c r="E11664" i="7"/>
  <c r="E11663" i="7"/>
  <c r="L11662" i="7"/>
  <c r="E11662" i="7"/>
  <c r="E11661" i="7"/>
  <c r="L11660" i="7"/>
  <c r="E11660" i="7"/>
  <c r="E11659" i="7"/>
  <c r="L11658" i="7"/>
  <c r="E11658" i="7"/>
  <c r="E11657" i="7"/>
  <c r="L11656" i="7"/>
  <c r="E11656" i="7"/>
  <c r="E11655" i="7"/>
  <c r="L11654" i="7"/>
  <c r="E11654" i="7"/>
  <c r="E11653" i="7"/>
  <c r="L11652" i="7"/>
  <c r="E11652" i="7"/>
  <c r="E11651" i="7"/>
  <c r="L11650" i="7"/>
  <c r="E11650" i="7"/>
  <c r="E11649" i="7"/>
  <c r="L11648" i="7"/>
  <c r="E11648" i="7"/>
  <c r="E11647" i="7"/>
  <c r="L11646" i="7"/>
  <c r="E11646" i="7"/>
  <c r="E11645" i="7"/>
  <c r="L11644" i="7"/>
  <c r="E11644" i="7"/>
  <c r="E11643" i="7"/>
  <c r="J3" i="2"/>
  <c r="E11637" i="7"/>
  <c r="E11636" i="7"/>
  <c r="E11635" i="7"/>
  <c r="L11634" i="7" l="1"/>
  <c r="E11634" i="7"/>
  <c r="E11633" i="7"/>
  <c r="L11591" i="7"/>
  <c r="E11591" i="7"/>
  <c r="E11590" i="7"/>
  <c r="E11593" i="7"/>
  <c r="E11592" i="7"/>
  <c r="D117" i="58"/>
  <c r="N118" i="58"/>
  <c r="L118" i="58"/>
  <c r="J118" i="58"/>
  <c r="H118" i="58"/>
  <c r="F118" i="58"/>
  <c r="D118" i="58"/>
  <c r="N117" i="58"/>
  <c r="L117" i="58"/>
  <c r="J117" i="58"/>
  <c r="H117" i="58"/>
  <c r="F117" i="58"/>
  <c r="E11629" i="7"/>
  <c r="K11628" i="7"/>
  <c r="L11629" i="7" s="1"/>
  <c r="E11628" i="7"/>
  <c r="E11627" i="7"/>
  <c r="K11626" i="7"/>
  <c r="L11627" i="7" s="1"/>
  <c r="E11626" i="7"/>
  <c r="L11625" i="7"/>
  <c r="E11625" i="7"/>
  <c r="E11624" i="7"/>
  <c r="L11623" i="7"/>
  <c r="E11623" i="7"/>
  <c r="E11622" i="7"/>
  <c r="L11621" i="7"/>
  <c r="E11621" i="7"/>
  <c r="E11620" i="7"/>
  <c r="L11619" i="7"/>
  <c r="E11619" i="7"/>
  <c r="E11618" i="7"/>
  <c r="L11617" i="7"/>
  <c r="E11617" i="7"/>
  <c r="E11616" i="7"/>
  <c r="L11615" i="7"/>
  <c r="E11615" i="7"/>
  <c r="E11614" i="7"/>
  <c r="L11613" i="7"/>
  <c r="E11613" i="7"/>
  <c r="E11612" i="7"/>
  <c r="L11611" i="7"/>
  <c r="E11611" i="7"/>
  <c r="E11610" i="7"/>
  <c r="L11609" i="7"/>
  <c r="E11609" i="7"/>
  <c r="E11608" i="7"/>
  <c r="L11607" i="7"/>
  <c r="E11607" i="7"/>
  <c r="E11606" i="7"/>
  <c r="L11605" i="7"/>
  <c r="E11605" i="7"/>
  <c r="E11604" i="7"/>
  <c r="L11603" i="7"/>
  <c r="E11603" i="7"/>
  <c r="E11602" i="7"/>
  <c r="L11601" i="7"/>
  <c r="E11601" i="7"/>
  <c r="E11600" i="7"/>
  <c r="L11599" i="7"/>
  <c r="E11599" i="7"/>
  <c r="E11598" i="7"/>
  <c r="L11597" i="7"/>
  <c r="E11597" i="7"/>
  <c r="E11596" i="7"/>
  <c r="L11595" i="7"/>
  <c r="E11595" i="7"/>
  <c r="E11594" i="7"/>
  <c r="E11632" i="7"/>
  <c r="E11631" i="7"/>
  <c r="E11630" i="7"/>
  <c r="E11589" i="7"/>
  <c r="E11588" i="7"/>
  <c r="E11587" i="7"/>
  <c r="L11550" i="7" l="1"/>
  <c r="E11550" i="7"/>
  <c r="E11549" i="7"/>
  <c r="N119" i="58"/>
  <c r="L119" i="58"/>
  <c r="J119" i="58"/>
  <c r="H119" i="58"/>
  <c r="F119" i="58"/>
  <c r="D119" i="58"/>
  <c r="E11586" i="7"/>
  <c r="K11585" i="7"/>
  <c r="L11586" i="7" s="1"/>
  <c r="E11585" i="7"/>
  <c r="E11584" i="7"/>
  <c r="K11583" i="7"/>
  <c r="L11584" i="7" s="1"/>
  <c r="E11583" i="7"/>
  <c r="L11582" i="7"/>
  <c r="E11582" i="7"/>
  <c r="E11581" i="7"/>
  <c r="L11580" i="7"/>
  <c r="E11580" i="7"/>
  <c r="E11579" i="7"/>
  <c r="L11578" i="7"/>
  <c r="E11578" i="7"/>
  <c r="E11577" i="7"/>
  <c r="L11576" i="7"/>
  <c r="E11576" i="7"/>
  <c r="E11575" i="7"/>
  <c r="L11574" i="7"/>
  <c r="E11574" i="7"/>
  <c r="E11573" i="7"/>
  <c r="L11572" i="7"/>
  <c r="E11572" i="7"/>
  <c r="E11571" i="7"/>
  <c r="L11570" i="7"/>
  <c r="E11570" i="7"/>
  <c r="E11569" i="7"/>
  <c r="L11568" i="7"/>
  <c r="E11568" i="7"/>
  <c r="E11567" i="7"/>
  <c r="L11566" i="7"/>
  <c r="E11566" i="7"/>
  <c r="E11565" i="7"/>
  <c r="L11564" i="7"/>
  <c r="E11564" i="7"/>
  <c r="E11563" i="7"/>
  <c r="L11562" i="7"/>
  <c r="E11562" i="7"/>
  <c r="E11561" i="7"/>
  <c r="L11560" i="7"/>
  <c r="E11560" i="7"/>
  <c r="E11559" i="7"/>
  <c r="L11558" i="7"/>
  <c r="E11558" i="7"/>
  <c r="E11557" i="7"/>
  <c r="L11556" i="7"/>
  <c r="E11556" i="7"/>
  <c r="E11555" i="7"/>
  <c r="L11554" i="7"/>
  <c r="E11554" i="7"/>
  <c r="E11553" i="7"/>
  <c r="L11552" i="7"/>
  <c r="E11552" i="7"/>
  <c r="E11551" i="7"/>
  <c r="L11548" i="7"/>
  <c r="E11548" i="7"/>
  <c r="E11547" i="7"/>
  <c r="E11504" i="7" l="1"/>
  <c r="E11503" i="7"/>
  <c r="E11502" i="7"/>
  <c r="E11546" i="7"/>
  <c r="E11545" i="7"/>
  <c r="E11544" i="7"/>
  <c r="E11501" i="7"/>
  <c r="E11500" i="7"/>
  <c r="E11499" i="7"/>
  <c r="E11543" i="7"/>
  <c r="E11542" i="7"/>
  <c r="E11541" i="7"/>
  <c r="E11540" i="7" l="1"/>
  <c r="K11539" i="7"/>
  <c r="L11540" i="7" s="1"/>
  <c r="E11539" i="7"/>
  <c r="E11538" i="7"/>
  <c r="K11537" i="7"/>
  <c r="L11538" i="7" s="1"/>
  <c r="E11537" i="7"/>
  <c r="L11536" i="7"/>
  <c r="E11536" i="7"/>
  <c r="E11535" i="7"/>
  <c r="L11534" i="7"/>
  <c r="E11534" i="7"/>
  <c r="E11533" i="7"/>
  <c r="L11532" i="7"/>
  <c r="E11532" i="7"/>
  <c r="E11531" i="7"/>
  <c r="L11530" i="7"/>
  <c r="E11530" i="7"/>
  <c r="E11529" i="7"/>
  <c r="L11528" i="7"/>
  <c r="E11528" i="7"/>
  <c r="E11527" i="7"/>
  <c r="L11526" i="7"/>
  <c r="E11526" i="7"/>
  <c r="E11525" i="7"/>
  <c r="L11524" i="7"/>
  <c r="E11524" i="7"/>
  <c r="E11523" i="7"/>
  <c r="L11522" i="7"/>
  <c r="E11522" i="7"/>
  <c r="E11521" i="7"/>
  <c r="L11520" i="7"/>
  <c r="E11520" i="7"/>
  <c r="E11519" i="7"/>
  <c r="L11518" i="7"/>
  <c r="E11518" i="7"/>
  <c r="E11517" i="7"/>
  <c r="L11516" i="7"/>
  <c r="E11516" i="7"/>
  <c r="E11515" i="7"/>
  <c r="L11514" i="7"/>
  <c r="E11514" i="7"/>
  <c r="E11513" i="7"/>
  <c r="L11512" i="7"/>
  <c r="E11512" i="7"/>
  <c r="E11511" i="7"/>
  <c r="L11510" i="7"/>
  <c r="E11510" i="7"/>
  <c r="E11509" i="7"/>
  <c r="L11508" i="7"/>
  <c r="E11508" i="7"/>
  <c r="E11507" i="7"/>
  <c r="L11506" i="7"/>
  <c r="E11506" i="7"/>
  <c r="E11505" i="7"/>
  <c r="E11496" i="7"/>
  <c r="E11495" i="7"/>
  <c r="E11494" i="7"/>
  <c r="N122" i="58" l="1"/>
  <c r="L122" i="58"/>
  <c r="J122" i="58"/>
  <c r="H122" i="58"/>
  <c r="F122" i="58"/>
  <c r="D122" i="58"/>
  <c r="N121" i="58"/>
  <c r="L121" i="58"/>
  <c r="J121" i="58"/>
  <c r="H121" i="58"/>
  <c r="F121" i="58"/>
  <c r="D121" i="58"/>
  <c r="N120" i="58"/>
  <c r="L120" i="58"/>
  <c r="J120" i="58"/>
  <c r="H120" i="58"/>
  <c r="F120" i="58"/>
  <c r="D120" i="58"/>
  <c r="E11498" i="7"/>
  <c r="E11497" i="7"/>
  <c r="E11493" i="7"/>
  <c r="K11492" i="7"/>
  <c r="L11493" i="7" s="1"/>
  <c r="E11492" i="7"/>
  <c r="E11491" i="7"/>
  <c r="K11490" i="7"/>
  <c r="L11491" i="7" s="1"/>
  <c r="E11490" i="7"/>
  <c r="L11489" i="7"/>
  <c r="E11489" i="7"/>
  <c r="E11488" i="7"/>
  <c r="L11487" i="7"/>
  <c r="E11487" i="7"/>
  <c r="E11486" i="7"/>
  <c r="L11485" i="7"/>
  <c r="E11485" i="7"/>
  <c r="E11484" i="7"/>
  <c r="L11483" i="7"/>
  <c r="E11483" i="7"/>
  <c r="E11482" i="7"/>
  <c r="L11481" i="7"/>
  <c r="E11481" i="7"/>
  <c r="E11480" i="7"/>
  <c r="L11479" i="7"/>
  <c r="E11479" i="7"/>
  <c r="E11478" i="7"/>
  <c r="L11477" i="7"/>
  <c r="E11477" i="7"/>
  <c r="E11476" i="7"/>
  <c r="L11475" i="7"/>
  <c r="E11475" i="7"/>
  <c r="E11474" i="7"/>
  <c r="L11473" i="7"/>
  <c r="E11473" i="7"/>
  <c r="E11472" i="7"/>
  <c r="L11471" i="7"/>
  <c r="E11471" i="7"/>
  <c r="E11470" i="7"/>
  <c r="L11469" i="7"/>
  <c r="E11469" i="7"/>
  <c r="E11468" i="7"/>
  <c r="L11467" i="7"/>
  <c r="E11467" i="7"/>
  <c r="E11466" i="7"/>
  <c r="L11465" i="7"/>
  <c r="E11465" i="7"/>
  <c r="E11464" i="7"/>
  <c r="L11463" i="7"/>
  <c r="E11463" i="7"/>
  <c r="E11462" i="7"/>
  <c r="L11461" i="7"/>
  <c r="E11461" i="7"/>
  <c r="E11460" i="7"/>
  <c r="L11459" i="7"/>
  <c r="E11459" i="7"/>
  <c r="E11458" i="7"/>
  <c r="N123" i="58"/>
  <c r="L123" i="58"/>
  <c r="J123" i="58"/>
  <c r="H123" i="58"/>
  <c r="F123" i="58"/>
  <c r="D123" i="58"/>
  <c r="E11457" i="7"/>
  <c r="E11456" i="7"/>
  <c r="E11455" i="7"/>
  <c r="E11418" i="7"/>
  <c r="E11417" i="7"/>
  <c r="E11416" i="7"/>
  <c r="E11343" i="7"/>
  <c r="E11342" i="7"/>
  <c r="E11341" i="7"/>
  <c r="N124" i="58" l="1"/>
  <c r="L124" i="58"/>
  <c r="J124" i="58"/>
  <c r="H124" i="58"/>
  <c r="F124" i="58"/>
  <c r="D124" i="58"/>
  <c r="E11454" i="7"/>
  <c r="K11453" i="7"/>
  <c r="L11454" i="7" s="1"/>
  <c r="E11453" i="7"/>
  <c r="E11452" i="7"/>
  <c r="K11451" i="7"/>
  <c r="L11452" i="7" s="1"/>
  <c r="E11451" i="7"/>
  <c r="L11450" i="7"/>
  <c r="E11450" i="7"/>
  <c r="E11449" i="7"/>
  <c r="L11448" i="7"/>
  <c r="E11448" i="7"/>
  <c r="E11447" i="7"/>
  <c r="L11446" i="7"/>
  <c r="E11446" i="7"/>
  <c r="E11445" i="7"/>
  <c r="L11444" i="7"/>
  <c r="E11444" i="7"/>
  <c r="E11443" i="7"/>
  <c r="L11442" i="7"/>
  <c r="E11442" i="7"/>
  <c r="E11441" i="7"/>
  <c r="L11440" i="7"/>
  <c r="E11440" i="7"/>
  <c r="E11439" i="7"/>
  <c r="L11438" i="7"/>
  <c r="E11438" i="7"/>
  <c r="E11437" i="7"/>
  <c r="L11436" i="7"/>
  <c r="E11436" i="7"/>
  <c r="E11435" i="7"/>
  <c r="L11434" i="7"/>
  <c r="E11434" i="7"/>
  <c r="E11433" i="7"/>
  <c r="L11432" i="7"/>
  <c r="E11432" i="7"/>
  <c r="E11431" i="7"/>
  <c r="L11430" i="7"/>
  <c r="E11430" i="7"/>
  <c r="E11429" i="7"/>
  <c r="L11428" i="7"/>
  <c r="E11428" i="7"/>
  <c r="E11427" i="7"/>
  <c r="L11426" i="7"/>
  <c r="E11426" i="7"/>
  <c r="E11425" i="7"/>
  <c r="L11424" i="7"/>
  <c r="E11424" i="7"/>
  <c r="E11423" i="7"/>
  <c r="L11422" i="7"/>
  <c r="E11422" i="7"/>
  <c r="E11421" i="7"/>
  <c r="L11420" i="7"/>
  <c r="E11420" i="7"/>
  <c r="E11419" i="7"/>
  <c r="N125" i="58"/>
  <c r="L125" i="58"/>
  <c r="J125" i="58"/>
  <c r="H125" i="58"/>
  <c r="F125" i="58"/>
  <c r="D125" i="58"/>
  <c r="E11415" i="7"/>
  <c r="K11414" i="7"/>
  <c r="L11415" i="7" s="1"/>
  <c r="E11414" i="7"/>
  <c r="E11413" i="7"/>
  <c r="K11412" i="7"/>
  <c r="L11413" i="7" s="1"/>
  <c r="E11412" i="7"/>
  <c r="L11411" i="7"/>
  <c r="E11411" i="7"/>
  <c r="E11410" i="7"/>
  <c r="L11409" i="7"/>
  <c r="E11409" i="7"/>
  <c r="E11408" i="7"/>
  <c r="L11407" i="7"/>
  <c r="E11407" i="7"/>
  <c r="E11406" i="7"/>
  <c r="L11405" i="7"/>
  <c r="E11405" i="7"/>
  <c r="E11404" i="7"/>
  <c r="L11403" i="7"/>
  <c r="E11403" i="7"/>
  <c r="E11402" i="7"/>
  <c r="L11401" i="7"/>
  <c r="E11401" i="7"/>
  <c r="E11400" i="7"/>
  <c r="L11399" i="7"/>
  <c r="E11399" i="7"/>
  <c r="E11398" i="7"/>
  <c r="L11397" i="7"/>
  <c r="E11397" i="7"/>
  <c r="E11396" i="7"/>
  <c r="L11395" i="7"/>
  <c r="E11395" i="7"/>
  <c r="E11394" i="7"/>
  <c r="L11393" i="7"/>
  <c r="E11393" i="7"/>
  <c r="E11392" i="7"/>
  <c r="L11391" i="7"/>
  <c r="E11391" i="7"/>
  <c r="E11390" i="7"/>
  <c r="L11389" i="7"/>
  <c r="E11389" i="7"/>
  <c r="E11388" i="7"/>
  <c r="L11387" i="7"/>
  <c r="E11387" i="7"/>
  <c r="E11386" i="7"/>
  <c r="L11385" i="7"/>
  <c r="E11385" i="7"/>
  <c r="E11384" i="7"/>
  <c r="L11383" i="7"/>
  <c r="E11383" i="7"/>
  <c r="E11382" i="7"/>
  <c r="L11381" i="7"/>
  <c r="E11381" i="7"/>
  <c r="E11380" i="7"/>
  <c r="I70" i="59" l="1"/>
  <c r="I71" i="59" s="1"/>
  <c r="I72" i="59" s="1"/>
  <c r="I73" i="59" s="1"/>
  <c r="I74" i="59" s="1"/>
  <c r="I75" i="59" s="1"/>
  <c r="I76" i="59" s="1"/>
  <c r="I77" i="59" s="1"/>
  <c r="I78" i="59" s="1"/>
  <c r="I79" i="59" s="1"/>
  <c r="I80" i="59" s="1"/>
  <c r="I81" i="59" s="1"/>
  <c r="I82" i="59" s="1"/>
  <c r="I83" i="59" s="1"/>
  <c r="I84" i="59" s="1"/>
  <c r="I85" i="59" s="1"/>
  <c r="I86" i="59" s="1"/>
  <c r="I87" i="59" s="1"/>
  <c r="I88" i="59" s="1"/>
  <c r="I89" i="59" s="1"/>
  <c r="I90" i="59" s="1"/>
  <c r="I91" i="59" s="1"/>
  <c r="I92" i="59" s="1"/>
  <c r="I93" i="59" s="1"/>
  <c r="I94" i="59" s="1"/>
  <c r="I95" i="59" s="1"/>
  <c r="I96" i="59" s="1"/>
  <c r="I97" i="59" s="1"/>
  <c r="I98" i="59" s="1"/>
  <c r="I99" i="59" s="1"/>
  <c r="I100" i="59" s="1"/>
  <c r="I101" i="59" s="1"/>
  <c r="I102" i="59" s="1"/>
  <c r="I103" i="59" s="1"/>
  <c r="I104" i="59" s="1"/>
  <c r="I105" i="59" s="1"/>
  <c r="I106" i="59" s="1"/>
  <c r="I107" i="59" s="1"/>
  <c r="I108" i="59" s="1"/>
  <c r="N126" i="58" l="1"/>
  <c r="L126" i="58"/>
  <c r="J126" i="58"/>
  <c r="H126" i="58"/>
  <c r="F126" i="58"/>
  <c r="D126" i="58"/>
  <c r="E11379" i="7"/>
  <c r="K11378" i="7"/>
  <c r="L11379" i="7" s="1"/>
  <c r="E11378" i="7"/>
  <c r="E11377" i="7"/>
  <c r="K11376" i="7"/>
  <c r="L11377" i="7" s="1"/>
  <c r="E11376" i="7"/>
  <c r="L11375" i="7"/>
  <c r="E11375" i="7"/>
  <c r="E11374" i="7"/>
  <c r="L11373" i="7"/>
  <c r="E11373" i="7"/>
  <c r="E11372" i="7"/>
  <c r="L11371" i="7"/>
  <c r="E11371" i="7"/>
  <c r="E11370" i="7"/>
  <c r="L11369" i="7"/>
  <c r="E11369" i="7"/>
  <c r="E11368" i="7"/>
  <c r="L11367" i="7"/>
  <c r="E11367" i="7"/>
  <c r="E11366" i="7"/>
  <c r="L11365" i="7"/>
  <c r="E11365" i="7"/>
  <c r="E11364" i="7"/>
  <c r="L11363" i="7"/>
  <c r="E11363" i="7"/>
  <c r="E11362" i="7"/>
  <c r="L11361" i="7"/>
  <c r="E11361" i="7"/>
  <c r="E11360" i="7"/>
  <c r="L11359" i="7"/>
  <c r="E11359" i="7"/>
  <c r="E11358" i="7"/>
  <c r="L11357" i="7"/>
  <c r="E11357" i="7"/>
  <c r="E11356" i="7"/>
  <c r="L11355" i="7"/>
  <c r="E11355" i="7"/>
  <c r="E11354" i="7"/>
  <c r="L11353" i="7"/>
  <c r="E11353" i="7"/>
  <c r="E11352" i="7"/>
  <c r="L11351" i="7"/>
  <c r="E11351" i="7"/>
  <c r="E11350" i="7"/>
  <c r="L11349" i="7"/>
  <c r="E11349" i="7"/>
  <c r="E11348" i="7"/>
  <c r="L11347" i="7"/>
  <c r="E11347" i="7"/>
  <c r="E11346" i="7"/>
  <c r="L11345" i="7"/>
  <c r="E11345" i="7"/>
  <c r="E11344" i="7"/>
  <c r="E11340" i="7"/>
  <c r="E11339" i="7"/>
  <c r="E11338" i="7"/>
  <c r="E11301" i="7"/>
  <c r="E11300" i="7"/>
  <c r="E11299" i="7"/>
  <c r="L11313" i="7" l="1"/>
  <c r="N127" i="58"/>
  <c r="L127" i="58"/>
  <c r="J127" i="58"/>
  <c r="H127" i="58"/>
  <c r="F127" i="58"/>
  <c r="B127" i="58"/>
  <c r="B126" i="58" s="1"/>
  <c r="B125" i="58" s="1"/>
  <c r="B124" i="58" s="1"/>
  <c r="B123" i="58" s="1"/>
  <c r="B122" i="58" s="1"/>
  <c r="B121" i="58" s="1"/>
  <c r="B120" i="58" s="1"/>
  <c r="B119" i="58" s="1"/>
  <c r="B118" i="58" s="1"/>
  <c r="B117" i="58" s="1"/>
  <c r="B116" i="58" s="1"/>
  <c r="B115" i="58" s="1"/>
  <c r="B114" i="58" s="1"/>
  <c r="B113" i="58" s="1"/>
  <c r="B112" i="58" s="1"/>
  <c r="B111" i="58" s="1"/>
  <c r="B110" i="58" s="1"/>
  <c r="B109" i="58" s="1"/>
  <c r="B108" i="58" s="1"/>
  <c r="B107" i="58" s="1"/>
  <c r="B106" i="58" s="1"/>
  <c r="B105" i="58" s="1"/>
  <c r="B104" i="58" s="1"/>
  <c r="B103" i="58" s="1"/>
  <c r="B102" i="58" s="1"/>
  <c r="B101" i="58" s="1"/>
  <c r="B100" i="58" s="1"/>
  <c r="B99" i="58" s="1"/>
  <c r="B98" i="58" s="1"/>
  <c r="B97" i="58" s="1"/>
  <c r="D127" i="58"/>
  <c r="E11337" i="7"/>
  <c r="K11336" i="7"/>
  <c r="L11337" i="7" s="1"/>
  <c r="E11336" i="7"/>
  <c r="E11335" i="7"/>
  <c r="K11334" i="7"/>
  <c r="L11335" i="7" s="1"/>
  <c r="E11334" i="7"/>
  <c r="L11333" i="7"/>
  <c r="E11333" i="7"/>
  <c r="E11332" i="7"/>
  <c r="L11331" i="7"/>
  <c r="E11331" i="7"/>
  <c r="E11330" i="7"/>
  <c r="L11329" i="7"/>
  <c r="E11329" i="7"/>
  <c r="E11328" i="7"/>
  <c r="L11327" i="7"/>
  <c r="E11327" i="7"/>
  <c r="E11326" i="7"/>
  <c r="L11325" i="7"/>
  <c r="E11325" i="7"/>
  <c r="E11324" i="7"/>
  <c r="L11323" i="7"/>
  <c r="E11323" i="7"/>
  <c r="E11322" i="7"/>
  <c r="L11321" i="7"/>
  <c r="E11321" i="7"/>
  <c r="E11320" i="7"/>
  <c r="L11319" i="7"/>
  <c r="E11319" i="7"/>
  <c r="E11318" i="7"/>
  <c r="L11317" i="7"/>
  <c r="E11317" i="7"/>
  <c r="E11316" i="7"/>
  <c r="L11315" i="7"/>
  <c r="E11315" i="7"/>
  <c r="E11314" i="7"/>
  <c r="E11313" i="7"/>
  <c r="E11312" i="7"/>
  <c r="L11311" i="7"/>
  <c r="E11311" i="7"/>
  <c r="E11310" i="7"/>
  <c r="L11309" i="7"/>
  <c r="E11309" i="7"/>
  <c r="E11308" i="7"/>
  <c r="L11307" i="7"/>
  <c r="E11307" i="7"/>
  <c r="E11306" i="7"/>
  <c r="L11305" i="7"/>
  <c r="E11305" i="7"/>
  <c r="E11304" i="7"/>
  <c r="L11303" i="7"/>
  <c r="E11303" i="7"/>
  <c r="E11302" i="7"/>
  <c r="E11233" i="7" l="1"/>
  <c r="E11232" i="7"/>
  <c r="E11231" i="7"/>
  <c r="L11298" i="7"/>
  <c r="E11298" i="7"/>
  <c r="E11297" i="7"/>
  <c r="E11296" i="7"/>
  <c r="E11295" i="7"/>
  <c r="E11294" i="7"/>
  <c r="L11293" i="7" l="1"/>
  <c r="E11293" i="7"/>
  <c r="E11292" i="7"/>
  <c r="E11291" i="7"/>
  <c r="E11290" i="7"/>
  <c r="L11253" i="7"/>
  <c r="E11253" i="7"/>
  <c r="E11252" i="7"/>
  <c r="E11289" i="7" l="1"/>
  <c r="K11288" i="7"/>
  <c r="L11289" i="7" s="1"/>
  <c r="E11288" i="7"/>
  <c r="E11287" i="7"/>
  <c r="K11286" i="7"/>
  <c r="L11287" i="7" s="1"/>
  <c r="E11286" i="7"/>
  <c r="L11285" i="7"/>
  <c r="E11285" i="7"/>
  <c r="E11284" i="7"/>
  <c r="L11283" i="7"/>
  <c r="E11283" i="7"/>
  <c r="E11282" i="7"/>
  <c r="L11281" i="7"/>
  <c r="E11281" i="7"/>
  <c r="E11280" i="7"/>
  <c r="L11279" i="7"/>
  <c r="E11279" i="7"/>
  <c r="E11278" i="7"/>
  <c r="L11277" i="7"/>
  <c r="E11277" i="7"/>
  <c r="E11276" i="7"/>
  <c r="L11275" i="7"/>
  <c r="E11275" i="7"/>
  <c r="E11274" i="7"/>
  <c r="L11273" i="7"/>
  <c r="E11273" i="7"/>
  <c r="E11272" i="7"/>
  <c r="L11271" i="7"/>
  <c r="E11271" i="7"/>
  <c r="E11270" i="7"/>
  <c r="L11269" i="7"/>
  <c r="E11269" i="7"/>
  <c r="E11268" i="7"/>
  <c r="L11267" i="7"/>
  <c r="E11267" i="7"/>
  <c r="E11266" i="7"/>
  <c r="E11265" i="7"/>
  <c r="E11264" i="7"/>
  <c r="L11263" i="7"/>
  <c r="E11263" i="7"/>
  <c r="E11262" i="7"/>
  <c r="L11261" i="7"/>
  <c r="E11261" i="7"/>
  <c r="E11260" i="7"/>
  <c r="L11259" i="7"/>
  <c r="E11259" i="7"/>
  <c r="E11258" i="7"/>
  <c r="L11257" i="7"/>
  <c r="E11257" i="7"/>
  <c r="E11256" i="7"/>
  <c r="L11255" i="7"/>
  <c r="E11255" i="7"/>
  <c r="E11254" i="7"/>
  <c r="N134" i="58"/>
  <c r="L134" i="58"/>
  <c r="J134" i="58"/>
  <c r="H134" i="58"/>
  <c r="F134" i="58"/>
  <c r="N133" i="58"/>
  <c r="L133" i="58"/>
  <c r="J133" i="58"/>
  <c r="H133" i="58"/>
  <c r="F133" i="58"/>
  <c r="N132" i="58"/>
  <c r="L132" i="58"/>
  <c r="J132" i="58"/>
  <c r="H132" i="58"/>
  <c r="F132" i="58"/>
  <c r="N131" i="58"/>
  <c r="L131" i="58"/>
  <c r="J131" i="58"/>
  <c r="H131" i="58"/>
  <c r="F131" i="58"/>
  <c r="N130" i="58"/>
  <c r="L130" i="58"/>
  <c r="J130" i="58"/>
  <c r="H130" i="58"/>
  <c r="F130" i="58"/>
  <c r="N129" i="58"/>
  <c r="L129" i="58"/>
  <c r="J129" i="58"/>
  <c r="H129" i="58"/>
  <c r="F129" i="58"/>
  <c r="N128" i="58"/>
  <c r="L128" i="58"/>
  <c r="J128" i="58"/>
  <c r="H128" i="58"/>
  <c r="F128" i="58"/>
  <c r="B129" i="58"/>
  <c r="B130" i="58" s="1"/>
  <c r="B131" i="58" s="1"/>
  <c r="B132" i="58" s="1"/>
  <c r="B133" i="58" s="1"/>
  <c r="B134" i="58" s="1"/>
  <c r="D128" i="58"/>
  <c r="D129" i="58"/>
  <c r="D130" i="58"/>
  <c r="D131" i="58"/>
  <c r="D132" i="58"/>
  <c r="D133" i="58"/>
  <c r="D134" i="58"/>
  <c r="E11246" i="7"/>
  <c r="E11245" i="7"/>
  <c r="E11244" i="7"/>
  <c r="L11251" i="7"/>
  <c r="E11251" i="7"/>
  <c r="E11250" i="7"/>
  <c r="L11237" i="7"/>
  <c r="E11237" i="7"/>
  <c r="E11236" i="7"/>
  <c r="E11249" i="7"/>
  <c r="E11248" i="7"/>
  <c r="E11247" i="7"/>
  <c r="E11243" i="7"/>
  <c r="E11242" i="7"/>
  <c r="E11241" i="7"/>
  <c r="L11171" i="7" l="1"/>
  <c r="E11171" i="7"/>
  <c r="E11170" i="7"/>
  <c r="E11240" i="7"/>
  <c r="E11239" i="7"/>
  <c r="E11238" i="7"/>
  <c r="L11215" i="7" l="1"/>
  <c r="E11215" i="7"/>
  <c r="E11214" i="7"/>
  <c r="L11235" i="7"/>
  <c r="E11235" i="7"/>
  <c r="E11234" i="7"/>
  <c r="E11230" i="7"/>
  <c r="E11229" i="7"/>
  <c r="E11228" i="7"/>
  <c r="E11227" i="7" l="1"/>
  <c r="E11226" i="7"/>
  <c r="E11225" i="7"/>
  <c r="E11224" i="7"/>
  <c r="E11223" i="7"/>
  <c r="E11222" i="7"/>
  <c r="E11213" i="7"/>
  <c r="E11212" i="7"/>
  <c r="E11211" i="7"/>
  <c r="E11218" i="7"/>
  <c r="E11217" i="7"/>
  <c r="E11216" i="7"/>
  <c r="E11221" i="7"/>
  <c r="E11220" i="7"/>
  <c r="E11219" i="7"/>
  <c r="E11210" i="7"/>
  <c r="E11209" i="7"/>
  <c r="E11208" i="7"/>
  <c r="E11132" i="7" l="1"/>
  <c r="E11131" i="7"/>
  <c r="E11207" i="7" l="1"/>
  <c r="K11206" i="7"/>
  <c r="L11207" i="7" s="1"/>
  <c r="E11206" i="7"/>
  <c r="E11205" i="7"/>
  <c r="K11204" i="7"/>
  <c r="L11205" i="7" s="1"/>
  <c r="E11204" i="7"/>
  <c r="L11203" i="7"/>
  <c r="E11203" i="7"/>
  <c r="E11202" i="7"/>
  <c r="L11201" i="7"/>
  <c r="E11201" i="7"/>
  <c r="E11200" i="7"/>
  <c r="L11199" i="7"/>
  <c r="E11199" i="7"/>
  <c r="E11198" i="7"/>
  <c r="L11197" i="7"/>
  <c r="E11197" i="7"/>
  <c r="E11196" i="7"/>
  <c r="L11195" i="7"/>
  <c r="E11195" i="7"/>
  <c r="E11194" i="7"/>
  <c r="L11193" i="7"/>
  <c r="E11193" i="7"/>
  <c r="E11192" i="7"/>
  <c r="L11191" i="7"/>
  <c r="E11191" i="7"/>
  <c r="E11190" i="7"/>
  <c r="L11189" i="7"/>
  <c r="E11189" i="7"/>
  <c r="E11188" i="7"/>
  <c r="L11187" i="7"/>
  <c r="E11187" i="7"/>
  <c r="E11186" i="7"/>
  <c r="L11185" i="7"/>
  <c r="E11185" i="7"/>
  <c r="E11184" i="7"/>
  <c r="E11183" i="7"/>
  <c r="E11182" i="7"/>
  <c r="L11181" i="7"/>
  <c r="E11181" i="7"/>
  <c r="E11180" i="7"/>
  <c r="L11179" i="7"/>
  <c r="E11179" i="7"/>
  <c r="E11178" i="7"/>
  <c r="L11177" i="7"/>
  <c r="E11177" i="7"/>
  <c r="E11176" i="7"/>
  <c r="L11175" i="7"/>
  <c r="E11175" i="7"/>
  <c r="E11174" i="7"/>
  <c r="L11173" i="7"/>
  <c r="E11173" i="7"/>
  <c r="E11172" i="7"/>
  <c r="N141" i="58"/>
  <c r="L141" i="58"/>
  <c r="J141" i="58"/>
  <c r="H141" i="58"/>
  <c r="F141" i="58"/>
  <c r="N140" i="58"/>
  <c r="L140" i="58"/>
  <c r="J140" i="58"/>
  <c r="H140" i="58"/>
  <c r="F140" i="58"/>
  <c r="N139" i="58"/>
  <c r="L139" i="58"/>
  <c r="J139" i="58"/>
  <c r="H139" i="58"/>
  <c r="F139" i="58"/>
  <c r="N138" i="58"/>
  <c r="L138" i="58"/>
  <c r="J138" i="58"/>
  <c r="H138" i="58"/>
  <c r="F138" i="58"/>
  <c r="N137" i="58"/>
  <c r="L137" i="58"/>
  <c r="J137" i="58"/>
  <c r="H137" i="58"/>
  <c r="F137" i="58"/>
  <c r="N136" i="58"/>
  <c r="L136" i="58"/>
  <c r="J136" i="58"/>
  <c r="H136" i="58"/>
  <c r="F136" i="58"/>
  <c r="N135" i="58"/>
  <c r="L135" i="58"/>
  <c r="J135" i="58"/>
  <c r="H135" i="58"/>
  <c r="F135" i="58"/>
  <c r="L11169" i="7"/>
  <c r="E11169" i="7"/>
  <c r="E11168" i="7"/>
  <c r="L11158" i="7"/>
  <c r="E11158" i="7"/>
  <c r="E11157" i="7"/>
  <c r="E11167" i="7"/>
  <c r="E11166" i="7"/>
  <c r="E11165" i="7"/>
  <c r="E11164" i="7"/>
  <c r="E11163" i="7"/>
  <c r="E11162" i="7"/>
  <c r="E11161" i="7"/>
  <c r="E11160" i="7"/>
  <c r="E11159" i="7"/>
  <c r="E11156" i="7"/>
  <c r="E11155" i="7"/>
  <c r="E11154" i="7"/>
  <c r="E11153" i="7"/>
  <c r="E11152" i="7"/>
  <c r="E11151" i="7"/>
  <c r="E11150" i="7" l="1"/>
  <c r="E11149" i="7"/>
  <c r="E11148" i="7"/>
  <c r="E11130" i="7" l="1"/>
  <c r="E11129" i="7"/>
  <c r="E11128" i="7"/>
  <c r="E11066" i="7"/>
  <c r="E11065" i="7"/>
  <c r="E11064" i="7"/>
  <c r="E11144" i="7"/>
  <c r="E11143" i="7"/>
  <c r="E11142" i="7"/>
  <c r="E11147" i="7"/>
  <c r="E11146" i="7"/>
  <c r="E11145" i="7"/>
  <c r="E11141" i="7"/>
  <c r="E11140" i="7"/>
  <c r="E11139" i="7"/>
  <c r="E11108" i="7"/>
  <c r="E11107" i="7"/>
  <c r="E11106" i="7"/>
  <c r="E11105" i="7"/>
  <c r="E11104" i="7"/>
  <c r="E11103" i="7"/>
  <c r="L11127" i="7"/>
  <c r="E11127" i="7"/>
  <c r="E11126" i="7"/>
  <c r="L11115" i="7"/>
  <c r="E11115" i="7"/>
  <c r="E11114" i="7"/>
  <c r="E11138" i="7"/>
  <c r="E11137" i="7"/>
  <c r="E11136" i="7"/>
  <c r="E11135" i="7"/>
  <c r="E11134" i="7"/>
  <c r="E11133" i="7"/>
  <c r="E11125" i="7"/>
  <c r="E11124" i="7"/>
  <c r="E11123" i="7"/>
  <c r="E11122" i="7"/>
  <c r="E11121" i="7"/>
  <c r="E11120" i="7"/>
  <c r="E11113" i="7"/>
  <c r="E11112" i="7"/>
  <c r="E11111" i="7"/>
  <c r="B136" i="58" l="1"/>
  <c r="B137" i="58" s="1"/>
  <c r="B138" i="58" s="1"/>
  <c r="B139" i="58" s="1"/>
  <c r="B140" i="58" s="1"/>
  <c r="B141" i="58" s="1"/>
  <c r="D135" i="58"/>
  <c r="D136" i="58"/>
  <c r="D137" i="58"/>
  <c r="D138" i="58"/>
  <c r="D139" i="58"/>
  <c r="D140" i="58"/>
  <c r="D141" i="58"/>
  <c r="L11119" i="7"/>
  <c r="E11119" i="7"/>
  <c r="E11118" i="7"/>
  <c r="E11117" i="7" l="1"/>
  <c r="E11116" i="7"/>
  <c r="L11110" i="7"/>
  <c r="E11110" i="7"/>
  <c r="E11109" i="7"/>
  <c r="L11086" i="7"/>
  <c r="E11086" i="7"/>
  <c r="E11085" i="7"/>
  <c r="L10968" i="7"/>
  <c r="E10968" i="7"/>
  <c r="E10967" i="7"/>
  <c r="L10884" i="7"/>
  <c r="E10884" i="7"/>
  <c r="E10883" i="7"/>
  <c r="L10825" i="7"/>
  <c r="E10825" i="7"/>
  <c r="E10824" i="7"/>
  <c r="L11063" i="7"/>
  <c r="E11063" i="7"/>
  <c r="E11062" i="7"/>
  <c r="E11061" i="7"/>
  <c r="E11060" i="7"/>
  <c r="E11059" i="7"/>
  <c r="E11102" i="7"/>
  <c r="K11101" i="7"/>
  <c r="L11102" i="7" s="1"/>
  <c r="E11101" i="7"/>
  <c r="E11100" i="7"/>
  <c r="K11099" i="7"/>
  <c r="L11100" i="7" s="1"/>
  <c r="E11099" i="7"/>
  <c r="L11098" i="7"/>
  <c r="E11098" i="7"/>
  <c r="E11097" i="7"/>
  <c r="L11096" i="7"/>
  <c r="E11096" i="7"/>
  <c r="E11095" i="7"/>
  <c r="L11094" i="7"/>
  <c r="E11094" i="7"/>
  <c r="E11093" i="7"/>
  <c r="L11092" i="7"/>
  <c r="E11092" i="7"/>
  <c r="E11091" i="7"/>
  <c r="L11090" i="7"/>
  <c r="E11090" i="7"/>
  <c r="E11089" i="7"/>
  <c r="L11088" i="7"/>
  <c r="E11088" i="7"/>
  <c r="E11087" i="7"/>
  <c r="L11084" i="7"/>
  <c r="E11084" i="7"/>
  <c r="E11083" i="7"/>
  <c r="L11082" i="7"/>
  <c r="E11082" i="7"/>
  <c r="E11081" i="7"/>
  <c r="L11080" i="7"/>
  <c r="E11080" i="7"/>
  <c r="E11079" i="7"/>
  <c r="E11078" i="7"/>
  <c r="E11077" i="7"/>
  <c r="L11076" i="7"/>
  <c r="E11076" i="7"/>
  <c r="E11075" i="7"/>
  <c r="L11074" i="7"/>
  <c r="E11074" i="7"/>
  <c r="E11073" i="7"/>
  <c r="L11072" i="7"/>
  <c r="E11072" i="7"/>
  <c r="E11071" i="7"/>
  <c r="L11070" i="7"/>
  <c r="E11070" i="7"/>
  <c r="E11069" i="7"/>
  <c r="L11068" i="7"/>
  <c r="E11068" i="7"/>
  <c r="E11067" i="7"/>
  <c r="N148" i="58"/>
  <c r="L148" i="58"/>
  <c r="J148" i="58"/>
  <c r="H148" i="58"/>
  <c r="F148" i="58"/>
  <c r="N147" i="58"/>
  <c r="L147" i="58"/>
  <c r="J147" i="58"/>
  <c r="H147" i="58"/>
  <c r="F147" i="58"/>
  <c r="N146" i="58"/>
  <c r="L146" i="58"/>
  <c r="J146" i="58"/>
  <c r="H146" i="58"/>
  <c r="F146" i="58"/>
  <c r="N145" i="58"/>
  <c r="L145" i="58"/>
  <c r="J145" i="58"/>
  <c r="H145" i="58"/>
  <c r="F145" i="58"/>
  <c r="N144" i="58"/>
  <c r="L144" i="58"/>
  <c r="J144" i="58"/>
  <c r="H144" i="58"/>
  <c r="F144" i="58"/>
  <c r="N143" i="58"/>
  <c r="L143" i="58"/>
  <c r="J143" i="58"/>
  <c r="H143" i="58"/>
  <c r="F143" i="58"/>
  <c r="N142" i="58"/>
  <c r="L142" i="58"/>
  <c r="J142" i="58"/>
  <c r="H142" i="58"/>
  <c r="F142" i="58"/>
  <c r="B143" i="58"/>
  <c r="B144" i="58" s="1"/>
  <c r="B145" i="58" s="1"/>
  <c r="B146" i="58" s="1"/>
  <c r="B147" i="58" s="1"/>
  <c r="B148" i="58" s="1"/>
  <c r="D142" i="58"/>
  <c r="D143" i="58"/>
  <c r="D144" i="58"/>
  <c r="D145" i="58"/>
  <c r="D146" i="58"/>
  <c r="D147" i="58"/>
  <c r="D148" i="58"/>
  <c r="E11035" i="7"/>
  <c r="E11034" i="7"/>
  <c r="E11033" i="7"/>
  <c r="E11056" i="7"/>
  <c r="L11056" i="7"/>
  <c r="E11055" i="7"/>
  <c r="K11015" i="7"/>
  <c r="L11016" i="7" s="1"/>
  <c r="E11016" i="7"/>
  <c r="E11015" i="7"/>
  <c r="K11013" i="7"/>
  <c r="L11014" i="7" s="1"/>
  <c r="E11014" i="7"/>
  <c r="E11013" i="7"/>
  <c r="E11054" i="7"/>
  <c r="E11053" i="7"/>
  <c r="E11052" i="7"/>
  <c r="E11045" i="7"/>
  <c r="E11044" i="7"/>
  <c r="E11043" i="7"/>
  <c r="E11048" i="7"/>
  <c r="E11047" i="7"/>
  <c r="E11046" i="7"/>
  <c r="E11051" i="7"/>
  <c r="E11050" i="7"/>
  <c r="E11049" i="7"/>
  <c r="E11038" i="7"/>
  <c r="E11037" i="7"/>
  <c r="E11036" i="7"/>
  <c r="E11032" i="7"/>
  <c r="E11031" i="7"/>
  <c r="E11030" i="7"/>
  <c r="E11026" i="7"/>
  <c r="E11025" i="7"/>
  <c r="E11024" i="7"/>
  <c r="E10987" i="7"/>
  <c r="E10986" i="7"/>
  <c r="E10985" i="7"/>
  <c r="E10999" i="7"/>
  <c r="E10998" i="7"/>
  <c r="E10997" i="7"/>
  <c r="E10996" i="7"/>
  <c r="E10995" i="7"/>
  <c r="E10994" i="7"/>
  <c r="E10993" i="7"/>
  <c r="E10992" i="7"/>
  <c r="E10991" i="7"/>
  <c r="E10990" i="7"/>
  <c r="E10989" i="7"/>
  <c r="E10988" i="7"/>
  <c r="E11005" i="7"/>
  <c r="E11004" i="7"/>
  <c r="E11003" i="7"/>
  <c r="E11002" i="7"/>
  <c r="E11001" i="7"/>
  <c r="E11000" i="7"/>
  <c r="E11023" i="7"/>
  <c r="E11022" i="7"/>
  <c r="E11021" i="7"/>
  <c r="E11029" i="7"/>
  <c r="E11028" i="7"/>
  <c r="E11027" i="7"/>
  <c r="E11058" i="7" l="1"/>
  <c r="E11057" i="7"/>
  <c r="L11042" i="7"/>
  <c r="E11042" i="7"/>
  <c r="E11041" i="7"/>
  <c r="E11040" i="7"/>
  <c r="E11039" i="7"/>
  <c r="L11020" i="7"/>
  <c r="E11020" i="7"/>
  <c r="E11019" i="7"/>
  <c r="E11018" i="7"/>
  <c r="E11017" i="7"/>
  <c r="L11012" i="7"/>
  <c r="E11012" i="7"/>
  <c r="E11011" i="7"/>
  <c r="L11010" i="7"/>
  <c r="E11010" i="7"/>
  <c r="E11009" i="7"/>
  <c r="E11008" i="7" l="1"/>
  <c r="E11007" i="7"/>
  <c r="E11006" i="7"/>
  <c r="E10984" i="7"/>
  <c r="K10983" i="7"/>
  <c r="L10984" i="7" s="1"/>
  <c r="E10983" i="7"/>
  <c r="E10982" i="7"/>
  <c r="K10981" i="7"/>
  <c r="L10982" i="7" s="1"/>
  <c r="E10981" i="7"/>
  <c r="L10980" i="7"/>
  <c r="E10980" i="7"/>
  <c r="E10979" i="7"/>
  <c r="L10978" i="7"/>
  <c r="E10978" i="7"/>
  <c r="E10977" i="7"/>
  <c r="L10976" i="7"/>
  <c r="E10976" i="7"/>
  <c r="E10975" i="7"/>
  <c r="L10974" i="7"/>
  <c r="E10974" i="7"/>
  <c r="E10973" i="7"/>
  <c r="L10972" i="7"/>
  <c r="E10972" i="7"/>
  <c r="E10971" i="7"/>
  <c r="L10970" i="7"/>
  <c r="E10970" i="7"/>
  <c r="E10969" i="7"/>
  <c r="L10966" i="7"/>
  <c r="E10966" i="7"/>
  <c r="E10965" i="7"/>
  <c r="L10964" i="7"/>
  <c r="E10964" i="7"/>
  <c r="E10963" i="7"/>
  <c r="L10962" i="7"/>
  <c r="E10962" i="7"/>
  <c r="E10961" i="7"/>
  <c r="E10960" i="7"/>
  <c r="E10959" i="7"/>
  <c r="L10958" i="7"/>
  <c r="E10958" i="7"/>
  <c r="E10957" i="7"/>
  <c r="L10956" i="7"/>
  <c r="E10956" i="7"/>
  <c r="E10955" i="7"/>
  <c r="L10954" i="7"/>
  <c r="E10954" i="7"/>
  <c r="E10953" i="7"/>
  <c r="L10952" i="7"/>
  <c r="E10952" i="7"/>
  <c r="E10951" i="7"/>
  <c r="L10950" i="7"/>
  <c r="E10950" i="7"/>
  <c r="E10949" i="7"/>
  <c r="N155" i="58"/>
  <c r="L155" i="58"/>
  <c r="J155" i="58"/>
  <c r="H155" i="58"/>
  <c r="F155" i="58"/>
  <c r="N154" i="58"/>
  <c r="L154" i="58"/>
  <c r="J154" i="58"/>
  <c r="H154" i="58"/>
  <c r="F154" i="58"/>
  <c r="N153" i="58"/>
  <c r="L153" i="58"/>
  <c r="J153" i="58"/>
  <c r="H153" i="58"/>
  <c r="F153" i="58"/>
  <c r="N152" i="58"/>
  <c r="L152" i="58"/>
  <c r="J152" i="58"/>
  <c r="H152" i="58"/>
  <c r="F152" i="58"/>
  <c r="N151" i="58"/>
  <c r="L151" i="58"/>
  <c r="J151" i="58"/>
  <c r="H151" i="58"/>
  <c r="F151" i="58"/>
  <c r="N150" i="58"/>
  <c r="L150" i="58"/>
  <c r="J150" i="58"/>
  <c r="H150" i="58"/>
  <c r="F150" i="58"/>
  <c r="N149" i="58"/>
  <c r="L149" i="58"/>
  <c r="J149" i="58"/>
  <c r="H149" i="58"/>
  <c r="F149" i="58"/>
  <c r="B150" i="58"/>
  <c r="B151" i="58" s="1"/>
  <c r="B152" i="58" s="1"/>
  <c r="B153" i="58" s="1"/>
  <c r="B154" i="58" s="1"/>
  <c r="B155" i="58" s="1"/>
  <c r="D149" i="58"/>
  <c r="D150" i="58"/>
  <c r="D151" i="58"/>
  <c r="D152" i="58"/>
  <c r="D153" i="58"/>
  <c r="D154" i="58"/>
  <c r="D155" i="58"/>
  <c r="E10903" i="7" l="1"/>
  <c r="E10902" i="7"/>
  <c r="E10901" i="7"/>
  <c r="E10948" i="7"/>
  <c r="E10947" i="7"/>
  <c r="E10946" i="7"/>
  <c r="L10945" i="7" l="1"/>
  <c r="E10945" i="7"/>
  <c r="E10944" i="7"/>
  <c r="L10921" i="7"/>
  <c r="E10921" i="7"/>
  <c r="E10920" i="7"/>
  <c r="L10908" i="7"/>
  <c r="E10908" i="7"/>
  <c r="E10907" i="7"/>
  <c r="E10943" i="7"/>
  <c r="E10942" i="7"/>
  <c r="E10941" i="7"/>
  <c r="E10931" i="7"/>
  <c r="E10930" i="7"/>
  <c r="E10929" i="7"/>
  <c r="E10934" i="7"/>
  <c r="E10933" i="7"/>
  <c r="E10932" i="7"/>
  <c r="E10937" i="7"/>
  <c r="E10936" i="7"/>
  <c r="E10935" i="7"/>
  <c r="E10940" i="7"/>
  <c r="E10939" i="7"/>
  <c r="E10938" i="7"/>
  <c r="E10928" i="7"/>
  <c r="E10927" i="7"/>
  <c r="E10926" i="7"/>
  <c r="E10906" i="7"/>
  <c r="E10905" i="7"/>
  <c r="E10904" i="7"/>
  <c r="E10913" i="7"/>
  <c r="E10912" i="7"/>
  <c r="E10911" i="7"/>
  <c r="E10916" i="7"/>
  <c r="E10915" i="7"/>
  <c r="E10914" i="7"/>
  <c r="E10919" i="7"/>
  <c r="E10918" i="7"/>
  <c r="E10917" i="7"/>
  <c r="E10925" i="7" l="1"/>
  <c r="E10924" i="7"/>
  <c r="L10923" i="7"/>
  <c r="E10923" i="7"/>
  <c r="E10922" i="7"/>
  <c r="L10910" i="7"/>
  <c r="E10910" i="7"/>
  <c r="E10909" i="7"/>
  <c r="E10850" i="7"/>
  <c r="E10849" i="7"/>
  <c r="E10848" i="7"/>
  <c r="B157" i="58"/>
  <c r="B158" i="58" s="1"/>
  <c r="B159" i="58" s="1"/>
  <c r="B160" i="58" s="1"/>
  <c r="B161" i="58" s="1"/>
  <c r="B162" i="58" s="1"/>
  <c r="N162" i="58"/>
  <c r="L162" i="58"/>
  <c r="J162" i="58"/>
  <c r="H162" i="58"/>
  <c r="F162" i="58"/>
  <c r="N161" i="58"/>
  <c r="L161" i="58"/>
  <c r="J161" i="58"/>
  <c r="H161" i="58"/>
  <c r="F161" i="58"/>
  <c r="N160" i="58"/>
  <c r="L160" i="58"/>
  <c r="J160" i="58"/>
  <c r="H160" i="58"/>
  <c r="F160" i="58"/>
  <c r="N159" i="58"/>
  <c r="L159" i="58"/>
  <c r="J159" i="58"/>
  <c r="H159" i="58"/>
  <c r="F159" i="58"/>
  <c r="N158" i="58"/>
  <c r="L158" i="58"/>
  <c r="J158" i="58"/>
  <c r="H158" i="58"/>
  <c r="F158" i="58"/>
  <c r="N157" i="58"/>
  <c r="L157" i="58"/>
  <c r="J157" i="58"/>
  <c r="H157" i="58"/>
  <c r="F157" i="58"/>
  <c r="N156" i="58"/>
  <c r="L156" i="58"/>
  <c r="J156" i="58"/>
  <c r="H156" i="58"/>
  <c r="F156" i="58"/>
  <c r="D156" i="58"/>
  <c r="D157" i="58"/>
  <c r="D158" i="58"/>
  <c r="D159" i="58"/>
  <c r="D160" i="58"/>
  <c r="D161" i="58"/>
  <c r="D162" i="58"/>
  <c r="E10864" i="7"/>
  <c r="E10863" i="7"/>
  <c r="E10862" i="7"/>
  <c r="E10861" i="7"/>
  <c r="E10860" i="7"/>
  <c r="E10859" i="7"/>
  <c r="L10858" i="7" l="1"/>
  <c r="E10858" i="7"/>
  <c r="E10857" i="7"/>
  <c r="E10856" i="7"/>
  <c r="E10855" i="7"/>
  <c r="E10854" i="7"/>
  <c r="E10853" i="7"/>
  <c r="E10852" i="7"/>
  <c r="E10851" i="7"/>
  <c r="E10900" i="7" l="1"/>
  <c r="K10899" i="7"/>
  <c r="L10900" i="7" s="1"/>
  <c r="E10899" i="7"/>
  <c r="E10898" i="7"/>
  <c r="K10897" i="7"/>
  <c r="L10898" i="7" s="1"/>
  <c r="E10897" i="7"/>
  <c r="L10896" i="7"/>
  <c r="E10896" i="7"/>
  <c r="E10895" i="7"/>
  <c r="L10894" i="7"/>
  <c r="E10894" i="7"/>
  <c r="E10893" i="7"/>
  <c r="L10892" i="7"/>
  <c r="E10892" i="7"/>
  <c r="E10891" i="7"/>
  <c r="L10890" i="7"/>
  <c r="E10890" i="7"/>
  <c r="E10889" i="7"/>
  <c r="L10888" i="7"/>
  <c r="E10888" i="7"/>
  <c r="E10887" i="7"/>
  <c r="L10886" i="7"/>
  <c r="E10886" i="7"/>
  <c r="E10885" i="7"/>
  <c r="L10882" i="7"/>
  <c r="E10882" i="7"/>
  <c r="E10881" i="7"/>
  <c r="L10880" i="7"/>
  <c r="E10880" i="7"/>
  <c r="E10879" i="7"/>
  <c r="L10878" i="7"/>
  <c r="E10878" i="7"/>
  <c r="E10877" i="7"/>
  <c r="E10876" i="7"/>
  <c r="E10875" i="7"/>
  <c r="L10874" i="7"/>
  <c r="E10874" i="7"/>
  <c r="E10873" i="7"/>
  <c r="L10872" i="7"/>
  <c r="E10872" i="7"/>
  <c r="E10871" i="7"/>
  <c r="L10870" i="7"/>
  <c r="E10870" i="7"/>
  <c r="E10869" i="7"/>
  <c r="L10868" i="7"/>
  <c r="E10868" i="7"/>
  <c r="E10867" i="7"/>
  <c r="L10866" i="7"/>
  <c r="E10866" i="7"/>
  <c r="E10865" i="7"/>
  <c r="E10847" i="7" l="1"/>
  <c r="E10846" i="7"/>
  <c r="E10845" i="7"/>
  <c r="E10839" i="7"/>
  <c r="E10838" i="7"/>
  <c r="E10837" i="7"/>
  <c r="E10842" i="7"/>
  <c r="E10841" i="7"/>
  <c r="E10840" i="7"/>
  <c r="E10836" i="7"/>
  <c r="E10835" i="7"/>
  <c r="E10834" i="7"/>
  <c r="L10844" i="7" l="1"/>
  <c r="E10844" i="7"/>
  <c r="E10843" i="7"/>
  <c r="L10833" i="7"/>
  <c r="E10833" i="7"/>
  <c r="E10832" i="7"/>
  <c r="E10830" i="7"/>
  <c r="E10831" i="7"/>
  <c r="E10829" i="7"/>
  <c r="L10823" i="7" l="1"/>
  <c r="E10823" i="7"/>
  <c r="E10822" i="7"/>
  <c r="E10821" i="7"/>
  <c r="E10820" i="7"/>
  <c r="E10819" i="7"/>
  <c r="E10828" i="7"/>
  <c r="E10827" i="7"/>
  <c r="E10826" i="7"/>
  <c r="E10815" i="7"/>
  <c r="E10814" i="7"/>
  <c r="E10813" i="7"/>
  <c r="E10818" i="7"/>
  <c r="E10817" i="7"/>
  <c r="E10816" i="7"/>
  <c r="E10778" i="7" l="1"/>
  <c r="E10777" i="7"/>
  <c r="E10776" i="7"/>
  <c r="E10812" i="7"/>
  <c r="K10811" i="7"/>
  <c r="L10812" i="7" s="1"/>
  <c r="E10811" i="7"/>
  <c r="E10810" i="7"/>
  <c r="K10809" i="7"/>
  <c r="L10810" i="7" s="1"/>
  <c r="E10809" i="7"/>
  <c r="L10808" i="7"/>
  <c r="E10808" i="7"/>
  <c r="E10807" i="7"/>
  <c r="L10806" i="7"/>
  <c r="E10806" i="7"/>
  <c r="E10805" i="7"/>
  <c r="L10804" i="7"/>
  <c r="E10804" i="7"/>
  <c r="E10803" i="7"/>
  <c r="L10802" i="7"/>
  <c r="E10802" i="7"/>
  <c r="E10801" i="7"/>
  <c r="L10800" i="7"/>
  <c r="E10800" i="7"/>
  <c r="E10799" i="7"/>
  <c r="L10798" i="7"/>
  <c r="E10798" i="7"/>
  <c r="E10797" i="7"/>
  <c r="L10796" i="7"/>
  <c r="E10796" i="7"/>
  <c r="E10795" i="7"/>
  <c r="L10794" i="7"/>
  <c r="E10794" i="7"/>
  <c r="E10793" i="7"/>
  <c r="L10792" i="7"/>
  <c r="E10792" i="7"/>
  <c r="E10791" i="7"/>
  <c r="E10790" i="7"/>
  <c r="E10789" i="7"/>
  <c r="L10788" i="7"/>
  <c r="E10788" i="7"/>
  <c r="E10787" i="7"/>
  <c r="L10786" i="7"/>
  <c r="E10786" i="7"/>
  <c r="E10785" i="7"/>
  <c r="L10784" i="7"/>
  <c r="E10784" i="7"/>
  <c r="E10783" i="7"/>
  <c r="L10782" i="7"/>
  <c r="E10782" i="7"/>
  <c r="E10781" i="7"/>
  <c r="L10780" i="7"/>
  <c r="E10780" i="7"/>
  <c r="E10779" i="7"/>
  <c r="L10775" i="7"/>
  <c r="E10775" i="7"/>
  <c r="E10774" i="7"/>
  <c r="L10764" i="7"/>
  <c r="E10764" i="7"/>
  <c r="E10763" i="7"/>
  <c r="L10754" i="7"/>
  <c r="E10754" i="7"/>
  <c r="E10753" i="7"/>
  <c r="L10737" i="7"/>
  <c r="E10737" i="7"/>
  <c r="E10736" i="7"/>
  <c r="L10762" i="7"/>
  <c r="E10762" i="7"/>
  <c r="E10761" i="7"/>
  <c r="L10729" i="7" l="1"/>
  <c r="E10729" i="7"/>
  <c r="E10728" i="7"/>
  <c r="F169" i="58" l="1"/>
  <c r="F168" i="58"/>
  <c r="F167" i="58"/>
  <c r="F166" i="58"/>
  <c r="F165" i="58"/>
  <c r="F164" i="58"/>
  <c r="F163" i="58"/>
  <c r="N169" i="58"/>
  <c r="L169" i="58"/>
  <c r="J169" i="58"/>
  <c r="H169" i="58"/>
  <c r="N168" i="58"/>
  <c r="L168" i="58"/>
  <c r="J168" i="58"/>
  <c r="H168" i="58"/>
  <c r="N167" i="58"/>
  <c r="L167" i="58"/>
  <c r="J167" i="58"/>
  <c r="H167" i="58"/>
  <c r="N166" i="58"/>
  <c r="L166" i="58"/>
  <c r="J166" i="58"/>
  <c r="H166" i="58"/>
  <c r="N165" i="58"/>
  <c r="L165" i="58"/>
  <c r="J165" i="58"/>
  <c r="H165" i="58"/>
  <c r="N164" i="58"/>
  <c r="L164" i="58"/>
  <c r="J164" i="58"/>
  <c r="H164" i="58"/>
  <c r="N163" i="58"/>
  <c r="L163" i="58"/>
  <c r="J163" i="58"/>
  <c r="H163" i="58"/>
  <c r="B164" i="58"/>
  <c r="B165" i="58" s="1"/>
  <c r="B166" i="58" s="1"/>
  <c r="B167" i="58" s="1"/>
  <c r="B168" i="58" s="1"/>
  <c r="B169" i="58" s="1"/>
  <c r="D163" i="58"/>
  <c r="D164" i="58"/>
  <c r="D165" i="58"/>
  <c r="D166" i="58"/>
  <c r="D167" i="58"/>
  <c r="D168" i="58"/>
  <c r="D169" i="58"/>
  <c r="E10730" i="7"/>
  <c r="E10731" i="7"/>
  <c r="E10732" i="7"/>
  <c r="E10733" i="7"/>
  <c r="E10734" i="7"/>
  <c r="E10735" i="7"/>
  <c r="E10738" i="7"/>
  <c r="E10739" i="7"/>
  <c r="E10740" i="7"/>
  <c r="E10741" i="7"/>
  <c r="E10742" i="7"/>
  <c r="E10743" i="7"/>
  <c r="E10744" i="7"/>
  <c r="E10745" i="7"/>
  <c r="E10746" i="7"/>
  <c r="E10747" i="7"/>
  <c r="E10748" i="7"/>
  <c r="E10749" i="7"/>
  <c r="E10750" i="7"/>
  <c r="E10751" i="7"/>
  <c r="E10752" i="7"/>
  <c r="E10755" i="7"/>
  <c r="E10756" i="7"/>
  <c r="E10757" i="7"/>
  <c r="E10758" i="7"/>
  <c r="E10759" i="7"/>
  <c r="E10760" i="7"/>
  <c r="E10765" i="7"/>
  <c r="E10766" i="7"/>
  <c r="E10767" i="7"/>
  <c r="E10768" i="7"/>
  <c r="E10769" i="7"/>
  <c r="E10770" i="7"/>
  <c r="E10771" i="7"/>
  <c r="E10772" i="7"/>
  <c r="E10773" i="7"/>
  <c r="E10673" i="7" l="1"/>
  <c r="E10672" i="7"/>
  <c r="E10671" i="7"/>
  <c r="E10693" i="7"/>
  <c r="E10692" i="7"/>
  <c r="E10691" i="7"/>
  <c r="N176" i="58" l="1"/>
  <c r="L176" i="58"/>
  <c r="J176" i="58"/>
  <c r="H176" i="58"/>
  <c r="F176" i="58"/>
  <c r="N175" i="58"/>
  <c r="L175" i="58"/>
  <c r="J175" i="58"/>
  <c r="H175" i="58"/>
  <c r="F175" i="58"/>
  <c r="N174" i="58"/>
  <c r="L174" i="58"/>
  <c r="J174" i="58"/>
  <c r="H174" i="58"/>
  <c r="F174" i="58"/>
  <c r="N173" i="58"/>
  <c r="L173" i="58"/>
  <c r="J173" i="58"/>
  <c r="H173" i="58"/>
  <c r="F173" i="58"/>
  <c r="N172" i="58"/>
  <c r="L172" i="58"/>
  <c r="J172" i="58"/>
  <c r="H172" i="58"/>
  <c r="F172" i="58"/>
  <c r="N171" i="58"/>
  <c r="L171" i="58"/>
  <c r="J171" i="58"/>
  <c r="H171" i="58"/>
  <c r="F171" i="58"/>
  <c r="N170" i="58"/>
  <c r="L170" i="58"/>
  <c r="J170" i="58"/>
  <c r="H170" i="58"/>
  <c r="F170" i="58"/>
  <c r="B171" i="58"/>
  <c r="B172" i="58" s="1"/>
  <c r="B173" i="58" s="1"/>
  <c r="B174" i="58" s="1"/>
  <c r="B175" i="58" s="1"/>
  <c r="B176" i="58" s="1"/>
  <c r="D170" i="58"/>
  <c r="D171" i="58"/>
  <c r="D172" i="58"/>
  <c r="D173" i="58"/>
  <c r="D174" i="58"/>
  <c r="D175" i="58"/>
  <c r="D176" i="58"/>
  <c r="E10727" i="7"/>
  <c r="K10726" i="7"/>
  <c r="L10727" i="7" s="1"/>
  <c r="E10726" i="7"/>
  <c r="E10725" i="7"/>
  <c r="K10724" i="7"/>
  <c r="L10725" i="7" s="1"/>
  <c r="E10724" i="7"/>
  <c r="L10723" i="7"/>
  <c r="E10723" i="7"/>
  <c r="E10722" i="7"/>
  <c r="L10721" i="7"/>
  <c r="E10721" i="7"/>
  <c r="E10720" i="7"/>
  <c r="L10719" i="7"/>
  <c r="E10719" i="7"/>
  <c r="E10718" i="7"/>
  <c r="L10717" i="7"/>
  <c r="E10717" i="7"/>
  <c r="E10716" i="7"/>
  <c r="L10715" i="7"/>
  <c r="E10715" i="7"/>
  <c r="E10714" i="7"/>
  <c r="L10713" i="7"/>
  <c r="E10713" i="7"/>
  <c r="E10712" i="7"/>
  <c r="L10711" i="7"/>
  <c r="E10711" i="7"/>
  <c r="E10710" i="7"/>
  <c r="L10709" i="7"/>
  <c r="E10709" i="7"/>
  <c r="E10708" i="7"/>
  <c r="L10707" i="7"/>
  <c r="E10707" i="7"/>
  <c r="E10706" i="7"/>
  <c r="E10705" i="7"/>
  <c r="E10704" i="7"/>
  <c r="L10703" i="7"/>
  <c r="E10703" i="7"/>
  <c r="E10702" i="7"/>
  <c r="L10701" i="7"/>
  <c r="E10701" i="7"/>
  <c r="E10700" i="7"/>
  <c r="L10699" i="7"/>
  <c r="E10699" i="7"/>
  <c r="E10698" i="7"/>
  <c r="L10697" i="7"/>
  <c r="E10697" i="7"/>
  <c r="E10696" i="7"/>
  <c r="L10695" i="7"/>
  <c r="E10695" i="7"/>
  <c r="E10694" i="7"/>
  <c r="L10690" i="7"/>
  <c r="E10690" i="7"/>
  <c r="E10689" i="7"/>
  <c r="L10688" i="7" l="1"/>
  <c r="E10688" i="7"/>
  <c r="E10687" i="7"/>
  <c r="L10683" i="7"/>
  <c r="E10683" i="7"/>
  <c r="E10682" i="7"/>
  <c r="E10681" i="7"/>
  <c r="E10680" i="7"/>
  <c r="E10679" i="7"/>
  <c r="E10686" i="7"/>
  <c r="E10685" i="7"/>
  <c r="E10684" i="7"/>
  <c r="L10609" i="7" l="1"/>
  <c r="E10609" i="7"/>
  <c r="E10608" i="7"/>
  <c r="L10659" i="7"/>
  <c r="E10659" i="7"/>
  <c r="E10658" i="7"/>
  <c r="L10657" i="7"/>
  <c r="E10657" i="7"/>
  <c r="E10656" i="7"/>
  <c r="E10646" i="7"/>
  <c r="E10645" i="7"/>
  <c r="E10644" i="7"/>
  <c r="L10607" i="7" l="1"/>
  <c r="E10607" i="7"/>
  <c r="E10606" i="7"/>
  <c r="E10668" i="7"/>
  <c r="E10667" i="7"/>
  <c r="E10666" i="7"/>
  <c r="E10678" i="7"/>
  <c r="E10677" i="7"/>
  <c r="E10676" i="7"/>
  <c r="E10665" i="7"/>
  <c r="E10664" i="7"/>
  <c r="E10663" i="7"/>
  <c r="E10662" i="7"/>
  <c r="E10661" i="7"/>
  <c r="E10660" i="7"/>
  <c r="E10655" i="7"/>
  <c r="E10654" i="7"/>
  <c r="E10653" i="7"/>
  <c r="L10675" i="7" l="1"/>
  <c r="E10675" i="7"/>
  <c r="E10674" i="7"/>
  <c r="E10670" i="7"/>
  <c r="E10669" i="7"/>
  <c r="E10652" i="7" l="1"/>
  <c r="E10651" i="7"/>
  <c r="E10650" i="7"/>
  <c r="E10649" i="7"/>
  <c r="E10648" i="7"/>
  <c r="E10647" i="7"/>
  <c r="F183" i="58" l="1"/>
  <c r="F182" i="58"/>
  <c r="F181" i="58"/>
  <c r="F180" i="58"/>
  <c r="F179" i="58"/>
  <c r="F178" i="58"/>
  <c r="F177" i="58"/>
  <c r="N183" i="58"/>
  <c r="L183" i="58"/>
  <c r="J183" i="58"/>
  <c r="H183" i="58"/>
  <c r="N182" i="58"/>
  <c r="L182" i="58"/>
  <c r="J182" i="58"/>
  <c r="H182" i="58"/>
  <c r="N181" i="58"/>
  <c r="L181" i="58"/>
  <c r="J181" i="58"/>
  <c r="H181" i="58"/>
  <c r="N180" i="58"/>
  <c r="L180" i="58"/>
  <c r="J180" i="58"/>
  <c r="H180" i="58"/>
  <c r="N179" i="58"/>
  <c r="L179" i="58"/>
  <c r="J179" i="58"/>
  <c r="H179" i="58"/>
  <c r="N178" i="58"/>
  <c r="L178" i="58"/>
  <c r="J178" i="58"/>
  <c r="H178" i="58"/>
  <c r="N177" i="58"/>
  <c r="L177" i="58"/>
  <c r="J177" i="58"/>
  <c r="H177" i="58"/>
  <c r="B178" i="58"/>
  <c r="B179" i="58" s="1"/>
  <c r="B180" i="58" s="1"/>
  <c r="B181" i="58" s="1"/>
  <c r="B182" i="58" s="1"/>
  <c r="B183" i="58" s="1"/>
  <c r="D177" i="58"/>
  <c r="D178" i="58"/>
  <c r="D179" i="58"/>
  <c r="D180" i="58"/>
  <c r="D181" i="58"/>
  <c r="D182" i="58"/>
  <c r="D183" i="58"/>
  <c r="E10643" i="7"/>
  <c r="K10642" i="7"/>
  <c r="L10643" i="7" s="1"/>
  <c r="E10642" i="7"/>
  <c r="E10641" i="7"/>
  <c r="K10640" i="7"/>
  <c r="L10641" i="7" s="1"/>
  <c r="E10640" i="7"/>
  <c r="L10639" i="7"/>
  <c r="E10639" i="7"/>
  <c r="E10638" i="7"/>
  <c r="L10637" i="7"/>
  <c r="E10637" i="7"/>
  <c r="E10636" i="7"/>
  <c r="L10635" i="7"/>
  <c r="E10635" i="7"/>
  <c r="E10634" i="7"/>
  <c r="L10633" i="7"/>
  <c r="E10633" i="7"/>
  <c r="E10632" i="7"/>
  <c r="L10631" i="7"/>
  <c r="E10631" i="7"/>
  <c r="E10630" i="7"/>
  <c r="L10629" i="7"/>
  <c r="E10629" i="7"/>
  <c r="E10628" i="7"/>
  <c r="L10627" i="7"/>
  <c r="E10627" i="7"/>
  <c r="E10626" i="7"/>
  <c r="L10625" i="7"/>
  <c r="E10625" i="7"/>
  <c r="E10624" i="7"/>
  <c r="L10623" i="7"/>
  <c r="E10623" i="7"/>
  <c r="E10622" i="7"/>
  <c r="E10621" i="7"/>
  <c r="E10620" i="7"/>
  <c r="L10619" i="7"/>
  <c r="E10619" i="7"/>
  <c r="E10618" i="7"/>
  <c r="L10617" i="7"/>
  <c r="E10617" i="7"/>
  <c r="E10616" i="7"/>
  <c r="L10615" i="7"/>
  <c r="E10615" i="7"/>
  <c r="E10614" i="7"/>
  <c r="L10613" i="7"/>
  <c r="E10613" i="7"/>
  <c r="E10612" i="7"/>
  <c r="L10611" i="7"/>
  <c r="E10611" i="7"/>
  <c r="E10610" i="7"/>
  <c r="L10592" i="7"/>
  <c r="E10592" i="7"/>
  <c r="E10591" i="7"/>
  <c r="L10562" i="7"/>
  <c r="E10562" i="7"/>
  <c r="E10561" i="7"/>
  <c r="L10560" i="7"/>
  <c r="E10560" i="7"/>
  <c r="E10559" i="7"/>
  <c r="E10605" i="7"/>
  <c r="E10604" i="7"/>
  <c r="E10575" i="7" l="1"/>
  <c r="E10574" i="7"/>
  <c r="L10603" i="7"/>
  <c r="E10603" i="7"/>
  <c r="E10602" i="7"/>
  <c r="L10590" i="7"/>
  <c r="E10590" i="7"/>
  <c r="E10589" i="7"/>
  <c r="L10588" i="7"/>
  <c r="E10588" i="7"/>
  <c r="E10587" i="7"/>
  <c r="L10586" i="7"/>
  <c r="E10586" i="7"/>
  <c r="E10585" i="7"/>
  <c r="L10573" i="7"/>
  <c r="E10573" i="7"/>
  <c r="E10572" i="7"/>
  <c r="E10552" i="7" l="1"/>
  <c r="E10551" i="7"/>
  <c r="E10550" i="7"/>
  <c r="E10558" i="7"/>
  <c r="E10557" i="7"/>
  <c r="E10556" i="7"/>
  <c r="E10555" i="7"/>
  <c r="E10554" i="7"/>
  <c r="E10553" i="7"/>
  <c r="E10549" i="7"/>
  <c r="E10548" i="7"/>
  <c r="E10547" i="7"/>
  <c r="E10563" i="7"/>
  <c r="E10546" i="7"/>
  <c r="E10545" i="7"/>
  <c r="E10544" i="7"/>
  <c r="L10543" i="7"/>
  <c r="E10543" i="7"/>
  <c r="E10542" i="7"/>
  <c r="E10541" i="7" l="1"/>
  <c r="E10540" i="7"/>
  <c r="E10539" i="7" l="1"/>
  <c r="L10539" i="7"/>
  <c r="E10538" i="7"/>
  <c r="K10530" i="7"/>
  <c r="L10531" i="7" s="1"/>
  <c r="E10531" i="7"/>
  <c r="E10530" i="7"/>
  <c r="E10601" i="7"/>
  <c r="E10600" i="7"/>
  <c r="E10599" i="7"/>
  <c r="E10571" i="7"/>
  <c r="E10570" i="7"/>
  <c r="E10569" i="7"/>
  <c r="E10529" i="7"/>
  <c r="E10528" i="7"/>
  <c r="E10527" i="7"/>
  <c r="E10508" i="7" l="1"/>
  <c r="E10507" i="7"/>
  <c r="E10506" i="7"/>
  <c r="E10471" i="7"/>
  <c r="E10470" i="7"/>
  <c r="E10469" i="7"/>
  <c r="E10584" i="7"/>
  <c r="E10583" i="7"/>
  <c r="E10582" i="7"/>
  <c r="E10595" i="7"/>
  <c r="E10594" i="7"/>
  <c r="E10593" i="7"/>
  <c r="E10578" i="7"/>
  <c r="E10577" i="7"/>
  <c r="E10576" i="7"/>
  <c r="E10598" i="7"/>
  <c r="E10597" i="7"/>
  <c r="E10596" i="7"/>
  <c r="E10581" i="7"/>
  <c r="E10580" i="7"/>
  <c r="E10579" i="7"/>
  <c r="E10568" i="7"/>
  <c r="E10567" i="7"/>
  <c r="E10566" i="7"/>
  <c r="E10565" i="7"/>
  <c r="E10564" i="7"/>
  <c r="E10537" i="7"/>
  <c r="E10536" i="7"/>
  <c r="E10535" i="7"/>
  <c r="E10534" i="7"/>
  <c r="E10533" i="7"/>
  <c r="E10532" i="7"/>
  <c r="E10523" i="7"/>
  <c r="E10522" i="7"/>
  <c r="E10521" i="7"/>
  <c r="E10520" i="7"/>
  <c r="E10519" i="7"/>
  <c r="E10518" i="7"/>
  <c r="E10526" i="7"/>
  <c r="E10525" i="7"/>
  <c r="E10524" i="7"/>
  <c r="E10517" i="7"/>
  <c r="E10516" i="7"/>
  <c r="E10515" i="7"/>
  <c r="E10514" i="7"/>
  <c r="E10513" i="7"/>
  <c r="E10512" i="7"/>
  <c r="E10511" i="7"/>
  <c r="E10510" i="7"/>
  <c r="E10509" i="7"/>
  <c r="E10505" i="7" l="1"/>
  <c r="K10504" i="7"/>
  <c r="L10505" i="7" s="1"/>
  <c r="E10504" i="7"/>
  <c r="E10503" i="7"/>
  <c r="K10502" i="7"/>
  <c r="L10503" i="7" s="1"/>
  <c r="E10502" i="7"/>
  <c r="L10501" i="7"/>
  <c r="E10501" i="7"/>
  <c r="E10500" i="7"/>
  <c r="L10499" i="7"/>
  <c r="E10499" i="7"/>
  <c r="E10498" i="7"/>
  <c r="L10497" i="7"/>
  <c r="E10497" i="7"/>
  <c r="E10496" i="7"/>
  <c r="L10495" i="7"/>
  <c r="E10495" i="7"/>
  <c r="E10494" i="7"/>
  <c r="L10493" i="7"/>
  <c r="E10493" i="7"/>
  <c r="E10492" i="7"/>
  <c r="L10491" i="7"/>
  <c r="E10491" i="7"/>
  <c r="E10490" i="7"/>
  <c r="L10489" i="7"/>
  <c r="E10489" i="7"/>
  <c r="E10488" i="7"/>
  <c r="L10487" i="7"/>
  <c r="E10487" i="7"/>
  <c r="E10486" i="7"/>
  <c r="L10485" i="7"/>
  <c r="E10485" i="7"/>
  <c r="E10484" i="7"/>
  <c r="E10483" i="7"/>
  <c r="E10482" i="7"/>
  <c r="L10481" i="7"/>
  <c r="E10481" i="7"/>
  <c r="E10480" i="7"/>
  <c r="L10479" i="7"/>
  <c r="E10479" i="7"/>
  <c r="E10478" i="7"/>
  <c r="L10477" i="7"/>
  <c r="E10477" i="7"/>
  <c r="E10476" i="7"/>
  <c r="L10475" i="7"/>
  <c r="E10475" i="7"/>
  <c r="E10474" i="7"/>
  <c r="L10473" i="7"/>
  <c r="E10473" i="7"/>
  <c r="E10472" i="7"/>
  <c r="N190" i="58"/>
  <c r="L190" i="58"/>
  <c r="J190" i="58"/>
  <c r="H190" i="58"/>
  <c r="F190" i="58"/>
  <c r="N189" i="58"/>
  <c r="L189" i="58"/>
  <c r="J189" i="58"/>
  <c r="H189" i="58"/>
  <c r="F189" i="58"/>
  <c r="N188" i="58"/>
  <c r="L188" i="58"/>
  <c r="J188" i="58"/>
  <c r="H188" i="58"/>
  <c r="F188" i="58"/>
  <c r="N187" i="58"/>
  <c r="L187" i="58"/>
  <c r="J187" i="58"/>
  <c r="H187" i="58"/>
  <c r="F187" i="58"/>
  <c r="N186" i="58"/>
  <c r="L186" i="58"/>
  <c r="J186" i="58"/>
  <c r="H186" i="58"/>
  <c r="F186" i="58"/>
  <c r="N185" i="58"/>
  <c r="L185" i="58"/>
  <c r="J185" i="58"/>
  <c r="H185" i="58"/>
  <c r="F185" i="58"/>
  <c r="N184" i="58"/>
  <c r="L184" i="58"/>
  <c r="J184" i="58"/>
  <c r="H184" i="58"/>
  <c r="F184" i="58"/>
  <c r="B185" i="58"/>
  <c r="B186" i="58" s="1"/>
  <c r="B187" i="58" s="1"/>
  <c r="B188" i="58" s="1"/>
  <c r="B189" i="58" s="1"/>
  <c r="B190" i="58" s="1"/>
  <c r="D184" i="58"/>
  <c r="D185" i="58"/>
  <c r="D186" i="58"/>
  <c r="D187" i="58"/>
  <c r="D188" i="58"/>
  <c r="D189" i="58"/>
  <c r="D190" i="58"/>
  <c r="E10462" i="7"/>
  <c r="E10461" i="7"/>
  <c r="E10460" i="7"/>
  <c r="E10459" i="7"/>
  <c r="E10458" i="7"/>
  <c r="E10457" i="7"/>
  <c r="E10433" i="7"/>
  <c r="E10432" i="7"/>
  <c r="E10431" i="7"/>
  <c r="E10468" i="7"/>
  <c r="E10467" i="7"/>
  <c r="E10466" i="7"/>
  <c r="E10465" i="7"/>
  <c r="E10464" i="7"/>
  <c r="E10463" i="7"/>
  <c r="E10456" i="7"/>
  <c r="E10455" i="7"/>
  <c r="E10454" i="7"/>
  <c r="E10453" i="7"/>
  <c r="E10452" i="7"/>
  <c r="E10451" i="7"/>
  <c r="E10450" i="7"/>
  <c r="E10449" i="7"/>
  <c r="E10448" i="7"/>
  <c r="E10447" i="7"/>
  <c r="E10446" i="7"/>
  <c r="E10445" i="7"/>
  <c r="E10444" i="7"/>
  <c r="E10443" i="7"/>
  <c r="E10442" i="7"/>
  <c r="L10441" i="7" l="1"/>
  <c r="E10441" i="7"/>
  <c r="E10440" i="7"/>
  <c r="L10439" i="7"/>
  <c r="E10439" i="7"/>
  <c r="E10438" i="7"/>
  <c r="L10437" i="7"/>
  <c r="E10437" i="7"/>
  <c r="E10436" i="7"/>
  <c r="L10435" i="7"/>
  <c r="E10435" i="7"/>
  <c r="E10434" i="7"/>
  <c r="E10396" i="7"/>
  <c r="E10395" i="7"/>
  <c r="E10394" i="7"/>
  <c r="E10393" i="7"/>
  <c r="E10392" i="7"/>
  <c r="E10391" i="7"/>
  <c r="E10390" i="7"/>
  <c r="E10389" i="7"/>
  <c r="E10388" i="7"/>
  <c r="L192" i="58" l="1"/>
  <c r="L193" i="58"/>
  <c r="L194" i="58"/>
  <c r="L195" i="58"/>
  <c r="L196" i="58"/>
  <c r="L197" i="58"/>
  <c r="L198" i="58"/>
  <c r="L199" i="58"/>
  <c r="L200" i="58"/>
  <c r="L201" i="58"/>
  <c r="L202" i="58"/>
  <c r="L203" i="58"/>
  <c r="L204" i="58"/>
  <c r="L205" i="58"/>
  <c r="L206" i="58"/>
  <c r="L207" i="58"/>
  <c r="L208" i="58"/>
  <c r="L209" i="58"/>
  <c r="L210" i="58"/>
  <c r="L211" i="58"/>
  <c r="L212" i="58"/>
  <c r="L213" i="58"/>
  <c r="L214" i="58"/>
  <c r="L215" i="58"/>
  <c r="L216" i="58"/>
  <c r="L217" i="58"/>
  <c r="L218" i="58"/>
  <c r="L219" i="58"/>
  <c r="L220" i="58"/>
  <c r="L221" i="58"/>
  <c r="L222" i="58"/>
  <c r="L223" i="58"/>
  <c r="L224" i="58"/>
  <c r="L225" i="58"/>
  <c r="L226" i="58"/>
  <c r="L227" i="58"/>
  <c r="L228" i="58"/>
  <c r="L229" i="58"/>
  <c r="L230" i="58"/>
  <c r="L231" i="58"/>
  <c r="L232" i="58"/>
  <c r="L233" i="58"/>
  <c r="L234" i="58"/>
  <c r="L235" i="58"/>
  <c r="L236" i="58"/>
  <c r="L237" i="58"/>
  <c r="L238" i="58"/>
  <c r="L239" i="58"/>
  <c r="L240" i="58"/>
  <c r="L241" i="58"/>
  <c r="L242" i="58"/>
  <c r="L243" i="58"/>
  <c r="L244" i="58"/>
  <c r="L245" i="58"/>
  <c r="L246" i="58"/>
  <c r="L247" i="58"/>
  <c r="L248" i="58"/>
  <c r="L249" i="58"/>
  <c r="L250" i="58"/>
  <c r="L251" i="58"/>
  <c r="L252" i="58"/>
  <c r="L253" i="58"/>
  <c r="L254" i="58"/>
  <c r="L255" i="58"/>
  <c r="L256" i="58"/>
  <c r="L257" i="58"/>
  <c r="L258" i="58"/>
  <c r="L259" i="58"/>
  <c r="L260" i="58"/>
  <c r="L261" i="58"/>
  <c r="L262" i="58"/>
  <c r="L263" i="58"/>
  <c r="L264" i="58"/>
  <c r="L265" i="58"/>
  <c r="L266" i="58"/>
  <c r="L267" i="58"/>
  <c r="L268" i="58"/>
  <c r="L269" i="58"/>
  <c r="L270" i="58"/>
  <c r="L271" i="58"/>
  <c r="L272" i="58"/>
  <c r="L273" i="58"/>
  <c r="L274" i="58"/>
  <c r="L275" i="58"/>
  <c r="L276" i="58"/>
  <c r="L277" i="58"/>
  <c r="L278" i="58"/>
  <c r="L279" i="58"/>
  <c r="L191" i="58"/>
  <c r="E10378" i="7"/>
  <c r="E10377" i="7"/>
  <c r="E10430" i="7"/>
  <c r="K10429" i="7"/>
  <c r="L10430" i="7" s="1"/>
  <c r="E10429" i="7"/>
  <c r="E10428" i="7"/>
  <c r="K10427" i="7"/>
  <c r="L10428" i="7" s="1"/>
  <c r="E10427" i="7"/>
  <c r="L10426" i="7"/>
  <c r="E10426" i="7"/>
  <c r="E10425" i="7"/>
  <c r="L10424" i="7"/>
  <c r="E10424" i="7"/>
  <c r="E10423" i="7"/>
  <c r="L10422" i="7"/>
  <c r="E10422" i="7"/>
  <c r="E10421" i="7"/>
  <c r="L10420" i="7"/>
  <c r="E10420" i="7"/>
  <c r="E10419" i="7"/>
  <c r="L10418" i="7"/>
  <c r="E10418" i="7"/>
  <c r="E10417" i="7"/>
  <c r="L10416" i="7"/>
  <c r="E10416" i="7"/>
  <c r="E10415" i="7"/>
  <c r="L10414" i="7"/>
  <c r="E10414" i="7"/>
  <c r="E10413" i="7"/>
  <c r="L10412" i="7"/>
  <c r="E10412" i="7"/>
  <c r="E10411" i="7"/>
  <c r="L10410" i="7"/>
  <c r="E10410" i="7"/>
  <c r="E10409" i="7"/>
  <c r="E10408" i="7"/>
  <c r="E10407" i="7"/>
  <c r="L10406" i="7"/>
  <c r="E10406" i="7"/>
  <c r="E10405" i="7"/>
  <c r="L10404" i="7"/>
  <c r="E10404" i="7"/>
  <c r="E10403" i="7"/>
  <c r="L10402" i="7"/>
  <c r="E10402" i="7"/>
  <c r="E10401" i="7"/>
  <c r="L10400" i="7"/>
  <c r="E10400" i="7"/>
  <c r="E10399" i="7"/>
  <c r="L10398" i="7"/>
  <c r="E10398" i="7"/>
  <c r="E10397" i="7"/>
  <c r="L10387" i="7"/>
  <c r="E10387" i="7"/>
  <c r="E10386" i="7"/>
  <c r="L10385" i="7"/>
  <c r="E10385" i="7"/>
  <c r="E10384" i="7"/>
  <c r="L2" i="58" l="1"/>
  <c r="F197" i="58"/>
  <c r="F196" i="58"/>
  <c r="F195" i="58"/>
  <c r="F194" i="58"/>
  <c r="F193" i="58"/>
  <c r="F192" i="58"/>
  <c r="F191" i="58"/>
  <c r="H197" i="58"/>
  <c r="H196" i="58"/>
  <c r="H195" i="58"/>
  <c r="H194" i="58"/>
  <c r="H193" i="58"/>
  <c r="H192" i="58"/>
  <c r="H191" i="58"/>
  <c r="N197" i="58"/>
  <c r="N196" i="58"/>
  <c r="N195" i="58"/>
  <c r="N194" i="58"/>
  <c r="N193" i="58"/>
  <c r="N192" i="58"/>
  <c r="N191" i="58"/>
  <c r="B192" i="58"/>
  <c r="B193" i="58" s="1"/>
  <c r="B194" i="58" s="1"/>
  <c r="B195" i="58" s="1"/>
  <c r="B196" i="58" s="1"/>
  <c r="B197" i="58" s="1"/>
  <c r="D191" i="58"/>
  <c r="J191" i="58"/>
  <c r="D192" i="58"/>
  <c r="J192" i="58"/>
  <c r="D193" i="58"/>
  <c r="J193" i="58"/>
  <c r="D194" i="58"/>
  <c r="J194" i="58"/>
  <c r="D195" i="58"/>
  <c r="J195" i="58"/>
  <c r="D196" i="58"/>
  <c r="J196" i="58"/>
  <c r="D197" i="58"/>
  <c r="J197" i="58"/>
  <c r="L9110" i="7"/>
  <c r="E9110" i="7"/>
  <c r="E9109" i="7"/>
  <c r="L9518" i="7"/>
  <c r="E9518" i="7"/>
  <c r="E9517" i="7"/>
  <c r="L10376" i="7" l="1"/>
  <c r="E10376" i="7"/>
  <c r="E10375" i="7"/>
  <c r="L10383" i="7"/>
  <c r="E10383" i="7"/>
  <c r="E10382" i="7"/>
  <c r="E10381" i="7"/>
  <c r="E10380" i="7"/>
  <c r="E10379" i="7"/>
  <c r="E10374" i="7"/>
  <c r="E10373" i="7"/>
  <c r="E10372" i="7"/>
  <c r="L10366" i="7" l="1"/>
  <c r="E10366" i="7"/>
  <c r="E10365" i="7"/>
  <c r="E10359" i="7" l="1"/>
  <c r="E10358" i="7"/>
  <c r="L10371" i="7"/>
  <c r="E10371" i="7"/>
  <c r="E10370" i="7"/>
  <c r="L10364" i="7"/>
  <c r="E10364" i="7"/>
  <c r="E10363" i="7"/>
  <c r="E10369" i="7"/>
  <c r="E10368" i="7"/>
  <c r="E10367" i="7"/>
  <c r="E10362" i="7"/>
  <c r="E10361" i="7"/>
  <c r="E10360" i="7"/>
  <c r="J20" i="2" l="1"/>
  <c r="E10357" i="7"/>
  <c r="E10356" i="7"/>
  <c r="E10355" i="7"/>
  <c r="E10320" i="7"/>
  <c r="E10319" i="7"/>
  <c r="E10318" i="7"/>
  <c r="E10317" i="7"/>
  <c r="E10316" i="7"/>
  <c r="E10315" i="7"/>
  <c r="E10332" i="7"/>
  <c r="E10331" i="7"/>
  <c r="E10314" i="7"/>
  <c r="E10313" i="7"/>
  <c r="E10354" i="7" l="1"/>
  <c r="K10353" i="7"/>
  <c r="L10354" i="7" s="1"/>
  <c r="E10353" i="7"/>
  <c r="E10352" i="7"/>
  <c r="K10351" i="7"/>
  <c r="L10352" i="7" s="1"/>
  <c r="E10351" i="7"/>
  <c r="L10350" i="7"/>
  <c r="E10350" i="7"/>
  <c r="E10349" i="7"/>
  <c r="L10348" i="7"/>
  <c r="E10348" i="7"/>
  <c r="E10347" i="7"/>
  <c r="L10346" i="7"/>
  <c r="E10346" i="7"/>
  <c r="E10345" i="7"/>
  <c r="L10344" i="7"/>
  <c r="E10344" i="7"/>
  <c r="E10343" i="7"/>
  <c r="L10342" i="7"/>
  <c r="E10342" i="7"/>
  <c r="E10341" i="7"/>
  <c r="L10340" i="7"/>
  <c r="E10340" i="7"/>
  <c r="E10339" i="7"/>
  <c r="L10338" i="7"/>
  <c r="E10338" i="7"/>
  <c r="E10337" i="7"/>
  <c r="L10336" i="7"/>
  <c r="E10336" i="7"/>
  <c r="E10335" i="7"/>
  <c r="L10334" i="7"/>
  <c r="E10334" i="7"/>
  <c r="E10333" i="7"/>
  <c r="L10330" i="7"/>
  <c r="E10330" i="7"/>
  <c r="E10329" i="7"/>
  <c r="L10328" i="7"/>
  <c r="E10328" i="7"/>
  <c r="E10327" i="7"/>
  <c r="L10326" i="7"/>
  <c r="E10326" i="7"/>
  <c r="E10325" i="7"/>
  <c r="L10324" i="7"/>
  <c r="E10324" i="7"/>
  <c r="E10323" i="7"/>
  <c r="L10322" i="7"/>
  <c r="E10322" i="7"/>
  <c r="E10321" i="7"/>
  <c r="B199" i="58"/>
  <c r="B200" i="58" s="1"/>
  <c r="B201" i="58" s="1"/>
  <c r="B202" i="58" s="1"/>
  <c r="B203" i="58" s="1"/>
  <c r="B204" i="58" s="1"/>
  <c r="N204" i="58"/>
  <c r="J204" i="58"/>
  <c r="H204" i="58"/>
  <c r="F204" i="58"/>
  <c r="N203" i="58"/>
  <c r="J203" i="58"/>
  <c r="H203" i="58"/>
  <c r="F203" i="58"/>
  <c r="N202" i="58"/>
  <c r="J202" i="58"/>
  <c r="H202" i="58"/>
  <c r="F202" i="58"/>
  <c r="N201" i="58"/>
  <c r="J201" i="58"/>
  <c r="H201" i="58"/>
  <c r="F201" i="58"/>
  <c r="N200" i="58"/>
  <c r="J200" i="58"/>
  <c r="H200" i="58"/>
  <c r="F200" i="58"/>
  <c r="N199" i="58"/>
  <c r="J199" i="58"/>
  <c r="H199" i="58"/>
  <c r="F199" i="58"/>
  <c r="N198" i="58"/>
  <c r="J198" i="58"/>
  <c r="H198" i="58"/>
  <c r="F198" i="58"/>
  <c r="D198" i="58"/>
  <c r="D199" i="58"/>
  <c r="D200" i="58"/>
  <c r="D201" i="58"/>
  <c r="D202" i="58"/>
  <c r="D203" i="58"/>
  <c r="D204" i="58"/>
  <c r="L10294" i="7"/>
  <c r="E10294" i="7"/>
  <c r="E10293" i="7"/>
  <c r="L10292" i="7"/>
  <c r="E10292" i="7"/>
  <c r="E10291" i="7"/>
  <c r="L10227" i="7"/>
  <c r="E10227" i="7"/>
  <c r="E10226" i="7"/>
  <c r="E10225" i="7"/>
  <c r="E10224" i="7"/>
  <c r="E10223" i="7"/>
  <c r="E10306" i="7"/>
  <c r="E10305" i="7"/>
  <c r="E10304" i="7"/>
  <c r="E10278" i="7"/>
  <c r="E10277" i="7"/>
  <c r="E10276" i="7"/>
  <c r="E10281" i="7"/>
  <c r="E10280" i="7"/>
  <c r="E10279" i="7"/>
  <c r="E10284" i="7"/>
  <c r="E10283" i="7"/>
  <c r="E10282" i="7"/>
  <c r="E10287" i="7"/>
  <c r="E10286" i="7"/>
  <c r="E10285" i="7"/>
  <c r="E10290" i="7"/>
  <c r="E10289" i="7"/>
  <c r="E10288" i="7"/>
  <c r="E10297" i="7"/>
  <c r="E10296" i="7"/>
  <c r="E10295" i="7"/>
  <c r="E10300" i="7"/>
  <c r="E10299" i="7"/>
  <c r="E10298" i="7"/>
  <c r="E10303" i="7"/>
  <c r="E10302" i="7"/>
  <c r="E10301" i="7"/>
  <c r="E10309" i="7"/>
  <c r="E10308" i="7"/>
  <c r="E10307" i="7"/>
  <c r="E10312" i="7"/>
  <c r="E10311" i="7"/>
  <c r="E10310" i="7"/>
  <c r="E10268" i="7"/>
  <c r="E10267" i="7"/>
  <c r="E10266" i="7"/>
  <c r="E10275" i="7"/>
  <c r="E10274" i="7"/>
  <c r="E10273" i="7"/>
  <c r="L10272" i="7" l="1"/>
  <c r="E10272" i="7"/>
  <c r="E10271" i="7"/>
  <c r="E10270" i="7"/>
  <c r="E10269" i="7"/>
  <c r="E10222" i="7"/>
  <c r="E10221" i="7"/>
  <c r="E10265" i="7" l="1"/>
  <c r="E10264" i="7"/>
  <c r="E10263" i="7"/>
  <c r="E10262" i="7"/>
  <c r="E10261" i="7"/>
  <c r="E10260" i="7"/>
  <c r="E10259" i="7" l="1"/>
  <c r="K10258" i="7"/>
  <c r="L10259" i="7" s="1"/>
  <c r="E10258" i="7"/>
  <c r="E10257" i="7"/>
  <c r="K10256" i="7"/>
  <c r="L10257" i="7" s="1"/>
  <c r="E10256" i="7"/>
  <c r="L10255" i="7"/>
  <c r="E10255" i="7"/>
  <c r="E10254" i="7"/>
  <c r="L10253" i="7"/>
  <c r="E10253" i="7"/>
  <c r="E10252" i="7"/>
  <c r="L10251" i="7"/>
  <c r="E10251" i="7"/>
  <c r="E10250" i="7"/>
  <c r="L10249" i="7"/>
  <c r="E10249" i="7"/>
  <c r="E10248" i="7"/>
  <c r="L10247" i="7"/>
  <c r="E10247" i="7"/>
  <c r="E10246" i="7"/>
  <c r="L10245" i="7"/>
  <c r="E10245" i="7"/>
  <c r="E10244" i="7"/>
  <c r="L10243" i="7"/>
  <c r="E10243" i="7"/>
  <c r="E10242" i="7"/>
  <c r="L10241" i="7"/>
  <c r="E10241" i="7"/>
  <c r="E10240" i="7"/>
  <c r="L10239" i="7"/>
  <c r="E10239" i="7"/>
  <c r="E10238" i="7"/>
  <c r="L10237" i="7"/>
  <c r="E10237" i="7"/>
  <c r="E10236" i="7"/>
  <c r="L10235" i="7"/>
  <c r="E10235" i="7"/>
  <c r="E10234" i="7"/>
  <c r="L10233" i="7"/>
  <c r="E10233" i="7"/>
  <c r="E10232" i="7"/>
  <c r="L10231" i="7"/>
  <c r="E10231" i="7"/>
  <c r="E10230" i="7"/>
  <c r="L10229" i="7"/>
  <c r="E10229" i="7"/>
  <c r="E10228" i="7"/>
  <c r="F211" i="58"/>
  <c r="F210" i="58"/>
  <c r="F209" i="58"/>
  <c r="F208" i="58"/>
  <c r="F207" i="58"/>
  <c r="F206" i="58"/>
  <c r="F205" i="58"/>
  <c r="N211" i="58"/>
  <c r="J211" i="58"/>
  <c r="H211" i="58"/>
  <c r="N210" i="58"/>
  <c r="J210" i="58"/>
  <c r="H210" i="58"/>
  <c r="N209" i="58"/>
  <c r="J209" i="58"/>
  <c r="H209" i="58"/>
  <c r="N208" i="58"/>
  <c r="J208" i="58"/>
  <c r="H208" i="58"/>
  <c r="N207" i="58"/>
  <c r="J207" i="58"/>
  <c r="H207" i="58"/>
  <c r="N206" i="58"/>
  <c r="J206" i="58"/>
  <c r="H206" i="58"/>
  <c r="N205" i="58"/>
  <c r="J205" i="58"/>
  <c r="H205" i="58"/>
  <c r="B206" i="58"/>
  <c r="B207" i="58" s="1"/>
  <c r="B208" i="58" s="1"/>
  <c r="B209" i="58" s="1"/>
  <c r="B210" i="58" s="1"/>
  <c r="B211" i="58" s="1"/>
  <c r="D205" i="58"/>
  <c r="D206" i="58"/>
  <c r="D207" i="58"/>
  <c r="D208" i="58"/>
  <c r="D209" i="58"/>
  <c r="D210" i="58"/>
  <c r="D211" i="58"/>
  <c r="E10220" i="7"/>
  <c r="L10220" i="7"/>
  <c r="E10219" i="7"/>
  <c r="E10218" i="7"/>
  <c r="E10217" i="7"/>
  <c r="E10216" i="7"/>
  <c r="E10215" i="7"/>
  <c r="E10214" i="7"/>
  <c r="E10213" i="7"/>
  <c r="K10200" i="7" l="1"/>
  <c r="L10201" i="7" s="1"/>
  <c r="E10201" i="7"/>
  <c r="E10200" i="7"/>
  <c r="E10212" i="7"/>
  <c r="E10211" i="7"/>
  <c r="E10210" i="7" l="1"/>
  <c r="E10209" i="7"/>
  <c r="E10208" i="7"/>
  <c r="E10207" i="7" l="1"/>
  <c r="E10206" i="7"/>
  <c r="E10205" i="7"/>
  <c r="E10204" i="7"/>
  <c r="E10203" i="7"/>
  <c r="E10202" i="7"/>
  <c r="E10199" i="7"/>
  <c r="E10198" i="7"/>
  <c r="E10197" i="7"/>
  <c r="E10196" i="7"/>
  <c r="E10195" i="7"/>
  <c r="E10194" i="7"/>
  <c r="E10193" i="7"/>
  <c r="E10192" i="7"/>
  <c r="E10191" i="7"/>
  <c r="E10190" i="7"/>
  <c r="E10189" i="7"/>
  <c r="E10188" i="7"/>
  <c r="E10187" i="7"/>
  <c r="E10186" i="7"/>
  <c r="E10185" i="7"/>
  <c r="E10175" i="7"/>
  <c r="E10174" i="7"/>
  <c r="E10173" i="7"/>
  <c r="E10172" i="7"/>
  <c r="E10171" i="7"/>
  <c r="E10170" i="7"/>
  <c r="E10181" i="7" l="1"/>
  <c r="E10180" i="7"/>
  <c r="E10179" i="7"/>
  <c r="E10184" i="7"/>
  <c r="E10183" i="7"/>
  <c r="E10182" i="7"/>
  <c r="E10178" i="7"/>
  <c r="E10177" i="7"/>
  <c r="E10176" i="7"/>
  <c r="F216" i="58" l="1"/>
  <c r="N218" i="58"/>
  <c r="J218" i="58"/>
  <c r="H218" i="58"/>
  <c r="F218" i="58"/>
  <c r="N217" i="58"/>
  <c r="J217" i="58"/>
  <c r="H217" i="58"/>
  <c r="F217" i="58"/>
  <c r="N216" i="58"/>
  <c r="J216" i="58"/>
  <c r="H216" i="58"/>
  <c r="N215" i="58"/>
  <c r="J215" i="58"/>
  <c r="H215" i="58"/>
  <c r="F215" i="58"/>
  <c r="N214" i="58"/>
  <c r="J214" i="58"/>
  <c r="H214" i="58"/>
  <c r="F214" i="58"/>
  <c r="N213" i="58"/>
  <c r="J213" i="58"/>
  <c r="H213" i="58"/>
  <c r="F213" i="58"/>
  <c r="N212" i="58"/>
  <c r="J212" i="58"/>
  <c r="H212" i="58"/>
  <c r="F212" i="58"/>
  <c r="B213" i="58"/>
  <c r="B214" i="58" s="1"/>
  <c r="B215" i="58" s="1"/>
  <c r="B216" i="58" s="1"/>
  <c r="B217" i="58" s="1"/>
  <c r="B218" i="58" s="1"/>
  <c r="D212" i="58"/>
  <c r="D213" i="58"/>
  <c r="D214" i="58"/>
  <c r="D215" i="58"/>
  <c r="D216" i="58"/>
  <c r="D217" i="58"/>
  <c r="D218" i="58"/>
  <c r="E10169" i="7"/>
  <c r="K10168" i="7"/>
  <c r="L10169" i="7" s="1"/>
  <c r="E10168" i="7"/>
  <c r="E10167" i="7"/>
  <c r="K10166" i="7"/>
  <c r="L10167" i="7" s="1"/>
  <c r="E10166" i="7"/>
  <c r="L10165" i="7"/>
  <c r="E10165" i="7"/>
  <c r="E10164" i="7"/>
  <c r="E10163" i="7"/>
  <c r="E10162" i="7"/>
  <c r="E10161" i="7"/>
  <c r="E10160" i="7"/>
  <c r="L10159" i="7"/>
  <c r="E10159" i="7"/>
  <c r="E10158" i="7"/>
  <c r="L10157" i="7"/>
  <c r="E10157" i="7"/>
  <c r="E10156" i="7"/>
  <c r="L10155" i="7"/>
  <c r="E10155" i="7"/>
  <c r="E10154" i="7"/>
  <c r="L10153" i="7"/>
  <c r="E10153" i="7"/>
  <c r="E10152" i="7"/>
  <c r="L10151" i="7"/>
  <c r="E10151" i="7"/>
  <c r="E10150" i="7"/>
  <c r="L10149" i="7"/>
  <c r="E10149" i="7"/>
  <c r="E10148" i="7"/>
  <c r="L10147" i="7"/>
  <c r="E10147" i="7"/>
  <c r="E10146" i="7"/>
  <c r="L10145" i="7"/>
  <c r="E10145" i="7"/>
  <c r="E10144" i="7"/>
  <c r="L10143" i="7"/>
  <c r="E10143" i="7"/>
  <c r="E10142" i="7"/>
  <c r="L10141" i="7"/>
  <c r="E10141" i="7"/>
  <c r="E10140" i="7"/>
  <c r="L10139" i="7"/>
  <c r="E10139" i="7"/>
  <c r="E10138" i="7"/>
  <c r="L10137" i="7"/>
  <c r="E10137" i="7"/>
  <c r="E10136" i="7"/>
  <c r="E10135" i="7"/>
  <c r="E10134" i="7"/>
  <c r="E10131" i="7" l="1"/>
  <c r="E10132" i="7"/>
  <c r="E10133" i="7"/>
  <c r="E10130" i="7"/>
  <c r="E10126" i="7"/>
  <c r="E10125" i="7"/>
  <c r="E10124" i="7"/>
  <c r="E10129" i="7" l="1"/>
  <c r="E10128" i="7"/>
  <c r="E10127" i="7"/>
  <c r="L10042" i="7" l="1"/>
  <c r="E10042" i="7"/>
  <c r="E10041" i="7"/>
  <c r="E10085" i="7"/>
  <c r="E10084" i="7"/>
  <c r="E10083" i="7"/>
  <c r="E10082" i="7"/>
  <c r="E10081" i="7"/>
  <c r="E10080" i="7"/>
  <c r="L10123" i="7"/>
  <c r="E10123" i="7"/>
  <c r="E10122" i="7"/>
  <c r="L10105" i="7"/>
  <c r="E10105" i="7"/>
  <c r="E10104" i="7"/>
  <c r="L10079" i="7"/>
  <c r="E10079" i="7"/>
  <c r="E10078" i="7"/>
  <c r="E10114" i="7"/>
  <c r="E10113" i="7"/>
  <c r="E10112" i="7"/>
  <c r="E10094" i="7"/>
  <c r="E10093" i="7"/>
  <c r="E10092" i="7"/>
  <c r="E10091" i="7"/>
  <c r="E10090" i="7"/>
  <c r="E10089" i="7"/>
  <c r="E10097" i="7"/>
  <c r="E10096" i="7"/>
  <c r="E10095" i="7"/>
  <c r="E10100" i="7"/>
  <c r="E10099" i="7"/>
  <c r="E10098" i="7"/>
  <c r="E10103" i="7"/>
  <c r="E10102" i="7"/>
  <c r="E10101" i="7"/>
  <c r="E10108" i="7"/>
  <c r="E10107" i="7"/>
  <c r="E10106" i="7"/>
  <c r="E10111" i="7"/>
  <c r="E10110" i="7"/>
  <c r="E10109" i="7"/>
  <c r="E10088" i="7"/>
  <c r="E10087" i="7"/>
  <c r="E10086" i="7"/>
  <c r="E10077" i="7"/>
  <c r="E10076" i="7"/>
  <c r="E10075" i="7"/>
  <c r="E10120" i="7" l="1"/>
  <c r="K10118" i="7"/>
  <c r="E10121" i="7" l="1"/>
  <c r="E10119" i="7"/>
  <c r="E10118" i="7"/>
  <c r="E10117" i="7" l="1"/>
  <c r="E10116" i="7"/>
  <c r="E10115" i="7"/>
  <c r="E10040" i="7" l="1"/>
  <c r="E10039" i="7"/>
  <c r="E10038" i="7"/>
  <c r="L10037" i="7" l="1"/>
  <c r="E10037" i="7"/>
  <c r="E10036" i="7"/>
  <c r="L10035" i="7"/>
  <c r="E10035" i="7"/>
  <c r="E10034" i="7"/>
  <c r="L10031" i="7" l="1"/>
  <c r="L10033" i="7"/>
  <c r="L10044" i="7"/>
  <c r="L10046" i="7"/>
  <c r="L10048" i="7"/>
  <c r="L10050" i="7"/>
  <c r="L10052" i="7"/>
  <c r="L10054" i="7"/>
  <c r="L10056" i="7"/>
  <c r="L10058" i="7"/>
  <c r="L10060" i="7"/>
  <c r="L10062" i="7"/>
  <c r="E10020" i="7"/>
  <c r="E10019" i="7"/>
  <c r="E10018" i="7"/>
  <c r="E9960" i="7"/>
  <c r="E9959" i="7"/>
  <c r="E9958" i="7"/>
  <c r="F225" i="58" l="1"/>
  <c r="F224" i="58"/>
  <c r="F223" i="58"/>
  <c r="F222" i="58"/>
  <c r="F221" i="58"/>
  <c r="F220" i="58"/>
  <c r="F219" i="58"/>
  <c r="N225" i="58"/>
  <c r="J225" i="58"/>
  <c r="H225" i="58"/>
  <c r="N224" i="58"/>
  <c r="J224" i="58"/>
  <c r="H224" i="58"/>
  <c r="N223" i="58"/>
  <c r="J223" i="58"/>
  <c r="H223" i="58"/>
  <c r="N222" i="58"/>
  <c r="J222" i="58"/>
  <c r="H222" i="58"/>
  <c r="N221" i="58"/>
  <c r="J221" i="58"/>
  <c r="H221" i="58"/>
  <c r="N220" i="58"/>
  <c r="J220" i="58"/>
  <c r="H220" i="58"/>
  <c r="N219" i="58"/>
  <c r="J219" i="58"/>
  <c r="H219" i="58"/>
  <c r="B220" i="58"/>
  <c r="B221" i="58" s="1"/>
  <c r="B222" i="58" s="1"/>
  <c r="B223" i="58" s="1"/>
  <c r="B224" i="58" s="1"/>
  <c r="B225" i="58" s="1"/>
  <c r="D219" i="58"/>
  <c r="D220" i="58"/>
  <c r="D221" i="58"/>
  <c r="D222" i="58"/>
  <c r="D223" i="58"/>
  <c r="D224" i="58"/>
  <c r="D225" i="58"/>
  <c r="E10074" i="7"/>
  <c r="K10073" i="7"/>
  <c r="L10074" i="7" s="1"/>
  <c r="E10073" i="7"/>
  <c r="E10072" i="7"/>
  <c r="K10071" i="7"/>
  <c r="L10072" i="7" s="1"/>
  <c r="E10071" i="7"/>
  <c r="L10070" i="7"/>
  <c r="E10070" i="7"/>
  <c r="E10069" i="7"/>
  <c r="L10068" i="7"/>
  <c r="E10068" i="7"/>
  <c r="E10067" i="7"/>
  <c r="L10066" i="7"/>
  <c r="E10066" i="7"/>
  <c r="E10065" i="7"/>
  <c r="L10064" i="7"/>
  <c r="E10064" i="7"/>
  <c r="E10063" i="7"/>
  <c r="E10062" i="7"/>
  <c r="E10061" i="7"/>
  <c r="E10060" i="7"/>
  <c r="E10059" i="7"/>
  <c r="E10058" i="7"/>
  <c r="E10057" i="7"/>
  <c r="E10056" i="7"/>
  <c r="E10055" i="7"/>
  <c r="E10054" i="7"/>
  <c r="E10053" i="7"/>
  <c r="E10052" i="7"/>
  <c r="E10051" i="7"/>
  <c r="E10050" i="7"/>
  <c r="E10049" i="7"/>
  <c r="E10048" i="7"/>
  <c r="E10047" i="7"/>
  <c r="E10046" i="7"/>
  <c r="E10045" i="7"/>
  <c r="E10044" i="7"/>
  <c r="E10043" i="7"/>
  <c r="E10033" i="7"/>
  <c r="E10032" i="7"/>
  <c r="E9921" i="7"/>
  <c r="E9920" i="7"/>
  <c r="E10029" i="7"/>
  <c r="E10028" i="7"/>
  <c r="E10027" i="7"/>
  <c r="L10015" i="7"/>
  <c r="E10015" i="7"/>
  <c r="E10014" i="7"/>
  <c r="E10017" i="7"/>
  <c r="E10016" i="7"/>
  <c r="E10013" i="7"/>
  <c r="E10012" i="7"/>
  <c r="E10011" i="7"/>
  <c r="E9973" i="7" l="1"/>
  <c r="E9972" i="7"/>
  <c r="E9971" i="7"/>
  <c r="E9970" i="7"/>
  <c r="E9969" i="7"/>
  <c r="E9968" i="7"/>
  <c r="E9967" i="7" l="1"/>
  <c r="E9966" i="7"/>
  <c r="E10031" i="7"/>
  <c r="E10030" i="7"/>
  <c r="L10010" i="7"/>
  <c r="E10010" i="7"/>
  <c r="E10009" i="7"/>
  <c r="L9987" i="7"/>
  <c r="E9987" i="7"/>
  <c r="E9986" i="7"/>
  <c r="L9965" i="7"/>
  <c r="E9965" i="7"/>
  <c r="E9964" i="7"/>
  <c r="E10026" i="7"/>
  <c r="E10025" i="7"/>
  <c r="E10024" i="7"/>
  <c r="E10023" i="7"/>
  <c r="E10022" i="7"/>
  <c r="E10021" i="7"/>
  <c r="E10008" i="7"/>
  <c r="E10007" i="7"/>
  <c r="E10006" i="7"/>
  <c r="E9993" i="7"/>
  <c r="E9992" i="7"/>
  <c r="E9991" i="7"/>
  <c r="E9996" i="7"/>
  <c r="E9995" i="7"/>
  <c r="E9994" i="7"/>
  <c r="E9999" i="7"/>
  <c r="E9998" i="7"/>
  <c r="E9997" i="7"/>
  <c r="E10002" i="7"/>
  <c r="E10001" i="7"/>
  <c r="E10000" i="7"/>
  <c r="E10005" i="7"/>
  <c r="E10004" i="7"/>
  <c r="E10003" i="7"/>
  <c r="E9990" i="7"/>
  <c r="E9989" i="7"/>
  <c r="E9988" i="7"/>
  <c r="E9979" i="7"/>
  <c r="E9978" i="7"/>
  <c r="E9977" i="7"/>
  <c r="E9982" i="7"/>
  <c r="E9981" i="7"/>
  <c r="E9980" i="7"/>
  <c r="E9976" i="7"/>
  <c r="E9975" i="7"/>
  <c r="E9974" i="7"/>
  <c r="E9963" i="7"/>
  <c r="E9962" i="7"/>
  <c r="E9961" i="7"/>
  <c r="E9985" i="7"/>
  <c r="E9984" i="7"/>
  <c r="E9983" i="7"/>
  <c r="F232" i="58"/>
  <c r="F231" i="58"/>
  <c r="F230" i="58"/>
  <c r="F229" i="58"/>
  <c r="F228" i="58"/>
  <c r="F227" i="58"/>
  <c r="F226" i="58"/>
  <c r="E9957" i="7" l="1"/>
  <c r="K9956" i="7"/>
  <c r="L9957" i="7" s="1"/>
  <c r="E9956" i="7"/>
  <c r="E9955" i="7"/>
  <c r="K9954" i="7"/>
  <c r="L9955" i="7" s="1"/>
  <c r="E9954" i="7"/>
  <c r="L9953" i="7"/>
  <c r="E9953" i="7"/>
  <c r="E9952" i="7"/>
  <c r="L9951" i="7"/>
  <c r="E9951" i="7"/>
  <c r="E9950" i="7"/>
  <c r="L9949" i="7"/>
  <c r="E9949" i="7"/>
  <c r="E9948" i="7"/>
  <c r="L9947" i="7"/>
  <c r="E9947" i="7"/>
  <c r="E9946" i="7"/>
  <c r="L9945" i="7"/>
  <c r="E9945" i="7"/>
  <c r="E9944" i="7"/>
  <c r="L9943" i="7"/>
  <c r="E9943" i="7"/>
  <c r="E9942" i="7"/>
  <c r="L9941" i="7"/>
  <c r="E9941" i="7"/>
  <c r="E9940" i="7"/>
  <c r="L9939" i="7"/>
  <c r="E9939" i="7"/>
  <c r="E9938" i="7"/>
  <c r="L9937" i="7"/>
  <c r="E9937" i="7"/>
  <c r="E9936" i="7"/>
  <c r="L9935" i="7"/>
  <c r="E9935" i="7"/>
  <c r="E9934" i="7"/>
  <c r="L9933" i="7"/>
  <c r="E9933" i="7"/>
  <c r="E9932" i="7"/>
  <c r="L9931" i="7"/>
  <c r="E9931" i="7"/>
  <c r="E9930" i="7"/>
  <c r="L9929" i="7"/>
  <c r="E9929" i="7"/>
  <c r="E9928" i="7"/>
  <c r="L9927" i="7"/>
  <c r="E9927" i="7"/>
  <c r="E9926" i="7"/>
  <c r="L9925" i="7"/>
  <c r="E9925" i="7"/>
  <c r="E9924" i="7"/>
  <c r="L9923" i="7"/>
  <c r="E9923" i="7"/>
  <c r="E9922" i="7"/>
  <c r="E9907" i="7"/>
  <c r="E9906" i="7"/>
  <c r="L9880" i="7" l="1"/>
  <c r="E9880" i="7"/>
  <c r="E9879" i="7"/>
  <c r="E9915" i="7"/>
  <c r="E9914" i="7"/>
  <c r="E9913" i="7"/>
  <c r="L9919" i="7"/>
  <c r="E9919" i="7"/>
  <c r="E9918" i="7"/>
  <c r="L9917" i="7"/>
  <c r="E9917" i="7"/>
  <c r="E9916" i="7"/>
  <c r="E9912" i="7"/>
  <c r="E9911" i="7"/>
  <c r="E9910" i="7"/>
  <c r="E9909" i="7" l="1"/>
  <c r="E9908" i="7"/>
  <c r="E9878" i="7"/>
  <c r="E9876" i="7"/>
  <c r="E9875" i="7" l="1"/>
  <c r="E9874" i="7"/>
  <c r="L9905" i="7"/>
  <c r="E9905" i="7"/>
  <c r="E9904" i="7"/>
  <c r="L9891" i="7"/>
  <c r="E9891" i="7"/>
  <c r="E9890" i="7"/>
  <c r="L9873" i="7"/>
  <c r="E9873" i="7"/>
  <c r="E9872" i="7"/>
  <c r="D231" i="58"/>
  <c r="N232" i="58"/>
  <c r="J232" i="58"/>
  <c r="H232" i="58"/>
  <c r="N231" i="58"/>
  <c r="J231" i="58"/>
  <c r="H231" i="58"/>
  <c r="N230" i="58"/>
  <c r="J230" i="58"/>
  <c r="H230" i="58"/>
  <c r="N229" i="58"/>
  <c r="J229" i="58"/>
  <c r="H229" i="58"/>
  <c r="N228" i="58"/>
  <c r="J228" i="58"/>
  <c r="H228" i="58"/>
  <c r="N227" i="58"/>
  <c r="J227" i="58"/>
  <c r="H227" i="58"/>
  <c r="N226" i="58"/>
  <c r="J226" i="58"/>
  <c r="H226" i="58"/>
  <c r="B227" i="58"/>
  <c r="B228" i="58" s="1"/>
  <c r="B229" i="58" s="1"/>
  <c r="B230" i="58" s="1"/>
  <c r="B231" i="58" s="1"/>
  <c r="B232" i="58" s="1"/>
  <c r="D226" i="58"/>
  <c r="D227" i="58"/>
  <c r="D228" i="58"/>
  <c r="D229" i="58"/>
  <c r="D230" i="58"/>
  <c r="D232" i="58"/>
  <c r="E9859" i="7"/>
  <c r="E9858" i="7"/>
  <c r="E9857" i="7"/>
  <c r="E9856" i="7"/>
  <c r="E9855" i="7"/>
  <c r="E9854" i="7"/>
  <c r="E9889" i="7"/>
  <c r="E9888" i="7"/>
  <c r="E9887" i="7"/>
  <c r="E9886" i="7"/>
  <c r="E9885" i="7"/>
  <c r="E9884" i="7"/>
  <c r="E9900" i="7"/>
  <c r="E9899" i="7"/>
  <c r="E9898" i="7"/>
  <c r="E9894" i="7"/>
  <c r="E9893" i="7"/>
  <c r="E9892" i="7"/>
  <c r="E9865" i="7"/>
  <c r="E9864" i="7"/>
  <c r="E9863" i="7"/>
  <c r="E9868" i="7"/>
  <c r="E9867" i="7"/>
  <c r="E9866" i="7"/>
  <c r="E9871" i="7"/>
  <c r="E9870" i="7"/>
  <c r="E9869" i="7"/>
  <c r="E9883" i="7"/>
  <c r="E9882" i="7"/>
  <c r="E9881" i="7"/>
  <c r="E9897" i="7"/>
  <c r="E9896" i="7"/>
  <c r="E9895" i="7"/>
  <c r="E9903" i="7"/>
  <c r="E9902" i="7"/>
  <c r="E9901" i="7"/>
  <c r="E9862" i="7"/>
  <c r="E9861" i="7"/>
  <c r="E9860" i="7"/>
  <c r="L9813" i="7" l="1"/>
  <c r="E9813" i="7"/>
  <c r="E9812" i="7"/>
  <c r="L9755" i="7"/>
  <c r="E9755" i="7"/>
  <c r="E9754" i="7"/>
  <c r="E9782" i="7"/>
  <c r="E9781" i="7"/>
  <c r="E9780" i="7"/>
  <c r="E9811" i="7" l="1"/>
  <c r="E9810" i="7"/>
  <c r="E9809" i="7"/>
  <c r="H234" i="58"/>
  <c r="H235" i="58"/>
  <c r="H236" i="58"/>
  <c r="H237" i="58"/>
  <c r="H238" i="58"/>
  <c r="H239" i="58"/>
  <c r="H233" i="58"/>
  <c r="B234" i="58"/>
  <c r="B235" i="58" s="1"/>
  <c r="B236" i="58" s="1"/>
  <c r="B237" i="58" s="1"/>
  <c r="B238" i="58" s="1"/>
  <c r="B239" i="58" s="1"/>
  <c r="N239" i="58"/>
  <c r="J239" i="58"/>
  <c r="F239" i="58"/>
  <c r="N238" i="58"/>
  <c r="J238" i="58"/>
  <c r="F238" i="58"/>
  <c r="N237" i="58"/>
  <c r="J237" i="58"/>
  <c r="F237" i="58"/>
  <c r="N236" i="58"/>
  <c r="J236" i="58"/>
  <c r="F236" i="58"/>
  <c r="N235" i="58"/>
  <c r="J235" i="58"/>
  <c r="F235" i="58"/>
  <c r="N234" i="58"/>
  <c r="J234" i="58"/>
  <c r="F234" i="58"/>
  <c r="N233" i="58"/>
  <c r="J233" i="58"/>
  <c r="F233" i="58"/>
  <c r="E9853" i="7"/>
  <c r="K9852" i="7"/>
  <c r="L9853" i="7" s="1"/>
  <c r="E9852" i="7"/>
  <c r="E9851" i="7"/>
  <c r="K9850" i="7"/>
  <c r="L9851" i="7" s="1"/>
  <c r="E9850" i="7"/>
  <c r="L9849" i="7"/>
  <c r="E9849" i="7"/>
  <c r="E9848" i="7"/>
  <c r="L9847" i="7"/>
  <c r="E9847" i="7"/>
  <c r="E9846" i="7"/>
  <c r="L9845" i="7"/>
  <c r="E9845" i="7"/>
  <c r="E9844" i="7"/>
  <c r="L9843" i="7"/>
  <c r="E9843" i="7"/>
  <c r="E9842" i="7"/>
  <c r="L9841" i="7"/>
  <c r="E9841" i="7"/>
  <c r="E9840" i="7"/>
  <c r="L9839" i="7"/>
  <c r="E9839" i="7"/>
  <c r="E9838" i="7"/>
  <c r="L9837" i="7"/>
  <c r="E9837" i="7"/>
  <c r="E9836" i="7"/>
  <c r="L9835" i="7"/>
  <c r="E9835" i="7"/>
  <c r="E9834" i="7"/>
  <c r="L9833" i="7"/>
  <c r="E9833" i="7"/>
  <c r="E9832" i="7"/>
  <c r="L9831" i="7"/>
  <c r="E9831" i="7"/>
  <c r="E9830" i="7"/>
  <c r="L9829" i="7"/>
  <c r="E9829" i="7"/>
  <c r="E9828" i="7"/>
  <c r="L9827" i="7"/>
  <c r="E9827" i="7"/>
  <c r="E9826" i="7"/>
  <c r="L9825" i="7"/>
  <c r="E9825" i="7"/>
  <c r="E9824" i="7"/>
  <c r="L9823" i="7"/>
  <c r="E9823" i="7"/>
  <c r="E9822" i="7"/>
  <c r="L9821" i="7"/>
  <c r="E9821" i="7"/>
  <c r="E9820" i="7"/>
  <c r="L9819" i="7"/>
  <c r="E9819" i="7"/>
  <c r="E9818" i="7"/>
  <c r="L9817" i="7"/>
  <c r="E9817" i="7"/>
  <c r="E9816" i="7"/>
  <c r="L9815" i="7"/>
  <c r="E9815" i="7"/>
  <c r="E9814" i="7"/>
  <c r="D233" i="58"/>
  <c r="D234" i="58"/>
  <c r="D235" i="58"/>
  <c r="D236" i="58"/>
  <c r="D237" i="58"/>
  <c r="D238" i="58"/>
  <c r="D239" i="58"/>
  <c r="E9753" i="7"/>
  <c r="E9752" i="7"/>
  <c r="E9751" i="7"/>
  <c r="E9493" i="7"/>
  <c r="E9492" i="7"/>
  <c r="E9491" i="7"/>
  <c r="E9808" i="7"/>
  <c r="E9807" i="7"/>
  <c r="E9779" i="7"/>
  <c r="E9778" i="7"/>
  <c r="E9777" i="7"/>
  <c r="E9800" i="7"/>
  <c r="E9799" i="7"/>
  <c r="E9798" i="7"/>
  <c r="E9803" i="7"/>
  <c r="E9802" i="7"/>
  <c r="E9801" i="7"/>
  <c r="E9806" i="7"/>
  <c r="E9805" i="7"/>
  <c r="E9804" i="7"/>
  <c r="E9797" i="7"/>
  <c r="E9796" i="7"/>
  <c r="E9795" i="7"/>
  <c r="E9794" i="7"/>
  <c r="E9793" i="7"/>
  <c r="E9792" i="7"/>
  <c r="E9791" i="7"/>
  <c r="E9790" i="7"/>
  <c r="E9789" i="7"/>
  <c r="E9773" i="7" l="1"/>
  <c r="E9772" i="7"/>
  <c r="E9771" i="7"/>
  <c r="E9776" i="7"/>
  <c r="E9775" i="7"/>
  <c r="E9774" i="7"/>
  <c r="E9770" i="7"/>
  <c r="E9769" i="7"/>
  <c r="E9768" i="7"/>
  <c r="E9767" i="7"/>
  <c r="E9766" i="7"/>
  <c r="E9765" i="7"/>
  <c r="E9764" i="7"/>
  <c r="E9763" i="7"/>
  <c r="E9762" i="7"/>
  <c r="E9761" i="7"/>
  <c r="E9760" i="7"/>
  <c r="E9759" i="7"/>
  <c r="L9788" i="7" l="1"/>
  <c r="E9788" i="7"/>
  <c r="E9787" i="7"/>
  <c r="L9786" i="7"/>
  <c r="L9784" i="7"/>
  <c r="E9786" i="7"/>
  <c r="E9785" i="7"/>
  <c r="E9784" i="7"/>
  <c r="E9783" i="7"/>
  <c r="E9758" i="7"/>
  <c r="E9757" i="7"/>
  <c r="E9756" i="7"/>
  <c r="L9724" i="7" l="1"/>
  <c r="E9724" i="7"/>
  <c r="E9723" i="7"/>
  <c r="E9655" i="7"/>
  <c r="E9654" i="7"/>
  <c r="E9653" i="7"/>
  <c r="L9652" i="7"/>
  <c r="E9652" i="7"/>
  <c r="E9651" i="7"/>
  <c r="E9750" i="7"/>
  <c r="E9749" i="7"/>
  <c r="E9748" i="7"/>
  <c r="L9650" i="7" l="1"/>
  <c r="E9650" i="7"/>
  <c r="E9649" i="7"/>
  <c r="E9698" i="7"/>
  <c r="E9697" i="7"/>
  <c r="E9696" i="7"/>
  <c r="E9701" i="7"/>
  <c r="E9700" i="7"/>
  <c r="E9699" i="7"/>
  <c r="L9747" i="7"/>
  <c r="E9747" i="7"/>
  <c r="E9746" i="7"/>
  <c r="E9736" i="7"/>
  <c r="E9735" i="7"/>
  <c r="E9734" i="7"/>
  <c r="E9745" i="7"/>
  <c r="E9744" i="7"/>
  <c r="E9743" i="7"/>
  <c r="E9742" i="7"/>
  <c r="E9741" i="7"/>
  <c r="E9740" i="7"/>
  <c r="E9739" i="7"/>
  <c r="E9738" i="7"/>
  <c r="E9737" i="7"/>
  <c r="E9733" i="7"/>
  <c r="E9732" i="7"/>
  <c r="E9731" i="7"/>
  <c r="E9716" i="7"/>
  <c r="E9715" i="7"/>
  <c r="E9714" i="7"/>
  <c r="E9722" i="7"/>
  <c r="E9721" i="7"/>
  <c r="E9720" i="7"/>
  <c r="E9719" i="7"/>
  <c r="E9718" i="7"/>
  <c r="E9717" i="7"/>
  <c r="E9713" i="7"/>
  <c r="E9712" i="7"/>
  <c r="E9711" i="7"/>
  <c r="E9710" i="7"/>
  <c r="E9709" i="7"/>
  <c r="E9708" i="7"/>
  <c r="E9707" i="7"/>
  <c r="E9706" i="7"/>
  <c r="E9705" i="7"/>
  <c r="E9728" i="7" l="1"/>
  <c r="E9727" i="7"/>
  <c r="E9730" i="7"/>
  <c r="E9729" i="7"/>
  <c r="L9726" i="7" l="1"/>
  <c r="E9726" i="7"/>
  <c r="E9725" i="7"/>
  <c r="E9704" i="7"/>
  <c r="E9703" i="7"/>
  <c r="E9702" i="7"/>
  <c r="E9648" i="7" l="1"/>
  <c r="E9647" i="7"/>
  <c r="E9646" i="7"/>
  <c r="E9645" i="7"/>
  <c r="E9644" i="7"/>
  <c r="E9643" i="7"/>
  <c r="E9656" i="7"/>
  <c r="H241" i="58" l="1"/>
  <c r="H242" i="58"/>
  <c r="H243" i="58"/>
  <c r="H244" i="58"/>
  <c r="H245" i="58"/>
  <c r="H246" i="58"/>
  <c r="H247" i="58"/>
  <c r="H248" i="58"/>
  <c r="H240" i="58"/>
  <c r="E9695" i="7" l="1"/>
  <c r="K9694" i="7"/>
  <c r="L9695" i="7" s="1"/>
  <c r="E9694" i="7"/>
  <c r="E9693" i="7"/>
  <c r="K9692" i="7"/>
  <c r="L9693" i="7" s="1"/>
  <c r="E9692" i="7"/>
  <c r="L9691" i="7"/>
  <c r="E9691" i="7"/>
  <c r="E9690" i="7"/>
  <c r="L9689" i="7"/>
  <c r="E9689" i="7"/>
  <c r="E9688" i="7"/>
  <c r="L9687" i="7"/>
  <c r="E9687" i="7"/>
  <c r="E9686" i="7"/>
  <c r="L9685" i="7"/>
  <c r="E9685" i="7"/>
  <c r="E9684" i="7"/>
  <c r="L9683" i="7"/>
  <c r="E9683" i="7"/>
  <c r="E9682" i="7"/>
  <c r="L9681" i="7"/>
  <c r="E9681" i="7"/>
  <c r="E9680" i="7"/>
  <c r="L9679" i="7"/>
  <c r="E9679" i="7"/>
  <c r="E9678" i="7"/>
  <c r="L9677" i="7"/>
  <c r="E9677" i="7"/>
  <c r="E9676" i="7"/>
  <c r="L9675" i="7"/>
  <c r="E9675" i="7"/>
  <c r="E9674" i="7"/>
  <c r="L9673" i="7"/>
  <c r="E9673" i="7"/>
  <c r="E9672" i="7"/>
  <c r="L9671" i="7"/>
  <c r="E9671" i="7"/>
  <c r="E9670" i="7"/>
  <c r="L9669" i="7"/>
  <c r="E9669" i="7"/>
  <c r="E9668" i="7"/>
  <c r="L9667" i="7"/>
  <c r="E9667" i="7"/>
  <c r="E9666" i="7"/>
  <c r="L9665" i="7"/>
  <c r="E9665" i="7"/>
  <c r="E9664" i="7"/>
  <c r="L9663" i="7"/>
  <c r="E9663" i="7"/>
  <c r="E9662" i="7"/>
  <c r="L9661" i="7"/>
  <c r="E9661" i="7"/>
  <c r="E9660" i="7"/>
  <c r="L9659" i="7"/>
  <c r="E9659" i="7"/>
  <c r="E9658" i="7"/>
  <c r="L9657" i="7"/>
  <c r="E9657" i="7"/>
  <c r="E9642" i="7"/>
  <c r="E9641" i="7"/>
  <c r="E9640" i="7"/>
  <c r="E9639" i="7"/>
  <c r="E9614" i="7" l="1"/>
  <c r="E9613" i="7"/>
  <c r="E9597" i="7"/>
  <c r="E9596" i="7"/>
  <c r="E9595" i="7"/>
  <c r="E9594" i="7"/>
  <c r="E9593" i="7"/>
  <c r="E9591" i="7" l="1"/>
  <c r="E9592" i="7"/>
  <c r="E9590" i="7"/>
  <c r="E9561" i="7" l="1"/>
  <c r="E9560" i="7"/>
  <c r="E9559" i="7"/>
  <c r="L9589" i="7"/>
  <c r="E9589" i="7"/>
  <c r="E9588" i="7"/>
  <c r="L9575" i="7"/>
  <c r="E9575" i="7"/>
  <c r="E9574" i="7"/>
  <c r="F246" i="58"/>
  <c r="F245" i="58"/>
  <c r="F244" i="58"/>
  <c r="F243" i="58"/>
  <c r="F242" i="58"/>
  <c r="F241" i="58"/>
  <c r="F240" i="58"/>
  <c r="N246" i="58"/>
  <c r="J246" i="58"/>
  <c r="N245" i="58"/>
  <c r="J245" i="58"/>
  <c r="N244" i="58"/>
  <c r="J244" i="58"/>
  <c r="N243" i="58"/>
  <c r="J243" i="58"/>
  <c r="N242" i="58"/>
  <c r="J242" i="58"/>
  <c r="N241" i="58"/>
  <c r="J241" i="58"/>
  <c r="N240" i="58"/>
  <c r="J240" i="58"/>
  <c r="B241" i="58"/>
  <c r="B242" i="58" s="1"/>
  <c r="B243" i="58" s="1"/>
  <c r="B244" i="58" s="1"/>
  <c r="B245" i="58" s="1"/>
  <c r="B246" i="58" s="1"/>
  <c r="D240" i="58"/>
  <c r="D241" i="58"/>
  <c r="D242" i="58"/>
  <c r="D243" i="58"/>
  <c r="D244" i="58"/>
  <c r="D245" i="58"/>
  <c r="D246" i="58"/>
  <c r="E9638" i="7"/>
  <c r="E9637" i="7"/>
  <c r="E9636" i="7"/>
  <c r="E9612" i="7"/>
  <c r="E9611" i="7"/>
  <c r="E9610" i="7"/>
  <c r="E9600" i="7"/>
  <c r="E9599" i="7"/>
  <c r="E9598" i="7"/>
  <c r="E9573" i="7"/>
  <c r="E9572" i="7"/>
  <c r="E9571" i="7"/>
  <c r="E9570" i="7"/>
  <c r="E9569" i="7"/>
  <c r="E9568" i="7"/>
  <c r="E9606" i="7"/>
  <c r="E9605" i="7"/>
  <c r="E9604" i="7"/>
  <c r="E9635" i="7"/>
  <c r="E9634" i="7"/>
  <c r="E9633" i="7"/>
  <c r="E9632" i="7"/>
  <c r="E9631" i="7"/>
  <c r="E9630" i="7"/>
  <c r="E9629" i="7"/>
  <c r="E9628" i="7"/>
  <c r="E9627" i="7"/>
  <c r="E9626" i="7"/>
  <c r="E9625" i="7"/>
  <c r="E9624" i="7"/>
  <c r="E9623" i="7"/>
  <c r="E9622" i="7"/>
  <c r="E9621" i="7"/>
  <c r="E9620" i="7"/>
  <c r="E9619" i="7"/>
  <c r="E9618" i="7"/>
  <c r="E9617" i="7"/>
  <c r="E9616" i="7"/>
  <c r="E9615" i="7"/>
  <c r="E9609" i="7"/>
  <c r="E9608" i="7"/>
  <c r="E9607" i="7"/>
  <c r="E9603" i="7"/>
  <c r="E9602" i="7"/>
  <c r="E9601" i="7"/>
  <c r="E9587" i="7"/>
  <c r="E9586" i="7"/>
  <c r="E9585" i="7"/>
  <c r="E9584" i="7"/>
  <c r="E9583" i="7"/>
  <c r="E9582" i="7"/>
  <c r="E9581" i="7"/>
  <c r="E9580" i="7"/>
  <c r="E9579" i="7"/>
  <c r="E9578" i="7"/>
  <c r="E9577" i="7"/>
  <c r="E9576" i="7"/>
  <c r="E9567" i="7"/>
  <c r="E9566" i="7"/>
  <c r="E9565" i="7"/>
  <c r="E9564" i="7"/>
  <c r="E9563" i="7"/>
  <c r="E9562" i="7"/>
  <c r="E9516" i="7" l="1"/>
  <c r="E9515" i="7"/>
  <c r="E9514" i="7"/>
  <c r="E9558" i="7"/>
  <c r="K9557" i="7"/>
  <c r="L9558" i="7" s="1"/>
  <c r="E9557" i="7"/>
  <c r="E9556" i="7"/>
  <c r="K9555" i="7"/>
  <c r="L9556" i="7" s="1"/>
  <c r="E9555" i="7"/>
  <c r="L9554" i="7"/>
  <c r="E9554" i="7"/>
  <c r="E9553" i="7"/>
  <c r="L9552" i="7"/>
  <c r="E9552" i="7"/>
  <c r="E9551" i="7"/>
  <c r="L9550" i="7"/>
  <c r="E9550" i="7"/>
  <c r="E9549" i="7"/>
  <c r="L9548" i="7"/>
  <c r="E9548" i="7"/>
  <c r="E9547" i="7"/>
  <c r="L9546" i="7"/>
  <c r="E9546" i="7"/>
  <c r="E9545" i="7"/>
  <c r="L9544" i="7"/>
  <c r="E9544" i="7"/>
  <c r="E9543" i="7"/>
  <c r="L9542" i="7"/>
  <c r="E9542" i="7"/>
  <c r="E9541" i="7"/>
  <c r="L9540" i="7"/>
  <c r="E9540" i="7"/>
  <c r="E9539" i="7"/>
  <c r="L9538" i="7"/>
  <c r="E9538" i="7"/>
  <c r="E9537" i="7"/>
  <c r="L9536" i="7"/>
  <c r="E9536" i="7"/>
  <c r="E9535" i="7"/>
  <c r="L9534" i="7"/>
  <c r="E9534" i="7"/>
  <c r="E9533" i="7"/>
  <c r="L9532" i="7"/>
  <c r="E9532" i="7"/>
  <c r="E9531" i="7"/>
  <c r="L9530" i="7"/>
  <c r="E9530" i="7"/>
  <c r="E9529" i="7"/>
  <c r="L9528" i="7"/>
  <c r="E9528" i="7"/>
  <c r="E9527" i="7"/>
  <c r="L9526" i="7"/>
  <c r="E9526" i="7"/>
  <c r="E9525" i="7"/>
  <c r="L9524" i="7"/>
  <c r="E9524" i="7"/>
  <c r="E9523" i="7"/>
  <c r="L9522" i="7"/>
  <c r="E9522" i="7"/>
  <c r="E9521" i="7"/>
  <c r="L9520" i="7"/>
  <c r="E9520" i="7"/>
  <c r="E9519" i="7"/>
  <c r="E9513" i="7"/>
  <c r="E9512" i="7"/>
  <c r="E9511" i="7"/>
  <c r="L9510" i="7" l="1"/>
  <c r="E9510" i="7"/>
  <c r="E9509" i="7"/>
  <c r="E9505" i="7"/>
  <c r="E9504" i="7"/>
  <c r="E9503" i="7"/>
  <c r="E9508" i="7"/>
  <c r="E9507" i="7"/>
  <c r="E9506" i="7"/>
  <c r="E9502" i="7"/>
  <c r="E9501" i="7"/>
  <c r="E9500" i="7"/>
  <c r="F253" i="58" l="1"/>
  <c r="F252" i="58"/>
  <c r="F251" i="58"/>
  <c r="F250" i="58"/>
  <c r="F249" i="58"/>
  <c r="F248" i="58"/>
  <c r="F247" i="58"/>
  <c r="N253" i="58"/>
  <c r="J253" i="58"/>
  <c r="H253" i="58"/>
  <c r="N252" i="58"/>
  <c r="J252" i="58"/>
  <c r="H252" i="58"/>
  <c r="N251" i="58"/>
  <c r="J251" i="58"/>
  <c r="H251" i="58"/>
  <c r="N250" i="58"/>
  <c r="J250" i="58"/>
  <c r="H250" i="58"/>
  <c r="N249" i="58"/>
  <c r="J249" i="58"/>
  <c r="H249" i="58"/>
  <c r="N248" i="58"/>
  <c r="J248" i="58"/>
  <c r="N247" i="58"/>
  <c r="J247" i="58"/>
  <c r="B248" i="58"/>
  <c r="B249" i="58" s="1"/>
  <c r="B250" i="58" s="1"/>
  <c r="B251" i="58" s="1"/>
  <c r="B252" i="58" s="1"/>
  <c r="B253" i="58" s="1"/>
  <c r="D247" i="58"/>
  <c r="D248" i="58"/>
  <c r="D249" i="58"/>
  <c r="D250" i="58"/>
  <c r="D251" i="58"/>
  <c r="D252" i="58"/>
  <c r="D253" i="58"/>
  <c r="E9484" i="7"/>
  <c r="E9483" i="7"/>
  <c r="L9416" i="7"/>
  <c r="E9417" i="7" l="1"/>
  <c r="E9416" i="7"/>
  <c r="E9415" i="7"/>
  <c r="L9482" i="7"/>
  <c r="E9482" i="7"/>
  <c r="E9481" i="7"/>
  <c r="L9468" i="7"/>
  <c r="E9468" i="7"/>
  <c r="E9467" i="7"/>
  <c r="E9466" i="7"/>
  <c r="E9465" i="7"/>
  <c r="E9464" i="7"/>
  <c r="E9496" i="7"/>
  <c r="E9495" i="7"/>
  <c r="E9494" i="7"/>
  <c r="E9490" i="7"/>
  <c r="E9489" i="7"/>
  <c r="E9488" i="7"/>
  <c r="E9499" i="7"/>
  <c r="E9498" i="7"/>
  <c r="E9497" i="7"/>
  <c r="E9487" i="7"/>
  <c r="E9486" i="7"/>
  <c r="E9485" i="7"/>
  <c r="E9480" i="7"/>
  <c r="E9479" i="7"/>
  <c r="E9478" i="7"/>
  <c r="E9477" i="7"/>
  <c r="E9476" i="7"/>
  <c r="E9475" i="7"/>
  <c r="E9463" i="7"/>
  <c r="E9462" i="7"/>
  <c r="E9461" i="7"/>
  <c r="E9474" i="7"/>
  <c r="E9473" i="7"/>
  <c r="E9472" i="7"/>
  <c r="E9471" i="7"/>
  <c r="E9470" i="7"/>
  <c r="E9469" i="7"/>
  <c r="E9460" i="7"/>
  <c r="E9459" i="7"/>
  <c r="E9458" i="7"/>
  <c r="E9414" i="7" l="1"/>
  <c r="E9413" i="7"/>
  <c r="E9412" i="7"/>
  <c r="E9411" i="7"/>
  <c r="E9410" i="7"/>
  <c r="E9409" i="7"/>
  <c r="E9408" i="7"/>
  <c r="E9407" i="7"/>
  <c r="E9406" i="7"/>
  <c r="E9405" i="7"/>
  <c r="E9404" i="7"/>
  <c r="E9284" i="7"/>
  <c r="E9283" i="7"/>
  <c r="E9457" i="7" l="1"/>
  <c r="K9456" i="7"/>
  <c r="L9457" i="7" s="1"/>
  <c r="E9456" i="7"/>
  <c r="E9455" i="7"/>
  <c r="K9454" i="7"/>
  <c r="L9455" i="7" s="1"/>
  <c r="E9454" i="7"/>
  <c r="L9453" i="7"/>
  <c r="E9453" i="7"/>
  <c r="E9452" i="7"/>
  <c r="L9451" i="7"/>
  <c r="E9451" i="7"/>
  <c r="E9450" i="7"/>
  <c r="L9449" i="7"/>
  <c r="E9449" i="7"/>
  <c r="E9448" i="7"/>
  <c r="L9447" i="7"/>
  <c r="E9447" i="7"/>
  <c r="E9446" i="7"/>
  <c r="L9445" i="7"/>
  <c r="E9445" i="7"/>
  <c r="E9444" i="7"/>
  <c r="L9443" i="7"/>
  <c r="E9443" i="7"/>
  <c r="E9442" i="7"/>
  <c r="L9441" i="7"/>
  <c r="E9441" i="7"/>
  <c r="E9440" i="7"/>
  <c r="L9439" i="7"/>
  <c r="E9439" i="7"/>
  <c r="E9438" i="7"/>
  <c r="L9437" i="7"/>
  <c r="E9437" i="7"/>
  <c r="E9436" i="7"/>
  <c r="L9435" i="7"/>
  <c r="E9435" i="7"/>
  <c r="E9434" i="7"/>
  <c r="L9433" i="7"/>
  <c r="E9433" i="7"/>
  <c r="E9432" i="7"/>
  <c r="L9431" i="7"/>
  <c r="E9431" i="7"/>
  <c r="E9430" i="7"/>
  <c r="L9429" i="7"/>
  <c r="E9429" i="7"/>
  <c r="E9428" i="7"/>
  <c r="L9427" i="7"/>
  <c r="E9427" i="7"/>
  <c r="E9426" i="7"/>
  <c r="L9425" i="7"/>
  <c r="E9425" i="7"/>
  <c r="E9424" i="7"/>
  <c r="L9423" i="7"/>
  <c r="E9423" i="7"/>
  <c r="E9422" i="7"/>
  <c r="L9421" i="7"/>
  <c r="E9421" i="7"/>
  <c r="E9420" i="7"/>
  <c r="L9419" i="7"/>
  <c r="E9419" i="7"/>
  <c r="E9418" i="7"/>
  <c r="E9351" i="7"/>
  <c r="E9350" i="7"/>
  <c r="E9403" i="7"/>
  <c r="E9402" i="7"/>
  <c r="E9401" i="7"/>
  <c r="E9400" i="7"/>
  <c r="E9399" i="7"/>
  <c r="E9398" i="7"/>
  <c r="E9380" i="7"/>
  <c r="E9379" i="7"/>
  <c r="E9378" i="7"/>
  <c r="E9349" i="7"/>
  <c r="E9348" i="7"/>
  <c r="E9347" i="7"/>
  <c r="E9346" i="7"/>
  <c r="E9345" i="7"/>
  <c r="E9344" i="7"/>
  <c r="E9327" i="7"/>
  <c r="E9326" i="7"/>
  <c r="E9325" i="7"/>
  <c r="E9397" i="7"/>
  <c r="E9396" i="7"/>
  <c r="E9377" i="7"/>
  <c r="E9376" i="7"/>
  <c r="E9282" i="7"/>
  <c r="E9281" i="7"/>
  <c r="E9395" i="7"/>
  <c r="E9394" i="7"/>
  <c r="E9393" i="7"/>
  <c r="E9392" i="7"/>
  <c r="E9391" i="7"/>
  <c r="E9390" i="7"/>
  <c r="E9389" i="7"/>
  <c r="E9388" i="7"/>
  <c r="E9387" i="7"/>
  <c r="E9386" i="7"/>
  <c r="E9385" i="7"/>
  <c r="E9384" i="7"/>
  <c r="E9383" i="7"/>
  <c r="E9382" i="7"/>
  <c r="E9381" i="7"/>
  <c r="E9369" i="7"/>
  <c r="E9368" i="7"/>
  <c r="E9367" i="7"/>
  <c r="E9375" i="7"/>
  <c r="E9374" i="7"/>
  <c r="E9373" i="7"/>
  <c r="E9366" i="7"/>
  <c r="E9365" i="7"/>
  <c r="E9364" i="7"/>
  <c r="E9357" i="7"/>
  <c r="E9356" i="7"/>
  <c r="E9355" i="7"/>
  <c r="E9360" i="7"/>
  <c r="E9359" i="7"/>
  <c r="E9358" i="7"/>
  <c r="E9363" i="7"/>
  <c r="E9362" i="7"/>
  <c r="E9361" i="7"/>
  <c r="E9372" i="7"/>
  <c r="E9371" i="7"/>
  <c r="E9370" i="7"/>
  <c r="E9354" i="7"/>
  <c r="E9353" i="7"/>
  <c r="E9352" i="7"/>
  <c r="E9335" i="7"/>
  <c r="E9334" i="7"/>
  <c r="E9333" i="7"/>
  <c r="E9338" i="7"/>
  <c r="E9337" i="7"/>
  <c r="E9336" i="7"/>
  <c r="E9341" i="7"/>
  <c r="E9340" i="7"/>
  <c r="E9339" i="7"/>
  <c r="E9332" i="7"/>
  <c r="E9331" i="7"/>
  <c r="E9330" i="7"/>
  <c r="N260" i="58" l="1"/>
  <c r="J260" i="58"/>
  <c r="N259" i="58"/>
  <c r="J259" i="58"/>
  <c r="N258" i="58"/>
  <c r="J258" i="58"/>
  <c r="N257" i="58"/>
  <c r="J257" i="58"/>
  <c r="N256" i="58"/>
  <c r="J256" i="58"/>
  <c r="N255" i="58"/>
  <c r="J255" i="58"/>
  <c r="N254" i="58"/>
  <c r="J254" i="58"/>
  <c r="H260" i="58"/>
  <c r="H259" i="58"/>
  <c r="H258" i="58"/>
  <c r="H257" i="58"/>
  <c r="H256" i="58"/>
  <c r="H255" i="58"/>
  <c r="H254" i="58"/>
  <c r="F260" i="58"/>
  <c r="F259" i="58"/>
  <c r="F258" i="58"/>
  <c r="F257" i="58"/>
  <c r="F256" i="58"/>
  <c r="F255" i="58"/>
  <c r="F254" i="58"/>
  <c r="B255" i="58"/>
  <c r="B256" i="58" s="1"/>
  <c r="B257" i="58" s="1"/>
  <c r="B258" i="58" s="1"/>
  <c r="B259" i="58" s="1"/>
  <c r="B260" i="58" s="1"/>
  <c r="D254" i="58"/>
  <c r="D255" i="58"/>
  <c r="D256" i="58"/>
  <c r="D257" i="58"/>
  <c r="D258" i="58"/>
  <c r="D259" i="58"/>
  <c r="D260" i="58"/>
  <c r="E9343" i="7"/>
  <c r="E9342" i="7"/>
  <c r="E9329" i="7"/>
  <c r="E9328" i="7"/>
  <c r="E9280" i="7" l="1"/>
  <c r="E9279" i="7"/>
  <c r="E9278" i="7"/>
  <c r="E9277" i="7"/>
  <c r="E9276" i="7"/>
  <c r="E9275" i="7"/>
  <c r="E9274" i="7"/>
  <c r="E9273" i="7"/>
  <c r="E9272" i="7"/>
  <c r="E9271" i="7"/>
  <c r="E9270" i="7"/>
  <c r="E9269" i="7"/>
  <c r="E9324" i="7" l="1"/>
  <c r="K9323" i="7"/>
  <c r="L9324" i="7" s="1"/>
  <c r="E9323" i="7"/>
  <c r="E9322" i="7"/>
  <c r="K9321" i="7"/>
  <c r="L9322" i="7" s="1"/>
  <c r="E9321" i="7"/>
  <c r="L9320" i="7"/>
  <c r="E9320" i="7"/>
  <c r="E9319" i="7"/>
  <c r="L9318" i="7"/>
  <c r="E9318" i="7"/>
  <c r="E9317" i="7"/>
  <c r="L9316" i="7"/>
  <c r="E9316" i="7"/>
  <c r="E9315" i="7"/>
  <c r="L9314" i="7"/>
  <c r="E9314" i="7"/>
  <c r="E9313" i="7"/>
  <c r="L9312" i="7"/>
  <c r="E9312" i="7"/>
  <c r="E9311" i="7"/>
  <c r="L9310" i="7"/>
  <c r="E9310" i="7"/>
  <c r="E9309" i="7"/>
  <c r="L9308" i="7"/>
  <c r="E9308" i="7"/>
  <c r="E9307" i="7"/>
  <c r="L9306" i="7"/>
  <c r="E9306" i="7"/>
  <c r="E9305" i="7"/>
  <c r="L9304" i="7"/>
  <c r="E9304" i="7"/>
  <c r="E9303" i="7"/>
  <c r="L9302" i="7"/>
  <c r="E9302" i="7"/>
  <c r="E9301" i="7"/>
  <c r="L9300" i="7"/>
  <c r="E9300" i="7"/>
  <c r="E9299" i="7"/>
  <c r="L9298" i="7"/>
  <c r="E9298" i="7"/>
  <c r="E9297" i="7"/>
  <c r="L9296" i="7"/>
  <c r="E9296" i="7"/>
  <c r="E9295" i="7"/>
  <c r="L9294" i="7"/>
  <c r="E9294" i="7"/>
  <c r="E9293" i="7"/>
  <c r="L9292" i="7"/>
  <c r="E9292" i="7"/>
  <c r="E9291" i="7"/>
  <c r="L9290" i="7"/>
  <c r="E9290" i="7"/>
  <c r="E9289" i="7"/>
  <c r="L9288" i="7"/>
  <c r="E9288" i="7"/>
  <c r="E9287" i="7"/>
  <c r="L9286" i="7"/>
  <c r="E9286" i="7"/>
  <c r="E9285" i="7"/>
  <c r="E9231" i="7"/>
  <c r="E9230" i="7"/>
  <c r="E9229" i="7"/>
  <c r="E9254" i="7"/>
  <c r="E9253" i="7"/>
  <c r="E9252" i="7"/>
  <c r="E9248" i="7"/>
  <c r="E9247" i="7"/>
  <c r="E9246" i="7"/>
  <c r="E9251" i="7"/>
  <c r="E9250" i="7"/>
  <c r="E9249" i="7"/>
  <c r="E9245" i="7"/>
  <c r="E9244" i="7"/>
  <c r="E9243" i="7"/>
  <c r="N267" i="58"/>
  <c r="J267" i="58"/>
  <c r="H267" i="58"/>
  <c r="N266" i="58"/>
  <c r="J266" i="58"/>
  <c r="H266" i="58"/>
  <c r="N265" i="58"/>
  <c r="J265" i="58"/>
  <c r="H265" i="58"/>
  <c r="N264" i="58"/>
  <c r="J264" i="58"/>
  <c r="H264" i="58"/>
  <c r="N263" i="58"/>
  <c r="J263" i="58"/>
  <c r="H263" i="58"/>
  <c r="N262" i="58"/>
  <c r="J262" i="58"/>
  <c r="H262" i="58"/>
  <c r="N261" i="58"/>
  <c r="J261" i="58"/>
  <c r="H261" i="58"/>
  <c r="F267" i="58"/>
  <c r="F266" i="58"/>
  <c r="F265" i="58"/>
  <c r="F264" i="58"/>
  <c r="F263" i="58"/>
  <c r="F262" i="58"/>
  <c r="F261" i="58"/>
  <c r="B262" i="58"/>
  <c r="B263" i="58" s="1"/>
  <c r="B264" i="58" s="1"/>
  <c r="B265" i="58" s="1"/>
  <c r="B266" i="58" s="1"/>
  <c r="B267" i="58" s="1"/>
  <c r="D261" i="58"/>
  <c r="D262" i="58"/>
  <c r="D263" i="58"/>
  <c r="D264" i="58"/>
  <c r="D265" i="58"/>
  <c r="D266" i="58"/>
  <c r="D267" i="58"/>
  <c r="E9268" i="7"/>
  <c r="E9267" i="7"/>
  <c r="E9266" i="7"/>
  <c r="E9265" i="7"/>
  <c r="E9264" i="7"/>
  <c r="E9263" i="7"/>
  <c r="E9262" i="7"/>
  <c r="E9261" i="7"/>
  <c r="E9260" i="7"/>
  <c r="E9259" i="7"/>
  <c r="E9258" i="7"/>
  <c r="E9257" i="7"/>
  <c r="E9256" i="7"/>
  <c r="E9255" i="7"/>
  <c r="E9242" i="7"/>
  <c r="E9241" i="7"/>
  <c r="E9240" i="7"/>
  <c r="E9239" i="7"/>
  <c r="E9238" i="7"/>
  <c r="E9237" i="7"/>
  <c r="E9236" i="7"/>
  <c r="E9235" i="7"/>
  <c r="E9234" i="7"/>
  <c r="E9233" i="7" l="1"/>
  <c r="E9232" i="7"/>
  <c r="E9224" i="7" l="1"/>
  <c r="E9223" i="7"/>
  <c r="E9222" i="7"/>
  <c r="E9221" i="7"/>
  <c r="E9220" i="7"/>
  <c r="E9216" i="7"/>
  <c r="E9215" i="7"/>
  <c r="E9214" i="7"/>
  <c r="E9219" i="7"/>
  <c r="E9218" i="7"/>
  <c r="E9217" i="7"/>
  <c r="E9213" i="7"/>
  <c r="E9212" i="7"/>
  <c r="E9211" i="7"/>
  <c r="E9210" i="7"/>
  <c r="E9209" i="7"/>
  <c r="E9208" i="7"/>
  <c r="E9203" i="7"/>
  <c r="E9202" i="7"/>
  <c r="E9195" i="7"/>
  <c r="E9194" i="7"/>
  <c r="E9193" i="7"/>
  <c r="E9201" i="7"/>
  <c r="E9200" i="7"/>
  <c r="E9199" i="7"/>
  <c r="E9198" i="7"/>
  <c r="E9197" i="7"/>
  <c r="E9196" i="7"/>
  <c r="E9192" i="7"/>
  <c r="E9191" i="7"/>
  <c r="E9190" i="7"/>
  <c r="E9189" i="7"/>
  <c r="E9188" i="7"/>
  <c r="E9187" i="7"/>
  <c r="E9144" i="7"/>
  <c r="E9143" i="7"/>
  <c r="E9228" i="7" l="1"/>
  <c r="E9227" i="7"/>
  <c r="E9207" i="7"/>
  <c r="E9206" i="7"/>
  <c r="E9186" i="7"/>
  <c r="E9185" i="7"/>
  <c r="E9226" i="7" l="1"/>
  <c r="E9225" i="7"/>
  <c r="E9205" i="7"/>
  <c r="E9204" i="7"/>
  <c r="E9142" i="7" l="1"/>
  <c r="E9141" i="7"/>
  <c r="E9140" i="7"/>
  <c r="E9139" i="7"/>
  <c r="E9138" i="7"/>
  <c r="E9137" i="7"/>
  <c r="K9183" i="7"/>
  <c r="K9181" i="7"/>
  <c r="N274" i="58" l="1"/>
  <c r="J274" i="58"/>
  <c r="H274" i="58"/>
  <c r="F274" i="58"/>
  <c r="N273" i="58"/>
  <c r="J273" i="58"/>
  <c r="H273" i="58"/>
  <c r="F273" i="58"/>
  <c r="N272" i="58"/>
  <c r="J272" i="58"/>
  <c r="H272" i="58"/>
  <c r="F272" i="58"/>
  <c r="N271" i="58"/>
  <c r="J271" i="58"/>
  <c r="H271" i="58"/>
  <c r="F271" i="58"/>
  <c r="N270" i="58"/>
  <c r="J270" i="58"/>
  <c r="H270" i="58"/>
  <c r="F270" i="58"/>
  <c r="N269" i="58"/>
  <c r="J269" i="58"/>
  <c r="H269" i="58"/>
  <c r="F269" i="58"/>
  <c r="N268" i="58"/>
  <c r="J268" i="58"/>
  <c r="H268" i="58"/>
  <c r="F268" i="58"/>
  <c r="B269" i="58"/>
  <c r="B270" i="58" s="1"/>
  <c r="B271" i="58" s="1"/>
  <c r="B272" i="58" s="1"/>
  <c r="B273" i="58" s="1"/>
  <c r="B274" i="58" s="1"/>
  <c r="D268" i="58"/>
  <c r="D269" i="58"/>
  <c r="D270" i="58"/>
  <c r="D271" i="58"/>
  <c r="D272" i="58"/>
  <c r="D273" i="58"/>
  <c r="D274" i="58"/>
  <c r="H17" i="9"/>
  <c r="L9184" i="7"/>
  <c r="E9184" i="7"/>
  <c r="E9183" i="7"/>
  <c r="L9182" i="7"/>
  <c r="E9182" i="7"/>
  <c r="E9181" i="7"/>
  <c r="L9180" i="7"/>
  <c r="E9180" i="7"/>
  <c r="E9179" i="7"/>
  <c r="L9178" i="7"/>
  <c r="E9178" i="7"/>
  <c r="E9177" i="7"/>
  <c r="L9176" i="7"/>
  <c r="E9176" i="7"/>
  <c r="E9175" i="7"/>
  <c r="L9174" i="7"/>
  <c r="E9174" i="7"/>
  <c r="E9173" i="7"/>
  <c r="L9172" i="7"/>
  <c r="E9172" i="7"/>
  <c r="E9171" i="7"/>
  <c r="L9170" i="7"/>
  <c r="E9170" i="7"/>
  <c r="E9169" i="7"/>
  <c r="L9168" i="7"/>
  <c r="E9168" i="7"/>
  <c r="E9167" i="7"/>
  <c r="L9166" i="7"/>
  <c r="E9166" i="7"/>
  <c r="E9165" i="7"/>
  <c r="L9164" i="7"/>
  <c r="E9164" i="7"/>
  <c r="E9163" i="7"/>
  <c r="L9162" i="7"/>
  <c r="E9162" i="7"/>
  <c r="E9161" i="7"/>
  <c r="L9160" i="7"/>
  <c r="E9160" i="7"/>
  <c r="E9159" i="7"/>
  <c r="L9158" i="7"/>
  <c r="E9158" i="7"/>
  <c r="E9157" i="7"/>
  <c r="L9156" i="7"/>
  <c r="E9156" i="7"/>
  <c r="E9155" i="7"/>
  <c r="L9154" i="7"/>
  <c r="E9154" i="7"/>
  <c r="E9153" i="7"/>
  <c r="L9152" i="7"/>
  <c r="E9152" i="7"/>
  <c r="E9151" i="7"/>
  <c r="L9150" i="7"/>
  <c r="E9150" i="7"/>
  <c r="E9149" i="7"/>
  <c r="L9148" i="7"/>
  <c r="E9148" i="7"/>
  <c r="E9147" i="7"/>
  <c r="L9146" i="7"/>
  <c r="E9146" i="7"/>
  <c r="E9145" i="7"/>
  <c r="E9108" i="7"/>
  <c r="E9107" i="7"/>
  <c r="E9054" i="7"/>
  <c r="E9053" i="7"/>
  <c r="E9117" i="7"/>
  <c r="E9116" i="7"/>
  <c r="E9115" i="7"/>
  <c r="E9114" i="7"/>
  <c r="E9113" i="7"/>
  <c r="E9130" i="7"/>
  <c r="E9129" i="7"/>
  <c r="E9128" i="7"/>
  <c r="E9127" i="7"/>
  <c r="E9112" i="7"/>
  <c r="E9111" i="7"/>
  <c r="E9106" i="7" l="1"/>
  <c r="E9105" i="7"/>
  <c r="E9104" i="7"/>
  <c r="E9136" i="7"/>
  <c r="E9135" i="7"/>
  <c r="E9134" i="7"/>
  <c r="E9133" i="7"/>
  <c r="E9132" i="7"/>
  <c r="E9131" i="7"/>
  <c r="E9126" i="7"/>
  <c r="E9125" i="7"/>
  <c r="E9124" i="7"/>
  <c r="E9123" i="7"/>
  <c r="E9122" i="7"/>
  <c r="E9121" i="7"/>
  <c r="E9120" i="7"/>
  <c r="E9119" i="7"/>
  <c r="E9118" i="7"/>
  <c r="E9103" i="7"/>
  <c r="E9102" i="7"/>
  <c r="E9101" i="7"/>
  <c r="E9100" i="7"/>
  <c r="E9099" i="7"/>
  <c r="E9098" i="7"/>
  <c r="E9097" i="7"/>
  <c r="E9096" i="7"/>
  <c r="E9095" i="7"/>
  <c r="E9052" i="7"/>
  <c r="E9051" i="7"/>
  <c r="E9050" i="7"/>
  <c r="L9094" i="7" l="1"/>
  <c r="E9094" i="7"/>
  <c r="E9093" i="7"/>
  <c r="L9092" i="7"/>
  <c r="E9092" i="7"/>
  <c r="E9091" i="7"/>
  <c r="L9090" i="7"/>
  <c r="E9090" i="7"/>
  <c r="E9089" i="7"/>
  <c r="L9088" i="7"/>
  <c r="E9088" i="7"/>
  <c r="E9087" i="7"/>
  <c r="L9086" i="7"/>
  <c r="E9086" i="7"/>
  <c r="E9085" i="7"/>
  <c r="L9084" i="7"/>
  <c r="E9084" i="7"/>
  <c r="E9083" i="7"/>
  <c r="L9082" i="7"/>
  <c r="E9082" i="7"/>
  <c r="E9081" i="7"/>
  <c r="L9080" i="7"/>
  <c r="E9080" i="7"/>
  <c r="E9079" i="7"/>
  <c r="L9078" i="7"/>
  <c r="E9078" i="7"/>
  <c r="E9077" i="7"/>
  <c r="L9076" i="7"/>
  <c r="E9076" i="7"/>
  <c r="E9075" i="7"/>
  <c r="L9074" i="7"/>
  <c r="E9074" i="7"/>
  <c r="E9073" i="7"/>
  <c r="L9072" i="7"/>
  <c r="E9072" i="7"/>
  <c r="E9071" i="7"/>
  <c r="L9070" i="7"/>
  <c r="E9070" i="7"/>
  <c r="E9069" i="7"/>
  <c r="L9068" i="7"/>
  <c r="E9068" i="7"/>
  <c r="E9067" i="7"/>
  <c r="L9066" i="7"/>
  <c r="E9066" i="7"/>
  <c r="E9065" i="7"/>
  <c r="L9064" i="7"/>
  <c r="E9064" i="7"/>
  <c r="E9063" i="7"/>
  <c r="L9062" i="7"/>
  <c r="E9062" i="7"/>
  <c r="E9061" i="7"/>
  <c r="L9060" i="7"/>
  <c r="E9060" i="7"/>
  <c r="E9059" i="7"/>
  <c r="L9058" i="7"/>
  <c r="E9058" i="7"/>
  <c r="E9057" i="7"/>
  <c r="L9056" i="7"/>
  <c r="E9056" i="7"/>
  <c r="E9055" i="7"/>
  <c r="E9049" i="7"/>
  <c r="E9048" i="7"/>
  <c r="E9047" i="7"/>
  <c r="E9046" i="7"/>
  <c r="E9045" i="7"/>
  <c r="E9044" i="7"/>
  <c r="E9043" i="7"/>
  <c r="E9042" i="7"/>
  <c r="E9041" i="7"/>
  <c r="E9040" i="7"/>
  <c r="E9039" i="7"/>
  <c r="E9038" i="7"/>
  <c r="E9037" i="7"/>
  <c r="E9036" i="7"/>
  <c r="E9035" i="7"/>
  <c r="E9034" i="7"/>
  <c r="E9033" i="7"/>
  <c r="E9032" i="7"/>
  <c r="E9031" i="7"/>
  <c r="E9030" i="7"/>
  <c r="E9029" i="7"/>
  <c r="E9028" i="7"/>
  <c r="E9027" i="7"/>
  <c r="E9026" i="7"/>
  <c r="E9025" i="7"/>
  <c r="E9024" i="7"/>
  <c r="E9023" i="7"/>
  <c r="E9022" i="7"/>
  <c r="E8980" i="7"/>
  <c r="E8981" i="7"/>
  <c r="E8979" i="7"/>
  <c r="E8607" i="7" l="1"/>
  <c r="E8606" i="7"/>
  <c r="E8858" i="7"/>
  <c r="E8857" i="7"/>
  <c r="E8978" i="7"/>
  <c r="E8977" i="7"/>
  <c r="E8976" i="7"/>
  <c r="L9013" i="7" l="1"/>
  <c r="N279" i="58" l="1"/>
  <c r="N278" i="58"/>
  <c r="N277" i="58"/>
  <c r="N276" i="58"/>
  <c r="N275" i="58"/>
  <c r="H279" i="58"/>
  <c r="H278" i="58"/>
  <c r="H277" i="58"/>
  <c r="H276" i="58"/>
  <c r="H275" i="58"/>
  <c r="F279" i="58"/>
  <c r="F278" i="58"/>
  <c r="F277" i="58"/>
  <c r="F276" i="58"/>
  <c r="F275" i="58"/>
  <c r="B276" i="58"/>
  <c r="B277" i="58" s="1"/>
  <c r="B278" i="58" s="1"/>
  <c r="B279" i="58" s="1"/>
  <c r="D275" i="58"/>
  <c r="J275" i="58"/>
  <c r="D276" i="58"/>
  <c r="J276" i="58"/>
  <c r="D277" i="58"/>
  <c r="J277" i="58"/>
  <c r="D278" i="58"/>
  <c r="J278" i="58"/>
  <c r="D279" i="58"/>
  <c r="J279" i="58"/>
  <c r="J2" i="58" l="1"/>
  <c r="D2" i="58"/>
  <c r="F2" i="58"/>
  <c r="H2" i="58"/>
  <c r="N2" i="58"/>
  <c r="E8975" i="7"/>
  <c r="E8974" i="7"/>
  <c r="E8973" i="7"/>
  <c r="E8972" i="7"/>
  <c r="E8971" i="7"/>
  <c r="E8970" i="7"/>
  <c r="B1" i="58" l="1"/>
  <c r="E8969" i="7"/>
  <c r="E8968" i="7"/>
  <c r="E8967" i="7"/>
  <c r="E8966" i="7"/>
  <c r="E8965" i="7"/>
  <c r="E8964" i="7"/>
  <c r="E8963" i="7"/>
  <c r="E8962" i="7"/>
  <c r="E8961" i="7"/>
  <c r="E8960" i="7"/>
  <c r="E8959" i="7"/>
  <c r="E8958" i="7"/>
  <c r="E8957" i="7"/>
  <c r="E8954" i="7" l="1"/>
  <c r="E8953" i="7"/>
  <c r="E8952" i="7"/>
  <c r="E8956" i="7"/>
  <c r="E8955" i="7"/>
  <c r="E8951" i="7"/>
  <c r="E8950" i="7"/>
  <c r="E8949" i="7"/>
  <c r="J46" i="59" l="1"/>
  <c r="K8569" i="7" l="1"/>
  <c r="E9021" i="7" l="1"/>
  <c r="E9020" i="7"/>
  <c r="E9019" i="7"/>
  <c r="E9018" i="7"/>
  <c r="E9017" i="7"/>
  <c r="E9016" i="7"/>
  <c r="E9015" i="7"/>
  <c r="E9014" i="7"/>
  <c r="E9013" i="7"/>
  <c r="E9012" i="7"/>
  <c r="E9011" i="7"/>
  <c r="E9010" i="7"/>
  <c r="E9009" i="7"/>
  <c r="E9008" i="7"/>
  <c r="E9007" i="7"/>
  <c r="E9006" i="7"/>
  <c r="E9005" i="7"/>
  <c r="E9004" i="7"/>
  <c r="E9003" i="7"/>
  <c r="E9002" i="7"/>
  <c r="E9001" i="7"/>
  <c r="E9000" i="7"/>
  <c r="E8999" i="7"/>
  <c r="E8998" i="7"/>
  <c r="E8997" i="7"/>
  <c r="E8996" i="7"/>
  <c r="E8995" i="7"/>
  <c r="E8994" i="7"/>
  <c r="E8993" i="7"/>
  <c r="E8992" i="7"/>
  <c r="E8991" i="7"/>
  <c r="E8990" i="7"/>
  <c r="E8989" i="7"/>
  <c r="E8988" i="7"/>
  <c r="E8987" i="7"/>
  <c r="E8986" i="7"/>
  <c r="E8985" i="7"/>
  <c r="E8984" i="7"/>
  <c r="E8983" i="7"/>
  <c r="E8982" i="7"/>
  <c r="E8948" i="7"/>
  <c r="E8947" i="7"/>
  <c r="E8946" i="7"/>
  <c r="E8326" i="7" l="1"/>
  <c r="E8325" i="7"/>
  <c r="K8118" i="7"/>
  <c r="E8119" i="7"/>
  <c r="E8118" i="7"/>
  <c r="E8937" i="7" l="1"/>
  <c r="E8936" i="7"/>
  <c r="E8901" i="7"/>
  <c r="E8900" i="7"/>
  <c r="E8899" i="7"/>
  <c r="E8908" i="7"/>
  <c r="E8907" i="7"/>
  <c r="E8906" i="7"/>
  <c r="E8911" i="7"/>
  <c r="E8910" i="7"/>
  <c r="E8909" i="7"/>
  <c r="E8914" i="7"/>
  <c r="E8913" i="7"/>
  <c r="E8912" i="7"/>
  <c r="E8917" i="7"/>
  <c r="E8916" i="7"/>
  <c r="E8915" i="7"/>
  <c r="E8920" i="7"/>
  <c r="E8919" i="7"/>
  <c r="E8918" i="7"/>
  <c r="E8923" i="7"/>
  <c r="E8922" i="7"/>
  <c r="E8921" i="7"/>
  <c r="E8926" i="7"/>
  <c r="E8925" i="7"/>
  <c r="E8924" i="7"/>
  <c r="E8929" i="7"/>
  <c r="E8928" i="7"/>
  <c r="E8927" i="7"/>
  <c r="E8932" i="7"/>
  <c r="E8931" i="7"/>
  <c r="E8930" i="7"/>
  <c r="E8935" i="7"/>
  <c r="E8934" i="7"/>
  <c r="E8933" i="7"/>
  <c r="E8940" i="7"/>
  <c r="E8939" i="7"/>
  <c r="E8938" i="7"/>
  <c r="E8943" i="7"/>
  <c r="E8942" i="7"/>
  <c r="E8941" i="7"/>
  <c r="F282" i="58" l="1"/>
  <c r="F281" i="58"/>
  <c r="N282" i="58"/>
  <c r="L282" i="58"/>
  <c r="J282" i="58"/>
  <c r="H282" i="58"/>
  <c r="N281" i="58"/>
  <c r="L281" i="58"/>
  <c r="J281" i="58"/>
  <c r="H281" i="58"/>
  <c r="B282" i="58"/>
  <c r="D281" i="58"/>
  <c r="D282" i="58"/>
  <c r="E8945" i="7"/>
  <c r="E8944" i="7"/>
  <c r="E8905" i="7"/>
  <c r="E8904" i="7"/>
  <c r="E8898" i="7" l="1"/>
  <c r="K8897" i="7"/>
  <c r="L8898" i="7" s="1"/>
  <c r="E8897" i="7"/>
  <c r="E8896" i="7"/>
  <c r="K8895" i="7"/>
  <c r="L8896" i="7" s="1"/>
  <c r="E8895" i="7"/>
  <c r="E8894" i="7"/>
  <c r="E8893" i="7"/>
  <c r="L8892" i="7"/>
  <c r="E8892" i="7"/>
  <c r="E8891" i="7"/>
  <c r="L8890" i="7"/>
  <c r="E8890" i="7"/>
  <c r="E8889" i="7"/>
  <c r="L8888" i="7"/>
  <c r="E8888" i="7"/>
  <c r="E8887" i="7"/>
  <c r="L8886" i="7"/>
  <c r="E8886" i="7"/>
  <c r="E8885" i="7"/>
  <c r="L8884" i="7"/>
  <c r="E8884" i="7"/>
  <c r="E8883" i="7"/>
  <c r="L8882" i="7"/>
  <c r="E8882" i="7"/>
  <c r="E8881" i="7"/>
  <c r="L8880" i="7"/>
  <c r="E8880" i="7"/>
  <c r="E8879" i="7"/>
  <c r="L8878" i="7"/>
  <c r="E8878" i="7"/>
  <c r="E8877" i="7"/>
  <c r="L8876" i="7"/>
  <c r="E8876" i="7"/>
  <c r="E8875" i="7"/>
  <c r="L8874" i="7"/>
  <c r="E8874" i="7"/>
  <c r="E8873" i="7"/>
  <c r="L8872" i="7"/>
  <c r="E8872" i="7"/>
  <c r="E8871" i="7"/>
  <c r="L8870" i="7"/>
  <c r="E8870" i="7"/>
  <c r="E8869" i="7"/>
  <c r="L8868" i="7"/>
  <c r="E8868" i="7"/>
  <c r="E8867" i="7"/>
  <c r="L8866" i="7"/>
  <c r="E8866" i="7"/>
  <c r="E8865" i="7"/>
  <c r="L8864" i="7"/>
  <c r="E8864" i="7"/>
  <c r="E8863" i="7"/>
  <c r="L8862" i="7"/>
  <c r="E8862" i="7"/>
  <c r="E8861" i="7"/>
  <c r="E8860" i="7"/>
  <c r="E8859" i="7"/>
  <c r="E8856" i="7"/>
  <c r="E8855" i="7"/>
  <c r="E8850" i="7"/>
  <c r="E8849" i="7"/>
  <c r="E8848" i="7"/>
  <c r="E8854" i="7"/>
  <c r="E8853" i="7"/>
  <c r="E8852" i="7"/>
  <c r="E8851" i="7"/>
  <c r="E8841" i="7"/>
  <c r="E8840" i="7"/>
  <c r="E8839" i="7"/>
  <c r="E8844" i="7"/>
  <c r="E8843" i="7"/>
  <c r="E8842" i="7"/>
  <c r="E8847" i="7"/>
  <c r="E8846" i="7"/>
  <c r="E8845" i="7"/>
  <c r="E8838" i="7"/>
  <c r="E8837" i="7"/>
  <c r="E8836" i="7"/>
  <c r="E8762" i="7"/>
  <c r="E8761" i="7"/>
  <c r="E8760" i="7"/>
  <c r="E8765" i="7"/>
  <c r="E8764" i="7"/>
  <c r="E8763" i="7"/>
  <c r="E8768" i="7"/>
  <c r="E8767" i="7"/>
  <c r="E8766" i="7"/>
  <c r="E8771" i="7"/>
  <c r="E8770" i="7"/>
  <c r="E8769" i="7"/>
  <c r="E8759" i="7"/>
  <c r="E8758" i="7"/>
  <c r="E8757" i="7"/>
  <c r="E8772" i="7"/>
  <c r="E8802" i="7"/>
  <c r="E8801" i="7"/>
  <c r="E8800" i="7"/>
  <c r="E8799" i="7"/>
  <c r="E8798" i="7"/>
  <c r="E8797" i="7"/>
  <c r="E8796" i="7"/>
  <c r="E8795" i="7"/>
  <c r="E8794" i="7"/>
  <c r="E8793" i="7"/>
  <c r="E8792" i="7"/>
  <c r="E8791" i="7"/>
  <c r="E8790" i="7"/>
  <c r="E8789" i="7"/>
  <c r="E8788" i="7"/>
  <c r="E8787" i="7"/>
  <c r="E8786" i="7"/>
  <c r="E8785" i="7"/>
  <c r="E8805" i="7"/>
  <c r="E8804" i="7"/>
  <c r="E8803" i="7"/>
  <c r="E8808" i="7"/>
  <c r="E8807" i="7"/>
  <c r="E8806" i="7"/>
  <c r="E8811" i="7"/>
  <c r="E8810" i="7"/>
  <c r="E8809" i="7"/>
  <c r="E8814" i="7"/>
  <c r="E8813" i="7"/>
  <c r="E8812" i="7"/>
  <c r="E8817" i="7"/>
  <c r="E8816" i="7"/>
  <c r="E8815" i="7"/>
  <c r="E8820" i="7"/>
  <c r="E8819" i="7"/>
  <c r="E8818" i="7"/>
  <c r="E8821" i="7"/>
  <c r="E8822" i="7"/>
  <c r="E8823" i="7"/>
  <c r="E8826" i="7"/>
  <c r="E8825" i="7"/>
  <c r="E8824" i="7"/>
  <c r="E8829" i="7"/>
  <c r="E8828" i="7"/>
  <c r="E8827" i="7"/>
  <c r="E8832" i="7"/>
  <c r="E8831" i="7"/>
  <c r="E8830" i="7"/>
  <c r="E8752" i="7"/>
  <c r="E8751" i="7"/>
  <c r="E8750" i="7"/>
  <c r="E8749" i="7"/>
  <c r="E8748" i="7"/>
  <c r="E8747" i="7"/>
  <c r="E8746" i="7"/>
  <c r="E8745" i="7"/>
  <c r="E8744" i="7"/>
  <c r="E8740" i="7"/>
  <c r="E8739" i="7"/>
  <c r="E8738" i="7"/>
  <c r="E8743" i="7"/>
  <c r="E8742" i="7"/>
  <c r="E8741" i="7"/>
  <c r="E8753" i="7"/>
  <c r="E8737" i="7"/>
  <c r="E8736" i="7"/>
  <c r="E8735" i="7"/>
  <c r="E8734" i="7"/>
  <c r="E8733" i="7"/>
  <c r="E8732" i="7"/>
  <c r="E8731" i="7"/>
  <c r="E8730" i="7"/>
  <c r="E8729" i="7"/>
  <c r="E8717" i="7"/>
  <c r="E8716" i="7"/>
  <c r="E8715" i="7"/>
  <c r="E8720" i="7"/>
  <c r="E8719" i="7"/>
  <c r="E8718" i="7"/>
  <c r="E8723" i="7"/>
  <c r="E8722" i="7"/>
  <c r="E8721" i="7"/>
  <c r="E8726" i="7"/>
  <c r="E8725" i="7"/>
  <c r="E8724" i="7"/>
  <c r="E8705" i="7"/>
  <c r="E8704" i="7"/>
  <c r="E8703" i="7"/>
  <c r="E8835" i="7"/>
  <c r="E8834" i="7"/>
  <c r="E8833" i="7"/>
  <c r="E8756" i="7"/>
  <c r="E8755" i="7"/>
  <c r="E8784" i="7"/>
  <c r="E8783" i="7"/>
  <c r="E8728" i="7"/>
  <c r="E8727" i="7"/>
  <c r="F289" i="58" l="1"/>
  <c r="F288" i="58"/>
  <c r="F287" i="58"/>
  <c r="F286" i="58"/>
  <c r="F285" i="58"/>
  <c r="F284" i="58"/>
  <c r="F283" i="58"/>
  <c r="H289" i="58"/>
  <c r="H288" i="58"/>
  <c r="H287" i="58"/>
  <c r="H286" i="58"/>
  <c r="H285" i="58"/>
  <c r="H284" i="58"/>
  <c r="H283" i="58"/>
  <c r="L289" i="58"/>
  <c r="J289" i="58"/>
  <c r="L288" i="58"/>
  <c r="J288" i="58"/>
  <c r="L287" i="58"/>
  <c r="J287" i="58"/>
  <c r="L286" i="58"/>
  <c r="J286" i="58"/>
  <c r="L285" i="58"/>
  <c r="J285" i="58"/>
  <c r="L284" i="58"/>
  <c r="J284" i="58"/>
  <c r="L283" i="58"/>
  <c r="J283" i="58"/>
  <c r="N289" i="58"/>
  <c r="N288" i="58"/>
  <c r="N287" i="58"/>
  <c r="N286" i="58"/>
  <c r="N285" i="58"/>
  <c r="N284" i="58"/>
  <c r="N283" i="58"/>
  <c r="B284" i="58"/>
  <c r="B285" i="58" s="1"/>
  <c r="B286" i="58" s="1"/>
  <c r="B287" i="58" s="1"/>
  <c r="B288" i="58" s="1"/>
  <c r="B289" i="58" s="1"/>
  <c r="D283" i="58"/>
  <c r="D284" i="58"/>
  <c r="D285" i="58"/>
  <c r="D286" i="58"/>
  <c r="D287" i="58"/>
  <c r="D288" i="58"/>
  <c r="D289" i="58"/>
  <c r="E8782" i="7" l="1"/>
  <c r="E8781" i="7"/>
  <c r="E8780" i="7"/>
  <c r="E8779" i="7"/>
  <c r="E8903" i="7" l="1"/>
  <c r="E8902" i="7"/>
  <c r="E8778" i="7"/>
  <c r="E8777" i="7"/>
  <c r="E8776" i="7"/>
  <c r="E8775" i="7"/>
  <c r="E8774" i="7"/>
  <c r="E8773" i="7"/>
  <c r="E8754" i="7"/>
  <c r="E8709" i="7"/>
  <c r="E8714" i="7"/>
  <c r="E8713" i="7"/>
  <c r="E8712" i="7"/>
  <c r="E8711" i="7"/>
  <c r="E8710" i="7"/>
  <c r="E8708" i="7"/>
  <c r="E8702" i="7" l="1"/>
  <c r="K8701" i="7"/>
  <c r="L8702" i="7" s="1"/>
  <c r="E8701" i="7"/>
  <c r="E8700" i="7"/>
  <c r="K8699" i="7"/>
  <c r="L8700" i="7" s="1"/>
  <c r="E8699" i="7"/>
  <c r="E8698" i="7"/>
  <c r="E8697" i="7"/>
  <c r="L8696" i="7"/>
  <c r="E8696" i="7"/>
  <c r="E8695" i="7"/>
  <c r="L8694" i="7"/>
  <c r="E8694" i="7"/>
  <c r="E8693" i="7"/>
  <c r="L8692" i="7"/>
  <c r="E8692" i="7"/>
  <c r="E8691" i="7"/>
  <c r="L8690" i="7"/>
  <c r="E8690" i="7"/>
  <c r="E8689" i="7"/>
  <c r="L8688" i="7"/>
  <c r="E8688" i="7"/>
  <c r="E8687" i="7"/>
  <c r="E8686" i="7"/>
  <c r="E8685" i="7"/>
  <c r="L8684" i="7"/>
  <c r="E8684" i="7"/>
  <c r="E8683" i="7"/>
  <c r="L8682" i="7"/>
  <c r="E8682" i="7"/>
  <c r="E8681" i="7"/>
  <c r="L8680" i="7"/>
  <c r="E8680" i="7"/>
  <c r="E8679" i="7"/>
  <c r="L8678" i="7"/>
  <c r="E8678" i="7"/>
  <c r="E8677" i="7"/>
  <c r="L8676" i="7"/>
  <c r="E8676" i="7"/>
  <c r="E8675" i="7"/>
  <c r="L8674" i="7"/>
  <c r="E8674" i="7"/>
  <c r="E8673" i="7"/>
  <c r="L8672" i="7"/>
  <c r="E8672" i="7"/>
  <c r="E8671" i="7"/>
  <c r="L8670" i="7"/>
  <c r="E8670" i="7"/>
  <c r="E8669" i="7"/>
  <c r="L8668" i="7"/>
  <c r="E8668" i="7"/>
  <c r="E8667" i="7"/>
  <c r="L8666" i="7"/>
  <c r="E8666" i="7"/>
  <c r="E8665" i="7"/>
  <c r="L8664" i="7"/>
  <c r="E8664" i="7"/>
  <c r="E8663" i="7"/>
  <c r="E8662" i="7"/>
  <c r="E8661" i="7"/>
  <c r="E8660" i="7"/>
  <c r="E8659" i="7"/>
  <c r="E8641" i="7"/>
  <c r="E8640" i="7"/>
  <c r="E8707" i="7"/>
  <c r="E8706" i="7"/>
  <c r="E8658" i="7"/>
  <c r="E8657" i="7"/>
  <c r="E8656" i="7"/>
  <c r="E8655" i="7"/>
  <c r="E8654" i="7"/>
  <c r="N296" i="58" l="1"/>
  <c r="L296" i="58"/>
  <c r="J296" i="58"/>
  <c r="H296" i="58"/>
  <c r="F296" i="58"/>
  <c r="N295" i="58"/>
  <c r="L295" i="58"/>
  <c r="J295" i="58"/>
  <c r="H295" i="58"/>
  <c r="F295" i="58"/>
  <c r="N294" i="58"/>
  <c r="L294" i="58"/>
  <c r="J294" i="58"/>
  <c r="H294" i="58"/>
  <c r="F294" i="58"/>
  <c r="N293" i="58"/>
  <c r="L293" i="58"/>
  <c r="J293" i="58"/>
  <c r="H293" i="58"/>
  <c r="F293" i="58"/>
  <c r="N292" i="58"/>
  <c r="L292" i="58"/>
  <c r="J292" i="58"/>
  <c r="H292" i="58"/>
  <c r="F292" i="58"/>
  <c r="N291" i="58"/>
  <c r="L291" i="58"/>
  <c r="J291" i="58"/>
  <c r="H291" i="58"/>
  <c r="F291" i="58"/>
  <c r="N290" i="58"/>
  <c r="L290" i="58"/>
  <c r="J290" i="58"/>
  <c r="H290" i="58"/>
  <c r="F290" i="58"/>
  <c r="B291" i="58"/>
  <c r="B292" i="58" s="1"/>
  <c r="B293" i="58" s="1"/>
  <c r="B294" i="58" s="1"/>
  <c r="B295" i="58" s="1"/>
  <c r="B296" i="58" s="1"/>
  <c r="D290" i="58"/>
  <c r="D291" i="58"/>
  <c r="D292" i="58"/>
  <c r="D293" i="58"/>
  <c r="D294" i="58"/>
  <c r="D295" i="58"/>
  <c r="D296" i="58"/>
  <c r="E8653" i="7"/>
  <c r="E8652" i="7"/>
  <c r="E8651" i="7"/>
  <c r="E8650" i="7"/>
  <c r="E8649" i="7"/>
  <c r="E8648" i="7"/>
  <c r="E8647" i="7"/>
  <c r="E8646" i="7"/>
  <c r="E8645" i="7"/>
  <c r="E8644" i="7"/>
  <c r="E8643" i="7"/>
  <c r="E8642" i="7"/>
  <c r="E8639" i="7"/>
  <c r="E8638" i="7"/>
  <c r="E8637" i="7"/>
  <c r="E8636" i="7" l="1"/>
  <c r="E8635" i="7"/>
  <c r="E8556" i="7"/>
  <c r="E8555" i="7"/>
  <c r="L8568" i="7"/>
  <c r="E8554" i="7"/>
  <c r="E8553" i="7"/>
  <c r="E8634" i="7" l="1"/>
  <c r="E8633" i="7"/>
  <c r="L8572" i="7"/>
  <c r="L8570" i="7"/>
  <c r="E8632" i="7"/>
  <c r="E8631" i="7"/>
  <c r="E8612" i="7" l="1"/>
  <c r="E8611" i="7"/>
  <c r="E8610" i="7"/>
  <c r="E8609" i="7"/>
  <c r="E8608" i="7"/>
  <c r="E8605" i="7"/>
  <c r="E8604" i="7"/>
  <c r="E8603" i="7"/>
  <c r="E8630" i="7"/>
  <c r="E8629" i="7"/>
  <c r="E8628" i="7"/>
  <c r="E8627" i="7"/>
  <c r="E8626" i="7"/>
  <c r="E8625" i="7"/>
  <c r="E8624" i="7"/>
  <c r="E8623" i="7"/>
  <c r="E8622" i="7"/>
  <c r="E8621" i="7"/>
  <c r="E8620" i="7"/>
  <c r="E8619" i="7"/>
  <c r="E8618" i="7"/>
  <c r="E8617" i="7"/>
  <c r="E8616" i="7"/>
  <c r="E8615" i="7"/>
  <c r="E8614" i="7"/>
  <c r="E8613" i="7"/>
  <c r="E8552" i="7" l="1"/>
  <c r="E8551" i="7"/>
  <c r="E8550" i="7"/>
  <c r="E8549" i="7"/>
  <c r="E8548" i="7"/>
  <c r="E8547" i="7"/>
  <c r="E8546" i="7" l="1"/>
  <c r="E8545" i="7"/>
  <c r="C306" i="58" l="1"/>
  <c r="C305" i="58"/>
  <c r="C304" i="58"/>
  <c r="C303" i="58"/>
  <c r="C302" i="58"/>
  <c r="C301" i="58"/>
  <c r="C300" i="58"/>
  <c r="C299" i="58"/>
  <c r="C298" i="58"/>
  <c r="C297" i="58"/>
  <c r="C307" i="58"/>
  <c r="E8602" i="7" l="1"/>
  <c r="E8601" i="7"/>
  <c r="E8600" i="7"/>
  <c r="E8599" i="7"/>
  <c r="E8598" i="7"/>
  <c r="E8597" i="7"/>
  <c r="L8596" i="7"/>
  <c r="E8596" i="7"/>
  <c r="E8595" i="7"/>
  <c r="L8594" i="7"/>
  <c r="E8594" i="7"/>
  <c r="E8593" i="7"/>
  <c r="L8592" i="7"/>
  <c r="E8592" i="7"/>
  <c r="E8591" i="7"/>
  <c r="E8590" i="7"/>
  <c r="E8589" i="7"/>
  <c r="E8588" i="7"/>
  <c r="E8587" i="7"/>
  <c r="E8586" i="7"/>
  <c r="E8585" i="7"/>
  <c r="E8584" i="7"/>
  <c r="E8583" i="7"/>
  <c r="E8582" i="7"/>
  <c r="E8581" i="7"/>
  <c r="E8580" i="7"/>
  <c r="E8579" i="7"/>
  <c r="E8578" i="7"/>
  <c r="E8577" i="7"/>
  <c r="E8576" i="7"/>
  <c r="E8575" i="7"/>
  <c r="E8574" i="7"/>
  <c r="E8573" i="7"/>
  <c r="E8572" i="7"/>
  <c r="E8571" i="7"/>
  <c r="E8570" i="7"/>
  <c r="E8569" i="7"/>
  <c r="E8568" i="7"/>
  <c r="E8567" i="7"/>
  <c r="E8566" i="7"/>
  <c r="E8565" i="7"/>
  <c r="E8564" i="7"/>
  <c r="E8563" i="7"/>
  <c r="E8562" i="7"/>
  <c r="E8561" i="7"/>
  <c r="E8560" i="7"/>
  <c r="E8559" i="7"/>
  <c r="E8558" i="7"/>
  <c r="E8557" i="7"/>
  <c r="E8544" i="7" l="1"/>
  <c r="E8543" i="7"/>
  <c r="E8542" i="7"/>
  <c r="F298" i="58"/>
  <c r="F299" i="58"/>
  <c r="F300" i="58"/>
  <c r="F301" i="58"/>
  <c r="F302" i="58"/>
  <c r="F303" i="58"/>
  <c r="F304" i="58"/>
  <c r="F305" i="58"/>
  <c r="F306" i="58"/>
  <c r="F307" i="58"/>
  <c r="F308" i="58"/>
  <c r="F309" i="58"/>
  <c r="F310" i="58"/>
  <c r="F297" i="58"/>
  <c r="N310" i="58"/>
  <c r="L310" i="58"/>
  <c r="J310" i="58"/>
  <c r="H310" i="58"/>
  <c r="N309" i="58"/>
  <c r="L309" i="58"/>
  <c r="J309" i="58"/>
  <c r="H309" i="58"/>
  <c r="N308" i="58"/>
  <c r="L308" i="58"/>
  <c r="J308" i="58"/>
  <c r="H308" i="58"/>
  <c r="N307" i="58"/>
  <c r="L307" i="58"/>
  <c r="J307" i="58"/>
  <c r="H307" i="58"/>
  <c r="N306" i="58"/>
  <c r="L306" i="58"/>
  <c r="J306" i="58"/>
  <c r="H306" i="58"/>
  <c r="N305" i="58"/>
  <c r="L305" i="58"/>
  <c r="J305" i="58"/>
  <c r="H305" i="58"/>
  <c r="N304" i="58"/>
  <c r="L304" i="58"/>
  <c r="J304" i="58"/>
  <c r="H304" i="58"/>
  <c r="N303" i="58"/>
  <c r="L303" i="58"/>
  <c r="J303" i="58"/>
  <c r="H303" i="58"/>
  <c r="N302" i="58"/>
  <c r="L302" i="58"/>
  <c r="J302" i="58"/>
  <c r="H302" i="58"/>
  <c r="N301" i="58"/>
  <c r="L301" i="58"/>
  <c r="J301" i="58"/>
  <c r="H301" i="58"/>
  <c r="N300" i="58"/>
  <c r="L300" i="58"/>
  <c r="J300" i="58"/>
  <c r="H300" i="58"/>
  <c r="N299" i="58"/>
  <c r="L299" i="58"/>
  <c r="J299" i="58"/>
  <c r="H299" i="58"/>
  <c r="N298" i="58"/>
  <c r="L298" i="58"/>
  <c r="J298" i="58"/>
  <c r="H298" i="58"/>
  <c r="N297" i="58"/>
  <c r="L297" i="58"/>
  <c r="J297" i="58"/>
  <c r="H297" i="58"/>
  <c r="B298" i="58"/>
  <c r="B299" i="58" s="1"/>
  <c r="B300" i="58" s="1"/>
  <c r="B301" i="58" s="1"/>
  <c r="B302" i="58" s="1"/>
  <c r="B303" i="58" s="1"/>
  <c r="B304" i="58" s="1"/>
  <c r="B305" i="58" s="1"/>
  <c r="B306" i="58" s="1"/>
  <c r="B307" i="58" s="1"/>
  <c r="B308" i="58" s="1"/>
  <c r="B309" i="58" s="1"/>
  <c r="B310" i="58" s="1"/>
  <c r="D297" i="58"/>
  <c r="D298" i="58"/>
  <c r="D299" i="58"/>
  <c r="D300" i="58"/>
  <c r="D301" i="58"/>
  <c r="D302" i="58"/>
  <c r="D303" i="58"/>
  <c r="D304" i="58"/>
  <c r="D305" i="58"/>
  <c r="D306" i="58"/>
  <c r="D307" i="58"/>
  <c r="D308" i="58"/>
  <c r="D309" i="58"/>
  <c r="D310" i="58"/>
  <c r="E8538" i="7"/>
  <c r="E8537" i="7"/>
  <c r="E8506" i="7"/>
  <c r="E8505" i="7"/>
  <c r="E8504" i="7"/>
  <c r="E8541" i="7"/>
  <c r="E8540" i="7"/>
  <c r="E8539" i="7"/>
  <c r="E8536" i="7"/>
  <c r="E8535" i="7"/>
  <c r="E8534" i="7"/>
  <c r="E8533" i="7"/>
  <c r="E8532" i="7"/>
  <c r="E8531" i="7"/>
  <c r="E8530" i="7"/>
  <c r="E8529" i="7"/>
  <c r="E8528" i="7"/>
  <c r="E8527" i="7"/>
  <c r="E8526" i="7"/>
  <c r="E8525" i="7"/>
  <c r="E8524" i="7"/>
  <c r="E8523" i="7"/>
  <c r="E8522" i="7"/>
  <c r="E8521" i="7"/>
  <c r="E8520" i="7"/>
  <c r="E8519" i="7"/>
  <c r="E8518" i="7"/>
  <c r="E8517" i="7"/>
  <c r="E8516" i="7"/>
  <c r="E8515" i="7"/>
  <c r="E8514" i="7"/>
  <c r="E8513" i="7"/>
  <c r="E8512" i="7"/>
  <c r="E8511" i="7"/>
  <c r="E8510" i="7"/>
  <c r="E8509" i="7"/>
  <c r="E8508" i="7"/>
  <c r="E8507" i="7"/>
  <c r="E8503" i="7"/>
  <c r="E8502" i="7"/>
  <c r="E8501" i="7"/>
  <c r="L8476" i="7"/>
  <c r="E8476" i="7"/>
  <c r="E8475" i="7"/>
  <c r="L8482" i="7"/>
  <c r="E8482" i="7"/>
  <c r="E8481" i="7"/>
  <c r="E8500" i="7"/>
  <c r="K8499" i="7"/>
  <c r="L8500" i="7" s="1"/>
  <c r="E8499" i="7"/>
  <c r="E8498" i="7"/>
  <c r="K8497" i="7"/>
  <c r="L8498" i="7" s="1"/>
  <c r="E8497" i="7"/>
  <c r="E8496" i="7"/>
  <c r="E8495" i="7"/>
  <c r="L8494" i="7"/>
  <c r="E8494" i="7"/>
  <c r="E8493" i="7"/>
  <c r="L8492" i="7"/>
  <c r="E8492" i="7"/>
  <c r="E8491" i="7"/>
  <c r="L8490" i="7"/>
  <c r="E8490" i="7"/>
  <c r="E8489" i="7"/>
  <c r="L8488" i="7"/>
  <c r="E8488" i="7"/>
  <c r="E8487" i="7"/>
  <c r="L8486" i="7"/>
  <c r="E8486" i="7"/>
  <c r="E8485" i="7"/>
  <c r="E8484" i="7"/>
  <c r="E8483" i="7"/>
  <c r="L8480" i="7"/>
  <c r="E8480" i="7"/>
  <c r="E8479" i="7"/>
  <c r="L8478" i="7"/>
  <c r="E8478" i="7"/>
  <c r="E8477" i="7"/>
  <c r="L8474" i="7"/>
  <c r="E8474" i="7"/>
  <c r="E8473" i="7"/>
  <c r="L8472" i="7"/>
  <c r="E8472" i="7"/>
  <c r="E8471" i="7"/>
  <c r="L8470" i="7"/>
  <c r="E8470" i="7"/>
  <c r="E8469" i="7"/>
  <c r="L8468" i="7"/>
  <c r="E8468" i="7"/>
  <c r="E8467" i="7"/>
  <c r="L8466" i="7"/>
  <c r="E8466" i="7"/>
  <c r="E8465" i="7"/>
  <c r="L8464" i="7"/>
  <c r="E8464" i="7"/>
  <c r="E8463" i="7"/>
  <c r="L8462" i="7"/>
  <c r="E8462" i="7"/>
  <c r="E8461" i="7"/>
  <c r="L8460" i="7"/>
  <c r="E8460" i="7"/>
  <c r="E8459" i="7"/>
  <c r="L8458" i="7"/>
  <c r="E8458" i="7"/>
  <c r="E8457" i="7"/>
  <c r="E8456" i="7"/>
  <c r="E8455" i="7"/>
  <c r="E8365" i="7"/>
  <c r="E8364" i="7"/>
  <c r="E8448" i="7"/>
  <c r="E8447" i="7"/>
  <c r="E8454" i="7"/>
  <c r="E8453" i="7"/>
  <c r="E8452" i="7"/>
  <c r="E8451" i="7"/>
  <c r="E8450" i="7" l="1"/>
  <c r="E8449" i="7"/>
  <c r="F318" i="58"/>
  <c r="F317" i="58"/>
  <c r="F316" i="58"/>
  <c r="F315" i="58"/>
  <c r="F314" i="58"/>
  <c r="F313" i="58"/>
  <c r="F312" i="58"/>
  <c r="F311" i="58"/>
  <c r="N318" i="58" l="1"/>
  <c r="L318" i="58"/>
  <c r="J318" i="58"/>
  <c r="H318" i="58"/>
  <c r="N317" i="58"/>
  <c r="L317" i="58"/>
  <c r="J317" i="58"/>
  <c r="H317" i="58"/>
  <c r="N316" i="58"/>
  <c r="L316" i="58"/>
  <c r="J316" i="58"/>
  <c r="H316" i="58"/>
  <c r="N315" i="58"/>
  <c r="L315" i="58"/>
  <c r="J315" i="58"/>
  <c r="H315" i="58"/>
  <c r="N314" i="58"/>
  <c r="L314" i="58"/>
  <c r="J314" i="58"/>
  <c r="H314" i="58"/>
  <c r="N313" i="58"/>
  <c r="L313" i="58"/>
  <c r="J313" i="58"/>
  <c r="H313" i="58"/>
  <c r="N312" i="58"/>
  <c r="L312" i="58"/>
  <c r="J312" i="58"/>
  <c r="H312" i="58"/>
  <c r="N311" i="58"/>
  <c r="L311" i="58"/>
  <c r="J311" i="58"/>
  <c r="H311" i="58"/>
  <c r="B312" i="58"/>
  <c r="B313" i="58" s="1"/>
  <c r="B314" i="58" s="1"/>
  <c r="B315" i="58" s="1"/>
  <c r="B316" i="58" s="1"/>
  <c r="B317" i="58" s="1"/>
  <c r="B318" i="58" s="1"/>
  <c r="D311" i="58"/>
  <c r="D312" i="58"/>
  <c r="D313" i="58"/>
  <c r="D314" i="58"/>
  <c r="D315" i="58"/>
  <c r="D316" i="58"/>
  <c r="D317" i="58"/>
  <c r="D318" i="58"/>
  <c r="E8446" i="7"/>
  <c r="E8445" i="7"/>
  <c r="E8444" i="7"/>
  <c r="E8443" i="7"/>
  <c r="E8442" i="7"/>
  <c r="E8441" i="7"/>
  <c r="E8440" i="7"/>
  <c r="E8439" i="7"/>
  <c r="E8438" i="7"/>
  <c r="E8437" i="7"/>
  <c r="E8436" i="7"/>
  <c r="E8435" i="7"/>
  <c r="E8434" i="7"/>
  <c r="E8433" i="7"/>
  <c r="E8432" i="7"/>
  <c r="E8427" i="7"/>
  <c r="E8426" i="7"/>
  <c r="E8425" i="7"/>
  <c r="E8431" i="7"/>
  <c r="E8430" i="7"/>
  <c r="E8424" i="7"/>
  <c r="E8423" i="7"/>
  <c r="E8422" i="7"/>
  <c r="E8429" i="7" l="1"/>
  <c r="E8428" i="7"/>
  <c r="E8421" i="7"/>
  <c r="E8420" i="7"/>
  <c r="E8419" i="7"/>
  <c r="E8418" i="7"/>
  <c r="E8417" i="7"/>
  <c r="E8416" i="7"/>
  <c r="E8415" i="7"/>
  <c r="E8414" i="7"/>
  <c r="E8413" i="7"/>
  <c r="E8412" i="7"/>
  <c r="E8411" i="7"/>
  <c r="E8410" i="7"/>
  <c r="E8409" i="7"/>
  <c r="E8408" i="7"/>
  <c r="E8363" i="7" l="1"/>
  <c r="E8362" i="7"/>
  <c r="E8361" i="7"/>
  <c r="L8373" i="7" l="1"/>
  <c r="E8373" i="7"/>
  <c r="E8372" i="7"/>
  <c r="E8407" i="7"/>
  <c r="K8406" i="7"/>
  <c r="L8407" i="7" s="1"/>
  <c r="E8406" i="7"/>
  <c r="E8405" i="7"/>
  <c r="K8404" i="7"/>
  <c r="L8405" i="7" s="1"/>
  <c r="E8404" i="7"/>
  <c r="E8403" i="7"/>
  <c r="E8402" i="7"/>
  <c r="L8401" i="7"/>
  <c r="E8401" i="7"/>
  <c r="E8400" i="7"/>
  <c r="L8399" i="7"/>
  <c r="E8399" i="7"/>
  <c r="E8398" i="7"/>
  <c r="L8397" i="7"/>
  <c r="E8397" i="7"/>
  <c r="E8396" i="7"/>
  <c r="L8395" i="7"/>
  <c r="E8395" i="7"/>
  <c r="E8394" i="7"/>
  <c r="L8393" i="7"/>
  <c r="E8393" i="7"/>
  <c r="E8392" i="7"/>
  <c r="E8391" i="7"/>
  <c r="E8390" i="7"/>
  <c r="L8389" i="7"/>
  <c r="E8389" i="7"/>
  <c r="E8388" i="7"/>
  <c r="L8387" i="7"/>
  <c r="E8387" i="7"/>
  <c r="E8386" i="7"/>
  <c r="L8385" i="7"/>
  <c r="E8385" i="7"/>
  <c r="E8384" i="7"/>
  <c r="L8383" i="7"/>
  <c r="E8383" i="7"/>
  <c r="E8382" i="7"/>
  <c r="L8381" i="7"/>
  <c r="E8381" i="7"/>
  <c r="E8380" i="7"/>
  <c r="L8379" i="7"/>
  <c r="E8379" i="7"/>
  <c r="E8378" i="7"/>
  <c r="L8377" i="7"/>
  <c r="E8377" i="7"/>
  <c r="E8376" i="7"/>
  <c r="L8375" i="7"/>
  <c r="E8375" i="7"/>
  <c r="E8374" i="7"/>
  <c r="L8371" i="7"/>
  <c r="E8371" i="7"/>
  <c r="E8370" i="7"/>
  <c r="L8369" i="7"/>
  <c r="E8369" i="7"/>
  <c r="E8368" i="7"/>
  <c r="E8367" i="7"/>
  <c r="E8366" i="7"/>
  <c r="F325" i="58"/>
  <c r="F324" i="58"/>
  <c r="F323" i="58"/>
  <c r="F322" i="58"/>
  <c r="F321" i="58"/>
  <c r="F320" i="58"/>
  <c r="F319" i="58"/>
  <c r="N325" i="58"/>
  <c r="L325" i="58"/>
  <c r="J325" i="58"/>
  <c r="H325" i="58"/>
  <c r="N324" i="58"/>
  <c r="L324" i="58"/>
  <c r="J324" i="58"/>
  <c r="H324" i="58"/>
  <c r="N323" i="58"/>
  <c r="L323" i="58"/>
  <c r="J323" i="58"/>
  <c r="H323" i="58"/>
  <c r="N322" i="58"/>
  <c r="L322" i="58"/>
  <c r="J322" i="58"/>
  <c r="H322" i="58"/>
  <c r="N321" i="58"/>
  <c r="L321" i="58"/>
  <c r="J321" i="58"/>
  <c r="H321" i="58"/>
  <c r="N320" i="58"/>
  <c r="L320" i="58"/>
  <c r="J320" i="58"/>
  <c r="H320" i="58"/>
  <c r="N319" i="58"/>
  <c r="L319" i="58"/>
  <c r="J319" i="58"/>
  <c r="H319" i="58"/>
  <c r="B320" i="58"/>
  <c r="B321" i="58" s="1"/>
  <c r="B322" i="58" s="1"/>
  <c r="B323" i="58" s="1"/>
  <c r="B324" i="58" s="1"/>
  <c r="B325" i="58" s="1"/>
  <c r="D319" i="58"/>
  <c r="D320" i="58"/>
  <c r="D321" i="58"/>
  <c r="D322" i="58"/>
  <c r="D323" i="58"/>
  <c r="D324" i="58"/>
  <c r="D325" i="58"/>
  <c r="E8360" i="7" l="1"/>
  <c r="E8359" i="7"/>
  <c r="E8358" i="7"/>
  <c r="E8357" i="7"/>
  <c r="E8356" i="7"/>
  <c r="E8355" i="7"/>
  <c r="E8354" i="7"/>
  <c r="E8353" i="7"/>
  <c r="E8352" i="7"/>
  <c r="E8282" i="7" l="1"/>
  <c r="E8281" i="7"/>
  <c r="E8351" i="7"/>
  <c r="E8350" i="7"/>
  <c r="E8324" i="7"/>
  <c r="E8323" i="7"/>
  <c r="E8346" i="7"/>
  <c r="E8345" i="7"/>
  <c r="E8349" i="7"/>
  <c r="E8348" i="7"/>
  <c r="E8347" i="7"/>
  <c r="E8344" i="7"/>
  <c r="E8343" i="7"/>
  <c r="E8342" i="7"/>
  <c r="E8341" i="7"/>
  <c r="E8340" i="7"/>
  <c r="E8339" i="7"/>
  <c r="E8338" i="7"/>
  <c r="E8337" i="7"/>
  <c r="E8336" i="7"/>
  <c r="E8335" i="7"/>
  <c r="E8334" i="7"/>
  <c r="E8333" i="7"/>
  <c r="E8332" i="7"/>
  <c r="E8331" i="7"/>
  <c r="E8330" i="7"/>
  <c r="E8329" i="7"/>
  <c r="E8328" i="7"/>
  <c r="E8327" i="7"/>
  <c r="E8280" i="7"/>
  <c r="E8279" i="7"/>
  <c r="E8278" i="7"/>
  <c r="E8277" i="7" l="1"/>
  <c r="E8276" i="7"/>
  <c r="E8275" i="7"/>
  <c r="E8274" i="7"/>
  <c r="E8273" i="7"/>
  <c r="E8272" i="7"/>
  <c r="E8271" i="7"/>
  <c r="E8270" i="7"/>
  <c r="E8269" i="7"/>
  <c r="E8268" i="7"/>
  <c r="E8267" i="7"/>
  <c r="E8266" i="7"/>
  <c r="E8265" i="7"/>
  <c r="E8264" i="7"/>
  <c r="E8263" i="7"/>
  <c r="E8262" i="7" l="1"/>
  <c r="E8261" i="7"/>
  <c r="F331" i="58" l="1"/>
  <c r="F330" i="58"/>
  <c r="F329" i="58"/>
  <c r="F328" i="58"/>
  <c r="F327" i="58"/>
  <c r="F326" i="58"/>
  <c r="N331" i="58"/>
  <c r="L331" i="58"/>
  <c r="J331" i="58"/>
  <c r="H331" i="58"/>
  <c r="N330" i="58"/>
  <c r="L330" i="58"/>
  <c r="J330" i="58"/>
  <c r="H330" i="58"/>
  <c r="N329" i="58"/>
  <c r="L329" i="58"/>
  <c r="J329" i="58"/>
  <c r="H329" i="58"/>
  <c r="N328" i="58"/>
  <c r="L328" i="58"/>
  <c r="J328" i="58"/>
  <c r="H328" i="58"/>
  <c r="N327" i="58"/>
  <c r="L327" i="58"/>
  <c r="J327" i="58"/>
  <c r="H327" i="58"/>
  <c r="N326" i="58"/>
  <c r="L326" i="58"/>
  <c r="J326" i="58"/>
  <c r="H326" i="58"/>
  <c r="B327" i="58"/>
  <c r="B328" i="58" s="1"/>
  <c r="B329" i="58" s="1"/>
  <c r="B330" i="58" s="1"/>
  <c r="B331" i="58" s="1"/>
  <c r="D326" i="58"/>
  <c r="D327" i="58"/>
  <c r="D328" i="58"/>
  <c r="D329" i="58"/>
  <c r="D330" i="58"/>
  <c r="D331" i="58"/>
  <c r="E8260" i="7"/>
  <c r="E8259" i="7"/>
  <c r="E8258" i="7"/>
  <c r="E8322" i="7" l="1"/>
  <c r="K8321" i="7"/>
  <c r="L8322" i="7" s="1"/>
  <c r="E8321" i="7"/>
  <c r="E8320" i="7"/>
  <c r="K8319" i="7"/>
  <c r="L8320" i="7" s="1"/>
  <c r="E8319" i="7"/>
  <c r="E8318" i="7"/>
  <c r="E8317" i="7"/>
  <c r="L8316" i="7"/>
  <c r="E8316" i="7"/>
  <c r="E8315" i="7"/>
  <c r="L8314" i="7"/>
  <c r="E8314" i="7"/>
  <c r="E8313" i="7"/>
  <c r="L8312" i="7"/>
  <c r="E8312" i="7"/>
  <c r="E8311" i="7"/>
  <c r="L8310" i="7"/>
  <c r="E8310" i="7"/>
  <c r="E8309" i="7"/>
  <c r="L8308" i="7"/>
  <c r="E8308" i="7"/>
  <c r="E8307" i="7"/>
  <c r="E8306" i="7"/>
  <c r="E8305" i="7"/>
  <c r="L8304" i="7"/>
  <c r="E8304" i="7"/>
  <c r="E8303" i="7"/>
  <c r="L8302" i="7"/>
  <c r="E8302" i="7"/>
  <c r="E8301" i="7"/>
  <c r="L8300" i="7"/>
  <c r="E8300" i="7"/>
  <c r="E8299" i="7"/>
  <c r="L8298" i="7"/>
  <c r="E8298" i="7"/>
  <c r="E8297" i="7"/>
  <c r="L8296" i="7"/>
  <c r="E8296" i="7"/>
  <c r="E8295" i="7"/>
  <c r="L8294" i="7"/>
  <c r="E8294" i="7"/>
  <c r="E8293" i="7"/>
  <c r="L8292" i="7"/>
  <c r="E8292" i="7"/>
  <c r="E8291" i="7"/>
  <c r="L8290" i="7"/>
  <c r="E8290" i="7"/>
  <c r="E8289" i="7"/>
  <c r="L8288" i="7"/>
  <c r="E8288" i="7"/>
  <c r="E8287" i="7"/>
  <c r="L8286" i="7"/>
  <c r="E8286" i="7"/>
  <c r="E8285" i="7"/>
  <c r="E8284" i="7"/>
  <c r="E8283" i="7"/>
  <c r="E8247" i="7" l="1"/>
  <c r="E8246" i="7"/>
  <c r="E8245" i="7"/>
  <c r="E8251" i="7" l="1"/>
  <c r="E8250" i="7"/>
  <c r="E8249" i="7"/>
  <c r="E8248" i="7"/>
  <c r="E8254" i="7" l="1"/>
  <c r="E8253" i="7"/>
  <c r="E8252" i="7"/>
  <c r="E8257" i="7"/>
  <c r="E8256" i="7"/>
  <c r="E8255" i="7"/>
  <c r="E8244" i="7" l="1"/>
  <c r="K8243" i="7"/>
  <c r="L8244" i="7" s="1"/>
  <c r="E8243" i="7"/>
  <c r="E8242" i="7"/>
  <c r="K8241" i="7"/>
  <c r="L8242" i="7" s="1"/>
  <c r="E8241" i="7"/>
  <c r="E8240" i="7"/>
  <c r="E8239" i="7"/>
  <c r="L8238" i="7"/>
  <c r="E8238" i="7"/>
  <c r="E8237" i="7"/>
  <c r="L8236" i="7"/>
  <c r="E8236" i="7"/>
  <c r="E8235" i="7"/>
  <c r="L8234" i="7"/>
  <c r="E8234" i="7"/>
  <c r="E8233" i="7"/>
  <c r="L8232" i="7"/>
  <c r="E8232" i="7"/>
  <c r="E8231" i="7"/>
  <c r="L8230" i="7"/>
  <c r="E8230" i="7"/>
  <c r="E8229" i="7"/>
  <c r="E8228" i="7"/>
  <c r="E8227" i="7"/>
  <c r="L8226" i="7"/>
  <c r="E8226" i="7"/>
  <c r="E8225" i="7"/>
  <c r="L8224" i="7"/>
  <c r="E8224" i="7"/>
  <c r="E8223" i="7"/>
  <c r="L8222" i="7"/>
  <c r="E8222" i="7"/>
  <c r="E8221" i="7"/>
  <c r="L8220" i="7"/>
  <c r="E8220" i="7"/>
  <c r="E8219" i="7"/>
  <c r="L8218" i="7"/>
  <c r="E8218" i="7"/>
  <c r="E8217" i="7"/>
  <c r="L8216" i="7"/>
  <c r="E8216" i="7"/>
  <c r="E8215" i="7"/>
  <c r="L8214" i="7"/>
  <c r="E8214" i="7"/>
  <c r="E8213" i="7"/>
  <c r="L8212" i="7"/>
  <c r="E8212" i="7"/>
  <c r="E8211" i="7"/>
  <c r="L8210" i="7"/>
  <c r="E8210" i="7"/>
  <c r="E8209" i="7"/>
  <c r="L8208" i="7"/>
  <c r="E8208" i="7"/>
  <c r="E8207" i="7"/>
  <c r="E8206" i="7"/>
  <c r="E8205" i="7"/>
  <c r="F338" i="58"/>
  <c r="F337" i="58"/>
  <c r="F336" i="58"/>
  <c r="F335" i="58"/>
  <c r="F334" i="58"/>
  <c r="F333" i="58"/>
  <c r="F332" i="58"/>
  <c r="N338" i="58"/>
  <c r="L338" i="58"/>
  <c r="J338" i="58"/>
  <c r="H338" i="58"/>
  <c r="N337" i="58"/>
  <c r="L337" i="58"/>
  <c r="J337" i="58"/>
  <c r="H337" i="58"/>
  <c r="N336" i="58"/>
  <c r="L336" i="58"/>
  <c r="J336" i="58"/>
  <c r="H336" i="58"/>
  <c r="N335" i="58"/>
  <c r="L335" i="58"/>
  <c r="J335" i="58"/>
  <c r="H335" i="58"/>
  <c r="N334" i="58"/>
  <c r="L334" i="58"/>
  <c r="J334" i="58"/>
  <c r="H334" i="58"/>
  <c r="N333" i="58"/>
  <c r="L333" i="58"/>
  <c r="J333" i="58"/>
  <c r="H333" i="58"/>
  <c r="N332" i="58"/>
  <c r="L332" i="58"/>
  <c r="J332" i="58"/>
  <c r="H332" i="58"/>
  <c r="B333" i="58"/>
  <c r="B334" i="58" s="1"/>
  <c r="B335" i="58" s="1"/>
  <c r="B336" i="58" s="1"/>
  <c r="B337" i="58" s="1"/>
  <c r="B338" i="58" s="1"/>
  <c r="D332" i="58"/>
  <c r="D333" i="58"/>
  <c r="D334" i="58"/>
  <c r="D335" i="58"/>
  <c r="D336" i="58"/>
  <c r="D337" i="58"/>
  <c r="D338" i="58"/>
  <c r="E8204" i="7"/>
  <c r="E8203" i="7"/>
  <c r="E8202" i="7"/>
  <c r="E8201" i="7"/>
  <c r="E8200" i="7"/>
  <c r="E8199" i="7"/>
  <c r="E8186" i="7"/>
  <c r="E8185" i="7"/>
  <c r="L8167" i="7"/>
  <c r="E8167" i="7"/>
  <c r="E8166" i="7"/>
  <c r="E8169" i="7"/>
  <c r="E8168" i="7"/>
  <c r="E8198" i="7" l="1"/>
  <c r="E8197" i="7"/>
  <c r="E8196" i="7"/>
  <c r="E8195" i="7"/>
  <c r="E8194" i="7"/>
  <c r="E8193" i="7"/>
  <c r="E8192" i="7"/>
  <c r="E8191" i="7"/>
  <c r="E8190" i="7"/>
  <c r="E8189" i="7"/>
  <c r="E8188" i="7"/>
  <c r="E8187" i="7"/>
  <c r="E8184" i="7"/>
  <c r="E8183" i="7"/>
  <c r="E8182" i="7"/>
  <c r="E8181" i="7"/>
  <c r="E8180" i="7"/>
  <c r="E8179" i="7"/>
  <c r="E8178" i="7"/>
  <c r="E8177" i="7"/>
  <c r="E8176" i="7"/>
  <c r="E8165" i="7"/>
  <c r="E8164" i="7"/>
  <c r="E8163" i="7"/>
  <c r="E8162" i="7"/>
  <c r="E8161" i="7"/>
  <c r="E8160" i="7"/>
  <c r="E8175" i="7"/>
  <c r="E8174" i="7"/>
  <c r="E8173" i="7"/>
  <c r="E8172" i="7"/>
  <c r="E8171" i="7"/>
  <c r="E8170" i="7"/>
  <c r="I38" i="59" l="1"/>
  <c r="E8159" i="7"/>
  <c r="K8158" i="7"/>
  <c r="L8159" i="7" s="1"/>
  <c r="E8158" i="7"/>
  <c r="E8157" i="7"/>
  <c r="K8156" i="7"/>
  <c r="L8157" i="7" s="1"/>
  <c r="E8156" i="7"/>
  <c r="E8155" i="7"/>
  <c r="E8154" i="7"/>
  <c r="L8153" i="7"/>
  <c r="E8153" i="7"/>
  <c r="E8152" i="7"/>
  <c r="L8151" i="7"/>
  <c r="E8151" i="7"/>
  <c r="E8150" i="7"/>
  <c r="L8149" i="7"/>
  <c r="E8149" i="7"/>
  <c r="E8148" i="7"/>
  <c r="L8147" i="7"/>
  <c r="E8147" i="7"/>
  <c r="E8146" i="7"/>
  <c r="L8145" i="7"/>
  <c r="E8145" i="7"/>
  <c r="E8144" i="7"/>
  <c r="E8143" i="7"/>
  <c r="E8142" i="7"/>
  <c r="L8141" i="7"/>
  <c r="E8141" i="7"/>
  <c r="E8140" i="7"/>
  <c r="L8139" i="7"/>
  <c r="E8139" i="7"/>
  <c r="E8138" i="7"/>
  <c r="L8137" i="7"/>
  <c r="E8137" i="7"/>
  <c r="E8136" i="7"/>
  <c r="L8135" i="7"/>
  <c r="E8135" i="7"/>
  <c r="E8134" i="7"/>
  <c r="L8133" i="7"/>
  <c r="E8133" i="7"/>
  <c r="E8132" i="7"/>
  <c r="L8131" i="7"/>
  <c r="E8131" i="7"/>
  <c r="E8130" i="7"/>
  <c r="L8129" i="7"/>
  <c r="E8129" i="7"/>
  <c r="E8128" i="7"/>
  <c r="L8127" i="7"/>
  <c r="E8127" i="7"/>
  <c r="E8126" i="7"/>
  <c r="L8125" i="7"/>
  <c r="E8125" i="7"/>
  <c r="E8124" i="7"/>
  <c r="L8123" i="7"/>
  <c r="E8123" i="7"/>
  <c r="E8122" i="7"/>
  <c r="E8121" i="7"/>
  <c r="E8120" i="7"/>
  <c r="E8117" i="7"/>
  <c r="E8116" i="7"/>
  <c r="E8101" i="7"/>
  <c r="E8100" i="7"/>
  <c r="E8099" i="7"/>
  <c r="E8115" i="7" l="1"/>
  <c r="E8114" i="7"/>
  <c r="E8113" i="7"/>
  <c r="E8112" i="7"/>
  <c r="E8111" i="7"/>
  <c r="E8110" i="7"/>
  <c r="E8109" i="7"/>
  <c r="E8108" i="7"/>
  <c r="N340" i="58" l="1"/>
  <c r="N341" i="58"/>
  <c r="N342" i="58"/>
  <c r="N339" i="58"/>
  <c r="E8104" i="7"/>
  <c r="E8103" i="7"/>
  <c r="E8102" i="7"/>
  <c r="E8078" i="7"/>
  <c r="E8077" i="7"/>
  <c r="E8076" i="7"/>
  <c r="E8075" i="7" l="1"/>
  <c r="E8074" i="7"/>
  <c r="E8073" i="7"/>
  <c r="E8000" i="7"/>
  <c r="E7999" i="7"/>
  <c r="E7998" i="7"/>
  <c r="E7997" i="7"/>
  <c r="E7996" i="7"/>
  <c r="E7995" i="7"/>
  <c r="F345" i="58"/>
  <c r="F344" i="58"/>
  <c r="F343" i="58"/>
  <c r="F342" i="58"/>
  <c r="F341" i="58"/>
  <c r="F340" i="58"/>
  <c r="F339" i="58"/>
  <c r="L345" i="58"/>
  <c r="J345" i="58"/>
  <c r="H345" i="58"/>
  <c r="L344" i="58"/>
  <c r="J344" i="58"/>
  <c r="H344" i="58"/>
  <c r="L343" i="58"/>
  <c r="J343" i="58"/>
  <c r="H343" i="58"/>
  <c r="L342" i="58"/>
  <c r="J342" i="58"/>
  <c r="H342" i="58"/>
  <c r="L341" i="58"/>
  <c r="J341" i="58"/>
  <c r="H341" i="58"/>
  <c r="L340" i="58"/>
  <c r="J340" i="58"/>
  <c r="H340" i="58"/>
  <c r="L339" i="58"/>
  <c r="J339" i="58"/>
  <c r="H339" i="58"/>
  <c r="B340" i="58"/>
  <c r="B341" i="58" s="1"/>
  <c r="B342" i="58" s="1"/>
  <c r="B343" i="58" s="1"/>
  <c r="B344" i="58" s="1"/>
  <c r="B345" i="58" s="1"/>
  <c r="D339" i="58"/>
  <c r="D340" i="58"/>
  <c r="D341" i="58"/>
  <c r="D342" i="58"/>
  <c r="D343" i="58"/>
  <c r="D344" i="58"/>
  <c r="D345" i="58"/>
  <c r="E8107" i="7"/>
  <c r="E8106" i="7"/>
  <c r="E8105" i="7"/>
  <c r="E8098" i="7"/>
  <c r="E8097" i="7"/>
  <c r="E8096" i="7"/>
  <c r="E8095" i="7"/>
  <c r="E8094" i="7"/>
  <c r="E8093" i="7"/>
  <c r="E8092" i="7"/>
  <c r="E8091" i="7"/>
  <c r="E8090" i="7"/>
  <c r="E8032" i="7" l="1"/>
  <c r="E8031" i="7"/>
  <c r="E8028" i="7"/>
  <c r="E8027" i="7"/>
  <c r="E8030" i="7"/>
  <c r="E8029" i="7"/>
  <c r="E8089" i="7"/>
  <c r="E8088" i="7"/>
  <c r="E8087" i="7"/>
  <c r="E8086" i="7"/>
  <c r="E8085" i="7"/>
  <c r="E8084" i="7"/>
  <c r="E8083" i="7"/>
  <c r="E8082" i="7"/>
  <c r="E8081" i="7"/>
  <c r="E8080" i="7"/>
  <c r="E8079" i="7"/>
  <c r="E8023" i="7" l="1"/>
  <c r="E8022" i="7"/>
  <c r="E8021" i="7"/>
  <c r="E8026" i="7"/>
  <c r="E8025" i="7"/>
  <c r="E8024" i="7"/>
  <c r="E8072" i="7"/>
  <c r="K8071" i="7"/>
  <c r="L8072" i="7" s="1"/>
  <c r="E8071" i="7"/>
  <c r="E8070" i="7"/>
  <c r="K8069" i="7"/>
  <c r="L8070" i="7" s="1"/>
  <c r="E8069" i="7"/>
  <c r="E8068" i="7"/>
  <c r="E8067" i="7"/>
  <c r="L8066" i="7"/>
  <c r="E8066" i="7"/>
  <c r="E8065" i="7"/>
  <c r="L8064" i="7"/>
  <c r="E8064" i="7"/>
  <c r="E8063" i="7"/>
  <c r="L8062" i="7"/>
  <c r="E8062" i="7"/>
  <c r="E8061" i="7"/>
  <c r="L8060" i="7"/>
  <c r="E8060" i="7"/>
  <c r="E8059" i="7"/>
  <c r="L8058" i="7"/>
  <c r="E8058" i="7"/>
  <c r="E8057" i="7"/>
  <c r="E8056" i="7"/>
  <c r="E8055" i="7"/>
  <c r="L8054" i="7"/>
  <c r="E8054" i="7"/>
  <c r="E8053" i="7"/>
  <c r="L8052" i="7"/>
  <c r="E8052" i="7"/>
  <c r="E8051" i="7"/>
  <c r="L8050" i="7"/>
  <c r="E8050" i="7"/>
  <c r="E8049" i="7"/>
  <c r="L8048" i="7"/>
  <c r="E8048" i="7"/>
  <c r="E8047" i="7"/>
  <c r="L8046" i="7"/>
  <c r="E8046" i="7"/>
  <c r="E8045" i="7"/>
  <c r="L8044" i="7"/>
  <c r="E8044" i="7"/>
  <c r="E8043" i="7"/>
  <c r="L8042" i="7"/>
  <c r="E8042" i="7"/>
  <c r="E8041" i="7"/>
  <c r="L8040" i="7"/>
  <c r="E8040" i="7"/>
  <c r="E8039" i="7"/>
  <c r="L8038" i="7"/>
  <c r="E8038" i="7"/>
  <c r="E8037" i="7"/>
  <c r="L8036" i="7"/>
  <c r="E8036" i="7"/>
  <c r="E8035" i="7"/>
  <c r="E8034" i="7"/>
  <c r="E8033" i="7"/>
  <c r="E8020" i="7"/>
  <c r="E8019" i="7"/>
  <c r="E8018" i="7"/>
  <c r="E8017" i="7"/>
  <c r="E8016" i="7"/>
  <c r="E8015" i="7"/>
  <c r="F351" i="58" l="1"/>
  <c r="F350" i="58"/>
  <c r="F349" i="58"/>
  <c r="F348" i="58"/>
  <c r="F347" i="58"/>
  <c r="F346" i="58"/>
  <c r="E352" i="58"/>
  <c r="F352" i="58" s="1"/>
  <c r="E8014" i="7"/>
  <c r="E8013" i="7"/>
  <c r="E7988" i="7"/>
  <c r="E7987" i="7"/>
  <c r="E7973" i="7"/>
  <c r="E7972" i="7"/>
  <c r="E7953" i="7"/>
  <c r="E7952" i="7"/>
  <c r="E7942" i="7"/>
  <c r="E7941" i="7"/>
  <c r="E7971" i="7"/>
  <c r="E7970" i="7"/>
  <c r="E7986" i="7"/>
  <c r="E7985" i="7"/>
  <c r="E7984" i="7"/>
  <c r="E7983" i="7"/>
  <c r="E7969" i="7"/>
  <c r="E7968" i="7"/>
  <c r="E7967" i="7"/>
  <c r="E7966" i="7"/>
  <c r="E7965" i="7"/>
  <c r="E7964" i="7"/>
  <c r="E7963" i="7"/>
  <c r="E7951" i="7"/>
  <c r="E7950" i="7"/>
  <c r="E7949" i="7"/>
  <c r="E8012" i="7" l="1"/>
  <c r="E8011" i="7"/>
  <c r="E8010" i="7"/>
  <c r="E8009" i="7"/>
  <c r="E8008" i="7"/>
  <c r="E8007" i="7"/>
  <c r="E8006" i="7"/>
  <c r="E8005" i="7"/>
  <c r="E8004" i="7"/>
  <c r="E8003" i="7"/>
  <c r="E8002" i="7"/>
  <c r="E8001" i="7"/>
  <c r="E7979" i="7"/>
  <c r="E7978" i="7"/>
  <c r="E7977" i="7"/>
  <c r="E7976" i="7"/>
  <c r="E7975" i="7"/>
  <c r="E7974" i="7"/>
  <c r="E7962" i="7"/>
  <c r="E7961" i="7"/>
  <c r="E7960" i="7"/>
  <c r="E7959" i="7"/>
  <c r="E7958" i="7"/>
  <c r="E7957" i="7"/>
  <c r="E7956" i="7"/>
  <c r="E7955" i="7"/>
  <c r="E7954" i="7"/>
  <c r="E7948" i="7"/>
  <c r="E7947" i="7"/>
  <c r="E7946" i="7"/>
  <c r="E7945" i="7"/>
  <c r="E7944" i="7"/>
  <c r="E7943" i="7"/>
  <c r="E7940" i="7"/>
  <c r="E7939" i="7"/>
  <c r="E7938" i="7"/>
  <c r="E7937" i="7"/>
  <c r="E7936" i="7"/>
  <c r="E7935" i="7"/>
  <c r="L352" i="58"/>
  <c r="J352" i="58"/>
  <c r="H352" i="58"/>
  <c r="L351" i="58"/>
  <c r="J351" i="58"/>
  <c r="H351" i="58"/>
  <c r="L350" i="58"/>
  <c r="J350" i="58"/>
  <c r="H350" i="58"/>
  <c r="L349" i="58"/>
  <c r="J349" i="58"/>
  <c r="H349" i="58"/>
  <c r="L348" i="58"/>
  <c r="J348" i="58"/>
  <c r="H348" i="58"/>
  <c r="L347" i="58"/>
  <c r="J347" i="58"/>
  <c r="H347" i="58"/>
  <c r="L346" i="58"/>
  <c r="J346" i="58"/>
  <c r="H346" i="58"/>
  <c r="B347" i="58"/>
  <c r="B348" i="58" s="1"/>
  <c r="B349" i="58" s="1"/>
  <c r="B350" i="58" s="1"/>
  <c r="B351" i="58" s="1"/>
  <c r="B352" i="58" s="1"/>
  <c r="D346" i="58"/>
  <c r="D347" i="58"/>
  <c r="D348" i="58"/>
  <c r="D349" i="58"/>
  <c r="D350" i="58"/>
  <c r="D351" i="58"/>
  <c r="D352" i="58"/>
  <c r="E7994" i="7"/>
  <c r="E7993" i="7"/>
  <c r="E7992" i="7"/>
  <c r="E7991" i="7"/>
  <c r="E7990" i="7"/>
  <c r="E7989" i="7"/>
  <c r="E7982" i="7"/>
  <c r="E7981" i="7"/>
  <c r="E7980" i="7"/>
  <c r="E354" i="58" l="1"/>
  <c r="E353" i="58"/>
  <c r="E355" i="58"/>
  <c r="E7894" i="7"/>
  <c r="E7893" i="7"/>
  <c r="E7934" i="7" l="1"/>
  <c r="K7933" i="7"/>
  <c r="L7934" i="7" s="1"/>
  <c r="E7933" i="7"/>
  <c r="E7932" i="7"/>
  <c r="K7931" i="7"/>
  <c r="L7932" i="7" s="1"/>
  <c r="E7931" i="7"/>
  <c r="E7930" i="7"/>
  <c r="E7929" i="7"/>
  <c r="L7928" i="7"/>
  <c r="E7928" i="7"/>
  <c r="E7927" i="7"/>
  <c r="L7926" i="7"/>
  <c r="E7926" i="7"/>
  <c r="E7925" i="7"/>
  <c r="L7924" i="7"/>
  <c r="E7924" i="7"/>
  <c r="E7923" i="7"/>
  <c r="L7922" i="7"/>
  <c r="E7922" i="7"/>
  <c r="E7921" i="7"/>
  <c r="L7920" i="7"/>
  <c r="E7920" i="7"/>
  <c r="E7919" i="7"/>
  <c r="E7918" i="7"/>
  <c r="E7917" i="7"/>
  <c r="L7916" i="7"/>
  <c r="E7916" i="7"/>
  <c r="E7915" i="7"/>
  <c r="L7914" i="7"/>
  <c r="E7914" i="7"/>
  <c r="E7913" i="7"/>
  <c r="L7912" i="7"/>
  <c r="E7912" i="7"/>
  <c r="E7911" i="7"/>
  <c r="L7910" i="7"/>
  <c r="E7910" i="7"/>
  <c r="E7909" i="7"/>
  <c r="L7908" i="7"/>
  <c r="E7908" i="7"/>
  <c r="E7907" i="7"/>
  <c r="L7906" i="7"/>
  <c r="E7906" i="7"/>
  <c r="E7905" i="7"/>
  <c r="L7904" i="7"/>
  <c r="E7904" i="7"/>
  <c r="E7903" i="7"/>
  <c r="L7902" i="7"/>
  <c r="E7902" i="7"/>
  <c r="E7901" i="7"/>
  <c r="L7900" i="7"/>
  <c r="E7900" i="7"/>
  <c r="E7899" i="7"/>
  <c r="L7898" i="7"/>
  <c r="E7898" i="7"/>
  <c r="E7897" i="7"/>
  <c r="E7896" i="7"/>
  <c r="E7895" i="7"/>
  <c r="B354" i="58"/>
  <c r="B355" i="58" s="1"/>
  <c r="B356" i="58" s="1"/>
  <c r="B357" i="58" s="1"/>
  <c r="B358" i="58" s="1"/>
  <c r="B359" i="58" s="1"/>
  <c r="L359" i="58"/>
  <c r="J359" i="58"/>
  <c r="H359" i="58"/>
  <c r="F359" i="58"/>
  <c r="L358" i="58"/>
  <c r="J358" i="58"/>
  <c r="H358" i="58"/>
  <c r="F358" i="58"/>
  <c r="L357" i="58"/>
  <c r="J357" i="58"/>
  <c r="H357" i="58"/>
  <c r="F357" i="58"/>
  <c r="L356" i="58"/>
  <c r="J356" i="58"/>
  <c r="H356" i="58"/>
  <c r="F356" i="58"/>
  <c r="L355" i="58"/>
  <c r="J355" i="58"/>
  <c r="H355" i="58"/>
  <c r="F355" i="58"/>
  <c r="L354" i="58"/>
  <c r="J354" i="58"/>
  <c r="H354" i="58"/>
  <c r="F354" i="58"/>
  <c r="L353" i="58"/>
  <c r="J353" i="58"/>
  <c r="H353" i="58"/>
  <c r="F353" i="58"/>
  <c r="D353" i="58"/>
  <c r="D354" i="58"/>
  <c r="D355" i="58"/>
  <c r="D356" i="58"/>
  <c r="D357" i="58"/>
  <c r="D358" i="58"/>
  <c r="D359" i="58"/>
  <c r="E7820" i="7" l="1"/>
  <c r="E7819" i="7"/>
  <c r="E7821" i="7"/>
  <c r="E7889" i="7"/>
  <c r="E7888" i="7"/>
  <c r="E7887" i="7" l="1"/>
  <c r="E7886" i="7"/>
  <c r="E7890" i="7"/>
  <c r="E7885" i="7"/>
  <c r="E7884" i="7"/>
  <c r="E7883" i="7" l="1"/>
  <c r="E7882" i="7"/>
  <c r="E7881" i="7"/>
  <c r="E7880" i="7"/>
  <c r="E7879" i="7"/>
  <c r="E7878" i="7"/>
  <c r="E7877" i="7" l="1"/>
  <c r="E7876" i="7"/>
  <c r="E7875" i="7"/>
  <c r="E7874" i="7"/>
  <c r="E7873" i="7"/>
  <c r="E7892" i="7"/>
  <c r="E7891" i="7"/>
  <c r="E7872" i="7"/>
  <c r="E7871" i="7"/>
  <c r="E7870" i="7"/>
  <c r="E7869" i="7"/>
  <c r="E7868" i="7"/>
  <c r="E7867" i="7"/>
  <c r="E7863" i="7"/>
  <c r="E7862" i="7"/>
  <c r="E7861" i="7"/>
  <c r="E7866" i="7"/>
  <c r="E7865" i="7"/>
  <c r="E7864" i="7"/>
  <c r="E7812" i="7" l="1"/>
  <c r="E7811" i="7"/>
  <c r="E7810" i="7"/>
  <c r="E7818" i="7"/>
  <c r="E7817" i="7"/>
  <c r="E7816" i="7"/>
  <c r="E7815" i="7"/>
  <c r="E7814" i="7"/>
  <c r="E7813" i="7"/>
  <c r="L7828" i="7" l="1"/>
  <c r="E7828" i="7"/>
  <c r="E7827" i="7"/>
  <c r="E7808" i="7"/>
  <c r="E7809" i="7"/>
  <c r="E7807" i="7"/>
  <c r="E7806" i="7" l="1"/>
  <c r="E7805" i="7"/>
  <c r="L366" i="58" l="1"/>
  <c r="J366" i="58"/>
  <c r="H366" i="58"/>
  <c r="F366" i="58"/>
  <c r="L365" i="58"/>
  <c r="J365" i="58"/>
  <c r="H365" i="58"/>
  <c r="F365" i="58"/>
  <c r="L364" i="58"/>
  <c r="J364" i="58"/>
  <c r="H364" i="58"/>
  <c r="F364" i="58"/>
  <c r="L363" i="58"/>
  <c r="J363" i="58"/>
  <c r="H363" i="58"/>
  <c r="F363" i="58"/>
  <c r="L362" i="58"/>
  <c r="J362" i="58"/>
  <c r="H362" i="58"/>
  <c r="F362" i="58"/>
  <c r="L361" i="58"/>
  <c r="J361" i="58"/>
  <c r="H361" i="58"/>
  <c r="F361" i="58"/>
  <c r="L360" i="58"/>
  <c r="J360" i="58"/>
  <c r="H360" i="58"/>
  <c r="F360" i="58"/>
  <c r="B361" i="58"/>
  <c r="B362" i="58" s="1"/>
  <c r="B363" i="58" s="1"/>
  <c r="B364" i="58" s="1"/>
  <c r="B365" i="58" s="1"/>
  <c r="B366" i="58" s="1"/>
  <c r="D360" i="58"/>
  <c r="D361" i="58"/>
  <c r="D362" i="58"/>
  <c r="D363" i="58"/>
  <c r="D364" i="58"/>
  <c r="D365" i="58"/>
  <c r="D366" i="58"/>
  <c r="E7860" i="7"/>
  <c r="K7859" i="7"/>
  <c r="L7860" i="7" s="1"/>
  <c r="E7859" i="7"/>
  <c r="E7858" i="7"/>
  <c r="K7857" i="7"/>
  <c r="L7858" i="7" s="1"/>
  <c r="E7857" i="7"/>
  <c r="E7856" i="7"/>
  <c r="E7855" i="7"/>
  <c r="L7854" i="7"/>
  <c r="E7854" i="7"/>
  <c r="E7853" i="7"/>
  <c r="L7852" i="7"/>
  <c r="E7852" i="7"/>
  <c r="E7851" i="7"/>
  <c r="L7850" i="7"/>
  <c r="E7850" i="7"/>
  <c r="E7849" i="7"/>
  <c r="L7848" i="7"/>
  <c r="E7848" i="7"/>
  <c r="E7847" i="7"/>
  <c r="L7846" i="7"/>
  <c r="E7846" i="7"/>
  <c r="E7845" i="7"/>
  <c r="E7844" i="7"/>
  <c r="E7843" i="7"/>
  <c r="L7842" i="7"/>
  <c r="E7842" i="7"/>
  <c r="E7841" i="7"/>
  <c r="L7840" i="7"/>
  <c r="E7840" i="7"/>
  <c r="E7839" i="7"/>
  <c r="L7838" i="7"/>
  <c r="E7838" i="7"/>
  <c r="E7837" i="7"/>
  <c r="L7836" i="7"/>
  <c r="E7836" i="7"/>
  <c r="E7835" i="7"/>
  <c r="L7834" i="7"/>
  <c r="E7834" i="7"/>
  <c r="E7833" i="7"/>
  <c r="L7832" i="7"/>
  <c r="E7832" i="7"/>
  <c r="E7831" i="7"/>
  <c r="L7830" i="7"/>
  <c r="E7830" i="7"/>
  <c r="E7829" i="7"/>
  <c r="L7826" i="7"/>
  <c r="E7826" i="7"/>
  <c r="E7825" i="7"/>
  <c r="L7824" i="7"/>
  <c r="E7824" i="7"/>
  <c r="E7823" i="7"/>
  <c r="E7822" i="7"/>
  <c r="E7804" i="7"/>
  <c r="E7803" i="7"/>
  <c r="E7697" i="7"/>
  <c r="E7696" i="7"/>
  <c r="E7695" i="7"/>
  <c r="E7799" i="7" l="1"/>
  <c r="E7798" i="7"/>
  <c r="E7721" i="7"/>
  <c r="E7720" i="7"/>
  <c r="E7780" i="7"/>
  <c r="E7779" i="7"/>
  <c r="E7782" i="7" l="1"/>
  <c r="E7781" i="7"/>
  <c r="E7778" i="7"/>
  <c r="E7777" i="7"/>
  <c r="E7776" i="7"/>
  <c r="E7775" i="7"/>
  <c r="E7797" i="7" l="1"/>
  <c r="E7796" i="7"/>
  <c r="E7795" i="7"/>
  <c r="E7791" i="7"/>
  <c r="E7790" i="7"/>
  <c r="E7789" i="7"/>
  <c r="E7788" i="7"/>
  <c r="E7787" i="7"/>
  <c r="E7786" i="7"/>
  <c r="E7794" i="7"/>
  <c r="E7793" i="7"/>
  <c r="E7792" i="7"/>
  <c r="E7785" i="7"/>
  <c r="E7784" i="7"/>
  <c r="E7783" i="7"/>
  <c r="E7774" i="7"/>
  <c r="E7773" i="7"/>
  <c r="E7772" i="7"/>
  <c r="E7771" i="7"/>
  <c r="E7770" i="7"/>
  <c r="E7769" i="7"/>
  <c r="E7768" i="7"/>
  <c r="E7767" i="7"/>
  <c r="E7766" i="7"/>
  <c r="E7765" i="7"/>
  <c r="E7764" i="7"/>
  <c r="E7763" i="7"/>
  <c r="E7802" i="7"/>
  <c r="E7801" i="7"/>
  <c r="E7800" i="7"/>
  <c r="E7762" i="7"/>
  <c r="E7761" i="7"/>
  <c r="E7760" i="7"/>
  <c r="E7719" i="7"/>
  <c r="E7718" i="7"/>
  <c r="E7717" i="7"/>
  <c r="E7716" i="7" l="1"/>
  <c r="E7715" i="7"/>
  <c r="E7705" i="7"/>
  <c r="E7704" i="7"/>
  <c r="E7703" i="7"/>
  <c r="E7708" i="7"/>
  <c r="E7707" i="7"/>
  <c r="E7706" i="7"/>
  <c r="E7711" i="7"/>
  <c r="E7710" i="7"/>
  <c r="E7709" i="7"/>
  <c r="E7714" i="7"/>
  <c r="E7713" i="7"/>
  <c r="E7712" i="7"/>
  <c r="E7722" i="7"/>
  <c r="E7702" i="7"/>
  <c r="E7701" i="7"/>
  <c r="E7700" i="7"/>
  <c r="E7699" i="7" l="1"/>
  <c r="E7698" i="7"/>
  <c r="L7743" i="7"/>
  <c r="L7723" i="7"/>
  <c r="L380" i="58"/>
  <c r="J380" i="58"/>
  <c r="H380" i="58"/>
  <c r="F380" i="58"/>
  <c r="L379" i="58"/>
  <c r="J379" i="58"/>
  <c r="H379" i="58"/>
  <c r="F379" i="58"/>
  <c r="L378" i="58"/>
  <c r="J378" i="58"/>
  <c r="H378" i="58"/>
  <c r="F378" i="58"/>
  <c r="L377" i="58"/>
  <c r="J377" i="58"/>
  <c r="H377" i="58"/>
  <c r="F377" i="58"/>
  <c r="L376" i="58"/>
  <c r="J376" i="58"/>
  <c r="H376" i="58"/>
  <c r="F376" i="58"/>
  <c r="L375" i="58"/>
  <c r="J375" i="58"/>
  <c r="H375" i="58"/>
  <c r="F375" i="58"/>
  <c r="L374" i="58"/>
  <c r="J374" i="58"/>
  <c r="H374" i="58"/>
  <c r="F374" i="58"/>
  <c r="L373" i="58"/>
  <c r="J373" i="58"/>
  <c r="H373" i="58"/>
  <c r="F373" i="58"/>
  <c r="L372" i="58"/>
  <c r="J372" i="58"/>
  <c r="H372" i="58"/>
  <c r="F372" i="58"/>
  <c r="L371" i="58"/>
  <c r="J371" i="58"/>
  <c r="H371" i="58"/>
  <c r="F371" i="58"/>
  <c r="L370" i="58"/>
  <c r="J370" i="58"/>
  <c r="H370" i="58"/>
  <c r="F370" i="58"/>
  <c r="L369" i="58"/>
  <c r="J369" i="58"/>
  <c r="H369" i="58"/>
  <c r="F369" i="58"/>
  <c r="L368" i="58"/>
  <c r="J368" i="58"/>
  <c r="H368" i="58"/>
  <c r="F368" i="58"/>
  <c r="L367" i="58"/>
  <c r="J367" i="58"/>
  <c r="H367" i="58"/>
  <c r="F367" i="58"/>
  <c r="B368" i="58"/>
  <c r="B369" i="58" s="1"/>
  <c r="B370" i="58" s="1"/>
  <c r="B371" i="58" s="1"/>
  <c r="B372" i="58" s="1"/>
  <c r="B373" i="58" s="1"/>
  <c r="B374" i="58" s="1"/>
  <c r="B375" i="58" s="1"/>
  <c r="B376" i="58" s="1"/>
  <c r="B377" i="58" s="1"/>
  <c r="B378" i="58" s="1"/>
  <c r="B379" i="58" s="1"/>
  <c r="B380" i="58" s="1"/>
  <c r="D367" i="58"/>
  <c r="D368" i="58"/>
  <c r="D369" i="58"/>
  <c r="D370" i="58"/>
  <c r="D371" i="58"/>
  <c r="D372" i="58"/>
  <c r="D373" i="58"/>
  <c r="D374" i="58"/>
  <c r="D375" i="58"/>
  <c r="D376" i="58"/>
  <c r="D377" i="58"/>
  <c r="D378" i="58"/>
  <c r="D379" i="58"/>
  <c r="D380" i="58"/>
  <c r="E7759" i="7"/>
  <c r="K7758" i="7"/>
  <c r="L7759" i="7" s="1"/>
  <c r="E7758" i="7"/>
  <c r="E7757" i="7"/>
  <c r="K7756" i="7"/>
  <c r="L7757" i="7" s="1"/>
  <c r="E7756" i="7"/>
  <c r="E7755" i="7"/>
  <c r="E7754" i="7"/>
  <c r="L7753" i="7"/>
  <c r="E7753" i="7"/>
  <c r="E7752" i="7"/>
  <c r="L7751" i="7"/>
  <c r="E7751" i="7"/>
  <c r="E7750" i="7"/>
  <c r="L7749" i="7"/>
  <c r="E7749" i="7"/>
  <c r="E7748" i="7"/>
  <c r="L7747" i="7"/>
  <c r="E7747" i="7"/>
  <c r="E7746" i="7"/>
  <c r="L7745" i="7"/>
  <c r="E7745" i="7"/>
  <c r="E7744" i="7"/>
  <c r="E7743" i="7"/>
  <c r="E7742" i="7"/>
  <c r="L7741" i="7"/>
  <c r="E7741" i="7"/>
  <c r="E7740" i="7"/>
  <c r="L7739" i="7"/>
  <c r="E7739" i="7"/>
  <c r="E7738" i="7"/>
  <c r="L7737" i="7"/>
  <c r="E7737" i="7"/>
  <c r="E7736" i="7"/>
  <c r="L7735" i="7"/>
  <c r="E7735" i="7"/>
  <c r="E7734" i="7"/>
  <c r="L7733" i="7"/>
  <c r="E7733" i="7"/>
  <c r="E7732" i="7"/>
  <c r="L7731" i="7"/>
  <c r="E7731" i="7"/>
  <c r="E7730" i="7"/>
  <c r="L7729" i="7"/>
  <c r="E7729" i="7"/>
  <c r="E7728" i="7"/>
  <c r="L7727" i="7"/>
  <c r="E7727" i="7"/>
  <c r="E7726" i="7"/>
  <c r="L7725" i="7"/>
  <c r="E7725" i="7"/>
  <c r="E7724" i="7"/>
  <c r="E7723" i="7"/>
  <c r="E7694" i="7" l="1"/>
  <c r="E7693" i="7"/>
  <c r="E7692" i="7"/>
  <c r="E7691" i="7"/>
  <c r="E7681" i="7" l="1"/>
  <c r="E7680" i="7"/>
  <c r="E7690" i="7"/>
  <c r="E7689" i="7"/>
  <c r="E7688" i="7"/>
  <c r="E7687" i="7"/>
  <c r="E7686" i="7"/>
  <c r="E7685" i="7"/>
  <c r="E7684" i="7"/>
  <c r="E7683" i="7"/>
  <c r="E7682" i="7"/>
  <c r="E7676" i="7"/>
  <c r="E7675" i="7"/>
  <c r="E7674" i="7"/>
  <c r="E7673" i="7"/>
  <c r="E7672" i="7"/>
  <c r="E7671" i="7"/>
  <c r="E7679" i="7"/>
  <c r="E7678" i="7"/>
  <c r="E7677" i="7"/>
  <c r="E7670" i="7"/>
  <c r="E7669" i="7"/>
  <c r="E7668" i="7"/>
  <c r="E7627" i="7" l="1"/>
  <c r="E7626" i="7"/>
  <c r="E7625" i="7"/>
  <c r="E7579" i="7" l="1"/>
  <c r="E7578" i="7"/>
  <c r="E7571" i="7"/>
  <c r="E7570" i="7"/>
  <c r="E7569" i="7"/>
  <c r="E7568" i="7"/>
  <c r="E7567" i="7"/>
  <c r="E7566" i="7"/>
  <c r="E7629" i="7"/>
  <c r="E7628" i="7"/>
  <c r="E7565" i="7"/>
  <c r="E7564" i="7"/>
  <c r="F387" i="58"/>
  <c r="F386" i="58"/>
  <c r="F385" i="58"/>
  <c r="F384" i="58"/>
  <c r="F383" i="58"/>
  <c r="F382" i="58"/>
  <c r="F381" i="58"/>
  <c r="L387" i="58"/>
  <c r="J387" i="58"/>
  <c r="H387" i="58"/>
  <c r="L386" i="58"/>
  <c r="J386" i="58"/>
  <c r="H386" i="58"/>
  <c r="L385" i="58"/>
  <c r="J385" i="58"/>
  <c r="H385" i="58"/>
  <c r="L384" i="58"/>
  <c r="J384" i="58"/>
  <c r="H384" i="58"/>
  <c r="L383" i="58"/>
  <c r="J383" i="58"/>
  <c r="H383" i="58"/>
  <c r="L382" i="58"/>
  <c r="J382" i="58"/>
  <c r="H382" i="58"/>
  <c r="L381" i="58"/>
  <c r="J381" i="58"/>
  <c r="H381" i="58"/>
  <c r="B382" i="58"/>
  <c r="B383" i="58" s="1"/>
  <c r="B384" i="58" s="1"/>
  <c r="B385" i="58" s="1"/>
  <c r="B386" i="58" s="1"/>
  <c r="B387" i="58" s="1"/>
  <c r="D381" i="58"/>
  <c r="D382" i="58"/>
  <c r="D383" i="58"/>
  <c r="D384" i="58"/>
  <c r="D385" i="58"/>
  <c r="D386" i="58"/>
  <c r="D387" i="58"/>
  <c r="E7558" i="7"/>
  <c r="E7557" i="7"/>
  <c r="E7556" i="7"/>
  <c r="E7555" i="7"/>
  <c r="E7554" i="7"/>
  <c r="E7553" i="7"/>
  <c r="E7597" i="7"/>
  <c r="E7596" i="7"/>
  <c r="E7595" i="7"/>
  <c r="E7600" i="7"/>
  <c r="E7599" i="7"/>
  <c r="E7598" i="7"/>
  <c r="E7603" i="7"/>
  <c r="E7602" i="7"/>
  <c r="E7601" i="7"/>
  <c r="E7606" i="7"/>
  <c r="E7605" i="7"/>
  <c r="E7604" i="7"/>
  <c r="E7609" i="7"/>
  <c r="E7608" i="7"/>
  <c r="E7607" i="7"/>
  <c r="E7612" i="7"/>
  <c r="E7611" i="7"/>
  <c r="E7610" i="7"/>
  <c r="E7615" i="7"/>
  <c r="E7614" i="7"/>
  <c r="E7613" i="7"/>
  <c r="E7621" i="7"/>
  <c r="E7620" i="7"/>
  <c r="E7619" i="7"/>
  <c r="E7624" i="7"/>
  <c r="E7623" i="7"/>
  <c r="E7622" i="7"/>
  <c r="E7618" i="7"/>
  <c r="E7617" i="7"/>
  <c r="E7616" i="7"/>
  <c r="E7588" i="7"/>
  <c r="E7587" i="7"/>
  <c r="E7586" i="7"/>
  <c r="E7585" i="7"/>
  <c r="E7584" i="7"/>
  <c r="E7583" i="7"/>
  <c r="E7577" i="7"/>
  <c r="E7576" i="7"/>
  <c r="E7575" i="7"/>
  <c r="E7574" i="7"/>
  <c r="E7573" i="7"/>
  <c r="E7572" i="7"/>
  <c r="E7563" i="7"/>
  <c r="E7562" i="7"/>
  <c r="E7561" i="7"/>
  <c r="E7594" i="7" l="1"/>
  <c r="E7593" i="7"/>
  <c r="E7592" i="7"/>
  <c r="E7591" i="7"/>
  <c r="E7590" i="7"/>
  <c r="E7589" i="7"/>
  <c r="E7582" i="7"/>
  <c r="E7581" i="7"/>
  <c r="E7580" i="7"/>
  <c r="E7560" i="7" l="1"/>
  <c r="E7559" i="7"/>
  <c r="E7320" i="7" l="1"/>
  <c r="E7321" i="7"/>
  <c r="E7667" i="7" l="1"/>
  <c r="K7666" i="7"/>
  <c r="L7667" i="7" s="1"/>
  <c r="E7666" i="7"/>
  <c r="E7665" i="7"/>
  <c r="K7664" i="7"/>
  <c r="L7665" i="7" s="1"/>
  <c r="E7664" i="7"/>
  <c r="E7663" i="7"/>
  <c r="E7662" i="7"/>
  <c r="L7661" i="7"/>
  <c r="E7661" i="7"/>
  <c r="E7660" i="7"/>
  <c r="L7659" i="7"/>
  <c r="E7659" i="7"/>
  <c r="E7658" i="7"/>
  <c r="L7657" i="7"/>
  <c r="E7657" i="7"/>
  <c r="E7656" i="7"/>
  <c r="L7655" i="7"/>
  <c r="E7655" i="7"/>
  <c r="E7654" i="7"/>
  <c r="L7653" i="7"/>
  <c r="E7653" i="7"/>
  <c r="E7652" i="7"/>
  <c r="E7651" i="7"/>
  <c r="E7650" i="7"/>
  <c r="L7649" i="7"/>
  <c r="E7649" i="7"/>
  <c r="E7648" i="7"/>
  <c r="L7647" i="7"/>
  <c r="E7647" i="7"/>
  <c r="E7646" i="7"/>
  <c r="L7645" i="7"/>
  <c r="E7645" i="7"/>
  <c r="E7644" i="7"/>
  <c r="L7643" i="7"/>
  <c r="E7643" i="7"/>
  <c r="E7642" i="7"/>
  <c r="L7641" i="7"/>
  <c r="E7641" i="7"/>
  <c r="E7640" i="7"/>
  <c r="L7639" i="7"/>
  <c r="E7639" i="7"/>
  <c r="E7638" i="7"/>
  <c r="L7637" i="7"/>
  <c r="E7637" i="7"/>
  <c r="E7636" i="7"/>
  <c r="L7635" i="7"/>
  <c r="E7635" i="7"/>
  <c r="E7634" i="7"/>
  <c r="L7633" i="7"/>
  <c r="E7633" i="7"/>
  <c r="E7632" i="7"/>
  <c r="E7631" i="7"/>
  <c r="E7630" i="7"/>
  <c r="E7514" i="7"/>
  <c r="E7513" i="7"/>
  <c r="E7512" i="7"/>
  <c r="E7552" i="7"/>
  <c r="K7551" i="7"/>
  <c r="L7552" i="7" s="1"/>
  <c r="E7551" i="7"/>
  <c r="E7550" i="7"/>
  <c r="K7549" i="7"/>
  <c r="L7550" i="7" s="1"/>
  <c r="E7549" i="7"/>
  <c r="E7548" i="7"/>
  <c r="E7547" i="7"/>
  <c r="L7546" i="7"/>
  <c r="E7546" i="7"/>
  <c r="E7545" i="7"/>
  <c r="L7544" i="7"/>
  <c r="E7544" i="7"/>
  <c r="E7543" i="7"/>
  <c r="L7542" i="7"/>
  <c r="E7542" i="7"/>
  <c r="E7541" i="7"/>
  <c r="L7540" i="7"/>
  <c r="E7540" i="7"/>
  <c r="E7539" i="7"/>
  <c r="L7538" i="7"/>
  <c r="E7538" i="7"/>
  <c r="E7537" i="7"/>
  <c r="E7536" i="7"/>
  <c r="E7535" i="7"/>
  <c r="L7534" i="7"/>
  <c r="E7534" i="7"/>
  <c r="E7533" i="7"/>
  <c r="L7532" i="7"/>
  <c r="E7532" i="7"/>
  <c r="E7531" i="7"/>
  <c r="L7530" i="7"/>
  <c r="E7530" i="7"/>
  <c r="E7529" i="7"/>
  <c r="L7528" i="7"/>
  <c r="E7528" i="7"/>
  <c r="E7527" i="7"/>
  <c r="L7526" i="7"/>
  <c r="E7526" i="7"/>
  <c r="E7525" i="7"/>
  <c r="L7524" i="7"/>
  <c r="E7524" i="7"/>
  <c r="E7523" i="7"/>
  <c r="L7522" i="7"/>
  <c r="E7522" i="7"/>
  <c r="E7521" i="7"/>
  <c r="L7520" i="7"/>
  <c r="E7520" i="7"/>
  <c r="E7519" i="7"/>
  <c r="L7518" i="7"/>
  <c r="E7518" i="7"/>
  <c r="E7517" i="7"/>
  <c r="E7516" i="7"/>
  <c r="E7515" i="7"/>
  <c r="E7450" i="7"/>
  <c r="E7449" i="7"/>
  <c r="E7508" i="7"/>
  <c r="E7507" i="7"/>
  <c r="E7500" i="7"/>
  <c r="E7499" i="7"/>
  <c r="E7498" i="7"/>
  <c r="E7497" i="7"/>
  <c r="E7496" i="7" l="1"/>
  <c r="E7495" i="7"/>
  <c r="E7494" i="7"/>
  <c r="E7493" i="7"/>
  <c r="E7492" i="7"/>
  <c r="F394" i="58"/>
  <c r="F393" i="58"/>
  <c r="F392" i="58"/>
  <c r="F391" i="58"/>
  <c r="F390" i="58"/>
  <c r="F389" i="58"/>
  <c r="F388" i="58"/>
  <c r="L394" i="58"/>
  <c r="J394" i="58"/>
  <c r="H394" i="58"/>
  <c r="L393" i="58"/>
  <c r="J393" i="58"/>
  <c r="H393" i="58"/>
  <c r="L392" i="58"/>
  <c r="J392" i="58"/>
  <c r="H392" i="58"/>
  <c r="L391" i="58"/>
  <c r="J391" i="58"/>
  <c r="H391" i="58"/>
  <c r="L390" i="58"/>
  <c r="J390" i="58"/>
  <c r="H390" i="58"/>
  <c r="L389" i="58"/>
  <c r="J389" i="58"/>
  <c r="H389" i="58"/>
  <c r="L388" i="58"/>
  <c r="J388" i="58"/>
  <c r="H388" i="58"/>
  <c r="B389" i="58"/>
  <c r="B390" i="58" s="1"/>
  <c r="B391" i="58" s="1"/>
  <c r="B392" i="58" s="1"/>
  <c r="B393" i="58" s="1"/>
  <c r="B394" i="58" s="1"/>
  <c r="D388" i="58"/>
  <c r="D389" i="58"/>
  <c r="D390" i="58"/>
  <c r="D391" i="58"/>
  <c r="D392" i="58"/>
  <c r="D393" i="58"/>
  <c r="D394" i="58"/>
  <c r="E7511" i="7"/>
  <c r="E7510" i="7"/>
  <c r="E7509" i="7"/>
  <c r="E7506" i="7"/>
  <c r="E7505" i="7"/>
  <c r="E7504" i="7"/>
  <c r="E7491" i="7"/>
  <c r="E7490" i="7"/>
  <c r="E7489" i="7"/>
  <c r="E7503" i="7"/>
  <c r="E7502" i="7"/>
  <c r="E7501" i="7"/>
  <c r="E7448" i="7" l="1"/>
  <c r="E7447" i="7"/>
  <c r="E7446" i="7"/>
  <c r="E7445" i="7" l="1"/>
  <c r="E7444" i="7"/>
  <c r="E7443" i="7"/>
  <c r="L401" i="58"/>
  <c r="J401" i="58"/>
  <c r="H401" i="58"/>
  <c r="F401" i="58"/>
  <c r="L400" i="58"/>
  <c r="J400" i="58"/>
  <c r="H400" i="58"/>
  <c r="F400" i="58"/>
  <c r="L399" i="58"/>
  <c r="J399" i="58"/>
  <c r="H399" i="58"/>
  <c r="F399" i="58"/>
  <c r="L398" i="58"/>
  <c r="J398" i="58"/>
  <c r="H398" i="58"/>
  <c r="F398" i="58"/>
  <c r="L397" i="58"/>
  <c r="J397" i="58"/>
  <c r="H397" i="58"/>
  <c r="F397" i="58"/>
  <c r="L396" i="58"/>
  <c r="J396" i="58"/>
  <c r="H396" i="58"/>
  <c r="F396" i="58"/>
  <c r="L395" i="58"/>
  <c r="J395" i="58"/>
  <c r="H395" i="58"/>
  <c r="F395" i="58"/>
  <c r="B396" i="58"/>
  <c r="B397" i="58" s="1"/>
  <c r="B398" i="58" s="1"/>
  <c r="B399" i="58" s="1"/>
  <c r="B400" i="58" s="1"/>
  <c r="B401" i="58" s="1"/>
  <c r="D395" i="58"/>
  <c r="D396" i="58"/>
  <c r="D397" i="58"/>
  <c r="D398" i="58"/>
  <c r="D399" i="58"/>
  <c r="D400" i="58"/>
  <c r="D401" i="58"/>
  <c r="E7442" i="7"/>
  <c r="E7441" i="7"/>
  <c r="E7440" i="7"/>
  <c r="E7439" i="7" l="1"/>
  <c r="E7438" i="7"/>
  <c r="E7437" i="7"/>
  <c r="E7436" i="7"/>
  <c r="E7435" i="7"/>
  <c r="E7434" i="7"/>
  <c r="E7433" i="7"/>
  <c r="E7432" i="7"/>
  <c r="E7431" i="7" l="1"/>
  <c r="E7430" i="7"/>
  <c r="E4816" i="7" l="1"/>
  <c r="E5758" i="7"/>
  <c r="E5848" i="7"/>
  <c r="E5877" i="7"/>
  <c r="E6111" i="7"/>
  <c r="E6130" i="7"/>
  <c r="E6438" i="7"/>
  <c r="E6440" i="7"/>
  <c r="E6517" i="7"/>
  <c r="E6539" i="7"/>
  <c r="E6594" i="7"/>
  <c r="E6693" i="7"/>
  <c r="E6695" i="7"/>
  <c r="E6934" i="7"/>
  <c r="E7192" i="7"/>
  <c r="E7303" i="7"/>
  <c r="E7415" i="7"/>
  <c r="E7488" i="7" l="1"/>
  <c r="K7487" i="7"/>
  <c r="L7488" i="7" s="1"/>
  <c r="E7487" i="7"/>
  <c r="E7486" i="7"/>
  <c r="K7485" i="7"/>
  <c r="L7486" i="7" s="1"/>
  <c r="E7485" i="7"/>
  <c r="E7484" i="7"/>
  <c r="E7483" i="7"/>
  <c r="L7482" i="7"/>
  <c r="E7482" i="7"/>
  <c r="E7481" i="7"/>
  <c r="L7480" i="7"/>
  <c r="E7480" i="7"/>
  <c r="E7479" i="7"/>
  <c r="L7478" i="7"/>
  <c r="E7478" i="7"/>
  <c r="E7477" i="7"/>
  <c r="L7476" i="7"/>
  <c r="E7476" i="7"/>
  <c r="E7475" i="7"/>
  <c r="L7474" i="7"/>
  <c r="E7474" i="7"/>
  <c r="E7473" i="7"/>
  <c r="E7472" i="7"/>
  <c r="E7471" i="7"/>
  <c r="L7470" i="7"/>
  <c r="E7470" i="7"/>
  <c r="E7469" i="7"/>
  <c r="L7468" i="7"/>
  <c r="E7468" i="7"/>
  <c r="E7467" i="7"/>
  <c r="L7466" i="7"/>
  <c r="E7466" i="7"/>
  <c r="E7465" i="7"/>
  <c r="L7464" i="7"/>
  <c r="E7464" i="7"/>
  <c r="E7463" i="7"/>
  <c r="L7462" i="7"/>
  <c r="E7462" i="7"/>
  <c r="E7461" i="7"/>
  <c r="L7460" i="7"/>
  <c r="E7460" i="7"/>
  <c r="E7459" i="7"/>
  <c r="L7458" i="7"/>
  <c r="E7458" i="7"/>
  <c r="E7457" i="7"/>
  <c r="L7456" i="7"/>
  <c r="E7456" i="7"/>
  <c r="E7455" i="7"/>
  <c r="L7454" i="7"/>
  <c r="E7454" i="7"/>
  <c r="E7453" i="7"/>
  <c r="E7452" i="7"/>
  <c r="E7451" i="7"/>
  <c r="E7393" i="7"/>
  <c r="E7392" i="7"/>
  <c r="E7414" i="7" l="1"/>
  <c r="E7429" i="7"/>
  <c r="E7428" i="7"/>
  <c r="E7413" i="7"/>
  <c r="E7412" i="7"/>
  <c r="E7427" i="7"/>
  <c r="E7426" i="7"/>
  <c r="E7425" i="7"/>
  <c r="E7424" i="7"/>
  <c r="E7423" i="7"/>
  <c r="E7422" i="7"/>
  <c r="E7421" i="7"/>
  <c r="E7420" i="7"/>
  <c r="E7419" i="7"/>
  <c r="E7341" i="7"/>
  <c r="E7340" i="7"/>
  <c r="E7339" i="7"/>
  <c r="E7338" i="7"/>
  <c r="E7337" i="7"/>
  <c r="E7418" i="7"/>
  <c r="E7417" i="7"/>
  <c r="E7416" i="7"/>
  <c r="E7411" i="7"/>
  <c r="E7410" i="7"/>
  <c r="E7409" i="7"/>
  <c r="E7408" i="7"/>
  <c r="E7407" i="7"/>
  <c r="E7406" i="7"/>
  <c r="E7405" i="7"/>
  <c r="E7404" i="7"/>
  <c r="E7403" i="7"/>
  <c r="E7402" i="7"/>
  <c r="E7401" i="7"/>
  <c r="E7400" i="7"/>
  <c r="E7399" i="7"/>
  <c r="E7398" i="7"/>
  <c r="E7397" i="7"/>
  <c r="E7396" i="7"/>
  <c r="E7395" i="7"/>
  <c r="E7394" i="7"/>
  <c r="E7336" i="7"/>
  <c r="E7335" i="7"/>
  <c r="E7334" i="7"/>
  <c r="E7333" i="7" l="1"/>
  <c r="E7332" i="7"/>
  <c r="E7391" i="7"/>
  <c r="E7390" i="7"/>
  <c r="E7389" i="7"/>
  <c r="E7388" i="7"/>
  <c r="E7387" i="7"/>
  <c r="E7386" i="7"/>
  <c r="E7385" i="7"/>
  <c r="E7384" i="7"/>
  <c r="E7383" i="7"/>
  <c r="E7382" i="7" l="1"/>
  <c r="E7381" i="7"/>
  <c r="E7380" i="7"/>
  <c r="E7331" i="7"/>
  <c r="E7330" i="7"/>
  <c r="E7329" i="7"/>
  <c r="L408" i="58"/>
  <c r="J408" i="58"/>
  <c r="H408" i="58"/>
  <c r="F408" i="58"/>
  <c r="L407" i="58"/>
  <c r="J407" i="58"/>
  <c r="H407" i="58"/>
  <c r="F407" i="58"/>
  <c r="L406" i="58"/>
  <c r="J406" i="58"/>
  <c r="H406" i="58"/>
  <c r="F406" i="58"/>
  <c r="L405" i="58"/>
  <c r="J405" i="58"/>
  <c r="H405" i="58"/>
  <c r="F405" i="58"/>
  <c r="L404" i="58"/>
  <c r="J404" i="58"/>
  <c r="H404" i="58"/>
  <c r="F404" i="58"/>
  <c r="L403" i="58"/>
  <c r="J403" i="58"/>
  <c r="H403" i="58"/>
  <c r="F403" i="58"/>
  <c r="L402" i="58"/>
  <c r="J402" i="58"/>
  <c r="H402" i="58"/>
  <c r="F402" i="58"/>
  <c r="B403" i="58"/>
  <c r="B404" i="58" s="1"/>
  <c r="B405" i="58" s="1"/>
  <c r="B406" i="58" s="1"/>
  <c r="B407" i="58" s="1"/>
  <c r="B408" i="58" s="1"/>
  <c r="D402" i="58"/>
  <c r="D403" i="58"/>
  <c r="D404" i="58"/>
  <c r="D405" i="58"/>
  <c r="D406" i="58"/>
  <c r="D407" i="58"/>
  <c r="D408" i="58"/>
  <c r="B415" i="58"/>
  <c r="E7328" i="7" l="1"/>
  <c r="E7327" i="7"/>
  <c r="L7361" i="7"/>
  <c r="E7361" i="7"/>
  <c r="E7360" i="7"/>
  <c r="L7272" i="7"/>
  <c r="E7272" i="7"/>
  <c r="E7271" i="7"/>
  <c r="E7326" i="7" l="1"/>
  <c r="E7325" i="7"/>
  <c r="E7324" i="7"/>
  <c r="E7319" i="7"/>
  <c r="E7323" i="7"/>
  <c r="E7322" i="7"/>
  <c r="E7318" i="7"/>
  <c r="E7317" i="7"/>
  <c r="E7316" i="7"/>
  <c r="E7315" i="7"/>
  <c r="E7314" i="7"/>
  <c r="E7313" i="7"/>
  <c r="E7312" i="7"/>
  <c r="E7311" i="7"/>
  <c r="E7310" i="7"/>
  <c r="E7309" i="7"/>
  <c r="E7308" i="7"/>
  <c r="E7307" i="7"/>
  <c r="L7355" i="7" l="1"/>
  <c r="E7355" i="7"/>
  <c r="E7354" i="7"/>
  <c r="L7268" i="7"/>
  <c r="E7268" i="7"/>
  <c r="E7267" i="7"/>
  <c r="E7379" i="7" l="1"/>
  <c r="K7378" i="7"/>
  <c r="L7379" i="7" s="1"/>
  <c r="E7378" i="7"/>
  <c r="E7377" i="7"/>
  <c r="K7376" i="7"/>
  <c r="L7377" i="7" s="1"/>
  <c r="E7376" i="7"/>
  <c r="E7375" i="7"/>
  <c r="E7374" i="7"/>
  <c r="L7373" i="7"/>
  <c r="E7373" i="7"/>
  <c r="E7372" i="7"/>
  <c r="L7371" i="7"/>
  <c r="E7371" i="7"/>
  <c r="E7370" i="7"/>
  <c r="L7369" i="7"/>
  <c r="E7369" i="7"/>
  <c r="E7368" i="7"/>
  <c r="L7367" i="7"/>
  <c r="E7367" i="7"/>
  <c r="E7366" i="7"/>
  <c r="L7365" i="7"/>
  <c r="E7365" i="7"/>
  <c r="E7364" i="7"/>
  <c r="E7363" i="7"/>
  <c r="E7362" i="7"/>
  <c r="L7359" i="7"/>
  <c r="E7359" i="7"/>
  <c r="E7358" i="7"/>
  <c r="L7353" i="7"/>
  <c r="E7353" i="7"/>
  <c r="E7352" i="7"/>
  <c r="L7351" i="7"/>
  <c r="E7351" i="7"/>
  <c r="E7350" i="7"/>
  <c r="L7349" i="7"/>
  <c r="E7349" i="7"/>
  <c r="E7348" i="7"/>
  <c r="L7357" i="7"/>
  <c r="E7357" i="7"/>
  <c r="E7356" i="7"/>
  <c r="L7347" i="7"/>
  <c r="E7347" i="7"/>
  <c r="E7346" i="7"/>
  <c r="L7345" i="7"/>
  <c r="E7345" i="7"/>
  <c r="E7344" i="7"/>
  <c r="E7343" i="7"/>
  <c r="E7342" i="7"/>
  <c r="E7302" i="7" l="1"/>
  <c r="E7252" i="7"/>
  <c r="E7251" i="7"/>
  <c r="E7301" i="7"/>
  <c r="E7300" i="7"/>
  <c r="E7306" i="7"/>
  <c r="E7305" i="7"/>
  <c r="E7304" i="7"/>
  <c r="E7299" i="7"/>
  <c r="E7298" i="7"/>
  <c r="E7297" i="7"/>
  <c r="E7296" i="7"/>
  <c r="E7295" i="7"/>
  <c r="E7294" i="7"/>
  <c r="E7293" i="7"/>
  <c r="E7292" i="7"/>
  <c r="E7291" i="7"/>
  <c r="K7289" i="7" l="1"/>
  <c r="E7250" i="7" l="1"/>
  <c r="E7249" i="7"/>
  <c r="E7248" i="7"/>
  <c r="F415" i="58"/>
  <c r="F414" i="58"/>
  <c r="F413" i="58"/>
  <c r="F412" i="58"/>
  <c r="F411" i="58"/>
  <c r="F410" i="58"/>
  <c r="F409" i="58"/>
  <c r="L415" i="58"/>
  <c r="J415" i="58"/>
  <c r="H415" i="58"/>
  <c r="L414" i="58"/>
  <c r="J414" i="58"/>
  <c r="H414" i="58"/>
  <c r="L413" i="58"/>
  <c r="J413" i="58"/>
  <c r="H413" i="58"/>
  <c r="L412" i="58"/>
  <c r="J412" i="58"/>
  <c r="H412" i="58"/>
  <c r="L411" i="58"/>
  <c r="J411" i="58"/>
  <c r="H411" i="58"/>
  <c r="L410" i="58"/>
  <c r="J410" i="58"/>
  <c r="H410" i="58"/>
  <c r="L409" i="58"/>
  <c r="J409" i="58"/>
  <c r="H409" i="58"/>
  <c r="D409" i="58"/>
  <c r="D410" i="58"/>
  <c r="D411" i="58"/>
  <c r="D412" i="58"/>
  <c r="D413" i="58"/>
  <c r="D414" i="58"/>
  <c r="D415" i="58"/>
  <c r="E7247" i="7" l="1"/>
  <c r="E7246" i="7"/>
  <c r="E7245" i="7"/>
  <c r="E7244" i="7"/>
  <c r="E7243" i="7"/>
  <c r="E7242" i="7"/>
  <c r="E7239" i="7" l="1"/>
  <c r="E7234" i="7"/>
  <c r="E7236" i="7" l="1"/>
  <c r="E7235" i="7"/>
  <c r="E7233" i="7"/>
  <c r="E7232" i="7"/>
  <c r="E7241" i="7" l="1"/>
  <c r="E7240" i="7"/>
  <c r="E7238" i="7"/>
  <c r="E7237" i="7"/>
  <c r="E7230" i="7"/>
  <c r="E7231" i="7"/>
  <c r="E7229" i="7"/>
  <c r="E7133" i="7"/>
  <c r="E7132" i="7"/>
  <c r="E7216" i="7"/>
  <c r="E7215" i="7"/>
  <c r="E7206" i="7"/>
  <c r="E7205" i="7"/>
  <c r="E7228" i="7"/>
  <c r="E7227" i="7"/>
  <c r="E7226" i="7"/>
  <c r="E7212" i="7"/>
  <c r="E7211" i="7"/>
  <c r="E7210" i="7"/>
  <c r="E7209" i="7"/>
  <c r="E7208" i="7"/>
  <c r="E7207" i="7"/>
  <c r="E7225" i="7" l="1"/>
  <c r="E7224" i="7"/>
  <c r="E7223" i="7"/>
  <c r="E7222" i="7"/>
  <c r="E7221" i="7"/>
  <c r="E7220" i="7"/>
  <c r="E7219" i="7"/>
  <c r="E7218" i="7"/>
  <c r="E7217" i="7"/>
  <c r="E7214" i="7" l="1"/>
  <c r="E7213" i="7"/>
  <c r="L7258" i="7" l="1"/>
  <c r="E7258" i="7"/>
  <c r="E7257" i="7"/>
  <c r="L7270" i="7"/>
  <c r="E7270" i="7" l="1"/>
  <c r="E7269" i="7"/>
  <c r="E7290" i="7"/>
  <c r="L7290" i="7"/>
  <c r="E7289" i="7"/>
  <c r="E7288" i="7"/>
  <c r="K7287" i="7"/>
  <c r="L7288" i="7" s="1"/>
  <c r="E7287" i="7"/>
  <c r="E7286" i="7"/>
  <c r="E7285" i="7"/>
  <c r="L7284" i="7"/>
  <c r="E7284" i="7"/>
  <c r="E7283" i="7"/>
  <c r="L7282" i="7"/>
  <c r="E7282" i="7"/>
  <c r="E7281" i="7"/>
  <c r="L7280" i="7"/>
  <c r="E7280" i="7"/>
  <c r="E7279" i="7"/>
  <c r="L7278" i="7"/>
  <c r="E7278" i="7"/>
  <c r="E7277" i="7"/>
  <c r="L7276" i="7"/>
  <c r="E7276" i="7"/>
  <c r="E7275" i="7"/>
  <c r="E7274" i="7"/>
  <c r="E7273" i="7"/>
  <c r="L7266" i="7"/>
  <c r="E7266" i="7"/>
  <c r="E7265" i="7"/>
  <c r="L7264" i="7"/>
  <c r="E7264" i="7"/>
  <c r="E7263" i="7"/>
  <c r="L7262" i="7"/>
  <c r="E7262" i="7"/>
  <c r="E7261" i="7"/>
  <c r="L7260" i="7"/>
  <c r="E7260" i="7"/>
  <c r="E7259" i="7"/>
  <c r="L7256" i="7"/>
  <c r="E7256" i="7"/>
  <c r="E7255" i="7"/>
  <c r="E7254" i="7"/>
  <c r="E7253" i="7"/>
  <c r="E7204" i="7"/>
  <c r="E7203" i="7"/>
  <c r="E7202" i="7"/>
  <c r="E7190" i="7"/>
  <c r="E7189" i="7"/>
  <c r="E7198" i="7"/>
  <c r="E7197" i="7"/>
  <c r="E7196" i="7"/>
  <c r="E7195" i="7"/>
  <c r="E7191" i="7"/>
  <c r="E7171" i="7"/>
  <c r="E7170" i="7"/>
  <c r="E7194" i="7"/>
  <c r="E7193" i="7"/>
  <c r="E7188" i="7"/>
  <c r="E7187" i="7"/>
  <c r="E7169" i="7"/>
  <c r="E7168" i="7"/>
  <c r="E7167" i="7"/>
  <c r="E7166" i="7"/>
  <c r="E7165" i="7"/>
  <c r="E7164" i="7"/>
  <c r="E7186" i="7"/>
  <c r="E7185" i="7"/>
  <c r="E7184" i="7"/>
  <c r="E7183" i="7"/>
  <c r="E7182" i="7"/>
  <c r="E7181" i="7"/>
  <c r="E7180" i="7"/>
  <c r="E7179" i="7"/>
  <c r="E7178" i="7"/>
  <c r="E7177" i="7"/>
  <c r="E7176" i="7"/>
  <c r="E7175" i="7"/>
  <c r="E7174" i="7"/>
  <c r="E7173" i="7"/>
  <c r="E7172" i="7"/>
  <c r="E7199" i="7"/>
  <c r="E7200" i="7" l="1"/>
  <c r="E7201" i="7"/>
  <c r="E7131" i="7" l="1"/>
  <c r="E7130" i="7"/>
  <c r="E7129" i="7"/>
  <c r="E7128" i="7" l="1"/>
  <c r="E7127" i="7"/>
  <c r="E7126" i="7"/>
  <c r="E7125" i="7"/>
  <c r="E7124" i="7"/>
  <c r="E7123" i="7"/>
  <c r="E7122" i="7"/>
  <c r="E7121" i="7"/>
  <c r="E7120" i="7"/>
  <c r="E7119" i="7" l="1"/>
  <c r="E7118" i="7"/>
  <c r="E7117" i="7"/>
  <c r="E7116" i="7"/>
  <c r="E7115" i="7"/>
  <c r="E7114" i="7"/>
  <c r="L422" i="58" l="1"/>
  <c r="J422" i="58"/>
  <c r="H422" i="58"/>
  <c r="F422" i="58"/>
  <c r="L421" i="58"/>
  <c r="J421" i="58"/>
  <c r="H421" i="58"/>
  <c r="F421" i="58"/>
  <c r="L420" i="58"/>
  <c r="J420" i="58"/>
  <c r="H420" i="58"/>
  <c r="F420" i="58"/>
  <c r="L419" i="58"/>
  <c r="J419" i="58"/>
  <c r="H419" i="58"/>
  <c r="F419" i="58"/>
  <c r="L418" i="58"/>
  <c r="J418" i="58"/>
  <c r="H418" i="58"/>
  <c r="F418" i="58"/>
  <c r="L417" i="58"/>
  <c r="J417" i="58"/>
  <c r="H417" i="58"/>
  <c r="F417" i="58"/>
  <c r="L416" i="58"/>
  <c r="J416" i="58"/>
  <c r="H416" i="58"/>
  <c r="F416" i="58"/>
  <c r="B417" i="58"/>
  <c r="B418" i="58" s="1"/>
  <c r="B419" i="58" s="1"/>
  <c r="B420" i="58" s="1"/>
  <c r="B421" i="58" s="1"/>
  <c r="B422" i="58" s="1"/>
  <c r="D416" i="58"/>
  <c r="D417" i="58"/>
  <c r="D418" i="58"/>
  <c r="D419" i="58"/>
  <c r="D420" i="58"/>
  <c r="D421" i="58"/>
  <c r="D422" i="58"/>
  <c r="E7113" i="7"/>
  <c r="E7112" i="7"/>
  <c r="E7111" i="7"/>
  <c r="E7110" i="7"/>
  <c r="E7109" i="7"/>
  <c r="E7108" i="7"/>
  <c r="E7107" i="7"/>
  <c r="E7106" i="7"/>
  <c r="E7105" i="7"/>
  <c r="E7104" i="7"/>
  <c r="E7103" i="7"/>
  <c r="E7102" i="7"/>
  <c r="E7101" i="7"/>
  <c r="E7100" i="7"/>
  <c r="E7099" i="7"/>
  <c r="E7098" i="7"/>
  <c r="E7097" i="7"/>
  <c r="E7096" i="7"/>
  <c r="E7095" i="7"/>
  <c r="E7094" i="7"/>
  <c r="E7093" i="7"/>
  <c r="E7092" i="7"/>
  <c r="E7091" i="7"/>
  <c r="E7090" i="7"/>
  <c r="E7089" i="7"/>
  <c r="E7088" i="7"/>
  <c r="E7087" i="7"/>
  <c r="E7082" i="7" l="1"/>
  <c r="E7081" i="7"/>
  <c r="E7080" i="7"/>
  <c r="E7079" i="7"/>
  <c r="E7078" i="7"/>
  <c r="E7077" i="7"/>
  <c r="E7076" i="7"/>
  <c r="E7075" i="7"/>
  <c r="E7074" i="7"/>
  <c r="E7073" i="7"/>
  <c r="E7086" i="7" l="1"/>
  <c r="E7085" i="7"/>
  <c r="E7084" i="7"/>
  <c r="E7083" i="7"/>
  <c r="L7143" i="7"/>
  <c r="E7143" i="7"/>
  <c r="E7142" i="7"/>
  <c r="L7145" i="7" l="1"/>
  <c r="E7145" i="7"/>
  <c r="E7144" i="7"/>
  <c r="E7163" i="7"/>
  <c r="K7162" i="7"/>
  <c r="L7163" i="7" s="1"/>
  <c r="E7162" i="7"/>
  <c r="E7161" i="7"/>
  <c r="K7160" i="7"/>
  <c r="L7161" i="7" s="1"/>
  <c r="E7160" i="7"/>
  <c r="E7159" i="7"/>
  <c r="E7158" i="7"/>
  <c r="L7157" i="7"/>
  <c r="E7157" i="7"/>
  <c r="E7156" i="7"/>
  <c r="L7155" i="7"/>
  <c r="E7155" i="7"/>
  <c r="E7154" i="7"/>
  <c r="L7153" i="7"/>
  <c r="E7153" i="7"/>
  <c r="E7152" i="7"/>
  <c r="L7151" i="7"/>
  <c r="E7151" i="7"/>
  <c r="E7150" i="7"/>
  <c r="L7149" i="7"/>
  <c r="E7149" i="7"/>
  <c r="E7148" i="7"/>
  <c r="E7147" i="7"/>
  <c r="E7146" i="7"/>
  <c r="L7141" i="7"/>
  <c r="E7141" i="7"/>
  <c r="E7140" i="7"/>
  <c r="L7139" i="7"/>
  <c r="E7139" i="7"/>
  <c r="E7138" i="7"/>
  <c r="L7137" i="7"/>
  <c r="E7137" i="7"/>
  <c r="E7136" i="7"/>
  <c r="E7135" i="7"/>
  <c r="E7134" i="7"/>
  <c r="E7016" i="7" l="1"/>
  <c r="E7015" i="7"/>
  <c r="E7014" i="7"/>
  <c r="E7072" i="7" l="1"/>
  <c r="E7071" i="7"/>
  <c r="E7061" i="7"/>
  <c r="E7060" i="7"/>
  <c r="E7059" i="7" l="1"/>
  <c r="E7058" i="7"/>
  <c r="E7070" i="7"/>
  <c r="E7069" i="7"/>
  <c r="E7068" i="7"/>
  <c r="E7067" i="7"/>
  <c r="E7066" i="7"/>
  <c r="E7065" i="7"/>
  <c r="E7064" i="7"/>
  <c r="E7063" i="7"/>
  <c r="E7062" i="7"/>
  <c r="E7057" i="7"/>
  <c r="E7056" i="7"/>
  <c r="E7055" i="7"/>
  <c r="E7054" i="7"/>
  <c r="E7053" i="7"/>
  <c r="E7052" i="7"/>
  <c r="E7051" i="7"/>
  <c r="E7050" i="7"/>
  <c r="E7049" i="7"/>
  <c r="E7048" i="7"/>
  <c r="E7047" i="7"/>
  <c r="E7046" i="7"/>
  <c r="E7045" i="7"/>
  <c r="E7044" i="7"/>
  <c r="E7043" i="7"/>
  <c r="E7013" i="7" l="1"/>
  <c r="E7012" i="7"/>
  <c r="E7011" i="7"/>
  <c r="E7010" i="7"/>
  <c r="E7009" i="7"/>
  <c r="E7008" i="7"/>
  <c r="E7007" i="7"/>
  <c r="E7006" i="7"/>
  <c r="E7005" i="7" l="1"/>
  <c r="E7004" i="7"/>
  <c r="L7024" i="7" l="1"/>
  <c r="E7024" i="7"/>
  <c r="E7023" i="7"/>
  <c r="E7042" i="7"/>
  <c r="K7041" i="7"/>
  <c r="L7042" i="7" s="1"/>
  <c r="E7041" i="7"/>
  <c r="E7040" i="7"/>
  <c r="K7039" i="7"/>
  <c r="L7040" i="7" s="1"/>
  <c r="E7039" i="7"/>
  <c r="E7038" i="7"/>
  <c r="E7037" i="7"/>
  <c r="L7036" i="7"/>
  <c r="E7036" i="7"/>
  <c r="E7035" i="7"/>
  <c r="L7034" i="7"/>
  <c r="E7034" i="7"/>
  <c r="E7033" i="7"/>
  <c r="L7032" i="7"/>
  <c r="E7032" i="7"/>
  <c r="E7031" i="7"/>
  <c r="L7030" i="7"/>
  <c r="E7030" i="7"/>
  <c r="E7029" i="7"/>
  <c r="L7028" i="7"/>
  <c r="E7028" i="7"/>
  <c r="E7027" i="7"/>
  <c r="E7026" i="7"/>
  <c r="E7025" i="7"/>
  <c r="L7022" i="7"/>
  <c r="E7022" i="7"/>
  <c r="E7021" i="7"/>
  <c r="L7020" i="7"/>
  <c r="E7020" i="7"/>
  <c r="E7019" i="7"/>
  <c r="E7018" i="7"/>
  <c r="E7017" i="7"/>
  <c r="E7003" i="7"/>
  <c r="E7002" i="7"/>
  <c r="E7001" i="7"/>
  <c r="F429" i="58" l="1"/>
  <c r="F428" i="58"/>
  <c r="F427" i="58"/>
  <c r="F426" i="58"/>
  <c r="F425" i="58"/>
  <c r="F424" i="58"/>
  <c r="F423" i="58"/>
  <c r="L429" i="58"/>
  <c r="J429" i="58"/>
  <c r="H429" i="58"/>
  <c r="L428" i="58"/>
  <c r="J428" i="58"/>
  <c r="H428" i="58"/>
  <c r="L427" i="58"/>
  <c r="J427" i="58"/>
  <c r="H427" i="58"/>
  <c r="L426" i="58"/>
  <c r="J426" i="58"/>
  <c r="H426" i="58"/>
  <c r="L425" i="58"/>
  <c r="J425" i="58"/>
  <c r="H425" i="58"/>
  <c r="L424" i="58"/>
  <c r="J424" i="58"/>
  <c r="H424" i="58"/>
  <c r="L423" i="58"/>
  <c r="J423" i="58"/>
  <c r="H423" i="58"/>
  <c r="B424" i="58"/>
  <c r="B425" i="58" s="1"/>
  <c r="B426" i="58" s="1"/>
  <c r="B427" i="58" s="1"/>
  <c r="B428" i="58" s="1"/>
  <c r="B429" i="58" s="1"/>
  <c r="D423" i="58"/>
  <c r="D424" i="58"/>
  <c r="D425" i="58"/>
  <c r="D426" i="58"/>
  <c r="D427" i="58"/>
  <c r="D428" i="58"/>
  <c r="D429" i="58"/>
  <c r="E6982" i="7"/>
  <c r="E6981" i="7"/>
  <c r="E6994" i="7"/>
  <c r="E6993" i="7"/>
  <c r="E6992" i="7"/>
  <c r="E6991" i="7"/>
  <c r="E6999" i="7"/>
  <c r="E7000" i="7"/>
  <c r="E6998" i="7"/>
  <c r="E6990" i="7" l="1"/>
  <c r="E6989" i="7"/>
  <c r="E6988" i="7"/>
  <c r="E6987" i="7"/>
  <c r="E6986" i="7"/>
  <c r="E6997" i="7"/>
  <c r="E6996" i="7"/>
  <c r="E6995" i="7"/>
  <c r="E6985" i="7"/>
  <c r="E6984" i="7"/>
  <c r="E6983" i="7"/>
  <c r="E6980" i="7" l="1"/>
  <c r="E6979" i="7"/>
  <c r="E6978" i="7"/>
  <c r="E6977" i="7"/>
  <c r="E6976" i="7"/>
  <c r="E6975" i="7"/>
  <c r="E6974" i="7"/>
  <c r="E6973" i="7"/>
  <c r="E6972" i="7"/>
  <c r="E6947" i="7" l="1"/>
  <c r="E6946" i="7"/>
  <c r="E6945" i="7"/>
  <c r="E6944" i="7"/>
  <c r="E6943" i="7"/>
  <c r="E6942" i="7"/>
  <c r="D432" i="58"/>
  <c r="E6971" i="7" l="1"/>
  <c r="K6970" i="7"/>
  <c r="L6971" i="7" s="1"/>
  <c r="E6970" i="7"/>
  <c r="E6969" i="7"/>
  <c r="K6968" i="7"/>
  <c r="L6969" i="7" s="1"/>
  <c r="E6968" i="7"/>
  <c r="E6967" i="7"/>
  <c r="E6966" i="7"/>
  <c r="L6965" i="7"/>
  <c r="E6965" i="7"/>
  <c r="E6964" i="7"/>
  <c r="L6963" i="7"/>
  <c r="E6963" i="7"/>
  <c r="E6962" i="7"/>
  <c r="L6961" i="7"/>
  <c r="E6961" i="7"/>
  <c r="E6960" i="7"/>
  <c r="L6959" i="7"/>
  <c r="E6959" i="7"/>
  <c r="E6958" i="7"/>
  <c r="L6957" i="7"/>
  <c r="E6957" i="7"/>
  <c r="E6956" i="7"/>
  <c r="E6955" i="7"/>
  <c r="E6954" i="7"/>
  <c r="L6953" i="7"/>
  <c r="E6953" i="7"/>
  <c r="E6952" i="7"/>
  <c r="L6951" i="7"/>
  <c r="E6951" i="7"/>
  <c r="E6950" i="7"/>
  <c r="E6949" i="7"/>
  <c r="E6948" i="7"/>
  <c r="E6862" i="7"/>
  <c r="E6861" i="7"/>
  <c r="E6860" i="7"/>
  <c r="E6939" i="7"/>
  <c r="E6938" i="7"/>
  <c r="E6933" i="7"/>
  <c r="E6932" i="7"/>
  <c r="E6931" i="7"/>
  <c r="E6930" i="7"/>
  <c r="F436" i="58" l="1"/>
  <c r="F435" i="58"/>
  <c r="F434" i="58"/>
  <c r="F433" i="58"/>
  <c r="F432" i="58"/>
  <c r="F431" i="58"/>
  <c r="F430" i="58"/>
  <c r="L436" i="58"/>
  <c r="J436" i="58"/>
  <c r="H436" i="58"/>
  <c r="L435" i="58"/>
  <c r="J435" i="58"/>
  <c r="H435" i="58"/>
  <c r="L434" i="58"/>
  <c r="J434" i="58"/>
  <c r="H434" i="58"/>
  <c r="L433" i="58"/>
  <c r="J433" i="58"/>
  <c r="H433" i="58"/>
  <c r="L432" i="58"/>
  <c r="J432" i="58"/>
  <c r="H432" i="58"/>
  <c r="L431" i="58"/>
  <c r="J431" i="58"/>
  <c r="H431" i="58"/>
  <c r="L430" i="58"/>
  <c r="J430" i="58"/>
  <c r="H430" i="58"/>
  <c r="B431" i="58"/>
  <c r="B432" i="58" s="1"/>
  <c r="B433" i="58" s="1"/>
  <c r="B434" i="58" s="1"/>
  <c r="B435" i="58" s="1"/>
  <c r="B436" i="58" s="1"/>
  <c r="D430" i="58"/>
  <c r="D431" i="58"/>
  <c r="D433" i="58"/>
  <c r="D434" i="58"/>
  <c r="D435" i="58"/>
  <c r="D436" i="58"/>
  <c r="E6941" i="7"/>
  <c r="E6940" i="7"/>
  <c r="E6917" i="7"/>
  <c r="E6916" i="7"/>
  <c r="E6906" i="7"/>
  <c r="E6905" i="7"/>
  <c r="E6937" i="7"/>
  <c r="E6936" i="7"/>
  <c r="E6935" i="7"/>
  <c r="E6929" i="7"/>
  <c r="E6928" i="7"/>
  <c r="E6927" i="7"/>
  <c r="E6926" i="7"/>
  <c r="E6925" i="7"/>
  <c r="E6924" i="7"/>
  <c r="E6904" i="7"/>
  <c r="E6903" i="7"/>
  <c r="E6902" i="7"/>
  <c r="E6901" i="7"/>
  <c r="E6900" i="7"/>
  <c r="E6899" i="7"/>
  <c r="E6923" i="7"/>
  <c r="E6922" i="7"/>
  <c r="E6921" i="7"/>
  <c r="E6920" i="7"/>
  <c r="E6919" i="7"/>
  <c r="E6918" i="7"/>
  <c r="E6915" i="7"/>
  <c r="E6914" i="7"/>
  <c r="E6913" i="7"/>
  <c r="E6912" i="7"/>
  <c r="E6911" i="7"/>
  <c r="E6910" i="7"/>
  <c r="E6909" i="7"/>
  <c r="E6908" i="7"/>
  <c r="E6907" i="7"/>
  <c r="E6898" i="7" l="1"/>
  <c r="E6897" i="7"/>
  <c r="E6896" i="7"/>
  <c r="E6895" i="7"/>
  <c r="E6894" i="7"/>
  <c r="E6893" i="7"/>
  <c r="E6892" i="7"/>
  <c r="E6891" i="7"/>
  <c r="E6890" i="7"/>
  <c r="E6859" i="7" l="1"/>
  <c r="E6858" i="7"/>
  <c r="E6857" i="7"/>
  <c r="E6889" i="7"/>
  <c r="E6888" i="7"/>
  <c r="E6887" i="7"/>
  <c r="E6690" i="7"/>
  <c r="E6715" i="7"/>
  <c r="E6886" i="7" l="1"/>
  <c r="K6885" i="7"/>
  <c r="L6886" i="7" s="1"/>
  <c r="E6885" i="7"/>
  <c r="E6884" i="7"/>
  <c r="K6883" i="7"/>
  <c r="L6884" i="7" s="1"/>
  <c r="E6883" i="7"/>
  <c r="E6882" i="7"/>
  <c r="E6881" i="7"/>
  <c r="L6880" i="7"/>
  <c r="E6880" i="7"/>
  <c r="E6879" i="7"/>
  <c r="L6878" i="7"/>
  <c r="E6878" i="7"/>
  <c r="E6877" i="7"/>
  <c r="L6876" i="7"/>
  <c r="E6876" i="7"/>
  <c r="E6875" i="7"/>
  <c r="L6874" i="7"/>
  <c r="E6874" i="7"/>
  <c r="E6873" i="7"/>
  <c r="L6872" i="7"/>
  <c r="E6872" i="7"/>
  <c r="E6871" i="7"/>
  <c r="E6870" i="7"/>
  <c r="E6869" i="7"/>
  <c r="L6868" i="7"/>
  <c r="E6868" i="7"/>
  <c r="E6867" i="7"/>
  <c r="L6866" i="7"/>
  <c r="E6866" i="7"/>
  <c r="E6865" i="7"/>
  <c r="E6864" i="7"/>
  <c r="E6863" i="7"/>
  <c r="E6844" i="7"/>
  <c r="E6843" i="7"/>
  <c r="E6842" i="7" l="1"/>
  <c r="E6841" i="7"/>
  <c r="E6840" i="7"/>
  <c r="E6817" i="7"/>
  <c r="E6816" i="7"/>
  <c r="E6856" i="7"/>
  <c r="E6855" i="7"/>
  <c r="E6854" i="7"/>
  <c r="E6853" i="7"/>
  <c r="E6852" i="7"/>
  <c r="E6851" i="7"/>
  <c r="E6850" i="7"/>
  <c r="E6849" i="7"/>
  <c r="E6848" i="7"/>
  <c r="E6833" i="7" l="1"/>
  <c r="E6832" i="7"/>
  <c r="E6831" i="7"/>
  <c r="E6830" i="7"/>
  <c r="E6847" i="7"/>
  <c r="E6846" i="7"/>
  <c r="E6845" i="7"/>
  <c r="E6839" i="7"/>
  <c r="E6838" i="7"/>
  <c r="E6837" i="7"/>
  <c r="E6836" i="7"/>
  <c r="E6835" i="7"/>
  <c r="E6834" i="7"/>
  <c r="E6829" i="7"/>
  <c r="E6828" i="7"/>
  <c r="E6827" i="7"/>
  <c r="E6826" i="7"/>
  <c r="E6825" i="7"/>
  <c r="E6824" i="7"/>
  <c r="E6823" i="7"/>
  <c r="E6822" i="7"/>
  <c r="E6821" i="7"/>
  <c r="E6820" i="7"/>
  <c r="E6819" i="7"/>
  <c r="E6818" i="7"/>
  <c r="F443" i="58"/>
  <c r="F442" i="58"/>
  <c r="F441" i="58"/>
  <c r="F440" i="58"/>
  <c r="F439" i="58"/>
  <c r="F438" i="58"/>
  <c r="F437" i="58"/>
  <c r="H443" i="58"/>
  <c r="H442" i="58"/>
  <c r="H441" i="58"/>
  <c r="H440" i="58"/>
  <c r="H439" i="58"/>
  <c r="H438" i="58"/>
  <c r="H437" i="58"/>
  <c r="L443" i="58"/>
  <c r="L442" i="58"/>
  <c r="L441" i="58"/>
  <c r="L440" i="58"/>
  <c r="L439" i="58"/>
  <c r="L438" i="58"/>
  <c r="L437" i="58"/>
  <c r="L444" i="58"/>
  <c r="B438" i="58"/>
  <c r="B439" i="58" s="1"/>
  <c r="B440" i="58" s="1"/>
  <c r="B441" i="58" s="1"/>
  <c r="B442" i="58" s="1"/>
  <c r="B443" i="58" s="1"/>
  <c r="D437" i="58"/>
  <c r="J437" i="58"/>
  <c r="D438" i="58"/>
  <c r="J438" i="58"/>
  <c r="D439" i="58"/>
  <c r="J439" i="58"/>
  <c r="D440" i="58"/>
  <c r="J440" i="58"/>
  <c r="D441" i="58"/>
  <c r="J441" i="58"/>
  <c r="D442" i="58"/>
  <c r="J442" i="58"/>
  <c r="D443" i="58"/>
  <c r="J443" i="58"/>
  <c r="E6791" i="7" l="1"/>
  <c r="E6790" i="7"/>
  <c r="E6786" i="7"/>
  <c r="E6785" i="7"/>
  <c r="E6789" i="7"/>
  <c r="E6788" i="7"/>
  <c r="E6787" i="7"/>
  <c r="E6784" i="7"/>
  <c r="E6783" i="7"/>
  <c r="E6782" i="7"/>
  <c r="E6691" i="7" l="1"/>
  <c r="E6689" i="7"/>
  <c r="L450" i="58" l="1"/>
  <c r="J450" i="58"/>
  <c r="L449" i="58"/>
  <c r="J449" i="58"/>
  <c r="L448" i="58"/>
  <c r="J448" i="58"/>
  <c r="L447" i="58"/>
  <c r="J447" i="58"/>
  <c r="L446" i="58"/>
  <c r="J446" i="58"/>
  <c r="L445" i="58"/>
  <c r="J445" i="58"/>
  <c r="J444" i="58"/>
  <c r="F450" i="58"/>
  <c r="F449" i="58"/>
  <c r="F448" i="58"/>
  <c r="F447" i="58"/>
  <c r="F446" i="58"/>
  <c r="F445" i="58"/>
  <c r="F444" i="58"/>
  <c r="F452" i="58"/>
  <c r="F453" i="58"/>
  <c r="F454" i="58"/>
  <c r="F455" i="58"/>
  <c r="F456" i="58"/>
  <c r="F457" i="58"/>
  <c r="F458" i="58"/>
  <c r="F459" i="58"/>
  <c r="F460" i="58"/>
  <c r="F461" i="58"/>
  <c r="F451" i="58"/>
  <c r="H450" i="58"/>
  <c r="H449" i="58"/>
  <c r="H448" i="58"/>
  <c r="H447" i="58"/>
  <c r="H446" i="58"/>
  <c r="H445" i="58"/>
  <c r="H444" i="58"/>
  <c r="B445" i="58"/>
  <c r="B446" i="58" s="1"/>
  <c r="B447" i="58" s="1"/>
  <c r="B448" i="58" s="1"/>
  <c r="B449" i="58" s="1"/>
  <c r="B450" i="58" s="1"/>
  <c r="D444" i="58"/>
  <c r="D445" i="58"/>
  <c r="D446" i="58"/>
  <c r="D447" i="58"/>
  <c r="D448" i="58"/>
  <c r="D449" i="58"/>
  <c r="D450" i="58"/>
  <c r="E3450" i="7" l="1"/>
  <c r="E6815" i="7"/>
  <c r="K6814" i="7"/>
  <c r="L6815" i="7" s="1"/>
  <c r="E6814" i="7"/>
  <c r="E6813" i="7"/>
  <c r="K6812" i="7"/>
  <c r="L6813" i="7" s="1"/>
  <c r="E6812" i="7"/>
  <c r="E6811" i="7"/>
  <c r="E6810" i="7"/>
  <c r="L6809" i="7"/>
  <c r="E6809" i="7"/>
  <c r="E6808" i="7"/>
  <c r="L6807" i="7"/>
  <c r="E6807" i="7"/>
  <c r="E6806" i="7"/>
  <c r="L6805" i="7"/>
  <c r="E6805" i="7"/>
  <c r="E6804" i="7"/>
  <c r="L6803" i="7"/>
  <c r="E6803" i="7"/>
  <c r="E6802" i="7"/>
  <c r="L6801" i="7"/>
  <c r="E6801" i="7"/>
  <c r="E6800" i="7"/>
  <c r="E6799" i="7"/>
  <c r="E6798" i="7"/>
  <c r="L6797" i="7"/>
  <c r="E6797" i="7"/>
  <c r="E6796" i="7"/>
  <c r="L6795" i="7"/>
  <c r="E6795" i="7"/>
  <c r="E6794" i="7"/>
  <c r="E6793" i="7"/>
  <c r="E6792" i="7"/>
  <c r="E6731" i="7"/>
  <c r="E6730" i="7"/>
  <c r="E6776" i="7"/>
  <c r="E6775" i="7"/>
  <c r="E6771" i="7" l="1"/>
  <c r="E6770" i="7"/>
  <c r="E6781" i="7" l="1"/>
  <c r="E6780" i="7"/>
  <c r="E6766" i="7"/>
  <c r="E6765" i="7"/>
  <c r="E6779" i="7" l="1"/>
  <c r="E6778" i="7"/>
  <c r="E6777" i="7"/>
  <c r="E6774" i="7"/>
  <c r="E6773" i="7"/>
  <c r="E6772" i="7"/>
  <c r="E6769" i="7"/>
  <c r="E6768" i="7"/>
  <c r="E6767" i="7"/>
  <c r="E6764" i="7"/>
  <c r="E6763" i="7"/>
  <c r="E6762" i="7"/>
  <c r="E6761" i="7"/>
  <c r="E6760" i="7"/>
  <c r="E6759" i="7"/>
  <c r="E6758" i="7"/>
  <c r="E6757" i="7"/>
  <c r="E6756" i="7"/>
  <c r="E6729" i="7" l="1"/>
  <c r="E6728" i="7"/>
  <c r="E6727" i="7"/>
  <c r="E6716" i="7" l="1"/>
  <c r="E6714" i="7"/>
  <c r="M6683" i="7" l="1"/>
  <c r="K6754" i="7"/>
  <c r="K6752" i="7"/>
  <c r="L461" i="58"/>
  <c r="L460" i="58"/>
  <c r="L459" i="58"/>
  <c r="L458" i="58"/>
  <c r="L457" i="58"/>
  <c r="L456" i="58"/>
  <c r="L455" i="58"/>
  <c r="L454" i="58"/>
  <c r="L453" i="58"/>
  <c r="L452" i="58"/>
  <c r="L451" i="58"/>
  <c r="H451" i="58"/>
  <c r="F464" i="58"/>
  <c r="H461" i="58"/>
  <c r="H460" i="58"/>
  <c r="H459" i="58"/>
  <c r="H458" i="58"/>
  <c r="H457" i="58"/>
  <c r="H456" i="58"/>
  <c r="H455" i="58"/>
  <c r="H454" i="58"/>
  <c r="H453" i="58"/>
  <c r="H452" i="58"/>
  <c r="J460" i="58"/>
  <c r="J459" i="58"/>
  <c r="J458" i="58"/>
  <c r="J457" i="58"/>
  <c r="J456" i="58"/>
  <c r="J455" i="58"/>
  <c r="J454" i="58"/>
  <c r="J453" i="58"/>
  <c r="J452" i="58"/>
  <c r="J451" i="58"/>
  <c r="B452" i="58"/>
  <c r="B453" i="58" s="1"/>
  <c r="B454" i="58" s="1"/>
  <c r="B455" i="58" s="1"/>
  <c r="B456" i="58" s="1"/>
  <c r="B457" i="58" s="1"/>
  <c r="B458" i="58" s="1"/>
  <c r="B459" i="58" s="1"/>
  <c r="B460" i="58" s="1"/>
  <c r="B461" i="58" s="1"/>
  <c r="D451" i="58"/>
  <c r="D452" i="58"/>
  <c r="D453" i="58"/>
  <c r="D454" i="58"/>
  <c r="D455" i="58"/>
  <c r="D456" i="58"/>
  <c r="D457" i="58"/>
  <c r="D458" i="58"/>
  <c r="D459" i="58"/>
  <c r="D460" i="58"/>
  <c r="D461" i="58"/>
  <c r="J461" i="58"/>
  <c r="L6676" i="7" l="1"/>
  <c r="L6674" i="7"/>
  <c r="L6672" i="7"/>
  <c r="L6670" i="7"/>
  <c r="L6668" i="7"/>
  <c r="L6666" i="7"/>
  <c r="L6755" i="7"/>
  <c r="E6755" i="7"/>
  <c r="E6754" i="7"/>
  <c r="L6753" i="7"/>
  <c r="E6753" i="7"/>
  <c r="E6752" i="7"/>
  <c r="E6751" i="7"/>
  <c r="E6750" i="7"/>
  <c r="L6749" i="7"/>
  <c r="E6749" i="7"/>
  <c r="E6748" i="7"/>
  <c r="L6747" i="7"/>
  <c r="E6747" i="7"/>
  <c r="E6746" i="7"/>
  <c r="L6745" i="7"/>
  <c r="E6745" i="7"/>
  <c r="E6744" i="7"/>
  <c r="L6743" i="7"/>
  <c r="E6743" i="7"/>
  <c r="E6742" i="7"/>
  <c r="L6741" i="7"/>
  <c r="E6741" i="7"/>
  <c r="E6740" i="7"/>
  <c r="E6739" i="7"/>
  <c r="E6738" i="7"/>
  <c r="L6737" i="7"/>
  <c r="E6737" i="7"/>
  <c r="E6736" i="7"/>
  <c r="L6735" i="7"/>
  <c r="E6735" i="7"/>
  <c r="E6734" i="7"/>
  <c r="E6733" i="7"/>
  <c r="E6732" i="7"/>
  <c r="E6726" i="7"/>
  <c r="E6725" i="7"/>
  <c r="E6724" i="7"/>
  <c r="E6723" i="7"/>
  <c r="E6722" i="7"/>
  <c r="E6721" i="7"/>
  <c r="E6720" i="7"/>
  <c r="E6719" i="7"/>
  <c r="E6710" i="7"/>
  <c r="E6709" i="7"/>
  <c r="E6708" i="7"/>
  <c r="E6707" i="7"/>
  <c r="E6706" i="7"/>
  <c r="E6705" i="7"/>
  <c r="E6713" i="7"/>
  <c r="E6712" i="7"/>
  <c r="E6711" i="7"/>
  <c r="E6701" i="7"/>
  <c r="E6700" i="7"/>
  <c r="E6699" i="7"/>
  <c r="E6704" i="7"/>
  <c r="E6703" i="7"/>
  <c r="E6702" i="7"/>
  <c r="E6698" i="7"/>
  <c r="E6697" i="7"/>
  <c r="E6696" i="7"/>
  <c r="L6688" i="7" l="1"/>
  <c r="K6661" i="7"/>
  <c r="K6659" i="7"/>
  <c r="E6718" i="7"/>
  <c r="E6717" i="7"/>
  <c r="E6694" i="7"/>
  <c r="E6692" i="7"/>
  <c r="E6688" i="7"/>
  <c r="E6687" i="7"/>
  <c r="E6686" i="7"/>
  <c r="E6685" i="7"/>
  <c r="E6684" i="7"/>
  <c r="E6683" i="7"/>
  <c r="L6682" i="7"/>
  <c r="E6682" i="7"/>
  <c r="E6681" i="7"/>
  <c r="L6680" i="7"/>
  <c r="E6680" i="7"/>
  <c r="E6679" i="7"/>
  <c r="L6678" i="7"/>
  <c r="E6678" i="7"/>
  <c r="E6677" i="7"/>
  <c r="E6676" i="7"/>
  <c r="E6675" i="7"/>
  <c r="E6674" i="7"/>
  <c r="E6673" i="7"/>
  <c r="E6672" i="7"/>
  <c r="E6671" i="7"/>
  <c r="E6670" i="7"/>
  <c r="E6669" i="7"/>
  <c r="E6668" i="7"/>
  <c r="E6667" i="7"/>
  <c r="E6666" i="7"/>
  <c r="E6665" i="7"/>
  <c r="E6664" i="7"/>
  <c r="E6663" i="7"/>
  <c r="E6632" i="7" l="1"/>
  <c r="L6632" i="7"/>
  <c r="E6631" i="7"/>
  <c r="E6630" i="7"/>
  <c r="E6629" i="7"/>
  <c r="E6628" i="7"/>
  <c r="K6554" i="7"/>
  <c r="L6555" i="7" s="1"/>
  <c r="E6555" i="7"/>
  <c r="E6554" i="7"/>
  <c r="E6625" i="7"/>
  <c r="L6625" i="7"/>
  <c r="E6624" i="7"/>
  <c r="E6637" i="7"/>
  <c r="L6637" i="7"/>
  <c r="E6636" i="7"/>
  <c r="E6635" i="7"/>
  <c r="E6634" i="7"/>
  <c r="E6633" i="7"/>
  <c r="K6626" i="7"/>
  <c r="L6627" i="7" s="1"/>
  <c r="E6627" i="7"/>
  <c r="E6626" i="7"/>
  <c r="E6623" i="7"/>
  <c r="E6622" i="7"/>
  <c r="E6621" i="7"/>
  <c r="E6620" i="7"/>
  <c r="E6619" i="7"/>
  <c r="E6618" i="7"/>
  <c r="L6658" i="7"/>
  <c r="L6648" i="7" l="1"/>
  <c r="L6646" i="7"/>
  <c r="L6644" i="7"/>
  <c r="L6642" i="7"/>
  <c r="E6662" i="7"/>
  <c r="L6662" i="7"/>
  <c r="E6661" i="7"/>
  <c r="E6660" i="7"/>
  <c r="L6660" i="7"/>
  <c r="E6659" i="7"/>
  <c r="E6658" i="7"/>
  <c r="E6657" i="7"/>
  <c r="L6656" i="7"/>
  <c r="E6656" i="7"/>
  <c r="E6655" i="7"/>
  <c r="L6654" i="7"/>
  <c r="E6654" i="7"/>
  <c r="E6653" i="7"/>
  <c r="L6652" i="7"/>
  <c r="E6652" i="7"/>
  <c r="E6651" i="7"/>
  <c r="L6650" i="7"/>
  <c r="E6650" i="7"/>
  <c r="E6649" i="7"/>
  <c r="E6648" i="7"/>
  <c r="E6647" i="7"/>
  <c r="E6646" i="7"/>
  <c r="E6645" i="7"/>
  <c r="E6644" i="7"/>
  <c r="E6643" i="7"/>
  <c r="E6642" i="7"/>
  <c r="E6641" i="7"/>
  <c r="E6640" i="7"/>
  <c r="E6639" i="7"/>
  <c r="E6638" i="7"/>
  <c r="E6611" i="7"/>
  <c r="E6610" i="7"/>
  <c r="E6553" i="7"/>
  <c r="E6552" i="7"/>
  <c r="E6609" i="7"/>
  <c r="E6608" i="7"/>
  <c r="E6617" i="7"/>
  <c r="E6616" i="7"/>
  <c r="E6615" i="7"/>
  <c r="E6583" i="7"/>
  <c r="E6582" i="7"/>
  <c r="E6521" i="7"/>
  <c r="E6520" i="7"/>
  <c r="E6596" i="7"/>
  <c r="E6595" i="7"/>
  <c r="E6593" i="7"/>
  <c r="E6613" i="7" l="1"/>
  <c r="E6614" i="7"/>
  <c r="E6612" i="7"/>
  <c r="E6607" i="7"/>
  <c r="E6606" i="7"/>
  <c r="E6581" i="7" l="1"/>
  <c r="E6580" i="7"/>
  <c r="E6605" i="7"/>
  <c r="E6604" i="7"/>
  <c r="E6603" i="7"/>
  <c r="E6602" i="7"/>
  <c r="E6601" i="7"/>
  <c r="E6600" i="7"/>
  <c r="E6599" i="7"/>
  <c r="E6598" i="7"/>
  <c r="E6597" i="7"/>
  <c r="E6592" i="7"/>
  <c r="E6591" i="7"/>
  <c r="E6590" i="7"/>
  <c r="E6589" i="7"/>
  <c r="E6588" i="7"/>
  <c r="E6587" i="7"/>
  <c r="E6586" i="7"/>
  <c r="E6585" i="7"/>
  <c r="E6584" i="7"/>
  <c r="E6551" i="7"/>
  <c r="E6550" i="7"/>
  <c r="E6549" i="7"/>
  <c r="F470" i="58" l="1"/>
  <c r="F469" i="58"/>
  <c r="F468" i="58"/>
  <c r="F467" i="58"/>
  <c r="F466" i="58"/>
  <c r="F465" i="58"/>
  <c r="E6526" i="7"/>
  <c r="E6525" i="7"/>
  <c r="E6519" i="7"/>
  <c r="E6518" i="7"/>
  <c r="E6538" i="7"/>
  <c r="E6537" i="7"/>
  <c r="E6536" i="7"/>
  <c r="L470" i="58"/>
  <c r="J470" i="58"/>
  <c r="H470" i="58"/>
  <c r="L469" i="58"/>
  <c r="J469" i="58"/>
  <c r="H469" i="58"/>
  <c r="L468" i="58"/>
  <c r="J468" i="58"/>
  <c r="H468" i="58"/>
  <c r="L467" i="58"/>
  <c r="J467" i="58"/>
  <c r="H467" i="58"/>
  <c r="L466" i="58"/>
  <c r="J466" i="58"/>
  <c r="H466" i="58"/>
  <c r="L465" i="58"/>
  <c r="J465" i="58"/>
  <c r="H465" i="58"/>
  <c r="L464" i="58"/>
  <c r="J464" i="58"/>
  <c r="H464" i="58"/>
  <c r="B465" i="58"/>
  <c r="B466" i="58" s="1"/>
  <c r="B467" i="58" s="1"/>
  <c r="B468" i="58" s="1"/>
  <c r="B469" i="58" s="1"/>
  <c r="B470" i="58" s="1"/>
  <c r="D464" i="58"/>
  <c r="D465" i="58"/>
  <c r="D466" i="58"/>
  <c r="D467" i="58"/>
  <c r="D468" i="58"/>
  <c r="D469" i="58"/>
  <c r="D470" i="58"/>
  <c r="E6579" i="7" l="1"/>
  <c r="K6578" i="7"/>
  <c r="L6579" i="7" s="1"/>
  <c r="E6578" i="7"/>
  <c r="E6577" i="7"/>
  <c r="K6576" i="7"/>
  <c r="L6577" i="7" s="1"/>
  <c r="E6576" i="7"/>
  <c r="E6575" i="7"/>
  <c r="E6574" i="7"/>
  <c r="L6573" i="7"/>
  <c r="E6573" i="7"/>
  <c r="E6572" i="7"/>
  <c r="L6571" i="7"/>
  <c r="E6571" i="7"/>
  <c r="E6570" i="7"/>
  <c r="L6569" i="7"/>
  <c r="E6569" i="7"/>
  <c r="E6568" i="7"/>
  <c r="L6567" i="7"/>
  <c r="E6567" i="7"/>
  <c r="E6566" i="7"/>
  <c r="L6565" i="7"/>
  <c r="E6565" i="7"/>
  <c r="E6564" i="7"/>
  <c r="E6563" i="7"/>
  <c r="E6562" i="7"/>
  <c r="L6561" i="7"/>
  <c r="E6561" i="7"/>
  <c r="E6560" i="7"/>
  <c r="L6559" i="7"/>
  <c r="E6559" i="7"/>
  <c r="E6558" i="7"/>
  <c r="E6557" i="7"/>
  <c r="E6556" i="7"/>
  <c r="E6524" i="7"/>
  <c r="E6523" i="7"/>
  <c r="E6522" i="7"/>
  <c r="E6516" i="7"/>
  <c r="E6548" i="7" l="1"/>
  <c r="E6547" i="7"/>
  <c r="E6546" i="7"/>
  <c r="E6545" i="7"/>
  <c r="E6544" i="7"/>
  <c r="E6543" i="7"/>
  <c r="E6542" i="7"/>
  <c r="E6541" i="7"/>
  <c r="E6540" i="7"/>
  <c r="E6535" i="7"/>
  <c r="E6534" i="7"/>
  <c r="E6533" i="7"/>
  <c r="E6532" i="7"/>
  <c r="E6531" i="7"/>
  <c r="E6530" i="7"/>
  <c r="E6529" i="7"/>
  <c r="E6528" i="7"/>
  <c r="E6527" i="7"/>
  <c r="E6515" i="7"/>
  <c r="E6514" i="7"/>
  <c r="E6513" i="7"/>
  <c r="E6512" i="7"/>
  <c r="E6511" i="7"/>
  <c r="E6510" i="7"/>
  <c r="E6509" i="7"/>
  <c r="E6508" i="7"/>
  <c r="E6507" i="7"/>
  <c r="E6450" i="7"/>
  <c r="L6492" i="7"/>
  <c r="E6482" i="7"/>
  <c r="E6481" i="7"/>
  <c r="E6480" i="7"/>
  <c r="E6506" i="7"/>
  <c r="K6505" i="7"/>
  <c r="L6506" i="7" s="1"/>
  <c r="E6505" i="7"/>
  <c r="E6504" i="7"/>
  <c r="K6503" i="7"/>
  <c r="L6504" i="7" s="1"/>
  <c r="E6503" i="7"/>
  <c r="E6502" i="7"/>
  <c r="E6501" i="7"/>
  <c r="L6500" i="7"/>
  <c r="E6500" i="7"/>
  <c r="E6499" i="7"/>
  <c r="L6498" i="7"/>
  <c r="E6498" i="7"/>
  <c r="E6497" i="7"/>
  <c r="L6496" i="7"/>
  <c r="E6496" i="7"/>
  <c r="E6495" i="7"/>
  <c r="L6494" i="7"/>
  <c r="E6494" i="7"/>
  <c r="E6493" i="7"/>
  <c r="E6492" i="7"/>
  <c r="E6491" i="7"/>
  <c r="E6490" i="7"/>
  <c r="E6489" i="7"/>
  <c r="L6488" i="7"/>
  <c r="E6488" i="7"/>
  <c r="E6487" i="7"/>
  <c r="L6486" i="7"/>
  <c r="E6486" i="7"/>
  <c r="E6485" i="7"/>
  <c r="E6484" i="7"/>
  <c r="E6483" i="7"/>
  <c r="E6473" i="7"/>
  <c r="E6472" i="7"/>
  <c r="E6471" i="7"/>
  <c r="E6470" i="7"/>
  <c r="N6469" i="7"/>
  <c r="E6469" i="7"/>
  <c r="E6439" i="7"/>
  <c r="E6437" i="7"/>
  <c r="E6468" i="7" l="1"/>
  <c r="E6467" i="7"/>
  <c r="E6466" i="7"/>
  <c r="E6465" i="7"/>
  <c r="E6464" i="7"/>
  <c r="E6463" i="7"/>
  <c r="E6462" i="7"/>
  <c r="E6461" i="7"/>
  <c r="E6460" i="7"/>
  <c r="E6459" i="7"/>
  <c r="E6458" i="7"/>
  <c r="E6457" i="7"/>
  <c r="E6456" i="7"/>
  <c r="E6455" i="7"/>
  <c r="E6454" i="7"/>
  <c r="E6453" i="7"/>
  <c r="E6452" i="7"/>
  <c r="E6451" i="7"/>
  <c r="F477" i="58"/>
  <c r="F476" i="58"/>
  <c r="F475" i="58"/>
  <c r="F474" i="58"/>
  <c r="F473" i="58"/>
  <c r="F472" i="58"/>
  <c r="F471" i="58"/>
  <c r="L477" i="58"/>
  <c r="J477" i="58"/>
  <c r="H477" i="58"/>
  <c r="L476" i="58"/>
  <c r="J476" i="58"/>
  <c r="H476" i="58"/>
  <c r="L475" i="58"/>
  <c r="J475" i="58"/>
  <c r="H475" i="58"/>
  <c r="L474" i="58"/>
  <c r="J474" i="58"/>
  <c r="H474" i="58"/>
  <c r="L473" i="58"/>
  <c r="J473" i="58"/>
  <c r="H473" i="58"/>
  <c r="L472" i="58"/>
  <c r="J472" i="58"/>
  <c r="H472" i="58"/>
  <c r="L471" i="58"/>
  <c r="J471" i="58"/>
  <c r="H471" i="58"/>
  <c r="B472" i="58"/>
  <c r="B473" i="58" s="1"/>
  <c r="B474" i="58" s="1"/>
  <c r="B475" i="58" s="1"/>
  <c r="B476" i="58" s="1"/>
  <c r="B477" i="58" s="1"/>
  <c r="D471" i="58"/>
  <c r="D472" i="58"/>
  <c r="D473" i="58"/>
  <c r="D474" i="58"/>
  <c r="D475" i="58"/>
  <c r="D476" i="58"/>
  <c r="D477" i="58"/>
  <c r="E6479" i="7"/>
  <c r="E6478" i="7"/>
  <c r="E6477" i="7"/>
  <c r="E6476" i="7"/>
  <c r="E6475" i="7"/>
  <c r="E6474" i="7"/>
  <c r="E6446" i="7"/>
  <c r="E6445" i="7"/>
  <c r="E6444" i="7"/>
  <c r="E6443" i="7"/>
  <c r="E6442" i="7"/>
  <c r="E6441" i="7"/>
  <c r="E6449" i="7" l="1"/>
  <c r="E6448" i="7"/>
  <c r="E6447" i="7"/>
  <c r="F484" i="58"/>
  <c r="F483" i="58"/>
  <c r="F482" i="58"/>
  <c r="F481" i="58"/>
  <c r="F480" i="58"/>
  <c r="F479" i="58"/>
  <c r="F478" i="58"/>
  <c r="D484" i="58"/>
  <c r="H484" i="58"/>
  <c r="J484" i="58"/>
  <c r="L484" i="58"/>
  <c r="L483" i="58"/>
  <c r="J483" i="58"/>
  <c r="H483" i="58"/>
  <c r="L482" i="58"/>
  <c r="J482" i="58"/>
  <c r="H482" i="58"/>
  <c r="L481" i="58"/>
  <c r="J481" i="58"/>
  <c r="H481" i="58"/>
  <c r="L480" i="58"/>
  <c r="J480" i="58"/>
  <c r="H480" i="58"/>
  <c r="L479" i="58"/>
  <c r="J479" i="58"/>
  <c r="H479" i="58"/>
  <c r="L478" i="58"/>
  <c r="J478" i="58"/>
  <c r="H478" i="58"/>
  <c r="B479" i="58"/>
  <c r="B480" i="58" s="1"/>
  <c r="B481" i="58" s="1"/>
  <c r="B482" i="58" s="1"/>
  <c r="B483" i="58" s="1"/>
  <c r="B484" i="58" s="1"/>
  <c r="D478" i="58"/>
  <c r="D479" i="58"/>
  <c r="D480" i="58"/>
  <c r="D481" i="58"/>
  <c r="D482" i="58"/>
  <c r="D483" i="58"/>
  <c r="E6436" i="7"/>
  <c r="K6435" i="7"/>
  <c r="L6436" i="7" s="1"/>
  <c r="E6435" i="7"/>
  <c r="E6434" i="7"/>
  <c r="K6433" i="7"/>
  <c r="L6434" i="7" s="1"/>
  <c r="E6433" i="7"/>
  <c r="E6432" i="7"/>
  <c r="E6431" i="7"/>
  <c r="L6430" i="7"/>
  <c r="E6430" i="7"/>
  <c r="E6429" i="7"/>
  <c r="L6428" i="7"/>
  <c r="E6428" i="7"/>
  <c r="E6427" i="7"/>
  <c r="L6426" i="7"/>
  <c r="E6426" i="7"/>
  <c r="E6425" i="7"/>
  <c r="L6424" i="7"/>
  <c r="E6424" i="7"/>
  <c r="E6423" i="7"/>
  <c r="E6422" i="7"/>
  <c r="E6421" i="7"/>
  <c r="E6420" i="7"/>
  <c r="E6419" i="7"/>
  <c r="L6418" i="7"/>
  <c r="E6418" i="7"/>
  <c r="E6417" i="7"/>
  <c r="L6416" i="7"/>
  <c r="E6416" i="7"/>
  <c r="E6415" i="7"/>
  <c r="E6414" i="7"/>
  <c r="E6413" i="7"/>
  <c r="E6407" i="7"/>
  <c r="E6406" i="7"/>
  <c r="E6405" i="7"/>
  <c r="E6404" i="7" l="1"/>
  <c r="E6403" i="7"/>
  <c r="E6402" i="7"/>
  <c r="E6412" i="7"/>
  <c r="E6411" i="7"/>
  <c r="E6410" i="7"/>
  <c r="E6409" i="7"/>
  <c r="E6408" i="7"/>
  <c r="E6401" i="7"/>
  <c r="E6400" i="7"/>
  <c r="E6399" i="7"/>
  <c r="E6398" i="7"/>
  <c r="E6397" i="7"/>
  <c r="E6396" i="7"/>
  <c r="E6395" i="7" l="1"/>
  <c r="E6394" i="7"/>
  <c r="E6393" i="7"/>
  <c r="E6362" i="7"/>
  <c r="E6361" i="7"/>
  <c r="E6360" i="7"/>
  <c r="E6359" i="7"/>
  <c r="E6358" i="7"/>
  <c r="E6357" i="7"/>
  <c r="E6356" i="7"/>
  <c r="E6355" i="7"/>
  <c r="E6354" i="7"/>
  <c r="E6353" i="7"/>
  <c r="E6352" i="7"/>
  <c r="E6351" i="7"/>
  <c r="E6350" i="7"/>
  <c r="E6349" i="7"/>
  <c r="E6348" i="7" l="1"/>
  <c r="E6347" i="7"/>
  <c r="E6346" i="7"/>
  <c r="E6392" i="7"/>
  <c r="E6391" i="7"/>
  <c r="E6390" i="7"/>
  <c r="E6389" i="7"/>
  <c r="E6388" i="7"/>
  <c r="E6387" i="7"/>
  <c r="F491" i="58" l="1"/>
  <c r="F490" i="58"/>
  <c r="F489" i="58"/>
  <c r="F488" i="58"/>
  <c r="F487" i="58"/>
  <c r="F486" i="58"/>
  <c r="F485" i="58"/>
  <c r="L491" i="58"/>
  <c r="J491" i="58"/>
  <c r="H491" i="58"/>
  <c r="L490" i="58"/>
  <c r="J490" i="58"/>
  <c r="H490" i="58"/>
  <c r="L489" i="58"/>
  <c r="J489" i="58"/>
  <c r="H489" i="58"/>
  <c r="L488" i="58"/>
  <c r="J488" i="58"/>
  <c r="H488" i="58"/>
  <c r="L487" i="58"/>
  <c r="J487" i="58"/>
  <c r="H487" i="58"/>
  <c r="L486" i="58"/>
  <c r="J486" i="58"/>
  <c r="H486" i="58"/>
  <c r="L485" i="58"/>
  <c r="J485" i="58"/>
  <c r="H485" i="58"/>
  <c r="B486" i="58"/>
  <c r="B487" i="58" s="1"/>
  <c r="B488" i="58" s="1"/>
  <c r="B489" i="58" s="1"/>
  <c r="B490" i="58" s="1"/>
  <c r="B491" i="58" s="1"/>
  <c r="D485" i="58"/>
  <c r="D486" i="58"/>
  <c r="D487" i="58"/>
  <c r="D488" i="58"/>
  <c r="D489" i="58"/>
  <c r="D490" i="58"/>
  <c r="D491" i="58"/>
  <c r="E6345" i="7"/>
  <c r="E6344" i="7"/>
  <c r="E6343" i="7"/>
  <c r="E6342" i="7"/>
  <c r="E6341" i="7"/>
  <c r="E6340" i="7"/>
  <c r="E6386" i="7" l="1"/>
  <c r="K6385" i="7"/>
  <c r="L6386" i="7" s="1"/>
  <c r="E6385" i="7"/>
  <c r="E6384" i="7"/>
  <c r="K6383" i="7"/>
  <c r="L6384" i="7" s="1"/>
  <c r="E6383" i="7"/>
  <c r="E6382" i="7"/>
  <c r="E6381" i="7"/>
  <c r="L6380" i="7"/>
  <c r="E6380" i="7"/>
  <c r="E6379" i="7"/>
  <c r="L6378" i="7"/>
  <c r="E6378" i="7"/>
  <c r="E6377" i="7"/>
  <c r="L6376" i="7"/>
  <c r="E6376" i="7"/>
  <c r="E6375" i="7"/>
  <c r="L6374" i="7"/>
  <c r="E6374" i="7"/>
  <c r="E6373" i="7"/>
  <c r="E6372" i="7"/>
  <c r="E6371" i="7"/>
  <c r="E6370" i="7"/>
  <c r="E6369" i="7"/>
  <c r="L6368" i="7"/>
  <c r="E6368" i="7"/>
  <c r="E6367" i="7"/>
  <c r="L6366" i="7"/>
  <c r="E6366" i="7"/>
  <c r="E6365" i="7"/>
  <c r="E6364" i="7"/>
  <c r="E6363" i="7"/>
  <c r="E6339" i="7"/>
  <c r="E6338" i="7"/>
  <c r="E6309" i="7" l="1"/>
  <c r="E6308" i="7"/>
  <c r="E6307" i="7"/>
  <c r="E6303" i="7"/>
  <c r="E6302" i="7"/>
  <c r="E6301" i="7"/>
  <c r="E6323" i="7" l="1"/>
  <c r="E6322" i="7"/>
  <c r="E6337" i="7"/>
  <c r="E6336" i="7"/>
  <c r="E6335" i="7"/>
  <c r="E6334" i="7"/>
  <c r="E6333" i="7"/>
  <c r="E6332" i="7"/>
  <c r="E6331" i="7"/>
  <c r="E6330" i="7"/>
  <c r="E6329" i="7"/>
  <c r="E6328" i="7"/>
  <c r="E6327" i="7"/>
  <c r="E6326" i="7"/>
  <c r="E6325" i="7"/>
  <c r="E6324" i="7"/>
  <c r="E6306" i="7" l="1"/>
  <c r="E6305" i="7"/>
  <c r="E6304" i="7"/>
  <c r="E6321" i="7" l="1"/>
  <c r="E6320" i="7"/>
  <c r="E6319" i="7"/>
  <c r="E6318" i="7"/>
  <c r="E6317" i="7"/>
  <c r="E6316" i="7"/>
  <c r="E6315" i="7"/>
  <c r="E6314" i="7"/>
  <c r="E6313" i="7"/>
  <c r="E6312" i="7"/>
  <c r="E6311" i="7"/>
  <c r="E6310" i="7"/>
  <c r="E6300" i="7"/>
  <c r="E6299" i="7"/>
  <c r="E6298" i="7"/>
  <c r="E6273" i="7"/>
  <c r="E6272" i="7"/>
  <c r="E6271" i="7"/>
  <c r="E6270" i="7"/>
  <c r="E6269" i="7"/>
  <c r="E6268" i="7"/>
  <c r="E6267" i="7"/>
  <c r="E6266" i="7"/>
  <c r="E6265" i="7"/>
  <c r="J498" i="58" l="1"/>
  <c r="H498" i="58"/>
  <c r="J497" i="58"/>
  <c r="H497" i="58"/>
  <c r="J496" i="58"/>
  <c r="H496" i="58"/>
  <c r="J495" i="58"/>
  <c r="H495" i="58"/>
  <c r="J494" i="58"/>
  <c r="H494" i="58"/>
  <c r="J493" i="58"/>
  <c r="H493" i="58"/>
  <c r="J492" i="58"/>
  <c r="H492" i="58"/>
  <c r="F498" i="58"/>
  <c r="F497" i="58"/>
  <c r="F496" i="58"/>
  <c r="F495" i="58"/>
  <c r="F494" i="58"/>
  <c r="F493" i="58"/>
  <c r="F492" i="58"/>
  <c r="L498" i="58"/>
  <c r="L497" i="58"/>
  <c r="L496" i="58"/>
  <c r="L495" i="58"/>
  <c r="L494" i="58"/>
  <c r="L493" i="58"/>
  <c r="L492" i="58"/>
  <c r="B493" i="58"/>
  <c r="B494" i="58" s="1"/>
  <c r="B495" i="58" s="1"/>
  <c r="B496" i="58" s="1"/>
  <c r="B497" i="58" s="1"/>
  <c r="B498" i="58" s="1"/>
  <c r="D492" i="58"/>
  <c r="D493" i="58"/>
  <c r="D494" i="58"/>
  <c r="D495" i="58"/>
  <c r="D496" i="58"/>
  <c r="D497" i="58"/>
  <c r="D498" i="58"/>
  <c r="E6297" i="7"/>
  <c r="K6296" i="7"/>
  <c r="L6297" i="7" s="1"/>
  <c r="E6296" i="7"/>
  <c r="E6295" i="7"/>
  <c r="K6294" i="7"/>
  <c r="L6295" i="7" s="1"/>
  <c r="E6294" i="7"/>
  <c r="E6293" i="7"/>
  <c r="E6292" i="7"/>
  <c r="L6291" i="7"/>
  <c r="E6291" i="7"/>
  <c r="E6290" i="7"/>
  <c r="L6289" i="7"/>
  <c r="E6289" i="7"/>
  <c r="E6288" i="7"/>
  <c r="L6287" i="7"/>
  <c r="E6287" i="7"/>
  <c r="E6286" i="7"/>
  <c r="L6285" i="7"/>
  <c r="E6285" i="7"/>
  <c r="E6284" i="7"/>
  <c r="E6283" i="7"/>
  <c r="E6282" i="7"/>
  <c r="E6281" i="7"/>
  <c r="E6280" i="7"/>
  <c r="L6279" i="7"/>
  <c r="E6279" i="7"/>
  <c r="E6278" i="7"/>
  <c r="L6277" i="7"/>
  <c r="E6277" i="7"/>
  <c r="E6276" i="7"/>
  <c r="E6275" i="7"/>
  <c r="E6274" i="7"/>
  <c r="E6264" i="7"/>
  <c r="E6263" i="7"/>
  <c r="E6262" i="7"/>
  <c r="E6261" i="7"/>
  <c r="E6257" i="7"/>
  <c r="E6256" i="7"/>
  <c r="E6255" i="7"/>
  <c r="E6254" i="7"/>
  <c r="E6247" i="7" l="1"/>
  <c r="E6246" i="7"/>
  <c r="E6245" i="7"/>
  <c r="E6244" i="7"/>
  <c r="E6260" i="7"/>
  <c r="E6259" i="7"/>
  <c r="E6258" i="7"/>
  <c r="E6253" i="7"/>
  <c r="E6252" i="7"/>
  <c r="E6251" i="7"/>
  <c r="E6240" i="7"/>
  <c r="E6239" i="7"/>
  <c r="E6238" i="7"/>
  <c r="E6243" i="7"/>
  <c r="E6242" i="7"/>
  <c r="E6241" i="7"/>
  <c r="E6237" i="7"/>
  <c r="E6236" i="7"/>
  <c r="E6235" i="7"/>
  <c r="E6250" i="7"/>
  <c r="E6249" i="7"/>
  <c r="E6248" i="7"/>
  <c r="F505" i="58" l="1"/>
  <c r="F504" i="58"/>
  <c r="F503" i="58"/>
  <c r="F502" i="58"/>
  <c r="F501" i="58"/>
  <c r="F500" i="58"/>
  <c r="F499" i="58"/>
  <c r="L505" i="58"/>
  <c r="J505" i="58"/>
  <c r="H505" i="58"/>
  <c r="D505" i="58"/>
  <c r="H504" i="58"/>
  <c r="H503" i="58"/>
  <c r="H502" i="58"/>
  <c r="H501" i="58"/>
  <c r="H500" i="58"/>
  <c r="H499" i="58"/>
  <c r="L504" i="58"/>
  <c r="J504" i="58"/>
  <c r="L503" i="58"/>
  <c r="J503" i="58"/>
  <c r="L502" i="58"/>
  <c r="J502" i="58"/>
  <c r="L501" i="58"/>
  <c r="J501" i="58"/>
  <c r="L500" i="58"/>
  <c r="J500" i="58"/>
  <c r="L499" i="58"/>
  <c r="J499" i="58"/>
  <c r="B500" i="58"/>
  <c r="B501" i="58" s="1"/>
  <c r="B502" i="58" s="1"/>
  <c r="B503" i="58" s="1"/>
  <c r="B504" i="58" s="1"/>
  <c r="B505" i="58" s="1"/>
  <c r="D499" i="58"/>
  <c r="D500" i="58"/>
  <c r="D501" i="58"/>
  <c r="D502" i="58"/>
  <c r="D503" i="58"/>
  <c r="D504" i="58"/>
  <c r="E6234" i="7"/>
  <c r="K6233" i="7"/>
  <c r="L6234" i="7" s="1"/>
  <c r="E6233" i="7"/>
  <c r="E6232" i="7"/>
  <c r="K6231" i="7"/>
  <c r="L6232" i="7" s="1"/>
  <c r="E6231" i="7"/>
  <c r="E6230" i="7"/>
  <c r="E6229" i="7"/>
  <c r="L6228" i="7"/>
  <c r="E6228" i="7"/>
  <c r="E6227" i="7"/>
  <c r="L6226" i="7"/>
  <c r="E6226" i="7"/>
  <c r="E6225" i="7"/>
  <c r="L6224" i="7"/>
  <c r="E6224" i="7"/>
  <c r="E6223" i="7"/>
  <c r="L6222" i="7"/>
  <c r="E6222" i="7"/>
  <c r="E6221" i="7"/>
  <c r="E6220" i="7"/>
  <c r="E6219" i="7"/>
  <c r="E6218" i="7"/>
  <c r="E6217" i="7"/>
  <c r="L6216" i="7"/>
  <c r="E6216" i="7"/>
  <c r="E6215" i="7"/>
  <c r="L6214" i="7"/>
  <c r="E6214" i="7"/>
  <c r="E6213" i="7"/>
  <c r="E6212" i="7"/>
  <c r="E6211" i="7"/>
  <c r="E6210" i="7"/>
  <c r="E6209" i="7"/>
  <c r="E6208" i="7"/>
  <c r="E6207" i="7"/>
  <c r="E6206" i="7"/>
  <c r="E6205" i="7"/>
  <c r="E6198" i="7" l="1"/>
  <c r="E6197" i="7"/>
  <c r="E6196" i="7"/>
  <c r="E6195" i="7"/>
  <c r="E6193" i="7"/>
  <c r="E6192" i="7"/>
  <c r="E6194" i="7"/>
  <c r="E6191" i="7"/>
  <c r="E6190" i="7"/>
  <c r="E6189" i="7"/>
  <c r="E6188" i="7"/>
  <c r="E6187" i="7"/>
  <c r="E6186" i="7"/>
  <c r="E6185" i="7"/>
  <c r="E6184" i="7"/>
  <c r="E6183" i="7"/>
  <c r="E6182" i="7"/>
  <c r="E6181" i="7"/>
  <c r="E6180" i="7"/>
  <c r="E6179" i="7"/>
  <c r="E6178" i="7"/>
  <c r="E6177" i="7"/>
  <c r="E6176" i="7"/>
  <c r="E6175" i="7" l="1"/>
  <c r="E6174" i="7"/>
  <c r="E6173" i="7"/>
  <c r="E6172" i="7"/>
  <c r="E6171" i="7"/>
  <c r="E6160" i="7"/>
  <c r="E6158" i="7"/>
  <c r="E6201" i="7"/>
  <c r="E6200" i="7"/>
  <c r="E6199" i="7"/>
  <c r="E6170" i="7"/>
  <c r="E6169" i="7"/>
  <c r="E6168" i="7"/>
  <c r="E6167" i="7"/>
  <c r="E6166" i="7"/>
  <c r="E6165" i="7"/>
  <c r="E6164" i="7"/>
  <c r="E6163" i="7"/>
  <c r="E6162" i="7"/>
  <c r="E6157" i="7"/>
  <c r="E6156" i="7"/>
  <c r="E6155" i="7"/>
  <c r="E6204" i="7"/>
  <c r="E6203" i="7"/>
  <c r="E6202" i="7"/>
  <c r="K6151" i="7" l="1"/>
  <c r="E6129" i="7" l="1"/>
  <c r="E6154" i="7" l="1"/>
  <c r="K6153" i="7"/>
  <c r="L6154" i="7" s="1"/>
  <c r="E6153" i="7"/>
  <c r="E6152" i="7"/>
  <c r="L6152" i="7"/>
  <c r="E6151" i="7"/>
  <c r="E6150" i="7"/>
  <c r="E6149" i="7"/>
  <c r="L6148" i="7"/>
  <c r="E6148" i="7"/>
  <c r="E6147" i="7"/>
  <c r="L6146" i="7"/>
  <c r="E6146" i="7"/>
  <c r="E6145" i="7"/>
  <c r="L6144" i="7"/>
  <c r="E6144" i="7"/>
  <c r="E6143" i="7"/>
  <c r="L6142" i="7"/>
  <c r="E6142" i="7"/>
  <c r="E6141" i="7"/>
  <c r="E6140" i="7"/>
  <c r="E6139" i="7"/>
  <c r="E6138" i="7"/>
  <c r="E6137" i="7"/>
  <c r="L6136" i="7"/>
  <c r="E6136" i="7"/>
  <c r="E6135" i="7"/>
  <c r="L6134" i="7"/>
  <c r="E6134" i="7"/>
  <c r="E6133" i="7"/>
  <c r="E6132" i="7"/>
  <c r="E6131" i="7"/>
  <c r="E507" i="58"/>
  <c r="F507" i="58" s="1"/>
  <c r="E506" i="58"/>
  <c r="F506" i="58" s="1"/>
  <c r="E6128" i="7"/>
  <c r="E6127" i="7"/>
  <c r="E508" i="58"/>
  <c r="F508" i="58" s="1"/>
  <c r="F512" i="58"/>
  <c r="F511" i="58"/>
  <c r="F510" i="58"/>
  <c r="F509" i="58"/>
  <c r="H512" i="58"/>
  <c r="H511" i="58"/>
  <c r="H510" i="58"/>
  <c r="H509" i="58"/>
  <c r="H508" i="58"/>
  <c r="H507" i="58"/>
  <c r="H506" i="58"/>
  <c r="L512" i="58"/>
  <c r="J512" i="58"/>
  <c r="L511" i="58"/>
  <c r="J511" i="58"/>
  <c r="L510" i="58"/>
  <c r="J510" i="58"/>
  <c r="L509" i="58"/>
  <c r="J509" i="58"/>
  <c r="L508" i="58"/>
  <c r="J508" i="58"/>
  <c r="L507" i="58"/>
  <c r="J507" i="58"/>
  <c r="L506" i="58"/>
  <c r="J506" i="58"/>
  <c r="B507" i="58"/>
  <c r="B508" i="58" s="1"/>
  <c r="B509" i="58" s="1"/>
  <c r="B510" i="58" s="1"/>
  <c r="B511" i="58" s="1"/>
  <c r="B512" i="58" s="1"/>
  <c r="D506" i="58"/>
  <c r="D507" i="58"/>
  <c r="D508" i="58"/>
  <c r="D509" i="58"/>
  <c r="D510" i="58"/>
  <c r="D511" i="58"/>
  <c r="D512" i="58"/>
  <c r="E6126" i="7"/>
  <c r="E6125" i="7"/>
  <c r="E6124" i="7"/>
  <c r="E6123" i="7"/>
  <c r="E6110" i="7"/>
  <c r="E6109" i="7" l="1"/>
  <c r="E6108" i="7"/>
  <c r="E6107" i="7"/>
  <c r="E6106" i="7"/>
  <c r="E6105" i="7"/>
  <c r="E6102" i="7"/>
  <c r="E6101" i="7"/>
  <c r="E6104" i="7"/>
  <c r="E6103" i="7"/>
  <c r="E6100" i="7"/>
  <c r="E6122" i="7" l="1"/>
  <c r="E6121" i="7"/>
  <c r="E6120" i="7"/>
  <c r="E6119" i="7"/>
  <c r="E6118" i="7"/>
  <c r="E6117" i="7"/>
  <c r="E6116" i="7"/>
  <c r="E6115" i="7"/>
  <c r="E6114" i="7"/>
  <c r="E6113" i="7"/>
  <c r="E6112" i="7"/>
  <c r="E6099" i="7" l="1"/>
  <c r="K6098" i="7"/>
  <c r="L6099" i="7" s="1"/>
  <c r="E6098" i="7"/>
  <c r="E6097" i="7"/>
  <c r="K6096" i="7"/>
  <c r="L6097" i="7" s="1"/>
  <c r="E6096" i="7"/>
  <c r="E6095" i="7"/>
  <c r="E6094" i="7"/>
  <c r="L6093" i="7"/>
  <c r="E6093" i="7"/>
  <c r="E6092" i="7"/>
  <c r="L6091" i="7"/>
  <c r="E6091" i="7"/>
  <c r="E6090" i="7"/>
  <c r="L6089" i="7"/>
  <c r="E6089" i="7"/>
  <c r="E6088" i="7"/>
  <c r="L6087" i="7"/>
  <c r="E6087" i="7"/>
  <c r="E6086" i="7"/>
  <c r="E6085" i="7"/>
  <c r="E6084" i="7"/>
  <c r="E6083" i="7"/>
  <c r="E6082" i="7"/>
  <c r="L6081" i="7"/>
  <c r="E6081" i="7"/>
  <c r="E6080" i="7"/>
  <c r="L6079" i="7"/>
  <c r="E6079" i="7"/>
  <c r="E6078" i="7"/>
  <c r="E6077" i="7"/>
  <c r="E6076" i="7"/>
  <c r="F519" i="58" l="1"/>
  <c r="F518" i="58"/>
  <c r="F517" i="58"/>
  <c r="F516" i="58"/>
  <c r="F515" i="58"/>
  <c r="F514" i="58"/>
  <c r="F513" i="58"/>
  <c r="E6075" i="7"/>
  <c r="E6074" i="7"/>
  <c r="L519" i="58"/>
  <c r="J519" i="58"/>
  <c r="H519" i="58"/>
  <c r="L518" i="58"/>
  <c r="J518" i="58"/>
  <c r="H518" i="58"/>
  <c r="L517" i="58"/>
  <c r="J517" i="58"/>
  <c r="H517" i="58"/>
  <c r="L516" i="58"/>
  <c r="J516" i="58"/>
  <c r="H516" i="58"/>
  <c r="L515" i="58"/>
  <c r="J515" i="58"/>
  <c r="H515" i="58"/>
  <c r="L514" i="58"/>
  <c r="J514" i="58"/>
  <c r="H514" i="58"/>
  <c r="L513" i="58"/>
  <c r="J513" i="58"/>
  <c r="H513" i="58"/>
  <c r="B514" i="58"/>
  <c r="B515" i="58" s="1"/>
  <c r="B516" i="58" s="1"/>
  <c r="B517" i="58" s="1"/>
  <c r="B518" i="58" s="1"/>
  <c r="B519" i="58" s="1"/>
  <c r="D513" i="58"/>
  <c r="D514" i="58"/>
  <c r="D515" i="58"/>
  <c r="D516" i="58"/>
  <c r="D517" i="58"/>
  <c r="D518" i="58"/>
  <c r="D519" i="58"/>
  <c r="E6061" i="7"/>
  <c r="E6060" i="7"/>
  <c r="E6059" i="7"/>
  <c r="E6073" i="7"/>
  <c r="E6072" i="7"/>
  <c r="E6071" i="7"/>
  <c r="E6070" i="7"/>
  <c r="E6069" i="7"/>
  <c r="E6068" i="7"/>
  <c r="E6067" i="7"/>
  <c r="E6066" i="7"/>
  <c r="E6065" i="7"/>
  <c r="E6064" i="7"/>
  <c r="E6063" i="7"/>
  <c r="E6062" i="7"/>
  <c r="E6058" i="7" l="1"/>
  <c r="E6057" i="7"/>
  <c r="E6056" i="7"/>
  <c r="E6021" i="7" l="1"/>
  <c r="E6022" i="7"/>
  <c r="E6023" i="7"/>
  <c r="E6024" i="7"/>
  <c r="E6025" i="7"/>
  <c r="E6026" i="7"/>
  <c r="E6027" i="7"/>
  <c r="E6028" i="7"/>
  <c r="E6029" i="7"/>
  <c r="E6030" i="7"/>
  <c r="E6031" i="7"/>
  <c r="E6032" i="7"/>
  <c r="E6033" i="7"/>
  <c r="E6034" i="7"/>
  <c r="E6035" i="7"/>
  <c r="L6035" i="7"/>
  <c r="E6036" i="7"/>
  <c r="E6055" i="7" l="1"/>
  <c r="K6054" i="7"/>
  <c r="L6055" i="7" s="1"/>
  <c r="E6054" i="7"/>
  <c r="E6053" i="7"/>
  <c r="K6052" i="7"/>
  <c r="L6053" i="7" s="1"/>
  <c r="E6052" i="7"/>
  <c r="E6051" i="7"/>
  <c r="E6050" i="7"/>
  <c r="L6049" i="7"/>
  <c r="E6049" i="7"/>
  <c r="E6048" i="7"/>
  <c r="L6047" i="7"/>
  <c r="E6047" i="7"/>
  <c r="E6046" i="7"/>
  <c r="L6045" i="7"/>
  <c r="E6045" i="7"/>
  <c r="E6044" i="7"/>
  <c r="L6043" i="7"/>
  <c r="E6043" i="7"/>
  <c r="E6042" i="7"/>
  <c r="E6041" i="7"/>
  <c r="E6040" i="7"/>
  <c r="E6039" i="7"/>
  <c r="E6038" i="7"/>
  <c r="L6037" i="7"/>
  <c r="E6037" i="7"/>
  <c r="F526" i="58"/>
  <c r="F525" i="58"/>
  <c r="F524" i="58"/>
  <c r="F523" i="58"/>
  <c r="F522" i="58"/>
  <c r="F521" i="58"/>
  <c r="F520" i="58"/>
  <c r="H526" i="58"/>
  <c r="H525" i="58"/>
  <c r="H524" i="58"/>
  <c r="H523" i="58"/>
  <c r="H522" i="58"/>
  <c r="H521" i="58"/>
  <c r="H520" i="58"/>
  <c r="L526" i="58"/>
  <c r="J526" i="58"/>
  <c r="L525" i="58"/>
  <c r="J525" i="58"/>
  <c r="L524" i="58"/>
  <c r="J524" i="58"/>
  <c r="L523" i="58"/>
  <c r="J523" i="58"/>
  <c r="L522" i="58"/>
  <c r="J522" i="58"/>
  <c r="L521" i="58"/>
  <c r="J521" i="58"/>
  <c r="L520" i="58"/>
  <c r="J520" i="58"/>
  <c r="B521" i="58"/>
  <c r="B522" i="58" s="1"/>
  <c r="B523" i="58" s="1"/>
  <c r="B524" i="58" s="1"/>
  <c r="B525" i="58" s="1"/>
  <c r="B526" i="58" s="1"/>
  <c r="D520" i="58"/>
  <c r="D521" i="58"/>
  <c r="D522" i="58"/>
  <c r="D523" i="58"/>
  <c r="D524" i="58"/>
  <c r="D525" i="58"/>
  <c r="D526" i="58"/>
  <c r="E6019" i="7"/>
  <c r="E6018" i="7"/>
  <c r="E6009" i="7"/>
  <c r="E6008" i="7"/>
  <c r="E6014" i="7"/>
  <c r="E6013" i="7"/>
  <c r="E5964" i="7"/>
  <c r="E5963" i="7"/>
  <c r="E5962" i="7"/>
  <c r="E6012" i="7"/>
  <c r="E6011" i="7"/>
  <c r="E6010" i="7"/>
  <c r="E6020" i="7" l="1"/>
  <c r="E5995" i="7"/>
  <c r="E5994" i="7"/>
  <c r="E5993" i="7"/>
  <c r="E6017" i="7"/>
  <c r="E6016" i="7"/>
  <c r="E6015" i="7"/>
  <c r="E5975" i="7"/>
  <c r="E5974" i="7"/>
  <c r="E5973" i="7"/>
  <c r="E6007" i="7"/>
  <c r="E6006" i="7"/>
  <c r="E6005" i="7"/>
  <c r="E6004" i="7"/>
  <c r="E6003" i="7"/>
  <c r="E6002" i="7"/>
  <c r="E6001" i="7"/>
  <c r="E6000" i="7"/>
  <c r="E5999" i="7"/>
  <c r="E5998" i="7"/>
  <c r="E5997" i="7"/>
  <c r="E5996" i="7"/>
  <c r="E5992" i="7"/>
  <c r="E5991" i="7"/>
  <c r="E5990" i="7"/>
  <c r="E5989" i="7"/>
  <c r="E5988" i="7"/>
  <c r="E5987" i="7"/>
  <c r="E5986" i="7"/>
  <c r="E5985" i="7"/>
  <c r="E5984" i="7"/>
  <c r="E5983" i="7"/>
  <c r="E5982" i="7"/>
  <c r="E5981" i="7"/>
  <c r="E5972" i="7"/>
  <c r="E5971" i="7"/>
  <c r="E5970" i="7" l="1"/>
  <c r="E5969" i="7"/>
  <c r="E5968" i="7"/>
  <c r="E5967" i="7"/>
  <c r="E5966" i="7"/>
  <c r="E5965" i="7"/>
  <c r="E5980" i="7" l="1"/>
  <c r="E5979" i="7"/>
  <c r="E5978" i="7" l="1"/>
  <c r="E5977" i="7"/>
  <c r="E5976" i="7"/>
  <c r="E5961" i="7"/>
  <c r="K5960" i="7"/>
  <c r="L5961" i="7" s="1"/>
  <c r="E5960" i="7"/>
  <c r="E5959" i="7"/>
  <c r="K5958" i="7"/>
  <c r="L5959" i="7" s="1"/>
  <c r="E5958" i="7"/>
  <c r="E5957" i="7"/>
  <c r="E5956" i="7"/>
  <c r="L5955" i="7"/>
  <c r="E5955" i="7"/>
  <c r="E5954" i="7"/>
  <c r="L5953" i="7"/>
  <c r="E5953" i="7"/>
  <c r="E5952" i="7"/>
  <c r="L5951" i="7"/>
  <c r="E5951" i="7"/>
  <c r="E5950" i="7"/>
  <c r="L5949" i="7"/>
  <c r="E5949" i="7"/>
  <c r="E5948" i="7"/>
  <c r="E5947" i="7"/>
  <c r="E5946" i="7"/>
  <c r="E5945" i="7"/>
  <c r="E5944" i="7"/>
  <c r="L5943" i="7"/>
  <c r="E5943" i="7"/>
  <c r="E5942" i="7"/>
  <c r="L5941" i="7"/>
  <c r="E5941" i="7"/>
  <c r="E5940" i="7"/>
  <c r="E5939" i="7"/>
  <c r="E5938" i="7"/>
  <c r="F533" i="58"/>
  <c r="F532" i="58"/>
  <c r="F531" i="58"/>
  <c r="F530" i="58"/>
  <c r="F529" i="58"/>
  <c r="F528" i="58"/>
  <c r="F527" i="58"/>
  <c r="H533" i="58"/>
  <c r="H532" i="58"/>
  <c r="H531" i="58"/>
  <c r="H530" i="58"/>
  <c r="H529" i="58"/>
  <c r="H528" i="58"/>
  <c r="H527" i="58"/>
  <c r="L533" i="58"/>
  <c r="J533" i="58"/>
  <c r="L532" i="58"/>
  <c r="J532" i="58"/>
  <c r="L531" i="58"/>
  <c r="J531" i="58"/>
  <c r="L530" i="58"/>
  <c r="J530" i="58"/>
  <c r="L529" i="58"/>
  <c r="J529" i="58"/>
  <c r="L528" i="58"/>
  <c r="J528" i="58"/>
  <c r="L527" i="58"/>
  <c r="J527" i="58"/>
  <c r="B528" i="58"/>
  <c r="B529" i="58" s="1"/>
  <c r="B530" i="58" s="1"/>
  <c r="B531" i="58" s="1"/>
  <c r="B532" i="58" s="1"/>
  <c r="B533" i="58" s="1"/>
  <c r="D527" i="58"/>
  <c r="D528" i="58"/>
  <c r="D529" i="58"/>
  <c r="D530" i="58"/>
  <c r="D531" i="58"/>
  <c r="D532" i="58"/>
  <c r="D533" i="58"/>
  <c r="E5937" i="7"/>
  <c r="E5936" i="7"/>
  <c r="E5935" i="7"/>
  <c r="E5934" i="7" l="1"/>
  <c r="E5933" i="7"/>
  <c r="E5932" i="7"/>
  <c r="E5931" i="7"/>
  <c r="E5930" i="7"/>
  <c r="E5929" i="7"/>
  <c r="E5928" i="7"/>
  <c r="E5927" i="7"/>
  <c r="E5926" i="7"/>
  <c r="E5925" i="7"/>
  <c r="E5924" i="7"/>
  <c r="E5923" i="7"/>
  <c r="E5922" i="7"/>
  <c r="E5921" i="7"/>
  <c r="E5920" i="7" l="1"/>
  <c r="E5919" i="7"/>
  <c r="E5918" i="7"/>
  <c r="E5887" i="7"/>
  <c r="E5886" i="7"/>
  <c r="E5885" i="7"/>
  <c r="E5888" i="7"/>
  <c r="E5917" i="7"/>
  <c r="E5916" i="7"/>
  <c r="E5915" i="7"/>
  <c r="E5914" i="7"/>
  <c r="E5913" i="7"/>
  <c r="E5912" i="7"/>
  <c r="E5884" i="7" l="1"/>
  <c r="E5883" i="7"/>
  <c r="E5882" i="7"/>
  <c r="E5881" i="7"/>
  <c r="E5880" i="7" l="1"/>
  <c r="E5879" i="7"/>
  <c r="E5878" i="7"/>
  <c r="E5911" i="7" l="1"/>
  <c r="K5910" i="7"/>
  <c r="L5911" i="7" s="1"/>
  <c r="E5910" i="7"/>
  <c r="E5909" i="7"/>
  <c r="K5908" i="7"/>
  <c r="L5909" i="7" s="1"/>
  <c r="E5908" i="7"/>
  <c r="E5907" i="7"/>
  <c r="E5906" i="7"/>
  <c r="L5905" i="7"/>
  <c r="E5905" i="7"/>
  <c r="E5904" i="7"/>
  <c r="L5903" i="7"/>
  <c r="E5903" i="7"/>
  <c r="E5902" i="7"/>
  <c r="L5901" i="7"/>
  <c r="E5901" i="7"/>
  <c r="E5900" i="7"/>
  <c r="L5899" i="7"/>
  <c r="E5899" i="7"/>
  <c r="E5898" i="7"/>
  <c r="E5897" i="7"/>
  <c r="E5896" i="7"/>
  <c r="E5895" i="7"/>
  <c r="E5894" i="7"/>
  <c r="L5893" i="7"/>
  <c r="E5893" i="7"/>
  <c r="E5892" i="7"/>
  <c r="L5891" i="7"/>
  <c r="E5891" i="7"/>
  <c r="E5890" i="7"/>
  <c r="E5889" i="7"/>
  <c r="E5872" i="7"/>
  <c r="E5871" i="7"/>
  <c r="E5876" i="7" l="1"/>
  <c r="E5870" i="7"/>
  <c r="E5869" i="7"/>
  <c r="E5868" i="7"/>
  <c r="E5867" i="7"/>
  <c r="E5866" i="7"/>
  <c r="E5875" i="7"/>
  <c r="E5874" i="7"/>
  <c r="E5873" i="7"/>
  <c r="E5865" i="7"/>
  <c r="E5864" i="7"/>
  <c r="E5863" i="7"/>
  <c r="E5862" i="7"/>
  <c r="E5861" i="7"/>
  <c r="E5860" i="7"/>
  <c r="E5859" i="7"/>
  <c r="E5858" i="7"/>
  <c r="E5857" i="7"/>
  <c r="F540" i="58"/>
  <c r="F539" i="58"/>
  <c r="F538" i="58"/>
  <c r="F537" i="58"/>
  <c r="F536" i="58"/>
  <c r="F535" i="58"/>
  <c r="F534" i="58"/>
  <c r="L540" i="58"/>
  <c r="J540" i="58"/>
  <c r="H540" i="58"/>
  <c r="L539" i="58"/>
  <c r="J539" i="58"/>
  <c r="H539" i="58"/>
  <c r="L538" i="58"/>
  <c r="J538" i="58"/>
  <c r="H538" i="58"/>
  <c r="L537" i="58"/>
  <c r="J537" i="58"/>
  <c r="H537" i="58"/>
  <c r="L536" i="58"/>
  <c r="J536" i="58"/>
  <c r="H536" i="58"/>
  <c r="L535" i="58"/>
  <c r="J535" i="58"/>
  <c r="H535" i="58"/>
  <c r="L534" i="58"/>
  <c r="J534" i="58"/>
  <c r="H534" i="58"/>
  <c r="B535" i="58"/>
  <c r="B536" i="58" s="1"/>
  <c r="B537" i="58" s="1"/>
  <c r="B538" i="58" s="1"/>
  <c r="B539" i="58" s="1"/>
  <c r="B540" i="58" s="1"/>
  <c r="D534" i="58"/>
  <c r="D535" i="58"/>
  <c r="D536" i="58"/>
  <c r="D537" i="58"/>
  <c r="D538" i="58"/>
  <c r="D539" i="58"/>
  <c r="D540" i="58"/>
  <c r="E5840" i="7" l="1"/>
  <c r="E5839" i="7"/>
  <c r="E5856" i="7"/>
  <c r="E5855" i="7"/>
  <c r="E5847" i="7"/>
  <c r="E5854" i="7" l="1"/>
  <c r="E5853" i="7"/>
  <c r="E5852" i="7"/>
  <c r="E5838" i="7"/>
  <c r="E5837" i="7"/>
  <c r="E5836" i="7"/>
  <c r="E5851" i="7"/>
  <c r="E5850" i="7"/>
  <c r="E5849" i="7"/>
  <c r="E5846" i="7"/>
  <c r="E5845" i="7"/>
  <c r="E5844" i="7"/>
  <c r="E5843" i="7"/>
  <c r="E5842" i="7"/>
  <c r="E5841" i="7"/>
  <c r="E5791" i="7" l="1"/>
  <c r="E5790" i="7"/>
  <c r="E5835" i="7" l="1"/>
  <c r="K5834" i="7"/>
  <c r="L5835" i="7" s="1"/>
  <c r="E5834" i="7"/>
  <c r="E5833" i="7"/>
  <c r="K5832" i="7"/>
  <c r="L5833" i="7" s="1"/>
  <c r="E5832" i="7"/>
  <c r="E5831" i="7"/>
  <c r="E5830" i="7"/>
  <c r="L5829" i="7"/>
  <c r="E5829" i="7"/>
  <c r="E5828" i="7"/>
  <c r="L5827" i="7"/>
  <c r="E5827" i="7"/>
  <c r="E5826" i="7"/>
  <c r="L5825" i="7"/>
  <c r="E5825" i="7"/>
  <c r="E5824" i="7"/>
  <c r="L5823" i="7"/>
  <c r="E5823" i="7"/>
  <c r="E5822" i="7"/>
  <c r="E5821" i="7"/>
  <c r="E5820" i="7"/>
  <c r="E5819" i="7"/>
  <c r="E5818" i="7"/>
  <c r="L5817" i="7"/>
  <c r="E5817" i="7"/>
  <c r="E5816" i="7"/>
  <c r="L5815" i="7"/>
  <c r="E5815" i="7"/>
  <c r="E5814" i="7"/>
  <c r="E5813" i="7"/>
  <c r="E5812" i="7"/>
  <c r="F547" i="58" l="1"/>
  <c r="F546" i="58"/>
  <c r="F545" i="58"/>
  <c r="F544" i="58"/>
  <c r="F543" i="58"/>
  <c r="F542" i="58"/>
  <c r="F541" i="58"/>
  <c r="E5734" i="7"/>
  <c r="E5733" i="7"/>
  <c r="E5726" i="7"/>
  <c r="E5725" i="7"/>
  <c r="E5724" i="7"/>
  <c r="E5811" i="7" l="1"/>
  <c r="E5810" i="7"/>
  <c r="E5792" i="7"/>
  <c r="E5743" i="7"/>
  <c r="E5742" i="7"/>
  <c r="E5741" i="7"/>
  <c r="E5740" i="7"/>
  <c r="E5739" i="7"/>
  <c r="E5738" i="7"/>
  <c r="E5737" i="7"/>
  <c r="E5736" i="7"/>
  <c r="E5735" i="7"/>
  <c r="E5809" i="7" l="1"/>
  <c r="E5808" i="7"/>
  <c r="E5804" i="7"/>
  <c r="E5803" i="7"/>
  <c r="L547" i="58"/>
  <c r="J547" i="58"/>
  <c r="H547" i="58"/>
  <c r="L546" i="58"/>
  <c r="J546" i="58"/>
  <c r="H546" i="58"/>
  <c r="L545" i="58"/>
  <c r="J545" i="58"/>
  <c r="H545" i="58"/>
  <c r="L544" i="58"/>
  <c r="J544" i="58"/>
  <c r="H544" i="58"/>
  <c r="L543" i="58"/>
  <c r="J543" i="58"/>
  <c r="H543" i="58"/>
  <c r="L542" i="58"/>
  <c r="J542" i="58"/>
  <c r="H542" i="58"/>
  <c r="L541" i="58"/>
  <c r="J541" i="58"/>
  <c r="H541" i="58"/>
  <c r="E5746" i="7"/>
  <c r="E5745" i="7"/>
  <c r="E5744" i="7"/>
  <c r="B542" i="58" l="1"/>
  <c r="B543" i="58" s="1"/>
  <c r="B544" i="58" s="1"/>
  <c r="B545" i="58" s="1"/>
  <c r="B546" i="58" s="1"/>
  <c r="B547" i="58" s="1"/>
  <c r="D541" i="58"/>
  <c r="D542" i="58"/>
  <c r="D543" i="58"/>
  <c r="D544" i="58"/>
  <c r="D545" i="58"/>
  <c r="D546" i="58"/>
  <c r="D547" i="58"/>
  <c r="E5796" i="7"/>
  <c r="E5795" i="7"/>
  <c r="E5794" i="7"/>
  <c r="E5788" i="7"/>
  <c r="E5787" i="7"/>
  <c r="E5786" i="7"/>
  <c r="E5807" i="7"/>
  <c r="E5806" i="7"/>
  <c r="E5805" i="7"/>
  <c r="E5802" i="7"/>
  <c r="E5801" i="7"/>
  <c r="E5800" i="7"/>
  <c r="E5799" i="7"/>
  <c r="E5798" i="7"/>
  <c r="E5797" i="7"/>
  <c r="E5793" i="7" l="1"/>
  <c r="E5789" i="7"/>
  <c r="E5761" i="7"/>
  <c r="E5760" i="7"/>
  <c r="L552" i="58"/>
  <c r="J552" i="58"/>
  <c r="H552" i="58"/>
  <c r="L551" i="58"/>
  <c r="J551" i="58"/>
  <c r="H551" i="58"/>
  <c r="L550" i="58"/>
  <c r="J550" i="58"/>
  <c r="H550" i="58"/>
  <c r="L549" i="58"/>
  <c r="J549" i="58"/>
  <c r="H549" i="58"/>
  <c r="L548" i="58"/>
  <c r="J548" i="58"/>
  <c r="H548" i="58"/>
  <c r="E5759" i="7"/>
  <c r="E5757" i="7"/>
  <c r="F552" i="58" l="1"/>
  <c r="F551" i="58"/>
  <c r="F550" i="58"/>
  <c r="F549" i="58"/>
  <c r="F548" i="58"/>
  <c r="B549" i="58"/>
  <c r="B550" i="58" s="1"/>
  <c r="B551" i="58" s="1"/>
  <c r="B552" i="58" s="1"/>
  <c r="D548" i="58"/>
  <c r="D549" i="58"/>
  <c r="D550" i="58"/>
  <c r="D551" i="58"/>
  <c r="D552" i="58"/>
  <c r="E5756" i="7"/>
  <c r="E5755" i="7"/>
  <c r="E5754" i="7"/>
  <c r="E5753" i="7"/>
  <c r="E5752" i="7"/>
  <c r="E5751" i="7"/>
  <c r="E5750" i="7"/>
  <c r="E5749" i="7" l="1"/>
  <c r="E5748" i="7"/>
  <c r="E5747" i="7"/>
  <c r="E5732" i="7" l="1"/>
  <c r="E5731" i="7"/>
  <c r="E5730" i="7"/>
  <c r="E5729" i="7"/>
  <c r="E5728" i="7"/>
  <c r="E5727" i="7"/>
  <c r="E5723" i="7"/>
  <c r="E5722" i="7"/>
  <c r="E5721" i="7"/>
  <c r="E5720" i="7"/>
  <c r="E5719" i="7"/>
  <c r="E5718" i="7"/>
  <c r="E5717" i="7"/>
  <c r="E5716" i="7"/>
  <c r="E5715" i="7"/>
  <c r="E5785" i="7" l="1"/>
  <c r="K5784" i="7"/>
  <c r="L5785" i="7" s="1"/>
  <c r="E5784" i="7"/>
  <c r="E5783" i="7"/>
  <c r="K5782" i="7"/>
  <c r="L5783" i="7" s="1"/>
  <c r="E5782" i="7"/>
  <c r="E5781" i="7"/>
  <c r="E5780" i="7"/>
  <c r="L5779" i="7"/>
  <c r="E5779" i="7"/>
  <c r="E5778" i="7"/>
  <c r="L5777" i="7"/>
  <c r="E5777" i="7"/>
  <c r="E5776" i="7"/>
  <c r="L5775" i="7"/>
  <c r="E5775" i="7"/>
  <c r="E5774" i="7"/>
  <c r="L5773" i="7"/>
  <c r="E5773" i="7"/>
  <c r="E5772" i="7"/>
  <c r="E5771" i="7"/>
  <c r="E5770" i="7"/>
  <c r="E5769" i="7"/>
  <c r="E5768" i="7"/>
  <c r="L5767" i="7"/>
  <c r="E5767" i="7"/>
  <c r="E5766" i="7"/>
  <c r="L5765" i="7"/>
  <c r="E5765" i="7"/>
  <c r="E5764" i="7"/>
  <c r="E5763" i="7"/>
  <c r="E5762" i="7"/>
  <c r="F554" i="58"/>
  <c r="F553" i="58"/>
  <c r="L554" i="58"/>
  <c r="J554" i="58"/>
  <c r="H554" i="58"/>
  <c r="L553" i="58"/>
  <c r="J553" i="58"/>
  <c r="H553" i="58"/>
  <c r="D553" i="58"/>
  <c r="D554" i="58"/>
  <c r="E5714" i="7"/>
  <c r="E5713" i="7"/>
  <c r="E5712" i="7" l="1"/>
  <c r="E5711" i="7"/>
  <c r="E5699" i="7"/>
  <c r="E5698" i="7"/>
  <c r="E5697" i="7"/>
  <c r="E5696" i="7"/>
  <c r="E5690" i="7" l="1"/>
  <c r="E5689" i="7"/>
  <c r="E5688" i="7"/>
  <c r="E5687" i="7" l="1"/>
  <c r="E5686" i="7"/>
  <c r="E5685" i="7"/>
  <c r="E5684" i="7"/>
  <c r="E5683" i="7"/>
  <c r="E5680" i="7"/>
  <c r="E5679" i="7"/>
  <c r="E5681" i="7"/>
  <c r="E5682" i="7"/>
  <c r="E5678" i="7"/>
  <c r="E5707" i="7" l="1"/>
  <c r="E5706" i="7"/>
  <c r="E5695" i="7"/>
  <c r="E5694" i="7"/>
  <c r="E5677" i="7"/>
  <c r="E5676" i="7"/>
  <c r="E5710" i="7"/>
  <c r="E5709" i="7"/>
  <c r="E5708" i="7"/>
  <c r="E5705" i="7"/>
  <c r="E5704" i="7"/>
  <c r="E5703" i="7"/>
  <c r="E5702" i="7"/>
  <c r="E5701" i="7"/>
  <c r="E5700" i="7"/>
  <c r="E5693" i="7" l="1"/>
  <c r="E5692" i="7"/>
  <c r="E5691" i="7"/>
  <c r="E5675" i="7"/>
  <c r="E5674" i="7"/>
  <c r="E5673" i="7"/>
  <c r="E5672" i="7"/>
  <c r="E5671" i="7"/>
  <c r="E5670" i="7"/>
  <c r="E5645" i="7"/>
  <c r="E5644" i="7"/>
  <c r="E5643" i="7"/>
  <c r="L5649" i="7" l="1"/>
  <c r="E5669" i="7"/>
  <c r="K5668" i="7"/>
  <c r="L5669" i="7" s="1"/>
  <c r="E5668" i="7"/>
  <c r="E5667" i="7"/>
  <c r="K5666" i="7"/>
  <c r="L5667" i="7" s="1"/>
  <c r="E5666" i="7"/>
  <c r="E5665" i="7"/>
  <c r="E5664" i="7"/>
  <c r="L5663" i="7"/>
  <c r="E5663" i="7"/>
  <c r="E5662" i="7"/>
  <c r="L5661" i="7"/>
  <c r="E5661" i="7"/>
  <c r="E5660" i="7"/>
  <c r="L5659" i="7"/>
  <c r="E5659" i="7"/>
  <c r="E5658" i="7"/>
  <c r="L5657" i="7"/>
  <c r="E5657" i="7"/>
  <c r="E5656" i="7"/>
  <c r="E5655" i="7"/>
  <c r="E5654" i="7"/>
  <c r="E5653" i="7"/>
  <c r="E5652" i="7"/>
  <c r="L5651" i="7"/>
  <c r="E5651" i="7"/>
  <c r="E5650" i="7"/>
  <c r="E5649" i="7"/>
  <c r="E5648" i="7"/>
  <c r="E5647" i="7"/>
  <c r="E5646" i="7"/>
  <c r="E5642" i="7"/>
  <c r="E5641" i="7"/>
  <c r="E5640" i="7" l="1"/>
  <c r="E5639" i="7"/>
  <c r="L561" i="58"/>
  <c r="J561" i="58"/>
  <c r="H561" i="58"/>
  <c r="F561" i="58"/>
  <c r="L560" i="58"/>
  <c r="J560" i="58"/>
  <c r="H560" i="58"/>
  <c r="F560" i="58"/>
  <c r="L559" i="58"/>
  <c r="J559" i="58"/>
  <c r="H559" i="58"/>
  <c r="F559" i="58"/>
  <c r="L558" i="58"/>
  <c r="J558" i="58"/>
  <c r="H558" i="58"/>
  <c r="F558" i="58"/>
  <c r="L557" i="58"/>
  <c r="J557" i="58"/>
  <c r="H557" i="58"/>
  <c r="F557" i="58"/>
  <c r="L556" i="58"/>
  <c r="J556" i="58"/>
  <c r="H556" i="58"/>
  <c r="F556" i="58"/>
  <c r="L555" i="58"/>
  <c r="J555" i="58"/>
  <c r="H555" i="58"/>
  <c r="F555" i="58"/>
  <c r="B556" i="58"/>
  <c r="B557" i="58" s="1"/>
  <c r="B558" i="58" s="1"/>
  <c r="B559" i="58" s="1"/>
  <c r="B560" i="58" s="1"/>
  <c r="B561" i="58" s="1"/>
  <c r="D555" i="58"/>
  <c r="D556" i="58"/>
  <c r="D557" i="58"/>
  <c r="D558" i="58"/>
  <c r="D559" i="58"/>
  <c r="D560" i="58"/>
  <c r="D561" i="58"/>
  <c r="E5638" i="7"/>
  <c r="E5637" i="7"/>
  <c r="E5636" i="7"/>
  <c r="E5635" i="7"/>
  <c r="E5634" i="7"/>
  <c r="E5633" i="7"/>
  <c r="E5632" i="7"/>
  <c r="E5631" i="7"/>
  <c r="E5630" i="7" l="1"/>
  <c r="E5629" i="7"/>
  <c r="E5628" i="7"/>
  <c r="E5627" i="7" l="1"/>
  <c r="E5626" i="7"/>
  <c r="E5625" i="7"/>
  <c r="E5624" i="7"/>
  <c r="E5623" i="7" l="1"/>
  <c r="E5622" i="7"/>
  <c r="E5620" i="7"/>
  <c r="E5621" i="7"/>
  <c r="N5619" i="7"/>
  <c r="E5619" i="7"/>
  <c r="E5604" i="7"/>
  <c r="E5603" i="7"/>
  <c r="E5602" i="7"/>
  <c r="E5601" i="7"/>
  <c r="E5600" i="7"/>
  <c r="E5599" i="7"/>
  <c r="E5606" i="7"/>
  <c r="E5605" i="7"/>
  <c r="E5598" i="7"/>
  <c r="E5597" i="7"/>
  <c r="E5618" i="7" l="1"/>
  <c r="E5617" i="7"/>
  <c r="E5616" i="7"/>
  <c r="E5615" i="7"/>
  <c r="E5614" i="7"/>
  <c r="E5613" i="7"/>
  <c r="E5612" i="7"/>
  <c r="E5611" i="7"/>
  <c r="E5610" i="7"/>
  <c r="E5609" i="7"/>
  <c r="E5608" i="7"/>
  <c r="E5607" i="7"/>
  <c r="E5596" i="7"/>
  <c r="E5595" i="7"/>
  <c r="E5594" i="7"/>
  <c r="E5593" i="7"/>
  <c r="E5592" i="7"/>
  <c r="E5585" i="7" l="1"/>
  <c r="E5584" i="7"/>
  <c r="E5591" i="7"/>
  <c r="E5590" i="7"/>
  <c r="E5589" i="7"/>
  <c r="E5588" i="7"/>
  <c r="E5587" i="7"/>
  <c r="E5586" i="7"/>
  <c r="E5583" i="7"/>
  <c r="E5582" i="7"/>
  <c r="E5581" i="7"/>
  <c r="E5560" i="7" l="1"/>
  <c r="E5559" i="7"/>
  <c r="L568" i="58"/>
  <c r="J568" i="58"/>
  <c r="H568" i="58"/>
  <c r="L567" i="58"/>
  <c r="J567" i="58"/>
  <c r="H567" i="58"/>
  <c r="L566" i="58"/>
  <c r="J566" i="58"/>
  <c r="H566" i="58"/>
  <c r="L565" i="58"/>
  <c r="J565" i="58"/>
  <c r="H565" i="58"/>
  <c r="L564" i="58"/>
  <c r="J564" i="58"/>
  <c r="H564" i="58"/>
  <c r="L563" i="58"/>
  <c r="J563" i="58"/>
  <c r="H563" i="58"/>
  <c r="L562" i="58"/>
  <c r="J562" i="58"/>
  <c r="H562" i="58"/>
  <c r="F568" i="58"/>
  <c r="F567" i="58"/>
  <c r="F566" i="58"/>
  <c r="F565" i="58"/>
  <c r="F564" i="58"/>
  <c r="F563" i="58"/>
  <c r="F562" i="58"/>
  <c r="B563" i="58"/>
  <c r="B564" i="58" s="1"/>
  <c r="B565" i="58" s="1"/>
  <c r="B566" i="58" s="1"/>
  <c r="B567" i="58" s="1"/>
  <c r="B568" i="58" s="1"/>
  <c r="D562" i="58"/>
  <c r="D563" i="58"/>
  <c r="D564" i="58"/>
  <c r="D565" i="58"/>
  <c r="D566" i="58"/>
  <c r="D567" i="58"/>
  <c r="D568" i="58"/>
  <c r="E5580" i="7"/>
  <c r="K5579" i="7"/>
  <c r="L5580" i="7" s="1"/>
  <c r="E5579" i="7"/>
  <c r="E5578" i="7"/>
  <c r="K5577" i="7"/>
  <c r="L5578" i="7" s="1"/>
  <c r="E5577" i="7"/>
  <c r="E5576" i="7"/>
  <c r="E5575" i="7"/>
  <c r="L5574" i="7"/>
  <c r="E5574" i="7"/>
  <c r="E5573" i="7"/>
  <c r="L5572" i="7"/>
  <c r="E5572" i="7"/>
  <c r="E5571" i="7"/>
  <c r="L5570" i="7"/>
  <c r="E5570" i="7"/>
  <c r="E5569" i="7"/>
  <c r="L5568" i="7"/>
  <c r="E5568" i="7"/>
  <c r="E5567" i="7"/>
  <c r="E5566" i="7"/>
  <c r="E5565" i="7"/>
  <c r="E5564" i="7"/>
  <c r="E5563" i="7"/>
  <c r="L5562" i="7"/>
  <c r="E5562" i="7"/>
  <c r="E5561" i="7"/>
  <c r="E5558" i="7"/>
  <c r="E5557" i="7"/>
  <c r="E5556" i="7" l="1"/>
  <c r="E5555" i="7"/>
  <c r="E5554" i="7"/>
  <c r="E5551" i="7"/>
  <c r="E5550" i="7"/>
  <c r="E5549" i="7"/>
  <c r="E5553" i="7"/>
  <c r="E5552" i="7"/>
  <c r="E5548" i="7"/>
  <c r="E5547" i="7"/>
  <c r="E5546" i="7" l="1"/>
  <c r="E5545" i="7"/>
  <c r="E5544" i="7"/>
  <c r="E5543" i="7"/>
  <c r="E5542" i="7"/>
  <c r="E5541" i="7"/>
  <c r="E5540" i="7"/>
  <c r="E5539" i="7"/>
  <c r="E5538" i="7"/>
  <c r="E5537" i="7"/>
  <c r="E5536" i="7"/>
  <c r="E5535" i="7"/>
  <c r="E5534" i="7"/>
  <c r="E5533" i="7"/>
  <c r="E5532" i="7"/>
  <c r="E5531" i="7"/>
  <c r="E5530" i="7"/>
  <c r="E5529" i="7"/>
  <c r="E5525" i="7"/>
  <c r="E5524" i="7"/>
  <c r="E5523" i="7"/>
  <c r="E5528" i="7"/>
  <c r="E5527" i="7"/>
  <c r="E5526" i="7"/>
  <c r="M11" i="59" l="1"/>
  <c r="M19" i="59"/>
  <c r="M15" i="59"/>
  <c r="I6" i="59"/>
  <c r="I7" i="59" s="1"/>
  <c r="I8" i="59" s="1"/>
  <c r="I9" i="59" s="1"/>
  <c r="I10" i="59" s="1"/>
  <c r="I11" i="59" s="1"/>
  <c r="I12" i="59" s="1"/>
  <c r="I13" i="59" s="1"/>
  <c r="I14" i="59" s="1"/>
  <c r="I15" i="59" s="1"/>
  <c r="I16" i="59" s="1"/>
  <c r="I17" i="59" s="1"/>
  <c r="I18" i="59" s="1"/>
  <c r="I19" i="59" s="1"/>
  <c r="I20" i="59" s="1"/>
  <c r="I21" i="59" s="1"/>
  <c r="I22" i="59" s="1"/>
  <c r="I23" i="59" s="1"/>
  <c r="I24" i="59" s="1"/>
  <c r="I25" i="59" s="1"/>
  <c r="I26" i="59" s="1"/>
  <c r="I27" i="59" s="1"/>
  <c r="I28" i="59" s="1"/>
  <c r="I29" i="59" s="1"/>
  <c r="I30" i="59" s="1"/>
  <c r="I31" i="59" s="1"/>
  <c r="I32" i="59" s="1"/>
  <c r="I33" i="59" s="1"/>
  <c r="I34" i="59" s="1"/>
  <c r="I35" i="59" s="1"/>
  <c r="I36" i="59" s="1"/>
  <c r="I39" i="59" s="1"/>
  <c r="I40" i="59" s="1"/>
  <c r="I41" i="59" s="1"/>
  <c r="I42" i="59" s="1"/>
  <c r="I43" i="59" s="1"/>
  <c r="I44" i="59" s="1"/>
  <c r="I45" i="59" s="1"/>
  <c r="I46" i="59" s="1"/>
  <c r="I47" i="59" s="1"/>
  <c r="I48" i="59" s="1"/>
  <c r="I49" i="59" s="1"/>
  <c r="I50" i="59" s="1"/>
  <c r="I51" i="59" s="1"/>
  <c r="I52" i="59" s="1"/>
  <c r="I53" i="59" s="1"/>
  <c r="I54" i="59" s="1"/>
  <c r="I55" i="59" s="1"/>
  <c r="I56" i="59" s="1"/>
  <c r="I57" i="59" s="1"/>
  <c r="I58" i="59" s="1"/>
  <c r="I59" i="59" s="1"/>
  <c r="I60" i="59" s="1"/>
  <c r="I61" i="59" s="1"/>
  <c r="I62" i="59" s="1"/>
  <c r="I63" i="59" s="1"/>
  <c r="I64" i="59" s="1"/>
  <c r="I65" i="59" s="1"/>
  <c r="I66" i="59" s="1"/>
  <c r="I67" i="59" s="1"/>
  <c r="I68" i="59" s="1"/>
  <c r="E5500" i="7"/>
  <c r="E5499" i="7"/>
  <c r="E5498" i="7"/>
  <c r="E5497" i="7"/>
  <c r="E5496" i="7"/>
  <c r="E5495" i="7" l="1"/>
  <c r="E5494" i="7"/>
  <c r="E5493" i="7"/>
  <c r="L5514" i="7" l="1"/>
  <c r="L5512" i="7"/>
  <c r="E5522" i="7"/>
  <c r="K5521" i="7"/>
  <c r="L5522" i="7" s="1"/>
  <c r="E5521" i="7"/>
  <c r="E5520" i="7"/>
  <c r="K5519" i="7"/>
  <c r="L5520" i="7" s="1"/>
  <c r="E5519" i="7"/>
  <c r="E5518" i="7"/>
  <c r="E5517" i="7"/>
  <c r="L5516" i="7"/>
  <c r="E5516" i="7"/>
  <c r="E5515" i="7"/>
  <c r="E5514" i="7"/>
  <c r="E5513" i="7"/>
  <c r="E5512" i="7"/>
  <c r="E5511" i="7"/>
  <c r="L5510" i="7"/>
  <c r="E5510" i="7"/>
  <c r="E5509" i="7"/>
  <c r="E5508" i="7"/>
  <c r="E5507" i="7"/>
  <c r="E5506" i="7"/>
  <c r="E5505" i="7"/>
  <c r="L5504" i="7"/>
  <c r="E5504" i="7"/>
  <c r="E5503" i="7"/>
  <c r="E5502" i="7"/>
  <c r="E5501" i="7"/>
  <c r="E5431" i="7" l="1"/>
  <c r="E5430" i="7"/>
  <c r="E5429" i="7"/>
  <c r="E5428" i="7"/>
  <c r="E5427" i="7"/>
  <c r="E5426" i="7"/>
  <c r="E5475" i="7" l="1"/>
  <c r="E5474" i="7"/>
  <c r="E5478" i="7"/>
  <c r="E5477" i="7"/>
  <c r="E5476" i="7"/>
  <c r="E5473" i="7"/>
  <c r="E5472" i="7"/>
  <c r="E5471" i="7"/>
  <c r="E5470" i="7"/>
  <c r="E5469" i="7"/>
  <c r="E5468" i="7"/>
  <c r="E5467" i="7"/>
  <c r="E5466" i="7"/>
  <c r="E5465" i="7"/>
  <c r="E5464" i="7"/>
  <c r="E5463" i="7"/>
  <c r="E5462" i="7"/>
  <c r="E5492" i="7"/>
  <c r="E5491" i="7"/>
  <c r="E5490" i="7"/>
  <c r="F575" i="58"/>
  <c r="F574" i="58"/>
  <c r="F573" i="58"/>
  <c r="F572" i="58"/>
  <c r="F571" i="58"/>
  <c r="F570" i="58"/>
  <c r="F569" i="58"/>
  <c r="L575" i="58"/>
  <c r="J575" i="58"/>
  <c r="H575" i="58"/>
  <c r="L574" i="58"/>
  <c r="J574" i="58"/>
  <c r="H574" i="58"/>
  <c r="L573" i="58"/>
  <c r="J573" i="58"/>
  <c r="H573" i="58"/>
  <c r="L572" i="58"/>
  <c r="J572" i="58"/>
  <c r="H572" i="58"/>
  <c r="L571" i="58"/>
  <c r="J571" i="58"/>
  <c r="H571" i="58"/>
  <c r="L570" i="58"/>
  <c r="J570" i="58"/>
  <c r="H570" i="58"/>
  <c r="L569" i="58"/>
  <c r="J569" i="58"/>
  <c r="H569" i="58"/>
  <c r="B570" i="58"/>
  <c r="B571" i="58" s="1"/>
  <c r="B572" i="58" s="1"/>
  <c r="B573" i="58" s="1"/>
  <c r="B574" i="58" s="1"/>
  <c r="B575" i="58" s="1"/>
  <c r="A2" i="58"/>
  <c r="D569" i="58"/>
  <c r="D570" i="58"/>
  <c r="D571" i="58"/>
  <c r="D572" i="58"/>
  <c r="D573" i="58"/>
  <c r="D574" i="58"/>
  <c r="D575" i="58"/>
  <c r="E5456" i="7"/>
  <c r="E5455" i="7"/>
  <c r="E5454" i="7"/>
  <c r="E5489" i="7" l="1"/>
  <c r="E5488" i="7"/>
  <c r="E5487" i="7"/>
  <c r="E5486" i="7"/>
  <c r="E5485" i="7" l="1"/>
  <c r="E5484" i="7"/>
  <c r="E5482" i="7"/>
  <c r="E5483" i="7"/>
  <c r="E5481" i="7"/>
  <c r="E5480" i="7"/>
  <c r="E5479" i="7"/>
  <c r="E5461" i="7"/>
  <c r="E5460" i="7"/>
  <c r="E5459" i="7"/>
  <c r="E5458" i="7"/>
  <c r="E5457" i="7"/>
  <c r="F582" i="58" l="1"/>
  <c r="F581" i="58"/>
  <c r="F580" i="58"/>
  <c r="F579" i="58"/>
  <c r="F578" i="58"/>
  <c r="F577" i="58"/>
  <c r="F576" i="58"/>
  <c r="L582" i="58"/>
  <c r="J582" i="58"/>
  <c r="H582" i="58"/>
  <c r="L581" i="58"/>
  <c r="J581" i="58"/>
  <c r="H581" i="58"/>
  <c r="L580" i="58"/>
  <c r="J580" i="58"/>
  <c r="H580" i="58"/>
  <c r="L579" i="58"/>
  <c r="J579" i="58"/>
  <c r="H579" i="58"/>
  <c r="L578" i="58"/>
  <c r="J578" i="58"/>
  <c r="H578" i="58"/>
  <c r="L577" i="58"/>
  <c r="J577" i="58"/>
  <c r="H577" i="58"/>
  <c r="L576" i="58"/>
  <c r="J576" i="58"/>
  <c r="H576" i="58"/>
  <c r="B577" i="58"/>
  <c r="B578" i="58" s="1"/>
  <c r="B579" i="58" s="1"/>
  <c r="B580" i="58" s="1"/>
  <c r="B581" i="58" s="1"/>
  <c r="B582" i="58" s="1"/>
  <c r="D576" i="58"/>
  <c r="D577" i="58"/>
  <c r="D578" i="58"/>
  <c r="D579" i="58"/>
  <c r="D580" i="58"/>
  <c r="D581" i="58"/>
  <c r="D582" i="58"/>
  <c r="E5453" i="7"/>
  <c r="K5452" i="7"/>
  <c r="L5453" i="7" s="1"/>
  <c r="E5452" i="7"/>
  <c r="E5451" i="7"/>
  <c r="K5450" i="7"/>
  <c r="L5451" i="7" s="1"/>
  <c r="E5450" i="7"/>
  <c r="E5449" i="7"/>
  <c r="E5448" i="7"/>
  <c r="L5447" i="7"/>
  <c r="E5447" i="7"/>
  <c r="E5446" i="7"/>
  <c r="E5445" i="7"/>
  <c r="E5444" i="7"/>
  <c r="E5443" i="7"/>
  <c r="E5442" i="7"/>
  <c r="L5441" i="7"/>
  <c r="E5441" i="7"/>
  <c r="E5440" i="7"/>
  <c r="E5439" i="7"/>
  <c r="E5438" i="7"/>
  <c r="E5437" i="7"/>
  <c r="E5436" i="7"/>
  <c r="L5435" i="7"/>
  <c r="E5435" i="7"/>
  <c r="E5434" i="7"/>
  <c r="E5433" i="7"/>
  <c r="E5432" i="7"/>
  <c r="E5342" i="7"/>
  <c r="E5341" i="7"/>
  <c r="E5423" i="7" l="1"/>
  <c r="E5422" i="7"/>
  <c r="E5421" i="7"/>
  <c r="E5389" i="7" l="1"/>
  <c r="E5388" i="7"/>
  <c r="E5387" i="7"/>
  <c r="E5386" i="7"/>
  <c r="E5381" i="7"/>
  <c r="E5380" i="7"/>
  <c r="E5392" i="7" l="1"/>
  <c r="E5391" i="7"/>
  <c r="E5390" i="7"/>
  <c r="E5385" i="7"/>
  <c r="E5384" i="7"/>
  <c r="E5383" i="7"/>
  <c r="E5382" i="7"/>
  <c r="E5371" i="7" l="1"/>
  <c r="E5370" i="7"/>
  <c r="E5369" i="7"/>
  <c r="E5368" i="7"/>
  <c r="E5425" i="7" l="1"/>
  <c r="E5424" i="7"/>
  <c r="E5405" i="7"/>
  <c r="E5404" i="7"/>
  <c r="E5394" i="7"/>
  <c r="E5393" i="7"/>
  <c r="E5373" i="7"/>
  <c r="E5372" i="7"/>
  <c r="E5420" i="7"/>
  <c r="E5419" i="7"/>
  <c r="E5418" i="7"/>
  <c r="E5417" i="7"/>
  <c r="E5416" i="7"/>
  <c r="E5415" i="7"/>
  <c r="E5414" i="7"/>
  <c r="E5413" i="7"/>
  <c r="E5412" i="7"/>
  <c r="E5408" i="7"/>
  <c r="E5407" i="7"/>
  <c r="E5406" i="7"/>
  <c r="E5403" i="7"/>
  <c r="E5402" i="7"/>
  <c r="E5401" i="7"/>
  <c r="E5400" i="7"/>
  <c r="E5399" i="7"/>
  <c r="E5398" i="7"/>
  <c r="E5397" i="7"/>
  <c r="E5396" i="7"/>
  <c r="E5395" i="7"/>
  <c r="E5376" i="7"/>
  <c r="E5375" i="7"/>
  <c r="E5374" i="7"/>
  <c r="E5379" i="7"/>
  <c r="E5378" i="7"/>
  <c r="E5377" i="7"/>
  <c r="E5367" i="7"/>
  <c r="E5366" i="7"/>
  <c r="E5365" i="7"/>
  <c r="E5411" i="7"/>
  <c r="E5410" i="7"/>
  <c r="E5409" i="7"/>
  <c r="L584" i="58" l="1"/>
  <c r="L585" i="58"/>
  <c r="L586" i="58"/>
  <c r="L587" i="58"/>
  <c r="L588" i="58"/>
  <c r="L589" i="58"/>
  <c r="L590" i="58"/>
  <c r="L591" i="58"/>
  <c r="L592" i="58"/>
  <c r="L593" i="58"/>
  <c r="L594" i="58"/>
  <c r="L595" i="58"/>
  <c r="L596" i="58"/>
  <c r="L597" i="58"/>
  <c r="L598" i="58"/>
  <c r="L599" i="58"/>
  <c r="L600" i="58"/>
  <c r="L601" i="58"/>
  <c r="L602" i="58"/>
  <c r="L603" i="58"/>
  <c r="L604" i="58"/>
  <c r="L605" i="58"/>
  <c r="L606" i="58"/>
  <c r="L607" i="58"/>
  <c r="L608" i="58"/>
  <c r="L609" i="58"/>
  <c r="L610" i="58"/>
  <c r="L611" i="58"/>
  <c r="L612" i="58"/>
  <c r="L613" i="58"/>
  <c r="L614" i="58"/>
  <c r="L615" i="58"/>
  <c r="L616" i="58"/>
  <c r="L617" i="58"/>
  <c r="L618" i="58"/>
  <c r="L619" i="58"/>
  <c r="L620" i="58"/>
  <c r="L621" i="58"/>
  <c r="L622" i="58"/>
  <c r="L623" i="58"/>
  <c r="L624" i="58"/>
  <c r="L625" i="58"/>
  <c r="L626" i="58"/>
  <c r="L627" i="58"/>
  <c r="L628" i="58"/>
  <c r="L629" i="58"/>
  <c r="L630" i="58"/>
  <c r="L631" i="58"/>
  <c r="L632" i="58"/>
  <c r="L633" i="58"/>
  <c r="L634" i="58"/>
  <c r="L635" i="58"/>
  <c r="L636" i="58"/>
  <c r="L637" i="58"/>
  <c r="L638" i="58"/>
  <c r="L639" i="58"/>
  <c r="L640" i="58"/>
  <c r="L641" i="58"/>
  <c r="L642" i="58"/>
  <c r="L643" i="58"/>
  <c r="L644" i="58"/>
  <c r="L645" i="58"/>
  <c r="L646" i="58"/>
  <c r="L647" i="58"/>
  <c r="L648" i="58"/>
  <c r="L649" i="58"/>
  <c r="L650" i="58"/>
  <c r="L651" i="58"/>
  <c r="L652" i="58"/>
  <c r="L653" i="58"/>
  <c r="L654" i="58"/>
  <c r="L655" i="58"/>
  <c r="L656" i="58"/>
  <c r="L657" i="58"/>
  <c r="L658" i="58"/>
  <c r="L659" i="58"/>
  <c r="L660" i="58"/>
  <c r="L661" i="58"/>
  <c r="L662" i="58"/>
  <c r="L663" i="58"/>
  <c r="L664" i="58"/>
  <c r="L665" i="58"/>
  <c r="L666" i="58"/>
  <c r="L667" i="58"/>
  <c r="L668" i="58"/>
  <c r="L669" i="58"/>
  <c r="L670" i="58"/>
  <c r="L671" i="58"/>
  <c r="L672" i="58"/>
  <c r="L673" i="58"/>
  <c r="L674" i="58"/>
  <c r="L675" i="58"/>
  <c r="L676" i="58"/>
  <c r="L677" i="58"/>
  <c r="L678" i="58"/>
  <c r="L679" i="58"/>
  <c r="L680" i="58"/>
  <c r="L681" i="58"/>
  <c r="L682" i="58"/>
  <c r="L683" i="58"/>
  <c r="L684" i="58"/>
  <c r="L685" i="58"/>
  <c r="L686" i="58"/>
  <c r="L687" i="58"/>
  <c r="L688" i="58"/>
  <c r="L689" i="58"/>
  <c r="L690" i="58"/>
  <c r="L691" i="58"/>
  <c r="L692" i="58"/>
  <c r="L693" i="58"/>
  <c r="L694" i="58"/>
  <c r="L695" i="58"/>
  <c r="L696" i="58"/>
  <c r="L697" i="58"/>
  <c r="L698" i="58"/>
  <c r="L699" i="58"/>
  <c r="L700" i="58"/>
  <c r="L701" i="58"/>
  <c r="L702" i="58"/>
  <c r="L703" i="58"/>
  <c r="L704" i="58"/>
  <c r="L705" i="58"/>
  <c r="L706" i="58"/>
  <c r="L707" i="58"/>
  <c r="L708" i="58"/>
  <c r="L709" i="58"/>
  <c r="L710" i="58"/>
  <c r="L711" i="58"/>
  <c r="L712" i="58"/>
  <c r="L713" i="58"/>
  <c r="L714" i="58"/>
  <c r="L715" i="58"/>
  <c r="L716" i="58"/>
  <c r="L717" i="58"/>
  <c r="L718" i="58"/>
  <c r="L719" i="58"/>
  <c r="L720" i="58"/>
  <c r="L721" i="58"/>
  <c r="L722" i="58"/>
  <c r="L723" i="58"/>
  <c r="L724" i="58"/>
  <c r="L725" i="58"/>
  <c r="L726" i="58"/>
  <c r="L727" i="58"/>
  <c r="L728" i="58"/>
  <c r="L729" i="58"/>
  <c r="L730" i="58"/>
  <c r="L731" i="58"/>
  <c r="L732" i="58"/>
  <c r="L733" i="58"/>
  <c r="L734" i="58"/>
  <c r="L735" i="58"/>
  <c r="L736" i="58"/>
  <c r="L737" i="58"/>
  <c r="L738" i="58"/>
  <c r="L739" i="58"/>
  <c r="L740" i="58"/>
  <c r="L741" i="58"/>
  <c r="L742" i="58"/>
  <c r="L743" i="58"/>
  <c r="L744" i="58"/>
  <c r="L745" i="58"/>
  <c r="L746" i="58"/>
  <c r="L747" i="58"/>
  <c r="L748" i="58"/>
  <c r="L749" i="58"/>
  <c r="L750" i="58"/>
  <c r="L751" i="58"/>
  <c r="L752" i="58"/>
  <c r="L753" i="58"/>
  <c r="L754" i="58"/>
  <c r="L755" i="58"/>
  <c r="L756" i="58"/>
  <c r="L757" i="58"/>
  <c r="L758" i="58"/>
  <c r="L759" i="58"/>
  <c r="L760" i="58"/>
  <c r="L761" i="58"/>
  <c r="L762" i="58"/>
  <c r="L763" i="58"/>
  <c r="L764" i="58"/>
  <c r="L765" i="58"/>
  <c r="L766" i="58"/>
  <c r="L767" i="58"/>
  <c r="L768" i="58"/>
  <c r="L769" i="58"/>
  <c r="L770" i="58"/>
  <c r="L771" i="58"/>
  <c r="L772" i="58"/>
  <c r="L773" i="58"/>
  <c r="L774" i="58"/>
  <c r="L775" i="58"/>
  <c r="L776" i="58"/>
  <c r="L777" i="58"/>
  <c r="L778" i="58"/>
  <c r="L779" i="58"/>
  <c r="L780" i="58"/>
  <c r="L781" i="58"/>
  <c r="L782" i="58"/>
  <c r="L783" i="58"/>
  <c r="L784" i="58"/>
  <c r="L785" i="58"/>
  <c r="L786" i="58"/>
  <c r="L787" i="58"/>
  <c r="L788" i="58"/>
  <c r="L789" i="58"/>
  <c r="L790" i="58"/>
  <c r="L791" i="58"/>
  <c r="L792" i="58"/>
  <c r="L793" i="58"/>
  <c r="L794" i="58"/>
  <c r="L795" i="58"/>
  <c r="L796" i="58"/>
  <c r="L797" i="58"/>
  <c r="L798" i="58"/>
  <c r="L799" i="58"/>
  <c r="L800" i="58"/>
  <c r="L801" i="58"/>
  <c r="L802" i="58"/>
  <c r="L803" i="58"/>
  <c r="L804" i="58"/>
  <c r="L583" i="58"/>
  <c r="J584" i="58"/>
  <c r="J585" i="58"/>
  <c r="J586" i="58"/>
  <c r="J587" i="58"/>
  <c r="J588" i="58"/>
  <c r="J589" i="58"/>
  <c r="J590" i="58"/>
  <c r="J591" i="58"/>
  <c r="J592" i="58"/>
  <c r="J593" i="58"/>
  <c r="J594" i="58"/>
  <c r="J595" i="58"/>
  <c r="J596" i="58"/>
  <c r="J597" i="58"/>
  <c r="J598" i="58"/>
  <c r="J599" i="58"/>
  <c r="J600" i="58"/>
  <c r="J601" i="58"/>
  <c r="J602" i="58"/>
  <c r="J603" i="58"/>
  <c r="J604" i="58"/>
  <c r="J605" i="58"/>
  <c r="J606" i="58"/>
  <c r="J607" i="58"/>
  <c r="J608" i="58"/>
  <c r="J609" i="58"/>
  <c r="J610" i="58"/>
  <c r="J611" i="58"/>
  <c r="J612" i="58"/>
  <c r="J613" i="58"/>
  <c r="J614" i="58"/>
  <c r="J615" i="58"/>
  <c r="J616" i="58"/>
  <c r="J617" i="58"/>
  <c r="J618" i="58"/>
  <c r="J619" i="58"/>
  <c r="J620" i="58"/>
  <c r="J621" i="58"/>
  <c r="J622" i="58"/>
  <c r="J623" i="58"/>
  <c r="J624" i="58"/>
  <c r="J625" i="58"/>
  <c r="J626" i="58"/>
  <c r="J627" i="58"/>
  <c r="J628" i="58"/>
  <c r="J629" i="58"/>
  <c r="J630" i="58"/>
  <c r="J631" i="58"/>
  <c r="J632" i="58"/>
  <c r="J633" i="58"/>
  <c r="J634" i="58"/>
  <c r="J635" i="58"/>
  <c r="J636" i="58"/>
  <c r="J637" i="58"/>
  <c r="J638" i="58"/>
  <c r="J639" i="58"/>
  <c r="J640" i="58"/>
  <c r="J641" i="58"/>
  <c r="J642" i="58"/>
  <c r="J643" i="58"/>
  <c r="J644" i="58"/>
  <c r="J645" i="58"/>
  <c r="J646" i="58"/>
  <c r="J647" i="58"/>
  <c r="J648" i="58"/>
  <c r="J649" i="58"/>
  <c r="J650" i="58"/>
  <c r="J651" i="58"/>
  <c r="J652" i="58"/>
  <c r="J653" i="58"/>
  <c r="J654" i="58"/>
  <c r="J655" i="58"/>
  <c r="J656" i="58"/>
  <c r="J657" i="58"/>
  <c r="J658" i="58"/>
  <c r="J659" i="58"/>
  <c r="J660" i="58"/>
  <c r="J661" i="58"/>
  <c r="J662" i="58"/>
  <c r="J663" i="58"/>
  <c r="J664" i="58"/>
  <c r="J665" i="58"/>
  <c r="J666" i="58"/>
  <c r="J667" i="58"/>
  <c r="J668" i="58"/>
  <c r="J669" i="58"/>
  <c r="J670" i="58"/>
  <c r="J671" i="58"/>
  <c r="J672" i="58"/>
  <c r="J673" i="58"/>
  <c r="J674" i="58"/>
  <c r="J675" i="58"/>
  <c r="J676" i="58"/>
  <c r="J677" i="58"/>
  <c r="J678" i="58"/>
  <c r="J679" i="58"/>
  <c r="J680" i="58"/>
  <c r="J681" i="58"/>
  <c r="J682" i="58"/>
  <c r="J683" i="58"/>
  <c r="J684" i="58"/>
  <c r="J685" i="58"/>
  <c r="J686" i="58"/>
  <c r="J687" i="58"/>
  <c r="J688" i="58"/>
  <c r="J689" i="58"/>
  <c r="J690" i="58"/>
  <c r="J691" i="58"/>
  <c r="J692" i="58"/>
  <c r="J693" i="58"/>
  <c r="J694" i="58"/>
  <c r="J695" i="58"/>
  <c r="J696" i="58"/>
  <c r="J697" i="58"/>
  <c r="J698" i="58"/>
  <c r="J699" i="58"/>
  <c r="J700" i="58"/>
  <c r="J701" i="58"/>
  <c r="J702" i="58"/>
  <c r="J703" i="58"/>
  <c r="J704" i="58"/>
  <c r="J705" i="58"/>
  <c r="J706" i="58"/>
  <c r="J707" i="58"/>
  <c r="J708" i="58"/>
  <c r="J709" i="58"/>
  <c r="J710" i="58"/>
  <c r="J711" i="58"/>
  <c r="J712" i="58"/>
  <c r="J713" i="58"/>
  <c r="J714" i="58"/>
  <c r="J715" i="58"/>
  <c r="J716" i="58"/>
  <c r="J717" i="58"/>
  <c r="J718" i="58"/>
  <c r="J719" i="58"/>
  <c r="J720" i="58"/>
  <c r="J721" i="58"/>
  <c r="J722" i="58"/>
  <c r="J723" i="58"/>
  <c r="J724" i="58"/>
  <c r="J725" i="58"/>
  <c r="J726" i="58"/>
  <c r="J727" i="58"/>
  <c r="J728" i="58"/>
  <c r="J729" i="58"/>
  <c r="J730" i="58"/>
  <c r="J731" i="58"/>
  <c r="J732" i="58"/>
  <c r="J733" i="58"/>
  <c r="J734" i="58"/>
  <c r="J735" i="58"/>
  <c r="J736" i="58"/>
  <c r="J737" i="58"/>
  <c r="J738" i="58"/>
  <c r="J739" i="58"/>
  <c r="J740" i="58"/>
  <c r="J741" i="58"/>
  <c r="J742" i="58"/>
  <c r="J743" i="58"/>
  <c r="J744" i="58"/>
  <c r="J745" i="58"/>
  <c r="J746" i="58"/>
  <c r="J747" i="58"/>
  <c r="J748" i="58"/>
  <c r="J749" i="58"/>
  <c r="J750" i="58"/>
  <c r="J751" i="58"/>
  <c r="J752" i="58"/>
  <c r="J753" i="58"/>
  <c r="J754" i="58"/>
  <c r="J755" i="58"/>
  <c r="J756" i="58"/>
  <c r="J757" i="58"/>
  <c r="J758" i="58"/>
  <c r="J759" i="58"/>
  <c r="J760" i="58"/>
  <c r="J761" i="58"/>
  <c r="J762" i="58"/>
  <c r="J763" i="58"/>
  <c r="J764" i="58"/>
  <c r="J765" i="58"/>
  <c r="J766" i="58"/>
  <c r="J767" i="58"/>
  <c r="J768" i="58"/>
  <c r="J769" i="58"/>
  <c r="J770" i="58"/>
  <c r="J771" i="58"/>
  <c r="J772" i="58"/>
  <c r="J773" i="58"/>
  <c r="J774" i="58"/>
  <c r="J775" i="58"/>
  <c r="J776" i="58"/>
  <c r="J777" i="58"/>
  <c r="J778" i="58"/>
  <c r="J779" i="58"/>
  <c r="J780" i="58"/>
  <c r="J781" i="58"/>
  <c r="J782" i="58"/>
  <c r="J783" i="58"/>
  <c r="J784" i="58"/>
  <c r="J785" i="58"/>
  <c r="J786" i="58"/>
  <c r="J787" i="58"/>
  <c r="J788" i="58"/>
  <c r="J789" i="58"/>
  <c r="J790" i="58"/>
  <c r="J791" i="58"/>
  <c r="J792" i="58"/>
  <c r="J793" i="58"/>
  <c r="J794" i="58"/>
  <c r="J795" i="58"/>
  <c r="J796" i="58"/>
  <c r="J797" i="58"/>
  <c r="J798" i="58"/>
  <c r="J799" i="58"/>
  <c r="J800" i="58"/>
  <c r="J801" i="58"/>
  <c r="J802" i="58"/>
  <c r="J803" i="58"/>
  <c r="J804" i="58"/>
  <c r="J805" i="58"/>
  <c r="J806" i="58"/>
  <c r="J807" i="58"/>
  <c r="J808" i="58"/>
  <c r="J809" i="58"/>
  <c r="J810" i="58"/>
  <c r="J811" i="58"/>
  <c r="J812" i="58"/>
  <c r="J813" i="58"/>
  <c r="J814" i="58"/>
  <c r="J815" i="58"/>
  <c r="J816" i="58"/>
  <c r="J817" i="58"/>
  <c r="J818" i="58"/>
  <c r="J819" i="58"/>
  <c r="J820" i="58"/>
  <c r="J821" i="58"/>
  <c r="J822" i="58"/>
  <c r="J823" i="58"/>
  <c r="J824" i="58"/>
  <c r="J825" i="58"/>
  <c r="J826" i="58"/>
  <c r="J827" i="58"/>
  <c r="J828" i="58"/>
  <c r="J829" i="58"/>
  <c r="J830" i="58"/>
  <c r="J831" i="58"/>
  <c r="J832" i="58"/>
  <c r="J833" i="58"/>
  <c r="J834" i="58"/>
  <c r="J835" i="58"/>
  <c r="J836" i="58"/>
  <c r="J837" i="58"/>
  <c r="J838" i="58"/>
  <c r="J839" i="58"/>
  <c r="J840" i="58"/>
  <c r="J841" i="58"/>
  <c r="J842" i="58"/>
  <c r="J843" i="58"/>
  <c r="J844" i="58"/>
  <c r="J845" i="58"/>
  <c r="J846" i="58"/>
  <c r="J847" i="58"/>
  <c r="J848" i="58"/>
  <c r="J849" i="58"/>
  <c r="J850" i="58"/>
  <c r="J851" i="58"/>
  <c r="J852" i="58"/>
  <c r="J853" i="58"/>
  <c r="J854" i="58"/>
  <c r="J855" i="58"/>
  <c r="J856" i="58"/>
  <c r="J857" i="58"/>
  <c r="J858" i="58"/>
  <c r="J859" i="58"/>
  <c r="J860" i="58"/>
  <c r="J861" i="58"/>
  <c r="J862" i="58"/>
  <c r="J863" i="58"/>
  <c r="J864" i="58"/>
  <c r="J865" i="58"/>
  <c r="J866" i="58"/>
  <c r="J867" i="58"/>
  <c r="J868" i="58"/>
  <c r="J869" i="58"/>
  <c r="J870" i="58"/>
  <c r="J871" i="58"/>
  <c r="J872" i="58"/>
  <c r="J873" i="58"/>
  <c r="J874" i="58"/>
  <c r="J875" i="58"/>
  <c r="J876" i="58"/>
  <c r="J877" i="58"/>
  <c r="J878" i="58"/>
  <c r="J879" i="58"/>
  <c r="J880" i="58"/>
  <c r="J881" i="58"/>
  <c r="J882" i="58"/>
  <c r="J883" i="58"/>
  <c r="J884" i="58"/>
  <c r="J885" i="58"/>
  <c r="J886" i="58"/>
  <c r="J887" i="58"/>
  <c r="J888" i="58"/>
  <c r="J889" i="58"/>
  <c r="J890" i="58"/>
  <c r="J891" i="58"/>
  <c r="J892" i="58"/>
  <c r="J893" i="58"/>
  <c r="J894" i="58"/>
  <c r="J895" i="58"/>
  <c r="J896" i="58"/>
  <c r="J897" i="58"/>
  <c r="J898" i="58"/>
  <c r="J899" i="58"/>
  <c r="J900" i="58"/>
  <c r="J901" i="58"/>
  <c r="J902" i="58"/>
  <c r="J903" i="58"/>
  <c r="J904" i="58"/>
  <c r="J905" i="58"/>
  <c r="J906" i="58"/>
  <c r="J907" i="58"/>
  <c r="J908" i="58"/>
  <c r="J909" i="58"/>
  <c r="J910" i="58"/>
  <c r="J911" i="58"/>
  <c r="J912" i="58"/>
  <c r="J913" i="58"/>
  <c r="J914" i="58"/>
  <c r="J915" i="58"/>
  <c r="J916" i="58"/>
  <c r="J917" i="58"/>
  <c r="J918" i="58"/>
  <c r="J919" i="58"/>
  <c r="J920" i="58"/>
  <c r="J921" i="58"/>
  <c r="J922" i="58"/>
  <c r="J923" i="58"/>
  <c r="J924" i="58"/>
  <c r="J925" i="58"/>
  <c r="J926" i="58"/>
  <c r="J927" i="58"/>
  <c r="J928" i="58"/>
  <c r="J929" i="58"/>
  <c r="J930" i="58"/>
  <c r="J931" i="58"/>
  <c r="J932" i="58"/>
  <c r="J933" i="58"/>
  <c r="J934" i="58"/>
  <c r="J935" i="58"/>
  <c r="J936" i="58"/>
  <c r="J937" i="58"/>
  <c r="J938" i="58"/>
  <c r="J939" i="58"/>
  <c r="J940" i="58"/>
  <c r="J941" i="58"/>
  <c r="J942" i="58"/>
  <c r="J943" i="58"/>
  <c r="J944" i="58"/>
  <c r="J945" i="58"/>
  <c r="J946" i="58"/>
  <c r="J947" i="58"/>
  <c r="J948" i="58"/>
  <c r="J949" i="58"/>
  <c r="J950" i="58"/>
  <c r="J951" i="58"/>
  <c r="J952" i="58"/>
  <c r="J953" i="58"/>
  <c r="J954" i="58"/>
  <c r="J955" i="58"/>
  <c r="J956" i="58"/>
  <c r="J957" i="58"/>
  <c r="J958" i="58"/>
  <c r="J959" i="58"/>
  <c r="J960" i="58"/>
  <c r="J961" i="58"/>
  <c r="J962" i="58"/>
  <c r="J963" i="58"/>
  <c r="J964" i="58"/>
  <c r="J965" i="58"/>
  <c r="J966" i="58"/>
  <c r="J967" i="58"/>
  <c r="J968" i="58"/>
  <c r="J969" i="58"/>
  <c r="J970" i="58"/>
  <c r="J971" i="58"/>
  <c r="J972" i="58"/>
  <c r="J973" i="58"/>
  <c r="J974" i="58"/>
  <c r="J975" i="58"/>
  <c r="J976" i="58"/>
  <c r="J977" i="58"/>
  <c r="J978" i="58"/>
  <c r="J979" i="58"/>
  <c r="J980" i="58"/>
  <c r="J981" i="58"/>
  <c r="J982" i="58"/>
  <c r="J983" i="58"/>
  <c r="J984" i="58"/>
  <c r="J985" i="58"/>
  <c r="J986" i="58"/>
  <c r="J987" i="58"/>
  <c r="J988" i="58"/>
  <c r="J989" i="58"/>
  <c r="J990" i="58"/>
  <c r="J991" i="58"/>
  <c r="J992" i="58"/>
  <c r="J993" i="58"/>
  <c r="J994" i="58"/>
  <c r="J995" i="58"/>
  <c r="J996" i="58"/>
  <c r="J997" i="58"/>
  <c r="J998" i="58"/>
  <c r="J999" i="58"/>
  <c r="J1000" i="58"/>
  <c r="J1001" i="58"/>
  <c r="J1002" i="58"/>
  <c r="J1003" i="58"/>
  <c r="J1004" i="58"/>
  <c r="J1005" i="58"/>
  <c r="J1006" i="58"/>
  <c r="J1007" i="58"/>
  <c r="J1008" i="58"/>
  <c r="J1009" i="58"/>
  <c r="J1010" i="58"/>
  <c r="J1011" i="58"/>
  <c r="J1012" i="58"/>
  <c r="J1013" i="58"/>
  <c r="J1014" i="58"/>
  <c r="J1015" i="58"/>
  <c r="J1016" i="58"/>
  <c r="J1017" i="58"/>
  <c r="J1018" i="58"/>
  <c r="J1019" i="58"/>
  <c r="J1020" i="58"/>
  <c r="J1021" i="58"/>
  <c r="J1022" i="58"/>
  <c r="J1023" i="58"/>
  <c r="J1024" i="58"/>
  <c r="J1025" i="58"/>
  <c r="J1026" i="58"/>
  <c r="J1027" i="58"/>
  <c r="J1028" i="58"/>
  <c r="J1029" i="58"/>
  <c r="J1030" i="58"/>
  <c r="J1031" i="58"/>
  <c r="J1032" i="58"/>
  <c r="J1033" i="58"/>
  <c r="J1034" i="58"/>
  <c r="J1035" i="58"/>
  <c r="J1036" i="58"/>
  <c r="J1037" i="58"/>
  <c r="J1038" i="58"/>
  <c r="J1039" i="58"/>
  <c r="J1040" i="58"/>
  <c r="J1041" i="58"/>
  <c r="J1042" i="58"/>
  <c r="J1043" i="58"/>
  <c r="J1044" i="58"/>
  <c r="J1045" i="58"/>
  <c r="J1046" i="58"/>
  <c r="J1047" i="58"/>
  <c r="J1048" i="58"/>
  <c r="J1049" i="58"/>
  <c r="J1050" i="58"/>
  <c r="J1051" i="58"/>
  <c r="J1052" i="58"/>
  <c r="J1053" i="58"/>
  <c r="J1054" i="58"/>
  <c r="J1055" i="58"/>
  <c r="J1056" i="58"/>
  <c r="J1057" i="58"/>
  <c r="J1058" i="58"/>
  <c r="J1059" i="58"/>
  <c r="J1060" i="58"/>
  <c r="J1061" i="58"/>
  <c r="J1062" i="58"/>
  <c r="J1063" i="58"/>
  <c r="J1064" i="58"/>
  <c r="J1065" i="58"/>
  <c r="J1066" i="58"/>
  <c r="J1067" i="58"/>
  <c r="J1068" i="58"/>
  <c r="J1069" i="58"/>
  <c r="J1070" i="58"/>
  <c r="J1071" i="58"/>
  <c r="J1072" i="58"/>
  <c r="J1073" i="58"/>
  <c r="J1074" i="58"/>
  <c r="J1075" i="58"/>
  <c r="J1076" i="58"/>
  <c r="J1077" i="58"/>
  <c r="J1078" i="58"/>
  <c r="J1079" i="58"/>
  <c r="J1080" i="58"/>
  <c r="J1081" i="58"/>
  <c r="J1082" i="58"/>
  <c r="J1083" i="58"/>
  <c r="J1084" i="58"/>
  <c r="J1085" i="58"/>
  <c r="J1086" i="58"/>
  <c r="J1087" i="58"/>
  <c r="J1088" i="58"/>
  <c r="J1089" i="58"/>
  <c r="J1090" i="58"/>
  <c r="J1091" i="58"/>
  <c r="J1092" i="58"/>
  <c r="J1093" i="58"/>
  <c r="J1094" i="58"/>
  <c r="J1095" i="58"/>
  <c r="J1096" i="58"/>
  <c r="J1097" i="58"/>
  <c r="J1098" i="58"/>
  <c r="J1099" i="58"/>
  <c r="J1100" i="58"/>
  <c r="J1101" i="58"/>
  <c r="J1102" i="58"/>
  <c r="J1103" i="58"/>
  <c r="J1104" i="58"/>
  <c r="J1105" i="58"/>
  <c r="J1106" i="58"/>
  <c r="J1107" i="58"/>
  <c r="J1108" i="58"/>
  <c r="J1109" i="58"/>
  <c r="J1110" i="58"/>
  <c r="J1111" i="58"/>
  <c r="J1112" i="58"/>
  <c r="J1113" i="58"/>
  <c r="J1114" i="58"/>
  <c r="J1115" i="58"/>
  <c r="J1116" i="58"/>
  <c r="J1117" i="58"/>
  <c r="J1118" i="58"/>
  <c r="J1119" i="58"/>
  <c r="J1120" i="58"/>
  <c r="J1121" i="58"/>
  <c r="J1122" i="58"/>
  <c r="J1123" i="58"/>
  <c r="J1124" i="58"/>
  <c r="J1125" i="58"/>
  <c r="J1126" i="58"/>
  <c r="J1127" i="58"/>
  <c r="J1128" i="58"/>
  <c r="J1129" i="58"/>
  <c r="J1130" i="58"/>
  <c r="J1131" i="58"/>
  <c r="J1132" i="58"/>
  <c r="J1133" i="58"/>
  <c r="J1134" i="58"/>
  <c r="J1135" i="58"/>
  <c r="J1136" i="58"/>
  <c r="J1137" i="58"/>
  <c r="J1138" i="58"/>
  <c r="J1139" i="58"/>
  <c r="J1140" i="58"/>
  <c r="J1141" i="58"/>
  <c r="J1142" i="58"/>
  <c r="J1143" i="58"/>
  <c r="J1144" i="58"/>
  <c r="J1145" i="58"/>
  <c r="J1146" i="58"/>
  <c r="J1147" i="58"/>
  <c r="J1148" i="58"/>
  <c r="J1149" i="58"/>
  <c r="J1150" i="58"/>
  <c r="J1151" i="58"/>
  <c r="J1152" i="58"/>
  <c r="J1153" i="58"/>
  <c r="J1154" i="58"/>
  <c r="J1155" i="58"/>
  <c r="J1156" i="58"/>
  <c r="J1157" i="58"/>
  <c r="J1158" i="58"/>
  <c r="J1159" i="58"/>
  <c r="J1160" i="58"/>
  <c r="J1161" i="58"/>
  <c r="J1162" i="58"/>
  <c r="J1163" i="58"/>
  <c r="J1164" i="58"/>
  <c r="J1165" i="58"/>
  <c r="J1166" i="58"/>
  <c r="J1167" i="58"/>
  <c r="J1168" i="58"/>
  <c r="J1169" i="58"/>
  <c r="J1170" i="58"/>
  <c r="J1171" i="58"/>
  <c r="J1172" i="58"/>
  <c r="J1173" i="58"/>
  <c r="J1174" i="58"/>
  <c r="J1175" i="58"/>
  <c r="J1176" i="58"/>
  <c r="J1177" i="58"/>
  <c r="J1178" i="58"/>
  <c r="J1179" i="58"/>
  <c r="J1180" i="58"/>
  <c r="J1181" i="58"/>
  <c r="J1182" i="58"/>
  <c r="J1183" i="58"/>
  <c r="J1184" i="58"/>
  <c r="J1185" i="58"/>
  <c r="J1186" i="58"/>
  <c r="J1187" i="58"/>
  <c r="J1188" i="58"/>
  <c r="J1189" i="58"/>
  <c r="J1190" i="58"/>
  <c r="J1191" i="58"/>
  <c r="J583" i="58"/>
  <c r="H584" i="58"/>
  <c r="H585" i="58"/>
  <c r="H586" i="58"/>
  <c r="H587" i="58"/>
  <c r="H588" i="58"/>
  <c r="H589" i="58"/>
  <c r="H590" i="58"/>
  <c r="H591" i="58"/>
  <c r="H592" i="58"/>
  <c r="H593" i="58"/>
  <c r="H594" i="58"/>
  <c r="H595" i="58"/>
  <c r="H596" i="58"/>
  <c r="H597" i="58"/>
  <c r="H598" i="58"/>
  <c r="H599" i="58"/>
  <c r="H600" i="58"/>
  <c r="H601" i="58"/>
  <c r="H602" i="58"/>
  <c r="H603" i="58"/>
  <c r="H604" i="58"/>
  <c r="H605" i="58"/>
  <c r="H606" i="58"/>
  <c r="H607" i="58"/>
  <c r="H608" i="58"/>
  <c r="H609" i="58"/>
  <c r="H610" i="58"/>
  <c r="H611" i="58"/>
  <c r="H612" i="58"/>
  <c r="H613" i="58"/>
  <c r="H614" i="58"/>
  <c r="H615" i="58"/>
  <c r="H616" i="58"/>
  <c r="H617" i="58"/>
  <c r="H618" i="58"/>
  <c r="H619" i="58"/>
  <c r="H620" i="58"/>
  <c r="H621" i="58"/>
  <c r="H622" i="58"/>
  <c r="H623" i="58"/>
  <c r="H624" i="58"/>
  <c r="H625" i="58"/>
  <c r="H626" i="58"/>
  <c r="H627" i="58"/>
  <c r="H628" i="58"/>
  <c r="H629" i="58"/>
  <c r="H630" i="58"/>
  <c r="H631" i="58"/>
  <c r="H632" i="58"/>
  <c r="H633" i="58"/>
  <c r="H634" i="58"/>
  <c r="H635" i="58"/>
  <c r="H636" i="58"/>
  <c r="H637" i="58"/>
  <c r="H638" i="58"/>
  <c r="H639" i="58"/>
  <c r="H640" i="58"/>
  <c r="H641" i="58"/>
  <c r="H642" i="58"/>
  <c r="H643" i="58"/>
  <c r="H644" i="58"/>
  <c r="H645" i="58"/>
  <c r="H646" i="58"/>
  <c r="H647" i="58"/>
  <c r="H648" i="58"/>
  <c r="H649" i="58"/>
  <c r="H650" i="58"/>
  <c r="H651" i="58"/>
  <c r="H652" i="58"/>
  <c r="H653" i="58"/>
  <c r="H654" i="58"/>
  <c r="H655" i="58"/>
  <c r="H656" i="58"/>
  <c r="H657" i="58"/>
  <c r="H658" i="58"/>
  <c r="H659" i="58"/>
  <c r="H660" i="58"/>
  <c r="H661" i="58"/>
  <c r="H662" i="58"/>
  <c r="H663" i="58"/>
  <c r="H664" i="58"/>
  <c r="H665" i="58"/>
  <c r="H666" i="58"/>
  <c r="H667" i="58"/>
  <c r="H668" i="58"/>
  <c r="H669" i="58"/>
  <c r="H670" i="58"/>
  <c r="H671" i="58"/>
  <c r="H672" i="58"/>
  <c r="H673" i="58"/>
  <c r="H674" i="58"/>
  <c r="H675" i="58"/>
  <c r="H676" i="58"/>
  <c r="H677" i="58"/>
  <c r="H678" i="58"/>
  <c r="H679" i="58"/>
  <c r="H680" i="58"/>
  <c r="H681" i="58"/>
  <c r="H682" i="58"/>
  <c r="H683" i="58"/>
  <c r="H684" i="58"/>
  <c r="H685" i="58"/>
  <c r="H686" i="58"/>
  <c r="H687" i="58"/>
  <c r="H688" i="58"/>
  <c r="H689" i="58"/>
  <c r="H690" i="58"/>
  <c r="H691" i="58"/>
  <c r="H692" i="58"/>
  <c r="H693" i="58"/>
  <c r="H694" i="58"/>
  <c r="H695" i="58"/>
  <c r="H696" i="58"/>
  <c r="H697" i="58"/>
  <c r="H698" i="58"/>
  <c r="H699" i="58"/>
  <c r="H700" i="58"/>
  <c r="H701" i="58"/>
  <c r="H702" i="58"/>
  <c r="H703" i="58"/>
  <c r="H704" i="58"/>
  <c r="H705" i="58"/>
  <c r="H706" i="58"/>
  <c r="H707" i="58"/>
  <c r="H708" i="58"/>
  <c r="H709" i="58"/>
  <c r="H710" i="58"/>
  <c r="H711" i="58"/>
  <c r="H712" i="58"/>
  <c r="H713" i="58"/>
  <c r="H714" i="58"/>
  <c r="H715" i="58"/>
  <c r="H716" i="58"/>
  <c r="H717" i="58"/>
  <c r="H718" i="58"/>
  <c r="H719" i="58"/>
  <c r="H720" i="58"/>
  <c r="H721" i="58"/>
  <c r="H722" i="58"/>
  <c r="H723" i="58"/>
  <c r="H724" i="58"/>
  <c r="H725" i="58"/>
  <c r="H726" i="58"/>
  <c r="H727" i="58"/>
  <c r="H728" i="58"/>
  <c r="H729" i="58"/>
  <c r="H730" i="58"/>
  <c r="H731" i="58"/>
  <c r="H732" i="58"/>
  <c r="H733" i="58"/>
  <c r="H734" i="58"/>
  <c r="H735" i="58"/>
  <c r="H736" i="58"/>
  <c r="H737" i="58"/>
  <c r="H738" i="58"/>
  <c r="H739" i="58"/>
  <c r="H740" i="58"/>
  <c r="H741" i="58"/>
  <c r="H742" i="58"/>
  <c r="H743" i="58"/>
  <c r="H744" i="58"/>
  <c r="H745" i="58"/>
  <c r="H746" i="58"/>
  <c r="H747" i="58"/>
  <c r="H748" i="58"/>
  <c r="H749" i="58"/>
  <c r="H750" i="58"/>
  <c r="H751" i="58"/>
  <c r="H752" i="58"/>
  <c r="H753" i="58"/>
  <c r="H754" i="58"/>
  <c r="H755" i="58"/>
  <c r="H756" i="58"/>
  <c r="H757" i="58"/>
  <c r="H758" i="58"/>
  <c r="H759" i="58"/>
  <c r="H760" i="58"/>
  <c r="H761" i="58"/>
  <c r="H762" i="58"/>
  <c r="H763" i="58"/>
  <c r="H764" i="58"/>
  <c r="H765" i="58"/>
  <c r="H766" i="58"/>
  <c r="H767" i="58"/>
  <c r="H768" i="58"/>
  <c r="H769" i="58"/>
  <c r="H770" i="58"/>
  <c r="H771" i="58"/>
  <c r="H772" i="58"/>
  <c r="H773" i="58"/>
  <c r="H774" i="58"/>
  <c r="H775" i="58"/>
  <c r="H776" i="58"/>
  <c r="H777" i="58"/>
  <c r="H778" i="58"/>
  <c r="H779" i="58"/>
  <c r="H780" i="58"/>
  <c r="H781" i="58"/>
  <c r="H782" i="58"/>
  <c r="H783" i="58"/>
  <c r="H784" i="58"/>
  <c r="H785" i="58"/>
  <c r="H786" i="58"/>
  <c r="H787" i="58"/>
  <c r="H788" i="58"/>
  <c r="H789" i="58"/>
  <c r="H790" i="58"/>
  <c r="H791" i="58"/>
  <c r="H792" i="58"/>
  <c r="H793" i="58"/>
  <c r="H794" i="58"/>
  <c r="H795" i="58"/>
  <c r="H796" i="58"/>
  <c r="H797" i="58"/>
  <c r="H798" i="58"/>
  <c r="H799" i="58"/>
  <c r="H800" i="58"/>
  <c r="H801" i="58"/>
  <c r="H802" i="58"/>
  <c r="H803" i="58"/>
  <c r="H804" i="58"/>
  <c r="H805" i="58"/>
  <c r="H806" i="58"/>
  <c r="H807" i="58"/>
  <c r="H808" i="58"/>
  <c r="H809" i="58"/>
  <c r="H810" i="58"/>
  <c r="H811" i="58"/>
  <c r="H812" i="58"/>
  <c r="H813" i="58"/>
  <c r="H814" i="58"/>
  <c r="H815" i="58"/>
  <c r="H816" i="58"/>
  <c r="H817" i="58"/>
  <c r="H818" i="58"/>
  <c r="H819" i="58"/>
  <c r="H820" i="58"/>
  <c r="H821" i="58"/>
  <c r="H822" i="58"/>
  <c r="H823" i="58"/>
  <c r="H824" i="58"/>
  <c r="H825" i="58"/>
  <c r="H826" i="58"/>
  <c r="H827" i="58"/>
  <c r="H828" i="58"/>
  <c r="H829" i="58"/>
  <c r="H830" i="58"/>
  <c r="H831" i="58"/>
  <c r="H832" i="58"/>
  <c r="H833" i="58"/>
  <c r="H834" i="58"/>
  <c r="H835" i="58"/>
  <c r="H836" i="58"/>
  <c r="H837" i="58"/>
  <c r="H838" i="58"/>
  <c r="H839" i="58"/>
  <c r="H840" i="58"/>
  <c r="H841" i="58"/>
  <c r="H842" i="58"/>
  <c r="H843" i="58"/>
  <c r="H844" i="58"/>
  <c r="H845" i="58"/>
  <c r="H846" i="58"/>
  <c r="H847" i="58"/>
  <c r="H848" i="58"/>
  <c r="H849" i="58"/>
  <c r="H850" i="58"/>
  <c r="H851" i="58"/>
  <c r="H852" i="58"/>
  <c r="H853" i="58"/>
  <c r="H854" i="58"/>
  <c r="H855" i="58"/>
  <c r="H856" i="58"/>
  <c r="H857" i="58"/>
  <c r="H858" i="58"/>
  <c r="H859" i="58"/>
  <c r="H860" i="58"/>
  <c r="H861" i="58"/>
  <c r="H862" i="58"/>
  <c r="H863" i="58"/>
  <c r="H864" i="58"/>
  <c r="H865" i="58"/>
  <c r="H866" i="58"/>
  <c r="H867" i="58"/>
  <c r="H868" i="58"/>
  <c r="H869" i="58"/>
  <c r="H870" i="58"/>
  <c r="H871" i="58"/>
  <c r="H872" i="58"/>
  <c r="H873" i="58"/>
  <c r="H874" i="58"/>
  <c r="H875" i="58"/>
  <c r="H876" i="58"/>
  <c r="H877" i="58"/>
  <c r="H878" i="58"/>
  <c r="H879" i="58"/>
  <c r="H880" i="58"/>
  <c r="H881" i="58"/>
  <c r="H882" i="58"/>
  <c r="H883" i="58"/>
  <c r="H884" i="58"/>
  <c r="H885" i="58"/>
  <c r="H886" i="58"/>
  <c r="H887" i="58"/>
  <c r="H888" i="58"/>
  <c r="H889" i="58"/>
  <c r="H890" i="58"/>
  <c r="H891" i="58"/>
  <c r="H892" i="58"/>
  <c r="H893" i="58"/>
  <c r="H894" i="58"/>
  <c r="H895" i="58"/>
  <c r="H896" i="58"/>
  <c r="H897" i="58"/>
  <c r="H898" i="58"/>
  <c r="H899" i="58"/>
  <c r="H900" i="58"/>
  <c r="H901" i="58"/>
  <c r="H902" i="58"/>
  <c r="H903" i="58"/>
  <c r="H904" i="58"/>
  <c r="H905" i="58"/>
  <c r="H906" i="58"/>
  <c r="H907" i="58"/>
  <c r="H908" i="58"/>
  <c r="H909" i="58"/>
  <c r="H910" i="58"/>
  <c r="H911" i="58"/>
  <c r="H912" i="58"/>
  <c r="H913" i="58"/>
  <c r="H914" i="58"/>
  <c r="H915" i="58"/>
  <c r="H916" i="58"/>
  <c r="H917" i="58"/>
  <c r="H918" i="58"/>
  <c r="H919" i="58"/>
  <c r="H920" i="58"/>
  <c r="H921" i="58"/>
  <c r="H922" i="58"/>
  <c r="H923" i="58"/>
  <c r="H924" i="58"/>
  <c r="H925" i="58"/>
  <c r="H926" i="58"/>
  <c r="H927" i="58"/>
  <c r="H928" i="58"/>
  <c r="H929" i="58"/>
  <c r="H930" i="58"/>
  <c r="H931" i="58"/>
  <c r="H932" i="58"/>
  <c r="H933" i="58"/>
  <c r="H934" i="58"/>
  <c r="H935" i="58"/>
  <c r="H936" i="58"/>
  <c r="H937" i="58"/>
  <c r="H938" i="58"/>
  <c r="H939" i="58"/>
  <c r="H940" i="58"/>
  <c r="H941" i="58"/>
  <c r="H942" i="58"/>
  <c r="H943" i="58"/>
  <c r="H944" i="58"/>
  <c r="H945" i="58"/>
  <c r="H946" i="58"/>
  <c r="H947" i="58"/>
  <c r="H948" i="58"/>
  <c r="H949" i="58"/>
  <c r="H950" i="58"/>
  <c r="H951" i="58"/>
  <c r="H952" i="58"/>
  <c r="H953" i="58"/>
  <c r="H954" i="58"/>
  <c r="H955" i="58"/>
  <c r="H956" i="58"/>
  <c r="H957" i="58"/>
  <c r="H958" i="58"/>
  <c r="H959" i="58"/>
  <c r="H960" i="58"/>
  <c r="H961" i="58"/>
  <c r="H962" i="58"/>
  <c r="H963" i="58"/>
  <c r="H964" i="58"/>
  <c r="H965" i="58"/>
  <c r="H966" i="58"/>
  <c r="H967" i="58"/>
  <c r="H968" i="58"/>
  <c r="H969" i="58"/>
  <c r="H970" i="58"/>
  <c r="H971" i="58"/>
  <c r="H972" i="58"/>
  <c r="H973" i="58"/>
  <c r="H974" i="58"/>
  <c r="H975" i="58"/>
  <c r="H976" i="58"/>
  <c r="H977" i="58"/>
  <c r="H978" i="58"/>
  <c r="H979" i="58"/>
  <c r="H980" i="58"/>
  <c r="H981" i="58"/>
  <c r="H982" i="58"/>
  <c r="H983" i="58"/>
  <c r="H984" i="58"/>
  <c r="H985" i="58"/>
  <c r="H986" i="58"/>
  <c r="H987" i="58"/>
  <c r="H988" i="58"/>
  <c r="H989" i="58"/>
  <c r="H990" i="58"/>
  <c r="H991" i="58"/>
  <c r="H992" i="58"/>
  <c r="H993" i="58"/>
  <c r="H994" i="58"/>
  <c r="H995" i="58"/>
  <c r="H996" i="58"/>
  <c r="H997" i="58"/>
  <c r="H998" i="58"/>
  <c r="H999" i="58"/>
  <c r="H1000" i="58"/>
  <c r="H1001" i="58"/>
  <c r="H1002" i="58"/>
  <c r="H1003" i="58"/>
  <c r="H1004" i="58"/>
  <c r="H1005" i="58"/>
  <c r="H1006" i="58"/>
  <c r="H1007" i="58"/>
  <c r="H1008" i="58"/>
  <c r="H1009" i="58"/>
  <c r="H1010" i="58"/>
  <c r="H1011" i="58"/>
  <c r="H1012" i="58"/>
  <c r="H1013" i="58"/>
  <c r="H1014" i="58"/>
  <c r="H1015" i="58"/>
  <c r="H1016" i="58"/>
  <c r="H1017" i="58"/>
  <c r="H1018" i="58"/>
  <c r="H1019" i="58"/>
  <c r="H1020" i="58"/>
  <c r="H1021" i="58"/>
  <c r="H1022" i="58"/>
  <c r="H1023" i="58"/>
  <c r="H1024" i="58"/>
  <c r="H1025" i="58"/>
  <c r="H1026" i="58"/>
  <c r="H1027" i="58"/>
  <c r="H1028" i="58"/>
  <c r="H1029" i="58"/>
  <c r="H1030" i="58"/>
  <c r="H1031" i="58"/>
  <c r="H1032" i="58"/>
  <c r="H1033" i="58"/>
  <c r="H1034" i="58"/>
  <c r="H1035" i="58"/>
  <c r="H1036" i="58"/>
  <c r="H1037" i="58"/>
  <c r="H1038" i="58"/>
  <c r="H1039" i="58"/>
  <c r="H1040" i="58"/>
  <c r="H1041" i="58"/>
  <c r="H1042" i="58"/>
  <c r="H1043" i="58"/>
  <c r="H1044" i="58"/>
  <c r="H1045" i="58"/>
  <c r="H1046" i="58"/>
  <c r="H1047" i="58"/>
  <c r="H1048" i="58"/>
  <c r="H1049" i="58"/>
  <c r="H1050" i="58"/>
  <c r="H1051" i="58"/>
  <c r="H1052" i="58"/>
  <c r="H1053" i="58"/>
  <c r="H1054" i="58"/>
  <c r="H1055" i="58"/>
  <c r="H1056" i="58"/>
  <c r="H1057" i="58"/>
  <c r="H1058" i="58"/>
  <c r="H1059" i="58"/>
  <c r="H1060" i="58"/>
  <c r="H1061" i="58"/>
  <c r="H1062" i="58"/>
  <c r="H1063" i="58"/>
  <c r="H1064" i="58"/>
  <c r="H1065" i="58"/>
  <c r="H1066" i="58"/>
  <c r="H1067" i="58"/>
  <c r="H1068" i="58"/>
  <c r="H1069" i="58"/>
  <c r="H1070" i="58"/>
  <c r="H1071" i="58"/>
  <c r="H1072" i="58"/>
  <c r="H1073" i="58"/>
  <c r="H1074" i="58"/>
  <c r="H1075" i="58"/>
  <c r="H1076" i="58"/>
  <c r="H1077" i="58"/>
  <c r="H1078" i="58"/>
  <c r="H1079" i="58"/>
  <c r="H1080" i="58"/>
  <c r="H1081" i="58"/>
  <c r="H1082" i="58"/>
  <c r="H1083" i="58"/>
  <c r="H1084" i="58"/>
  <c r="H1085" i="58"/>
  <c r="H1086" i="58"/>
  <c r="H1087" i="58"/>
  <c r="H1088" i="58"/>
  <c r="H1089" i="58"/>
  <c r="H1090" i="58"/>
  <c r="H1091" i="58"/>
  <c r="H583" i="58"/>
  <c r="F584" i="58"/>
  <c r="F585" i="58"/>
  <c r="F586" i="58"/>
  <c r="F587" i="58"/>
  <c r="F588" i="58"/>
  <c r="F589" i="58"/>
  <c r="F590" i="58"/>
  <c r="F591" i="58"/>
  <c r="F592" i="58"/>
  <c r="F593" i="58"/>
  <c r="F594" i="58"/>
  <c r="F595" i="58"/>
  <c r="F596" i="58"/>
  <c r="F597" i="58"/>
  <c r="F598" i="58"/>
  <c r="F599" i="58"/>
  <c r="F600" i="58"/>
  <c r="F601" i="58"/>
  <c r="F602" i="58"/>
  <c r="F603" i="58"/>
  <c r="F604" i="58"/>
  <c r="F605" i="58"/>
  <c r="F606" i="58"/>
  <c r="F607" i="58"/>
  <c r="F608" i="58"/>
  <c r="F609" i="58"/>
  <c r="F610" i="58"/>
  <c r="F611" i="58"/>
  <c r="F612" i="58"/>
  <c r="F613" i="58"/>
  <c r="F614" i="58"/>
  <c r="F615" i="58"/>
  <c r="F616" i="58"/>
  <c r="F617" i="58"/>
  <c r="F618" i="58"/>
  <c r="F619" i="58"/>
  <c r="F620" i="58"/>
  <c r="F621" i="58"/>
  <c r="F622" i="58"/>
  <c r="F623" i="58"/>
  <c r="F624" i="58"/>
  <c r="F625" i="58"/>
  <c r="F626" i="58"/>
  <c r="F627" i="58"/>
  <c r="F628" i="58"/>
  <c r="F629" i="58"/>
  <c r="F630" i="58"/>
  <c r="F631" i="58"/>
  <c r="F632" i="58"/>
  <c r="F633" i="58"/>
  <c r="F634" i="58"/>
  <c r="F635" i="58"/>
  <c r="F636" i="58"/>
  <c r="F637" i="58"/>
  <c r="F638" i="58"/>
  <c r="F639" i="58"/>
  <c r="F640" i="58"/>
  <c r="F641" i="58"/>
  <c r="F642" i="58"/>
  <c r="F643" i="58"/>
  <c r="F644" i="58"/>
  <c r="F645" i="58"/>
  <c r="F646" i="58"/>
  <c r="F647" i="58"/>
  <c r="F648" i="58"/>
  <c r="F649" i="58"/>
  <c r="F650" i="58"/>
  <c r="F651" i="58"/>
  <c r="F652" i="58"/>
  <c r="F653" i="58"/>
  <c r="F654" i="58"/>
  <c r="F655" i="58"/>
  <c r="F656" i="58"/>
  <c r="F657" i="58"/>
  <c r="F658" i="58"/>
  <c r="F659" i="58"/>
  <c r="F660" i="58"/>
  <c r="F661" i="58"/>
  <c r="F662" i="58"/>
  <c r="F663" i="58"/>
  <c r="F664" i="58"/>
  <c r="F665" i="58"/>
  <c r="F666" i="58"/>
  <c r="F667" i="58"/>
  <c r="F668" i="58"/>
  <c r="F669" i="58"/>
  <c r="F670" i="58"/>
  <c r="F671" i="58"/>
  <c r="F672" i="58"/>
  <c r="F673" i="58"/>
  <c r="F674" i="58"/>
  <c r="F675" i="58"/>
  <c r="F676" i="58"/>
  <c r="F677" i="58"/>
  <c r="F678" i="58"/>
  <c r="F679" i="58"/>
  <c r="F680" i="58"/>
  <c r="F681" i="58"/>
  <c r="F682" i="58"/>
  <c r="F683" i="58"/>
  <c r="F684" i="58"/>
  <c r="F685" i="58"/>
  <c r="F686" i="58"/>
  <c r="F687" i="58"/>
  <c r="F688" i="58"/>
  <c r="F689" i="58"/>
  <c r="F690" i="58"/>
  <c r="F691" i="58"/>
  <c r="F692" i="58"/>
  <c r="F693" i="58"/>
  <c r="F694" i="58"/>
  <c r="F695" i="58"/>
  <c r="F696" i="58"/>
  <c r="F697" i="58"/>
  <c r="F698" i="58"/>
  <c r="F699" i="58"/>
  <c r="F700" i="58"/>
  <c r="F701" i="58"/>
  <c r="F702" i="58"/>
  <c r="F703" i="58"/>
  <c r="F704" i="58"/>
  <c r="F705" i="58"/>
  <c r="F706" i="58"/>
  <c r="F707" i="58"/>
  <c r="F708" i="58"/>
  <c r="F709" i="58"/>
  <c r="F710" i="58"/>
  <c r="F711" i="58"/>
  <c r="F712" i="58"/>
  <c r="F713" i="58"/>
  <c r="F714" i="58"/>
  <c r="F715" i="58"/>
  <c r="F716" i="58"/>
  <c r="F717" i="58"/>
  <c r="F718" i="58"/>
  <c r="F719" i="58"/>
  <c r="F720" i="58"/>
  <c r="F721" i="58"/>
  <c r="F722" i="58"/>
  <c r="F723" i="58"/>
  <c r="F724" i="58"/>
  <c r="F725" i="58"/>
  <c r="F726" i="58"/>
  <c r="F727" i="58"/>
  <c r="F728" i="58"/>
  <c r="F729" i="58"/>
  <c r="F730" i="58"/>
  <c r="F731" i="58"/>
  <c r="F732" i="58"/>
  <c r="F733" i="58"/>
  <c r="F734" i="58"/>
  <c r="F735" i="58"/>
  <c r="F736" i="58"/>
  <c r="F737" i="58"/>
  <c r="F738" i="58"/>
  <c r="F739" i="58"/>
  <c r="F740" i="58"/>
  <c r="F741" i="58"/>
  <c r="F742" i="58"/>
  <c r="F743" i="58"/>
  <c r="F744" i="58"/>
  <c r="F745" i="58"/>
  <c r="F746" i="58"/>
  <c r="F747" i="58"/>
  <c r="F748" i="58"/>
  <c r="F749" i="58"/>
  <c r="F750" i="58"/>
  <c r="F751" i="58"/>
  <c r="F752" i="58"/>
  <c r="F753" i="58"/>
  <c r="F754" i="58"/>
  <c r="F755" i="58"/>
  <c r="F756" i="58"/>
  <c r="F757" i="58"/>
  <c r="F758" i="58"/>
  <c r="F759" i="58"/>
  <c r="F760" i="58"/>
  <c r="F761" i="58"/>
  <c r="F762" i="58"/>
  <c r="F763" i="58"/>
  <c r="F764" i="58"/>
  <c r="F765" i="58"/>
  <c r="F766" i="58"/>
  <c r="F768" i="58"/>
  <c r="F769" i="58"/>
  <c r="F770" i="58"/>
  <c r="F771" i="58"/>
  <c r="F772" i="58"/>
  <c r="F773" i="58"/>
  <c r="F774" i="58"/>
  <c r="F775" i="58"/>
  <c r="F776" i="58"/>
  <c r="F777" i="58"/>
  <c r="F778" i="58"/>
  <c r="F779" i="58"/>
  <c r="F780" i="58"/>
  <c r="F781" i="58"/>
  <c r="F782" i="58"/>
  <c r="F783" i="58"/>
  <c r="F784" i="58"/>
  <c r="F785" i="58"/>
  <c r="F786" i="58"/>
  <c r="F787" i="58"/>
  <c r="F788" i="58"/>
  <c r="F789" i="58"/>
  <c r="F790" i="58"/>
  <c r="F791" i="58"/>
  <c r="F792" i="58"/>
  <c r="F793" i="58"/>
  <c r="F794" i="58"/>
  <c r="F795" i="58"/>
  <c r="F796" i="58"/>
  <c r="F797" i="58"/>
  <c r="F798" i="58"/>
  <c r="F799" i="58"/>
  <c r="F800" i="58"/>
  <c r="F801" i="58"/>
  <c r="F802" i="58"/>
  <c r="F803" i="58"/>
  <c r="F804" i="58"/>
  <c r="F805" i="58"/>
  <c r="F806" i="58"/>
  <c r="F807" i="58"/>
  <c r="F808" i="58"/>
  <c r="F809" i="58"/>
  <c r="F810" i="58"/>
  <c r="F811" i="58"/>
  <c r="F812" i="58"/>
  <c r="F813" i="58"/>
  <c r="F814" i="58"/>
  <c r="F815" i="58"/>
  <c r="F816" i="58"/>
  <c r="F817" i="58"/>
  <c r="F818" i="58"/>
  <c r="F819" i="58"/>
  <c r="F820" i="58"/>
  <c r="F821" i="58"/>
  <c r="F822" i="58"/>
  <c r="F823" i="58"/>
  <c r="F824" i="58"/>
  <c r="F825" i="58"/>
  <c r="F826" i="58"/>
  <c r="F827" i="58"/>
  <c r="F828" i="58"/>
  <c r="F829" i="58"/>
  <c r="F830" i="58"/>
  <c r="F831" i="58"/>
  <c r="F832" i="58"/>
  <c r="F833" i="58"/>
  <c r="F834" i="58"/>
  <c r="F835" i="58"/>
  <c r="F836" i="58"/>
  <c r="F837" i="58"/>
  <c r="F838" i="58"/>
  <c r="F839" i="58"/>
  <c r="F840" i="58"/>
  <c r="F841" i="58"/>
  <c r="F842" i="58"/>
  <c r="F843" i="58"/>
  <c r="F844" i="58"/>
  <c r="F845" i="58"/>
  <c r="F846" i="58"/>
  <c r="F847" i="58"/>
  <c r="F848" i="58"/>
  <c r="F849" i="58"/>
  <c r="F850" i="58"/>
  <c r="F851" i="58"/>
  <c r="F852" i="58"/>
  <c r="F853" i="58"/>
  <c r="F854" i="58"/>
  <c r="F855" i="58"/>
  <c r="F856" i="58"/>
  <c r="F857" i="58"/>
  <c r="F858" i="58"/>
  <c r="F859" i="58"/>
  <c r="F860" i="58"/>
  <c r="F861" i="58"/>
  <c r="F862" i="58"/>
  <c r="F863" i="58"/>
  <c r="F864" i="58"/>
  <c r="F865" i="58"/>
  <c r="F866" i="58"/>
  <c r="F867" i="58"/>
  <c r="F868" i="58"/>
  <c r="F869" i="58"/>
  <c r="F870" i="58"/>
  <c r="F871" i="58"/>
  <c r="F872" i="58"/>
  <c r="F873" i="58"/>
  <c r="F874" i="58"/>
  <c r="F875" i="58"/>
  <c r="F876" i="58"/>
  <c r="F877" i="58"/>
  <c r="F878" i="58"/>
  <c r="F879" i="58"/>
  <c r="F880" i="58"/>
  <c r="F881" i="58"/>
  <c r="F882" i="58"/>
  <c r="F883" i="58"/>
  <c r="F884" i="58"/>
  <c r="F885" i="58"/>
  <c r="F886" i="58"/>
  <c r="F887" i="58"/>
  <c r="F888" i="58"/>
  <c r="F889" i="58"/>
  <c r="F890" i="58"/>
  <c r="F891" i="58"/>
  <c r="F892" i="58"/>
  <c r="F893" i="58"/>
  <c r="F894" i="58"/>
  <c r="F895" i="58"/>
  <c r="F896" i="58"/>
  <c r="F897" i="58"/>
  <c r="F898" i="58"/>
  <c r="F899" i="58"/>
  <c r="F900" i="58"/>
  <c r="F901" i="58"/>
  <c r="F902" i="58"/>
  <c r="F903" i="58"/>
  <c r="F904" i="58"/>
  <c r="F905" i="58"/>
  <c r="F906" i="58"/>
  <c r="F907" i="58"/>
  <c r="F908" i="58"/>
  <c r="F909" i="58"/>
  <c r="F910" i="58"/>
  <c r="F911" i="58"/>
  <c r="F912" i="58"/>
  <c r="F913" i="58"/>
  <c r="F914" i="58"/>
  <c r="F915" i="58"/>
  <c r="F916" i="58"/>
  <c r="F917" i="58"/>
  <c r="F918" i="58"/>
  <c r="F919" i="58"/>
  <c r="F920" i="58"/>
  <c r="F921" i="58"/>
  <c r="F922" i="58"/>
  <c r="F923" i="58"/>
  <c r="F924" i="58"/>
  <c r="F925" i="58"/>
  <c r="F926" i="58"/>
  <c r="F927" i="58"/>
  <c r="F928" i="58"/>
  <c r="F929" i="58"/>
  <c r="F930" i="58"/>
  <c r="F931" i="58"/>
  <c r="F932" i="58"/>
  <c r="F933" i="58"/>
  <c r="F934" i="58"/>
  <c r="F935" i="58"/>
  <c r="F936" i="58"/>
  <c r="F937" i="58"/>
  <c r="F938" i="58"/>
  <c r="F939" i="58"/>
  <c r="F940" i="58"/>
  <c r="F941" i="58"/>
  <c r="F942" i="58"/>
  <c r="F943" i="58"/>
  <c r="F944" i="58"/>
  <c r="F945" i="58"/>
  <c r="F946" i="58"/>
  <c r="F947" i="58"/>
  <c r="F948" i="58"/>
  <c r="F949" i="58"/>
  <c r="F950" i="58"/>
  <c r="F951" i="58"/>
  <c r="F952" i="58"/>
  <c r="F953" i="58"/>
  <c r="F954" i="58"/>
  <c r="F955" i="58"/>
  <c r="F956" i="58"/>
  <c r="F957" i="58"/>
  <c r="F958" i="58"/>
  <c r="F959" i="58"/>
  <c r="F960" i="58"/>
  <c r="F961" i="58"/>
  <c r="F962" i="58"/>
  <c r="F963" i="58"/>
  <c r="F964" i="58"/>
  <c r="F965" i="58"/>
  <c r="F966" i="58"/>
  <c r="F967" i="58"/>
  <c r="F968" i="58"/>
  <c r="F969" i="58"/>
  <c r="F970" i="58"/>
  <c r="F971" i="58"/>
  <c r="F972" i="58"/>
  <c r="F973" i="58"/>
  <c r="F974" i="58"/>
  <c r="F975" i="58"/>
  <c r="F976" i="58"/>
  <c r="F977" i="58"/>
  <c r="F978" i="58"/>
  <c r="F979" i="58"/>
  <c r="F980" i="58"/>
  <c r="F981" i="58"/>
  <c r="F982" i="58"/>
  <c r="F983" i="58"/>
  <c r="F984" i="58"/>
  <c r="F985" i="58"/>
  <c r="F986" i="58"/>
  <c r="F987" i="58"/>
  <c r="F988" i="58"/>
  <c r="F989" i="58"/>
  <c r="F990" i="58"/>
  <c r="F991" i="58"/>
  <c r="F992" i="58"/>
  <c r="F993" i="58"/>
  <c r="F994" i="58"/>
  <c r="F995" i="58"/>
  <c r="F996" i="58"/>
  <c r="F997" i="58"/>
  <c r="F998" i="58"/>
  <c r="F999" i="58"/>
  <c r="F1000" i="58"/>
  <c r="F1001" i="58"/>
  <c r="F1002" i="58"/>
  <c r="F1003" i="58"/>
  <c r="F1004" i="58"/>
  <c r="F1005" i="58"/>
  <c r="F1006" i="58"/>
  <c r="F1007" i="58"/>
  <c r="F1008" i="58"/>
  <c r="F1009" i="58"/>
  <c r="F1010" i="58"/>
  <c r="F1011" i="58"/>
  <c r="F1012" i="58"/>
  <c r="F1013" i="58"/>
  <c r="F1014" i="58"/>
  <c r="F1015" i="58"/>
  <c r="F1016" i="58"/>
  <c r="F1017" i="58"/>
  <c r="F1018" i="58"/>
  <c r="F1019" i="58"/>
  <c r="F1020" i="58"/>
  <c r="F1021" i="58"/>
  <c r="F1022" i="58"/>
  <c r="F1023" i="58"/>
  <c r="F1024" i="58"/>
  <c r="F1025" i="58"/>
  <c r="F1026" i="58"/>
  <c r="F1027" i="58"/>
  <c r="F1028" i="58"/>
  <c r="F1029" i="58"/>
  <c r="F1030" i="58"/>
  <c r="F1031" i="58"/>
  <c r="F1032" i="58"/>
  <c r="F1033" i="58"/>
  <c r="F1034" i="58"/>
  <c r="F1035" i="58"/>
  <c r="F1036" i="58"/>
  <c r="F1037" i="58"/>
  <c r="F1038" i="58"/>
  <c r="F1039" i="58"/>
  <c r="F1040" i="58"/>
  <c r="F1041" i="58"/>
  <c r="F1042" i="58"/>
  <c r="F1043" i="58"/>
  <c r="F1044" i="58"/>
  <c r="F1045" i="58"/>
  <c r="F1046" i="58"/>
  <c r="F1047" i="58"/>
  <c r="F1048" i="58"/>
  <c r="F1049" i="58"/>
  <c r="F1050" i="58"/>
  <c r="F1051" i="58"/>
  <c r="F1052" i="58"/>
  <c r="F1053" i="58"/>
  <c r="F1054" i="58"/>
  <c r="F1055" i="58"/>
  <c r="F1056" i="58"/>
  <c r="F1057" i="58"/>
  <c r="F1058" i="58"/>
  <c r="F1059" i="58"/>
  <c r="F1060" i="58"/>
  <c r="F1061" i="58"/>
  <c r="F1062" i="58"/>
  <c r="F1063" i="58"/>
  <c r="F1064" i="58"/>
  <c r="F1065" i="58"/>
  <c r="F1066" i="58"/>
  <c r="F1067" i="58"/>
  <c r="F1068" i="58"/>
  <c r="F1069" i="58"/>
  <c r="F1070" i="58"/>
  <c r="F1071" i="58"/>
  <c r="F1072" i="58"/>
  <c r="F1073" i="58"/>
  <c r="F1074" i="58"/>
  <c r="F1075" i="58"/>
  <c r="F1076" i="58"/>
  <c r="F1077" i="58"/>
  <c r="F1078" i="58"/>
  <c r="F1079" i="58"/>
  <c r="F1080" i="58"/>
  <c r="F1081" i="58"/>
  <c r="F1082" i="58"/>
  <c r="F1083" i="58"/>
  <c r="F1084" i="58"/>
  <c r="F1085" i="58"/>
  <c r="F1086" i="58"/>
  <c r="F1087" i="58"/>
  <c r="F1088" i="58"/>
  <c r="F1089" i="58"/>
  <c r="F1090" i="58"/>
  <c r="F1091" i="58"/>
  <c r="F1092" i="58"/>
  <c r="F1093" i="58"/>
  <c r="F1094" i="58"/>
  <c r="F1095" i="58"/>
  <c r="F1096" i="58"/>
  <c r="F1097" i="58"/>
  <c r="F1098" i="58"/>
  <c r="F1099" i="58"/>
  <c r="F1100" i="58"/>
  <c r="F1101" i="58"/>
  <c r="F1102" i="58"/>
  <c r="F1103" i="58"/>
  <c r="F1104" i="58"/>
  <c r="F1105" i="58"/>
  <c r="F1106" i="58"/>
  <c r="F1107" i="58"/>
  <c r="F1108" i="58"/>
  <c r="F1109" i="58"/>
  <c r="F1110" i="58"/>
  <c r="F1111" i="58"/>
  <c r="F1112" i="58"/>
  <c r="F1113" i="58"/>
  <c r="F1114" i="58"/>
  <c r="F1115" i="58"/>
  <c r="F1116" i="58"/>
  <c r="F1117" i="58"/>
  <c r="F1118" i="58"/>
  <c r="F1119" i="58"/>
  <c r="F1120" i="58"/>
  <c r="F1121" i="58"/>
  <c r="F1122" i="58"/>
  <c r="F1123" i="58"/>
  <c r="F1124" i="58"/>
  <c r="F1125" i="58"/>
  <c r="F1126" i="58"/>
  <c r="F1127" i="58"/>
  <c r="F1128" i="58"/>
  <c r="F583" i="58"/>
  <c r="D644" i="58"/>
  <c r="D643" i="58"/>
  <c r="D642" i="58"/>
  <c r="D641" i="58"/>
  <c r="D640" i="58"/>
  <c r="D639" i="58"/>
  <c r="D638" i="58"/>
  <c r="D637" i="58"/>
  <c r="D636" i="58"/>
  <c r="D635" i="58"/>
  <c r="D634" i="58"/>
  <c r="D633" i="58"/>
  <c r="D632" i="58"/>
  <c r="D631" i="58"/>
  <c r="D630" i="58"/>
  <c r="D629" i="58"/>
  <c r="D628" i="58"/>
  <c r="D627" i="58"/>
  <c r="D626" i="58"/>
  <c r="D625" i="58"/>
  <c r="D624" i="58"/>
  <c r="D623" i="58"/>
  <c r="D622" i="58"/>
  <c r="D621" i="58"/>
  <c r="D620" i="58"/>
  <c r="D619" i="58"/>
  <c r="D618" i="58"/>
  <c r="D617" i="58"/>
  <c r="D616" i="58"/>
  <c r="D615" i="58"/>
  <c r="D614" i="58"/>
  <c r="D613" i="58"/>
  <c r="D612" i="58"/>
  <c r="D611" i="58"/>
  <c r="D610" i="58"/>
  <c r="D609" i="58"/>
  <c r="D608" i="58"/>
  <c r="D607" i="58"/>
  <c r="D606" i="58"/>
  <c r="D605" i="58"/>
  <c r="D604" i="58"/>
  <c r="D603" i="58"/>
  <c r="D602" i="58"/>
  <c r="D601" i="58"/>
  <c r="D600" i="58"/>
  <c r="D599" i="58"/>
  <c r="D598" i="58"/>
  <c r="D597" i="58"/>
  <c r="D596" i="58"/>
  <c r="D595" i="58"/>
  <c r="D594" i="58"/>
  <c r="D593" i="58"/>
  <c r="D592" i="58"/>
  <c r="D591" i="58"/>
  <c r="D590" i="58"/>
  <c r="D589" i="58"/>
  <c r="D588" i="58"/>
  <c r="D587" i="58"/>
  <c r="D586" i="58"/>
  <c r="D585" i="58"/>
  <c r="D584" i="58"/>
  <c r="D583" i="58"/>
  <c r="B640" i="58"/>
  <c r="B641" i="58" s="1"/>
  <c r="B642" i="58" s="1"/>
  <c r="B643" i="58" s="1"/>
  <c r="B644" i="58" s="1"/>
  <c r="B633" i="58"/>
  <c r="B634" i="58" s="1"/>
  <c r="B635" i="58" s="1"/>
  <c r="B636" i="58" s="1"/>
  <c r="B637" i="58" s="1"/>
  <c r="B638" i="58" s="1"/>
  <c r="B626" i="58"/>
  <c r="B627" i="58" s="1"/>
  <c r="B628" i="58" s="1"/>
  <c r="B629" i="58" s="1"/>
  <c r="B630" i="58" s="1"/>
  <c r="B631" i="58" s="1"/>
  <c r="B619" i="58"/>
  <c r="B620" i="58" s="1"/>
  <c r="B621" i="58" s="1"/>
  <c r="B622" i="58" s="1"/>
  <c r="B623" i="58" s="1"/>
  <c r="B624" i="58" s="1"/>
  <c r="B612" i="58"/>
  <c r="B613" i="58" s="1"/>
  <c r="B614" i="58" s="1"/>
  <c r="B615" i="58" s="1"/>
  <c r="B616" i="58" s="1"/>
  <c r="B617" i="58" s="1"/>
  <c r="B606" i="58"/>
  <c r="B607" i="58" s="1"/>
  <c r="B608" i="58" s="1"/>
  <c r="B609" i="58" s="1"/>
  <c r="B610" i="58" s="1"/>
  <c r="B598" i="58"/>
  <c r="B599" i="58" s="1"/>
  <c r="B600" i="58" s="1"/>
  <c r="B601" i="58" s="1"/>
  <c r="B602" i="58" s="1"/>
  <c r="B603" i="58" s="1"/>
  <c r="B591" i="58"/>
  <c r="B592" i="58" s="1"/>
  <c r="B593" i="58" s="1"/>
  <c r="B594" i="58" s="1"/>
  <c r="B595" i="58" s="1"/>
  <c r="B596" i="58" s="1"/>
  <c r="B584" i="58"/>
  <c r="B585" i="58" s="1"/>
  <c r="B586" i="58" s="1"/>
  <c r="B587" i="58" s="1"/>
  <c r="B588" i="58" s="1"/>
  <c r="B589" i="58" s="1"/>
  <c r="E5364" i="7"/>
  <c r="K5363" i="7"/>
  <c r="L5364" i="7" s="1"/>
  <c r="E5363" i="7"/>
  <c r="E5362" i="7"/>
  <c r="K5361" i="7"/>
  <c r="L5362" i="7" s="1"/>
  <c r="E5361" i="7"/>
  <c r="E5360" i="7"/>
  <c r="E5359" i="7"/>
  <c r="L5358" i="7"/>
  <c r="E5358" i="7"/>
  <c r="E5357" i="7"/>
  <c r="L5356" i="7"/>
  <c r="E5356" i="7"/>
  <c r="E5355" i="7"/>
  <c r="L5354" i="7"/>
  <c r="E5354" i="7"/>
  <c r="E5353" i="7"/>
  <c r="L5352" i="7"/>
  <c r="E5352" i="7"/>
  <c r="E5351" i="7"/>
  <c r="E5350" i="7"/>
  <c r="E5349" i="7"/>
  <c r="E5348" i="7"/>
  <c r="E5347" i="7"/>
  <c r="L5346" i="7"/>
  <c r="E5346" i="7"/>
  <c r="E5345" i="7"/>
  <c r="E5344" i="7"/>
  <c r="E5343" i="7"/>
  <c r="E5340" i="7"/>
  <c r="E5339" i="7"/>
  <c r="E5338" i="7"/>
  <c r="E5337" i="7"/>
  <c r="E5336" i="7"/>
  <c r="E5335" i="7"/>
  <c r="E5334" i="7"/>
  <c r="E5333" i="7"/>
  <c r="E5332" i="7"/>
  <c r="E5331" i="7"/>
  <c r="E5330" i="7"/>
  <c r="E5329" i="7"/>
  <c r="E5328" i="7"/>
  <c r="E5327" i="7"/>
  <c r="E5326" i="7"/>
  <c r="K5325" i="7"/>
  <c r="L5326" i="7" s="1"/>
  <c r="E5325" i="7"/>
  <c r="E5324" i="7"/>
  <c r="E5323" i="7"/>
  <c r="E5322" i="7"/>
  <c r="E5321" i="7"/>
  <c r="L5320" i="7"/>
  <c r="E5320" i="7"/>
  <c r="E5319" i="7"/>
  <c r="L5318" i="7"/>
  <c r="E5318" i="7"/>
  <c r="E5317" i="7"/>
  <c r="L5316" i="7"/>
  <c r="E5316" i="7"/>
  <c r="E5315" i="7"/>
  <c r="L5314" i="7"/>
  <c r="E5314" i="7"/>
  <c r="E5313" i="7"/>
  <c r="E5312" i="7"/>
  <c r="E5311" i="7"/>
  <c r="E5310" i="7"/>
  <c r="E5309" i="7"/>
  <c r="L5308" i="7"/>
  <c r="E5308" i="7"/>
  <c r="E5307" i="7"/>
  <c r="E5306" i="7"/>
  <c r="E5305" i="7"/>
  <c r="E5304" i="7"/>
  <c r="E5303" i="7"/>
  <c r="E5302" i="7"/>
  <c r="E5301" i="7"/>
  <c r="E5300" i="7"/>
  <c r="E5299" i="7"/>
  <c r="E5298" i="7"/>
  <c r="E5297" i="7"/>
  <c r="E5296" i="7"/>
  <c r="E5295" i="7"/>
  <c r="E5294" i="7"/>
  <c r="E5293" i="7"/>
  <c r="E5292" i="7"/>
  <c r="E5291" i="7"/>
  <c r="E5290" i="7"/>
  <c r="E5289" i="7"/>
  <c r="E5288" i="7"/>
  <c r="E5287" i="7"/>
  <c r="E5286" i="7"/>
  <c r="E5285" i="7"/>
  <c r="E5284" i="7"/>
  <c r="E5283" i="7"/>
  <c r="E5282" i="7"/>
  <c r="E5281" i="7"/>
  <c r="E5280" i="7"/>
  <c r="E5279" i="7"/>
  <c r="E5278" i="7"/>
  <c r="E5277" i="7"/>
  <c r="E5276" i="7"/>
  <c r="E5275" i="7"/>
  <c r="E5274" i="7"/>
  <c r="E5273" i="7"/>
  <c r="E5272" i="7"/>
  <c r="E5271" i="7"/>
  <c r="E5270" i="7"/>
  <c r="E5269" i="7"/>
  <c r="E5268" i="7"/>
  <c r="E5267" i="7"/>
  <c r="E5266" i="7"/>
  <c r="E5265" i="7"/>
  <c r="E5264" i="7"/>
  <c r="E5263" i="7"/>
  <c r="E5262" i="7"/>
  <c r="E5261" i="7"/>
  <c r="E5260" i="7"/>
  <c r="E5259" i="7"/>
  <c r="E5258" i="7"/>
  <c r="K5257" i="7"/>
  <c r="L5258" i="7" s="1"/>
  <c r="E5257" i="7"/>
  <c r="E5256" i="7"/>
  <c r="K5255" i="7"/>
  <c r="L5256" i="7" s="1"/>
  <c r="E5255" i="7"/>
  <c r="E5254" i="7"/>
  <c r="E5253" i="7"/>
  <c r="L5252" i="7"/>
  <c r="E5252" i="7"/>
  <c r="E5251" i="7"/>
  <c r="L5250" i="7"/>
  <c r="E5250" i="7"/>
  <c r="E5249" i="7"/>
  <c r="L5248" i="7"/>
  <c r="E5248" i="7"/>
  <c r="E5247" i="7"/>
  <c r="L5246" i="7"/>
  <c r="E5246" i="7"/>
  <c r="E5245" i="7"/>
  <c r="E5244" i="7"/>
  <c r="E5243" i="7"/>
  <c r="E5242" i="7"/>
  <c r="E5241" i="7"/>
  <c r="L5240" i="7"/>
  <c r="E5240" i="7"/>
  <c r="E5239" i="7"/>
  <c r="E5238" i="7"/>
  <c r="E5237" i="7"/>
  <c r="E5236" i="7"/>
  <c r="E5235" i="7"/>
  <c r="E5234" i="7"/>
  <c r="E5233" i="7"/>
  <c r="E5232" i="7"/>
  <c r="E5231" i="7"/>
  <c r="E5230" i="7"/>
  <c r="E5229" i="7"/>
  <c r="E5228" i="7"/>
  <c r="E5227" i="7"/>
  <c r="E5226" i="7"/>
  <c r="E5225" i="7"/>
  <c r="E5224" i="7"/>
  <c r="E5223" i="7"/>
  <c r="E5222" i="7"/>
  <c r="E5221" i="7"/>
  <c r="E5220" i="7"/>
  <c r="E5219" i="7"/>
  <c r="E5218" i="7"/>
  <c r="E5217" i="7"/>
  <c r="E5216" i="7"/>
  <c r="E5215" i="7"/>
  <c r="E5214" i="7"/>
  <c r="E5213" i="7"/>
  <c r="E5212" i="7"/>
  <c r="E5211" i="7"/>
  <c r="E5210" i="7"/>
  <c r="E5209" i="7"/>
  <c r="E5208" i="7"/>
  <c r="E5207" i="7"/>
  <c r="E5206" i="7"/>
  <c r="E5205" i="7"/>
  <c r="E5204" i="7"/>
  <c r="E5203" i="7"/>
  <c r="E5202" i="7"/>
  <c r="E5201" i="7"/>
  <c r="E5200" i="7"/>
  <c r="E5199" i="7"/>
  <c r="E5198" i="7"/>
  <c r="E5197" i="7"/>
  <c r="E5196" i="7"/>
  <c r="E5195" i="7"/>
  <c r="E5194" i="7"/>
  <c r="E5193" i="7"/>
  <c r="E5192" i="7"/>
  <c r="E5191" i="7"/>
  <c r="E5190" i="7"/>
  <c r="E5189" i="7"/>
  <c r="E5188" i="7"/>
  <c r="E5187" i="7"/>
  <c r="E5186" i="7"/>
  <c r="E5185" i="7"/>
  <c r="E5184" i="7"/>
  <c r="E5183" i="7"/>
  <c r="E5182" i="7"/>
  <c r="E5181" i="7"/>
  <c r="E5180" i="7"/>
  <c r="E5179" i="7"/>
  <c r="E5178" i="7"/>
  <c r="E5177" i="7"/>
  <c r="E5176" i="7"/>
  <c r="E5175" i="7"/>
  <c r="E5174" i="7"/>
  <c r="E5173" i="7"/>
  <c r="E5172" i="7"/>
  <c r="E5171" i="7"/>
  <c r="E5170" i="7"/>
  <c r="K5169" i="7"/>
  <c r="L5170" i="7" s="1"/>
  <c r="E5169" i="7"/>
  <c r="E5168" i="7"/>
  <c r="K5167" i="7"/>
  <c r="L5168" i="7" s="1"/>
  <c r="E5167" i="7"/>
  <c r="E5166" i="7"/>
  <c r="E5165" i="7"/>
  <c r="L5164" i="7"/>
  <c r="E5164" i="7"/>
  <c r="E5163" i="7"/>
  <c r="L5162" i="7"/>
  <c r="E5162" i="7"/>
  <c r="E5161" i="7"/>
  <c r="L5160" i="7"/>
  <c r="E5160" i="7"/>
  <c r="E5159" i="7"/>
  <c r="L5158" i="7"/>
  <c r="E5158" i="7"/>
  <c r="E5157" i="7"/>
  <c r="E5156" i="7"/>
  <c r="E5155" i="7"/>
  <c r="E5154" i="7"/>
  <c r="E5153" i="7"/>
  <c r="L5152" i="7"/>
  <c r="E5152" i="7"/>
  <c r="E5151" i="7"/>
  <c r="E5150" i="7"/>
  <c r="E5149" i="7"/>
  <c r="E5148" i="7"/>
  <c r="E5147" i="7"/>
  <c r="E5146" i="7"/>
  <c r="E5145" i="7"/>
  <c r="E5144" i="7"/>
  <c r="L5143" i="7"/>
  <c r="E5143" i="7"/>
  <c r="E5142" i="7"/>
  <c r="L5141" i="7"/>
  <c r="E5141" i="7"/>
  <c r="E5140" i="7"/>
  <c r="E5139" i="7"/>
  <c r="E5138" i="7"/>
  <c r="E5137" i="7"/>
  <c r="E5136" i="7"/>
  <c r="E5135" i="7"/>
  <c r="E5134" i="7"/>
  <c r="E5133" i="7"/>
  <c r="E5132" i="7"/>
  <c r="E5131" i="7"/>
  <c r="E5130" i="7"/>
  <c r="E5129" i="7"/>
  <c r="E5128" i="7"/>
  <c r="E5127" i="7"/>
  <c r="E5126" i="7"/>
  <c r="E5125" i="7"/>
  <c r="E5124" i="7"/>
  <c r="E5123" i="7"/>
  <c r="E5122" i="7"/>
  <c r="E5121" i="7"/>
  <c r="E5120" i="7"/>
  <c r="E5119" i="7"/>
  <c r="E5118" i="7"/>
  <c r="E5117" i="7"/>
  <c r="E5116" i="7"/>
  <c r="E5115" i="7"/>
  <c r="E5114" i="7"/>
  <c r="E5113" i="7"/>
  <c r="E5112" i="7"/>
  <c r="E5111" i="7"/>
  <c r="E5110" i="7"/>
  <c r="E5109" i="7"/>
  <c r="E5108" i="7"/>
  <c r="E5107" i="7"/>
  <c r="E5106" i="7"/>
  <c r="E5105" i="7"/>
  <c r="E5104" i="7"/>
  <c r="E5103" i="7"/>
  <c r="E5102" i="7"/>
  <c r="E5101" i="7"/>
  <c r="E5100" i="7"/>
  <c r="K5099" i="7"/>
  <c r="L5100" i="7" s="1"/>
  <c r="E5099" i="7"/>
  <c r="E5098" i="7"/>
  <c r="K5097" i="7"/>
  <c r="L5098" i="7" s="1"/>
  <c r="E5097" i="7"/>
  <c r="E5096" i="7"/>
  <c r="E5095" i="7"/>
  <c r="L5094" i="7"/>
  <c r="E5094" i="7"/>
  <c r="E5093" i="7"/>
  <c r="L5092" i="7"/>
  <c r="E5092" i="7"/>
  <c r="E5091" i="7"/>
  <c r="L5090" i="7"/>
  <c r="E5090" i="7"/>
  <c r="E5089" i="7"/>
  <c r="L5088" i="7"/>
  <c r="E5088" i="7"/>
  <c r="E5087" i="7"/>
  <c r="E5086" i="7"/>
  <c r="E5085" i="7"/>
  <c r="E5084" i="7"/>
  <c r="E5083" i="7"/>
  <c r="L5082" i="7"/>
  <c r="E5082" i="7"/>
  <c r="E5081" i="7"/>
  <c r="E5080" i="7"/>
  <c r="E5079" i="7"/>
  <c r="E5078" i="7"/>
  <c r="E5077" i="7"/>
  <c r="E5076" i="7"/>
  <c r="E5075" i="7"/>
  <c r="E5074" i="7"/>
  <c r="E5073" i="7"/>
  <c r="E5072" i="7"/>
  <c r="E5071" i="7"/>
  <c r="E5070" i="7"/>
  <c r="E5069" i="7"/>
  <c r="E5068" i="7"/>
  <c r="E5067" i="7"/>
  <c r="E5066" i="7"/>
  <c r="E5065" i="7"/>
  <c r="E5064" i="7"/>
  <c r="E5063" i="7"/>
  <c r="E5062" i="7"/>
  <c r="E5061" i="7"/>
  <c r="E5060" i="7"/>
  <c r="E5059" i="7"/>
  <c r="E5058" i="7"/>
  <c r="E5057" i="7"/>
  <c r="E5056" i="7"/>
  <c r="E5055" i="7"/>
  <c r="E5054" i="7"/>
  <c r="E5053" i="7"/>
  <c r="E5052" i="7"/>
  <c r="E5051" i="7"/>
  <c r="E5050" i="7"/>
  <c r="E5049" i="7"/>
  <c r="E5048" i="7"/>
  <c r="E5047" i="7"/>
  <c r="E5046" i="7"/>
  <c r="E5045" i="7"/>
  <c r="E5044" i="7"/>
  <c r="E5043" i="7"/>
  <c r="E5042" i="7"/>
  <c r="E5041" i="7"/>
  <c r="E5040" i="7"/>
  <c r="E5039" i="7"/>
  <c r="E5038" i="7"/>
  <c r="E5037" i="7"/>
  <c r="E5036" i="7"/>
  <c r="E5035" i="7"/>
  <c r="E5034" i="7"/>
  <c r="E5033" i="7"/>
  <c r="E5032" i="7"/>
  <c r="E5031" i="7"/>
  <c r="E5030" i="7"/>
  <c r="E5029" i="7"/>
  <c r="E5028" i="7"/>
  <c r="E5027" i="7"/>
  <c r="E5026" i="7"/>
  <c r="E5025" i="7"/>
  <c r="E5024" i="7"/>
  <c r="E5023" i="7"/>
  <c r="E5022" i="7"/>
  <c r="E5021" i="7"/>
  <c r="E5020" i="7"/>
  <c r="E5019" i="7"/>
  <c r="E5018" i="7"/>
  <c r="E5017" i="7"/>
  <c r="E5016" i="7"/>
  <c r="K5015" i="7"/>
  <c r="L5016" i="7" s="1"/>
  <c r="E5015" i="7"/>
  <c r="E5014" i="7"/>
  <c r="K5013" i="7"/>
  <c r="L5014" i="7" s="1"/>
  <c r="E5013" i="7"/>
  <c r="E5012" i="7"/>
  <c r="E5011" i="7"/>
  <c r="L5010" i="7"/>
  <c r="E5010" i="7"/>
  <c r="E5009" i="7"/>
  <c r="L5008" i="7"/>
  <c r="E5008" i="7"/>
  <c r="E5007" i="7"/>
  <c r="L5006" i="7"/>
  <c r="E5006" i="7"/>
  <c r="E5005" i="7"/>
  <c r="L5004" i="7"/>
  <c r="E5004" i="7"/>
  <c r="E5003" i="7"/>
  <c r="E5002" i="7"/>
  <c r="E5001" i="7"/>
  <c r="E5000" i="7"/>
  <c r="E4999" i="7"/>
  <c r="L4998" i="7"/>
  <c r="E4998" i="7"/>
  <c r="E4997" i="7"/>
  <c r="E4996" i="7"/>
  <c r="E4995" i="7"/>
  <c r="E4994" i="7"/>
  <c r="E4993" i="7"/>
  <c r="E4992" i="7"/>
  <c r="E4991" i="7"/>
  <c r="E4990" i="7"/>
  <c r="E4989" i="7"/>
  <c r="E4988" i="7"/>
  <c r="E4987" i="7"/>
  <c r="E4986" i="7"/>
  <c r="E4985" i="7"/>
  <c r="E4984" i="7"/>
  <c r="E4983" i="7"/>
  <c r="E4982" i="7"/>
  <c r="E4981" i="7"/>
  <c r="E4980" i="7"/>
  <c r="E4979" i="7"/>
  <c r="E4978" i="7"/>
  <c r="E4977" i="7"/>
  <c r="K4976" i="7"/>
  <c r="L4977" i="7" s="1"/>
  <c r="E4976" i="7"/>
  <c r="E4975" i="7"/>
  <c r="K4974" i="7"/>
  <c r="L4975" i="7" s="1"/>
  <c r="E4974" i="7"/>
  <c r="E4973" i="7"/>
  <c r="E4972" i="7"/>
  <c r="L4971" i="7"/>
  <c r="E4971" i="7"/>
  <c r="E4970" i="7"/>
  <c r="L4969" i="7"/>
  <c r="E4969" i="7"/>
  <c r="E4968" i="7"/>
  <c r="L4967" i="7"/>
  <c r="E4967" i="7"/>
  <c r="E4966" i="7"/>
  <c r="L4965" i="7"/>
  <c r="E4965" i="7"/>
  <c r="E4964" i="7"/>
  <c r="E4963" i="7"/>
  <c r="E4962" i="7"/>
  <c r="E4961" i="7"/>
  <c r="E4960" i="7"/>
  <c r="L4959" i="7"/>
  <c r="E4959" i="7"/>
  <c r="E4958" i="7"/>
  <c r="E4957" i="7"/>
  <c r="E4956" i="7"/>
  <c r="E4955" i="7"/>
  <c r="E4954" i="7"/>
  <c r="E4953" i="7"/>
  <c r="E4952" i="7"/>
  <c r="E4951" i="7"/>
  <c r="E4950" i="7"/>
  <c r="E4949" i="7"/>
  <c r="E4948" i="7"/>
  <c r="E4947" i="7"/>
  <c r="E4946" i="7"/>
  <c r="K4945" i="7"/>
  <c r="L4946" i="7" s="1"/>
  <c r="E4945" i="7"/>
  <c r="L4944" i="7"/>
  <c r="E4944" i="7"/>
  <c r="E4943" i="7"/>
  <c r="E4942" i="7"/>
  <c r="E4941" i="7"/>
  <c r="L4940" i="7"/>
  <c r="E4940" i="7"/>
  <c r="E4939" i="7"/>
  <c r="L4938" i="7"/>
  <c r="E4938" i="7"/>
  <c r="E4937" i="7"/>
  <c r="L4936" i="7"/>
  <c r="E4936" i="7"/>
  <c r="E4935" i="7"/>
  <c r="L4934" i="7"/>
  <c r="E4934" i="7"/>
  <c r="E4933" i="7"/>
  <c r="E4932" i="7"/>
  <c r="E4931" i="7"/>
  <c r="E4930" i="7"/>
  <c r="E4929" i="7"/>
  <c r="L4928" i="7"/>
  <c r="E4928" i="7"/>
  <c r="E4927" i="7"/>
  <c r="E4926" i="7"/>
  <c r="E4925" i="7"/>
  <c r="E4924" i="7"/>
  <c r="E4923" i="7"/>
  <c r="E4922" i="7"/>
  <c r="E4921" i="7"/>
  <c r="E4920" i="7"/>
  <c r="E4919" i="7"/>
  <c r="E4918" i="7"/>
  <c r="E4917" i="7"/>
  <c r="E4916" i="7"/>
  <c r="E4915" i="7"/>
  <c r="E4914" i="7"/>
  <c r="E4913" i="7"/>
  <c r="E4912" i="7"/>
  <c r="E4911" i="7"/>
  <c r="E4910" i="7"/>
  <c r="E4909" i="7"/>
  <c r="E4908" i="7"/>
  <c r="E4907" i="7"/>
  <c r="E4906" i="7"/>
  <c r="E4905" i="7"/>
  <c r="E4904" i="7"/>
  <c r="E4903" i="7"/>
  <c r="E4902" i="7"/>
  <c r="E4901" i="7"/>
  <c r="E4900" i="7"/>
  <c r="E4899" i="7"/>
  <c r="E4898" i="7"/>
  <c r="E4897" i="7"/>
  <c r="E4896" i="7"/>
  <c r="E4895" i="7"/>
  <c r="E4894" i="7"/>
  <c r="E4893" i="7"/>
  <c r="M4892" i="7"/>
  <c r="E4892" i="7"/>
  <c r="E4891" i="7"/>
  <c r="E4890" i="7"/>
  <c r="E4889" i="7"/>
  <c r="E4888" i="7"/>
  <c r="E4887" i="7"/>
  <c r="E4886" i="7"/>
  <c r="E4885" i="7"/>
  <c r="E4884" i="7"/>
  <c r="E4883" i="7"/>
  <c r="E4882" i="7"/>
  <c r="E4881" i="7"/>
  <c r="E4880" i="7"/>
  <c r="E4879" i="7"/>
  <c r="E4878" i="7"/>
  <c r="E4877" i="7"/>
  <c r="E4876" i="7"/>
  <c r="E4875" i="7"/>
  <c r="E4874" i="7"/>
  <c r="E4873" i="7"/>
  <c r="E4872" i="7"/>
  <c r="E4871" i="7"/>
  <c r="E4870" i="7"/>
  <c r="E4869" i="7"/>
  <c r="E4868" i="7"/>
  <c r="E4867" i="7"/>
  <c r="E4866" i="7"/>
  <c r="E4865" i="7"/>
  <c r="E4864" i="7"/>
  <c r="E4863" i="7"/>
  <c r="E4862" i="7"/>
  <c r="E4861" i="7"/>
  <c r="E4860" i="7"/>
  <c r="E4859" i="7"/>
  <c r="E4858" i="7"/>
  <c r="E4857" i="7"/>
  <c r="E4856" i="7"/>
  <c r="E4855" i="7"/>
  <c r="E4854" i="7"/>
  <c r="E4853" i="7"/>
  <c r="E4852" i="7"/>
  <c r="E4851" i="7"/>
  <c r="E4850" i="7"/>
  <c r="E4849" i="7"/>
  <c r="E4848" i="7"/>
  <c r="E4847" i="7"/>
  <c r="E4846" i="7"/>
  <c r="E4845" i="7"/>
  <c r="E4844" i="7"/>
  <c r="E4843" i="7"/>
  <c r="E4842" i="7"/>
  <c r="E4841" i="7"/>
  <c r="E4840" i="7"/>
  <c r="E4839" i="7"/>
  <c r="E4838" i="7"/>
  <c r="E4837" i="7"/>
  <c r="E4836" i="7"/>
  <c r="E4835" i="7"/>
  <c r="E4834" i="7"/>
  <c r="E4833" i="7"/>
  <c r="E4832" i="7"/>
  <c r="E4831" i="7"/>
  <c r="E4830" i="7"/>
  <c r="E4829" i="7"/>
  <c r="E4828" i="7"/>
  <c r="E4827" i="7"/>
  <c r="E4826" i="7"/>
  <c r="E4825" i="7"/>
  <c r="E4824" i="7"/>
  <c r="E4823" i="7"/>
  <c r="E4822" i="7"/>
  <c r="E4821" i="7"/>
  <c r="E4820" i="7"/>
  <c r="E4819" i="7"/>
  <c r="E4818" i="7"/>
  <c r="E4817" i="7"/>
  <c r="E4815" i="7"/>
  <c r="E4814" i="7"/>
  <c r="E4813" i="7"/>
  <c r="E4812" i="7"/>
  <c r="E4811" i="7"/>
  <c r="E4810" i="7"/>
  <c r="E4809" i="7"/>
  <c r="E4808" i="7"/>
  <c r="E4807" i="7"/>
  <c r="E4806" i="7"/>
  <c r="E4805" i="7"/>
  <c r="E4804" i="7"/>
  <c r="E4803" i="7"/>
  <c r="E4802" i="7"/>
  <c r="E4801" i="7"/>
  <c r="E4800" i="7"/>
  <c r="E4799" i="7"/>
  <c r="E4798" i="7"/>
  <c r="E4797" i="7"/>
  <c r="E4796" i="7"/>
  <c r="K4774" i="7"/>
  <c r="N4440" i="7"/>
  <c r="H463" i="58" l="1"/>
  <c r="J463" i="58"/>
  <c r="D463" i="58"/>
  <c r="F463" i="58"/>
  <c r="L463" i="58"/>
  <c r="E4767" i="7"/>
  <c r="E4766" i="7"/>
  <c r="E4751" i="7"/>
  <c r="E4750" i="7"/>
  <c r="E4745" i="7"/>
  <c r="E4744" i="7"/>
  <c r="E4741" i="7"/>
  <c r="E4739" i="7"/>
  <c r="E4738" i="7"/>
  <c r="E4775" i="7" l="1"/>
  <c r="E4774" i="7"/>
  <c r="B645" i="58"/>
  <c r="E4769" i="7"/>
  <c r="E4773" i="7"/>
  <c r="E4772" i="7"/>
  <c r="E4771" i="7"/>
  <c r="E4770" i="7"/>
  <c r="E4768" i="7"/>
  <c r="E4765" i="7"/>
  <c r="E4764" i="7"/>
  <c r="E4763" i="7"/>
  <c r="E4762" i="7"/>
  <c r="E4761" i="7"/>
  <c r="E4760" i="7"/>
  <c r="E4759" i="7"/>
  <c r="E4758" i="7"/>
  <c r="E4757" i="7"/>
  <c r="E4756" i="7"/>
  <c r="E4795" i="7"/>
  <c r="E4794" i="7"/>
  <c r="E4793" i="7"/>
  <c r="E4792" i="7"/>
  <c r="E4791" i="7"/>
  <c r="E4790" i="7"/>
  <c r="L4789" i="7"/>
  <c r="E4789" i="7"/>
  <c r="E4788" i="7"/>
  <c r="L4787" i="7"/>
  <c r="E4787" i="7"/>
  <c r="E4786" i="7"/>
  <c r="L4785" i="7"/>
  <c r="E4785" i="7"/>
  <c r="E4784" i="7"/>
  <c r="L4783" i="7"/>
  <c r="E4783" i="7"/>
  <c r="E4782" i="7"/>
  <c r="E4781" i="7"/>
  <c r="E4780" i="7"/>
  <c r="E4779" i="7"/>
  <c r="E4778" i="7"/>
  <c r="L4777" i="7"/>
  <c r="E4777" i="7"/>
  <c r="E4776" i="7"/>
  <c r="E4749" i="7" l="1"/>
  <c r="E4748" i="7"/>
  <c r="D645" i="58" l="1"/>
  <c r="E4735" i="7"/>
  <c r="E4734" i="7"/>
  <c r="E4733" i="7"/>
  <c r="E4753" i="7"/>
  <c r="E4752" i="7"/>
  <c r="E4755" i="7"/>
  <c r="E4754" i="7"/>
  <c r="E4747" i="7" l="1"/>
  <c r="E4746" i="7"/>
  <c r="E4743" i="7" l="1"/>
  <c r="E4742" i="7"/>
  <c r="E4740" i="7"/>
  <c r="E4737" i="7"/>
  <c r="E4736" i="7"/>
  <c r="E4732" i="7"/>
  <c r="E4731" i="7"/>
  <c r="E4730" i="7"/>
  <c r="E4729" i="7"/>
  <c r="E4728" i="7"/>
  <c r="E4727" i="7"/>
  <c r="E4726" i="7"/>
  <c r="E4725" i="7"/>
  <c r="E4724" i="7"/>
  <c r="E4723" i="7"/>
  <c r="E4722" i="7"/>
  <c r="E4721" i="7"/>
  <c r="E4720" i="7"/>
  <c r="E4719" i="7"/>
  <c r="E4718" i="7"/>
  <c r="E4717" i="7" l="1"/>
  <c r="E4716" i="7"/>
  <c r="L4703" i="7" l="1"/>
  <c r="E4715" i="7"/>
  <c r="K4714" i="7"/>
  <c r="L4715" i="7" s="1"/>
  <c r="E4714" i="7"/>
  <c r="E4713" i="7"/>
  <c r="K4712" i="7"/>
  <c r="L4713" i="7" s="1"/>
  <c r="E4712" i="7"/>
  <c r="E4711" i="7"/>
  <c r="E4710" i="7"/>
  <c r="L4709" i="7"/>
  <c r="E4709" i="7"/>
  <c r="E4708" i="7"/>
  <c r="L4707" i="7"/>
  <c r="E4707" i="7"/>
  <c r="E4706" i="7"/>
  <c r="L4705" i="7"/>
  <c r="E4705" i="7"/>
  <c r="E4704" i="7"/>
  <c r="E4703" i="7"/>
  <c r="E4702" i="7"/>
  <c r="E4701" i="7"/>
  <c r="E4700" i="7"/>
  <c r="E4699" i="7"/>
  <c r="E4698" i="7"/>
  <c r="L4697" i="7"/>
  <c r="E4697" i="7"/>
  <c r="E4696" i="7"/>
  <c r="E4695" i="7"/>
  <c r="E4694" i="7"/>
  <c r="E4693" i="7"/>
  <c r="E4692" i="7"/>
  <c r="E4691" i="7"/>
  <c r="E4690" i="7"/>
  <c r="E4517" i="7"/>
  <c r="E4516" i="7"/>
  <c r="E4687" i="7"/>
  <c r="E4686" i="7"/>
  <c r="E4552" i="7"/>
  <c r="E4551" i="7"/>
  <c r="E4689" i="7"/>
  <c r="E4688" i="7"/>
  <c r="E4589" i="7"/>
  <c r="E4588" i="7"/>
  <c r="E4587" i="7"/>
  <c r="E4586" i="7"/>
  <c r="E4585" i="7"/>
  <c r="E4584" i="7"/>
  <c r="E4583" i="7"/>
  <c r="E4582" i="7"/>
  <c r="E4581" i="7"/>
  <c r="E4685" i="7"/>
  <c r="E4684" i="7"/>
  <c r="E4593" i="7"/>
  <c r="E4592" i="7"/>
  <c r="E4556" i="7"/>
  <c r="E4555" i="7"/>
  <c r="E4545" i="7"/>
  <c r="E4544" i="7"/>
  <c r="E4591" i="7"/>
  <c r="E4590" i="7"/>
  <c r="E4554" i="7"/>
  <c r="E4553" i="7"/>
  <c r="E4550" i="7"/>
  <c r="E4549" i="7"/>
  <c r="B647" i="58"/>
  <c r="B648" i="58" s="1"/>
  <c r="B649" i="58" s="1"/>
  <c r="B650" i="58" s="1"/>
  <c r="B651" i="58" s="1"/>
  <c r="B652" i="58" s="1"/>
  <c r="D646" i="58"/>
  <c r="D647" i="58"/>
  <c r="D648" i="58"/>
  <c r="D649" i="58"/>
  <c r="D650" i="58"/>
  <c r="D651" i="58"/>
  <c r="D652" i="58"/>
  <c r="E4659" i="7"/>
  <c r="E4658" i="7"/>
  <c r="E4657" i="7"/>
  <c r="E4683" i="7"/>
  <c r="E4682" i="7"/>
  <c r="E4681" i="7"/>
  <c r="E4680" i="7"/>
  <c r="E4679" i="7"/>
  <c r="E4678" i="7"/>
  <c r="E4677" i="7"/>
  <c r="E4676" i="7"/>
  <c r="E4675" i="7"/>
  <c r="E4674" i="7"/>
  <c r="E4673" i="7"/>
  <c r="E4672" i="7"/>
  <c r="E4671" i="7"/>
  <c r="E4670" i="7"/>
  <c r="E4669" i="7"/>
  <c r="E4668" i="7"/>
  <c r="E4667" i="7"/>
  <c r="E4666" i="7"/>
  <c r="E4599" i="7"/>
  <c r="E4598" i="7"/>
  <c r="E4597" i="7"/>
  <c r="E4665" i="7"/>
  <c r="E4664" i="7"/>
  <c r="E4663" i="7"/>
  <c r="E4662" i="7"/>
  <c r="E4661" i="7"/>
  <c r="E4660" i="7"/>
  <c r="E4656" i="7"/>
  <c r="E4655" i="7"/>
  <c r="E4654" i="7"/>
  <c r="E4653" i="7"/>
  <c r="E4652" i="7"/>
  <c r="E4651" i="7"/>
  <c r="E4650" i="7"/>
  <c r="E4649" i="7"/>
  <c r="E4648" i="7"/>
  <c r="E4647" i="7"/>
  <c r="E4646" i="7"/>
  <c r="E4645" i="7"/>
  <c r="E4644" i="7"/>
  <c r="E4643" i="7"/>
  <c r="E4642" i="7"/>
  <c r="E4641" i="7"/>
  <c r="E4640" i="7"/>
  <c r="E4639" i="7"/>
  <c r="E4638" i="7"/>
  <c r="E4637" i="7"/>
  <c r="E4636" i="7"/>
  <c r="E4635" i="7"/>
  <c r="E4634" i="7"/>
  <c r="E4633" i="7"/>
  <c r="E4632" i="7"/>
  <c r="E4631" i="7"/>
  <c r="E4630" i="7"/>
  <c r="E4629" i="7"/>
  <c r="E4628" i="7"/>
  <c r="E4627" i="7"/>
  <c r="E4626" i="7"/>
  <c r="E4625" i="7"/>
  <c r="E4624" i="7"/>
  <c r="E4623" i="7"/>
  <c r="E4622" i="7"/>
  <c r="E4621" i="7"/>
  <c r="E4620" i="7"/>
  <c r="E4619" i="7"/>
  <c r="E4618" i="7"/>
  <c r="E4617" i="7"/>
  <c r="E4616" i="7"/>
  <c r="E4615" i="7"/>
  <c r="E4614" i="7"/>
  <c r="E4613" i="7"/>
  <c r="E4612" i="7"/>
  <c r="E4611" i="7"/>
  <c r="E4610" i="7"/>
  <c r="E4609" i="7"/>
  <c r="E4608" i="7"/>
  <c r="E4607" i="7"/>
  <c r="E4606" i="7"/>
  <c r="E4605" i="7"/>
  <c r="E4604" i="7"/>
  <c r="E4603" i="7"/>
  <c r="E4602" i="7"/>
  <c r="E4601" i="7"/>
  <c r="E4600" i="7"/>
  <c r="E4596" i="7"/>
  <c r="E4595" i="7"/>
  <c r="E4594" i="7"/>
  <c r="E4580" i="7"/>
  <c r="E4579" i="7"/>
  <c r="E4578" i="7"/>
  <c r="E4577" i="7"/>
  <c r="E4576" i="7"/>
  <c r="E4575" i="7"/>
  <c r="E4574" i="7"/>
  <c r="E4573" i="7"/>
  <c r="E4572" i="7"/>
  <c r="E4571" i="7"/>
  <c r="E4570" i="7"/>
  <c r="E4569" i="7"/>
  <c r="E4568" i="7"/>
  <c r="E4567" i="7"/>
  <c r="E4566" i="7"/>
  <c r="E4565" i="7"/>
  <c r="E4564" i="7"/>
  <c r="E4563" i="7"/>
  <c r="E4562" i="7"/>
  <c r="E4561" i="7"/>
  <c r="E4560" i="7"/>
  <c r="E4559" i="7"/>
  <c r="E4558" i="7"/>
  <c r="E4557" i="7"/>
  <c r="E4548" i="7"/>
  <c r="E4547" i="7"/>
  <c r="E4546" i="7"/>
  <c r="E4543" i="7"/>
  <c r="E4542" i="7"/>
  <c r="E4541" i="7"/>
  <c r="E4540" i="7"/>
  <c r="E4539" i="7"/>
  <c r="E4538" i="7"/>
  <c r="E4515" i="7"/>
  <c r="E4514" i="7"/>
  <c r="E4513" i="7"/>
  <c r="E4512" i="7"/>
  <c r="E4511" i="7"/>
  <c r="E4510" i="7"/>
  <c r="L4494" i="7" l="1"/>
  <c r="B654" i="58"/>
  <c r="B655" i="58" s="1"/>
  <c r="B656" i="58" s="1"/>
  <c r="D653" i="58"/>
  <c r="D654" i="58"/>
  <c r="D655" i="58"/>
  <c r="D656" i="58"/>
  <c r="E4537" i="7"/>
  <c r="K4536" i="7"/>
  <c r="L4537" i="7" s="1"/>
  <c r="E4536" i="7"/>
  <c r="E4535" i="7"/>
  <c r="K4534" i="7"/>
  <c r="L4535" i="7" s="1"/>
  <c r="E4534" i="7"/>
  <c r="E4533" i="7"/>
  <c r="E4532" i="7"/>
  <c r="L4531" i="7"/>
  <c r="E4531" i="7"/>
  <c r="E4530" i="7"/>
  <c r="L4529" i="7"/>
  <c r="E4529" i="7"/>
  <c r="E4528" i="7"/>
  <c r="L4527" i="7"/>
  <c r="E4527" i="7"/>
  <c r="E4526" i="7"/>
  <c r="L4525" i="7"/>
  <c r="E4525" i="7"/>
  <c r="E4524" i="7"/>
  <c r="E4523" i="7"/>
  <c r="E4522" i="7"/>
  <c r="E4521" i="7"/>
  <c r="E4520" i="7"/>
  <c r="L4519" i="7"/>
  <c r="E4519" i="7"/>
  <c r="E4518" i="7"/>
  <c r="E4509" i="7"/>
  <c r="E4508" i="7"/>
  <c r="E4507" i="7"/>
  <c r="K4505" i="7" l="1"/>
  <c r="K4503" i="7"/>
  <c r="L4488" i="7"/>
  <c r="B658" i="58" l="1"/>
  <c r="B659" i="58" s="1"/>
  <c r="B660" i="58" s="1"/>
  <c r="B661" i="58" s="1"/>
  <c r="B662" i="58" s="1"/>
  <c r="B663" i="58" s="1"/>
  <c r="B664" i="58" s="1"/>
  <c r="B665" i="58" s="1"/>
  <c r="B666" i="58" s="1"/>
  <c r="D657" i="58"/>
  <c r="D658" i="58"/>
  <c r="D659" i="58"/>
  <c r="D660" i="58"/>
  <c r="D661" i="58"/>
  <c r="D662" i="58"/>
  <c r="D663" i="58"/>
  <c r="D664" i="58"/>
  <c r="D665" i="58"/>
  <c r="D666" i="58"/>
  <c r="E4506" i="7"/>
  <c r="L4506" i="7"/>
  <c r="E4505" i="7"/>
  <c r="E4504" i="7"/>
  <c r="L4504" i="7"/>
  <c r="E4503" i="7"/>
  <c r="E4502" i="7"/>
  <c r="E4501" i="7"/>
  <c r="L4500" i="7"/>
  <c r="E4500" i="7"/>
  <c r="E4499" i="7"/>
  <c r="L4498" i="7"/>
  <c r="E4498" i="7"/>
  <c r="E4497" i="7"/>
  <c r="L4496" i="7"/>
  <c r="E4496" i="7"/>
  <c r="E4495" i="7"/>
  <c r="E4494" i="7"/>
  <c r="E4493" i="7"/>
  <c r="E4492" i="7"/>
  <c r="E4491" i="7"/>
  <c r="E4490" i="7"/>
  <c r="E4489" i="7"/>
  <c r="E4488" i="7"/>
  <c r="E4487" i="7"/>
  <c r="E4466" i="7"/>
  <c r="E4465" i="7"/>
  <c r="E4486" i="7"/>
  <c r="E4485" i="7"/>
  <c r="E4484" i="7"/>
  <c r="E4483" i="7"/>
  <c r="E4482" i="7"/>
  <c r="E4481" i="7"/>
  <c r="E4480" i="7"/>
  <c r="E4479" i="7"/>
  <c r="E4478" i="7"/>
  <c r="E4477" i="7"/>
  <c r="E4476" i="7"/>
  <c r="E4475" i="7"/>
  <c r="E4474" i="7"/>
  <c r="E4473" i="7"/>
  <c r="E4472" i="7"/>
  <c r="E4471" i="7" l="1"/>
  <c r="E4470" i="7"/>
  <c r="E4464" i="7" l="1"/>
  <c r="E4463" i="7"/>
  <c r="E4409" i="7"/>
  <c r="E4408" i="7"/>
  <c r="E4411" i="7"/>
  <c r="E4410" i="7"/>
  <c r="E4407" i="7"/>
  <c r="E4406" i="7"/>
  <c r="E4405" i="7"/>
  <c r="E4404" i="7"/>
  <c r="E4403" i="7"/>
  <c r="E4402" i="7"/>
  <c r="E4469" i="7"/>
  <c r="E4468" i="7"/>
  <c r="E4467" i="7"/>
  <c r="E4462" i="7"/>
  <c r="E4461" i="7"/>
  <c r="E4460" i="7"/>
  <c r="E4459" i="7"/>
  <c r="E4458" i="7"/>
  <c r="E4457" i="7"/>
  <c r="E4456" i="7"/>
  <c r="E4455" i="7"/>
  <c r="E4454" i="7"/>
  <c r="E4453" i="7"/>
  <c r="E4452" i="7"/>
  <c r="E4451" i="7"/>
  <c r="E4450" i="7"/>
  <c r="E4449" i="7"/>
  <c r="E4448" i="7"/>
  <c r="E4432" i="7"/>
  <c r="E4431" i="7"/>
  <c r="E4430" i="7"/>
  <c r="E4429" i="7"/>
  <c r="E4428" i="7"/>
  <c r="E4427" i="7"/>
  <c r="E4426" i="7"/>
  <c r="E4425" i="7"/>
  <c r="E4424" i="7"/>
  <c r="E4423" i="7"/>
  <c r="E4422" i="7"/>
  <c r="E4421" i="7"/>
  <c r="E4420" i="7"/>
  <c r="E4419" i="7"/>
  <c r="E4418" i="7"/>
  <c r="E4417" i="7"/>
  <c r="E4416" i="7"/>
  <c r="E4415" i="7"/>
  <c r="E4414" i="7"/>
  <c r="E4413" i="7"/>
  <c r="E4412" i="7"/>
  <c r="E4401" i="7"/>
  <c r="E4400" i="7"/>
  <c r="E4399" i="7"/>
  <c r="E4398" i="7"/>
  <c r="E4397" i="7"/>
  <c r="E4396" i="7"/>
  <c r="E4395" i="7"/>
  <c r="E4394" i="7"/>
  <c r="E4393" i="7"/>
  <c r="E4392" i="7"/>
  <c r="E4391" i="7"/>
  <c r="E4390" i="7"/>
  <c r="E4389" i="7"/>
  <c r="E4388" i="7"/>
  <c r="E4387" i="7"/>
  <c r="E4386" i="7"/>
  <c r="E4385" i="7"/>
  <c r="E4384" i="7"/>
  <c r="E4383" i="7"/>
  <c r="E4382" i="7"/>
  <c r="E4381" i="7"/>
  <c r="E4380" i="7"/>
  <c r="E4379" i="7"/>
  <c r="E4378" i="7"/>
  <c r="E4377" i="7"/>
  <c r="E4376" i="7"/>
  <c r="E4375" i="7"/>
  <c r="E4447" i="7"/>
  <c r="E4446" i="7"/>
  <c r="E4374" i="7"/>
  <c r="E4373" i="7"/>
  <c r="E4372" i="7"/>
  <c r="E4371" i="7"/>
  <c r="E4445" i="7"/>
  <c r="E4444" i="7"/>
  <c r="E4443" i="7"/>
  <c r="E4442" i="7"/>
  <c r="E4434" i="7" l="1"/>
  <c r="E4433" i="7"/>
  <c r="E4441" i="7"/>
  <c r="E4440" i="7"/>
  <c r="E4439" i="7"/>
  <c r="E4438" i="7"/>
  <c r="E4437" i="7"/>
  <c r="E4436" i="7"/>
  <c r="E4435" i="7"/>
  <c r="L4358" i="7" l="1"/>
  <c r="B668" i="58"/>
  <c r="B669" i="58" s="1"/>
  <c r="B670" i="58" s="1"/>
  <c r="B671" i="58" s="1"/>
  <c r="B672" i="58" s="1"/>
  <c r="B673" i="58" s="1"/>
  <c r="D667" i="58"/>
  <c r="D668" i="58"/>
  <c r="D669" i="58"/>
  <c r="D670" i="58"/>
  <c r="D671" i="58"/>
  <c r="D672" i="58"/>
  <c r="D673" i="58"/>
  <c r="E4370" i="7"/>
  <c r="K4369" i="7"/>
  <c r="L4370" i="7" s="1"/>
  <c r="E4369" i="7"/>
  <c r="E4368" i="7"/>
  <c r="K4367" i="7"/>
  <c r="L4368" i="7" s="1"/>
  <c r="E4367" i="7"/>
  <c r="E4366" i="7"/>
  <c r="E4365" i="7"/>
  <c r="L4364" i="7"/>
  <c r="E4364" i="7"/>
  <c r="E4363" i="7"/>
  <c r="L4362" i="7"/>
  <c r="E4362" i="7"/>
  <c r="E4361" i="7"/>
  <c r="L4360" i="7"/>
  <c r="E4360" i="7"/>
  <c r="E4359" i="7"/>
  <c r="E4358" i="7"/>
  <c r="E4357" i="7"/>
  <c r="E4356" i="7"/>
  <c r="E4355" i="7"/>
  <c r="E4354" i="7"/>
  <c r="E4353" i="7"/>
  <c r="E4352" i="7"/>
  <c r="E4351" i="7"/>
  <c r="E4313" i="7"/>
  <c r="E4312" i="7"/>
  <c r="E4311" i="7"/>
  <c r="E4310" i="7"/>
  <c r="E4330" i="7" l="1"/>
  <c r="E4329" i="7"/>
  <c r="E4328" i="7"/>
  <c r="E4327" i="7"/>
  <c r="E4326" i="7"/>
  <c r="E4325" i="7"/>
  <c r="E4350" i="7"/>
  <c r="E4349" i="7"/>
  <c r="E4348" i="7"/>
  <c r="E4347" i="7"/>
  <c r="E4346" i="7"/>
  <c r="E4345" i="7"/>
  <c r="E4344" i="7"/>
  <c r="E4343" i="7"/>
  <c r="E4342" i="7"/>
  <c r="E4341" i="7"/>
  <c r="E4340" i="7"/>
  <c r="E4339" i="7" l="1"/>
  <c r="E4338" i="7"/>
  <c r="E4337" i="7"/>
  <c r="E4336" i="7"/>
  <c r="E4335" i="7"/>
  <c r="E4334" i="7"/>
  <c r="E4333" i="7"/>
  <c r="E4332" i="7"/>
  <c r="E4331" i="7"/>
  <c r="E4324" i="7"/>
  <c r="E4323" i="7"/>
  <c r="E4322" i="7"/>
  <c r="E4321" i="7"/>
  <c r="E4320" i="7"/>
  <c r="E4319" i="7"/>
  <c r="E4318" i="7"/>
  <c r="E4317" i="7"/>
  <c r="E4316" i="7"/>
  <c r="E4315" i="7"/>
  <c r="E4314" i="7"/>
  <c r="E4304" i="7"/>
  <c r="E4303" i="7"/>
  <c r="E4302" i="7"/>
  <c r="E4301" i="7"/>
  <c r="E4300" i="7"/>
  <c r="E4299" i="7"/>
  <c r="E4298" i="7"/>
  <c r="E4297" i="7"/>
  <c r="E4296" i="7"/>
  <c r="E4290" i="7"/>
  <c r="E4289" i="7"/>
  <c r="E4288" i="7"/>
  <c r="E4287" i="7"/>
  <c r="E4309" i="7" l="1"/>
  <c r="E4308" i="7"/>
  <c r="E4307" i="7"/>
  <c r="E4306" i="7"/>
  <c r="E4305" i="7"/>
  <c r="E4295" i="7"/>
  <c r="E4294" i="7"/>
  <c r="E4293" i="7"/>
  <c r="E4292" i="7"/>
  <c r="E4291" i="7"/>
  <c r="E4286" i="7"/>
  <c r="E4285" i="7"/>
  <c r="E4284" i="7"/>
  <c r="E4283" i="7"/>
  <c r="E4282" i="7"/>
  <c r="E4281" i="7"/>
  <c r="E4280" i="7"/>
  <c r="E4279" i="7"/>
  <c r="E4278" i="7"/>
  <c r="E4277" i="7"/>
  <c r="E4276" i="7"/>
  <c r="E4255" i="7" l="1"/>
  <c r="E4254" i="7"/>
  <c r="E4253" i="7"/>
  <c r="E4252" i="7"/>
  <c r="E4251" i="7"/>
  <c r="E4250" i="7"/>
  <c r="E4249" i="7"/>
  <c r="E4248" i="7"/>
  <c r="E4247" i="7"/>
  <c r="E4246" i="7"/>
  <c r="E4256" i="7"/>
  <c r="E4245" i="7"/>
  <c r="E4244" i="7"/>
  <c r="E4243" i="7"/>
  <c r="L4265" i="7" l="1"/>
  <c r="L4267" i="7"/>
  <c r="L4269" i="7"/>
  <c r="D676" i="58"/>
  <c r="D675" i="58"/>
  <c r="D674" i="58"/>
  <c r="B675" i="58"/>
  <c r="B676" i="58" s="1"/>
  <c r="B677" i="58" s="1"/>
  <c r="B678" i="58" s="1"/>
  <c r="B679" i="58" s="1"/>
  <c r="B680" i="58" s="1"/>
  <c r="D677" i="58"/>
  <c r="D678" i="58"/>
  <c r="D679" i="58"/>
  <c r="D680" i="58"/>
  <c r="E4275" i="7"/>
  <c r="K4274" i="7"/>
  <c r="L4275" i="7" s="1"/>
  <c r="E4274" i="7"/>
  <c r="E4273" i="7"/>
  <c r="K4272" i="7"/>
  <c r="L4273" i="7" s="1"/>
  <c r="E4272" i="7"/>
  <c r="E4271" i="7"/>
  <c r="E4270" i="7"/>
  <c r="E4269" i="7"/>
  <c r="E4268" i="7"/>
  <c r="E4267" i="7"/>
  <c r="E4266" i="7"/>
  <c r="E4265" i="7"/>
  <c r="E4264" i="7"/>
  <c r="E4263" i="7"/>
  <c r="E4262" i="7"/>
  <c r="E4261" i="7"/>
  <c r="E4260" i="7"/>
  <c r="E4259" i="7"/>
  <c r="E4258" i="7"/>
  <c r="E4257" i="7"/>
  <c r="E4242" i="7" l="1"/>
  <c r="E4241" i="7"/>
  <c r="E4240" i="7"/>
  <c r="E4233" i="7"/>
  <c r="E4232" i="7"/>
  <c r="E4231" i="7"/>
  <c r="E4230" i="7"/>
  <c r="E4229" i="7"/>
  <c r="E4228" i="7"/>
  <c r="E4227" i="7"/>
  <c r="E4226" i="7"/>
  <c r="E4225" i="7"/>
  <c r="E4239" i="7"/>
  <c r="E4238" i="7"/>
  <c r="E4237" i="7"/>
  <c r="E4236" i="7"/>
  <c r="E4235" i="7"/>
  <c r="E4234" i="7"/>
  <c r="E4180" i="7"/>
  <c r="E4179" i="7"/>
  <c r="E4217" i="7"/>
  <c r="E4216" i="7"/>
  <c r="E4224" i="7"/>
  <c r="E4223" i="7"/>
  <c r="E4222" i="7"/>
  <c r="E4221" i="7"/>
  <c r="E4215" i="7" l="1"/>
  <c r="E4214" i="7"/>
  <c r="E4213" i="7"/>
  <c r="E4220" i="7"/>
  <c r="E4219" i="7"/>
  <c r="E4218" i="7"/>
  <c r="E4212" i="7"/>
  <c r="E4211" i="7"/>
  <c r="E4210" i="7"/>
  <c r="E4209" i="7"/>
  <c r="E4208" i="7"/>
  <c r="E4207" i="7"/>
  <c r="E4206" i="7"/>
  <c r="E4205" i="7"/>
  <c r="E4204" i="7"/>
  <c r="E4203" i="7"/>
  <c r="E4202" i="7"/>
  <c r="E4201" i="7"/>
  <c r="E4178" i="7" l="1"/>
  <c r="E4177" i="7"/>
  <c r="D681" i="58"/>
  <c r="E4176" i="7"/>
  <c r="E4175" i="7"/>
  <c r="E4174" i="7"/>
  <c r="E4173" i="7"/>
  <c r="E4172" i="7"/>
  <c r="E4171" i="7"/>
  <c r="E4170" i="7"/>
  <c r="E4169" i="7"/>
  <c r="E4168" i="7"/>
  <c r="L4188" i="7" l="1"/>
  <c r="B682" i="58"/>
  <c r="B683" i="58" s="1"/>
  <c r="B684" i="58" s="1"/>
  <c r="B685" i="58" s="1"/>
  <c r="B686" i="58" s="1"/>
  <c r="B687" i="58" s="1"/>
  <c r="D682" i="58"/>
  <c r="D683" i="58"/>
  <c r="D684" i="58"/>
  <c r="D685" i="58"/>
  <c r="D686" i="58"/>
  <c r="D687" i="58"/>
  <c r="E4200" i="7"/>
  <c r="K4199" i="7"/>
  <c r="L4200" i="7" s="1"/>
  <c r="E4199" i="7"/>
  <c r="E4198" i="7"/>
  <c r="K4197" i="7"/>
  <c r="L4198" i="7" s="1"/>
  <c r="E4197" i="7"/>
  <c r="E4196" i="7"/>
  <c r="E4195" i="7"/>
  <c r="L4194" i="7"/>
  <c r="E4194" i="7"/>
  <c r="E4193" i="7"/>
  <c r="L4192" i="7"/>
  <c r="E4192" i="7"/>
  <c r="E4191" i="7"/>
  <c r="L4190" i="7"/>
  <c r="E4190" i="7"/>
  <c r="E4189" i="7"/>
  <c r="E4188" i="7"/>
  <c r="E4187" i="7"/>
  <c r="E4186" i="7"/>
  <c r="E4185" i="7"/>
  <c r="E4184" i="7"/>
  <c r="E4183" i="7"/>
  <c r="E4182" i="7"/>
  <c r="E4181" i="7"/>
  <c r="E4150" i="7"/>
  <c r="E4149" i="7"/>
  <c r="E4148" i="7"/>
  <c r="E4147" i="7"/>
  <c r="E4123" i="7" l="1"/>
  <c r="E4124" i="7"/>
  <c r="E4122" i="7"/>
  <c r="E4121" i="7"/>
  <c r="E4120" i="7"/>
  <c r="E4119" i="7" l="1"/>
  <c r="E4118" i="7"/>
  <c r="E4153" i="7"/>
  <c r="E4152" i="7"/>
  <c r="E4151" i="7"/>
  <c r="E4167" i="7" l="1"/>
  <c r="E4166" i="7"/>
  <c r="E4165" i="7"/>
  <c r="E4164" i="7"/>
  <c r="E4163" i="7"/>
  <c r="E4162" i="7"/>
  <c r="E4161" i="7"/>
  <c r="E4160" i="7"/>
  <c r="E4159" i="7"/>
  <c r="E4158" i="7"/>
  <c r="E4157" i="7"/>
  <c r="E4156" i="7"/>
  <c r="E4155" i="7"/>
  <c r="E4154" i="7"/>
  <c r="E4146" i="7"/>
  <c r="E4145" i="7"/>
  <c r="E4144" i="7"/>
  <c r="E4143" i="7"/>
  <c r="E4142" i="7"/>
  <c r="E4141" i="7"/>
  <c r="E4140" i="7"/>
  <c r="E4139" i="7"/>
  <c r="E4138" i="7"/>
  <c r="E4137" i="7"/>
  <c r="E4136" i="7"/>
  <c r="E4135" i="7"/>
  <c r="E4134" i="7"/>
  <c r="E4133" i="7"/>
  <c r="E4132" i="7"/>
  <c r="E4131" i="7"/>
  <c r="E4130" i="7"/>
  <c r="E4129" i="7"/>
  <c r="E4128" i="7"/>
  <c r="E4127" i="7"/>
  <c r="E4126" i="7"/>
  <c r="E4125" i="7"/>
  <c r="E4117" i="7" l="1"/>
  <c r="L4117" i="7"/>
  <c r="E4116" i="7"/>
  <c r="L4109" i="7"/>
  <c r="L4107" i="7"/>
  <c r="L4105" i="7"/>
  <c r="B689" i="58"/>
  <c r="B690" i="58" s="1"/>
  <c r="B691" i="58" s="1"/>
  <c r="B692" i="58" s="1"/>
  <c r="B693" i="58" s="1"/>
  <c r="B694" i="58" s="1"/>
  <c r="D688" i="58"/>
  <c r="D689" i="58"/>
  <c r="D690" i="58"/>
  <c r="D691" i="58"/>
  <c r="D692" i="58"/>
  <c r="D693" i="58"/>
  <c r="D694" i="58"/>
  <c r="E4115" i="7"/>
  <c r="K4114" i="7"/>
  <c r="L4115" i="7" s="1"/>
  <c r="E4114" i="7"/>
  <c r="E4113" i="7"/>
  <c r="K4112" i="7"/>
  <c r="L4113" i="7" s="1"/>
  <c r="E4112" i="7"/>
  <c r="E4111" i="7"/>
  <c r="E4110" i="7"/>
  <c r="E4109" i="7"/>
  <c r="E4108" i="7"/>
  <c r="E4107" i="7"/>
  <c r="E4106" i="7"/>
  <c r="E4105" i="7"/>
  <c r="E4104" i="7"/>
  <c r="E4103" i="7"/>
  <c r="E4102" i="7"/>
  <c r="E4101" i="7"/>
  <c r="E4100" i="7"/>
  <c r="E4099" i="7"/>
  <c r="E4098" i="7"/>
  <c r="E4097" i="7"/>
  <c r="E4096" i="7"/>
  <c r="E4095" i="7"/>
  <c r="E4094" i="7"/>
  <c r="E4093" i="7"/>
  <c r="E4091" i="7" l="1"/>
  <c r="E4092" i="7"/>
  <c r="E4090" i="7"/>
  <c r="E4080" i="7"/>
  <c r="E4079" i="7"/>
  <c r="E4078" i="7"/>
  <c r="E4077" i="7"/>
  <c r="E4076" i="7"/>
  <c r="E4072" i="7" l="1"/>
  <c r="E4071" i="7"/>
  <c r="E4070" i="7"/>
  <c r="E4089" i="7"/>
  <c r="E4088" i="7"/>
  <c r="E4087" i="7"/>
  <c r="E4086" i="7"/>
  <c r="E4085" i="7"/>
  <c r="E4084" i="7"/>
  <c r="E4083" i="7"/>
  <c r="E4082" i="7"/>
  <c r="E4081" i="7"/>
  <c r="E4075" i="7"/>
  <c r="E4074" i="7"/>
  <c r="E4073" i="7"/>
  <c r="E4049" i="7" l="1"/>
  <c r="E4048" i="7"/>
  <c r="E4051" i="7"/>
  <c r="E4050" i="7"/>
  <c r="E4069" i="7"/>
  <c r="K4068" i="7"/>
  <c r="L4069" i="7" s="1"/>
  <c r="E4068" i="7"/>
  <c r="E4067" i="7"/>
  <c r="K4066" i="7"/>
  <c r="L4067" i="7" s="1"/>
  <c r="E4066" i="7"/>
  <c r="E4065" i="7"/>
  <c r="E4064" i="7"/>
  <c r="E4063" i="7"/>
  <c r="E4062" i="7"/>
  <c r="E4061" i="7"/>
  <c r="E4060" i="7"/>
  <c r="E4059" i="7"/>
  <c r="E4058" i="7"/>
  <c r="E4057" i="7"/>
  <c r="E4056" i="7"/>
  <c r="E4055" i="7"/>
  <c r="E4054" i="7"/>
  <c r="E4053" i="7"/>
  <c r="E4052" i="7"/>
  <c r="B696" i="58"/>
  <c r="B697" i="58" s="1"/>
  <c r="B698" i="58" s="1"/>
  <c r="B699" i="58" s="1"/>
  <c r="B700" i="58" s="1"/>
  <c r="B701" i="58" s="1"/>
  <c r="D695" i="58"/>
  <c r="D696" i="58"/>
  <c r="D697" i="58"/>
  <c r="D698" i="58"/>
  <c r="D699" i="58"/>
  <c r="D700" i="58"/>
  <c r="D701" i="58"/>
  <c r="E4025" i="7"/>
  <c r="E4024" i="7"/>
  <c r="E3979" i="7" l="1"/>
  <c r="E3978" i="7"/>
  <c r="E4047" i="7" l="1"/>
  <c r="E4046" i="7"/>
  <c r="E4045" i="7"/>
  <c r="E4044" i="7"/>
  <c r="E4043" i="7" l="1"/>
  <c r="E4042" i="7"/>
  <c r="E4035" i="7"/>
  <c r="E4034" i="7"/>
  <c r="E4033" i="7"/>
  <c r="E4032" i="7"/>
  <c r="E4041" i="7"/>
  <c r="E4040" i="7"/>
  <c r="E4039" i="7"/>
  <c r="E4038" i="7"/>
  <c r="E4037" i="7"/>
  <c r="E4036" i="7"/>
  <c r="E4031" i="7"/>
  <c r="E4030" i="7"/>
  <c r="E4029" i="7"/>
  <c r="E4028" i="7"/>
  <c r="E4027" i="7"/>
  <c r="E4026" i="7"/>
  <c r="E4023" i="7" l="1"/>
  <c r="E4022" i="7"/>
  <c r="E4021" i="7"/>
  <c r="E4020" i="7"/>
  <c r="E4019" i="7"/>
  <c r="E4012" i="7"/>
  <c r="E4011" i="7"/>
  <c r="E4010" i="7"/>
  <c r="E4009" i="7"/>
  <c r="E4008" i="7"/>
  <c r="E4007" i="7"/>
  <c r="E4006" i="7"/>
  <c r="E4005" i="7"/>
  <c r="E4018" i="7"/>
  <c r="E4017" i="7"/>
  <c r="E4016" i="7"/>
  <c r="E4015" i="7"/>
  <c r="E4014" i="7"/>
  <c r="E4013" i="7"/>
  <c r="E4004" i="7" l="1"/>
  <c r="E4003" i="7"/>
  <c r="E4002" i="7"/>
  <c r="E4001" i="7" l="1"/>
  <c r="E4000" i="7"/>
  <c r="E3999" i="7"/>
  <c r="E3998" i="7"/>
  <c r="L3989" i="7" l="1"/>
  <c r="L3987" i="7"/>
  <c r="L3991" i="7"/>
  <c r="D708" i="58"/>
  <c r="D707" i="58"/>
  <c r="D706" i="58"/>
  <c r="D705" i="58"/>
  <c r="D704" i="58"/>
  <c r="D703" i="58"/>
  <c r="D702" i="58"/>
  <c r="E3828" i="7"/>
  <c r="E3827" i="7"/>
  <c r="B703" i="58" l="1"/>
  <c r="B702" i="58" s="1"/>
  <c r="B705" i="58"/>
  <c r="B706" i="58" s="1"/>
  <c r="B707" i="58" s="1"/>
  <c r="B708" i="58" s="1"/>
  <c r="E3997" i="7"/>
  <c r="K3996" i="7"/>
  <c r="L3997" i="7" s="1"/>
  <c r="E3996" i="7"/>
  <c r="E3995" i="7"/>
  <c r="K3994" i="7"/>
  <c r="L3995" i="7" s="1"/>
  <c r="E3994" i="7"/>
  <c r="E3993" i="7"/>
  <c r="E3992" i="7"/>
  <c r="E3991" i="7"/>
  <c r="E3990" i="7"/>
  <c r="E3989" i="7"/>
  <c r="E3988" i="7"/>
  <c r="E3987" i="7"/>
  <c r="E3986" i="7"/>
  <c r="E3985" i="7"/>
  <c r="E3984" i="7"/>
  <c r="E3983" i="7"/>
  <c r="E3982" i="7"/>
  <c r="E3981" i="7"/>
  <c r="E3980" i="7"/>
  <c r="E3958" i="7"/>
  <c r="E3957" i="7"/>
  <c r="E3977" i="7" l="1"/>
  <c r="E3976" i="7"/>
  <c r="E3960" i="7"/>
  <c r="E3959" i="7"/>
  <c r="E3950" i="7"/>
  <c r="E3949" i="7"/>
  <c r="E3948" i="7"/>
  <c r="E3947" i="7"/>
  <c r="E3975" i="7"/>
  <c r="E3974" i="7"/>
  <c r="E3973" i="7"/>
  <c r="E3972" i="7"/>
  <c r="E3971" i="7"/>
  <c r="E3970" i="7"/>
  <c r="E3969" i="7"/>
  <c r="E3968" i="7"/>
  <c r="E3967" i="7"/>
  <c r="E3966" i="7"/>
  <c r="E3965" i="7"/>
  <c r="E3964" i="7"/>
  <c r="E3963" i="7"/>
  <c r="E3962" i="7"/>
  <c r="E3961" i="7"/>
  <c r="E3956" i="7"/>
  <c r="E3955" i="7"/>
  <c r="E3954" i="7"/>
  <c r="E3953" i="7"/>
  <c r="E3952" i="7"/>
  <c r="E3951" i="7"/>
  <c r="E3946" i="7"/>
  <c r="E3945" i="7"/>
  <c r="E3944" i="7"/>
  <c r="E3943" i="7"/>
  <c r="E3942" i="7"/>
  <c r="E3941" i="7"/>
  <c r="E3940" i="7"/>
  <c r="E3939" i="7"/>
  <c r="E3938" i="7"/>
  <c r="E3937" i="7"/>
  <c r="E3936" i="7"/>
  <c r="E3935" i="7"/>
  <c r="E3934" i="7" l="1"/>
  <c r="E3933" i="7"/>
  <c r="E3932" i="7"/>
  <c r="K3930" i="7" l="1"/>
  <c r="L3931" i="7" s="1"/>
  <c r="K3928" i="7"/>
  <c r="L3929" i="7" s="1"/>
  <c r="E3931" i="7" l="1"/>
  <c r="E3930" i="7"/>
  <c r="E3929" i="7"/>
  <c r="E3928" i="7"/>
  <c r="E3927" i="7"/>
  <c r="E3926" i="7"/>
  <c r="E3925" i="7"/>
  <c r="E3924" i="7"/>
  <c r="E3923" i="7"/>
  <c r="E3922" i="7"/>
  <c r="E3921" i="7"/>
  <c r="E3920" i="7"/>
  <c r="E3919" i="7"/>
  <c r="E3918" i="7"/>
  <c r="E3917" i="7"/>
  <c r="E3916" i="7"/>
  <c r="E3915" i="7"/>
  <c r="E3914" i="7"/>
  <c r="B710" i="58"/>
  <c r="B709" i="58" s="1"/>
  <c r="B712" i="58"/>
  <c r="B713" i="58" s="1"/>
  <c r="B714" i="58" s="1"/>
  <c r="B715" i="58" s="1"/>
  <c r="B716" i="58" s="1"/>
  <c r="B717" i="58" s="1"/>
  <c r="D709" i="58"/>
  <c r="D710" i="58"/>
  <c r="D711" i="58"/>
  <c r="D712" i="58"/>
  <c r="D713" i="58"/>
  <c r="D714" i="58"/>
  <c r="D715" i="58"/>
  <c r="D716" i="58"/>
  <c r="D717" i="58"/>
  <c r="E3913" i="7"/>
  <c r="E3912" i="7"/>
  <c r="E3911" i="7"/>
  <c r="E3910" i="7"/>
  <c r="E3909" i="7"/>
  <c r="E3908" i="7"/>
  <c r="E3906" i="7" l="1"/>
  <c r="E3907" i="7"/>
  <c r="E3905" i="7"/>
  <c r="E3904" i="7"/>
  <c r="E3903" i="7"/>
  <c r="E3902" i="7"/>
  <c r="E3865" i="7"/>
  <c r="E3868" i="7" l="1"/>
  <c r="E3867" i="7"/>
  <c r="E3901" i="7"/>
  <c r="E3900" i="7"/>
  <c r="E3899" i="7"/>
  <c r="E3898" i="7"/>
  <c r="E3897" i="7"/>
  <c r="E3896" i="7"/>
  <c r="E3895" i="7"/>
  <c r="E3894" i="7"/>
  <c r="E3893" i="7"/>
  <c r="E3892" i="7"/>
  <c r="E3891" i="7"/>
  <c r="E3890" i="7"/>
  <c r="E3889" i="7"/>
  <c r="E3888" i="7"/>
  <c r="E3887" i="7"/>
  <c r="K3885" i="7" l="1"/>
  <c r="L3886" i="7" s="1"/>
  <c r="K3883" i="7"/>
  <c r="L3884" i="7" s="1"/>
  <c r="D718" i="58"/>
  <c r="D719" i="58"/>
  <c r="D720" i="58"/>
  <c r="D721" i="58"/>
  <c r="E3866" i="7"/>
  <c r="E3864" i="7"/>
  <c r="E3886" i="7"/>
  <c r="E3885" i="7"/>
  <c r="E3884" i="7"/>
  <c r="E3883" i="7"/>
  <c r="E3882" i="7"/>
  <c r="E3881" i="7"/>
  <c r="E3880" i="7"/>
  <c r="E3879" i="7"/>
  <c r="E3878" i="7"/>
  <c r="E3877" i="7"/>
  <c r="E3876" i="7"/>
  <c r="E3875" i="7"/>
  <c r="E3874" i="7"/>
  <c r="E3873" i="7"/>
  <c r="E3872" i="7"/>
  <c r="E3871" i="7"/>
  <c r="E3870" i="7"/>
  <c r="E3869" i="7"/>
  <c r="E3861" i="7"/>
  <c r="E3863" i="7"/>
  <c r="E3862" i="7"/>
  <c r="E3860" i="7"/>
  <c r="E3826" i="7"/>
  <c r="E3825" i="7"/>
  <c r="E3859" i="7"/>
  <c r="E3858" i="7"/>
  <c r="E3857" i="7"/>
  <c r="E3856" i="7"/>
  <c r="E3855" i="7"/>
  <c r="E3854" i="7"/>
  <c r="E3853" i="7"/>
  <c r="E3852" i="7" l="1"/>
  <c r="E3851" i="7"/>
  <c r="E3850" i="7"/>
  <c r="E3849" i="7" l="1"/>
  <c r="E3848" i="7"/>
  <c r="E3847" i="7"/>
  <c r="E3473" i="7" l="1"/>
  <c r="E3472" i="7"/>
  <c r="E2926" i="7"/>
  <c r="E2925" i="7"/>
  <c r="E3296" i="7"/>
  <c r="E3295" i="7"/>
  <c r="K3845" i="7" l="1"/>
  <c r="L3846" i="7" s="1"/>
  <c r="K3843" i="7"/>
  <c r="L3844" i="7" s="1"/>
  <c r="E3824" i="7" l="1"/>
  <c r="E3823" i="7"/>
  <c r="E3822" i="7"/>
  <c r="E3821" i="7"/>
  <c r="E3820" i="7"/>
  <c r="E3819" i="7"/>
  <c r="D722" i="58" l="1"/>
  <c r="D723" i="58"/>
  <c r="D724" i="58"/>
  <c r="D725" i="58"/>
  <c r="D726" i="58"/>
  <c r="D727" i="58"/>
  <c r="D728" i="58"/>
  <c r="D729" i="58"/>
  <c r="D730" i="58"/>
  <c r="D731" i="58"/>
  <c r="E3846" i="7"/>
  <c r="E3845" i="7"/>
  <c r="E3844" i="7"/>
  <c r="E3843" i="7"/>
  <c r="E3842" i="7"/>
  <c r="E3841" i="7"/>
  <c r="E3840" i="7"/>
  <c r="E3839" i="7"/>
  <c r="E3838" i="7"/>
  <c r="E3837" i="7"/>
  <c r="E3836" i="7"/>
  <c r="E3835" i="7"/>
  <c r="E3834" i="7"/>
  <c r="E3833" i="7"/>
  <c r="E3832" i="7"/>
  <c r="E3831" i="7"/>
  <c r="E3830" i="7"/>
  <c r="E3829" i="7"/>
  <c r="E3818" i="7"/>
  <c r="E3817" i="7"/>
  <c r="E3816" i="7"/>
  <c r="E3801" i="7"/>
  <c r="E3800" i="7"/>
  <c r="E3799" i="7"/>
  <c r="E3809" i="7"/>
  <c r="E3808" i="7"/>
  <c r="E3807" i="7"/>
  <c r="E3814" i="7" l="1"/>
  <c r="E3815" i="7"/>
  <c r="E3813" i="7"/>
  <c r="E3812" i="7"/>
  <c r="E3811" i="7"/>
  <c r="E3810" i="7"/>
  <c r="E3806" i="7"/>
  <c r="E3805" i="7"/>
  <c r="E3804" i="7"/>
  <c r="E3803" i="7" l="1"/>
  <c r="E3802" i="7"/>
  <c r="E3780" i="7"/>
  <c r="E3779" i="7"/>
  <c r="E3778" i="7"/>
  <c r="E3777" i="7" l="1"/>
  <c r="E3776" i="7"/>
  <c r="E3775" i="7"/>
  <c r="D733" i="58" l="1"/>
  <c r="D734" i="58"/>
  <c r="D735" i="58"/>
  <c r="D736" i="58"/>
  <c r="D737" i="58"/>
  <c r="D738" i="58"/>
  <c r="D739" i="58"/>
  <c r="D740" i="58"/>
  <c r="D741" i="58"/>
  <c r="D742" i="58"/>
  <c r="D743" i="58"/>
  <c r="D744" i="58"/>
  <c r="D745" i="58"/>
  <c r="D746" i="58"/>
  <c r="D747" i="58"/>
  <c r="D748" i="58"/>
  <c r="E3798" i="7"/>
  <c r="K3797" i="7"/>
  <c r="L3798" i="7" s="1"/>
  <c r="E3797" i="7"/>
  <c r="E3796" i="7"/>
  <c r="K3795" i="7"/>
  <c r="L3796" i="7" s="1"/>
  <c r="E3795" i="7"/>
  <c r="E3794" i="7"/>
  <c r="E3793" i="7"/>
  <c r="E3792" i="7"/>
  <c r="E3791" i="7"/>
  <c r="E3790" i="7"/>
  <c r="E3789" i="7"/>
  <c r="E3788" i="7"/>
  <c r="E3787" i="7"/>
  <c r="E3786" i="7"/>
  <c r="E3785" i="7"/>
  <c r="E3784" i="7"/>
  <c r="E3783" i="7"/>
  <c r="E3782" i="7"/>
  <c r="E3781" i="7"/>
  <c r="B734" i="58" l="1"/>
  <c r="B735" i="58" s="1"/>
  <c r="B736" i="58" s="1"/>
  <c r="B737" i="58" s="1"/>
  <c r="B738" i="58" s="1"/>
  <c r="D732" i="58"/>
  <c r="E3723" i="7"/>
  <c r="E3722" i="7"/>
  <c r="E3774" i="7"/>
  <c r="E3773" i="7"/>
  <c r="E3726" i="7"/>
  <c r="E3725" i="7"/>
  <c r="E3724" i="7"/>
  <c r="E3772" i="7"/>
  <c r="E3771" i="7"/>
  <c r="E3770" i="7"/>
  <c r="E3765" i="7"/>
  <c r="E3764" i="7"/>
  <c r="E3763" i="7"/>
  <c r="E3762" i="7"/>
  <c r="E3761" i="7"/>
  <c r="E3760" i="7"/>
  <c r="E3753" i="7" l="1"/>
  <c r="E3752" i="7"/>
  <c r="E3751" i="7"/>
  <c r="E3750" i="7"/>
  <c r="E3749" i="7"/>
  <c r="E3748" i="7"/>
  <c r="E3747" i="7"/>
  <c r="E3746" i="7"/>
  <c r="E3745" i="7"/>
  <c r="E3769" i="7" l="1"/>
  <c r="E3768" i="7"/>
  <c r="E3767" i="7"/>
  <c r="E3766" i="7"/>
  <c r="E3757" i="7"/>
  <c r="E3756" i="7"/>
  <c r="E3755" i="7"/>
  <c r="E3754" i="7"/>
  <c r="E3759" i="7" l="1"/>
  <c r="E3758" i="7"/>
  <c r="K3743" i="7"/>
  <c r="K3741" i="7"/>
  <c r="L3742" i="7" s="1"/>
  <c r="E3744" i="7"/>
  <c r="E3743" i="7"/>
  <c r="E3742" i="7"/>
  <c r="E3741" i="7"/>
  <c r="E3740" i="7"/>
  <c r="E3739" i="7"/>
  <c r="E3738" i="7"/>
  <c r="E3737" i="7"/>
  <c r="E3736" i="7"/>
  <c r="E3735" i="7"/>
  <c r="E3734" i="7"/>
  <c r="E3733" i="7"/>
  <c r="E3732" i="7"/>
  <c r="E3731" i="7"/>
  <c r="E3730" i="7"/>
  <c r="E3729" i="7"/>
  <c r="E3728" i="7"/>
  <c r="E3727" i="7"/>
  <c r="L3744" i="7" l="1"/>
  <c r="E3721" i="7"/>
  <c r="E3720" i="7"/>
  <c r="E3707" i="7"/>
  <c r="E3706" i="7"/>
  <c r="E3705" i="7"/>
  <c r="E3719" i="7"/>
  <c r="E3718" i="7"/>
  <c r="E3717" i="7"/>
  <c r="E3701" i="7"/>
  <c r="E3700" i="7"/>
  <c r="E3699" i="7"/>
  <c r="E3716" i="7"/>
  <c r="E3715" i="7"/>
  <c r="E3714" i="7"/>
  <c r="E3713" i="7"/>
  <c r="E3712" i="7"/>
  <c r="E3711" i="7"/>
  <c r="E3710" i="7"/>
  <c r="E3709" i="7"/>
  <c r="E3708" i="7"/>
  <c r="E3704" i="7"/>
  <c r="E3703" i="7"/>
  <c r="E3702" i="7"/>
  <c r="E3698" i="7" l="1"/>
  <c r="E3697" i="7"/>
  <c r="E3696" i="7"/>
  <c r="D749" i="58"/>
  <c r="D750" i="58"/>
  <c r="D751" i="58"/>
  <c r="D752" i="58"/>
  <c r="D753" i="58"/>
  <c r="D754" i="58"/>
  <c r="D755" i="58"/>
  <c r="D756" i="58"/>
  <c r="D757" i="58"/>
  <c r="D758" i="58"/>
  <c r="D759" i="58"/>
  <c r="D760" i="58"/>
  <c r="D761" i="58"/>
  <c r="D762" i="58"/>
  <c r="D763" i="58"/>
  <c r="D764" i="58"/>
  <c r="D765" i="58"/>
  <c r="D766" i="58"/>
  <c r="D768" i="58"/>
  <c r="D769" i="58"/>
  <c r="D770" i="58"/>
  <c r="D771" i="58"/>
  <c r="D772" i="58"/>
  <c r="D773" i="58"/>
  <c r="D774" i="58"/>
  <c r="D775" i="58"/>
  <c r="D776" i="58"/>
  <c r="D777" i="58"/>
  <c r="D778" i="58"/>
  <c r="D779" i="58"/>
  <c r="D780" i="58"/>
  <c r="D781" i="58"/>
  <c r="D782" i="58"/>
  <c r="D783" i="58"/>
  <c r="D784" i="58"/>
  <c r="D785" i="58"/>
  <c r="D786" i="58"/>
  <c r="D787" i="58"/>
  <c r="D788" i="58"/>
  <c r="D789" i="58"/>
  <c r="D790" i="58"/>
  <c r="D791" i="58"/>
  <c r="D792" i="58"/>
  <c r="D793" i="58"/>
  <c r="D794" i="58"/>
  <c r="D795" i="58"/>
  <c r="D796" i="58"/>
  <c r="D797" i="58"/>
  <c r="D798" i="58"/>
  <c r="D799" i="58"/>
  <c r="D800" i="58"/>
  <c r="D801" i="58"/>
  <c r="D802" i="58"/>
  <c r="D803" i="58"/>
  <c r="D804" i="58"/>
  <c r="D805" i="58"/>
  <c r="D806" i="58"/>
  <c r="D807" i="58"/>
  <c r="D808" i="58"/>
  <c r="D809" i="58"/>
  <c r="D810" i="58"/>
  <c r="D811" i="58"/>
  <c r="D812" i="58"/>
  <c r="D813" i="58"/>
  <c r="D814" i="58"/>
  <c r="D815" i="58"/>
  <c r="D816" i="58"/>
  <c r="D817" i="58"/>
  <c r="D818" i="58"/>
  <c r="D819" i="58"/>
  <c r="D820" i="58"/>
  <c r="D821" i="58"/>
  <c r="D822" i="58"/>
  <c r="D823" i="58"/>
  <c r="D824" i="58"/>
  <c r="D825" i="58"/>
  <c r="D826" i="58"/>
  <c r="D827" i="58"/>
  <c r="D828" i="58"/>
  <c r="D829" i="58"/>
  <c r="D830" i="58"/>
  <c r="D831" i="58"/>
  <c r="D832" i="58"/>
  <c r="D833" i="58"/>
  <c r="D834" i="58"/>
  <c r="D835" i="58"/>
  <c r="D836" i="58"/>
  <c r="D837" i="58"/>
  <c r="D838" i="58"/>
  <c r="D839" i="58"/>
  <c r="D840" i="58"/>
  <c r="D841" i="58"/>
  <c r="D842" i="58"/>
  <c r="D843" i="58"/>
  <c r="D844" i="58"/>
  <c r="D845" i="58"/>
  <c r="D846" i="58"/>
  <c r="D847" i="58"/>
  <c r="D848" i="58"/>
  <c r="D849" i="58"/>
  <c r="D850" i="58"/>
  <c r="D851" i="58"/>
  <c r="D852" i="58"/>
  <c r="D853" i="58"/>
  <c r="D854" i="58"/>
  <c r="D855" i="58"/>
  <c r="D856" i="58"/>
  <c r="D857" i="58"/>
  <c r="D858" i="58"/>
  <c r="D859" i="58"/>
  <c r="D860" i="58"/>
  <c r="D861" i="58"/>
  <c r="D862" i="58"/>
  <c r="D863" i="58"/>
  <c r="D864" i="58"/>
  <c r="D865" i="58"/>
  <c r="D866" i="58"/>
  <c r="D867" i="58"/>
  <c r="D868" i="58"/>
  <c r="D869" i="58"/>
  <c r="D870" i="58"/>
  <c r="D871" i="58"/>
  <c r="D872" i="58"/>
  <c r="D873" i="58"/>
  <c r="D874" i="58"/>
  <c r="D875" i="58"/>
  <c r="D876" i="58"/>
  <c r="D877" i="58"/>
  <c r="D878" i="58"/>
  <c r="D879" i="58"/>
  <c r="D880" i="58"/>
  <c r="D881" i="58"/>
  <c r="D882" i="58"/>
  <c r="D883" i="58"/>
  <c r="D884" i="58"/>
  <c r="D885" i="58"/>
  <c r="D886" i="58"/>
  <c r="D887" i="58"/>
  <c r="D888" i="58"/>
  <c r="D889" i="58"/>
  <c r="D890" i="58"/>
  <c r="D891" i="58"/>
  <c r="D892" i="58"/>
  <c r="D893" i="58"/>
  <c r="D894" i="58"/>
  <c r="D895" i="58"/>
  <c r="D896" i="58"/>
  <c r="D897" i="58"/>
  <c r="D898" i="58"/>
  <c r="D899" i="58"/>
  <c r="D900" i="58"/>
  <c r="D901" i="58"/>
  <c r="D902" i="58"/>
  <c r="D903" i="58"/>
  <c r="D904" i="58"/>
  <c r="D905" i="58"/>
  <c r="D906" i="58"/>
  <c r="D907" i="58"/>
  <c r="D908" i="58"/>
  <c r="D909" i="58"/>
  <c r="D910" i="58"/>
  <c r="D911" i="58"/>
  <c r="D912" i="58"/>
  <c r="D913" i="58"/>
  <c r="D914" i="58"/>
  <c r="D915" i="58"/>
  <c r="D916" i="58"/>
  <c r="D917" i="58"/>
  <c r="D918" i="58"/>
  <c r="D919" i="58"/>
  <c r="D920" i="58"/>
  <c r="D921" i="58"/>
  <c r="D922" i="58"/>
  <c r="D923" i="58"/>
  <c r="D924" i="58"/>
  <c r="D925" i="58"/>
  <c r="D926" i="58"/>
  <c r="D927" i="58"/>
  <c r="D928" i="58"/>
  <c r="D929" i="58"/>
  <c r="D930" i="58"/>
  <c r="D931" i="58"/>
  <c r="D932" i="58"/>
  <c r="D933" i="58"/>
  <c r="D934" i="58"/>
  <c r="D935" i="58"/>
  <c r="D936" i="58"/>
  <c r="D937" i="58"/>
  <c r="D938" i="58"/>
  <c r="D939" i="58"/>
  <c r="D940" i="58"/>
  <c r="D941" i="58"/>
  <c r="D942" i="58"/>
  <c r="D943" i="58"/>
  <c r="D944" i="58"/>
  <c r="D945" i="58"/>
  <c r="D946" i="58"/>
  <c r="D947" i="58"/>
  <c r="D948" i="58"/>
  <c r="D949" i="58"/>
  <c r="D950" i="58"/>
  <c r="D951" i="58"/>
  <c r="D952" i="58"/>
  <c r="D953" i="58"/>
  <c r="D954" i="58"/>
  <c r="D955" i="58"/>
  <c r="D956" i="58"/>
  <c r="D957" i="58"/>
  <c r="D958" i="58"/>
  <c r="D959" i="58"/>
  <c r="D960" i="58"/>
  <c r="D961" i="58"/>
  <c r="D962" i="58"/>
  <c r="D963" i="58"/>
  <c r="D964" i="58"/>
  <c r="D965" i="58"/>
  <c r="D966" i="58"/>
  <c r="D967" i="58"/>
  <c r="D968" i="58"/>
  <c r="D969" i="58"/>
  <c r="D970" i="58"/>
  <c r="D971" i="58"/>
  <c r="D972" i="58"/>
  <c r="D973" i="58"/>
  <c r="D974" i="58"/>
  <c r="D975" i="58"/>
  <c r="D976" i="58"/>
  <c r="D977" i="58"/>
  <c r="D978" i="58"/>
  <c r="D979" i="58"/>
  <c r="D980" i="58"/>
  <c r="D981" i="58"/>
  <c r="D982" i="58"/>
  <c r="D983" i="58"/>
  <c r="D984" i="58"/>
  <c r="D985" i="58"/>
  <c r="D986" i="58"/>
  <c r="D987" i="58"/>
  <c r="D988" i="58"/>
  <c r="D989" i="58"/>
  <c r="D990" i="58"/>
  <c r="D991" i="58"/>
  <c r="D992" i="58"/>
  <c r="D993" i="58"/>
  <c r="D994" i="58"/>
  <c r="D995" i="58"/>
  <c r="D996" i="58"/>
  <c r="D997" i="58"/>
  <c r="D998" i="58"/>
  <c r="D999" i="58"/>
  <c r="D1000" i="58"/>
  <c r="D1001" i="58"/>
  <c r="D1002" i="58"/>
  <c r="D1003" i="58"/>
  <c r="D1004" i="58"/>
  <c r="D1005" i="58"/>
  <c r="D1006" i="58"/>
  <c r="D1007" i="58"/>
  <c r="D1008" i="58"/>
  <c r="D1009" i="58"/>
  <c r="D1010" i="58"/>
  <c r="D1011" i="58"/>
  <c r="D1012" i="58"/>
  <c r="D1013" i="58"/>
  <c r="D1014" i="58"/>
  <c r="D1015" i="58"/>
  <c r="D1016" i="58"/>
  <c r="D1017" i="58"/>
  <c r="D1018" i="58"/>
  <c r="D1019" i="58"/>
  <c r="D1020" i="58"/>
  <c r="D1021" i="58"/>
  <c r="D1022" i="58"/>
  <c r="D1023" i="58"/>
  <c r="D1024" i="58"/>
  <c r="D1025" i="58"/>
  <c r="D1026" i="58"/>
  <c r="D1027" i="58"/>
  <c r="D1028" i="58"/>
  <c r="D1029" i="58"/>
  <c r="D1030" i="58"/>
  <c r="D1031" i="58"/>
  <c r="D1032" i="58"/>
  <c r="D1033" i="58"/>
  <c r="D1034" i="58"/>
  <c r="D1035" i="58"/>
  <c r="D1036" i="58"/>
  <c r="D1037" i="58"/>
  <c r="D1038" i="58"/>
  <c r="D1039" i="58"/>
  <c r="D1040" i="58"/>
  <c r="D1041" i="58"/>
  <c r="D1042" i="58"/>
  <c r="D1043" i="58"/>
  <c r="D1044" i="58"/>
  <c r="D1045" i="58"/>
  <c r="D1046" i="58"/>
  <c r="D1047" i="58"/>
  <c r="D1048" i="58"/>
  <c r="D1049" i="58"/>
  <c r="D1050" i="58"/>
  <c r="D1051" i="58"/>
  <c r="D1052" i="58"/>
  <c r="D1053" i="58"/>
  <c r="D1054" i="58"/>
  <c r="D1055" i="58"/>
  <c r="D1056" i="58"/>
  <c r="D1057" i="58"/>
  <c r="D1058" i="58"/>
  <c r="D1059" i="58"/>
  <c r="D1060" i="58"/>
  <c r="D1061" i="58"/>
  <c r="D1062" i="58"/>
  <c r="D1063" i="58"/>
  <c r="D1064" i="58"/>
  <c r="D1065" i="58"/>
  <c r="D1066" i="58"/>
  <c r="D1067" i="58"/>
  <c r="D1068" i="58"/>
  <c r="D1069" i="58"/>
  <c r="D1070" i="58"/>
  <c r="D1071" i="58"/>
  <c r="D1072" i="58"/>
  <c r="D1073" i="58"/>
  <c r="D1074" i="58"/>
  <c r="D1075" i="58"/>
  <c r="D1076" i="58"/>
  <c r="D1077" i="58"/>
  <c r="D1078" i="58"/>
  <c r="D1079" i="58"/>
  <c r="D1080" i="58"/>
  <c r="D1081" i="58"/>
  <c r="D1082" i="58"/>
  <c r="D1083" i="58"/>
  <c r="D1084" i="58"/>
  <c r="D1085" i="58"/>
  <c r="D1086" i="58"/>
  <c r="D1087" i="58"/>
  <c r="D1088" i="58"/>
  <c r="D1089" i="58"/>
  <c r="D1090" i="58"/>
  <c r="D1091" i="58"/>
  <c r="D1092" i="58"/>
  <c r="D1093" i="58"/>
  <c r="D1094" i="58"/>
  <c r="D1095" i="58"/>
  <c r="D1096" i="58"/>
  <c r="D1097" i="58"/>
  <c r="D1098" i="58"/>
  <c r="D1099" i="58"/>
  <c r="D1100" i="58"/>
  <c r="D1101" i="58"/>
  <c r="D1102" i="58"/>
  <c r="D1104" i="58"/>
  <c r="D1105" i="58"/>
  <c r="D1106" i="58"/>
  <c r="D1107" i="58"/>
  <c r="D1108" i="58"/>
  <c r="D1109" i="58"/>
  <c r="D1110" i="58"/>
  <c r="D1111" i="58"/>
  <c r="D1112" i="58"/>
  <c r="D1113" i="58"/>
  <c r="D1114" i="58"/>
  <c r="D1115" i="58"/>
  <c r="D1116" i="58"/>
  <c r="D1117" i="58"/>
  <c r="D1118" i="58"/>
  <c r="D1119" i="58"/>
  <c r="D1120" i="58"/>
  <c r="D1121" i="58"/>
  <c r="D1122" i="58"/>
  <c r="D1123" i="58"/>
  <c r="D1124" i="58"/>
  <c r="D1125" i="58"/>
  <c r="D1126" i="58"/>
  <c r="D1127" i="58"/>
  <c r="D1128" i="58"/>
  <c r="D1129" i="58"/>
  <c r="D1130" i="58"/>
  <c r="D1131" i="58"/>
  <c r="D1132" i="58"/>
  <c r="D1133" i="58"/>
  <c r="D1134" i="58"/>
  <c r="D1135" i="58"/>
  <c r="D1136" i="58"/>
  <c r="D1137" i="58"/>
  <c r="D1138" i="58"/>
  <c r="D1139" i="58"/>
  <c r="D1140" i="58"/>
  <c r="D1141" i="58"/>
  <c r="D1142" i="58"/>
  <c r="D1143" i="58"/>
  <c r="D1144" i="58"/>
  <c r="D1145" i="58"/>
  <c r="D1146" i="58"/>
  <c r="D1147" i="58"/>
  <c r="D1148" i="58"/>
  <c r="D1149" i="58"/>
  <c r="D1150" i="58"/>
  <c r="D1151" i="58"/>
  <c r="D1152" i="58"/>
  <c r="D1153" i="58"/>
  <c r="D1154" i="58"/>
  <c r="D1155" i="58"/>
  <c r="D1156" i="58"/>
  <c r="D1157" i="58"/>
  <c r="D1158" i="58"/>
  <c r="D1159" i="58"/>
  <c r="D1160" i="58"/>
  <c r="D1161" i="58"/>
  <c r="D1162" i="58"/>
  <c r="D1163" i="58"/>
  <c r="D1164" i="58"/>
  <c r="D1165" i="58"/>
  <c r="D1166" i="58"/>
  <c r="D1167" i="58"/>
  <c r="D1168" i="58"/>
  <c r="D1169" i="58"/>
  <c r="D1170" i="58"/>
  <c r="D1171" i="58"/>
  <c r="D1172" i="58"/>
  <c r="D1173" i="58"/>
  <c r="D1174" i="58"/>
  <c r="D1175" i="58"/>
  <c r="D1176" i="58"/>
  <c r="D1177" i="58"/>
  <c r="D1178" i="58"/>
  <c r="D1179" i="58"/>
  <c r="D1180" i="58"/>
  <c r="D1181" i="58"/>
  <c r="D1182" i="58"/>
  <c r="D1183" i="58"/>
  <c r="D1184" i="58"/>
  <c r="D1185" i="58"/>
  <c r="D1186" i="58"/>
  <c r="D1187" i="58"/>
  <c r="D1188" i="58"/>
  <c r="D1189" i="58"/>
  <c r="D1190" i="58"/>
  <c r="D1191" i="58"/>
  <c r="E3677" i="7"/>
  <c r="E3676" i="7"/>
  <c r="E3675" i="7"/>
  <c r="E3674" i="7"/>
  <c r="E3673" i="7"/>
  <c r="E3672" i="7"/>
  <c r="E3671" i="7"/>
  <c r="E3670" i="7"/>
  <c r="E3669" i="7"/>
  <c r="E3668" i="7"/>
  <c r="E3667" i="7"/>
  <c r="E3695" i="7" l="1"/>
  <c r="E3694" i="7"/>
  <c r="E3693" i="7"/>
  <c r="E3692" i="7"/>
  <c r="E3691" i="7"/>
  <c r="E3690" i="7"/>
  <c r="E3689" i="7"/>
  <c r="E3688" i="7"/>
  <c r="E3687" i="7"/>
  <c r="E3686" i="7"/>
  <c r="E3685" i="7"/>
  <c r="E3684" i="7"/>
  <c r="E3683" i="7"/>
  <c r="E3682" i="7"/>
  <c r="E3681" i="7"/>
  <c r="E3680" i="7"/>
  <c r="E3679" i="7"/>
  <c r="E3678" i="7"/>
  <c r="E3666" i="7" l="1"/>
  <c r="E3665" i="7"/>
  <c r="E3658" i="7"/>
  <c r="E3657" i="7"/>
  <c r="E3637" i="7"/>
  <c r="E3636" i="7"/>
  <c r="E3635" i="7"/>
  <c r="E3664" i="7" l="1"/>
  <c r="E3663" i="7"/>
  <c r="E3662" i="7"/>
  <c r="E3653" i="7"/>
  <c r="E3652" i="7"/>
  <c r="E3651" i="7"/>
  <c r="E3650" i="7"/>
  <c r="E3649" i="7"/>
  <c r="E3648" i="7"/>
  <c r="E3647" i="7"/>
  <c r="E3646" i="7"/>
  <c r="E3645" i="7"/>
  <c r="E3644" i="7"/>
  <c r="E3643" i="7"/>
  <c r="E3642" i="7"/>
  <c r="E3641" i="7"/>
  <c r="E3640" i="7"/>
  <c r="E3639" i="7"/>
  <c r="E3638" i="7"/>
  <c r="E3634" i="7"/>
  <c r="E3633" i="7"/>
  <c r="E3632" i="7"/>
  <c r="E3631" i="7"/>
  <c r="E3630" i="7"/>
  <c r="E3629" i="7"/>
  <c r="E3628" i="7"/>
  <c r="E3627" i="7"/>
  <c r="E3626" i="7"/>
  <c r="E3625" i="7"/>
  <c r="E3624" i="7"/>
  <c r="E3661" i="7"/>
  <c r="E3660" i="7"/>
  <c r="E3659" i="7"/>
  <c r="E3656" i="7"/>
  <c r="E3655" i="7"/>
  <c r="E3654" i="7"/>
  <c r="E3615" i="7" l="1"/>
  <c r="E3614" i="7"/>
  <c r="E3623" i="7" l="1"/>
  <c r="E3622" i="7"/>
  <c r="E3621" i="7"/>
  <c r="E3620" i="7"/>
  <c r="E3619" i="7"/>
  <c r="E3618" i="7"/>
  <c r="E3617" i="7"/>
  <c r="E3616" i="7"/>
  <c r="E3613" i="7"/>
  <c r="E3612" i="7"/>
  <c r="E3611" i="7"/>
  <c r="E3610" i="7"/>
  <c r="E3609" i="7"/>
  <c r="E3608" i="7"/>
  <c r="E3607" i="7"/>
  <c r="E3606" i="7"/>
  <c r="B754" i="58"/>
  <c r="B755" i="58" s="1"/>
  <c r="B756" i="58" s="1"/>
  <c r="B757" i="58" s="1"/>
  <c r="B758" i="58" s="1"/>
  <c r="B759" i="58" s="1"/>
  <c r="E3605" i="7"/>
  <c r="E3604" i="7"/>
  <c r="E3603" i="7"/>
  <c r="E3566" i="7"/>
  <c r="E3565" i="7"/>
  <c r="E3564" i="7"/>
  <c r="E3568" i="7" l="1"/>
  <c r="E3567" i="7"/>
  <c r="E3563" i="7"/>
  <c r="E3562" i="7"/>
  <c r="E3561" i="7"/>
  <c r="E3560" i="7"/>
  <c r="E3559" i="7"/>
  <c r="E3558" i="7"/>
  <c r="E3557" i="7"/>
  <c r="E3556" i="7"/>
  <c r="E3555" i="7"/>
  <c r="E3554" i="7"/>
  <c r="E3553" i="7"/>
  <c r="E3552" i="7"/>
  <c r="E3590" i="7" l="1"/>
  <c r="E3589" i="7"/>
  <c r="E3588" i="7"/>
  <c r="E3587" i="7"/>
  <c r="E3586" i="7"/>
  <c r="E3585" i="7"/>
  <c r="E3602" i="7"/>
  <c r="E3601" i="7"/>
  <c r="E3600" i="7"/>
  <c r="E3599" i="7"/>
  <c r="E3598" i="7"/>
  <c r="E3597" i="7"/>
  <c r="E3596" i="7"/>
  <c r="E3595" i="7"/>
  <c r="E3594" i="7"/>
  <c r="E3593" i="7"/>
  <c r="E3592" i="7"/>
  <c r="E3591" i="7"/>
  <c r="E3584" i="7"/>
  <c r="E3583" i="7"/>
  <c r="E3582" i="7"/>
  <c r="E3551" i="7"/>
  <c r="E3550" i="7"/>
  <c r="E3549" i="7"/>
  <c r="E3581" i="7" l="1"/>
  <c r="E3580" i="7"/>
  <c r="E3579" i="7"/>
  <c r="E3578" i="7"/>
  <c r="E3577" i="7"/>
  <c r="E3576" i="7"/>
  <c r="E3575" i="7"/>
  <c r="E3574" i="7"/>
  <c r="E3573" i="7"/>
  <c r="E3572" i="7"/>
  <c r="E3571" i="7"/>
  <c r="E3570" i="7"/>
  <c r="E3569" i="7"/>
  <c r="E3548" i="7" l="1"/>
  <c r="E3547" i="7"/>
  <c r="E3546" i="7" l="1"/>
  <c r="E3545" i="7"/>
  <c r="E3544" i="7"/>
  <c r="E3543" i="7"/>
  <c r="E3542" i="7"/>
  <c r="E3541" i="7"/>
  <c r="E3540" i="7"/>
  <c r="E3539" i="7"/>
  <c r="E3538" i="7"/>
  <c r="E3537" i="7"/>
  <c r="E3536" i="7"/>
  <c r="E3535" i="7"/>
  <c r="E3532" i="7"/>
  <c r="E3531" i="7"/>
  <c r="E3530" i="7" l="1"/>
  <c r="E3529" i="7"/>
  <c r="E3528" i="7"/>
  <c r="E3527" i="7"/>
  <c r="E3534" i="7" l="1"/>
  <c r="E3533" i="7" l="1"/>
  <c r="E3515" i="7" l="1"/>
  <c r="E3514" i="7"/>
  <c r="E3526" i="7"/>
  <c r="E3525" i="7"/>
  <c r="E3524" i="7"/>
  <c r="E3523" i="7"/>
  <c r="E3522" i="7"/>
  <c r="E3521" i="7"/>
  <c r="E3520" i="7"/>
  <c r="E3519" i="7"/>
  <c r="E3518" i="7"/>
  <c r="E3517" i="7"/>
  <c r="E3516" i="7"/>
  <c r="E3513" i="7" l="1"/>
  <c r="E3512" i="7"/>
  <c r="E3511" i="7"/>
  <c r="E3510" i="7"/>
  <c r="E3496" i="7" l="1"/>
  <c r="E3495" i="7"/>
  <c r="E3494" i="7"/>
  <c r="E3493" i="7"/>
  <c r="E3503" i="7"/>
  <c r="E3502" i="7"/>
  <c r="E3501" i="7"/>
  <c r="E3500" i="7"/>
  <c r="E3499" i="7"/>
  <c r="E3498" i="7"/>
  <c r="E3497" i="7"/>
  <c r="E3492" i="7"/>
  <c r="E3491" i="7"/>
  <c r="E3490" i="7"/>
  <c r="E3509" i="7"/>
  <c r="E3508" i="7"/>
  <c r="E3507" i="7"/>
  <c r="E3506" i="7"/>
  <c r="E3505" i="7"/>
  <c r="E3504" i="7"/>
  <c r="E3318" i="7" l="1"/>
  <c r="E2930" i="7"/>
  <c r="E2929" i="7"/>
  <c r="E120" i="17" l="1"/>
  <c r="C119" i="17"/>
  <c r="C120" i="17" s="1"/>
  <c r="E115" i="17"/>
  <c r="C115" i="17"/>
  <c r="E107" i="17"/>
  <c r="E102" i="17"/>
  <c r="C102" i="17"/>
  <c r="C107" i="17" s="1"/>
  <c r="C87" i="17"/>
  <c r="D86" i="17"/>
  <c r="D88" i="17" s="1"/>
  <c r="C69" i="17"/>
  <c r="E58" i="17"/>
  <c r="C58" i="17"/>
  <c r="E51" i="17"/>
  <c r="E37" i="17"/>
  <c r="E30" i="17"/>
  <c r="C30" i="17"/>
  <c r="E19" i="17"/>
  <c r="C19" i="17"/>
  <c r="D8" i="17"/>
  <c r="A5" i="17"/>
  <c r="B1121" i="58"/>
  <c r="B1122" i="58" s="1"/>
  <c r="B1123" i="58" s="1"/>
  <c r="C1103" i="58"/>
  <c r="D1103" i="58" s="1"/>
  <c r="E767" i="58"/>
  <c r="F767" i="58" s="1"/>
  <c r="C767" i="58"/>
  <c r="D767" i="58" s="1"/>
  <c r="L13" i="9"/>
  <c r="L14" i="9" s="1"/>
  <c r="M12" i="9"/>
  <c r="D12" i="9"/>
  <c r="E12" i="9" s="1"/>
  <c r="D4" i="9"/>
  <c r="D30" i="3"/>
  <c r="D14" i="3"/>
  <c r="D27" i="4"/>
  <c r="G27" i="4" s="1"/>
  <c r="D40" i="2"/>
  <c r="E38" i="2"/>
  <c r="D35" i="2"/>
  <c r="D11" i="2"/>
  <c r="G66" i="27"/>
  <c r="G55" i="27"/>
  <c r="G54" i="27"/>
  <c r="G53" i="27"/>
  <c r="G52" i="27"/>
  <c r="G51" i="27"/>
  <c r="G50" i="27"/>
  <c r="G49" i="27"/>
  <c r="G48" i="27"/>
  <c r="G45" i="27"/>
  <c r="G44" i="27"/>
  <c r="G43" i="27"/>
  <c r="G42" i="27"/>
  <c r="G40" i="27"/>
  <c r="G39" i="27"/>
  <c r="G38" i="27"/>
  <c r="G37" i="27"/>
  <c r="G33" i="27"/>
  <c r="G32" i="27"/>
  <c r="G22" i="27"/>
  <c r="G21" i="27"/>
  <c r="G20" i="27"/>
  <c r="G19" i="27"/>
  <c r="G18" i="27"/>
  <c r="G17" i="27"/>
  <c r="G16" i="27"/>
  <c r="G15" i="27"/>
  <c r="G14" i="27"/>
  <c r="G13" i="27"/>
  <c r="G12" i="27"/>
  <c r="G11" i="27"/>
  <c r="G8" i="27"/>
  <c r="E5" i="3"/>
  <c r="E8" i="27"/>
  <c r="G7" i="27"/>
  <c r="E7" i="27"/>
  <c r="G69" i="8"/>
  <c r="G55" i="8"/>
  <c r="G54" i="8"/>
  <c r="G53" i="8"/>
  <c r="G52" i="8"/>
  <c r="G51" i="8"/>
  <c r="G50" i="8"/>
  <c r="G49" i="8"/>
  <c r="G45" i="8"/>
  <c r="G44" i="8"/>
  <c r="G43" i="8"/>
  <c r="G42" i="8"/>
  <c r="G40" i="8"/>
  <c r="G39" i="8"/>
  <c r="G38" i="8"/>
  <c r="G37" i="8"/>
  <c r="G33" i="8"/>
  <c r="G21" i="8"/>
  <c r="G20" i="8"/>
  <c r="G19" i="8"/>
  <c r="G18" i="8"/>
  <c r="G17" i="8"/>
  <c r="G16" i="8"/>
  <c r="G15" i="8"/>
  <c r="G14" i="8"/>
  <c r="G13" i="8"/>
  <c r="G12" i="8"/>
  <c r="G11" i="8"/>
  <c r="G8" i="8"/>
  <c r="C6" i="2"/>
  <c r="E8" i="8"/>
  <c r="G7" i="8"/>
  <c r="E7" i="8"/>
  <c r="E3489" i="7"/>
  <c r="E3488" i="7"/>
  <c r="E3487" i="7"/>
  <c r="E3486" i="7"/>
  <c r="E3485" i="7"/>
  <c r="E3484" i="7"/>
  <c r="E3483" i="7"/>
  <c r="E3482" i="7"/>
  <c r="E3481" i="7"/>
  <c r="E3480" i="7"/>
  <c r="E3479" i="7"/>
  <c r="E3478" i="7"/>
  <c r="E3475" i="7"/>
  <c r="E3474" i="7"/>
  <c r="E3471" i="7"/>
  <c r="E3470" i="7"/>
  <c r="E3469" i="7"/>
  <c r="E3468" i="7"/>
  <c r="E3467" i="7"/>
  <c r="E3466" i="7"/>
  <c r="E3465" i="7"/>
  <c r="E3464" i="7"/>
  <c r="E3463" i="7"/>
  <c r="E3462" i="7"/>
  <c r="E3461" i="7"/>
  <c r="E3460" i="7"/>
  <c r="E3459" i="7"/>
  <c r="E3458" i="7"/>
  <c r="E3457" i="7"/>
  <c r="E3456" i="7"/>
  <c r="E3455" i="7"/>
  <c r="E3454" i="7"/>
  <c r="E3453" i="7"/>
  <c r="E3452" i="7"/>
  <c r="E3451" i="7"/>
  <c r="E3447" i="7"/>
  <c r="E3446" i="7"/>
  <c r="E3445" i="7"/>
  <c r="E3444" i="7"/>
  <c r="E3443" i="7"/>
  <c r="E3442" i="7"/>
  <c r="E3441" i="7"/>
  <c r="E3440" i="7"/>
  <c r="E3439" i="7"/>
  <c r="E3438" i="7"/>
  <c r="E3437" i="7"/>
  <c r="E3436" i="7"/>
  <c r="E3435" i="7"/>
  <c r="E3434" i="7"/>
  <c r="E3433" i="7"/>
  <c r="E3432" i="7"/>
  <c r="E3431" i="7"/>
  <c r="E3430" i="7"/>
  <c r="E3429" i="7"/>
  <c r="E3428" i="7"/>
  <c r="E3427" i="7"/>
  <c r="E3426" i="7"/>
  <c r="E3425" i="7"/>
  <c r="E3424" i="7"/>
  <c r="E3423" i="7"/>
  <c r="E3422" i="7"/>
  <c r="E3421" i="7"/>
  <c r="E3418" i="7"/>
  <c r="E3417" i="7"/>
  <c r="E3416" i="7"/>
  <c r="E3415" i="7"/>
  <c r="E3414" i="7"/>
  <c r="E3413" i="7"/>
  <c r="E3412" i="7"/>
  <c r="E3411" i="7"/>
  <c r="E3410" i="7"/>
  <c r="E3409" i="7"/>
  <c r="E3408" i="7"/>
  <c r="E3407" i="7"/>
  <c r="E3406" i="7"/>
  <c r="E3405" i="7"/>
  <c r="E3404" i="7"/>
  <c r="E3403" i="7"/>
  <c r="E3402" i="7"/>
  <c r="E3401" i="7"/>
  <c r="E3400" i="7"/>
  <c r="E3399" i="7"/>
  <c r="E3398" i="7"/>
  <c r="E3397" i="7"/>
  <c r="E3396" i="7"/>
  <c r="E3395" i="7"/>
  <c r="E3394" i="7"/>
  <c r="E3393" i="7"/>
  <c r="E3392" i="7"/>
  <c r="E3391" i="7"/>
  <c r="E3390" i="7"/>
  <c r="E3389" i="7"/>
  <c r="E3388" i="7"/>
  <c r="E3387" i="7"/>
  <c r="E3386" i="7"/>
  <c r="E3385" i="7"/>
  <c r="E3384" i="7"/>
  <c r="E3383" i="7"/>
  <c r="E3382" i="7"/>
  <c r="E3381" i="7"/>
  <c r="E3380" i="7"/>
  <c r="E3379" i="7"/>
  <c r="E3378" i="7"/>
  <c r="E3377" i="7"/>
  <c r="E3376" i="7"/>
  <c r="E3375" i="7"/>
  <c r="E3374" i="7"/>
  <c r="E3373" i="7"/>
  <c r="E3372" i="7"/>
  <c r="E3369" i="7"/>
  <c r="E3368" i="7"/>
  <c r="E3367" i="7"/>
  <c r="E3366" i="7"/>
  <c r="E3365" i="7"/>
  <c r="E3364" i="7"/>
  <c r="E3363" i="7"/>
  <c r="E3362" i="7"/>
  <c r="E3361" i="7"/>
  <c r="E3360" i="7"/>
  <c r="E3359" i="7"/>
  <c r="E3358" i="7"/>
  <c r="E3357" i="7"/>
  <c r="E3356" i="7"/>
  <c r="E3355" i="7"/>
  <c r="E3354" i="7"/>
  <c r="E3353" i="7"/>
  <c r="E3352" i="7"/>
  <c r="E3351" i="7"/>
  <c r="E3350" i="7"/>
  <c r="E3349" i="7"/>
  <c r="E3348" i="7"/>
  <c r="E3347" i="7"/>
  <c r="E3346" i="7"/>
  <c r="E3345" i="7"/>
  <c r="E3344" i="7"/>
  <c r="E3343" i="7"/>
  <c r="E3342" i="7"/>
  <c r="E3341" i="7"/>
  <c r="E3340" i="7"/>
  <c r="E3339" i="7"/>
  <c r="E3338" i="7"/>
  <c r="E3337" i="7"/>
  <c r="E3336" i="7"/>
  <c r="E3335" i="7"/>
  <c r="E3334" i="7"/>
  <c r="E3333" i="7"/>
  <c r="E3332" i="7"/>
  <c r="E3331" i="7"/>
  <c r="E3330" i="7"/>
  <c r="E3329" i="7"/>
  <c r="E3328" i="7"/>
  <c r="E3327" i="7"/>
  <c r="E3326" i="7"/>
  <c r="E3325" i="7"/>
  <c r="E3324" i="7"/>
  <c r="E3323" i="7"/>
  <c r="E3322" i="7"/>
  <c r="E3321" i="7"/>
  <c r="E3320" i="7"/>
  <c r="E3319" i="7"/>
  <c r="E3315" i="7"/>
  <c r="E3314" i="7"/>
  <c r="E3313" i="7"/>
  <c r="E3312" i="7"/>
  <c r="E3311" i="7"/>
  <c r="E3310" i="7"/>
  <c r="E3309" i="7"/>
  <c r="E3308" i="7"/>
  <c r="E3307" i="7"/>
  <c r="E3306" i="7"/>
  <c r="E3305" i="7"/>
  <c r="E3304" i="7"/>
  <c r="E3303" i="7"/>
  <c r="E3302" i="7"/>
  <c r="E3301" i="7"/>
  <c r="E3300" i="7"/>
  <c r="E3299" i="7"/>
  <c r="E3298" i="7"/>
  <c r="E3297" i="7"/>
  <c r="E3294" i="7"/>
  <c r="E3293" i="7"/>
  <c r="E3292" i="7"/>
  <c r="E3291" i="7"/>
  <c r="E3290" i="7"/>
  <c r="E3289" i="7"/>
  <c r="E3288" i="7"/>
  <c r="E3287" i="7"/>
  <c r="E3286" i="7"/>
  <c r="E3285" i="7"/>
  <c r="E3284" i="7"/>
  <c r="E3283" i="7"/>
  <c r="E3282" i="7"/>
  <c r="E3281" i="7"/>
  <c r="E3280" i="7"/>
  <c r="E3279" i="7"/>
  <c r="E3278" i="7"/>
  <c r="E3277" i="7"/>
  <c r="E3276" i="7"/>
  <c r="E3275" i="7"/>
  <c r="E3274" i="7"/>
  <c r="E3273" i="7"/>
  <c r="E3272" i="7"/>
  <c r="E3271" i="7"/>
  <c r="E3268" i="7"/>
  <c r="E3267" i="7"/>
  <c r="E3266" i="7"/>
  <c r="E3265" i="7"/>
  <c r="E3264" i="7"/>
  <c r="E3263" i="7"/>
  <c r="E3262" i="7"/>
  <c r="E3261" i="7"/>
  <c r="E3260" i="7"/>
  <c r="E3259" i="7"/>
  <c r="E3258" i="7"/>
  <c r="E3257" i="7"/>
  <c r="E3256" i="7"/>
  <c r="E3255" i="7"/>
  <c r="E3254" i="7"/>
  <c r="E3253" i="7"/>
  <c r="E3252" i="7"/>
  <c r="E3251" i="7"/>
  <c r="E3250" i="7"/>
  <c r="E3249" i="7"/>
  <c r="E3248" i="7"/>
  <c r="E3247" i="7"/>
  <c r="E3246" i="7"/>
  <c r="E3245" i="7"/>
  <c r="E3244" i="7"/>
  <c r="E3243" i="7"/>
  <c r="E3242" i="7"/>
  <c r="E3241" i="7"/>
  <c r="E3240" i="7"/>
  <c r="E3239" i="7"/>
  <c r="E3238" i="7"/>
  <c r="E3237" i="7"/>
  <c r="E3236" i="7"/>
  <c r="E3235" i="7"/>
  <c r="E3234" i="7"/>
  <c r="E3233" i="7"/>
  <c r="E3232" i="7"/>
  <c r="E3231" i="7"/>
  <c r="E3230" i="7"/>
  <c r="E3229" i="7"/>
  <c r="E3228" i="7"/>
  <c r="E3227" i="7"/>
  <c r="E3226" i="7"/>
  <c r="K3225" i="7"/>
  <c r="E3225" i="7"/>
  <c r="E3224" i="7"/>
  <c r="E3223" i="7"/>
  <c r="E3222" i="7"/>
  <c r="E3221" i="7"/>
  <c r="E3220" i="7"/>
  <c r="E3219" i="7"/>
  <c r="E3218" i="7"/>
  <c r="E3217" i="7"/>
  <c r="E3216" i="7"/>
  <c r="E3215" i="7"/>
  <c r="E3214" i="7"/>
  <c r="E3213" i="7"/>
  <c r="E3212" i="7"/>
  <c r="E3211" i="7"/>
  <c r="E3210" i="7"/>
  <c r="E3209" i="7"/>
  <c r="E3208" i="7"/>
  <c r="E3207" i="7"/>
  <c r="E3206" i="7"/>
  <c r="E3205" i="7"/>
  <c r="E3204" i="7"/>
  <c r="E3203" i="7"/>
  <c r="E3202" i="7"/>
  <c r="E3201" i="7"/>
  <c r="E3200" i="7"/>
  <c r="E3199" i="7"/>
  <c r="E3198" i="7"/>
  <c r="E3197" i="7"/>
  <c r="E3196" i="7"/>
  <c r="E3195" i="7"/>
  <c r="E3194" i="7"/>
  <c r="E3193" i="7"/>
  <c r="E3192" i="7"/>
  <c r="E3191" i="7"/>
  <c r="E3190" i="7"/>
  <c r="E3189" i="7"/>
  <c r="E3188" i="7"/>
  <c r="E3187" i="7"/>
  <c r="E3186" i="7"/>
  <c r="E3185" i="7"/>
  <c r="E3184" i="7"/>
  <c r="E3183" i="7"/>
  <c r="E3182" i="7"/>
  <c r="E3181" i="7"/>
  <c r="E3180" i="7"/>
  <c r="E3179" i="7"/>
  <c r="E3178" i="7"/>
  <c r="E3177" i="7"/>
  <c r="E3176" i="7"/>
  <c r="E3175" i="7"/>
  <c r="E3174" i="7"/>
  <c r="E3173" i="7"/>
  <c r="E3172" i="7"/>
  <c r="E3171" i="7"/>
  <c r="E3170" i="7"/>
  <c r="E3169" i="7"/>
  <c r="E3168" i="7"/>
  <c r="E3167" i="7"/>
  <c r="E3166" i="7"/>
  <c r="E3165" i="7"/>
  <c r="E3164" i="7"/>
  <c r="E3163" i="7"/>
  <c r="E3162" i="7"/>
  <c r="E3161" i="7"/>
  <c r="E3160" i="7"/>
  <c r="E3159" i="7"/>
  <c r="E3158" i="7"/>
  <c r="E3157" i="7"/>
  <c r="E3156" i="7"/>
  <c r="E3155" i="7"/>
  <c r="E3154" i="7"/>
  <c r="E3153" i="7"/>
  <c r="E3152" i="7"/>
  <c r="E3151" i="7"/>
  <c r="E3150" i="7"/>
  <c r="E3149" i="7"/>
  <c r="E3148" i="7"/>
  <c r="E3147" i="7"/>
  <c r="E3146" i="7"/>
  <c r="E3145" i="7"/>
  <c r="E3144" i="7"/>
  <c r="E3141" i="7"/>
  <c r="E3140" i="7"/>
  <c r="E3139" i="7"/>
  <c r="E3138" i="7"/>
  <c r="E3137" i="7"/>
  <c r="E3136" i="7"/>
  <c r="E3135" i="7"/>
  <c r="E3134" i="7"/>
  <c r="E3133" i="7"/>
  <c r="E3132" i="7"/>
  <c r="E3131" i="7"/>
  <c r="E3130" i="7"/>
  <c r="E3129" i="7"/>
  <c r="E3128" i="7"/>
  <c r="E3127" i="7"/>
  <c r="E3126" i="7"/>
  <c r="E3125" i="7"/>
  <c r="E3124" i="7"/>
  <c r="E3123" i="7"/>
  <c r="E3122" i="7"/>
  <c r="E3121" i="7"/>
  <c r="E3120" i="7"/>
  <c r="E3119" i="7"/>
  <c r="E3118" i="7"/>
  <c r="E3117" i="7"/>
  <c r="E3116" i="7"/>
  <c r="E3115" i="7"/>
  <c r="E3114" i="7"/>
  <c r="E3113" i="7"/>
  <c r="E3112" i="7"/>
  <c r="E3111" i="7"/>
  <c r="E3110" i="7"/>
  <c r="E3109" i="7"/>
  <c r="E3108" i="7"/>
  <c r="E3107" i="7"/>
  <c r="E3106" i="7"/>
  <c r="E3105" i="7"/>
  <c r="E3104" i="7"/>
  <c r="E3103" i="7"/>
  <c r="E3102" i="7"/>
  <c r="E3101" i="7"/>
  <c r="E3100" i="7"/>
  <c r="E3099" i="7"/>
  <c r="E3098" i="7"/>
  <c r="E3097" i="7"/>
  <c r="E3096" i="7"/>
  <c r="E3095" i="7"/>
  <c r="E3094" i="7"/>
  <c r="E3093" i="7"/>
  <c r="E3092" i="7"/>
  <c r="E3091" i="7"/>
  <c r="E3090" i="7"/>
  <c r="E3089" i="7"/>
  <c r="E3088" i="7"/>
  <c r="E3087" i="7"/>
  <c r="E3086" i="7"/>
  <c r="E3085" i="7"/>
  <c r="E3084" i="7"/>
  <c r="E3083" i="7"/>
  <c r="E3082" i="7"/>
  <c r="E3081" i="7"/>
  <c r="E3080" i="7"/>
  <c r="E3079" i="7"/>
  <c r="E3078" i="7"/>
  <c r="E3077" i="7"/>
  <c r="E3076" i="7"/>
  <c r="E3075" i="7"/>
  <c r="E3074" i="7"/>
  <c r="E3073" i="7"/>
  <c r="E3072" i="7"/>
  <c r="E3071" i="7"/>
  <c r="E3070" i="7"/>
  <c r="E3069" i="7"/>
  <c r="E3068" i="7"/>
  <c r="E3067" i="7"/>
  <c r="E3066" i="7"/>
  <c r="E3065" i="7"/>
  <c r="E3064" i="7"/>
  <c r="E3063" i="7"/>
  <c r="E3062" i="7"/>
  <c r="E3061" i="7"/>
  <c r="E3060" i="7"/>
  <c r="E3059" i="7"/>
  <c r="E3058" i="7"/>
  <c r="E3057" i="7"/>
  <c r="E3056" i="7"/>
  <c r="E3055" i="7"/>
  <c r="E3054" i="7"/>
  <c r="E3053" i="7"/>
  <c r="E3052" i="7"/>
  <c r="E3051" i="7"/>
  <c r="E3050" i="7"/>
  <c r="E3049" i="7"/>
  <c r="E3048" i="7"/>
  <c r="E3047" i="7"/>
  <c r="E3046" i="7"/>
  <c r="E3045" i="7"/>
  <c r="E3044" i="7"/>
  <c r="E3043" i="7"/>
  <c r="E3040" i="7"/>
  <c r="E3039" i="7"/>
  <c r="E3038" i="7"/>
  <c r="E3037" i="7"/>
  <c r="E3036" i="7"/>
  <c r="E3035" i="7"/>
  <c r="E3034" i="7"/>
  <c r="E3033" i="7"/>
  <c r="E3032" i="7"/>
  <c r="E3031" i="7"/>
  <c r="E3030" i="7"/>
  <c r="E3029" i="7"/>
  <c r="E3028" i="7"/>
  <c r="E3027" i="7"/>
  <c r="E3026" i="7"/>
  <c r="E3025" i="7"/>
  <c r="E3024" i="7"/>
  <c r="E3023" i="7"/>
  <c r="E3022" i="7"/>
  <c r="E3021" i="7"/>
  <c r="E3020" i="7"/>
  <c r="E3019" i="7"/>
  <c r="E3018" i="7"/>
  <c r="E3017" i="7"/>
  <c r="E3016" i="7"/>
  <c r="E3015" i="7"/>
  <c r="E3014" i="7"/>
  <c r="E3013" i="7"/>
  <c r="E3012" i="7"/>
  <c r="E3011" i="7"/>
  <c r="E3010" i="7"/>
  <c r="E3009" i="7"/>
  <c r="E3008" i="7"/>
  <c r="E3007" i="7"/>
  <c r="E3006" i="7"/>
  <c r="E3005" i="7"/>
  <c r="E3004" i="7"/>
  <c r="E3003" i="7"/>
  <c r="E3002" i="7"/>
  <c r="E3001" i="7"/>
  <c r="E3000" i="7"/>
  <c r="E2999" i="7"/>
  <c r="E2998" i="7"/>
  <c r="E2997" i="7"/>
  <c r="E2996" i="7"/>
  <c r="E2995" i="7"/>
  <c r="E2994" i="7"/>
  <c r="E2993" i="7"/>
  <c r="E2992" i="7"/>
  <c r="E2991" i="7"/>
  <c r="E2990" i="7"/>
  <c r="E2989" i="7"/>
  <c r="E2988" i="7"/>
  <c r="E2987" i="7"/>
  <c r="E2986" i="7"/>
  <c r="E2985" i="7"/>
  <c r="E2984" i="7"/>
  <c r="E2983" i="7"/>
  <c r="E2982" i="7"/>
  <c r="E2981" i="7"/>
  <c r="E2980" i="7"/>
  <c r="E2979" i="7"/>
  <c r="E2978" i="7"/>
  <c r="E2977" i="7"/>
  <c r="E2974" i="7"/>
  <c r="E2973" i="7"/>
  <c r="E2972" i="7"/>
  <c r="E2971" i="7"/>
  <c r="E2970" i="7"/>
  <c r="E2969" i="7"/>
  <c r="E2968" i="7"/>
  <c r="E2967" i="7"/>
  <c r="E2966" i="7"/>
  <c r="E2965" i="7"/>
  <c r="E2964" i="7"/>
  <c r="E2963" i="7"/>
  <c r="E2962" i="7"/>
  <c r="E2961" i="7"/>
  <c r="E2960" i="7"/>
  <c r="E2959" i="7"/>
  <c r="E2958" i="7"/>
  <c r="E2957" i="7"/>
  <c r="E2956" i="7"/>
  <c r="E2955" i="7"/>
  <c r="E2954" i="7"/>
  <c r="E2953" i="7"/>
  <c r="E2952" i="7"/>
  <c r="E2951" i="7"/>
  <c r="E2950" i="7"/>
  <c r="E2949" i="7"/>
  <c r="E2948" i="7"/>
  <c r="E2947" i="7"/>
  <c r="E2946" i="7"/>
  <c r="E2945" i="7"/>
  <c r="E2944" i="7"/>
  <c r="E2943" i="7"/>
  <c r="E2942" i="7"/>
  <c r="E2941" i="7"/>
  <c r="E2940" i="7"/>
  <c r="E2939" i="7"/>
  <c r="E2938" i="7"/>
  <c r="E2937" i="7"/>
  <c r="E2936" i="7"/>
  <c r="E2935" i="7"/>
  <c r="E2934" i="7"/>
  <c r="E2933" i="7"/>
  <c r="E2932" i="7"/>
  <c r="E2931" i="7"/>
  <c r="E2928" i="7"/>
  <c r="E2927" i="7"/>
  <c r="E2924" i="7"/>
  <c r="E2923" i="7"/>
  <c r="E3449" i="7"/>
  <c r="E3448" i="7"/>
  <c r="E2922" i="7"/>
  <c r="E2921" i="7"/>
  <c r="E2920" i="7"/>
  <c r="E2918" i="7"/>
  <c r="E2917" i="7"/>
  <c r="E2916" i="7"/>
  <c r="E2915" i="7"/>
  <c r="E2914" i="7"/>
  <c r="E2913" i="7"/>
  <c r="E2912" i="7"/>
  <c r="E2911" i="7"/>
  <c r="E2910" i="7"/>
  <c r="E2909" i="7"/>
  <c r="E2908" i="7"/>
  <c r="E2907" i="7"/>
  <c r="E2906" i="7"/>
  <c r="E2905" i="7"/>
  <c r="E2904" i="7"/>
  <c r="E2903" i="7"/>
  <c r="E2902" i="7"/>
  <c r="E2901" i="7"/>
  <c r="M2900" i="7"/>
  <c r="E2900" i="7"/>
  <c r="E2899" i="7"/>
  <c r="E2898" i="7"/>
  <c r="E2897" i="7"/>
  <c r="E2896" i="7"/>
  <c r="E2895" i="7"/>
  <c r="E2894" i="7"/>
  <c r="E2893" i="7"/>
  <c r="E2892" i="7"/>
  <c r="E2891" i="7"/>
  <c r="E2890" i="7"/>
  <c r="E2889" i="7"/>
  <c r="E2888" i="7"/>
  <c r="E2887" i="7"/>
  <c r="E2886" i="7"/>
  <c r="E2885" i="7"/>
  <c r="E2884" i="7"/>
  <c r="E2883" i="7"/>
  <c r="E2882" i="7"/>
  <c r="E2881" i="7"/>
  <c r="E2880" i="7"/>
  <c r="E2879" i="7"/>
  <c r="E2878" i="7"/>
  <c r="E2877" i="7"/>
  <c r="E2876" i="7"/>
  <c r="E2875" i="7"/>
  <c r="E2874" i="7"/>
  <c r="E2873" i="7"/>
  <c r="E2872" i="7"/>
  <c r="E2871" i="7"/>
  <c r="E2870" i="7"/>
  <c r="E2869" i="7"/>
  <c r="E2868" i="7"/>
  <c r="E2867" i="7"/>
  <c r="E2866" i="7"/>
  <c r="E2865" i="7"/>
  <c r="E2864" i="7"/>
  <c r="E2863" i="7"/>
  <c r="E2862" i="7"/>
  <c r="E2861" i="7"/>
  <c r="E2860" i="7"/>
  <c r="E2859" i="7"/>
  <c r="E2858" i="7"/>
  <c r="E2857" i="7"/>
  <c r="E2856" i="7"/>
  <c r="E2855" i="7"/>
  <c r="E2854" i="7"/>
  <c r="E2853" i="7"/>
  <c r="E2852" i="7"/>
  <c r="E2851" i="7"/>
  <c r="E2850" i="7"/>
  <c r="E2849" i="7"/>
  <c r="E2848" i="7"/>
  <c r="E2847" i="7"/>
  <c r="E2846" i="7"/>
  <c r="E2845" i="7"/>
  <c r="E2844" i="7"/>
  <c r="E2843" i="7"/>
  <c r="E2842" i="7"/>
  <c r="E2841" i="7"/>
  <c r="E2840" i="7"/>
  <c r="E2839" i="7"/>
  <c r="E2838" i="7"/>
  <c r="E2837" i="7"/>
  <c r="E2836" i="7"/>
  <c r="E2835" i="7"/>
  <c r="E2834" i="7"/>
  <c r="E2833" i="7"/>
  <c r="E2832" i="7"/>
  <c r="E2831" i="7"/>
  <c r="E2830" i="7"/>
  <c r="E2829" i="7"/>
  <c r="E2828" i="7"/>
  <c r="E2827" i="7"/>
  <c r="E2826" i="7"/>
  <c r="E2825" i="7"/>
  <c r="E2824" i="7"/>
  <c r="E2823" i="7"/>
  <c r="E2822" i="7"/>
  <c r="E2821" i="7"/>
  <c r="E2820" i="7"/>
  <c r="E2819" i="7"/>
  <c r="E2818" i="7"/>
  <c r="E2817" i="7"/>
  <c r="E2816" i="7"/>
  <c r="E2815" i="7"/>
  <c r="E2814" i="7"/>
  <c r="E2813" i="7"/>
  <c r="E2812" i="7"/>
  <c r="E2811" i="7"/>
  <c r="E2810" i="7"/>
  <c r="E2809" i="7"/>
  <c r="E2808" i="7"/>
  <c r="E2807" i="7"/>
  <c r="E2806" i="7"/>
  <c r="E2805" i="7"/>
  <c r="E2804" i="7"/>
  <c r="E2803" i="7"/>
  <c r="E2802" i="7"/>
  <c r="E2801" i="7"/>
  <c r="E2800" i="7"/>
  <c r="E2799" i="7"/>
  <c r="E2798" i="7"/>
  <c r="E2797" i="7"/>
  <c r="E2796" i="7"/>
  <c r="E2795" i="7"/>
  <c r="E2794" i="7"/>
  <c r="E2793" i="7"/>
  <c r="E2792" i="7"/>
  <c r="E2791" i="7"/>
  <c r="E2790" i="7"/>
  <c r="E2789" i="7"/>
  <c r="E2788" i="7"/>
  <c r="E2787" i="7"/>
  <c r="E2786" i="7"/>
  <c r="E2785" i="7"/>
  <c r="E2784" i="7"/>
  <c r="E2783" i="7"/>
  <c r="E2782" i="7"/>
  <c r="E2781" i="7"/>
  <c r="E2780" i="7"/>
  <c r="E2779" i="7"/>
  <c r="E2778" i="7"/>
  <c r="E2777" i="7"/>
  <c r="E2776" i="7"/>
  <c r="E2775" i="7"/>
  <c r="E2774" i="7"/>
  <c r="E2773" i="7"/>
  <c r="E2772" i="7"/>
  <c r="E2771" i="7"/>
  <c r="E2770" i="7"/>
  <c r="E2769" i="7"/>
  <c r="E2768" i="7"/>
  <c r="E2767" i="7"/>
  <c r="E2766" i="7"/>
  <c r="E2765" i="7"/>
  <c r="E2764" i="7"/>
  <c r="E2763" i="7"/>
  <c r="E2762" i="7"/>
  <c r="E2761" i="7"/>
  <c r="E2760" i="7"/>
  <c r="E2759" i="7"/>
  <c r="E2758" i="7"/>
  <c r="E2757" i="7"/>
  <c r="E2756" i="7"/>
  <c r="E2755" i="7"/>
  <c r="E2754" i="7"/>
  <c r="E2753" i="7"/>
  <c r="E2752" i="7"/>
  <c r="E2751" i="7"/>
  <c r="E2750" i="7"/>
  <c r="E2749" i="7"/>
  <c r="E2748" i="7"/>
  <c r="E2747" i="7"/>
  <c r="E2746" i="7"/>
  <c r="E2745" i="7"/>
  <c r="E2744" i="7"/>
  <c r="E2743" i="7"/>
  <c r="E2742" i="7"/>
  <c r="E2741" i="7"/>
  <c r="E2740" i="7"/>
  <c r="E2739" i="7"/>
  <c r="E2738" i="7"/>
  <c r="E2737" i="7"/>
  <c r="E2736" i="7"/>
  <c r="E2733" i="7"/>
  <c r="E2732" i="7"/>
  <c r="E2731" i="7"/>
  <c r="E2730" i="7"/>
  <c r="E2729" i="7"/>
  <c r="E2728" i="7"/>
  <c r="E2727" i="7"/>
  <c r="E2726" i="7"/>
  <c r="E2725" i="7"/>
  <c r="E2724" i="7"/>
  <c r="E2723" i="7"/>
  <c r="E2722" i="7"/>
  <c r="E2721" i="7"/>
  <c r="E2720" i="7"/>
  <c r="E2719" i="7"/>
  <c r="E2718" i="7"/>
  <c r="E2717" i="7"/>
  <c r="E2716" i="7"/>
  <c r="E2715" i="7"/>
  <c r="E2714" i="7"/>
  <c r="E2713" i="7"/>
  <c r="E2712" i="7"/>
  <c r="E2711" i="7"/>
  <c r="E2710" i="7"/>
  <c r="E2709" i="7"/>
  <c r="E2708" i="7"/>
  <c r="E2707" i="7"/>
  <c r="E2706" i="7"/>
  <c r="E2705" i="7"/>
  <c r="E2704" i="7"/>
  <c r="E2703" i="7"/>
  <c r="E2702" i="7"/>
  <c r="E2701" i="7"/>
  <c r="E2700" i="7"/>
  <c r="E2699" i="7"/>
  <c r="E2698" i="7"/>
  <c r="E2697" i="7"/>
  <c r="E2696" i="7"/>
  <c r="E2695" i="7"/>
  <c r="E2694" i="7"/>
  <c r="E2693" i="7"/>
  <c r="E2692" i="7"/>
  <c r="E2691" i="7"/>
  <c r="E2690" i="7"/>
  <c r="E2689" i="7"/>
  <c r="E2688" i="7"/>
  <c r="E2687" i="7"/>
  <c r="E2686" i="7"/>
  <c r="E2685" i="7"/>
  <c r="E2684" i="7"/>
  <c r="E2683" i="7"/>
  <c r="E2682" i="7"/>
  <c r="E2681" i="7"/>
  <c r="E2680" i="7"/>
  <c r="E2679" i="7"/>
  <c r="E2676" i="7"/>
  <c r="E2675" i="7"/>
  <c r="E2674" i="7"/>
  <c r="E2673" i="7"/>
  <c r="E2672" i="7"/>
  <c r="E2671" i="7"/>
  <c r="E2670" i="7"/>
  <c r="E2669" i="7"/>
  <c r="E2668" i="7"/>
  <c r="E2667" i="7"/>
  <c r="E2666" i="7"/>
  <c r="E2665" i="7"/>
  <c r="E2664" i="7"/>
  <c r="E2663" i="7"/>
  <c r="E2662" i="7"/>
  <c r="E2661" i="7"/>
  <c r="E2660" i="7"/>
  <c r="E2659" i="7"/>
  <c r="E2658" i="7"/>
  <c r="E2657" i="7"/>
  <c r="E2656" i="7"/>
  <c r="E2655" i="7"/>
  <c r="E2654" i="7"/>
  <c r="E2653" i="7"/>
  <c r="E2652" i="7"/>
  <c r="E2651" i="7"/>
  <c r="E2650" i="7"/>
  <c r="E2649" i="7"/>
  <c r="E2648" i="7"/>
  <c r="E2647" i="7"/>
  <c r="E2646" i="7"/>
  <c r="E2645" i="7"/>
  <c r="E2644" i="7"/>
  <c r="E2643" i="7"/>
  <c r="E2642" i="7"/>
  <c r="E2641" i="7"/>
  <c r="E2640" i="7"/>
  <c r="E2639" i="7"/>
  <c r="E2638" i="7"/>
  <c r="E2637" i="7"/>
  <c r="E2636" i="7"/>
  <c r="E2635" i="7"/>
  <c r="E2634" i="7"/>
  <c r="E2633" i="7"/>
  <c r="E2632" i="7"/>
  <c r="E2631" i="7"/>
  <c r="E2630" i="7"/>
  <c r="E2629" i="7"/>
  <c r="E2628" i="7"/>
  <c r="E2627" i="7"/>
  <c r="E2626" i="7"/>
  <c r="E2625" i="7"/>
  <c r="E2624" i="7"/>
  <c r="E2623" i="7"/>
  <c r="E2622" i="7"/>
  <c r="E2621" i="7"/>
  <c r="E2620" i="7"/>
  <c r="E2619" i="7"/>
  <c r="E2618" i="7"/>
  <c r="E2617" i="7"/>
  <c r="E2616" i="7"/>
  <c r="E2615" i="7"/>
  <c r="E2614" i="7"/>
  <c r="E2613" i="7"/>
  <c r="E2612" i="7"/>
  <c r="E2611" i="7"/>
  <c r="E2610" i="7"/>
  <c r="E2609" i="7"/>
  <c r="E2608" i="7"/>
  <c r="E2607" i="7"/>
  <c r="E2606" i="7"/>
  <c r="E2605" i="7"/>
  <c r="E2604" i="7"/>
  <c r="E2603" i="7"/>
  <c r="E2602" i="7"/>
  <c r="E2601" i="7"/>
  <c r="E2600" i="7"/>
  <c r="E2599" i="7"/>
  <c r="E2598" i="7"/>
  <c r="E2595" i="7"/>
  <c r="E2594" i="7"/>
  <c r="E2593" i="7"/>
  <c r="E2592" i="7"/>
  <c r="E2591" i="7"/>
  <c r="E2590" i="7"/>
  <c r="E2589" i="7"/>
  <c r="E2588" i="7"/>
  <c r="E2587" i="7"/>
  <c r="E2586" i="7"/>
  <c r="E2585" i="7"/>
  <c r="E2584" i="7"/>
  <c r="E2583" i="7"/>
  <c r="E2582" i="7"/>
  <c r="E2581" i="7"/>
  <c r="E2580" i="7"/>
  <c r="E2579" i="7"/>
  <c r="E2578" i="7"/>
  <c r="E2577" i="7"/>
  <c r="E2576" i="7"/>
  <c r="E2575" i="7"/>
  <c r="E2574" i="7"/>
  <c r="E2573" i="7"/>
  <c r="E2572" i="7"/>
  <c r="E2571" i="7"/>
  <c r="E2570" i="7"/>
  <c r="E2569" i="7"/>
  <c r="E2568" i="7"/>
  <c r="E2567" i="7"/>
  <c r="E2566" i="7"/>
  <c r="E2565" i="7"/>
  <c r="E2564" i="7"/>
  <c r="E2563" i="7"/>
  <c r="E2562" i="7"/>
  <c r="E2561" i="7"/>
  <c r="E2560" i="7"/>
  <c r="E2559" i="7"/>
  <c r="E2558" i="7"/>
  <c r="E2557" i="7"/>
  <c r="E2556" i="7"/>
  <c r="E2555" i="7"/>
  <c r="E2554" i="7"/>
  <c r="E2551" i="7"/>
  <c r="E2550" i="7"/>
  <c r="E2549" i="7"/>
  <c r="E2548" i="7"/>
  <c r="E2547" i="7"/>
  <c r="E2546" i="7"/>
  <c r="E2545" i="7"/>
  <c r="E2544" i="7"/>
  <c r="E2543" i="7"/>
  <c r="E2542" i="7"/>
  <c r="E2541" i="7"/>
  <c r="E2540" i="7"/>
  <c r="E2539" i="7"/>
  <c r="E2538" i="7"/>
  <c r="E2537" i="7"/>
  <c r="E2536" i="7"/>
  <c r="E2535" i="7"/>
  <c r="E2534" i="7"/>
  <c r="E2533" i="7"/>
  <c r="E2532" i="7"/>
  <c r="E2531" i="7"/>
  <c r="E2530" i="7"/>
  <c r="E2529" i="7"/>
  <c r="E2528" i="7"/>
  <c r="E2527" i="7"/>
  <c r="E2526" i="7"/>
  <c r="E2525" i="7"/>
  <c r="E2524" i="7"/>
  <c r="E2523" i="7"/>
  <c r="E2522" i="7"/>
  <c r="E2521" i="7"/>
  <c r="E2520" i="7"/>
  <c r="E2519" i="7"/>
  <c r="E2518" i="7"/>
  <c r="E2517" i="7"/>
  <c r="E2516" i="7"/>
  <c r="E2515" i="7"/>
  <c r="E2514" i="7"/>
  <c r="E2513" i="7"/>
  <c r="E2512" i="7"/>
  <c r="E2511" i="7"/>
  <c r="E2510" i="7"/>
  <c r="E2509" i="7"/>
  <c r="E2508" i="7"/>
  <c r="E2507" i="7"/>
  <c r="E2506" i="7"/>
  <c r="E2505" i="7"/>
  <c r="E2504" i="7"/>
  <c r="E2503" i="7"/>
  <c r="E2502" i="7"/>
  <c r="E2501" i="7"/>
  <c r="E2500" i="7"/>
  <c r="E2499" i="7"/>
  <c r="E2498" i="7"/>
  <c r="E2497" i="7"/>
  <c r="E2496" i="7"/>
  <c r="E2495" i="7"/>
  <c r="E2494" i="7"/>
  <c r="E2493" i="7"/>
  <c r="E2492" i="7"/>
  <c r="E2491" i="7"/>
  <c r="E2490" i="7"/>
  <c r="E2489" i="7"/>
  <c r="E2488" i="7"/>
  <c r="E2487" i="7"/>
  <c r="E2486" i="7"/>
  <c r="E2485" i="7"/>
  <c r="E2484" i="7"/>
  <c r="E2483" i="7"/>
  <c r="E2482" i="7"/>
  <c r="E2481" i="7"/>
  <c r="E2480" i="7"/>
  <c r="E2479" i="7"/>
  <c r="E2478" i="7"/>
  <c r="E2477" i="7"/>
  <c r="E2476" i="7"/>
  <c r="E2475" i="7"/>
  <c r="E2474" i="7"/>
  <c r="E2473" i="7"/>
  <c r="E2472" i="7"/>
  <c r="E2471" i="7"/>
  <c r="E2470" i="7"/>
  <c r="E2467" i="7"/>
  <c r="E2466" i="7"/>
  <c r="E2465" i="7"/>
  <c r="E2464" i="7"/>
  <c r="E2463" i="7"/>
  <c r="E2462" i="7"/>
  <c r="E2461" i="7"/>
  <c r="E2460" i="7"/>
  <c r="E2459" i="7"/>
  <c r="E2458" i="7"/>
  <c r="E2457" i="7"/>
  <c r="E2456" i="7"/>
  <c r="E2455" i="7"/>
  <c r="E2454" i="7"/>
  <c r="E2453" i="7"/>
  <c r="E2452" i="7"/>
  <c r="E2451" i="7"/>
  <c r="E2450" i="7"/>
  <c r="E2449" i="7"/>
  <c r="E2448" i="7"/>
  <c r="E2447" i="7"/>
  <c r="E2446" i="7"/>
  <c r="E2445" i="7"/>
  <c r="E2444" i="7"/>
  <c r="E2443" i="7"/>
  <c r="E2442" i="7"/>
  <c r="E2441" i="7"/>
  <c r="E2440" i="7"/>
  <c r="E2439" i="7"/>
  <c r="E2438" i="7"/>
  <c r="E2437" i="7"/>
  <c r="E2436" i="7"/>
  <c r="E2435" i="7"/>
  <c r="E2434" i="7"/>
  <c r="E2433" i="7"/>
  <c r="E2432" i="7"/>
  <c r="E2431" i="7"/>
  <c r="E2430" i="7"/>
  <c r="E2429" i="7"/>
  <c r="E2426" i="7"/>
  <c r="E2425" i="7"/>
  <c r="E2424" i="7"/>
  <c r="E2423" i="7"/>
  <c r="E2422" i="7"/>
  <c r="E2421" i="7"/>
  <c r="E2420" i="7"/>
  <c r="E2419" i="7"/>
  <c r="E2418" i="7"/>
  <c r="E2417" i="7"/>
  <c r="E2416" i="7"/>
  <c r="E2415" i="7"/>
  <c r="E2414" i="7"/>
  <c r="E2413" i="7"/>
  <c r="E2412" i="7"/>
  <c r="E2411" i="7"/>
  <c r="E2410" i="7"/>
  <c r="E2409" i="7"/>
  <c r="E2408" i="7"/>
  <c r="E2407" i="7"/>
  <c r="E2406" i="7"/>
  <c r="E2405" i="7"/>
  <c r="E2404" i="7"/>
  <c r="E2403" i="7"/>
  <c r="E2402" i="7"/>
  <c r="E2401" i="7"/>
  <c r="E2400" i="7"/>
  <c r="E2399" i="7"/>
  <c r="E2398" i="7"/>
  <c r="E2397" i="7"/>
  <c r="E2396" i="7"/>
  <c r="E2395" i="7"/>
  <c r="E2394" i="7"/>
  <c r="E2393" i="7"/>
  <c r="E2392" i="7"/>
  <c r="E2391" i="7"/>
  <c r="E2390" i="7"/>
  <c r="E2389" i="7"/>
  <c r="E2388" i="7"/>
  <c r="E2387" i="7"/>
  <c r="E2386" i="7"/>
  <c r="E2385" i="7"/>
  <c r="E2384" i="7"/>
  <c r="E2383" i="7"/>
  <c r="E2382" i="7"/>
  <c r="E2381" i="7"/>
  <c r="E2380" i="7"/>
  <c r="E2379" i="7"/>
  <c r="E2378" i="7"/>
  <c r="E2377" i="7"/>
  <c r="E2376" i="7"/>
  <c r="E2375" i="7"/>
  <c r="E2374" i="7"/>
  <c r="E2373" i="7"/>
  <c r="E2372" i="7"/>
  <c r="E2371" i="7"/>
  <c r="E2370" i="7"/>
  <c r="E2369" i="7"/>
  <c r="E2368" i="7"/>
  <c r="E2367" i="7"/>
  <c r="E2366" i="7"/>
  <c r="E2365" i="7"/>
  <c r="E2364" i="7"/>
  <c r="E2363" i="7"/>
  <c r="E2360" i="7"/>
  <c r="E2359" i="7"/>
  <c r="E2358" i="7"/>
  <c r="E2357" i="7"/>
  <c r="E2356" i="7"/>
  <c r="E2355" i="7"/>
  <c r="E2354" i="7"/>
  <c r="E2353" i="7"/>
  <c r="E2352" i="7"/>
  <c r="E2351" i="7"/>
  <c r="E2350" i="7"/>
  <c r="E2349" i="7"/>
  <c r="E2348" i="7"/>
  <c r="E2347" i="7"/>
  <c r="E2346" i="7"/>
  <c r="E2345" i="7"/>
  <c r="E2344" i="7"/>
  <c r="E2343" i="7"/>
  <c r="E2342" i="7"/>
  <c r="E2341" i="7"/>
  <c r="E2340" i="7"/>
  <c r="E2339" i="7"/>
  <c r="E2338" i="7"/>
  <c r="E2337" i="7"/>
  <c r="E2336" i="7"/>
  <c r="E2335" i="7"/>
  <c r="E2334" i="7"/>
  <c r="E2333" i="7"/>
  <c r="E2332" i="7"/>
  <c r="E2331" i="7"/>
  <c r="E2330" i="7"/>
  <c r="E2329" i="7"/>
  <c r="E2328" i="7"/>
  <c r="E2327" i="7"/>
  <c r="E2326" i="7"/>
  <c r="E2325" i="7"/>
  <c r="E2324" i="7"/>
  <c r="E2323" i="7"/>
  <c r="E2322" i="7"/>
  <c r="E2321" i="7"/>
  <c r="E2320" i="7"/>
  <c r="E2319" i="7"/>
  <c r="E2318" i="7"/>
  <c r="E2317" i="7"/>
  <c r="E2316" i="7"/>
  <c r="E2315" i="7"/>
  <c r="E2314" i="7"/>
  <c r="E2313" i="7"/>
  <c r="E2312" i="7"/>
  <c r="E2311" i="7"/>
  <c r="E2310" i="7"/>
  <c r="E2309" i="7"/>
  <c r="E2308" i="7"/>
  <c r="E2307" i="7"/>
  <c r="E2306" i="7"/>
  <c r="E2305" i="7"/>
  <c r="E2302" i="7"/>
  <c r="E2301" i="7"/>
  <c r="E2300" i="7"/>
  <c r="E2299" i="7"/>
  <c r="E2298" i="7"/>
  <c r="E2297" i="7"/>
  <c r="E2296" i="7"/>
  <c r="E2295" i="7"/>
  <c r="E2294" i="7"/>
  <c r="E2293" i="7"/>
  <c r="E2292" i="7"/>
  <c r="E2291" i="7"/>
  <c r="E2290" i="7"/>
  <c r="E2289" i="7"/>
  <c r="E2288" i="7"/>
  <c r="E2287" i="7"/>
  <c r="E2286" i="7"/>
  <c r="E2285" i="7"/>
  <c r="E2284" i="7"/>
  <c r="E2283" i="7"/>
  <c r="E2282" i="7"/>
  <c r="E2281" i="7"/>
  <c r="E2280" i="7"/>
  <c r="E2279" i="7"/>
  <c r="E2278" i="7"/>
  <c r="E2277" i="7"/>
  <c r="E2276" i="7"/>
  <c r="E2275" i="7"/>
  <c r="E2274" i="7"/>
  <c r="E2273" i="7"/>
  <c r="E2272" i="7"/>
  <c r="E2271" i="7"/>
  <c r="E2270" i="7"/>
  <c r="E2269" i="7"/>
  <c r="E2268" i="7"/>
  <c r="E2267" i="7"/>
  <c r="E2266" i="7"/>
  <c r="E2265" i="7"/>
  <c r="E2264" i="7"/>
  <c r="E2263" i="7"/>
  <c r="E2262" i="7"/>
  <c r="E2261" i="7"/>
  <c r="E2260" i="7"/>
  <c r="E2257" i="7"/>
  <c r="E2256" i="7"/>
  <c r="E2255" i="7"/>
  <c r="E2254" i="7"/>
  <c r="E2253" i="7"/>
  <c r="E2252" i="7"/>
  <c r="E2251" i="7"/>
  <c r="E2250" i="7"/>
  <c r="E2249" i="7"/>
  <c r="E2248" i="7"/>
  <c r="E2247" i="7"/>
  <c r="E2246" i="7"/>
  <c r="E2245" i="7"/>
  <c r="E2244" i="7"/>
  <c r="E2243" i="7"/>
  <c r="E2242" i="7"/>
  <c r="E2241" i="7"/>
  <c r="E2240" i="7"/>
  <c r="E2239" i="7"/>
  <c r="E2238" i="7"/>
  <c r="E2237" i="7"/>
  <c r="E2236" i="7"/>
  <c r="E2235" i="7"/>
  <c r="E2234" i="7"/>
  <c r="E2233" i="7"/>
  <c r="E2232" i="7"/>
  <c r="E2231" i="7"/>
  <c r="E2230" i="7"/>
  <c r="E2229" i="7"/>
  <c r="E2228" i="7"/>
  <c r="E2227" i="7"/>
  <c r="E2226" i="7"/>
  <c r="E2225" i="7"/>
  <c r="E2224" i="7"/>
  <c r="E2223" i="7"/>
  <c r="E2222" i="7"/>
  <c r="E2221" i="7"/>
  <c r="E2220" i="7"/>
  <c r="E2219" i="7"/>
  <c r="E2218" i="7"/>
  <c r="E2217" i="7"/>
  <c r="E2216" i="7"/>
  <c r="E2215" i="7"/>
  <c r="E2214" i="7"/>
  <c r="E2213" i="7"/>
  <c r="E2212" i="7"/>
  <c r="E2211" i="7"/>
  <c r="E2210" i="7"/>
  <c r="E2209" i="7"/>
  <c r="E2208" i="7"/>
  <c r="E2207" i="7"/>
  <c r="E2206" i="7"/>
  <c r="E2205" i="7"/>
  <c r="E2204" i="7"/>
  <c r="E2203" i="7"/>
  <c r="E2202" i="7"/>
  <c r="E2201" i="7"/>
  <c r="E2200" i="7"/>
  <c r="E2199" i="7"/>
  <c r="E2198" i="7"/>
  <c r="E2197" i="7"/>
  <c r="E2196" i="7"/>
  <c r="E2195" i="7"/>
  <c r="E2194" i="7"/>
  <c r="E2193" i="7"/>
  <c r="E2192" i="7"/>
  <c r="E2191" i="7"/>
  <c r="E2190" i="7"/>
  <c r="E2189" i="7"/>
  <c r="E2188" i="7"/>
  <c r="E2187" i="7"/>
  <c r="E2186" i="7"/>
  <c r="E2185" i="7"/>
  <c r="E2182" i="7"/>
  <c r="E2181" i="7"/>
  <c r="E2180" i="7"/>
  <c r="E2179" i="7"/>
  <c r="E2178" i="7"/>
  <c r="E2177" i="7"/>
  <c r="E2176" i="7"/>
  <c r="E2175" i="7"/>
  <c r="E2174" i="7"/>
  <c r="E2173" i="7"/>
  <c r="E2172" i="7"/>
  <c r="E2171" i="7"/>
  <c r="E2170" i="7"/>
  <c r="E2169" i="7"/>
  <c r="E2168" i="7"/>
  <c r="E2167" i="7"/>
  <c r="E2166" i="7"/>
  <c r="E2165" i="7"/>
  <c r="E2164" i="7"/>
  <c r="E2163" i="7"/>
  <c r="E2162" i="7"/>
  <c r="E2161" i="7"/>
  <c r="E2160" i="7"/>
  <c r="E2159" i="7"/>
  <c r="E2158" i="7"/>
  <c r="E2157" i="7"/>
  <c r="E2156" i="7"/>
  <c r="E2155" i="7"/>
  <c r="E2154" i="7"/>
  <c r="E2153" i="7"/>
  <c r="E2152" i="7"/>
  <c r="E2151" i="7"/>
  <c r="E2150" i="7"/>
  <c r="E2149" i="7"/>
  <c r="E2148" i="7"/>
  <c r="E2147" i="7"/>
  <c r="E2146" i="7"/>
  <c r="E2145" i="7"/>
  <c r="E2144" i="7"/>
  <c r="E2143" i="7"/>
  <c r="E2142" i="7"/>
  <c r="E2141" i="7"/>
  <c r="E2140" i="7"/>
  <c r="E2139" i="7"/>
  <c r="E2138" i="7"/>
  <c r="E2137" i="7"/>
  <c r="E2134" i="7"/>
  <c r="E2133" i="7"/>
  <c r="E2132" i="7"/>
  <c r="E2131" i="7"/>
  <c r="E2130" i="7"/>
  <c r="E2129" i="7"/>
  <c r="E2128" i="7"/>
  <c r="E2127" i="7"/>
  <c r="E2126" i="7"/>
  <c r="E2125" i="7"/>
  <c r="E2124" i="7"/>
  <c r="E2123" i="7"/>
  <c r="E2122" i="7"/>
  <c r="E2121" i="7"/>
  <c r="E2120" i="7"/>
  <c r="E2119" i="7"/>
  <c r="E2118" i="7"/>
  <c r="E2117" i="7"/>
  <c r="E2116" i="7"/>
  <c r="E2115" i="7"/>
  <c r="E2114" i="7"/>
  <c r="E2113" i="7"/>
  <c r="E2112" i="7"/>
  <c r="E2111" i="7"/>
  <c r="E2110" i="7"/>
  <c r="E2109" i="7"/>
  <c r="E2108" i="7"/>
  <c r="E2107" i="7"/>
  <c r="E2106" i="7"/>
  <c r="E2105" i="7"/>
  <c r="E2104" i="7"/>
  <c r="E2103" i="7"/>
  <c r="E2102" i="7"/>
  <c r="E2101" i="7"/>
  <c r="E2100" i="7"/>
  <c r="E2099" i="7"/>
  <c r="E2098" i="7"/>
  <c r="E2097" i="7"/>
  <c r="E2096" i="7"/>
  <c r="E2095" i="7"/>
  <c r="E2094" i="7"/>
  <c r="E2093" i="7"/>
  <c r="E2092" i="7"/>
  <c r="E2091" i="7"/>
  <c r="E2090" i="7"/>
  <c r="E2089" i="7"/>
  <c r="E2088" i="7"/>
  <c r="E2087" i="7"/>
  <c r="E2086" i="7"/>
  <c r="E2085" i="7"/>
  <c r="E2084" i="7"/>
  <c r="E2083" i="7"/>
  <c r="E2082" i="7"/>
  <c r="E2081" i="7"/>
  <c r="E2080" i="7"/>
  <c r="E2079" i="7"/>
  <c r="E2078" i="7"/>
  <c r="E2077" i="7"/>
  <c r="E2076" i="7"/>
  <c r="E2075" i="7"/>
  <c r="E2074" i="7"/>
  <c r="E2073" i="7"/>
  <c r="E2072" i="7"/>
  <c r="E2071" i="7"/>
  <c r="E2070" i="7"/>
  <c r="E2069" i="7"/>
  <c r="E2068" i="7"/>
  <c r="E2067" i="7"/>
  <c r="E2066" i="7"/>
  <c r="E2065" i="7"/>
  <c r="E2064" i="7"/>
  <c r="E2063" i="7"/>
  <c r="E2062" i="7"/>
  <c r="E2061" i="7"/>
  <c r="E2060" i="7"/>
  <c r="E2059" i="7"/>
  <c r="E2058" i="7"/>
  <c r="E2057" i="7"/>
  <c r="E2056" i="7"/>
  <c r="E2055" i="7"/>
  <c r="E2054" i="7"/>
  <c r="E2053" i="7"/>
  <c r="E2052" i="7"/>
  <c r="E2051" i="7"/>
  <c r="E2050" i="7"/>
  <c r="E2049" i="7"/>
  <c r="E2048" i="7"/>
  <c r="E2047" i="7"/>
  <c r="E2046" i="7"/>
  <c r="E2045" i="7"/>
  <c r="E2044" i="7"/>
  <c r="E2043" i="7"/>
  <c r="E2042" i="7"/>
  <c r="E2041" i="7"/>
  <c r="E2040" i="7"/>
  <c r="E2039" i="7"/>
  <c r="E2038" i="7"/>
  <c r="E2037" i="7"/>
  <c r="E2036" i="7"/>
  <c r="E2035" i="7"/>
  <c r="E2034" i="7"/>
  <c r="E2033" i="7"/>
  <c r="E2032" i="7"/>
  <c r="E2031" i="7"/>
  <c r="E2030" i="7"/>
  <c r="E2029" i="7"/>
  <c r="E2028" i="7"/>
  <c r="E2027" i="7"/>
  <c r="E2026" i="7"/>
  <c r="E2023" i="7"/>
  <c r="E2022" i="7"/>
  <c r="E2021" i="7"/>
  <c r="E2020" i="7"/>
  <c r="E2019" i="7"/>
  <c r="E2018" i="7"/>
  <c r="E2017" i="7"/>
  <c r="E2016" i="7"/>
  <c r="E2015" i="7"/>
  <c r="E2014" i="7"/>
  <c r="E2013" i="7"/>
  <c r="E2012" i="7"/>
  <c r="E2011" i="7"/>
  <c r="E2010" i="7"/>
  <c r="E2009" i="7"/>
  <c r="E2008" i="7"/>
  <c r="E2007" i="7"/>
  <c r="E2006" i="7"/>
  <c r="E2005" i="7"/>
  <c r="E2004" i="7"/>
  <c r="E2003" i="7"/>
  <c r="E2002" i="7"/>
  <c r="E2001" i="7"/>
  <c r="E2000" i="7"/>
  <c r="E1999" i="7"/>
  <c r="E1998" i="7"/>
  <c r="E1997" i="7"/>
  <c r="E1996" i="7"/>
  <c r="E1995" i="7"/>
  <c r="E1994" i="7"/>
  <c r="E1993" i="7"/>
  <c r="E1992" i="7"/>
  <c r="E1991" i="7"/>
  <c r="E1990" i="7"/>
  <c r="E1989" i="7"/>
  <c r="E1988" i="7"/>
  <c r="E1987" i="7"/>
  <c r="E1986" i="7"/>
  <c r="E1985" i="7"/>
  <c r="E1984" i="7"/>
  <c r="E1983" i="7"/>
  <c r="E1982" i="7"/>
  <c r="E1981" i="7"/>
  <c r="E1980" i="7"/>
  <c r="E1979" i="7"/>
  <c r="E1978" i="7"/>
  <c r="E1977" i="7"/>
  <c r="E1976" i="7"/>
  <c r="E1975" i="7"/>
  <c r="E1974" i="7"/>
  <c r="E1973" i="7"/>
  <c r="E1972" i="7"/>
  <c r="E1971" i="7"/>
  <c r="E1970" i="7"/>
  <c r="E1967" i="7"/>
  <c r="E1966" i="7"/>
  <c r="E1965" i="7"/>
  <c r="E1964" i="7"/>
  <c r="E1963" i="7"/>
  <c r="E1962" i="7"/>
  <c r="E1961" i="7"/>
  <c r="E1960" i="7"/>
  <c r="E1959" i="7"/>
  <c r="E1958" i="7"/>
  <c r="E1957" i="7"/>
  <c r="E1956" i="7"/>
  <c r="E1955" i="7"/>
  <c r="E1954" i="7"/>
  <c r="E1953" i="7"/>
  <c r="E1952" i="7"/>
  <c r="E1951" i="7"/>
  <c r="E1950" i="7"/>
  <c r="E1949" i="7"/>
  <c r="E1948" i="7"/>
  <c r="E1947" i="7"/>
  <c r="E1946" i="7"/>
  <c r="E1945" i="7"/>
  <c r="E1944" i="7"/>
  <c r="E1943" i="7"/>
  <c r="L1942" i="7"/>
  <c r="E1942" i="7"/>
  <c r="E1941" i="7"/>
  <c r="E1940" i="7"/>
  <c r="E1939" i="7"/>
  <c r="E1938" i="7"/>
  <c r="E1937" i="7"/>
  <c r="E1936" i="7"/>
  <c r="E1935" i="7"/>
  <c r="E1934" i="7"/>
  <c r="E1933" i="7"/>
  <c r="E1932" i="7"/>
  <c r="E1931" i="7"/>
  <c r="E1930" i="7"/>
  <c r="E1929" i="7"/>
  <c r="E1928" i="7"/>
  <c r="E1927" i="7"/>
  <c r="E1926" i="7"/>
  <c r="E1925" i="7"/>
  <c r="E1924" i="7"/>
  <c r="E1923" i="7"/>
  <c r="E1922" i="7"/>
  <c r="E1921" i="7"/>
  <c r="E1920" i="7"/>
  <c r="E1919" i="7"/>
  <c r="E1918" i="7"/>
  <c r="E1917" i="7"/>
  <c r="E1916" i="7"/>
  <c r="E1915" i="7"/>
  <c r="E1914" i="7"/>
  <c r="E1913" i="7"/>
  <c r="E1912" i="7"/>
  <c r="E1911" i="7"/>
  <c r="E1910" i="7"/>
  <c r="E1909" i="7"/>
  <c r="E1908" i="7"/>
  <c r="E1907" i="7"/>
  <c r="E1906" i="7"/>
  <c r="E1905" i="7"/>
  <c r="E1904" i="7"/>
  <c r="E1903" i="7"/>
  <c r="E1902" i="7"/>
  <c r="E1901" i="7"/>
  <c r="E1900" i="7"/>
  <c r="E1899" i="7"/>
  <c r="E1898" i="7"/>
  <c r="E1895" i="7"/>
  <c r="E1894" i="7"/>
  <c r="E1893" i="7"/>
  <c r="E1892" i="7"/>
  <c r="E1891" i="7"/>
  <c r="E1890" i="7"/>
  <c r="E1889" i="7"/>
  <c r="E1888" i="7"/>
  <c r="E1887" i="7"/>
  <c r="E1886" i="7"/>
  <c r="E1885" i="7"/>
  <c r="E1884" i="7"/>
  <c r="E1883" i="7"/>
  <c r="E1882" i="7"/>
  <c r="E1881" i="7"/>
  <c r="E1880" i="7"/>
  <c r="E1879" i="7"/>
  <c r="E1878" i="7"/>
  <c r="E1877" i="7"/>
  <c r="E1876" i="7"/>
  <c r="E1875" i="7"/>
  <c r="E1874" i="7"/>
  <c r="E1873" i="7"/>
  <c r="E1872" i="7"/>
  <c r="E1871" i="7"/>
  <c r="E1870" i="7"/>
  <c r="E1869" i="7"/>
  <c r="E1868" i="7"/>
  <c r="E1867" i="7"/>
  <c r="E1866" i="7"/>
  <c r="E1865" i="7"/>
  <c r="E1864" i="7"/>
  <c r="E1863" i="7"/>
  <c r="E1862" i="7"/>
  <c r="E1861" i="7"/>
  <c r="E1860" i="7"/>
  <c r="E1859" i="7"/>
  <c r="E1858" i="7"/>
  <c r="E1857" i="7"/>
  <c r="E1856" i="7"/>
  <c r="E1855" i="7"/>
  <c r="E1854" i="7"/>
  <c r="E1853" i="7"/>
  <c r="E1852" i="7"/>
  <c r="E1851" i="7"/>
  <c r="E1850" i="7"/>
  <c r="E1849" i="7"/>
  <c r="E1848" i="7"/>
  <c r="E1847" i="7"/>
  <c r="E1846" i="7"/>
  <c r="E1845" i="7"/>
  <c r="E1844" i="7"/>
  <c r="E1843" i="7"/>
  <c r="E1842" i="7"/>
  <c r="E1841" i="7"/>
  <c r="E1840" i="7"/>
  <c r="E1839" i="7"/>
  <c r="E1838" i="7"/>
  <c r="E1837" i="7"/>
  <c r="E1836" i="7"/>
  <c r="E1835" i="7"/>
  <c r="E1834" i="7"/>
  <c r="E1833" i="7"/>
  <c r="E1832" i="7"/>
  <c r="E1831" i="7"/>
  <c r="E1830" i="7"/>
  <c r="E1829" i="7"/>
  <c r="E1828" i="7"/>
  <c r="E1827" i="7"/>
  <c r="E1826" i="7"/>
  <c r="E1823" i="7"/>
  <c r="E1822" i="7"/>
  <c r="E1821" i="7"/>
  <c r="E1820" i="7"/>
  <c r="E1819" i="7"/>
  <c r="E1818" i="7"/>
  <c r="E1817" i="7"/>
  <c r="E1816" i="7"/>
  <c r="E1815" i="7"/>
  <c r="E1814" i="7"/>
  <c r="E1813" i="7"/>
  <c r="E1812" i="7"/>
  <c r="E1811" i="7"/>
  <c r="E1810" i="7"/>
  <c r="E1809" i="7"/>
  <c r="E1808" i="7"/>
  <c r="E1807" i="7"/>
  <c r="E1806" i="7"/>
  <c r="E1805" i="7"/>
  <c r="E1804" i="7"/>
  <c r="E1803" i="7"/>
  <c r="E1802" i="7"/>
  <c r="E1801" i="7"/>
  <c r="E1800" i="7"/>
  <c r="E1799" i="7"/>
  <c r="E1798" i="7"/>
  <c r="E1797" i="7"/>
  <c r="E1796" i="7"/>
  <c r="E1795" i="7"/>
  <c r="E1794" i="7"/>
  <c r="E1793" i="7"/>
  <c r="E1792" i="7"/>
  <c r="E1791" i="7"/>
  <c r="E1790" i="7"/>
  <c r="E1789" i="7"/>
  <c r="E1788" i="7"/>
  <c r="E1787" i="7"/>
  <c r="E1786" i="7"/>
  <c r="E1785" i="7"/>
  <c r="E1784" i="7"/>
  <c r="E1783" i="7"/>
  <c r="E1782" i="7"/>
  <c r="E1781" i="7"/>
  <c r="E1780" i="7"/>
  <c r="E1779" i="7"/>
  <c r="E1778" i="7"/>
  <c r="E1777" i="7"/>
  <c r="E1776" i="7"/>
  <c r="E1775" i="7"/>
  <c r="E1774" i="7"/>
  <c r="E1773" i="7"/>
  <c r="E1772" i="7"/>
  <c r="E1771" i="7"/>
  <c r="E1770" i="7"/>
  <c r="E1769" i="7"/>
  <c r="E1768" i="7"/>
  <c r="E1767" i="7"/>
  <c r="E1766" i="7"/>
  <c r="E1765" i="7"/>
  <c r="E1764" i="7"/>
  <c r="E1763" i="7"/>
  <c r="E1762" i="7"/>
  <c r="E1761" i="7"/>
  <c r="E1760" i="7"/>
  <c r="E1759" i="7"/>
  <c r="E1758" i="7"/>
  <c r="E1757" i="7"/>
  <c r="E1754" i="7"/>
  <c r="E1753" i="7"/>
  <c r="E1752" i="7"/>
  <c r="E1751" i="7"/>
  <c r="E1750" i="7"/>
  <c r="E1749" i="7"/>
  <c r="E1748" i="7"/>
  <c r="E1747" i="7"/>
  <c r="E1746" i="7"/>
  <c r="E1745" i="7"/>
  <c r="E1744" i="7"/>
  <c r="E1743" i="7"/>
  <c r="E1742" i="7"/>
  <c r="E1741" i="7"/>
  <c r="E1740" i="7"/>
  <c r="E1739" i="7"/>
  <c r="E1738" i="7"/>
  <c r="E1737" i="7"/>
  <c r="E1736" i="7"/>
  <c r="E1735" i="7"/>
  <c r="E1734" i="7"/>
  <c r="E1733" i="7"/>
  <c r="E1732" i="7"/>
  <c r="E1731" i="7"/>
  <c r="E1730" i="7"/>
  <c r="E1729" i="7"/>
  <c r="E1728" i="7"/>
  <c r="E1727" i="7"/>
  <c r="E1726" i="7"/>
  <c r="E1725" i="7"/>
  <c r="E1724" i="7"/>
  <c r="E1723" i="7"/>
  <c r="E1722" i="7"/>
  <c r="E1721" i="7"/>
  <c r="E1720" i="7"/>
  <c r="E1719" i="7"/>
  <c r="E1718" i="7"/>
  <c r="E1717" i="7"/>
  <c r="E1716" i="7"/>
  <c r="E1715" i="7"/>
  <c r="E1714" i="7"/>
  <c r="E1713" i="7"/>
  <c r="E1712" i="7"/>
  <c r="E1711" i="7"/>
  <c r="E1710" i="7"/>
  <c r="E1709" i="7"/>
  <c r="E1708" i="7"/>
  <c r="E1707" i="7"/>
  <c r="E1706" i="7"/>
  <c r="E1705" i="7"/>
  <c r="E1704" i="7"/>
  <c r="E1703" i="7"/>
  <c r="E1702" i="7"/>
  <c r="E1699" i="7"/>
  <c r="E1698" i="7"/>
  <c r="E1697" i="7"/>
  <c r="E1696" i="7"/>
  <c r="E1695" i="7"/>
  <c r="E1694" i="7"/>
  <c r="E1693" i="7"/>
  <c r="E1692" i="7"/>
  <c r="E1691" i="7"/>
  <c r="E1690" i="7"/>
  <c r="E1689" i="7"/>
  <c r="E1688" i="7"/>
  <c r="E1687" i="7"/>
  <c r="E1686" i="7"/>
  <c r="E1685" i="7"/>
  <c r="E1684" i="7"/>
  <c r="E1683" i="7"/>
  <c r="E1682" i="7"/>
  <c r="E1681" i="7"/>
  <c r="E1680" i="7"/>
  <c r="E1679" i="7"/>
  <c r="E1678" i="7"/>
  <c r="E1677" i="7"/>
  <c r="E1676" i="7"/>
  <c r="E1675" i="7"/>
  <c r="E1674" i="7"/>
  <c r="E1673" i="7"/>
  <c r="E1672" i="7"/>
  <c r="E1671" i="7"/>
  <c r="E1670" i="7"/>
  <c r="E1669" i="7"/>
  <c r="E1668" i="7"/>
  <c r="E1667" i="7"/>
  <c r="E1666" i="7"/>
  <c r="E1665" i="7"/>
  <c r="E1664" i="7"/>
  <c r="E1663" i="7"/>
  <c r="E1662" i="7"/>
  <c r="E1661" i="7"/>
  <c r="E1660" i="7"/>
  <c r="E1659" i="7"/>
  <c r="E1658" i="7"/>
  <c r="E1657" i="7"/>
  <c r="E1656" i="7"/>
  <c r="E1655" i="7"/>
  <c r="E1654" i="7"/>
  <c r="E1653" i="7"/>
  <c r="E1652" i="7"/>
  <c r="E1651" i="7"/>
  <c r="E1650" i="7"/>
  <c r="E1649" i="7"/>
  <c r="E1648" i="7"/>
  <c r="E1647" i="7"/>
  <c r="E1646" i="7"/>
  <c r="E1645" i="7"/>
  <c r="E1644" i="7"/>
  <c r="E1643" i="7"/>
  <c r="E1642" i="7"/>
  <c r="E1641" i="7"/>
  <c r="E1640" i="7"/>
  <c r="E1639" i="7"/>
  <c r="E1638" i="7"/>
  <c r="E1637" i="7"/>
  <c r="E1636" i="7"/>
  <c r="E1635" i="7"/>
  <c r="E1634" i="7"/>
  <c r="E1633" i="7"/>
  <c r="E1632" i="7"/>
  <c r="E1631" i="7"/>
  <c r="E1630" i="7"/>
  <c r="E1629" i="7"/>
  <c r="E1628" i="7"/>
  <c r="E1627" i="7"/>
  <c r="E1624" i="7"/>
  <c r="E1623" i="7"/>
  <c r="E1622" i="7"/>
  <c r="E1621" i="7"/>
  <c r="E1620" i="7"/>
  <c r="E1619" i="7"/>
  <c r="E1618" i="7"/>
  <c r="E1617" i="7"/>
  <c r="E1616" i="7"/>
  <c r="E1615" i="7"/>
  <c r="E1614" i="7"/>
  <c r="E1613" i="7"/>
  <c r="E1612" i="7"/>
  <c r="E1611" i="7"/>
  <c r="E1610" i="7"/>
  <c r="E1609" i="7"/>
  <c r="E1608" i="7"/>
  <c r="E1607" i="7"/>
  <c r="E1606" i="7"/>
  <c r="E1605" i="7"/>
  <c r="E1604" i="7"/>
  <c r="E1603" i="7"/>
  <c r="E1602" i="7"/>
  <c r="E1601" i="7"/>
  <c r="E1600" i="7"/>
  <c r="E1599" i="7"/>
  <c r="E1598" i="7"/>
  <c r="E1597" i="7"/>
  <c r="E1596" i="7"/>
  <c r="E1595" i="7"/>
  <c r="E1594" i="7"/>
  <c r="E1593" i="7"/>
  <c r="E1592" i="7"/>
  <c r="E1591" i="7"/>
  <c r="E1590" i="7"/>
  <c r="E1589" i="7"/>
  <c r="E1588" i="7"/>
  <c r="E1587" i="7"/>
  <c r="E1586" i="7"/>
  <c r="E1585" i="7"/>
  <c r="E1584" i="7"/>
  <c r="E1583" i="7"/>
  <c r="E1582" i="7"/>
  <c r="E1581" i="7"/>
  <c r="E1580" i="7"/>
  <c r="E1579" i="7"/>
  <c r="E1578" i="7"/>
  <c r="E1577" i="7"/>
  <c r="E1576" i="7"/>
  <c r="E1575" i="7"/>
  <c r="E1574" i="7"/>
  <c r="E1573" i="7"/>
  <c r="E1572" i="7"/>
  <c r="E1571" i="7"/>
  <c r="E1570" i="7"/>
  <c r="E1569" i="7"/>
  <c r="E1568" i="7"/>
  <c r="E1567" i="7"/>
  <c r="E1566" i="7"/>
  <c r="E1565" i="7"/>
  <c r="E1564" i="7"/>
  <c r="E1563" i="7"/>
  <c r="E1562" i="7"/>
  <c r="E1561" i="7"/>
  <c r="E1560" i="7"/>
  <c r="E1559" i="7"/>
  <c r="E1558" i="7"/>
  <c r="E1557" i="7"/>
  <c r="E1556" i="7"/>
  <c r="E1555" i="7"/>
  <c r="E1554" i="7"/>
  <c r="E1553" i="7"/>
  <c r="E1552" i="7"/>
  <c r="E1551" i="7"/>
  <c r="E1550" i="7"/>
  <c r="E1549" i="7"/>
  <c r="E1548" i="7"/>
  <c r="E1547" i="7"/>
  <c r="E1546" i="7"/>
  <c r="E1545" i="7"/>
  <c r="E1544" i="7"/>
  <c r="E1543" i="7"/>
  <c r="E1542" i="7"/>
  <c r="E1541" i="7"/>
  <c r="E1538" i="7"/>
  <c r="E1537" i="7"/>
  <c r="E1536" i="7"/>
  <c r="E1535" i="7"/>
  <c r="E1534" i="7"/>
  <c r="E1533" i="7"/>
  <c r="E1532" i="7"/>
  <c r="E1531" i="7"/>
  <c r="E1530" i="7"/>
  <c r="E1529" i="7"/>
  <c r="E1528" i="7"/>
  <c r="E1527" i="7"/>
  <c r="E1526" i="7"/>
  <c r="E1525" i="7"/>
  <c r="E1524" i="7"/>
  <c r="E1523" i="7"/>
  <c r="E1522" i="7"/>
  <c r="E1521" i="7"/>
  <c r="E1520" i="7"/>
  <c r="E1519" i="7"/>
  <c r="E1518" i="7"/>
  <c r="E1517" i="7"/>
  <c r="E1516" i="7"/>
  <c r="E1515" i="7"/>
  <c r="E1514" i="7"/>
  <c r="E1513" i="7"/>
  <c r="E1512" i="7"/>
  <c r="E1511" i="7"/>
  <c r="E1510" i="7"/>
  <c r="E1509" i="7"/>
  <c r="E1508" i="7"/>
  <c r="E1507" i="7"/>
  <c r="E1506" i="7"/>
  <c r="E1505" i="7"/>
  <c r="E1504" i="7"/>
  <c r="E1503" i="7"/>
  <c r="E1502" i="7"/>
  <c r="E1501" i="7"/>
  <c r="E1500" i="7"/>
  <c r="E1499" i="7"/>
  <c r="E1498" i="7"/>
  <c r="E1497" i="7"/>
  <c r="E1496" i="7"/>
  <c r="E1495" i="7"/>
  <c r="E1494" i="7"/>
  <c r="E1493" i="7"/>
  <c r="E1492" i="7"/>
  <c r="E1491" i="7"/>
  <c r="E1490" i="7"/>
  <c r="E1489" i="7"/>
  <c r="E1488" i="7"/>
  <c r="E1487" i="7"/>
  <c r="E1486" i="7"/>
  <c r="E1485" i="7"/>
  <c r="E1482" i="7"/>
  <c r="E1481" i="7"/>
  <c r="E1480" i="7"/>
  <c r="E1479" i="7"/>
  <c r="E1478" i="7"/>
  <c r="E1477" i="7"/>
  <c r="E1476" i="7"/>
  <c r="E1475" i="7"/>
  <c r="E1474" i="7"/>
  <c r="E1473" i="7"/>
  <c r="E1472" i="7"/>
  <c r="E1471" i="7"/>
  <c r="E1470" i="7"/>
  <c r="E1469" i="7"/>
  <c r="E1468" i="7"/>
  <c r="E1467" i="7"/>
  <c r="E1466" i="7"/>
  <c r="E1465" i="7"/>
  <c r="E1464" i="7"/>
  <c r="E1463" i="7"/>
  <c r="E1462" i="7"/>
  <c r="E1461" i="7"/>
  <c r="E1460" i="7"/>
  <c r="E1459" i="7"/>
  <c r="E1458" i="7"/>
  <c r="E1457" i="7"/>
  <c r="E1456" i="7"/>
  <c r="E1455" i="7"/>
  <c r="E1454" i="7"/>
  <c r="E1453" i="7"/>
  <c r="E1452" i="7"/>
  <c r="E1451" i="7"/>
  <c r="E1450" i="7"/>
  <c r="E1449" i="7"/>
  <c r="E1448" i="7"/>
  <c r="E1447" i="7"/>
  <c r="E1446" i="7"/>
  <c r="E1445" i="7"/>
  <c r="E1444" i="7"/>
  <c r="E1443" i="7"/>
  <c r="E1442" i="7"/>
  <c r="E1441" i="7"/>
  <c r="E1440" i="7"/>
  <c r="E1439" i="7"/>
  <c r="E1438" i="7"/>
  <c r="E1437" i="7"/>
  <c r="E1436" i="7"/>
  <c r="E1435" i="7"/>
  <c r="E1434" i="7"/>
  <c r="E1433" i="7"/>
  <c r="E1432" i="7"/>
  <c r="E1431" i="7"/>
  <c r="E1430" i="7"/>
  <c r="E1429" i="7"/>
  <c r="E1428" i="7"/>
  <c r="E1427" i="7"/>
  <c r="E1426" i="7"/>
  <c r="E1425" i="7"/>
  <c r="E1424" i="7"/>
  <c r="E1423" i="7"/>
  <c r="E1422" i="7"/>
  <c r="E1421" i="7"/>
  <c r="E1420" i="7"/>
  <c r="E1419" i="7"/>
  <c r="E1418" i="7"/>
  <c r="E1417" i="7"/>
  <c r="E1416" i="7"/>
  <c r="E1415" i="7"/>
  <c r="E1414" i="7"/>
  <c r="E1413" i="7"/>
  <c r="E1412" i="7"/>
  <c r="E1411" i="7"/>
  <c r="E1410" i="7"/>
  <c r="E1409" i="7"/>
  <c r="E1408" i="7"/>
  <c r="E1407" i="7"/>
  <c r="E1406" i="7"/>
  <c r="E1405" i="7"/>
  <c r="E1404" i="7"/>
  <c r="E1403" i="7"/>
  <c r="E1402" i="7"/>
  <c r="E1401" i="7"/>
  <c r="E1400" i="7"/>
  <c r="E1399" i="7"/>
  <c r="E1398" i="7"/>
  <c r="E1397" i="7"/>
  <c r="E1396" i="7"/>
  <c r="E1395" i="7"/>
  <c r="E1394" i="7"/>
  <c r="E1393" i="7"/>
  <c r="E1392" i="7"/>
  <c r="E1391" i="7"/>
  <c r="E1390" i="7"/>
  <c r="E1389" i="7"/>
  <c r="E1388" i="7"/>
  <c r="E1387" i="7"/>
  <c r="E1386" i="7"/>
  <c r="E1385" i="7"/>
  <c r="E1384" i="7"/>
  <c r="E1383" i="7"/>
  <c r="E1380" i="7"/>
  <c r="E1379" i="7"/>
  <c r="E1378" i="7"/>
  <c r="E1377" i="7"/>
  <c r="E1376" i="7"/>
  <c r="E1375" i="7"/>
  <c r="E1374" i="7"/>
  <c r="E1373" i="7"/>
  <c r="E1372" i="7"/>
  <c r="E1371" i="7"/>
  <c r="E1370" i="7"/>
  <c r="E1369" i="7"/>
  <c r="E1368" i="7"/>
  <c r="E1367" i="7"/>
  <c r="E1366" i="7"/>
  <c r="E1365" i="7"/>
  <c r="E1364" i="7"/>
  <c r="E1363" i="7"/>
  <c r="E1362" i="7"/>
  <c r="E1361" i="7"/>
  <c r="E1360" i="7"/>
  <c r="E1359" i="7"/>
  <c r="E1358" i="7"/>
  <c r="E1357" i="7"/>
  <c r="E1356" i="7"/>
  <c r="E1355" i="7"/>
  <c r="E1354" i="7"/>
  <c r="E1353" i="7"/>
  <c r="E1352" i="7"/>
  <c r="E1351" i="7"/>
  <c r="E1350" i="7"/>
  <c r="E1349" i="7"/>
  <c r="E1348" i="7"/>
  <c r="E1347" i="7"/>
  <c r="E1346" i="7"/>
  <c r="E1345" i="7"/>
  <c r="E1344" i="7"/>
  <c r="E1343" i="7"/>
  <c r="E1342" i="7"/>
  <c r="E1341" i="7"/>
  <c r="E1340" i="7"/>
  <c r="E1339" i="7"/>
  <c r="E1338" i="7"/>
  <c r="E1337" i="7"/>
  <c r="E1336" i="7"/>
  <c r="E1335" i="7"/>
  <c r="E1334" i="7"/>
  <c r="E1333" i="7"/>
  <c r="E1332" i="7"/>
  <c r="E1331" i="7"/>
  <c r="E1330" i="7"/>
  <c r="E1329" i="7"/>
  <c r="E1328" i="7"/>
  <c r="E1327" i="7"/>
  <c r="E1326" i="7"/>
  <c r="E1325" i="7"/>
  <c r="E1324" i="7"/>
  <c r="E1323" i="7"/>
  <c r="E1322" i="7"/>
  <c r="E1321" i="7"/>
  <c r="E1320" i="7"/>
  <c r="E1319" i="7"/>
  <c r="E1316" i="7"/>
  <c r="E1315" i="7"/>
  <c r="E1314" i="7"/>
  <c r="E1313" i="7"/>
  <c r="E1312" i="7"/>
  <c r="E1311" i="7"/>
  <c r="E1310" i="7"/>
  <c r="E1309" i="7"/>
  <c r="E1308" i="7"/>
  <c r="E1307" i="7"/>
  <c r="E1306" i="7"/>
  <c r="E1305" i="7"/>
  <c r="E1304" i="7"/>
  <c r="E1303" i="7"/>
  <c r="E1302" i="7"/>
  <c r="E1301" i="7"/>
  <c r="E1300" i="7"/>
  <c r="E1299" i="7"/>
  <c r="E1298" i="7"/>
  <c r="E1297" i="7"/>
  <c r="E1296" i="7"/>
  <c r="E1295" i="7"/>
  <c r="E1294" i="7"/>
  <c r="E1293" i="7"/>
  <c r="E1292" i="7"/>
  <c r="E1291" i="7"/>
  <c r="E1290" i="7"/>
  <c r="E1289" i="7"/>
  <c r="E1288" i="7"/>
  <c r="E1287" i="7"/>
  <c r="E1286" i="7"/>
  <c r="E1285" i="7"/>
  <c r="E1284" i="7"/>
  <c r="E1283" i="7"/>
  <c r="E1282" i="7"/>
  <c r="E1281" i="7"/>
  <c r="E1280" i="7"/>
  <c r="E1279" i="7"/>
  <c r="E1278" i="7"/>
  <c r="E1277" i="7"/>
  <c r="E1276" i="7"/>
  <c r="E1275" i="7"/>
  <c r="E1274" i="7"/>
  <c r="E1273" i="7"/>
  <c r="E1272" i="7"/>
  <c r="E1271" i="7"/>
  <c r="E1270" i="7"/>
  <c r="E1269" i="7"/>
  <c r="E1268" i="7"/>
  <c r="E1267" i="7"/>
  <c r="E1266" i="7"/>
  <c r="E1265" i="7"/>
  <c r="E1264" i="7"/>
  <c r="E1263" i="7"/>
  <c r="E1262" i="7"/>
  <c r="E1261" i="7"/>
  <c r="E1260" i="7"/>
  <c r="E1259" i="7"/>
  <c r="E1258" i="7"/>
  <c r="E1257" i="7"/>
  <c r="E1256" i="7"/>
  <c r="E1255" i="7"/>
  <c r="E1254" i="7"/>
  <c r="E1253" i="7"/>
  <c r="E1252" i="7"/>
  <c r="E1251" i="7"/>
  <c r="E1250" i="7"/>
  <c r="E1249" i="7"/>
  <c r="E1248" i="7"/>
  <c r="E1247" i="7"/>
  <c r="E1246" i="7"/>
  <c r="E1245" i="7"/>
  <c r="E1244" i="7"/>
  <c r="E1243" i="7"/>
  <c r="E1242" i="7"/>
  <c r="E1241" i="7"/>
  <c r="E1240" i="7"/>
  <c r="E1239" i="7"/>
  <c r="E1238" i="7"/>
  <c r="E1237" i="7"/>
  <c r="E1236" i="7"/>
  <c r="E1235" i="7"/>
  <c r="E1234" i="7"/>
  <c r="E1233" i="7"/>
  <c r="E1232" i="7"/>
  <c r="E1231" i="7"/>
  <c r="E1230" i="7"/>
  <c r="E1229" i="7"/>
  <c r="E1228" i="7"/>
  <c r="E1227" i="7"/>
  <c r="E1224" i="7"/>
  <c r="E1223" i="7"/>
  <c r="E1222" i="7"/>
  <c r="E1221" i="7"/>
  <c r="E1220" i="7"/>
  <c r="E1219" i="7"/>
  <c r="E1218" i="7"/>
  <c r="E1217" i="7"/>
  <c r="E1216" i="7"/>
  <c r="E1215" i="7"/>
  <c r="E1214" i="7"/>
  <c r="E1213" i="7"/>
  <c r="E1212" i="7"/>
  <c r="E1211" i="7"/>
  <c r="E1210" i="7"/>
  <c r="E1209" i="7"/>
  <c r="E1208" i="7"/>
  <c r="E1207" i="7"/>
  <c r="E1206" i="7"/>
  <c r="E1205" i="7"/>
  <c r="E1204" i="7"/>
  <c r="E1203" i="7"/>
  <c r="E1202" i="7"/>
  <c r="E1201" i="7"/>
  <c r="E1200" i="7"/>
  <c r="E1199" i="7"/>
  <c r="E1198" i="7"/>
  <c r="E1197" i="7"/>
  <c r="E1196" i="7"/>
  <c r="E1195" i="7"/>
  <c r="E1194" i="7"/>
  <c r="E1193" i="7"/>
  <c r="E1192" i="7"/>
  <c r="E1191" i="7"/>
  <c r="E1190" i="7"/>
  <c r="E1189" i="7"/>
  <c r="E1188" i="7"/>
  <c r="E1187" i="7"/>
  <c r="E1186" i="7"/>
  <c r="E1185" i="7"/>
  <c r="E1184" i="7"/>
  <c r="E1183" i="7"/>
  <c r="E1182" i="7"/>
  <c r="E1181" i="7"/>
  <c r="E1180" i="7"/>
  <c r="E1179" i="7"/>
  <c r="E1178" i="7"/>
  <c r="E1177" i="7"/>
  <c r="E1176" i="7"/>
  <c r="E1175" i="7"/>
  <c r="E1174" i="7"/>
  <c r="E1173" i="7"/>
  <c r="E1172" i="7"/>
  <c r="E1171" i="7"/>
  <c r="E1170" i="7"/>
  <c r="E1169" i="7"/>
  <c r="E1168" i="7"/>
  <c r="E1167" i="7"/>
  <c r="E1166" i="7"/>
  <c r="E1165" i="7"/>
  <c r="E1164" i="7"/>
  <c r="E1163" i="7"/>
  <c r="E1162" i="7"/>
  <c r="E1161" i="7"/>
  <c r="E1158" i="7"/>
  <c r="E1157" i="7"/>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K1121"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08" i="7"/>
  <c r="E1007" i="7"/>
  <c r="E1006" i="7"/>
  <c r="E1005" i="7"/>
  <c r="E1004" i="7"/>
  <c r="E1003" i="7"/>
  <c r="E1002" i="7"/>
  <c r="E1001" i="7"/>
  <c r="E1000" i="7"/>
  <c r="E999" i="7"/>
  <c r="E998" i="7"/>
  <c r="O997"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0" i="7"/>
  <c r="E799" i="7"/>
  <c r="E798" i="7"/>
  <c r="M797"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M195"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D10" i="7"/>
  <c r="E9" i="7"/>
  <c r="D9" i="7"/>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3" i="6"/>
  <c r="E62" i="6"/>
  <c r="E61" i="6"/>
  <c r="E60" i="6"/>
  <c r="E58" i="6"/>
  <c r="E57" i="6"/>
  <c r="E56" i="6"/>
  <c r="E55" i="6"/>
  <c r="E54" i="6"/>
  <c r="E53" i="6"/>
  <c r="E52" i="6"/>
  <c r="E48" i="6"/>
  <c r="E47" i="6"/>
  <c r="E46" i="6"/>
  <c r="E45" i="6"/>
  <c r="E44" i="6"/>
  <c r="E43" i="6"/>
  <c r="E42" i="6"/>
  <c r="E41" i="6"/>
  <c r="E40" i="6"/>
  <c r="E39" i="6"/>
  <c r="E36" i="6"/>
  <c r="E35" i="6"/>
  <c r="E34" i="6"/>
  <c r="E33" i="6"/>
  <c r="E32" i="6"/>
  <c r="E31" i="6"/>
  <c r="E30" i="6"/>
  <c r="E29" i="6"/>
  <c r="E26" i="6"/>
  <c r="E25" i="6"/>
  <c r="E24" i="6"/>
  <c r="E16" i="6"/>
  <c r="E15" i="6"/>
  <c r="E14" i="6"/>
  <c r="E13" i="6"/>
  <c r="E12" i="6"/>
  <c r="E11" i="6"/>
  <c r="E10" i="6"/>
  <c r="E9" i="6"/>
  <c r="E8" i="6"/>
  <c r="E7" i="6"/>
  <c r="E6" i="6"/>
  <c r="E5" i="6"/>
  <c r="E4" i="6"/>
  <c r="E3" i="6"/>
  <c r="D892" i="7" l="1"/>
  <c r="D2184" i="7"/>
  <c r="D551" i="7"/>
  <c r="D3420" i="7"/>
  <c r="D3042" i="7"/>
  <c r="D2469" i="7"/>
  <c r="D440" i="7"/>
  <c r="D3477" i="7"/>
  <c r="D1160" i="7"/>
  <c r="D2678" i="7"/>
  <c r="D2136" i="7"/>
  <c r="D1382" i="7"/>
  <c r="D2428" i="7"/>
  <c r="D2362" i="7"/>
  <c r="D1756" i="7"/>
  <c r="D661" i="7"/>
  <c r="D2735" i="7"/>
  <c r="D3143" i="7"/>
  <c r="D3371" i="7"/>
  <c r="C43" i="5"/>
  <c r="D42" i="2"/>
  <c r="D5" i="5"/>
  <c r="E6" i="2"/>
  <c r="C5" i="3"/>
  <c r="B5" i="5"/>
  <c r="D3270" i="7"/>
  <c r="D305" i="7"/>
  <c r="D408" i="7"/>
  <c r="D379" i="7"/>
  <c r="D481" i="7"/>
  <c r="D513" i="7"/>
  <c r="E892" i="7"/>
  <c r="D1071" i="7"/>
  <c r="D1226" i="7"/>
  <c r="D1318" i="7"/>
  <c r="D1701" i="7"/>
  <c r="D1897" i="7"/>
  <c r="D1825" i="7"/>
  <c r="D2025" i="7"/>
  <c r="D1969" i="7"/>
  <c r="D2259" i="7"/>
  <c r="D2304" i="7"/>
  <c r="D2597" i="7"/>
  <c r="E625" i="7" l="1"/>
  <c r="E802" i="7"/>
  <c r="D891" i="7"/>
  <c r="E1010" i="7"/>
  <c r="D802" i="7"/>
  <c r="E2553" i="7"/>
  <c r="D2553" i="7"/>
  <c r="D2976" i="7"/>
  <c r="D1539" i="7"/>
  <c r="D1540" i="7"/>
  <c r="D3316" i="7"/>
  <c r="D3317" i="7"/>
  <c r="E730" i="7"/>
  <c r="D730" i="7"/>
  <c r="D589" i="7"/>
  <c r="E1484" i="7"/>
  <c r="D1484" i="7"/>
  <c r="D1626" i="7"/>
  <c r="D331" i="7"/>
  <c r="D332" i="7"/>
  <c r="D625" i="7"/>
  <c r="D1010" i="7"/>
  <c r="E1160" i="7"/>
  <c r="D550" i="7"/>
  <c r="E1540" i="7"/>
  <c r="D2183" i="7"/>
  <c r="E2184" i="7"/>
  <c r="D439" i="7"/>
  <c r="E551" i="7"/>
  <c r="E3420" i="7"/>
  <c r="D1159" i="7"/>
  <c r="E2469" i="7"/>
  <c r="D2468" i="7"/>
  <c r="D3419" i="7"/>
  <c r="E440" i="7"/>
  <c r="E332" i="7"/>
  <c r="D3041" i="7"/>
  <c r="D2135" i="7"/>
  <c r="D3142" i="7"/>
  <c r="D3476" i="7"/>
  <c r="E3477" i="7"/>
  <c r="D1483" i="7"/>
  <c r="E3042" i="7"/>
  <c r="D2361" i="7"/>
  <c r="E3143" i="7"/>
  <c r="E2678" i="7"/>
  <c r="D2427" i="7"/>
  <c r="E2136" i="7"/>
  <c r="E2428" i="7"/>
  <c r="E661" i="7"/>
  <c r="E1626" i="7"/>
  <c r="D2677" i="7"/>
  <c r="E1382" i="7"/>
  <c r="D660" i="7"/>
  <c r="E589" i="7"/>
  <c r="D3370" i="7"/>
  <c r="E2362" i="7"/>
  <c r="D1755" i="7"/>
  <c r="E3371" i="7"/>
  <c r="E1756" i="7"/>
  <c r="D1381" i="7"/>
  <c r="D1896" i="7"/>
  <c r="D378" i="7"/>
  <c r="E3317" i="7"/>
  <c r="D2552" i="7"/>
  <c r="D729" i="7"/>
  <c r="D2024" i="7"/>
  <c r="E408" i="7"/>
  <c r="D2734" i="7"/>
  <c r="E2735" i="7"/>
  <c r="E305" i="7"/>
  <c r="D407" i="7"/>
  <c r="E3270" i="7"/>
  <c r="D3269" i="7"/>
  <c r="E2976" i="7"/>
  <c r="D304" i="7"/>
  <c r="E379" i="7"/>
  <c r="E481" i="7"/>
  <c r="D480" i="7"/>
  <c r="E513" i="7"/>
  <c r="D512" i="7"/>
  <c r="D624" i="7"/>
  <c r="D1700" i="7"/>
  <c r="D801" i="7"/>
  <c r="E891" i="7"/>
  <c r="D1009" i="7"/>
  <c r="E1071" i="7"/>
  <c r="D1070" i="7"/>
  <c r="E1701" i="7"/>
  <c r="E1226" i="7"/>
  <c r="D1225" i="7"/>
  <c r="E1318" i="7"/>
  <c r="D1317" i="7"/>
  <c r="E1539" i="7"/>
  <c r="E1897" i="7"/>
  <c r="E2025" i="7"/>
  <c r="E1825" i="7"/>
  <c r="D1824" i="7"/>
  <c r="E1969" i="7"/>
  <c r="D1968" i="7"/>
  <c r="E2259" i="7"/>
  <c r="D2258" i="7"/>
  <c r="E2304" i="7"/>
  <c r="D2303" i="7"/>
  <c r="D2596" i="7"/>
  <c r="E2597" i="7"/>
  <c r="E3316" i="7" l="1"/>
  <c r="D1625" i="7"/>
  <c r="D2975" i="7"/>
  <c r="D588" i="7"/>
  <c r="J34" i="27" s="1"/>
  <c r="E331" i="7"/>
  <c r="E2183" i="7"/>
  <c r="E2468" i="7"/>
  <c r="E550" i="7"/>
  <c r="E439" i="7"/>
  <c r="E3041" i="7"/>
  <c r="E1159" i="7"/>
  <c r="E3419" i="7"/>
  <c r="E3476" i="7"/>
  <c r="E3142" i="7"/>
  <c r="E1483" i="7"/>
  <c r="E2135" i="7"/>
  <c r="E3370" i="7"/>
  <c r="E2361" i="7"/>
  <c r="E2024" i="7"/>
  <c r="E1381" i="7"/>
  <c r="E1755" i="7"/>
  <c r="E1896" i="7"/>
  <c r="E660" i="7"/>
  <c r="E2427" i="7"/>
  <c r="E2677" i="7"/>
  <c r="E729" i="7"/>
  <c r="E378" i="7"/>
  <c r="J60" i="27"/>
  <c r="E2552" i="7"/>
  <c r="E2734" i="7"/>
  <c r="E304" i="7"/>
  <c r="E407" i="7"/>
  <c r="E3269" i="7"/>
  <c r="E2975" i="7"/>
  <c r="E1700" i="7"/>
  <c r="E1625" i="7"/>
  <c r="E480" i="7"/>
  <c r="E512" i="7"/>
  <c r="E588" i="7"/>
  <c r="E624" i="7"/>
  <c r="E801" i="7"/>
  <c r="E1009" i="7"/>
  <c r="E1070" i="7"/>
  <c r="E1225" i="7"/>
  <c r="E1317" i="7"/>
  <c r="E1824" i="7"/>
  <c r="E1968" i="7"/>
  <c r="E2258" i="7"/>
  <c r="E2303" i="7"/>
  <c r="E2596" i="7"/>
  <c r="J81" i="27" l="1"/>
  <c r="O34" i="8"/>
  <c r="O36" i="8"/>
  <c r="O35" i="8"/>
  <c r="N34" i="8"/>
  <c r="J64" i="8"/>
  <c r="N44" i="8"/>
  <c r="N42" i="8"/>
  <c r="K64" i="8"/>
  <c r="J66" i="8"/>
  <c r="N33" i="8"/>
  <c r="I73" i="27"/>
  <c r="N35" i="27"/>
  <c r="H64" i="8"/>
  <c r="N32" i="27"/>
  <c r="O26" i="27"/>
  <c r="O26" i="8"/>
  <c r="O28" i="27"/>
  <c r="N43" i="8"/>
  <c r="H63" i="8"/>
  <c r="I68" i="8"/>
  <c r="N34" i="27"/>
  <c r="J67" i="8"/>
  <c r="O25" i="8"/>
  <c r="H66" i="8"/>
  <c r="O35" i="27"/>
  <c r="N38" i="8"/>
  <c r="H68" i="8"/>
  <c r="N42" i="27"/>
  <c r="O58" i="8"/>
  <c r="O59" i="8"/>
  <c r="O28" i="8"/>
  <c r="J64" i="27"/>
  <c r="N32" i="8"/>
  <c r="O57" i="8"/>
  <c r="H67" i="8"/>
  <c r="O51" i="8"/>
  <c r="N55" i="8"/>
  <c r="N40" i="8"/>
  <c r="K64" i="27"/>
  <c r="O24" i="8"/>
  <c r="N37" i="8"/>
  <c r="N50" i="8"/>
  <c r="I67" i="8"/>
  <c r="O29" i="8"/>
  <c r="I26" i="8"/>
  <c r="J63" i="8"/>
  <c r="N63" i="8" s="1"/>
  <c r="O23" i="8"/>
  <c r="K36" i="27"/>
  <c r="I66" i="8"/>
  <c r="N53" i="8"/>
  <c r="O30" i="8"/>
  <c r="I76" i="27"/>
  <c r="N39" i="8"/>
  <c r="I63" i="8"/>
  <c r="I64" i="8"/>
  <c r="I28" i="8"/>
  <c r="O22" i="8"/>
  <c r="J65" i="8"/>
  <c r="K63" i="8"/>
  <c r="O36" i="27"/>
  <c r="I65" i="8"/>
  <c r="H65" i="8"/>
  <c r="O56" i="8"/>
  <c r="J68" i="8"/>
  <c r="O27" i="8"/>
  <c r="O34" i="27"/>
  <c r="K35" i="27"/>
  <c r="N36" i="8"/>
  <c r="N35" i="8"/>
  <c r="N36" i="27"/>
  <c r="J79" i="27"/>
  <c r="I79" i="27"/>
  <c r="H60" i="27"/>
  <c r="K72" i="27"/>
  <c r="I81" i="27"/>
  <c r="H76" i="27"/>
  <c r="H81" i="27"/>
  <c r="D28" i="4" s="1"/>
  <c r="G28" i="4" s="1"/>
  <c r="I80" i="27"/>
  <c r="H79" i="27"/>
  <c r="J75" i="27"/>
  <c r="J47" i="27"/>
  <c r="H80" i="27"/>
  <c r="J80" i="27"/>
  <c r="H28" i="27"/>
  <c r="H28" i="8"/>
  <c r="K28" i="8"/>
  <c r="K28" i="27"/>
  <c r="I28" i="27"/>
  <c r="J82" i="8"/>
  <c r="H26" i="27"/>
  <c r="H82" i="8"/>
  <c r="I82" i="8"/>
  <c r="I81" i="8"/>
  <c r="J81" i="8"/>
  <c r="J82" i="27"/>
  <c r="H82" i="27"/>
  <c r="H81" i="8"/>
  <c r="I82" i="27"/>
  <c r="I23" i="27"/>
  <c r="K26" i="27"/>
  <c r="H12" i="27"/>
  <c r="H19" i="8"/>
  <c r="I26" i="27"/>
  <c r="I19" i="8"/>
  <c r="K23" i="8"/>
  <c r="K36" i="8"/>
  <c r="J34" i="8"/>
  <c r="K35" i="8"/>
  <c r="K26" i="8"/>
  <c r="H26" i="8"/>
  <c r="J78" i="8"/>
  <c r="I79" i="8"/>
  <c r="I80" i="8"/>
  <c r="H79" i="8"/>
  <c r="J80" i="8"/>
  <c r="H80" i="8"/>
  <c r="I27" i="27"/>
  <c r="J79" i="8"/>
  <c r="J77" i="8"/>
  <c r="I77" i="27"/>
  <c r="D26" i="4" s="1"/>
  <c r="H27" i="27"/>
  <c r="H78" i="8"/>
  <c r="I78" i="8"/>
  <c r="K27" i="27"/>
  <c r="K27" i="8"/>
  <c r="H77" i="27"/>
  <c r="I78" i="27"/>
  <c r="H77" i="8"/>
  <c r="I27" i="8"/>
  <c r="O27" i="27"/>
  <c r="H27" i="8"/>
  <c r="H78" i="27"/>
  <c r="I77" i="8"/>
  <c r="J77" i="27"/>
  <c r="J78" i="27"/>
  <c r="I16" i="27"/>
  <c r="E63" i="17" s="1"/>
  <c r="O23" i="27"/>
  <c r="J75" i="8"/>
  <c r="I24" i="8"/>
  <c r="H41" i="27"/>
  <c r="H16" i="27"/>
  <c r="K22" i="27"/>
  <c r="J73" i="8"/>
  <c r="J47" i="8"/>
  <c r="J31" i="27"/>
  <c r="J72" i="27"/>
  <c r="I52" i="27"/>
  <c r="I41" i="27"/>
  <c r="H23" i="27"/>
  <c r="J41" i="27"/>
  <c r="H52" i="27"/>
  <c r="K23" i="27"/>
  <c r="H41" i="8"/>
  <c r="I75" i="27"/>
  <c r="I76" i="8"/>
  <c r="I23" i="8"/>
  <c r="I10" i="8"/>
  <c r="H76" i="8"/>
  <c r="J41" i="8"/>
  <c r="I41" i="8"/>
  <c r="H23" i="8"/>
  <c r="I75" i="8"/>
  <c r="I61" i="27"/>
  <c r="M61" i="27" s="1"/>
  <c r="H75" i="8"/>
  <c r="B28" i="5" s="1"/>
  <c r="H73" i="27"/>
  <c r="I74" i="27"/>
  <c r="H75" i="27"/>
  <c r="H74" i="27"/>
  <c r="J31" i="8"/>
  <c r="H57" i="27"/>
  <c r="I57" i="27"/>
  <c r="H57" i="8"/>
  <c r="I57" i="8"/>
  <c r="I48" i="27"/>
  <c r="O57" i="27"/>
  <c r="K45" i="27"/>
  <c r="J72" i="8"/>
  <c r="K47" i="8"/>
  <c r="K61" i="8"/>
  <c r="N61" i="8" s="1"/>
  <c r="H24" i="27"/>
  <c r="H37" i="27"/>
  <c r="H17" i="8"/>
  <c r="I15" i="8"/>
  <c r="I69" i="27"/>
  <c r="J10" i="8"/>
  <c r="I74" i="8"/>
  <c r="H40" i="27"/>
  <c r="E22" i="3" s="1"/>
  <c r="I69" i="8"/>
  <c r="I17" i="27"/>
  <c r="E64" i="17" s="1"/>
  <c r="H15" i="8"/>
  <c r="H59" i="27"/>
  <c r="H61" i="8"/>
  <c r="I73" i="8"/>
  <c r="B27" i="5" s="1"/>
  <c r="I30" i="8"/>
  <c r="H24" i="8"/>
  <c r="J48" i="27"/>
  <c r="K30" i="8"/>
  <c r="H59" i="8"/>
  <c r="H29" i="27"/>
  <c r="K29" i="27"/>
  <c r="I37" i="8"/>
  <c r="K49" i="27"/>
  <c r="I17" i="8"/>
  <c r="C64" i="17" s="1"/>
  <c r="I62" i="8"/>
  <c r="H10" i="8"/>
  <c r="H30" i="27"/>
  <c r="O59" i="27"/>
  <c r="I29" i="8"/>
  <c r="J71" i="8"/>
  <c r="I40" i="8"/>
  <c r="J71" i="27"/>
  <c r="K17" i="8"/>
  <c r="H38" i="27"/>
  <c r="E19" i="3" s="1"/>
  <c r="N40" i="27"/>
  <c r="H20" i="27"/>
  <c r="B25" i="4" s="1"/>
  <c r="H22" i="27"/>
  <c r="J10" i="27"/>
  <c r="H62" i="27"/>
  <c r="H68" i="27"/>
  <c r="I63" i="27"/>
  <c r="K30" i="27"/>
  <c r="H36" i="27"/>
  <c r="I38" i="8"/>
  <c r="I25" i="27"/>
  <c r="I30" i="27"/>
  <c r="I48" i="8"/>
  <c r="I56" i="27"/>
  <c r="N50" i="27"/>
  <c r="I10" i="27"/>
  <c r="H64" i="27"/>
  <c r="I15" i="27"/>
  <c r="E62" i="17" s="1"/>
  <c r="K29" i="8"/>
  <c r="H10" i="27"/>
  <c r="K24" i="8"/>
  <c r="N37" i="27"/>
  <c r="H29" i="8"/>
  <c r="H63" i="27"/>
  <c r="H30" i="8"/>
  <c r="K15" i="8"/>
  <c r="K24" i="27"/>
  <c r="H69" i="27"/>
  <c r="I60" i="8"/>
  <c r="I60" i="27"/>
  <c r="J48" i="8"/>
  <c r="H47" i="27"/>
  <c r="I32" i="27"/>
  <c r="I65" i="27"/>
  <c r="O58" i="27"/>
  <c r="O51" i="27"/>
  <c r="H71" i="8"/>
  <c r="I25" i="8"/>
  <c r="H19" i="27"/>
  <c r="I24" i="27"/>
  <c r="J52" i="27"/>
  <c r="K20" i="8"/>
  <c r="B8" i="4" s="1"/>
  <c r="I66" i="27"/>
  <c r="I34" i="27"/>
  <c r="J67" i="27"/>
  <c r="I31" i="27"/>
  <c r="K61" i="27"/>
  <c r="E23" i="4" s="1"/>
  <c r="K47" i="27"/>
  <c r="N38" i="27"/>
  <c r="I70" i="27"/>
  <c r="K25" i="8"/>
  <c r="O25" i="27"/>
  <c r="I42" i="8"/>
  <c r="H54" i="27"/>
  <c r="J52" i="8"/>
  <c r="H34" i="27"/>
  <c r="H25" i="8"/>
  <c r="I58" i="27"/>
  <c r="I35" i="8"/>
  <c r="J66" i="27"/>
  <c r="H25" i="27"/>
  <c r="K25" i="27"/>
  <c r="J46" i="27"/>
  <c r="K16" i="8"/>
  <c r="H33" i="8"/>
  <c r="C25" i="3" s="1"/>
  <c r="B15" i="5" s="1"/>
  <c r="H43" i="27"/>
  <c r="E26" i="3" s="1"/>
  <c r="I51" i="27"/>
  <c r="E13" i="3" s="1"/>
  <c r="N43" i="27"/>
  <c r="J70" i="27"/>
  <c r="H9" i="27"/>
  <c r="I8" i="8"/>
  <c r="I7" i="27"/>
  <c r="J65" i="27"/>
  <c r="H12" i="8"/>
  <c r="B12" i="5" s="1"/>
  <c r="O56" i="27"/>
  <c r="H72" i="27"/>
  <c r="H18" i="8"/>
  <c r="I22" i="27"/>
  <c r="I14" i="27"/>
  <c r="H44" i="27"/>
  <c r="E21" i="3" s="1"/>
  <c r="I31" i="8"/>
  <c r="J45" i="8"/>
  <c r="H11" i="8"/>
  <c r="I13" i="8"/>
  <c r="H14" i="8"/>
  <c r="J46" i="8"/>
  <c r="I50" i="27"/>
  <c r="H31" i="27"/>
  <c r="I72" i="8"/>
  <c r="K14" i="8"/>
  <c r="I35" i="27"/>
  <c r="J54" i="8"/>
  <c r="I7" i="8"/>
  <c r="I33" i="8"/>
  <c r="I8" i="27"/>
  <c r="I51" i="8"/>
  <c r="C13" i="3" s="1"/>
  <c r="H56" i="8"/>
  <c r="J9" i="8"/>
  <c r="J8" i="8"/>
  <c r="I18" i="8"/>
  <c r="B31" i="5" s="1"/>
  <c r="H31" i="8"/>
  <c r="I14" i="8"/>
  <c r="I49" i="8"/>
  <c r="I49" i="27"/>
  <c r="H56" i="27"/>
  <c r="I46" i="8"/>
  <c r="K45" i="8"/>
  <c r="H55" i="8"/>
  <c r="B19" i="5" s="1"/>
  <c r="N39" i="27"/>
  <c r="I11" i="8"/>
  <c r="I13" i="27"/>
  <c r="E61" i="17" s="1"/>
  <c r="I21" i="27"/>
  <c r="C24" i="4" s="1"/>
  <c r="J9" i="27"/>
  <c r="N53" i="27"/>
  <c r="I16" i="8"/>
  <c r="C63" i="17" s="1"/>
  <c r="H13" i="8"/>
  <c r="I44" i="8"/>
  <c r="I50" i="8"/>
  <c r="J11" i="8"/>
  <c r="I58" i="8"/>
  <c r="I52" i="8"/>
  <c r="H54" i="8"/>
  <c r="B30" i="5" s="1"/>
  <c r="J18" i="8"/>
  <c r="K13" i="8"/>
  <c r="K46" i="8"/>
  <c r="H45" i="27"/>
  <c r="H55" i="27"/>
  <c r="E24" i="3" s="1"/>
  <c r="H46" i="27"/>
  <c r="H35" i="8"/>
  <c r="H65" i="27"/>
  <c r="H33" i="27"/>
  <c r="E25" i="3" s="1"/>
  <c r="H16" i="8"/>
  <c r="B20" i="5" s="1"/>
  <c r="J54" i="27"/>
  <c r="J7" i="8"/>
  <c r="H42" i="27"/>
  <c r="E18" i="3" s="1"/>
  <c r="I43" i="8"/>
  <c r="I70" i="8"/>
  <c r="I9" i="8"/>
  <c r="H8" i="8"/>
  <c r="H7" i="8"/>
  <c r="N33" i="27"/>
  <c r="H9" i="8"/>
  <c r="K72" i="8"/>
  <c r="I18" i="27"/>
  <c r="K21" i="8"/>
  <c r="C8" i="4" s="1"/>
  <c r="C48" i="17" s="1"/>
  <c r="J45" i="27"/>
  <c r="N44" i="27"/>
  <c r="H39" i="27"/>
  <c r="E17" i="3" s="1"/>
  <c r="I11" i="27"/>
  <c r="K49" i="8"/>
  <c r="J18" i="27"/>
  <c r="I61" i="8"/>
  <c r="J68" i="27"/>
  <c r="N55" i="27"/>
  <c r="I68" i="27"/>
  <c r="I64" i="27"/>
  <c r="H70" i="27"/>
  <c r="I62" i="27"/>
  <c r="H35" i="27"/>
  <c r="I72" i="27"/>
  <c r="K16" i="27"/>
  <c r="K20" i="27"/>
  <c r="B23" i="4" s="1"/>
  <c r="E41" i="17" s="1"/>
  <c r="K13" i="27"/>
  <c r="H48" i="27"/>
  <c r="I71" i="8"/>
  <c r="O22" i="27"/>
  <c r="H67" i="27"/>
  <c r="H66" i="27"/>
  <c r="J7" i="27"/>
  <c r="O29" i="27"/>
  <c r="K17" i="27"/>
  <c r="H71" i="27"/>
  <c r="I9" i="27"/>
  <c r="I36" i="27"/>
  <c r="K12" i="27"/>
  <c r="I44" i="27"/>
  <c r="K21" i="27"/>
  <c r="C23" i="4" s="1"/>
  <c r="J60" i="8"/>
  <c r="K14" i="27"/>
  <c r="I71" i="27"/>
  <c r="H50" i="8"/>
  <c r="B22" i="5" s="1"/>
  <c r="H37" i="8"/>
  <c r="I19" i="27"/>
  <c r="I20" i="27"/>
  <c r="H32" i="8"/>
  <c r="I22" i="8"/>
  <c r="H21" i="8"/>
  <c r="C10" i="4" s="1"/>
  <c r="H74" i="8"/>
  <c r="H46" i="8"/>
  <c r="I20" i="8"/>
  <c r="B9" i="4" s="1"/>
  <c r="H32" i="27"/>
  <c r="E27" i="3" s="1"/>
  <c r="H22" i="8"/>
  <c r="H62" i="8"/>
  <c r="H42" i="8"/>
  <c r="C18" i="3" s="1"/>
  <c r="I54" i="8"/>
  <c r="H40" i="8"/>
  <c r="J19" i="8"/>
  <c r="B42" i="5" s="1"/>
  <c r="H20" i="8"/>
  <c r="B10" i="4" s="1"/>
  <c r="C43" i="17" s="1"/>
  <c r="I32" i="8"/>
  <c r="K22" i="8"/>
  <c r="I21" i="8"/>
  <c r="C9" i="4" s="1"/>
  <c r="J70" i="8"/>
  <c r="J19" i="27"/>
  <c r="H58" i="27"/>
  <c r="K15" i="27"/>
  <c r="H70" i="8"/>
  <c r="I59" i="8"/>
  <c r="H53" i="8"/>
  <c r="H49" i="8"/>
  <c r="I39" i="27"/>
  <c r="J11" i="27"/>
  <c r="H58" i="8"/>
  <c r="H52" i="8"/>
  <c r="H48" i="8"/>
  <c r="H44" i="8"/>
  <c r="O24" i="27"/>
  <c r="H8" i="27"/>
  <c r="H51" i="8"/>
  <c r="H43" i="8"/>
  <c r="C26" i="3" s="1"/>
  <c r="H38" i="8"/>
  <c r="H51" i="27"/>
  <c r="I47" i="27"/>
  <c r="I43" i="27"/>
  <c r="I38" i="27"/>
  <c r="O30" i="27"/>
  <c r="H61" i="27"/>
  <c r="L61" i="27" s="1"/>
  <c r="I54" i="27"/>
  <c r="H50" i="27"/>
  <c r="I46" i="27"/>
  <c r="I42" i="27"/>
  <c r="I37" i="27"/>
  <c r="I59" i="27"/>
  <c r="H53" i="27"/>
  <c r="H49" i="27"/>
  <c r="I45" i="27"/>
  <c r="I40" i="27"/>
  <c r="K46" i="27"/>
  <c r="H18" i="27"/>
  <c r="H14" i="27"/>
  <c r="J8" i="27"/>
  <c r="I33" i="27"/>
  <c r="H17" i="27"/>
  <c r="H13" i="27"/>
  <c r="H7" i="27"/>
  <c r="H69" i="8"/>
  <c r="H60" i="8"/>
  <c r="I29" i="27"/>
  <c r="H73" i="8"/>
  <c r="B21" i="5"/>
  <c r="H21" i="27"/>
  <c r="H15" i="27"/>
  <c r="H11" i="27"/>
  <c r="H72" i="8"/>
  <c r="B38" i="5"/>
  <c r="I56" i="8"/>
  <c r="I67" i="27"/>
  <c r="M63" i="8" l="1"/>
  <c r="C9" i="3"/>
  <c r="E9" i="3"/>
  <c r="E86" i="17" s="1"/>
  <c r="E88" i="17" s="1"/>
  <c r="L60" i="27"/>
  <c r="M64" i="8"/>
  <c r="L66" i="8"/>
  <c r="L68" i="8"/>
  <c r="F23" i="4"/>
  <c r="L65" i="8"/>
  <c r="L67" i="8"/>
  <c r="E84" i="8" s="1"/>
  <c r="D23" i="4"/>
  <c r="L79" i="27"/>
  <c r="L80" i="27"/>
  <c r="M28" i="27"/>
  <c r="M28" i="8"/>
  <c r="L82" i="8"/>
  <c r="L81" i="8"/>
  <c r="L82" i="27"/>
  <c r="L81" i="27"/>
  <c r="M26" i="27"/>
  <c r="M26" i="8"/>
  <c r="L79" i="8"/>
  <c r="L80" i="8"/>
  <c r="M27" i="27"/>
  <c r="L78" i="27"/>
  <c r="L78" i="8"/>
  <c r="M27" i="8"/>
  <c r="L77" i="8"/>
  <c r="L77" i="27"/>
  <c r="E26" i="4"/>
  <c r="E31" i="4" s="1"/>
  <c r="E32" i="2" s="1"/>
  <c r="B37" i="5"/>
  <c r="E32" i="3"/>
  <c r="L41" i="27"/>
  <c r="C27" i="3"/>
  <c r="B16" i="5" s="1"/>
  <c r="F29" i="4"/>
  <c r="L31" i="27"/>
  <c r="M23" i="27"/>
  <c r="L76" i="27"/>
  <c r="M22" i="27"/>
  <c r="M64" i="27"/>
  <c r="M72" i="27"/>
  <c r="M67" i="27"/>
  <c r="B11" i="5"/>
  <c r="B36" i="5"/>
  <c r="B18" i="5"/>
  <c r="C21" i="3"/>
  <c r="B17" i="5"/>
  <c r="C61" i="17"/>
  <c r="B13" i="5"/>
  <c r="C62" i="17"/>
  <c r="B14" i="5"/>
  <c r="L75" i="27"/>
  <c r="L76" i="8"/>
  <c r="M23" i="8"/>
  <c r="L41" i="8"/>
  <c r="C22" i="2" s="1"/>
  <c r="L75" i="8"/>
  <c r="L73" i="27"/>
  <c r="E12" i="2" s="1"/>
  <c r="L74" i="27"/>
  <c r="L74" i="8"/>
  <c r="C11" i="3"/>
  <c r="M15" i="8"/>
  <c r="C41" i="17"/>
  <c r="C10" i="3"/>
  <c r="C12" i="3"/>
  <c r="E10" i="3"/>
  <c r="L31" i="8"/>
  <c r="L47" i="27"/>
  <c r="M61" i="8"/>
  <c r="M24" i="8"/>
  <c r="M49" i="27"/>
  <c r="L10" i="8"/>
  <c r="E12" i="3"/>
  <c r="L73" i="8"/>
  <c r="L48" i="27"/>
  <c r="L10" i="27"/>
  <c r="M17" i="8"/>
  <c r="L71" i="8"/>
  <c r="M29" i="27"/>
  <c r="M30" i="8"/>
  <c r="M30" i="27"/>
  <c r="M24" i="27"/>
  <c r="M29" i="8"/>
  <c r="L48" i="8"/>
  <c r="L45" i="27"/>
  <c r="L54" i="8"/>
  <c r="C20" i="2" s="1"/>
  <c r="M14" i="8"/>
  <c r="L60" i="8"/>
  <c r="M14" i="27"/>
  <c r="M13" i="27"/>
  <c r="L9" i="27"/>
  <c r="E11" i="3"/>
  <c r="L8" i="8"/>
  <c r="L7" i="27"/>
  <c r="C24" i="3"/>
  <c r="L9" i="8"/>
  <c r="M25" i="8"/>
  <c r="L65" i="27"/>
  <c r="L52" i="27"/>
  <c r="L11" i="27"/>
  <c r="E24" i="2" s="1"/>
  <c r="M13" i="8"/>
  <c r="L7" i="8"/>
  <c r="L66" i="27"/>
  <c r="L70" i="27"/>
  <c r="M22" i="8"/>
  <c r="L11" i="8"/>
  <c r="C24" i="2" s="1"/>
  <c r="L18" i="8"/>
  <c r="C19" i="2" s="1"/>
  <c r="E2" i="59" s="1"/>
  <c r="M49" i="8"/>
  <c r="M25" i="27"/>
  <c r="M20" i="27"/>
  <c r="E30" i="2" s="1"/>
  <c r="L18" i="27"/>
  <c r="L54" i="27"/>
  <c r="E20" i="2" s="1"/>
  <c r="M17" i="27"/>
  <c r="L71" i="27"/>
  <c r="L68" i="27"/>
  <c r="M16" i="8"/>
  <c r="E11" i="4"/>
  <c r="E16" i="4" s="1"/>
  <c r="C32" i="2" s="1"/>
  <c r="D11" i="4"/>
  <c r="M47" i="27"/>
  <c r="M15" i="27"/>
  <c r="L8" i="27"/>
  <c r="C49" i="17"/>
  <c r="G9" i="4"/>
  <c r="M21" i="8"/>
  <c r="C31" i="2" s="1"/>
  <c r="C42" i="17"/>
  <c r="B16" i="4"/>
  <c r="L19" i="8"/>
  <c r="C23" i="2" s="1"/>
  <c r="J21" i="2" s="1"/>
  <c r="M46" i="8"/>
  <c r="L46" i="8"/>
  <c r="C22" i="3"/>
  <c r="M20" i="8"/>
  <c r="C30" i="2" s="1"/>
  <c r="C51" i="2" s="1"/>
  <c r="C29" i="3"/>
  <c r="C50" i="17"/>
  <c r="G10" i="4"/>
  <c r="B24" i="4"/>
  <c r="C36" i="17"/>
  <c r="C37" i="17" s="1"/>
  <c r="C19" i="3"/>
  <c r="L52" i="8"/>
  <c r="L70" i="8"/>
  <c r="C23" i="3"/>
  <c r="L19" i="27"/>
  <c r="E23" i="2" s="1"/>
  <c r="E29" i="3"/>
  <c r="E23" i="3"/>
  <c r="M72" i="8"/>
  <c r="L67" i="27"/>
  <c r="M16" i="27"/>
  <c r="M46" i="27"/>
  <c r="L46" i="27"/>
  <c r="D13" i="4"/>
  <c r="G13" i="4" s="1"/>
  <c r="C25" i="4"/>
  <c r="C31" i="4" s="1"/>
  <c r="M21" i="27"/>
  <c r="E31" i="2" s="1"/>
  <c r="E43" i="17"/>
  <c r="E9" i="2" l="1"/>
  <c r="E18" i="2"/>
  <c r="E37" i="2"/>
  <c r="E21" i="2"/>
  <c r="C18" i="2"/>
  <c r="C21" i="2"/>
  <c r="C37" i="2"/>
  <c r="G23" i="4"/>
  <c r="G26" i="4"/>
  <c r="C13" i="2"/>
  <c r="B39" i="5"/>
  <c r="C7" i="17"/>
  <c r="C8" i="17" s="1"/>
  <c r="E3" i="59"/>
  <c r="E4" i="59" s="1"/>
  <c r="F31" i="4"/>
  <c r="F8" i="4" s="1"/>
  <c r="C9" i="2"/>
  <c r="E15" i="2"/>
  <c r="C15" i="2"/>
  <c r="H16" i="2" s="1"/>
  <c r="M45" i="27"/>
  <c r="B33" i="5"/>
  <c r="B10" i="5"/>
  <c r="B23" i="5" s="1"/>
  <c r="E16" i="2"/>
  <c r="E13" i="2"/>
  <c r="E14" i="2" s="1"/>
  <c r="C44" i="17"/>
  <c r="C14" i="3"/>
  <c r="C12" i="2"/>
  <c r="D2" i="59" s="1"/>
  <c r="D12" i="4"/>
  <c r="G12" i="4" s="1"/>
  <c r="C88" i="17"/>
  <c r="C86" i="17" s="1"/>
  <c r="C12" i="17"/>
  <c r="G29" i="4"/>
  <c r="E19" i="2"/>
  <c r="E7" i="17" s="1"/>
  <c r="E8" i="17" s="1"/>
  <c r="E14" i="3"/>
  <c r="G11" i="4"/>
  <c r="C51" i="17"/>
  <c r="C16" i="4"/>
  <c r="B47" i="5"/>
  <c r="C72" i="17"/>
  <c r="C77" i="17" s="1"/>
  <c r="C124" i="17"/>
  <c r="C39" i="3"/>
  <c r="H6" i="5"/>
  <c r="E42" i="17"/>
  <c r="E44" i="17" s="1"/>
  <c r="G24" i="4"/>
  <c r="B31" i="4"/>
  <c r="E51" i="2" s="1"/>
  <c r="D47" i="5" s="1"/>
  <c r="E30" i="3"/>
  <c r="G25" i="4"/>
  <c r="H9" i="2" l="1"/>
  <c r="E10" i="2"/>
  <c r="E69" i="17" s="1"/>
  <c r="E33" i="2"/>
  <c r="H13" i="2"/>
  <c r="I13" i="2" s="1"/>
  <c r="I11" i="2" s="1"/>
  <c r="D3" i="59"/>
  <c r="D4" i="59" s="1"/>
  <c r="E17" i="2"/>
  <c r="B41" i="5"/>
  <c r="B43" i="5" s="1"/>
  <c r="H8" i="5" s="1"/>
  <c r="C14" i="2"/>
  <c r="D43" i="5"/>
  <c r="E31" i="3"/>
  <c r="E124" i="17"/>
  <c r="B45" i="5"/>
  <c r="E72" i="17"/>
  <c r="E77" i="17" s="1"/>
  <c r="E39" i="3"/>
  <c r="D45" i="5"/>
  <c r="E11" i="2" l="1"/>
  <c r="E25" i="2" s="1"/>
  <c r="M8691" i="7"/>
  <c r="M8887" i="7"/>
  <c r="M8489" i="7"/>
  <c r="M8591" i="7"/>
  <c r="M8311" i="7"/>
  <c r="M8396" i="7"/>
  <c r="M8148" i="7"/>
  <c r="M8233" i="7"/>
  <c r="M7923" i="7"/>
  <c r="M8061" i="7"/>
  <c r="M7748" i="7"/>
  <c r="M7849" i="7"/>
  <c r="M7541" i="7"/>
  <c r="M7656" i="7"/>
  <c r="M7368" i="7"/>
  <c r="M7477" i="7"/>
  <c r="M7152" i="7"/>
  <c r="M7279" i="7"/>
  <c r="M6960" i="7"/>
  <c r="M7031" i="7"/>
  <c r="M6804" i="7"/>
  <c r="M6875" i="7"/>
  <c r="M6651" i="7"/>
  <c r="M6744" i="7"/>
  <c r="M6495" i="7"/>
  <c r="M6568" i="7"/>
  <c r="M6375" i="7"/>
  <c r="M6425" i="7"/>
  <c r="M6223" i="7"/>
  <c r="M6286" i="7"/>
  <c r="E33" i="3"/>
  <c r="G3" i="27"/>
  <c r="G3" i="8"/>
  <c r="G5" i="7"/>
  <c r="E123" i="17" l="1"/>
  <c r="E125" i="17" s="1"/>
  <c r="E36" i="3"/>
  <c r="D30" i="4"/>
  <c r="G30" i="4" l="1"/>
  <c r="G31" i="4" s="1"/>
  <c r="D31" i="4"/>
  <c r="D8" i="4" s="1"/>
  <c r="E34" i="2" l="1"/>
  <c r="E35" i="2" s="1"/>
  <c r="E47" i="2" s="1"/>
  <c r="E48" i="2" l="1"/>
  <c r="E44" i="2"/>
  <c r="E68" i="17" s="1"/>
  <c r="E46" i="2"/>
  <c r="E76" i="17" l="1"/>
  <c r="E78" i="17" s="1"/>
  <c r="E70" i="17"/>
  <c r="E73" i="17" s="1"/>
  <c r="G8" i="4" l="1"/>
  <c r="H39" i="8" l="1"/>
  <c r="C17" i="3" s="1"/>
  <c r="C30" i="3" s="1"/>
  <c r="I39" i="8"/>
  <c r="L6686" i="7"/>
  <c r="I12" i="27" l="1"/>
  <c r="K12" i="8"/>
  <c r="C31" i="3"/>
  <c r="I12" i="8"/>
  <c r="E60" i="17" l="1"/>
  <c r="E65" i="17" s="1"/>
  <c r="G1" i="27"/>
  <c r="M12" i="27"/>
  <c r="E39" i="2" s="1"/>
  <c r="E40" i="2" s="1"/>
  <c r="E42" i="2" s="1"/>
  <c r="C60" i="17"/>
  <c r="C65" i="17" s="1"/>
  <c r="M12" i="8"/>
  <c r="C39" i="2" l="1"/>
  <c r="C40" i="2" s="1"/>
  <c r="K6" i="7"/>
  <c r="I45" i="8"/>
  <c r="L10163" i="7"/>
  <c r="I34" i="8" s="1"/>
  <c r="L10161" i="7"/>
  <c r="H47" i="8" s="1"/>
  <c r="H45" i="8"/>
  <c r="H34" i="8" l="1"/>
  <c r="H36" i="8"/>
  <c r="I36" i="8"/>
  <c r="F14" i="4"/>
  <c r="L45" i="8"/>
  <c r="I47" i="8"/>
  <c r="M47" i="8" s="1"/>
  <c r="L6" i="7"/>
  <c r="J6" i="7" s="1"/>
  <c r="M45" i="8"/>
  <c r="C10" i="2" l="1"/>
  <c r="G3" i="7"/>
  <c r="L47" i="8"/>
  <c r="C16" i="2" s="1"/>
  <c r="I16" i="2" s="1"/>
  <c r="I14" i="2" s="1"/>
  <c r="G1" i="8"/>
  <c r="C32" i="3"/>
  <c r="C33" i="3" s="1"/>
  <c r="G2" i="7"/>
  <c r="F16" i="4"/>
  <c r="C33" i="2" s="1"/>
  <c r="G14" i="4"/>
  <c r="C11" i="2" l="1"/>
  <c r="F3" i="59" s="1"/>
  <c r="F4" i="59" s="1"/>
  <c r="I9" i="2"/>
  <c r="I7" i="2" s="1"/>
  <c r="D15" i="4"/>
  <c r="C36" i="3"/>
  <c r="C123" i="17"/>
  <c r="C125" i="17" s="1"/>
  <c r="C17" i="2"/>
  <c r="C2" i="59" s="1"/>
  <c r="F2" i="59" l="1"/>
  <c r="G2" i="59" s="1"/>
  <c r="M12497" i="7"/>
  <c r="M12418" i="7"/>
  <c r="M12458" i="7"/>
  <c r="M12350" i="7"/>
  <c r="M12384" i="7"/>
  <c r="M12260" i="7"/>
  <c r="M12308" i="7"/>
  <c r="M12221" i="7"/>
  <c r="M12091" i="7"/>
  <c r="M12139" i="7"/>
  <c r="M11999" i="7"/>
  <c r="M12047" i="7"/>
  <c r="M11904" i="7"/>
  <c r="M11952" i="7"/>
  <c r="M11810" i="7"/>
  <c r="M11853" i="7"/>
  <c r="M11716" i="7"/>
  <c r="M11760" i="7"/>
  <c r="M11622" i="7"/>
  <c r="M11671" i="7"/>
  <c r="M11533" i="7"/>
  <c r="M11579" i="7"/>
  <c r="M11486" i="7"/>
  <c r="M11447" i="7"/>
  <c r="M11408" i="7"/>
  <c r="M11330" i="7"/>
  <c r="M11372" i="7"/>
  <c r="M11200" i="7"/>
  <c r="M11282" i="7"/>
  <c r="M10977" i="7"/>
  <c r="M11095" i="7"/>
  <c r="M10805" i="7"/>
  <c r="M10893" i="7"/>
  <c r="M9551" i="7"/>
  <c r="M9688" i="7"/>
  <c r="M10636" i="7"/>
  <c r="M10720" i="7"/>
  <c r="M10423" i="7"/>
  <c r="M10498" i="7"/>
  <c r="M10252" i="7"/>
  <c r="M10347" i="7"/>
  <c r="M9549" i="7"/>
  <c r="M9686" i="7"/>
  <c r="M7156" i="7"/>
  <c r="M6379" i="7"/>
  <c r="M6572" i="7"/>
  <c r="M8493" i="7"/>
  <c r="M7372" i="7"/>
  <c r="M8315" i="7"/>
  <c r="M8237" i="7"/>
  <c r="M6227" i="7"/>
  <c r="M9450" i="7"/>
  <c r="M7545" i="7"/>
  <c r="M7035" i="7"/>
  <c r="M7481" i="7"/>
  <c r="M6499" i="7"/>
  <c r="M10162" i="7"/>
  <c r="M8695" i="7"/>
  <c r="M6879" i="7"/>
  <c r="M7927" i="7"/>
  <c r="M8891" i="7"/>
  <c r="M7853" i="7"/>
  <c r="M8400" i="7"/>
  <c r="M6655" i="7"/>
  <c r="M9950" i="7"/>
  <c r="M7660" i="7"/>
  <c r="M6964" i="7"/>
  <c r="M7283" i="7"/>
  <c r="M6290" i="7"/>
  <c r="M9846" i="7"/>
  <c r="M8152" i="7"/>
  <c r="M6808" i="7"/>
  <c r="M7752" i="7"/>
  <c r="M6748" i="7"/>
  <c r="M8065" i="7"/>
  <c r="M9177" i="7"/>
  <c r="M8595" i="7"/>
  <c r="M6429" i="7"/>
  <c r="M9317" i="7"/>
  <c r="M10067" i="7"/>
  <c r="C25" i="2"/>
  <c r="C3" i="59"/>
  <c r="D16" i="4"/>
  <c r="C34" i="2" s="1"/>
  <c r="C35" i="2" s="1"/>
  <c r="C42" i="2" s="1"/>
  <c r="G15" i="4"/>
  <c r="G16" i="4" s="1"/>
  <c r="M12495" i="7" l="1"/>
  <c r="M12416" i="7"/>
  <c r="M12456" i="7"/>
  <c r="M12348" i="7"/>
  <c r="M12382" i="7"/>
  <c r="M12258" i="7"/>
  <c r="M12306" i="7"/>
  <c r="M12219" i="7"/>
  <c r="M12089" i="7"/>
  <c r="M12137" i="7"/>
  <c r="M11997" i="7"/>
  <c r="M12045" i="7"/>
  <c r="M11902" i="7"/>
  <c r="M11950" i="7"/>
  <c r="M11808" i="7"/>
  <c r="M11851" i="7"/>
  <c r="M11714" i="7"/>
  <c r="M11758" i="7"/>
  <c r="M11620" i="7"/>
  <c r="M11669" i="7"/>
  <c r="M11531" i="7"/>
  <c r="M11577" i="7"/>
  <c r="M11445" i="7"/>
  <c r="M11484" i="7"/>
  <c r="M11406" i="7"/>
  <c r="M11328" i="7"/>
  <c r="M11370" i="7"/>
  <c r="M11198" i="7"/>
  <c r="M11280" i="7"/>
  <c r="M10975" i="7"/>
  <c r="M11093" i="7"/>
  <c r="M10803" i="7"/>
  <c r="M10891" i="7"/>
  <c r="M10634" i="7"/>
  <c r="M10718" i="7"/>
  <c r="M10421" i="7"/>
  <c r="M10496" i="7"/>
  <c r="M10250" i="7"/>
  <c r="M10345" i="7"/>
  <c r="C4" i="59"/>
  <c r="G3" i="59"/>
  <c r="J47" i="59" s="1"/>
  <c r="G4" i="59"/>
  <c r="M6962" i="7"/>
  <c r="M9844" i="7"/>
  <c r="M8889" i="7"/>
  <c r="M7154" i="7"/>
  <c r="M8693" i="7"/>
  <c r="M8150" i="7"/>
  <c r="M7658" i="7"/>
  <c r="M6427" i="7"/>
  <c r="M7851" i="7"/>
  <c r="M8313" i="7"/>
  <c r="M7281" i="7"/>
  <c r="M6497" i="7"/>
  <c r="M7925" i="7"/>
  <c r="M6570" i="7"/>
  <c r="M6377" i="7"/>
  <c r="M9948" i="7"/>
  <c r="M7033" i="7"/>
  <c r="M8593" i="7"/>
  <c r="M7750" i="7"/>
  <c r="M6746" i="7"/>
  <c r="M9448" i="7"/>
  <c r="M7543" i="7"/>
  <c r="M9175" i="7"/>
  <c r="M10065" i="7"/>
  <c r="M9315" i="7"/>
  <c r="M6806" i="7"/>
  <c r="M8398" i="7"/>
  <c r="M10160" i="7"/>
  <c r="M6225" i="7"/>
  <c r="M8491" i="7"/>
  <c r="M8063" i="7"/>
  <c r="M6653" i="7"/>
  <c r="M8235" i="7"/>
  <c r="M7370" i="7"/>
  <c r="M6877" i="7"/>
  <c r="M6288" i="7"/>
  <c r="M7479" i="7"/>
  <c r="C44" i="2"/>
  <c r="J9" i="2"/>
  <c r="H10" i="2" s="1"/>
  <c r="C47" i="2"/>
  <c r="G2" i="8"/>
  <c r="C48" i="2"/>
  <c r="G2" i="27" l="1"/>
  <c r="G4" i="7"/>
  <c r="D8" i="9"/>
  <c r="C46" i="2"/>
  <c r="B11" i="8" s="1"/>
  <c r="D17" i="9" a="1"/>
  <c r="D17" i="9" s="1"/>
  <c r="C68" i="17"/>
  <c r="D18" i="9"/>
  <c r="D13" i="9" l="1"/>
  <c r="E13" i="9" s="1"/>
  <c r="D14" i="9"/>
  <c r="E14" i="9" s="1"/>
  <c r="C76" i="17"/>
  <c r="C78" i="17" s="1"/>
  <c r="C70" i="17"/>
  <c r="C73"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INVESTOR_LIST" description="Connection to the 'INVESTOR_LIST' query in the workbook." type="5" refreshedVersion="8" saveData="1">
    <dbPr connection="Provider=Microsoft.Mashup.OleDb.1;Data Source=$Workbook$;Location=INVESTOR_LIST;Extended Properties=&quot;&quot;" command="SELECT * FROM [INVESTOR_LIST]"/>
    <extLst>
      <ext xmlns:x15="http://schemas.microsoft.com/office/spreadsheetml/2010/11/main" uri="{DE250136-89BD-433C-8126-D09CA5730AF9}">
        <x15:connection id="" excludeFromRefreshAl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<sst xmlns="http://schemas.openxmlformats.org/spreadsheetml/2006/main" count="46509" uniqueCount="2144">
  <si>
    <t>Particulars</t>
  </si>
  <si>
    <t>Assets</t>
  </si>
  <si>
    <t>Equity &amp; Liabilities</t>
  </si>
  <si>
    <t>Current Liabilities</t>
  </si>
  <si>
    <t>Total Equity and Liabilities</t>
  </si>
  <si>
    <t>Net Asset Value (NAV)</t>
  </si>
  <si>
    <t xml:space="preserve">     Accounts Receivable</t>
  </si>
  <si>
    <t xml:space="preserve">     Advance, deposit &amp; prepayments</t>
  </si>
  <si>
    <t xml:space="preserve">     Cash &amp; Cash equivalent</t>
  </si>
  <si>
    <t xml:space="preserve">     Preliminary &amp; Issue Expenses</t>
  </si>
  <si>
    <t xml:space="preserve">               Total Assets</t>
  </si>
  <si>
    <t xml:space="preserve">     Unit Premium</t>
  </si>
  <si>
    <t xml:space="preserve">     Retained Earnings</t>
  </si>
  <si>
    <t xml:space="preserve">           At Cost</t>
  </si>
  <si>
    <t xml:space="preserve">           At Market Price</t>
  </si>
  <si>
    <t>Net Profit For the Period</t>
  </si>
  <si>
    <t>Unit Capital</t>
  </si>
  <si>
    <t>Total Equity</t>
  </si>
  <si>
    <t>Net Cash Flow from Operating Activities</t>
  </si>
  <si>
    <t>Net Cash Flows</t>
  </si>
  <si>
    <t>Notes</t>
  </si>
  <si>
    <t xml:space="preserve">Taka </t>
  </si>
  <si>
    <t>Taka</t>
  </si>
  <si>
    <t xml:space="preserve">INCOME </t>
  </si>
  <si>
    <t xml:space="preserve">     Net gain on sale of marketable securities</t>
  </si>
  <si>
    <t>EXPENSES</t>
  </si>
  <si>
    <t>Retained    Earnings</t>
  </si>
  <si>
    <t>Cash flows from operating activities:</t>
  </si>
  <si>
    <t xml:space="preserve">          Interest Income</t>
  </si>
  <si>
    <t xml:space="preserve">          Gain on Sale of Investments</t>
  </si>
  <si>
    <t xml:space="preserve">          Dividend Income</t>
  </si>
  <si>
    <t xml:space="preserve">          Management Fees</t>
  </si>
  <si>
    <t xml:space="preserve">          Trustee Fees</t>
  </si>
  <si>
    <t xml:space="preserve">          Bank Charges &amp; Excise Duty</t>
  </si>
  <si>
    <t>Cash Flow from Investing Activities:</t>
  </si>
  <si>
    <t xml:space="preserve">         Investment in FDR</t>
  </si>
  <si>
    <t xml:space="preserve">                   Net Cash from Investing Activities</t>
  </si>
  <si>
    <t>Cash Flow from Financing Activities:</t>
  </si>
  <si>
    <t xml:space="preserve">                Net Cash from Financing Activities</t>
  </si>
  <si>
    <t xml:space="preserve">             Net Operating Cash Flow per Unit</t>
  </si>
  <si>
    <t>Managing Director</t>
  </si>
  <si>
    <t>Accrued Management Fee</t>
  </si>
  <si>
    <t>Accrued Trustee Fee</t>
  </si>
  <si>
    <t>Accrued Custodian Fee</t>
  </si>
  <si>
    <t>Accrued Audit Fee</t>
  </si>
  <si>
    <t>Accrued CDBL Fee</t>
  </si>
  <si>
    <t>Cash and cash equivalents</t>
  </si>
  <si>
    <t>Unit premium reserve</t>
  </si>
  <si>
    <t>Account Name</t>
  </si>
  <si>
    <t xml:space="preserve">Debit </t>
  </si>
  <si>
    <t>Credit</t>
  </si>
  <si>
    <t>Transaction</t>
  </si>
  <si>
    <t xml:space="preserve">Accounts </t>
  </si>
  <si>
    <t>Interest income</t>
  </si>
  <si>
    <t>Bank charges and excise duties</t>
  </si>
  <si>
    <t>Preliminary &amp; issue expenses</t>
  </si>
  <si>
    <t>Accounts Name</t>
  </si>
  <si>
    <t>Normal Balance</t>
  </si>
  <si>
    <t>Interest Receivables from Bank A/C</t>
  </si>
  <si>
    <t>Year</t>
  </si>
  <si>
    <t>Month</t>
  </si>
  <si>
    <t>Day</t>
  </si>
  <si>
    <t>Value</t>
  </si>
  <si>
    <t>Opening Balance</t>
  </si>
  <si>
    <t>Unit capital raised during the period</t>
  </si>
  <si>
    <t>Unit surrendered</t>
  </si>
  <si>
    <t>Net profit during the period</t>
  </si>
  <si>
    <t>Ending Balance</t>
  </si>
  <si>
    <t>Transaction Type</t>
  </si>
  <si>
    <t>Unit Premium
 Reserve</t>
  </si>
  <si>
    <t>Investments in stock</t>
  </si>
  <si>
    <t>Brokerage commission</t>
  </si>
  <si>
    <t>Unrealized gain on securities</t>
  </si>
  <si>
    <t>Unrealized loss on securities</t>
  </si>
  <si>
    <t>No of Units Outstanding</t>
  </si>
  <si>
    <t>Amortization of preliminary and issue expense</t>
  </si>
  <si>
    <t>Fixed Deposit Receipts (FDR)</t>
  </si>
  <si>
    <t>Management Fee</t>
  </si>
  <si>
    <t xml:space="preserve">      Accounts Payable</t>
  </si>
  <si>
    <t xml:space="preserve">      Liability for expenses</t>
  </si>
  <si>
    <t>Trustee fee</t>
  </si>
  <si>
    <t>BSEC Annual Fee</t>
  </si>
  <si>
    <t>Accrued BSEC fee</t>
  </si>
  <si>
    <t>Audit fee</t>
  </si>
  <si>
    <t>CDBL charges</t>
  </si>
  <si>
    <t>Investment at cost price</t>
  </si>
  <si>
    <t>fair value adjustment</t>
  </si>
  <si>
    <t>Fair value adjustment</t>
  </si>
  <si>
    <t>Carry Forward Balance</t>
  </si>
  <si>
    <t>Dividend paid during the year</t>
  </si>
  <si>
    <t xml:space="preserve">         Preliminary &amp; issue expenses</t>
  </si>
  <si>
    <t>DEBIT</t>
  </si>
  <si>
    <t>CREDIT</t>
  </si>
  <si>
    <t>Beginning</t>
  </si>
  <si>
    <t>Ending</t>
  </si>
  <si>
    <t>For Balance Sheet</t>
  </si>
  <si>
    <t>For Retained Earnings</t>
  </si>
  <si>
    <t>Desired Reporting Period</t>
  </si>
  <si>
    <t>During the Reporting Period</t>
  </si>
  <si>
    <t>Check of Trial Balance</t>
  </si>
  <si>
    <t>Check of Balance Sheet</t>
  </si>
  <si>
    <t>Check of Cash Balance</t>
  </si>
  <si>
    <t>Check of Balance Seet</t>
  </si>
  <si>
    <t>Check of Journal Entries</t>
  </si>
  <si>
    <t>Date</t>
  </si>
  <si>
    <t>Net Asset Value</t>
  </si>
  <si>
    <t>Preliminary &amp; Issue Expenses</t>
  </si>
  <si>
    <t>Last Day of Accounting Period</t>
  </si>
  <si>
    <t>Weekly Expenses:</t>
  </si>
  <si>
    <t>Trustee Fee</t>
  </si>
  <si>
    <t>Audit Fee</t>
  </si>
  <si>
    <t>CDBL Fee</t>
  </si>
  <si>
    <t>Fund Initiation Day</t>
  </si>
  <si>
    <t>Interest receivables from FDR</t>
  </si>
  <si>
    <t>On date</t>
  </si>
  <si>
    <t xml:space="preserve">        Dividend Payment</t>
  </si>
  <si>
    <t xml:space="preserve">      Cash &amp; Cash Equivalent at the beginning of the Period</t>
  </si>
  <si>
    <t xml:space="preserve">      Cash &amp; Cash Equivalent at the end of the Period</t>
  </si>
  <si>
    <t xml:space="preserve">     CDBL settlement &amp; demat charges</t>
  </si>
  <si>
    <t xml:space="preserve">     Amortization of preliminary &amp; issue expenses</t>
  </si>
  <si>
    <t xml:space="preserve">     Management fees</t>
  </si>
  <si>
    <t>Payable to broker</t>
  </si>
  <si>
    <t>Rate</t>
  </si>
  <si>
    <t>Total</t>
  </si>
  <si>
    <t>Stock List</t>
  </si>
  <si>
    <t>Quantity</t>
  </si>
  <si>
    <t>Delta Brac Housing Finance Corporation Ltd</t>
  </si>
  <si>
    <t>Fixed Deposit Receipt (FDR)</t>
  </si>
  <si>
    <t>Cash and Cash Equivalents</t>
  </si>
  <si>
    <t>Cash at Bank</t>
  </si>
  <si>
    <t>Midland Bank Limited:</t>
  </si>
  <si>
    <t xml:space="preserve">       A/C No: 0001-1090000732</t>
  </si>
  <si>
    <t xml:space="preserve">       A/C No: 0001-1060000093</t>
  </si>
  <si>
    <t xml:space="preserve">        Less: Amortization Made During the Period</t>
  </si>
  <si>
    <t xml:space="preserve">         Opening Balance</t>
  </si>
  <si>
    <t xml:space="preserve">         Add: Subscription during the Period</t>
  </si>
  <si>
    <t>Unit Premium</t>
  </si>
  <si>
    <t xml:space="preserve">          Add: Unit premium reserve during the period</t>
  </si>
  <si>
    <t xml:space="preserve">         Less: Premium reimbursed for repurchase of units</t>
  </si>
  <si>
    <t>Liability for Expenses</t>
  </si>
  <si>
    <t xml:space="preserve">         Management fee</t>
  </si>
  <si>
    <t xml:space="preserve">         Trustee fee</t>
  </si>
  <si>
    <t xml:space="preserve">         Annual BSEC fee</t>
  </si>
  <si>
    <t xml:space="preserve">         Audit fee</t>
  </si>
  <si>
    <t xml:space="preserve">         CDBL fee</t>
  </si>
  <si>
    <t>NAV per unit at cost price</t>
  </si>
  <si>
    <t xml:space="preserve">        Net Asset Value at Market Price</t>
  </si>
  <si>
    <t xml:space="preserve">        Less: Unrealized gain/(loss) </t>
  </si>
  <si>
    <t xml:space="preserve">        Net Asset Value at Cost Price</t>
  </si>
  <si>
    <t xml:space="preserve">        No of units outstanding</t>
  </si>
  <si>
    <t>NAV per unit at Cost Price</t>
  </si>
  <si>
    <t>NAV per unit at market price</t>
  </si>
  <si>
    <t>NAV per unit at Market Price</t>
  </si>
  <si>
    <t>Interest Income</t>
  </si>
  <si>
    <t>Summit Power Limited</t>
  </si>
  <si>
    <t xml:space="preserve">               Total Equity</t>
  </si>
  <si>
    <t xml:space="preserve">Net Asset Value (NAV) per unit: </t>
  </si>
  <si>
    <t xml:space="preserve">     Fixed Deposit Receipts (FDR)</t>
  </si>
  <si>
    <t>Unitholders' Equity</t>
  </si>
  <si>
    <t>EKUSH FIRST UNIT FUND
Notes to the Financial Statements</t>
  </si>
  <si>
    <t xml:space="preserve">          BSEC Annual Fee</t>
  </si>
  <si>
    <t>31 December, 2019</t>
  </si>
  <si>
    <r>
      <t xml:space="preserve">     </t>
    </r>
    <r>
      <rPr>
        <u/>
        <sz val="10"/>
        <color theme="0"/>
        <rFont val="Arial"/>
        <family val="2"/>
      </rPr>
      <t>Unitholders' Equity</t>
    </r>
  </si>
  <si>
    <t xml:space="preserve">     Unit Capital</t>
  </si>
  <si>
    <t>Earnings Per Unit</t>
  </si>
  <si>
    <t>These financial statement should be read in conjunction with annexed notes.</t>
  </si>
  <si>
    <t xml:space="preserve">             Total Liabilities</t>
  </si>
  <si>
    <t xml:space="preserve">         Less: Redeemption during the Period</t>
  </si>
  <si>
    <t>Other operating expenses</t>
  </si>
  <si>
    <t xml:space="preserve">          Other Operating Expense</t>
  </si>
  <si>
    <t>Dividend income</t>
  </si>
  <si>
    <t>Dividend receivable</t>
  </si>
  <si>
    <t xml:space="preserve">          CDBL Fee</t>
  </si>
  <si>
    <t>Custodian fee</t>
  </si>
  <si>
    <t xml:space="preserve">          Custodian Fee</t>
  </si>
  <si>
    <t>IPO Application</t>
  </si>
  <si>
    <t>IPO Application Fee</t>
  </si>
  <si>
    <t xml:space="preserve">     IPO Application</t>
  </si>
  <si>
    <t>Receivable from broker</t>
  </si>
  <si>
    <t>Realized gain</t>
  </si>
  <si>
    <t xml:space="preserve">         IPO Application</t>
  </si>
  <si>
    <t xml:space="preserve">          IPO Application Fee</t>
  </si>
  <si>
    <t>Energypac Power Generation Limited</t>
  </si>
  <si>
    <t>Accounts Receivable</t>
  </si>
  <si>
    <t xml:space="preserve">        Interest from Bank</t>
  </si>
  <si>
    <t xml:space="preserve">        Interest income from FDR</t>
  </si>
  <si>
    <t>Net Gain on Sale of Marketable Securities</t>
  </si>
  <si>
    <t>Dividend Income</t>
  </si>
  <si>
    <t xml:space="preserve">        Grameen Phone Limited</t>
  </si>
  <si>
    <t xml:space="preserve">        SouthEast Bank 1st Mutual Fund</t>
  </si>
  <si>
    <t xml:space="preserve">        NLI 1st Mutual Fund</t>
  </si>
  <si>
    <t>Earnings per Unit</t>
  </si>
  <si>
    <t xml:space="preserve">        Net Income for the period</t>
  </si>
  <si>
    <t>Other Income</t>
  </si>
  <si>
    <t>Realized Gain/(Loss)</t>
  </si>
  <si>
    <t>Eastern Bank Limited</t>
  </si>
  <si>
    <t>The ACME Laboratories Limited</t>
  </si>
  <si>
    <t>Singer Bangladesh Limited</t>
  </si>
  <si>
    <t>Crystal Insurance Company Limited</t>
  </si>
  <si>
    <t>Olympic Industries</t>
  </si>
  <si>
    <t>Square Pharmaceuticals Limited</t>
  </si>
  <si>
    <t>British American Tobacco Bangladesh Company</t>
  </si>
  <si>
    <t>BRAC Bank</t>
  </si>
  <si>
    <t>Ref. Acc.</t>
  </si>
  <si>
    <t>Linde Bangladesh Limited</t>
  </si>
  <si>
    <t>ROBI Axiata Limited</t>
  </si>
  <si>
    <t>UG/(UL)</t>
  </si>
  <si>
    <t>FVA</t>
  </si>
  <si>
    <t>NAV*</t>
  </si>
  <si>
    <t>Dividend Receivable from Sumit Power Limited</t>
  </si>
  <si>
    <t>The City Bank Limited:</t>
  </si>
  <si>
    <t xml:space="preserve">       A/C No: </t>
  </si>
  <si>
    <t xml:space="preserve">        Opening Balance</t>
  </si>
  <si>
    <t xml:space="preserve">       Square Pharmaceuticals Limited</t>
  </si>
  <si>
    <t xml:space="preserve">       British American Tobacco Bangladesh Company</t>
  </si>
  <si>
    <t xml:space="preserve">       BRAC Bank</t>
  </si>
  <si>
    <t xml:space="preserve">       Associated Oxygen Limited</t>
  </si>
  <si>
    <t xml:space="preserve">       Summit Power Limited</t>
  </si>
  <si>
    <t xml:space="preserve">       ROBI Axiata Limited</t>
  </si>
  <si>
    <t xml:space="preserve">       Dominage Steel Building Systems Limited</t>
  </si>
  <si>
    <t xml:space="preserve">       National Life 1st Mutual Fund</t>
  </si>
  <si>
    <t xml:space="preserve">       Southeast Bank 1st Mutual Fund</t>
  </si>
  <si>
    <t xml:space="preserve">     Gain on Sale of Marketable Securities</t>
  </si>
  <si>
    <t xml:space="preserve">     Loss on Sale of Marketable Securities</t>
  </si>
  <si>
    <t xml:space="preserve">       Eastern Bank Limited</t>
  </si>
  <si>
    <t xml:space="preserve">     Net Gain on Sale of Marketable Securities</t>
  </si>
  <si>
    <t xml:space="preserve">        Sumit Power Limited</t>
  </si>
  <si>
    <t>Unrealized gain/(loss) on securities</t>
  </si>
  <si>
    <t xml:space="preserve">     Opening Balance</t>
  </si>
  <si>
    <t xml:space="preserve">STATEMENT OF FINANCIAL POSITION </t>
  </si>
  <si>
    <t xml:space="preserve">STATEMENT OF PROFIT &amp; LOSS AND OTHER COMPREHENSIVE INCOME </t>
  </si>
  <si>
    <t>STATEMENT OF CHANGES IN EQUITY</t>
  </si>
  <si>
    <t>STATEMENT OF CASH FLOW</t>
  </si>
  <si>
    <t xml:space="preserve">     Closing Balance (Note:1)</t>
  </si>
  <si>
    <t>From 01 January, 2020 to 31 December, 2020</t>
  </si>
  <si>
    <t>Accounts Payable</t>
  </si>
  <si>
    <t xml:space="preserve">      UCB Capital Limited</t>
  </si>
  <si>
    <t xml:space="preserve">       SHELTECH Brokerage Limited</t>
  </si>
  <si>
    <t>Earning per unit at Market Price</t>
  </si>
  <si>
    <t>31 December, 2020</t>
  </si>
  <si>
    <t>Dividend Receivable from Dominage Steel Building Systems Ltd</t>
  </si>
  <si>
    <t xml:space="preserve">        Dominage Steel Building Systems Ltd</t>
  </si>
  <si>
    <t>Ekush First Unit Fund</t>
  </si>
  <si>
    <t>Notes to the Financial Statements</t>
  </si>
  <si>
    <t>for the year ended 31 December 2020</t>
  </si>
  <si>
    <t>Legal Status and Nature of the Company</t>
  </si>
  <si>
    <t>The Fund and Its Objectives</t>
  </si>
  <si>
    <t>Principal Activities</t>
  </si>
  <si>
    <t>Ekush First Unit Fund is an open end Mutual Fund, which is a professionally managed portfolio of equity stocks and fixed income instruments. Investors buy units of the fund and the Asset Manager pools that money to make investments on their behalf. An unit represents a portion of the Fund’s holdings.</t>
  </si>
  <si>
    <t>Objectives</t>
  </si>
  <si>
    <t>The primary objective of the Fund is to achieve superior risk adjusted return in the forms of Capital Appreciation, dividend, interest income and to provide attractive dividend payments to the unit holders.</t>
  </si>
  <si>
    <t>Summary of Significant Accounting Policies</t>
  </si>
  <si>
    <t>These financial statements are prepared on the accrual basis of accounting, under the historical cost convention, as modified for investments, which are “market-to-market” and in conformity with the International financial Reporting Standards (IFRS) adopted by the Institute of Chartered Accountants of Bangladesh (ICAB), International Accounting Standards (IAS) adopted by the Institute of Chartered Accountants of Bangladesh (ICAB) and also in compliance with requirements of Bangladesh Securities and Exchange Commission (Mutual Fund) Rules, 2001 and other laws &amp; regulations applicable in Bangladesh.</t>
  </si>
  <si>
    <t>Preparation of the Financial Statements</t>
  </si>
  <si>
    <t>IAS-1, “Presentation of Financial Statements” requires that a cash flow statement be prepared as it provides information about cash flows of the enterprise which is useful in providing users of financial statements with basis to assess the ability of the enterprise to generate cash and cash equivalents and needs of the enterprise to utilize those cash flows. Statement of cash flows has been prepared under the direct method for the period, classified by operating, investing and financing activities as prescribed in paragraph 10 and 18(a) of IAS 7: “Statement of Cash Flows”. In accordance with Mutual Fund Rules, 2001, proceeds from investments have been shown under investing activities. However, the amount of resultant gain on sale of investment has been shown in operating activities.</t>
  </si>
  <si>
    <t>Statement of Cash Flows</t>
  </si>
  <si>
    <t>Statement of Changes in Equity</t>
  </si>
  <si>
    <t>The statement of changes in equity reflects information oabout the increase or decrease in net assets or wealth.</t>
  </si>
  <si>
    <t>Functional and Presentation Currency</t>
  </si>
  <si>
    <t>Thee financial statements are presented in Taka which is fund’s functional currency.</t>
  </si>
  <si>
    <t>Reporting Period</t>
  </si>
  <si>
    <t>These Financial Statements covers period from January 01, 2020 to December 31, 2020.</t>
  </si>
  <si>
    <t>Investment Policy</t>
  </si>
  <si>
    <t>Valuation of Investments</t>
  </si>
  <si>
    <t>The listed securities are valued at the closing quoted market price only on the Dhaka Stock Exchange on the date of valuation i.e. on December 31, 2020.</t>
  </si>
  <si>
    <t>Dividend Policy</t>
  </si>
  <si>
    <t>(a) After the close of annual accounts, the Trustee, as appears, shall declare dividend for the Fund.
(b) It shall distribute at least 70% of the Annual Income derived from realized gains of the Fund, as dividend, at the end of the accounting year.
(c) No Dividend may be declared or paid other than from earnings of the Fund available for distribution.
Surplus arising simply from the valuation of investments may not be available for dividend.</t>
  </si>
  <si>
    <t>The Fund shall pay a management fee to the Asset Management Company @2.50 percent per annum of the weekly average NAV up to Tk. 5.00 crore and @2.00% percent per annum for additional amount of the weekly average NAV up to Tk. 50.00 crore over Tk. 25.00 crore and @1.00 percent per annum for additional amount of the weekly average NAV over Tk. 50.00 crore, accrued and payable quarterly.</t>
  </si>
  <si>
    <t xml:space="preserve">
The trustee shall be paid an annual Trusteeship fee at the following rate on semi-annual in advance basis:</t>
  </si>
  <si>
    <t>NAV (BDT)                                                        Fees
 NAV of the first 200 crore of fund         0.10%
 NAV of the first 100 crore of fund         0.09%
 NAV of the remaining fund                     0.08%</t>
  </si>
  <si>
    <t>The fee for Custodian services will be 0.07% per annum of balance securities held by the fund, calculated on the average market value per month. Besides this, the fund will bear all other expenses via (a) transaction fee of BDT. 200 per transaction (b) local duties and fees like stamp duty on transaction, stamp duty on transfer deed (c) levies, brokerage, register’s fees, local counsel/representation, external auditors at the client’s request, depository fees etc. However, a fee cap of 0.08% per annum on balance securities held by the fund, calculated on the average market value per month would be applicable if the total expenses (including custodian fees, transaction fees &amp; other expenses, mentioned above) per annum go higher than the mentioned fee cap amount. The fee for Custodian services will be realized semi-annually.</t>
  </si>
  <si>
    <t>Custodian Fee</t>
  </si>
  <si>
    <t>Annual fee for the Fund payable in advance, based on face value of total fund size is payable as follow:
 Fund Size                                                                  Annual CDBL Fee
 Up to BDT. 5 crore                                                 BDT. 00,000.00/-
 Above BDT. 5 crore up to BDT. 20 crore       BDT. 20,000.00/-
 Above BDT. 20 crore                                            BDT. 40,000.00/-</t>
  </si>
  <si>
    <t>The Fund has paid TK.200,000/- (Taka two lac) only to the Securities and Exchange    Commission (SEC) as registration fee. In addition to that the fund will have to pay @10% of the year end NAV at Market price of the Fund on advance basis only per annum.</t>
  </si>
  <si>
    <t>Fund Registration and Annual Fee</t>
  </si>
  <si>
    <t>(a) Dividend income is recognized when the right to receive the payment is established i.e. on the  ex-dividend date;
(b) Capital gains are recognized on realization. Gain or loss from Securities  are recognized at point of sale for Securities which are sold. Foe unsold Securities, at the year end based on the difference between market value and cost unrealized gain or losses is accounted for:
(c) Bonus shares have been recognized at zero cost; and
(d) Interest on Fixed Deposit and Short -Term Deposit is recognized as income on accrual basis.</t>
  </si>
  <si>
    <t>Revenue Recognition</t>
  </si>
  <si>
    <t>Taxation</t>
  </si>
  <si>
    <t>The income of the Fund is exempted from income tax under the SRO NO.333-Ain/IT/2011 dated November 10, 2011: under section 44(4) clause (b) of income Tax Ordinance; 1984: hence no provision for tax has been made during the year in the books of the statement of Profit or Loss and other Comprehensive Income.</t>
  </si>
  <si>
    <t>As per Bangladesh Securities and Exchange Commission (Mutual Fund) Rules, 2001 Preliminary &amp; Issue Expenses are being written off over a period of 7 (seven) years.</t>
  </si>
  <si>
    <t>The fund calculates Net Asset Value per share using the cost and market value, which has been     shown on the face of statement of financial position and the computation of NAV per units is stated in NAV per Unit.</t>
  </si>
  <si>
    <t>Net Asset Value (NAV) Per Unit</t>
  </si>
  <si>
    <t>The fund calculates Earning Per Unit (EPU) in accordance with IAS 33: "Earning per Share", this has been shown on the face of the Income Statement</t>
  </si>
  <si>
    <t>Earning Per Unit</t>
  </si>
  <si>
    <t>Events after the Reporting Period</t>
  </si>
  <si>
    <t>The Board of Trustees of the Fund has declared no dividend for th</t>
  </si>
  <si>
    <t>General</t>
  </si>
  <si>
    <t>Figures appearing in these financial statements have been rounded off to nearest BDT.</t>
  </si>
  <si>
    <r>
      <t xml:space="preserve">Ekush First Unit Fund (hereinafter referred to as “the Fund”) was established as a Trust under the Trust Act, 1882 and registered with Sub-Registrar’s Office under the Registration Act 1908, on November 24, 2019. The Fund received Registration Certificate from the Bangladesh Securities and Exchange Commission (BSEC) on December 23, 2019 under the Securities and Exchange Commission (Mutual Fund) Rules 2001. The BSEC approved the Fund and provided consent on November 11, 2019. The initial size of the Fund is BDT. 100,000,000.00 (BDT. Ten Crore) divided into 10,000,000 (One Crore) units of BDT. 10 each. Subsequently, the unit capital of the fund now stands at BDT. 137,352,710.00.
</t>
    </r>
    <r>
      <rPr>
        <u/>
        <sz val="11"/>
        <color theme="1"/>
        <rFont val="Calibri"/>
        <family val="2"/>
        <scheme val="minor"/>
      </rPr>
      <t>Key Partners of the Fund are as follows:</t>
    </r>
    <r>
      <rPr>
        <sz val="11"/>
        <color theme="1"/>
        <rFont val="Calibri"/>
        <family val="2"/>
        <scheme val="minor"/>
      </rPr>
      <t xml:space="preserve">
Sponsor : Ekush Wealth Management Limited
Registered Address : Property Heights (1st Floor), 12 R.K. Mission Road, Dhaka - 1203
Trustee : Shandhani Life Insurance Company Limited
Registered Address : Shandhani Life Tower, Plot – 34, Bangla Motor, Dhaka - 1000
Custodian : BRAC Bank Limited
Registered Address : Anik Tower, 220/B, Tejgaon-Gulshan Link Road, Tejgaon, Dhaka - 1208
Asset Manager : Ekush Wealth Management Limited
Registered Address : Property Heights (1st Floor), 12 R.K. Mission Road, Dhaka – 1203</t>
    </r>
  </si>
  <si>
    <t>(i) The Fund shall invest subject to the Bangladesh Security Exchange Commission rules and only in those securities, deposits and investments approved by Bangladesh Securities and Exchange Commission and/or the Bangladesh Bank and/or the Insurance Development &amp; Regulatory Authority (IDRA) of Bangladesh or any other competent authority in this regard.
(ii) Not less than 60% (sixty percent) of the total assets of the Scheme of the Fund shall be invested in capital market instruments out of which at least 50% (fifty percent) percent shall be invested in listed securities.
(iii) Not more than 25% (twenty five percent) of the total asset of the Scheme of the Fund shall be invested in Fixed Income Securities (FIS).
(iv) Not more than 15% (fifteen percent) of the total asset of the Scheme shall be invested in Pre-IPOs at one time.
(v) All money collected under the Fund shall be invested only in cashable/transferable instruments, securities whether in money market or capital market or privately placed pre-IPO equity, preference shares, debentures or securitized debts. 
(vi) The Fund shall get the securities purchased or transferred in the name of the Fund.
(vii) Only the Asset Management Company will make the investment decisions and place orders for securities to be purchased or sold for the Scheme's portfolio.</t>
  </si>
  <si>
    <t>Proceeds from Sale</t>
  </si>
  <si>
    <t>Name of the Stocks</t>
  </si>
  <si>
    <t>Cost of Sold Stocks</t>
  </si>
  <si>
    <t>Dividend Equalization Reserve</t>
  </si>
  <si>
    <t xml:space="preserve">     Dividend Equalization Reserve</t>
  </si>
  <si>
    <t>Dividend Payable</t>
  </si>
  <si>
    <t>Retained Earnings</t>
  </si>
  <si>
    <t xml:space="preserve">      Dividend Payable</t>
  </si>
  <si>
    <t>A00002</t>
  </si>
  <si>
    <t>A00003</t>
  </si>
  <si>
    <t>A00004</t>
  </si>
  <si>
    <t>A00005</t>
  </si>
  <si>
    <t>A00006</t>
  </si>
  <si>
    <t>A00007</t>
  </si>
  <si>
    <t>A00008</t>
  </si>
  <si>
    <t>A00009</t>
  </si>
  <si>
    <t>A00010</t>
  </si>
  <si>
    <t>A00011</t>
  </si>
  <si>
    <t>A00012</t>
  </si>
  <si>
    <t>A00013</t>
  </si>
  <si>
    <t>A00014</t>
  </si>
  <si>
    <t>A00015</t>
  </si>
  <si>
    <t>A00016</t>
  </si>
  <si>
    <t>A00017</t>
  </si>
  <si>
    <t>A00018</t>
  </si>
  <si>
    <t>A00019</t>
  </si>
  <si>
    <t>A00020</t>
  </si>
  <si>
    <t>A00021</t>
  </si>
  <si>
    <t>A00022</t>
  </si>
  <si>
    <t>A00023</t>
  </si>
  <si>
    <t>A00024</t>
  </si>
  <si>
    <t>A00025</t>
  </si>
  <si>
    <t>A00026</t>
  </si>
  <si>
    <t>A00027</t>
  </si>
  <si>
    <t>A00028</t>
  </si>
  <si>
    <t>A00029</t>
  </si>
  <si>
    <t>A00030</t>
  </si>
  <si>
    <t>A00031</t>
  </si>
  <si>
    <t>A00032</t>
  </si>
  <si>
    <t>A00033</t>
  </si>
  <si>
    <t>A00034</t>
  </si>
  <si>
    <t>A00035</t>
  </si>
  <si>
    <t>A00036</t>
  </si>
  <si>
    <t>A00037</t>
  </si>
  <si>
    <t>A00038</t>
  </si>
  <si>
    <t>A00039</t>
  </si>
  <si>
    <t>A00040</t>
  </si>
  <si>
    <t>A00041</t>
  </si>
  <si>
    <t>A00042</t>
  </si>
  <si>
    <t>A00043</t>
  </si>
  <si>
    <t>A00044</t>
  </si>
  <si>
    <t>A00045</t>
  </si>
  <si>
    <t>A00046</t>
  </si>
  <si>
    <t>A00047</t>
  </si>
  <si>
    <t>A00048</t>
  </si>
  <si>
    <t>A00049</t>
  </si>
  <si>
    <t>A00050</t>
  </si>
  <si>
    <t>A00051</t>
  </si>
  <si>
    <t>A00052</t>
  </si>
  <si>
    <t>A00053</t>
  </si>
  <si>
    <t>A00054</t>
  </si>
  <si>
    <t>A00055</t>
  </si>
  <si>
    <t>A00056</t>
  </si>
  <si>
    <t>A00057</t>
  </si>
  <si>
    <t>A00058</t>
  </si>
  <si>
    <t>A00059</t>
  </si>
  <si>
    <t>A00060</t>
  </si>
  <si>
    <t>A00061</t>
  </si>
  <si>
    <t>A00062</t>
  </si>
  <si>
    <t>A00063</t>
  </si>
  <si>
    <t>A00064</t>
  </si>
  <si>
    <t>A00065</t>
  </si>
  <si>
    <t>A00066</t>
  </si>
  <si>
    <t>A00067</t>
  </si>
  <si>
    <t>A00068</t>
  </si>
  <si>
    <t>A00069</t>
  </si>
  <si>
    <t>A00070</t>
  </si>
  <si>
    <t>A00071</t>
  </si>
  <si>
    <t>A00072</t>
  </si>
  <si>
    <t>A00073</t>
  </si>
  <si>
    <t>A00074</t>
  </si>
  <si>
    <t>A00075</t>
  </si>
  <si>
    <t>A00076</t>
  </si>
  <si>
    <t>A00077</t>
  </si>
  <si>
    <t>A00078</t>
  </si>
  <si>
    <t>A00079</t>
  </si>
  <si>
    <t>A00080</t>
  </si>
  <si>
    <t>A00081</t>
  </si>
  <si>
    <t>A00082</t>
  </si>
  <si>
    <t>A00083</t>
  </si>
  <si>
    <t>A00084</t>
  </si>
  <si>
    <t>A00085</t>
  </si>
  <si>
    <t>A00086</t>
  </si>
  <si>
    <t>A00087</t>
  </si>
  <si>
    <t>A00088</t>
  </si>
  <si>
    <t>A00089</t>
  </si>
  <si>
    <t>A00090</t>
  </si>
  <si>
    <t>A00091</t>
  </si>
  <si>
    <t>A00092</t>
  </si>
  <si>
    <t>A00093</t>
  </si>
  <si>
    <t>A00096</t>
  </si>
  <si>
    <t>A00097</t>
  </si>
  <si>
    <t>A00098</t>
  </si>
  <si>
    <t>A00099</t>
  </si>
  <si>
    <t>A00102</t>
  </si>
  <si>
    <t>A00109</t>
  </si>
  <si>
    <t>A00113</t>
  </si>
  <si>
    <t>A00115</t>
  </si>
  <si>
    <t>A00116</t>
  </si>
  <si>
    <t>A00119</t>
  </si>
  <si>
    <t>A00120</t>
  </si>
  <si>
    <t>A00121</t>
  </si>
  <si>
    <t>A00123</t>
  </si>
  <si>
    <t>A00124</t>
  </si>
  <si>
    <t>A00125</t>
  </si>
  <si>
    <t>A00126</t>
  </si>
  <si>
    <t>A00127</t>
  </si>
  <si>
    <t>A00131</t>
  </si>
  <si>
    <t>A00134</t>
  </si>
  <si>
    <t>A00136</t>
  </si>
  <si>
    <t>A00144</t>
  </si>
  <si>
    <t>A00145</t>
  </si>
  <si>
    <t>A00146</t>
  </si>
  <si>
    <t>A00147</t>
  </si>
  <si>
    <t>A00149</t>
  </si>
  <si>
    <t>A00150</t>
  </si>
  <si>
    <t>A00151</t>
  </si>
  <si>
    <t>A00152</t>
  </si>
  <si>
    <t>A00153</t>
  </si>
  <si>
    <t>A00154</t>
  </si>
  <si>
    <t>A00156</t>
  </si>
  <si>
    <t>A00157</t>
  </si>
  <si>
    <t>A00158</t>
  </si>
  <si>
    <t>A00159</t>
  </si>
  <si>
    <t>A00160</t>
  </si>
  <si>
    <t>A00163</t>
  </si>
  <si>
    <t>A00168</t>
  </si>
  <si>
    <t>A00169</t>
  </si>
  <si>
    <t>A00170</t>
  </si>
  <si>
    <t>A00171</t>
  </si>
  <si>
    <t>A00172</t>
  </si>
  <si>
    <t>A00173</t>
  </si>
  <si>
    <t>A00174</t>
  </si>
  <si>
    <t>A00177</t>
  </si>
  <si>
    <t>A00178</t>
  </si>
  <si>
    <t>A00179</t>
  </si>
  <si>
    <t>A00180</t>
  </si>
  <si>
    <t>A00181</t>
  </si>
  <si>
    <t>A00182</t>
  </si>
  <si>
    <t>A00183</t>
  </si>
  <si>
    <t>A00184</t>
  </si>
  <si>
    <t>A00185</t>
  </si>
  <si>
    <t>A00186</t>
  </si>
  <si>
    <t>A00188</t>
  </si>
  <si>
    <t>A00189</t>
  </si>
  <si>
    <t>A00190</t>
  </si>
  <si>
    <t>A00191</t>
  </si>
  <si>
    <t>A00192</t>
  </si>
  <si>
    <t>A00193</t>
  </si>
  <si>
    <t>A00194</t>
  </si>
  <si>
    <t>A00195</t>
  </si>
  <si>
    <t>A00199</t>
  </si>
  <si>
    <t>A00200</t>
  </si>
  <si>
    <t>A00201</t>
  </si>
  <si>
    <t>A00202</t>
  </si>
  <si>
    <t>A00203</t>
  </si>
  <si>
    <t>A00206</t>
  </si>
  <si>
    <t>Withholding Tax Payable</t>
  </si>
  <si>
    <t>Realized Loss</t>
  </si>
  <si>
    <t>A00209</t>
  </si>
  <si>
    <t>A00210</t>
  </si>
  <si>
    <t>A00211</t>
  </si>
  <si>
    <t>A00214</t>
  </si>
  <si>
    <t>A00215</t>
  </si>
  <si>
    <t>A00216</t>
  </si>
  <si>
    <t>A00219</t>
  </si>
  <si>
    <t>A00221</t>
  </si>
  <si>
    <t>A00222</t>
  </si>
  <si>
    <t>INVESTOR NAME</t>
  </si>
  <si>
    <t>INVESTOR CODE</t>
  </si>
  <si>
    <t>HARI PADA SAHA</t>
  </si>
  <si>
    <t>EKUSH WEALTH MANAGEMENT LIMITED</t>
  </si>
  <si>
    <t>SADIA AHMED</t>
  </si>
  <si>
    <t>MORSHEDA MIM</t>
  </si>
  <si>
    <t>AHMAD ZAHID ZAKI</t>
  </si>
  <si>
    <t>JNANDIP PAUL</t>
  </si>
  <si>
    <t>NANI GOPAL DATTA</t>
  </si>
  <si>
    <t>SWADESH RANJAN SAHA</t>
  </si>
  <si>
    <t>SYED ADNAN HUDA</t>
  </si>
  <si>
    <t>A00094</t>
  </si>
  <si>
    <t>CHAONIKA SAHA</t>
  </si>
  <si>
    <t>A00095</t>
  </si>
  <si>
    <t>SK FEROZ ALAM</t>
  </si>
  <si>
    <t>SHAMSUZZAMAN</t>
  </si>
  <si>
    <t>KAMRUL MOMIN</t>
  </si>
  <si>
    <t>A00100</t>
  </si>
  <si>
    <t>MD RAFIQUL ISLAM KHAN</t>
  </si>
  <si>
    <t>A00101</t>
  </si>
  <si>
    <t>ADNAN RASHID</t>
  </si>
  <si>
    <t>MD. MESBAH UDDIN KHAN</t>
  </si>
  <si>
    <t>A00103</t>
  </si>
  <si>
    <t>NASIR UDDIN BABU</t>
  </si>
  <si>
    <t>A00104</t>
  </si>
  <si>
    <t>RIZIA SULTANA AND MOFAZZAL MAMUN KHAN</t>
  </si>
  <si>
    <t>A00105</t>
  </si>
  <si>
    <t>SYED REZWANUL HUQ</t>
  </si>
  <si>
    <t>A00106</t>
  </si>
  <si>
    <t>NAZMUL AHSAN</t>
  </si>
  <si>
    <t>A00107</t>
  </si>
  <si>
    <t>NABADIP ROY</t>
  </si>
  <si>
    <t>A00108</t>
  </si>
  <si>
    <t>RAHNUMA SANJANA</t>
  </si>
  <si>
    <t>MD. NABIL BARKET</t>
  </si>
  <si>
    <t>A00110</t>
  </si>
  <si>
    <t>RASEDUL ISLAM</t>
  </si>
  <si>
    <t>A00111</t>
  </si>
  <si>
    <t>MOHAMMED HAFIZ UDDIN</t>
  </si>
  <si>
    <t>A00112</t>
  </si>
  <si>
    <t>MD. MONIRUZZAMAN</t>
  </si>
  <si>
    <t>S.M. FERDAUS HOSSAIN</t>
  </si>
  <si>
    <t>A00114</t>
  </si>
  <si>
    <t>N M AL HOSSAIN</t>
  </si>
  <si>
    <t>MOHAMMAD SAIFUDDOWLA</t>
  </si>
  <si>
    <t>A00117</t>
  </si>
  <si>
    <t>MD ABDUL AZIZ</t>
  </si>
  <si>
    <t>A00118</t>
  </si>
  <si>
    <t>A00122</t>
  </si>
  <si>
    <t>A00128</t>
  </si>
  <si>
    <t>A00129</t>
  </si>
  <si>
    <t>A00130</t>
  </si>
  <si>
    <t>A00132</t>
  </si>
  <si>
    <t>A00133</t>
  </si>
  <si>
    <t>A00135</t>
  </si>
  <si>
    <t>A00137</t>
  </si>
  <si>
    <t>A00138</t>
  </si>
  <si>
    <t>A00139</t>
  </si>
  <si>
    <t>A00140</t>
  </si>
  <si>
    <t>A00141</t>
  </si>
  <si>
    <t>A00142</t>
  </si>
  <si>
    <t>A00143</t>
  </si>
  <si>
    <t>A00148</t>
  </si>
  <si>
    <t>A00155</t>
  </si>
  <si>
    <t>A00161</t>
  </si>
  <si>
    <t>A00162</t>
  </si>
  <si>
    <t>A00164</t>
  </si>
  <si>
    <t>A00165</t>
  </si>
  <si>
    <t>A00166</t>
  </si>
  <si>
    <t>A00167</t>
  </si>
  <si>
    <t>A00175</t>
  </si>
  <si>
    <t>A00176</t>
  </si>
  <si>
    <t>KAMRUL HASAN MAHMUD</t>
  </si>
  <si>
    <t>MD. ALAMGIR HOSSAIN</t>
  </si>
  <si>
    <t>MD. SAJID SAADAT ALI</t>
  </si>
  <si>
    <t>HASIB MUSTABSIR</t>
  </si>
  <si>
    <t>MD. HARUN OR RASHID</t>
  </si>
  <si>
    <t>MUHAMMAD TANVIR ARAFAT</t>
  </si>
  <si>
    <t>A00196</t>
  </si>
  <si>
    <t>MD. WALI ULLAH</t>
  </si>
  <si>
    <t>A00197</t>
  </si>
  <si>
    <t>MD. NIAZ MURSHED</t>
  </si>
  <si>
    <t>A00198</t>
  </si>
  <si>
    <t>DBH EMPLOYEES GRATUITY FUND</t>
  </si>
  <si>
    <t>JOHORA KHATUN</t>
  </si>
  <si>
    <t>MAHMUD ALI ALAMGIR</t>
  </si>
  <si>
    <t>REZIA RAHMAT</t>
  </si>
  <si>
    <t>MUNTASIR HASAN</t>
  </si>
  <si>
    <t>A00204</t>
  </si>
  <si>
    <t>NAZNIN AKTER</t>
  </si>
  <si>
    <t>A00205</t>
  </si>
  <si>
    <t>RAKIBUL ISLAM</t>
  </si>
  <si>
    <t>A00207</t>
  </si>
  <si>
    <t>ZUBAYER SARWAR</t>
  </si>
  <si>
    <t>A00208</t>
  </si>
  <si>
    <t>CHOWDHURY MD. RAIYAN ALAM</t>
  </si>
  <si>
    <t>FARUQUE AHMED &amp; ZAHEDA BEGUM HENA</t>
  </si>
  <si>
    <t>MOHAMMAD HABIB RASHID</t>
  </si>
  <si>
    <t>MAHFUZUL ISLAM</t>
  </si>
  <si>
    <t>A00212</t>
  </si>
  <si>
    <t>FARHANA AKHTER</t>
  </si>
  <si>
    <t>A00213</t>
  </si>
  <si>
    <t>NOOR AL-RAFI</t>
  </si>
  <si>
    <t>K.M SAKIB AHMED</t>
  </si>
  <si>
    <t>SK FEROZ ALAM &amp; MD BULBUL ISLAM</t>
  </si>
  <si>
    <t>TAPU GUHA</t>
  </si>
  <si>
    <t>A00217</t>
  </si>
  <si>
    <t>MOHAMMAD SAMIR UDDIN</t>
  </si>
  <si>
    <t>A00218</t>
  </si>
  <si>
    <t>K M ROHAN AHMED</t>
  </si>
  <si>
    <t>TAHMID HASAN</t>
  </si>
  <si>
    <t>MIDLAND BANK LIMITED</t>
  </si>
  <si>
    <t>MOHAMMAD AKIB NAWAZ</t>
  </si>
  <si>
    <t>A00223</t>
  </si>
  <si>
    <t>A00224</t>
  </si>
  <si>
    <t>BIJOY CHANDRA DAS</t>
  </si>
  <si>
    <t>A00225</t>
  </si>
  <si>
    <t>RAIS-UR-RUBBI</t>
  </si>
  <si>
    <t>A00226</t>
  </si>
  <si>
    <t>FATEMA-TUZ JOHURA NILA</t>
  </si>
  <si>
    <t>A00227</t>
  </si>
  <si>
    <t xml:space="preserve">          Audit Fee</t>
  </si>
  <si>
    <t>A00228</t>
  </si>
  <si>
    <t>A00229</t>
  </si>
  <si>
    <t>BALARAM CHANDRA SAHA</t>
  </si>
  <si>
    <t>BACKBONE</t>
  </si>
  <si>
    <t>A00230</t>
  </si>
  <si>
    <t>GOPI NATH GHOSH</t>
  </si>
  <si>
    <t>A00231</t>
  </si>
  <si>
    <t>SULTANA RAZIA</t>
  </si>
  <si>
    <t>SECURE LINK SERVICES BANGLADESH LIMITED</t>
  </si>
  <si>
    <t>QUAZI TOWFIQUE UDDIN</t>
  </si>
  <si>
    <t>MD. FERDAUS WAHID</t>
  </si>
  <si>
    <t>A00232</t>
  </si>
  <si>
    <t>A00233</t>
  </si>
  <si>
    <t>A00234</t>
  </si>
  <si>
    <t>A00235</t>
  </si>
  <si>
    <t>A00236</t>
  </si>
  <si>
    <t>A00237</t>
  </si>
  <si>
    <t>MD SHAFIUL AZAM</t>
  </si>
  <si>
    <t>IVA JAMAL</t>
  </si>
  <si>
    <t>A00238</t>
  </si>
  <si>
    <t>ILINE JAMAL</t>
  </si>
  <si>
    <t>TARUN KUMAR SARKER</t>
  </si>
  <si>
    <t>A00239</t>
  </si>
  <si>
    <t>A00240</t>
  </si>
  <si>
    <t>JHARNA AHMED</t>
  </si>
  <si>
    <t>A00241</t>
  </si>
  <si>
    <t>A00242</t>
  </si>
  <si>
    <t>A00243</t>
  </si>
  <si>
    <t>A00244</t>
  </si>
  <si>
    <t>A00245</t>
  </si>
  <si>
    <t>A00246</t>
  </si>
  <si>
    <t>MD KAMAL HOSSAIN</t>
  </si>
  <si>
    <t>MD ABDULLAH-AL- MAMUN</t>
  </si>
  <si>
    <t>MD. MEHEDI HASSAN MILON</t>
  </si>
  <si>
    <t>MOHAMMAD SAMIUL ALAM</t>
  </si>
  <si>
    <t>ZAFOR UDDIN AHMED</t>
  </si>
  <si>
    <t>ABACI INVESTMENTS LTD. EC PROVIDENT FUND</t>
  </si>
  <si>
    <t>A00247</t>
  </si>
  <si>
    <t>A00248</t>
  </si>
  <si>
    <t>A00249</t>
  </si>
  <si>
    <t>A00250</t>
  </si>
  <si>
    <t>SHANTA PAUL</t>
  </si>
  <si>
    <t>ANJAN MALLIK</t>
  </si>
  <si>
    <t>HASINA JANNAT</t>
  </si>
  <si>
    <t>MR. NAYAN KUMAR CHOWDHURY</t>
  </si>
  <si>
    <t>A00251</t>
  </si>
  <si>
    <t>A00252</t>
  </si>
  <si>
    <t>NITYANANDA BISWAS</t>
  </si>
  <si>
    <t>A00253</t>
  </si>
  <si>
    <t>A00254</t>
  </si>
  <si>
    <t>SARDER SAYED AKRAM</t>
  </si>
  <si>
    <t>MD. ATIQUR RAHMAN</t>
  </si>
  <si>
    <t>A00255</t>
  </si>
  <si>
    <t>MAHMUDUL HASSAN</t>
  </si>
  <si>
    <t>A00256</t>
  </si>
  <si>
    <t>TANVIR HASAN</t>
  </si>
  <si>
    <t>A00257</t>
  </si>
  <si>
    <t>S. M. ALI MANZIR PALLAB</t>
  </si>
  <si>
    <t>A00258</t>
  </si>
  <si>
    <t>MD. WALID - AL - ZUBAYER</t>
  </si>
  <si>
    <t>A00259</t>
  </si>
  <si>
    <t>MEHEDI HASSAN RONI</t>
  </si>
  <si>
    <t>A00260</t>
  </si>
  <si>
    <t>CHANCHAL KUMAR SAHA</t>
  </si>
  <si>
    <t>A00261</t>
  </si>
  <si>
    <t>MEHERUN NESSA JUTHY</t>
  </si>
  <si>
    <t>A00262</t>
  </si>
  <si>
    <t>MASTURA MUNIAT</t>
  </si>
  <si>
    <t>A00263</t>
  </si>
  <si>
    <t>JOY SHREE SAHA</t>
  </si>
  <si>
    <t>A00264</t>
  </si>
  <si>
    <t>A S SALAHUDDIN AHMED</t>
  </si>
  <si>
    <t>A00265</t>
  </si>
  <si>
    <t>MOHAMMED SAJEDUR RAHMAN</t>
  </si>
  <si>
    <t>A00266</t>
  </si>
  <si>
    <t>JUBAIR MOHAMMAD HASAN</t>
  </si>
  <si>
    <t>A00267</t>
  </si>
  <si>
    <t>HABIB REDWAN RAFI</t>
  </si>
  <si>
    <t>A00268</t>
  </si>
  <si>
    <t>NAUSHEEN AHMED</t>
  </si>
  <si>
    <t>A00269</t>
  </si>
  <si>
    <t>A00270</t>
  </si>
  <si>
    <t>QAZI MUSADDEQ AHMAD</t>
  </si>
  <si>
    <t>IFTAKHAR AHMED</t>
  </si>
  <si>
    <t>MD. MANAZIR KABIR</t>
  </si>
  <si>
    <t>MD. WALIULLAH. SWADESH RANJAN SAHA &amp; MD. MIZZNUR RAHMAN</t>
  </si>
  <si>
    <t>IMTIAJ ARA</t>
  </si>
  <si>
    <t>NADIRA AKTER</t>
  </si>
  <si>
    <t>A00271</t>
  </si>
  <si>
    <t>ABDULLAH-AL-FAHIM</t>
  </si>
  <si>
    <t>A00272</t>
  </si>
  <si>
    <t>SAJAN KUMAR BASAK</t>
  </si>
  <si>
    <t>A00273</t>
  </si>
  <si>
    <t>JAHAN ARA BEGUM</t>
  </si>
  <si>
    <t>A00274</t>
  </si>
  <si>
    <t>MOHAMMAD SHAHIDUL ISLAM</t>
  </si>
  <si>
    <t>A00275</t>
  </si>
  <si>
    <t>MD. MARUF SIKDER</t>
  </si>
  <si>
    <t>A00276</t>
  </si>
  <si>
    <t>MD. ARIFUL ISLAM</t>
  </si>
  <si>
    <t>A00277</t>
  </si>
  <si>
    <t>SK. MOINUL HASSAN</t>
  </si>
  <si>
    <t>A00278</t>
  </si>
  <si>
    <t>MD. AHSAN-UZ ZAMAN</t>
  </si>
  <si>
    <t>A00279</t>
  </si>
  <si>
    <t>GOURI TOSH PAUL</t>
  </si>
  <si>
    <t>A00280</t>
  </si>
  <si>
    <t>FARHAN SHAHRIAR DIPTO</t>
  </si>
  <si>
    <t>A00281</t>
  </si>
  <si>
    <t>RAJIB SAHA</t>
  </si>
  <si>
    <t>A00282</t>
  </si>
  <si>
    <t>ALVI RAHMAN</t>
  </si>
  <si>
    <t>A00283</t>
  </si>
  <si>
    <t>MOHAMMAD MIZANUR RAHMAN</t>
  </si>
  <si>
    <t>A00284</t>
  </si>
  <si>
    <t>UMME SALMA KATHA</t>
  </si>
  <si>
    <t>A00285</t>
  </si>
  <si>
    <t>MD. ZAHIRUL ISLAM</t>
  </si>
  <si>
    <t>A00286</t>
  </si>
  <si>
    <t>ASRAFUZZAMAN</t>
  </si>
  <si>
    <t>A00287</t>
  </si>
  <si>
    <t>MD. RAFIQUR RAHMAN</t>
  </si>
  <si>
    <t>A00288</t>
  </si>
  <si>
    <t>MD ABDUS SAMAD AZAD</t>
  </si>
  <si>
    <t>A00289</t>
  </si>
  <si>
    <t>MAHBUB-UL-ANAM KHAN</t>
  </si>
  <si>
    <t>A00290</t>
  </si>
  <si>
    <t>NUR ELAHEE MOLLA</t>
  </si>
  <si>
    <t>A00291</t>
  </si>
  <si>
    <t>SAYEM AHMED</t>
  </si>
  <si>
    <t>A00292</t>
  </si>
  <si>
    <t>RAIS UDDIN AHMAD</t>
  </si>
  <si>
    <t>A00293</t>
  </si>
  <si>
    <t>BENOZEER AHMED</t>
  </si>
  <si>
    <t>A00294</t>
  </si>
  <si>
    <t>SUMAIYA CHOWDHURY RUPTY</t>
  </si>
  <si>
    <t>GREEN DELTA SECURITIES LIMITED</t>
  </si>
  <si>
    <t>HARUNUR RASHID</t>
  </si>
  <si>
    <t>A00295</t>
  </si>
  <si>
    <t>SARWAR</t>
  </si>
  <si>
    <t>A00296</t>
  </si>
  <si>
    <t>SOHEL MAHMOOD</t>
  </si>
  <si>
    <t>A00297</t>
  </si>
  <si>
    <t>MOSTAFIZUR RAHMAN</t>
  </si>
  <si>
    <t>A00298</t>
  </si>
  <si>
    <t>MUSHFIQUR RAHMAN</t>
  </si>
  <si>
    <t>A00299</t>
  </si>
  <si>
    <t>MD. ASHADUL HOQUE</t>
  </si>
  <si>
    <t>A00300</t>
  </si>
  <si>
    <t>JANNATUL FERDOUS SHARNA</t>
  </si>
  <si>
    <t>A00301</t>
  </si>
  <si>
    <t>A.T.M. MORSHED KAMAL</t>
  </si>
  <si>
    <t>A00302</t>
  </si>
  <si>
    <t>A00303</t>
  </si>
  <si>
    <t>KHANDAKAR MOHAMMAD NURUL HADIUZZAMAN</t>
  </si>
  <si>
    <t>SYED NAYEEMUDDIN HOSSAIN</t>
  </si>
  <si>
    <t>A00304</t>
  </si>
  <si>
    <t>ANWAR ZAHID</t>
  </si>
  <si>
    <t>A00220</t>
  </si>
  <si>
    <t>A00305</t>
  </si>
  <si>
    <t>SHIHAB MAHMUD</t>
  </si>
  <si>
    <t>A00187</t>
  </si>
  <si>
    <t>HABIBA CHOWDHURY SHELI</t>
  </si>
  <si>
    <t>A00306</t>
  </si>
  <si>
    <t>CHAYAN KUMAR BARUA</t>
  </si>
  <si>
    <t>A00307</t>
  </si>
  <si>
    <t>A00308</t>
  </si>
  <si>
    <t>MD. MOSABBIR ALAM</t>
  </si>
  <si>
    <t>SAMMIR BIN DELOWER</t>
  </si>
  <si>
    <t>A00309</t>
  </si>
  <si>
    <t>UNMESH RAY HIMEL</t>
  </si>
  <si>
    <t>A00310</t>
  </si>
  <si>
    <t>BABITA RANI BARMAN</t>
  </si>
  <si>
    <t>MOHAMMAD MARUFUR RAHMAN SIKDER</t>
  </si>
  <si>
    <t>SHARMEEN MAHMUD</t>
  </si>
  <si>
    <t>A00311</t>
  </si>
  <si>
    <t>MST. NASIRA KHATUN</t>
  </si>
  <si>
    <t>A00312</t>
  </si>
  <si>
    <t>REDOY BARMON</t>
  </si>
  <si>
    <t>A00313</t>
  </si>
  <si>
    <t>RAFAYET ULLAH</t>
  </si>
  <si>
    <t>A00314</t>
  </si>
  <si>
    <t>A00315</t>
  </si>
  <si>
    <t>ZAKIA SULTANA</t>
  </si>
  <si>
    <t>MOUMITA ROY</t>
  </si>
  <si>
    <t>A00316</t>
  </si>
  <si>
    <t>MONSURUL MOHAMMAD SHAHRIAR</t>
  </si>
  <si>
    <t>A00317</t>
  </si>
  <si>
    <t>SHARMIN JAHAN SHANTA</t>
  </si>
  <si>
    <t>A00318</t>
  </si>
  <si>
    <t>MD. MIZANUR RAHMAN</t>
  </si>
  <si>
    <t>A00319</t>
  </si>
  <si>
    <t>MD. SAIFULLAH AL AZAD</t>
  </si>
  <si>
    <t>A00320</t>
  </si>
  <si>
    <t>MD. JAHIRUL ISLAM</t>
  </si>
  <si>
    <t>A00321</t>
  </si>
  <si>
    <t>AHMED BIN MONSUR</t>
  </si>
  <si>
    <t>A00322</t>
  </si>
  <si>
    <t>MUNTASIR MAHMUD RAHMAN</t>
  </si>
  <si>
    <t>A00323</t>
  </si>
  <si>
    <t>MD. NAHIDUR RASHID</t>
  </si>
  <si>
    <t>A00324</t>
  </si>
  <si>
    <t>SAJED MADBAR</t>
  </si>
  <si>
    <t>A00325</t>
  </si>
  <si>
    <t>THE GSP FINANCE COMPANY (BANGLADESH) LIMITED EMPLOYEES PROVIDENT FUND</t>
  </si>
  <si>
    <t>A00326</t>
  </si>
  <si>
    <t>A00327</t>
  </si>
  <si>
    <t>M.A. MALEK SIDDIQUE WALI &amp; CO.</t>
  </si>
  <si>
    <t>SAILENDRA SAHA</t>
  </si>
  <si>
    <t>A00328</t>
  </si>
  <si>
    <t>ASHRAFUL ISLAM</t>
  </si>
  <si>
    <t>A00329</t>
  </si>
  <si>
    <t>TANIA KABIR</t>
  </si>
  <si>
    <t>A00330</t>
  </si>
  <si>
    <t>MD. SHEFATH-UL-ISLAM</t>
  </si>
  <si>
    <t>A00331</t>
  </si>
  <si>
    <t>MOHAMMED FUAD ZIBRAN</t>
  </si>
  <si>
    <t>A00332</t>
  </si>
  <si>
    <t>MD. GOLAM MORTAZA</t>
  </si>
  <si>
    <t>A00333</t>
  </si>
  <si>
    <t>SUSMITA DHAR</t>
  </si>
  <si>
    <t>A00334</t>
  </si>
  <si>
    <t>SHAHED UDDIN MOHAMMED PARVEZ</t>
  </si>
  <si>
    <t>A00335</t>
  </si>
  <si>
    <t>A00336</t>
  </si>
  <si>
    <t>BISHWAJIT BASAK</t>
  </si>
  <si>
    <t>A00337</t>
  </si>
  <si>
    <t>MOHAMMED ZAHID HOSSAIN</t>
  </si>
  <si>
    <t>A00338</t>
  </si>
  <si>
    <t>A00339</t>
  </si>
  <si>
    <t>ASMAR OSMAN</t>
  </si>
  <si>
    <t>A00340</t>
  </si>
  <si>
    <t>A00341</t>
  </si>
  <si>
    <t>FAISAL BIN MALEQUE</t>
  </si>
  <si>
    <t>A00342</t>
  </si>
  <si>
    <t>MD. IMRAN HOSSAIN</t>
  </si>
  <si>
    <t>A00343</t>
  </si>
  <si>
    <t>A00344</t>
  </si>
  <si>
    <t>KAZI RASEL</t>
  </si>
  <si>
    <t>A00345</t>
  </si>
  <si>
    <t>ANJANA SAHA</t>
  </si>
  <si>
    <t>TANIZA MAZED</t>
  </si>
  <si>
    <t>MD. SHAHIDUL ISLAM</t>
  </si>
  <si>
    <t>PRATIMA DEV</t>
  </si>
  <si>
    <t>UCB STOCK BROKERAGE LIMITED</t>
  </si>
  <si>
    <t>NATIONAL BANK LTD</t>
  </si>
  <si>
    <t>PHOENIX INSURANCE CO. LTD. EMPL. P.F.</t>
  </si>
  <si>
    <t>SATCOM IT LTD. PROVIDENT FUND</t>
  </si>
  <si>
    <t>MOHAMMAD MONJUR ALAM</t>
  </si>
  <si>
    <t>PHOENIX INSURANCE CO. LTD.</t>
  </si>
  <si>
    <t>ASHIT BARAN SAHA</t>
  </si>
  <si>
    <t>MOHAMMAD SAYDUZZAMAN</t>
  </si>
  <si>
    <t>RAHNUMA SULTANA</t>
  </si>
  <si>
    <t>COMMUNITY BANK BANGLADESH LIMITED</t>
  </si>
  <si>
    <t>MAYA RANI SAHA</t>
  </si>
  <si>
    <t>SUHAIEB CHOWDHURY</t>
  </si>
  <si>
    <t>SHAHRIAR MAHMOOD</t>
  </si>
  <si>
    <t>MD MIZANUR RAHMAN</t>
  </si>
  <si>
    <t>FAIYEAD AHMEDUL HYE</t>
  </si>
  <si>
    <t>SAILA SATTER</t>
  </si>
  <si>
    <t>MD KAMRUL ISLAM</t>
  </si>
  <si>
    <t>MD. ZAHIR UDDIN</t>
  </si>
  <si>
    <t>BIPLAB SAHA</t>
  </si>
  <si>
    <t>SAIDA HOMAIRA</t>
  </si>
  <si>
    <t>NEXXEN EQUITY MANAGEMENT LIMITED</t>
  </si>
  <si>
    <t>A00346</t>
  </si>
  <si>
    <t>EVEREST PHARMACEUTICALS LTD. EMPLOYEES CONTRIBUTORY PROVIDENT FUND</t>
  </si>
  <si>
    <t>A00347</t>
  </si>
  <si>
    <t>A.K.M. ANWARUL HOQ</t>
  </si>
  <si>
    <t>A00348</t>
  </si>
  <si>
    <t>MOHAMMAD MOZNU MOLLAH</t>
  </si>
  <si>
    <t>A00349</t>
  </si>
  <si>
    <t>MD. ZAKIR HOSSAIN</t>
  </si>
  <si>
    <t>A00350</t>
  </si>
  <si>
    <t>MOHAMMAD SAIFUL ISLAM</t>
  </si>
  <si>
    <t>A00351</t>
  </si>
  <si>
    <t>SHIULI RANI SAHA</t>
  </si>
  <si>
    <t>A00352</t>
  </si>
  <si>
    <t>VANGUARD AML GROWTH FUND</t>
  </si>
  <si>
    <t>A00353</t>
  </si>
  <si>
    <t>BRAC BANK LIMITED</t>
  </si>
  <si>
    <t>A00354</t>
  </si>
  <si>
    <t>NRB COMMERCIAL BANK LIMITED</t>
  </si>
  <si>
    <t>A00355</t>
  </si>
  <si>
    <t>A00356</t>
  </si>
  <si>
    <t>MOHAMMAD MOINUL ISLAM</t>
  </si>
  <si>
    <t>A00357</t>
  </si>
  <si>
    <t>MOHAMMAD AMDADUL HOQUE</t>
  </si>
  <si>
    <t>A00358</t>
  </si>
  <si>
    <t>HAFIZA AFRIN TONNY</t>
  </si>
  <si>
    <t>A00359</t>
  </si>
  <si>
    <t>NBL CAPITAL AND EQUITY MANAGEMENT LTD</t>
  </si>
  <si>
    <t>A00360</t>
  </si>
  <si>
    <t>ARIF AHMED</t>
  </si>
  <si>
    <t>A00361</t>
  </si>
  <si>
    <t>MOHAMMAD YASEEN</t>
  </si>
  <si>
    <t>A00362</t>
  </si>
  <si>
    <t>MD. TARIF AZAD KHAN</t>
  </si>
  <si>
    <t>A00363</t>
  </si>
  <si>
    <t>MD. AZHARUL KARIM</t>
  </si>
  <si>
    <t>A00364</t>
  </si>
  <si>
    <t>BANGLADESH FUND</t>
  </si>
  <si>
    <t>A00365</t>
  </si>
  <si>
    <t>NAYEEMA TASNEEM</t>
  </si>
  <si>
    <t>A00366</t>
  </si>
  <si>
    <t>A00367</t>
  </si>
  <si>
    <t>MD. NAZIMUL HAQUE HAQUANNI</t>
  </si>
  <si>
    <t>A00368</t>
  </si>
  <si>
    <t>ASRAAR HOSSAIN</t>
  </si>
  <si>
    <t>A00369</t>
  </si>
  <si>
    <t>ZAIN MOHAMMAD YASEEN</t>
  </si>
  <si>
    <t>A00370</t>
  </si>
  <si>
    <t>MD. AL AMIN SARKER</t>
  </si>
  <si>
    <t>A00371</t>
  </si>
  <si>
    <t>MD. ASIF RAIHAN</t>
  </si>
  <si>
    <t>A00372</t>
  </si>
  <si>
    <t>ZINAT MAHRUKH BANU</t>
  </si>
  <si>
    <t>A00373</t>
  </si>
  <si>
    <t>B.M. MIRAZ HOSSAIN</t>
  </si>
  <si>
    <t>A00374</t>
  </si>
  <si>
    <t>DELTA BRAC HOUSING FINANCE CORPORATION LTD</t>
  </si>
  <si>
    <t>A00375</t>
  </si>
  <si>
    <t>RASIDA BEGUM</t>
  </si>
  <si>
    <t>A00376</t>
  </si>
  <si>
    <t>A00377</t>
  </si>
  <si>
    <t>SHABBIR KHAN</t>
  </si>
  <si>
    <t>A00378</t>
  </si>
  <si>
    <t>EDGE VENTURES LIMITED</t>
  </si>
  <si>
    <t>A00379</t>
  </si>
  <si>
    <t>CITY BROKERAGE LIMITED</t>
  </si>
  <si>
    <t>A00380</t>
  </si>
  <si>
    <t>ANIK KUMAR GUPTA</t>
  </si>
  <si>
    <t>A00381</t>
  </si>
  <si>
    <t>A00382</t>
  </si>
  <si>
    <t>AZIZUL ISLAM</t>
  </si>
  <si>
    <t>A00383</t>
  </si>
  <si>
    <t>A00384</t>
  </si>
  <si>
    <t>MD. TANZIRUL AMIN</t>
  </si>
  <si>
    <t>A00386</t>
  </si>
  <si>
    <t>SYED ASIF HOSSAIN</t>
  </si>
  <si>
    <t>A00387</t>
  </si>
  <si>
    <t>MD. JAHANGIR ALAM</t>
  </si>
  <si>
    <t>BISWAS ARIFUR RAHMAN</t>
  </si>
  <si>
    <t>JEWEL SAHA</t>
  </si>
  <si>
    <t>SHIBBIR AHMED</t>
  </si>
  <si>
    <t>SHYAMAL KRISHNA SAHA</t>
  </si>
  <si>
    <t>NASRIN AKHTER</t>
  </si>
  <si>
    <t>MRINMOY GHOSH</t>
  </si>
  <si>
    <t>MOHAMMAD NAZMUL HOSSAIN</t>
  </si>
  <si>
    <t>ABDUL HAI BHUYAN</t>
  </si>
  <si>
    <t>ALI IMAM</t>
  </si>
  <si>
    <t>UCIL EMPLOYEES' PROVIDENT FUND</t>
  </si>
  <si>
    <t>MD. ZAKIR HOSSEN</t>
  </si>
  <si>
    <t>MRIDUL KUMAR DEY</t>
  </si>
  <si>
    <t>MAMUNUR RASHID</t>
  </si>
  <si>
    <t>MINHAJ UDDIN</t>
  </si>
  <si>
    <t>CRAB EMPLOYEES PROVIDENT FUND</t>
  </si>
  <si>
    <t>CRAB EMPLOYEES GRATUITY FUND</t>
  </si>
  <si>
    <t>MD. BADI-UZ-ZAMAN</t>
  </si>
  <si>
    <t>FAHMIDA HAQUE</t>
  </si>
  <si>
    <t>NUR HAIDAR SARKER</t>
  </si>
  <si>
    <t>UNICAP SECURITIES LIMITED</t>
  </si>
  <si>
    <t>ICB ASSET MANAGEMENT COMPANY LIMITED</t>
  </si>
  <si>
    <t>TANVIR AHMED SIDDIQUI</t>
  </si>
  <si>
    <t>MOHAMMED SELIM</t>
  </si>
  <si>
    <t>MD. MOMINUL HOQUE</t>
  </si>
  <si>
    <t>EHTESHAMUL HAQUE</t>
  </si>
  <si>
    <t>SAYEDA SALAHUDDIN</t>
  </si>
  <si>
    <t>SHAILA SALAHUDDIN</t>
  </si>
  <si>
    <t>M. AMIRULLAH</t>
  </si>
  <si>
    <t>MONIR AHMED</t>
  </si>
  <si>
    <t>MD. SHIFUL ISLAM</t>
  </si>
  <si>
    <t>RAJIB ROY</t>
  </si>
  <si>
    <t>ASIAN TIGER SANDHANI LIFE GROWTH FUND</t>
  </si>
  <si>
    <t>M A QUAYOOM</t>
  </si>
  <si>
    <t>AROORA SAMEERA CHOWDHURY</t>
  </si>
  <si>
    <t>ABACI INVESTMENTS LIMITED</t>
  </si>
  <si>
    <t>MD. SAJEDUL HUDA NOVEL</t>
  </si>
  <si>
    <t>CAPITEC POPULAR LIFE UNIT FUND</t>
  </si>
  <si>
    <t>FARDINA HAFIZ</t>
  </si>
  <si>
    <t>SHUVA SAHA</t>
  </si>
  <si>
    <t>KAZI AHSAN MARUF</t>
  </si>
  <si>
    <t>MD. OMAR FARUQUE Al QUADERI</t>
  </si>
  <si>
    <t>H M JAHID HASSAN</t>
  </si>
  <si>
    <t>SYED FAZLE RABBY</t>
  </si>
  <si>
    <t>KANKA SAHA</t>
  </si>
  <si>
    <t>MD EMDAD HOSSAIN</t>
  </si>
  <si>
    <t>ASIF AHMED</t>
  </si>
  <si>
    <t>REAZ UDDIN AHMED</t>
  </si>
  <si>
    <t>SUJAN BARUA</t>
  </si>
  <si>
    <t>SANJEEDA SARMIN BADHAN</t>
  </si>
  <si>
    <t>UNICAP INVESTMENTS LIMITED</t>
  </si>
  <si>
    <t>MD. GIAS UDDIN</t>
  </si>
  <si>
    <t>MD. SHAIFUL AZAM</t>
  </si>
  <si>
    <t>BILKISS ARA</t>
  </si>
  <si>
    <t>RELIANCE INSURANCE lIMITED</t>
  </si>
  <si>
    <t>JHARNA RANI SAHA</t>
  </si>
  <si>
    <t>RABEYA JAHAN SOAD</t>
  </si>
  <si>
    <t>SAKIN AMIN KHAN</t>
  </si>
  <si>
    <t>MD. KAMRUZZAMAN</t>
  </si>
  <si>
    <t>LILY RANI PAUL</t>
  </si>
  <si>
    <t>IFTEKHAR ALAM</t>
  </si>
  <si>
    <t>MOHAMMAD SHAHJAHAN</t>
  </si>
  <si>
    <t>KHAN SALAHUDDIN MOHAMMAD MINHAJ</t>
  </si>
  <si>
    <t>NARGISH JAHAN</t>
  </si>
  <si>
    <t>FAKARUDDIN ALI AHMED</t>
  </si>
  <si>
    <t>NANDINI SAHA</t>
  </si>
  <si>
    <t>SHANJIDA SULTANA</t>
  </si>
  <si>
    <t>ARIFUR RAHMAN</t>
  </si>
  <si>
    <t>AKASH DEEP PAUL</t>
  </si>
  <si>
    <t>MUQIT-AL RAHMAN</t>
  </si>
  <si>
    <t>YASIR MD FAZLE AMIN</t>
  </si>
  <si>
    <t>MD. SAIFUR RAHMAN</t>
  </si>
  <si>
    <t>MD. EMDAD HOSSAIN</t>
  </si>
  <si>
    <t>SHAHIDA NAHRIN BUBLY</t>
  </si>
  <si>
    <t>MD. ZAHID HOSSAIN</t>
  </si>
  <si>
    <t>RAFIKUL HASAN</t>
  </si>
  <si>
    <t>ABDULLAH AL MAMUN</t>
  </si>
  <si>
    <t>ARZUN KUMAR SARKAR</t>
  </si>
  <si>
    <t>MOHAMMED ALI XAHANGIR</t>
  </si>
  <si>
    <t>FAHMIDA KHAN</t>
  </si>
  <si>
    <t>ARKO SAHA</t>
  </si>
  <si>
    <t>HARUN IBNE HOQUE</t>
  </si>
  <si>
    <t>MOHAMMAD MOHIBUL ISLAM</t>
  </si>
  <si>
    <t>RAJIB CHOWDHURY</t>
  </si>
  <si>
    <t>ASMA UL HUSNA</t>
  </si>
  <si>
    <t>MOHAMMAD JASIM UDDIN</t>
  </si>
  <si>
    <t>SULTANA AFCHANA AFRIN</t>
  </si>
  <si>
    <t>MD MINHAZUL AZIZ</t>
  </si>
  <si>
    <t>MOHAMMAD NASIR HOSSAIN</t>
  </si>
  <si>
    <t>MUHAMMAD TAREQ YUSUF</t>
  </si>
  <si>
    <t>ASHUTOSH TALUKDER</t>
  </si>
  <si>
    <t>MD. TAREQ IBRAHIM</t>
  </si>
  <si>
    <t>CWT EMERGING BD FIRST GROWTH FUND</t>
  </si>
  <si>
    <t>LITON KUMAR BANIK</t>
  </si>
  <si>
    <t>ASHISH KUMAR GHOSH</t>
  </si>
  <si>
    <t>SATINATH GHOSH</t>
  </si>
  <si>
    <t>JANATA BANK LIMITED</t>
  </si>
  <si>
    <t>ANISUL HAQUE</t>
  </si>
  <si>
    <t>EDGE BANGLADESH MUTUAL FUND</t>
  </si>
  <si>
    <t>EDGE AMC GROWTH FUND</t>
  </si>
  <si>
    <t>SHAHRIN ANWAR</t>
  </si>
  <si>
    <t>RAFIQUL ANOWAR</t>
  </si>
  <si>
    <t>AMIT KANTI SARKER</t>
  </si>
  <si>
    <t>ABU NAYEEM MOHAMMAD MAHFUZ</t>
  </si>
  <si>
    <t>MUMINUL ALAM</t>
  </si>
  <si>
    <t>MOHAMMAD ALAUDDIN</t>
  </si>
  <si>
    <t>ISTIAK AHMED PROBAL</t>
  </si>
  <si>
    <t>MD MAHDI HASAN</t>
  </si>
  <si>
    <t>MD TOFIQUL ISLAM CHOWDHURY</t>
  </si>
  <si>
    <t>SUMAN KUMAR KUNDU</t>
  </si>
  <si>
    <t>REAZUL HAQUE</t>
  </si>
  <si>
    <t>TRIPTI BARUA</t>
  </si>
  <si>
    <t>AL MAMUN</t>
  </si>
  <si>
    <t>MOHAMMAD ABDUL HANNAN</t>
  </si>
  <si>
    <t>PHOENIX FINANCE &amp; INVESTMENTS LTD</t>
  </si>
  <si>
    <t>MADHURI KUNDU</t>
  </si>
  <si>
    <t>EVANA YEASMIN</t>
  </si>
  <si>
    <t>FAHIM AHASAN CHOUDHURY</t>
  </si>
  <si>
    <t>SHAHARIAR ALAM</t>
  </si>
  <si>
    <t>MANABENDRA KUMAR DAS</t>
  </si>
  <si>
    <t>KHANDAKER MAHAMADUR AZAD</t>
  </si>
  <si>
    <t>FAZLE RABBI PATHAN</t>
  </si>
  <si>
    <t>SABRIA ISLAM TALUKDER</t>
  </si>
  <si>
    <t>KABIR AHMED TALUKDER</t>
  </si>
  <si>
    <t>MOHAMMAD ENAMUR RAHMAN</t>
  </si>
  <si>
    <t>RAIHAN RASHID MAJUMDAR</t>
  </si>
  <si>
    <t>RABITA RASHID MAJUMDER</t>
  </si>
  <si>
    <t>REZWAN UR RASHID MAJUMDAR</t>
  </si>
  <si>
    <t>KAZI MD. ANISUR RAHMAN</t>
  </si>
  <si>
    <t>LUNA AKTHER</t>
  </si>
  <si>
    <t>SAJJAD CHOWDHURY</t>
  </si>
  <si>
    <t>MOHAMMAD DELOWAR HOSSAIN MRIDHA</t>
  </si>
  <si>
    <t>REZAUR RAHMAN</t>
  </si>
  <si>
    <t>A00388</t>
  </si>
  <si>
    <t>FOUZIA RAHMAN</t>
  </si>
  <si>
    <t>A00389</t>
  </si>
  <si>
    <t>SABBIR AHMED HEMO</t>
  </si>
  <si>
    <t>A00390</t>
  </si>
  <si>
    <t>SHAIKH MD. ABU HASAN</t>
  </si>
  <si>
    <t>A00391</t>
  </si>
  <si>
    <t>EKUSH WEALTH MANAGEMENT LIMITED EMPLOYEES CONTRIBUTORY PROVIDENT FUND</t>
  </si>
  <si>
    <t>A00392</t>
  </si>
  <si>
    <t>MD. MUKIT MURSHED</t>
  </si>
  <si>
    <t>A00393</t>
  </si>
  <si>
    <t>MD. WABAIDULLAH RAHAMAN</t>
  </si>
  <si>
    <t>A00394</t>
  </si>
  <si>
    <t>A00395</t>
  </si>
  <si>
    <t>A00385</t>
  </si>
  <si>
    <t>MD. ABDUL KARIM</t>
  </si>
  <si>
    <t>FAHMIDA SHARMIN NOWRIN</t>
  </si>
  <si>
    <t>A00396</t>
  </si>
  <si>
    <t>A00397</t>
  </si>
  <si>
    <t>A00398</t>
  </si>
  <si>
    <t>MOHAMMAD GULAM KIBRIAH</t>
  </si>
  <si>
    <t>A00399</t>
  </si>
  <si>
    <t>AMARSTOCK LTD. EMP. PF.</t>
  </si>
  <si>
    <t>MUTUAL TRUST BANK LIMITED</t>
  </si>
  <si>
    <t>A00400</t>
  </si>
  <si>
    <t>SAJAL KANTI HOWLADER</t>
  </si>
  <si>
    <t>A00401</t>
  </si>
  <si>
    <t>TOFIQ AHAMED</t>
  </si>
  <si>
    <t>A00402</t>
  </si>
  <si>
    <t>MD. NIZAM UDDIN</t>
  </si>
  <si>
    <t>MD. NASIR UDDIN ROBIN</t>
  </si>
  <si>
    <t>MIR ARIFUL ISLAM</t>
  </si>
  <si>
    <t>A00403</t>
  </si>
  <si>
    <t>MOHAMMAD ASRARUL HAQUE</t>
  </si>
  <si>
    <t>A00404</t>
  </si>
  <si>
    <t>SHAHINOOR KHANUM</t>
  </si>
  <si>
    <t>A00405</t>
  </si>
  <si>
    <t>SAYDA SULTANA</t>
  </si>
  <si>
    <t>A00406</t>
  </si>
  <si>
    <t>A00407</t>
  </si>
  <si>
    <t>A00408</t>
  </si>
  <si>
    <t>MD. TAZUL ISLAM</t>
  </si>
  <si>
    <t>MERINA TABASSUM AND MD. MONIRUL ISLAM</t>
  </si>
  <si>
    <t>A00409</t>
  </si>
  <si>
    <t>MD. RAKEBUL ISLAM</t>
  </si>
  <si>
    <t>A00410</t>
  </si>
  <si>
    <t>MD. ABDUL MOTALEB</t>
  </si>
  <si>
    <t>A00411</t>
  </si>
  <si>
    <t>MD. BABUL MIAH</t>
  </si>
  <si>
    <t>A00412</t>
  </si>
  <si>
    <t>ARCHONA SAHA</t>
  </si>
  <si>
    <t>A00413</t>
  </si>
  <si>
    <t>TOWHIDUR RAHMAN CHOWDHURY</t>
  </si>
  <si>
    <t>A00414</t>
  </si>
  <si>
    <t>SYED SADEK HUSSAIN</t>
  </si>
  <si>
    <t>A00415</t>
  </si>
  <si>
    <t>NATEQ BE NAZIR IBN MINAR</t>
  </si>
  <si>
    <t>A00416</t>
  </si>
  <si>
    <t>NANDA DULAL SAHA</t>
  </si>
  <si>
    <t>A00417</t>
  </si>
  <si>
    <t>MD. SOHEL ANWAR</t>
  </si>
  <si>
    <t>A00418</t>
  </si>
  <si>
    <t>MAZED AHMED ABDULLAH</t>
  </si>
  <si>
    <t>A00419</t>
  </si>
  <si>
    <t>MAISHA MUSSARRAT</t>
  </si>
  <si>
    <t>A00420</t>
  </si>
  <si>
    <t>MD MOHSINUR RAHMAN</t>
  </si>
  <si>
    <t>A00421</t>
  </si>
  <si>
    <t>SIDDHARTHA SANKAR MALLICK</t>
  </si>
  <si>
    <t>A00422</t>
  </si>
  <si>
    <t>MYAT MOE KHAING</t>
  </si>
  <si>
    <t>A00423</t>
  </si>
  <si>
    <t>SRIJON GHOSH</t>
  </si>
  <si>
    <t>A00424</t>
  </si>
  <si>
    <t>MD. A. RAZZAK</t>
  </si>
  <si>
    <t>A00425</t>
  </si>
  <si>
    <t>TAMRIN AL DEEN</t>
  </si>
  <si>
    <t>A00426</t>
  </si>
  <si>
    <t>ROKSABA KASEM</t>
  </si>
  <si>
    <t>A00427</t>
  </si>
  <si>
    <t>NASRIN AHMED HELA</t>
  </si>
  <si>
    <t>A00428</t>
  </si>
  <si>
    <t>KALLANI ISLAM</t>
  </si>
  <si>
    <t>A00429</t>
  </si>
  <si>
    <t>MD. MOSTAFIJUR RAHMAN</t>
  </si>
  <si>
    <t>A00430</t>
  </si>
  <si>
    <t>A00434</t>
  </si>
  <si>
    <t>MD SHAHADAT HOSSAIN</t>
  </si>
  <si>
    <t>A00431</t>
  </si>
  <si>
    <t>AHMED ASIF</t>
  </si>
  <si>
    <t>A00432</t>
  </si>
  <si>
    <t>AHMED FARUK</t>
  </si>
  <si>
    <t>A00433</t>
  </si>
  <si>
    <t>SYED AHMAD</t>
  </si>
  <si>
    <t>ISHRAT NUR</t>
  </si>
  <si>
    <t>A00435</t>
  </si>
  <si>
    <t>SADIA SYED TAHIA</t>
  </si>
  <si>
    <t>A00436</t>
  </si>
  <si>
    <t>MD. RIFAT MUNJUR SUNNY</t>
  </si>
  <si>
    <t>A00437</t>
  </si>
  <si>
    <t>SANDHANI ASSET MANAGEMENT LIMITED</t>
  </si>
  <si>
    <t>A00438</t>
  </si>
  <si>
    <t>A00439</t>
  </si>
  <si>
    <t>RASHEDUL ISLAM</t>
  </si>
  <si>
    <t>A00441</t>
  </si>
  <si>
    <t>NUSRAT JAHAN TISHA</t>
  </si>
  <si>
    <t>A00440</t>
  </si>
  <si>
    <t>SAIKAT DAS SHANTO</t>
  </si>
  <si>
    <t>KHAN MUHAMMAD FAISOL</t>
  </si>
  <si>
    <t>A00442</t>
  </si>
  <si>
    <t>A00443</t>
  </si>
  <si>
    <t>TAPASH KUMAR PAUL</t>
  </si>
  <si>
    <t>For the period from January 1 to December 31, 2022</t>
  </si>
  <si>
    <t>For the period from January 01 to December 31, 2022</t>
  </si>
  <si>
    <t>Head of Compliance</t>
  </si>
  <si>
    <t>Ekush Wealth Management Limited</t>
  </si>
  <si>
    <t>Trustee</t>
  </si>
  <si>
    <t>Shandhani Life Insurance Company Limited</t>
  </si>
  <si>
    <t xml:space="preserve"> These financial statement should be read in conjunction with annexed notes. </t>
  </si>
  <si>
    <t>BS</t>
  </si>
  <si>
    <t>EKUSH STABLE RETURN FUND</t>
  </si>
  <si>
    <t>Semi Annual</t>
  </si>
  <si>
    <t>Quarterly</t>
  </si>
  <si>
    <t>Includes Tax</t>
  </si>
  <si>
    <t>CDS Connection Fee</t>
  </si>
  <si>
    <t>Total Income</t>
  </si>
  <si>
    <t>Total Expenses</t>
  </si>
  <si>
    <t>Profit Before Provision</t>
  </si>
  <si>
    <t xml:space="preserve">     Other operating expense</t>
  </si>
  <si>
    <t xml:space="preserve">     Newspaper publication expense</t>
  </si>
  <si>
    <t xml:space="preserve">     Interest income</t>
  </si>
  <si>
    <t xml:space="preserve">     Dividend income</t>
  </si>
  <si>
    <t xml:space="preserve">     BSEC annual fees</t>
  </si>
  <si>
    <t xml:space="preserve">     CDBL charges</t>
  </si>
  <si>
    <t xml:space="preserve">     Trustee fees</t>
  </si>
  <si>
    <t xml:space="preserve">     Custodian fees</t>
  </si>
  <si>
    <t xml:space="preserve">     IPO application fees</t>
  </si>
  <si>
    <t xml:space="preserve">     Brokerage commission</t>
  </si>
  <si>
    <t xml:space="preserve">     Audit fees</t>
  </si>
  <si>
    <t xml:space="preserve">     Bank charge &amp; excise duty</t>
  </si>
  <si>
    <t>Other Comprehensive Income</t>
  </si>
  <si>
    <t>Dividend payable</t>
  </si>
  <si>
    <t>Opening balance</t>
  </si>
  <si>
    <t>Dividend equalization reserve</t>
  </si>
  <si>
    <t xml:space="preserve">     Other Comprehensive Income</t>
  </si>
  <si>
    <t>C</t>
  </si>
  <si>
    <t>Unit Subscription - LUMPSUM</t>
  </si>
  <si>
    <t>Bank Charges - Cheque Book Issue</t>
  </si>
  <si>
    <t>Interest Income - Midland Bank</t>
  </si>
  <si>
    <t>A00444</t>
  </si>
  <si>
    <t>A00445</t>
  </si>
  <si>
    <t>A00446</t>
  </si>
  <si>
    <t>A00447</t>
  </si>
  <si>
    <t>A00448</t>
  </si>
  <si>
    <t>A00449</t>
  </si>
  <si>
    <t>A00450</t>
  </si>
  <si>
    <t>A00451</t>
  </si>
  <si>
    <t>A00452</t>
  </si>
  <si>
    <t>A00453</t>
  </si>
  <si>
    <t>A00454</t>
  </si>
  <si>
    <t>A00455</t>
  </si>
  <si>
    <t>Bank Charges - Source Tax Source Tax</t>
  </si>
  <si>
    <t>Bank Charges - Service Charge</t>
  </si>
  <si>
    <t>Bank Charges - Excise Duty</t>
  </si>
  <si>
    <t>Bank Charges - Clearing Charge</t>
  </si>
  <si>
    <t>A00456</t>
  </si>
  <si>
    <t>A00457</t>
  </si>
  <si>
    <t>Interest</t>
  </si>
  <si>
    <t>MIDLAND (0001-1090001017)</t>
  </si>
  <si>
    <t>A00459</t>
  </si>
  <si>
    <t>A00460</t>
  </si>
  <si>
    <t>A00461</t>
  </si>
  <si>
    <t>A00462</t>
  </si>
  <si>
    <t>A00463</t>
  </si>
  <si>
    <t>A00464</t>
  </si>
  <si>
    <t>A00466</t>
  </si>
  <si>
    <t>A00467</t>
  </si>
  <si>
    <t>A00465</t>
  </si>
  <si>
    <t>A00468</t>
  </si>
  <si>
    <t>A00469</t>
  </si>
  <si>
    <t>Fair Value Adjustment to Reach Investment at Market Price</t>
  </si>
  <si>
    <t>NC</t>
  </si>
  <si>
    <t xml:space="preserve">Weekly charge of preliminary &amp; issue expense </t>
  </si>
  <si>
    <t>Weekly charge of management fee</t>
  </si>
  <si>
    <t>Weekly charge of trustee fee</t>
  </si>
  <si>
    <t>Trade (B) of Securities at Unicap Securities Limited</t>
  </si>
  <si>
    <t>Brokerage Commission</t>
  </si>
  <si>
    <t>Payable to Broker</t>
  </si>
  <si>
    <t>Bank Charges -Cheque Book Issue</t>
  </si>
  <si>
    <t xml:space="preserve"> </t>
  </si>
  <si>
    <t>Investment in EDGE HIGH QUALITY INCOME FUND</t>
  </si>
  <si>
    <t>Interest Income from FDR is being Accrued - IPDC Finance Limited</t>
  </si>
  <si>
    <t>Interest Income from FDR is being Accrued -IDLC Finance Limited</t>
  </si>
  <si>
    <t>Interest Income from FDR is being Accrued - DBH Finance</t>
  </si>
  <si>
    <t>Trade (B) of Securities at Royal Capital Limited</t>
  </si>
  <si>
    <t>Interest Income from MIDLAND 1 is being Accrued</t>
  </si>
  <si>
    <t>Interest2</t>
  </si>
  <si>
    <t>MIDLAND (	0001-1060000146)</t>
  </si>
  <si>
    <t>PAYMENT TO DSE FOR ESS REGISTRATION</t>
  </si>
  <si>
    <t>Buy proceeds payable to Unicap Securities Limited</t>
  </si>
  <si>
    <t>Buy proceeds payable to Royal Capital Limited</t>
  </si>
  <si>
    <t>Other comprehensive inome</t>
  </si>
  <si>
    <t>Bond Premium</t>
  </si>
  <si>
    <t>FDR with DBH Finance 
(710001113982)</t>
  </si>
  <si>
    <t>FDR with DBH Finance 
(710001113981)</t>
  </si>
  <si>
    <t>FDR with DBH Finance 
(710001113983)</t>
  </si>
  <si>
    <t>FDR with DBH Finance 
(710001113984)</t>
  </si>
  <si>
    <t>FDR with IPDC Finance 
(1001-251000037534)</t>
  </si>
  <si>
    <t>FDR with IPDC Finance 
(1001-251000037536)</t>
  </si>
  <si>
    <t>FDR with IPDC Finance 
(1001-251000037537)</t>
  </si>
  <si>
    <t>FDR with IPDC Finance 
(1001-251000037538)</t>
  </si>
  <si>
    <t>FDR with IPDC Finance 
(1001-251000037539)</t>
  </si>
  <si>
    <t>FDR with IPDC Finance 
(1001-251000037540)</t>
  </si>
  <si>
    <t>FDR with IPDC Finance 
(1001-251000037541)</t>
  </si>
  <si>
    <t>Interest Receivables from Sukuk is being Accrued</t>
  </si>
  <si>
    <t>FDR with IDLC Finance</t>
  </si>
  <si>
    <t>Unit Surrender - LUMPSUM</t>
  </si>
  <si>
    <t xml:space="preserve">Bank Charges - RTGS Charge </t>
  </si>
  <si>
    <t>Redemption of Investment</t>
  </si>
  <si>
    <t>Redemption Receivable</t>
  </si>
  <si>
    <t>Interest Receivables from Bond</t>
  </si>
  <si>
    <t>Interest Receivables and Premium Adjustment from APSCLBOND is being Accrued</t>
  </si>
  <si>
    <t>Royal Capital Limited - Commission Reimbursement</t>
  </si>
  <si>
    <t>Bank Charges -Clearing Charge</t>
  </si>
  <si>
    <t>FDR with IPDC Finance 
(1001)</t>
  </si>
  <si>
    <t>FDR with IDLC Finance 
(1001)</t>
  </si>
  <si>
    <t>0001-1090001017</t>
  </si>
  <si>
    <t>0001-1060000146</t>
  </si>
  <si>
    <t>IPO Application of Trust Islami Life Insurance Ltd. (TILIL)</t>
  </si>
  <si>
    <t>A00470</t>
  </si>
  <si>
    <t>A00471</t>
  </si>
  <si>
    <t>A00472</t>
  </si>
  <si>
    <t>Unit Subscription - SIP</t>
  </si>
  <si>
    <t>Interest4</t>
  </si>
  <si>
    <t>BO Opening Fee</t>
  </si>
  <si>
    <t>Payment of CDBL Charges - March 2023</t>
  </si>
  <si>
    <t>Bank Charges - BACH Clearing Charge</t>
  </si>
  <si>
    <t>A00473</t>
  </si>
  <si>
    <t>A00474</t>
  </si>
  <si>
    <t>A00476</t>
  </si>
  <si>
    <t>IPO Allotment of Trust Islami Life Insurance Ltd. (TILIL)</t>
  </si>
  <si>
    <t>IPO Application of Al-Madina Pharmaceuticals Limited (AMPL)</t>
  </si>
  <si>
    <t xml:space="preserve">Bank Charges </t>
  </si>
  <si>
    <t>FDR with DBH Finance PLC
(1710001115905,06)</t>
  </si>
  <si>
    <t>FDR with IPDC Finance
(1001-251000039188,89)</t>
  </si>
  <si>
    <t>IPO Allotment of Al-Madina Pharmaceuticals Limited (AMPL)</t>
  </si>
  <si>
    <t>A00479</t>
  </si>
  <si>
    <t>Investment in Govt. Bond (BD0940401203)</t>
  </si>
  <si>
    <t>1101-11100001029</t>
  </si>
  <si>
    <t>Interest Receivables from G.Bond (BD0940401203)</t>
  </si>
  <si>
    <t>Bank Charges -  MICR Cheque Book Issue</t>
  </si>
  <si>
    <t>Bank Charges -  NID VERIFY</t>
  </si>
  <si>
    <t>1135-12700000001</t>
  </si>
  <si>
    <t>Bank Charges - 	NID VERIFICATION CHARGE</t>
  </si>
  <si>
    <t>A00489</t>
  </si>
  <si>
    <t>Bank Charges - RTGS Charge</t>
  </si>
  <si>
    <t>A00484</t>
  </si>
  <si>
    <t>A00490</t>
  </si>
  <si>
    <t>Trade (S) of Unicap Securities Limited</t>
  </si>
  <si>
    <t>Bank Charges</t>
  </si>
  <si>
    <t>A00492</t>
  </si>
  <si>
    <t>Sale Amount Received - Unicap Securities Limited</t>
  </si>
  <si>
    <t>IPO Application of MK Footwear PLC (MKFOOTWEAR)</t>
  </si>
  <si>
    <t xml:space="preserve">         Net Investment in Shares, Securities &amp; Bonds</t>
  </si>
  <si>
    <t xml:space="preserve">          Brokerage Commission</t>
  </si>
  <si>
    <t xml:space="preserve">        Proceeds from Issuance of Units</t>
  </si>
  <si>
    <t xml:space="preserve">        Proceeds made for Re-purchase of Units</t>
  </si>
  <si>
    <t>2055-604070001</t>
  </si>
  <si>
    <t>A00495</t>
  </si>
  <si>
    <t>A00494</t>
  </si>
  <si>
    <t>A00496</t>
  </si>
  <si>
    <t>A00497</t>
  </si>
  <si>
    <t>A00498</t>
  </si>
  <si>
    <t>Formation Fee Payable to AMC</t>
  </si>
  <si>
    <t>Legal &amp; Compliance related Expenses</t>
  </si>
  <si>
    <t>BSEC Application Fees</t>
  </si>
  <si>
    <t>BSEC Registration Fees (0.2% of Initial Fund Size)</t>
  </si>
  <si>
    <t>Trust Deed Registration related expenses</t>
  </si>
  <si>
    <t xml:space="preserve">CDBL Fee (Distribution of 1.00057 crore unit* BDT 10* 0.00015) </t>
  </si>
  <si>
    <t>CDBL Annual Fee</t>
  </si>
  <si>
    <t>CDBL Documentation Fee</t>
  </si>
  <si>
    <t>Printing &amp; Publication</t>
  </si>
  <si>
    <t xml:space="preserve">Publication of abridge version of prospectus and IPO notification on daily newspaper. </t>
  </si>
  <si>
    <t>Printing of Prospectus</t>
  </si>
  <si>
    <t>Paid to CDBL</t>
  </si>
  <si>
    <t>Actual Liability</t>
  </si>
  <si>
    <t>Advertisement Fee</t>
  </si>
  <si>
    <t>A00500</t>
  </si>
  <si>
    <t>A00501</t>
  </si>
  <si>
    <t>A00502</t>
  </si>
  <si>
    <t>IPO Allotment of MK Footwear PLC (MKFOOTWEAR)</t>
  </si>
  <si>
    <t>Record Date - Adjust Interest Income from Sukuk</t>
  </si>
  <si>
    <t>A00503</t>
  </si>
  <si>
    <t>A00504</t>
  </si>
  <si>
    <t>Investment in Govt. Bond (BD0935441156)</t>
  </si>
  <si>
    <t>Interest Receivables from G.Bond (BD0935441156)</t>
  </si>
  <si>
    <t>Interest Received from Bank-MDB</t>
  </si>
  <si>
    <t>Interest Received from Bank-BRAC</t>
  </si>
  <si>
    <t>Interest Income from BANK is being Accrued</t>
  </si>
  <si>
    <t>Bank Charges-Modhumoti</t>
  </si>
  <si>
    <t>Interest Income decreased due to Source Tax</t>
  </si>
  <si>
    <t>Bank Charges-BRAC</t>
  </si>
  <si>
    <t>Payment of ANNUAL BSEC FEE</t>
  </si>
  <si>
    <t>FDR Renew with IDLC
(10552261228228)</t>
  </si>
  <si>
    <t>FDR Renew with IDLC
(10552261228229)</t>
  </si>
  <si>
    <t>Reverse Jurnal - Interest Income decreased due to Source Tax</t>
  </si>
  <si>
    <t>Aduit Fee Payable</t>
  </si>
  <si>
    <t>A00505</t>
  </si>
  <si>
    <t>FDR Renew with IDLC
(10552261228201-215)</t>
  </si>
  <si>
    <t>FDR Renew with IDLC
(10552261228216-220)</t>
  </si>
  <si>
    <t>FDR Encash with IDLC
(10552261228221-225)</t>
  </si>
  <si>
    <t>FDR Encash with DBH
(710001113983-84)</t>
  </si>
  <si>
    <t>FDR Renew with IPDC
(1001251000037534-37,40,41)</t>
  </si>
  <si>
    <t>FDR Renew with IPDC
(1001251000038439-41)</t>
  </si>
  <si>
    <t>FDR Renew with IPDC
(1001251000037538-39)</t>
  </si>
  <si>
    <t>FDR Encash with IDLC
(1055226122828-229)</t>
  </si>
  <si>
    <t>FDR Encash with IDLC
(1055226122826-227)</t>
  </si>
  <si>
    <t>Investment in Govt. Bond (BD0935201204)</t>
  </si>
  <si>
    <t>FDR Renew with DBH
(710001113981-82)</t>
  </si>
  <si>
    <t>Interest Receivables from G.Bond (BD0935201204)</t>
  </si>
  <si>
    <t>A00507</t>
  </si>
  <si>
    <t>Record Date - Adjust Interest Income from APSCLBOND</t>
  </si>
  <si>
    <t>Interest Received from APSCLBOND</t>
  </si>
  <si>
    <t>Investment in Govt. Bond (BD0934161201)</t>
  </si>
  <si>
    <t>Interest Receivables from G.Bond (BD0934161201)</t>
  </si>
  <si>
    <t>Payment of CDBL Charges</t>
  </si>
  <si>
    <t>Trade (S) of Amar Securities Limited</t>
  </si>
  <si>
    <t>Sale Amount Received - Amar Securities Limited</t>
  </si>
  <si>
    <t>Preliminary and issue expense (Liability)</t>
  </si>
  <si>
    <t>Preliminary &amp; issue expense is payable</t>
  </si>
  <si>
    <t>CDBL Fees (Includes in Preliminary and Issue Ecpense)</t>
  </si>
  <si>
    <t>Investment in Govt. Bond Renew 
(BD0940401203)</t>
  </si>
  <si>
    <t>BO Account Maintenance Fee</t>
  </si>
  <si>
    <t>Interest Receivables from G.Bond (BD0929441154)</t>
  </si>
  <si>
    <t>Investment in Govt. Bond
(BD0929441154)</t>
  </si>
  <si>
    <t>dividend receivable from EDGE High Quality Income Fund - 2023</t>
  </si>
  <si>
    <t>A00506</t>
  </si>
  <si>
    <t>Mid 1017</t>
  </si>
  <si>
    <t>Mid 146</t>
  </si>
  <si>
    <t>Brac</t>
  </si>
  <si>
    <t>Modhumoti (1135-12700000001)</t>
  </si>
  <si>
    <t>Modhu 01</t>
  </si>
  <si>
    <t>Interest42</t>
  </si>
  <si>
    <t>BRAC (2055-604070001)</t>
  </si>
  <si>
    <t>FDR Interest Received from IDLC
(10552261228238)</t>
  </si>
  <si>
    <t>FDR Interest Received from IDLC
(10552261228239)</t>
  </si>
  <si>
    <t>FDR Interest Received from IDLC
(10552261228241)</t>
  </si>
  <si>
    <t>FDR Interest Received from IDLC
(10552261228242)</t>
  </si>
  <si>
    <t>FDR Interest Received from DBH
(1710001115905)</t>
  </si>
  <si>
    <t>FDR Interest Received from DBH
(1710001115906)</t>
  </si>
  <si>
    <t>FDR Encash from IDLC
(10552261228238)</t>
  </si>
  <si>
    <t>FDR Encash from IDLC
(10552261228239)</t>
  </si>
  <si>
    <t>FDR Encash from IDLC
(10552261228241)</t>
  </si>
  <si>
    <t>FDR Encash from IDLC
(10552261228242)</t>
  </si>
  <si>
    <t>FDR Encash from IPDC
(1001-251000039188)</t>
  </si>
  <si>
    <t>FDR Encash from IPDC
(1001-251000039189)</t>
  </si>
  <si>
    <t>FDR Encash from DBH
(1710001115905)</t>
  </si>
  <si>
    <t>FDR Encash from DBH
(1710001115906)</t>
  </si>
  <si>
    <t>Investment in Govt. Bond Renew 
(B00924371059)</t>
  </si>
  <si>
    <t>Unit Surrender - SIP</t>
  </si>
  <si>
    <t>Interest Receivables from G.Bond (B00924371059)</t>
  </si>
  <si>
    <t>dividend Received from EDGE High Quality Income Fund - 2023</t>
  </si>
  <si>
    <t>A00509</t>
  </si>
  <si>
    <t>A00508</t>
  </si>
  <si>
    <t>Buy SUKUK of Amar Securities Limited</t>
  </si>
  <si>
    <t>Buy amount paid to Amar Securities Limited</t>
  </si>
  <si>
    <t>Investment in Govt. Bond
(BD0935201204)</t>
  </si>
  <si>
    <t>Investment in Govt. Bond
(BD0934161201)</t>
  </si>
  <si>
    <t>FDR</t>
  </si>
  <si>
    <t>Renew Investment in Govt. Bond
(BD0935441156)</t>
  </si>
  <si>
    <t>Custodian Fee Payable (March - June 2023)</t>
  </si>
  <si>
    <t>Custodian Fee Paid  (March - June 2023)</t>
  </si>
  <si>
    <t>2130-001440</t>
  </si>
  <si>
    <t>Audit Fee - June 2023</t>
  </si>
  <si>
    <t>A00511</t>
  </si>
  <si>
    <t>Encashment Investment in Govt. Bond
(BD0935201204)</t>
  </si>
  <si>
    <t>Investment in Govt. Bond (BD0939391209)</t>
  </si>
  <si>
    <t>Encashment Investment in Govt. Bond
(BD0934161201)</t>
  </si>
  <si>
    <t>Interest Receivables from G.Bond (BD0939391209)</t>
  </si>
  <si>
    <t>Unit Surrender - LUM &amp; SIP</t>
  </si>
  <si>
    <t>Bank Charges (Modhumoti)</t>
  </si>
  <si>
    <t>Encashment Investment in Govt. Bond
(BD0940401203)</t>
  </si>
  <si>
    <t>Encashment Investment in Govt. Bond
(BD0929441154)</t>
  </si>
  <si>
    <t>Investment in Govt. Bond (BD0937901157)</t>
  </si>
  <si>
    <t>Interest Receivables from G.Bond (BD0937901157)</t>
  </si>
  <si>
    <t xml:space="preserve">     Investment in Securities at Market Price</t>
  </si>
  <si>
    <t>Provision Against Diminution in Value of Investment</t>
  </si>
  <si>
    <t>FDR Encash from IPDC
(1001-251000038439)</t>
  </si>
  <si>
    <t>FDR Encash from IPDC
(1001-251000038440)</t>
  </si>
  <si>
    <t>FDR Encash from IPDC
(1001-251000038441)</t>
  </si>
  <si>
    <t>Investment in T-Bill</t>
  </si>
  <si>
    <t>Investments in T-Bill</t>
  </si>
  <si>
    <t>Interest Receivables from T-Bill</t>
  </si>
  <si>
    <t>Encashment Investment in Govt. Bond
(B00924371059)</t>
  </si>
  <si>
    <t>Unrealized gain on T-Bill</t>
  </si>
  <si>
    <t>Unrealized gain on T-Bond</t>
  </si>
  <si>
    <t>Fair value adjustment in T-Bill</t>
  </si>
  <si>
    <t>Fair value adjustment in T-Bond</t>
  </si>
  <si>
    <t>Realized gain on T-Bill</t>
  </si>
  <si>
    <t>Realized gain on T-Bond</t>
  </si>
  <si>
    <t xml:space="preserve">     Investments in T-Bond</t>
  </si>
  <si>
    <t xml:space="preserve">     Investments in T-Bill</t>
  </si>
  <si>
    <t>Investment at cost price T-Bill</t>
  </si>
  <si>
    <t>fair value adjustment T-Bill</t>
  </si>
  <si>
    <t>Investment at cost price T-Bond</t>
  </si>
  <si>
    <t>fair value adjustment T-Bond</t>
  </si>
  <si>
    <t xml:space="preserve">     Net gain on sale of T-Bill</t>
  </si>
  <si>
    <t xml:space="preserve">     Net gain on sale of T-Bond</t>
  </si>
  <si>
    <t xml:space="preserve">         Net Investment in T-Bill</t>
  </si>
  <si>
    <t>T-Bill</t>
  </si>
  <si>
    <t>T-Bond</t>
  </si>
  <si>
    <t>Investments in T-Bond (Contract)</t>
  </si>
  <si>
    <t>Interest Receivables from T.Bond (Contract)</t>
  </si>
  <si>
    <t>Fair Value Adjustment for T-Bill</t>
  </si>
  <si>
    <t>Encashment Investment in Govt. Bond
(BD0935441156)</t>
  </si>
  <si>
    <t>A00513</t>
  </si>
  <si>
    <t>FDR Encash from IDLC
(10552261228201-20)</t>
  </si>
  <si>
    <t>FDR Encash from IPDC
(1001-251000037534-41)</t>
  </si>
  <si>
    <t>FDR Encash from DBH
(710001113981-82)</t>
  </si>
  <si>
    <t>A00510</t>
  </si>
  <si>
    <t>Bank Charges for T-Bill</t>
  </si>
  <si>
    <t>Management fee Withdraw</t>
  </si>
  <si>
    <t>Interest Received from Sukuk for June 22, 2023</t>
  </si>
  <si>
    <t>Encashment Investment in Govt. Bond
(BD0939391209)</t>
  </si>
  <si>
    <t>A00514</t>
  </si>
  <si>
    <t>Sale of T-Bill</t>
  </si>
  <si>
    <t>Encashment Investment in Govt. Bond
(BD0937901157)</t>
  </si>
  <si>
    <t>A00515</t>
  </si>
  <si>
    <t>IPO Application of Agro Organica PLC (AOPLC)</t>
  </si>
  <si>
    <t>A00516</t>
  </si>
  <si>
    <t>Investment in T-Bill 
BD0909127245</t>
  </si>
  <si>
    <t>Sale of T-Bill (BD0901425233)</t>
  </si>
  <si>
    <t>IPO Allotment of Agro Organica PLC (AOPLC)</t>
  </si>
  <si>
    <t>Investment in T-Bill 
BD0909129241</t>
  </si>
  <si>
    <t>A00518</t>
  </si>
  <si>
    <t>Unit Surrender Return - SIP</t>
  </si>
  <si>
    <t>IPO Application of Sikder Insurance Company Limited (SICL)</t>
  </si>
  <si>
    <t>Investment in T-Bill 
BD0909131247</t>
  </si>
  <si>
    <t>A00519</t>
  </si>
  <si>
    <t>SB00002</t>
  </si>
  <si>
    <t>A00520</t>
  </si>
  <si>
    <t>A00524</t>
  </si>
  <si>
    <t>A00523</t>
  </si>
  <si>
    <t>A00522</t>
  </si>
  <si>
    <t>Bank Charges (60*5)</t>
  </si>
  <si>
    <t>Midland</t>
  </si>
  <si>
    <t>Modhumoti</t>
  </si>
  <si>
    <t>SBAC</t>
  </si>
  <si>
    <t>MTB</t>
  </si>
  <si>
    <t>Interest Received from Bank - BRAC</t>
  </si>
  <si>
    <t>Bank Charges - Midland</t>
  </si>
  <si>
    <t>Bank Charges Excess Duty - Midland</t>
  </si>
  <si>
    <t>Interest Received from Bank - Midland</t>
  </si>
  <si>
    <t>Bank Charges - Modhumoti</t>
  </si>
  <si>
    <t>Interest Received from Bank - Modhumoti</t>
  </si>
  <si>
    <t>Bank Charges Excess Duty - Modhumoti</t>
  </si>
  <si>
    <t>Bank Charges  - Modhumoti</t>
  </si>
  <si>
    <t>Bank Charges MAINTENANCE FEE - Modhumoti</t>
  </si>
  <si>
    <t>1310-000147462</t>
  </si>
  <si>
    <t>Interest Received from Bank - SBAC</t>
  </si>
  <si>
    <t>Bank Charges - SBAC</t>
  </si>
  <si>
    <t>Bank Charges  - SBAC</t>
  </si>
  <si>
    <t>Interest Received from Sukuk for Dec 22, 2023</t>
  </si>
  <si>
    <t>Bank Charges - BRAC</t>
  </si>
  <si>
    <t>Bank Charges Excess Duty - BRAC</t>
  </si>
  <si>
    <t>Interest Receivables from SUKUK</t>
  </si>
  <si>
    <t>Interest Receivables from Sukuk</t>
  </si>
  <si>
    <t>A00525</t>
  </si>
  <si>
    <t>IPO Allotment of Sikder Insurance Company Limited (SICL)</t>
  </si>
  <si>
    <t>Investment in T-Bill 
BD0909134241</t>
  </si>
  <si>
    <t>FDR Encash from IDLC
(10552261228243)</t>
  </si>
  <si>
    <t>FDR Encash from IDLC
(10552261228244)</t>
  </si>
  <si>
    <t>FDR Encash from IDLC
(10552261228245)</t>
  </si>
  <si>
    <t>FDR Encash from IDLC
(10552261228246)</t>
  </si>
  <si>
    <t>FDR Encash from IDLC
(10552261228247)</t>
  </si>
  <si>
    <t>FDR Encash from IDLC
(10552261228248)</t>
  </si>
  <si>
    <t>FDR Encash from IDLC
(10552261228249)</t>
  </si>
  <si>
    <t>FDR Encash from IDLC
(10552261228250)</t>
  </si>
  <si>
    <t>FDR Encash from IDLC
(10552261228251)</t>
  </si>
  <si>
    <t>FDR Encash from IDLC
(10552261228252)</t>
  </si>
  <si>
    <t>FDR Encash from IDLC
(10552261228253)</t>
  </si>
  <si>
    <t>FDR Encash from IDLC
(10552261228254)</t>
  </si>
  <si>
    <t>Unit Subscribe - LUMPSUM</t>
  </si>
  <si>
    <t>Bank Charges - MDB</t>
  </si>
  <si>
    <t>FDR Encash from IDLC
(10552261228255)</t>
  </si>
  <si>
    <t>FDR Encash from IDLC
(10552261228256)</t>
  </si>
  <si>
    <t>FDR Encash from IDLC
(10552261228257)</t>
  </si>
  <si>
    <t>FDR Encash from IDLC
(10552261228258)</t>
  </si>
  <si>
    <t>FDR Encash from IDLC
(10552261228259)</t>
  </si>
  <si>
    <t>FDR Encash from IDLC
(10552261228260)</t>
  </si>
  <si>
    <t>FDR Encash from IDLC
(10552261228261)</t>
  </si>
  <si>
    <t>FDR Encash from IDLC
(10552261228262)</t>
  </si>
  <si>
    <t>FDR Encash from IDLC
(10552261228263)</t>
  </si>
  <si>
    <t>FDR Encash from IDLC
(10552261228264)</t>
  </si>
  <si>
    <t>FDR Encash from IDLC
(10552261228265)</t>
  </si>
  <si>
    <t>FDR Encash from IDLC
(10552261228266)</t>
  </si>
  <si>
    <t>FDR Encash from IDLC
(10552261228267)</t>
  </si>
  <si>
    <t>FDR Encash from IDLC
(10552261228268)</t>
  </si>
  <si>
    <t>Sale of T-Bill (BD0909119242)</t>
  </si>
  <si>
    <t>Bank Charges - MTB</t>
  </si>
  <si>
    <t>MTBL</t>
  </si>
  <si>
    <t>Interest5</t>
  </si>
  <si>
    <t>A00526</t>
  </si>
  <si>
    <t>Sale of T-Bill (BD0909123244)</t>
  </si>
  <si>
    <t>Investment in T-Bill 
BD0909138242</t>
  </si>
  <si>
    <t>A00528</t>
  </si>
  <si>
    <t>Sale of T-Bill (BD0909124242)</t>
  </si>
  <si>
    <t>Investment in T-Bill 
BD0909139240</t>
  </si>
  <si>
    <t>A00527</t>
  </si>
  <si>
    <t>B00002</t>
  </si>
  <si>
    <t>Interest Income and Redemption of APSCLBOND</t>
  </si>
  <si>
    <t>IPO Application of Web Coats PLC. (WEBCOATS)</t>
  </si>
  <si>
    <t>IPO Allotment of  Web Coats PLC. (WEBCOATS)</t>
  </si>
  <si>
    <t>MTB (1310-000147462)</t>
  </si>
  <si>
    <t>Sale of T-Bill (BD0909126247)</t>
  </si>
  <si>
    <t>Investments in Bond (APSCL)</t>
  </si>
  <si>
    <t>Investments in Bond (BXSUKUK)</t>
  </si>
  <si>
    <t>Interest income from BXSUKUK</t>
  </si>
  <si>
    <t>Interest income from APSCL</t>
  </si>
  <si>
    <t>Interest income from Bank Acc.</t>
  </si>
  <si>
    <t>Interest income from FDR</t>
  </si>
  <si>
    <t>Interest income reduce for Bond Premium</t>
  </si>
  <si>
    <t>Sale of T-Bill (BD0909127245)</t>
  </si>
  <si>
    <t>Investment in T-Bill 
BD0909141246</t>
  </si>
  <si>
    <t>Realized gain from Bond Premium</t>
  </si>
  <si>
    <t>A00529</t>
  </si>
  <si>
    <t>A00531</t>
  </si>
  <si>
    <t>Investment in T-Bond
BD0926251028</t>
  </si>
  <si>
    <t>Sale of T-Bill (BD0909129241)</t>
  </si>
  <si>
    <t>Investment in T-Bill 
BD0909142244</t>
  </si>
  <si>
    <t>A00530</t>
  </si>
  <si>
    <t>Fair Value Adjustment for T-Bond</t>
  </si>
  <si>
    <t>A00533</t>
  </si>
  <si>
    <t>A00532</t>
  </si>
  <si>
    <t>Sale of T-Bill (BD0909130249)</t>
  </si>
  <si>
    <t>Sale of T-Bill (BD0909131247)</t>
  </si>
  <si>
    <t>Investment in T-Bond
BD0926381023</t>
  </si>
  <si>
    <t>A00534</t>
  </si>
  <si>
    <t>Sale of T-Bill (BD0909133243)</t>
  </si>
  <si>
    <t>Sale of T-Bill (BD0918215247)</t>
  </si>
  <si>
    <t>Custodian Fee Paid  (July - Dec 2023)</t>
  </si>
  <si>
    <t>A00535</t>
  </si>
  <si>
    <t xml:space="preserve">          Withholding Tax Payable</t>
  </si>
  <si>
    <t>Bank Excess duty - Modhumoti</t>
  </si>
  <si>
    <t>Bank Charge - Modhumoti</t>
  </si>
  <si>
    <t>Sale of T-Bill (BD0909134241)</t>
  </si>
  <si>
    <t>Investment in T-Bond
BD0929401059</t>
  </si>
  <si>
    <t>IPO Application of Techno Drugs Ltd. (TECHNODRUG)</t>
  </si>
  <si>
    <t xml:space="preserve">IPO Application Cancle </t>
  </si>
  <si>
    <t>IPO Application of Craftsman Footwear and Accessories Limited (CRAFTSMAN)</t>
  </si>
  <si>
    <t>Trustee Fee Paid From March 1 - Dec 2023</t>
  </si>
  <si>
    <t>Investment in T-Bill 
BD0909149249</t>
  </si>
  <si>
    <t>Investment in T-Bill BD0909150247</t>
  </si>
  <si>
    <t>Investment in T-Bond BD0926381023</t>
  </si>
  <si>
    <t>IPO Allotment of  Craftsman Footwear &amp; Accessories Ltd. (CRAFTSMAN)</t>
  </si>
  <si>
    <t>A00538</t>
  </si>
  <si>
    <t>A00539</t>
  </si>
  <si>
    <t>Interest Income from FDR is being Accrued - IDLC Finance</t>
  </si>
  <si>
    <t>Investment in T-Bill (BD0909151245</t>
  </si>
  <si>
    <t>Investment in T-Bond (BD0926421027</t>
  </si>
  <si>
    <t>Withholding Tax Payable of Expemses</t>
  </si>
  <si>
    <t>Sale of T-Bill (BD0909138242)</t>
  </si>
  <si>
    <t>Investment in T-Bill (BD0909152243</t>
  </si>
  <si>
    <t>Investment Withdraw in EDGE HIGH QUALITY INCOME FUND</t>
  </si>
  <si>
    <t>Sale of T-Bill (BD0929401059)</t>
  </si>
  <si>
    <t>Weekly charge of management fee Reverse</t>
  </si>
  <si>
    <t>A00540</t>
  </si>
  <si>
    <t>A00537</t>
  </si>
  <si>
    <t>A00542</t>
  </si>
  <si>
    <t>A00545</t>
  </si>
  <si>
    <t>Sale of T-Bill (BD0909139240)</t>
  </si>
  <si>
    <t>Investment in T-Bill (BD0909153241</t>
  </si>
  <si>
    <t>A00544</t>
  </si>
  <si>
    <t>A00536</t>
  </si>
  <si>
    <t>Investment in T-Bill (BD0909154249</t>
  </si>
  <si>
    <t>A00549</t>
  </si>
  <si>
    <t>Tax Payment of CDBL Charges</t>
  </si>
  <si>
    <t>A00547</t>
  </si>
  <si>
    <t>A00546</t>
  </si>
  <si>
    <t>A00550</t>
  </si>
  <si>
    <t>A00551</t>
  </si>
  <si>
    <t>Sale of T-Bill (BD0909141246</t>
  </si>
  <si>
    <t>A00552</t>
  </si>
  <si>
    <t>A00554</t>
  </si>
  <si>
    <t>Unit Surrender - LUMPSUM &amp; SIP</t>
  </si>
  <si>
    <t>Investment in T-Bill (BD0909148241</t>
  </si>
  <si>
    <t>Sale of T-Bill (BD0909142244</t>
  </si>
  <si>
    <t>Investment in T-Bill (BD0909158240</t>
  </si>
  <si>
    <t>A00555</t>
  </si>
  <si>
    <t>A00543</t>
  </si>
  <si>
    <t>A00541</t>
  </si>
  <si>
    <t>A00553</t>
  </si>
  <si>
    <t>A00556</t>
  </si>
  <si>
    <t>Management fee return</t>
  </si>
  <si>
    <t>A00558</t>
  </si>
  <si>
    <t>FARUK-E AZAM BIN HAIDER</t>
  </si>
  <si>
    <t>SHAHNAJ PARVEEN</t>
  </si>
  <si>
    <t>MOHAMMAD IQBAL REZWAN &amp; Ms. NILUFAR FERDOUS</t>
  </si>
  <si>
    <t>DHAKA IMPERIAL COLLEGE TEACHERS STAFF MULTIPURPOSE CO-OPERATIVE SOCIETY LTD.</t>
  </si>
  <si>
    <t>HOSNE ARA ISLAM</t>
  </si>
  <si>
    <t>B.M. ASIFUR RAHMAN FARHAD</t>
  </si>
  <si>
    <t>NADIA FERDOUS NOOR</t>
  </si>
  <si>
    <t>RITA RANI GHOSH</t>
  </si>
  <si>
    <t>FAHMIDA SAEED SAKI</t>
  </si>
  <si>
    <t>MD. MAHMUDUL KABIR</t>
  </si>
  <si>
    <t>MOHAMMAD PARVEZ RANA</t>
  </si>
  <si>
    <t>RABIA AFROZA</t>
  </si>
  <si>
    <t>KHAN MUHAMMAD KAWSER AHMED</t>
  </si>
  <si>
    <t>REKHA PARVIN</t>
  </si>
  <si>
    <t>MD. IFTEKHARUL ISLAM BHUIYAN</t>
  </si>
  <si>
    <t>ROYAL CAPITAL LIMITED</t>
  </si>
  <si>
    <t>MD JAMAL HOSSAIN</t>
  </si>
  <si>
    <t>MOHAMMAD HASAN SHAHRIAR MASUD</t>
  </si>
  <si>
    <t>TAPATI RANI DAS</t>
  </si>
  <si>
    <t>SAMS SAIYADENA ZEESHA</t>
  </si>
  <si>
    <t>AMARSTOCK LIMITED</t>
  </si>
  <si>
    <t>MOHAMMAD ISMAIL</t>
  </si>
  <si>
    <t>A00458</t>
  </si>
  <si>
    <t>DHAKA IMPERIAL COLLEGE EMPLOYEES PROVIDENT FUND</t>
  </si>
  <si>
    <t>MOIN UDDIN SIDDIQUE</t>
  </si>
  <si>
    <t>FARZANA JITU</t>
  </si>
  <si>
    <t>MALLIKA BISWAS</t>
  </si>
  <si>
    <t>UMME SAIKA NILA</t>
  </si>
  <si>
    <t>MOHAMMAD HUMAYAN RASHID</t>
  </si>
  <si>
    <t>EDGE HIGH QUALITY INCOME FUND</t>
  </si>
  <si>
    <t>SANDHANI AML SLIC FIXED INCOME FUND</t>
  </si>
  <si>
    <t>SALMAN ZAMAL</t>
  </si>
  <si>
    <t>MADHAB GHOSH</t>
  </si>
  <si>
    <t>SOURAV SAHA</t>
  </si>
  <si>
    <t>MUHAMMAD SHOHIDUZZAMAN</t>
  </si>
  <si>
    <t>SABIRA SALAM RIDI</t>
  </si>
  <si>
    <t>ABIR SAHA</t>
  </si>
  <si>
    <t>MAMUN SIRAJUL ALAM</t>
  </si>
  <si>
    <t>MICHAEL THOMAS BEA</t>
  </si>
  <si>
    <t>MD. MONIRUL ISLAM</t>
  </si>
  <si>
    <t>A00475</t>
  </si>
  <si>
    <t>A.K.M REZAUL KARIM</t>
  </si>
  <si>
    <t>NAYEEM JAHANGIR</t>
  </si>
  <si>
    <t>A00477</t>
  </si>
  <si>
    <t>S.M. SAIFUL ISLAM</t>
  </si>
  <si>
    <t>A00478</t>
  </si>
  <si>
    <t>KAZI MAZBAH UDDIN</t>
  </si>
  <si>
    <t>MD. MOHIBULLAH CHOWDHURY</t>
  </si>
  <si>
    <t>A00480</t>
  </si>
  <si>
    <t>NUR-E-SALVEEN</t>
  </si>
  <si>
    <t>A00481</t>
  </si>
  <si>
    <t>MOHAMMAD HASAN</t>
  </si>
  <si>
    <t>A00482</t>
  </si>
  <si>
    <t>ABU MUSA MIRZA KAMRUZZAMAN SHAHEE</t>
  </si>
  <si>
    <t>A00483</t>
  </si>
  <si>
    <t>MOHAMMED MUQEET HALIM</t>
  </si>
  <si>
    <t>ASHIK IQBAL CHOWDHURY</t>
  </si>
  <si>
    <t>A00485</t>
  </si>
  <si>
    <t>SADIA PARVIN</t>
  </si>
  <si>
    <t>A00486</t>
  </si>
  <si>
    <t>SANJIB KUMAR ROY</t>
  </si>
  <si>
    <t>A00487</t>
  </si>
  <si>
    <t>SUMAN SAHA</t>
  </si>
  <si>
    <t>A00488</t>
  </si>
  <si>
    <t>FAZLE KARIM MURAD</t>
  </si>
  <si>
    <t>MUSTAFA KAMAL MASUD</t>
  </si>
  <si>
    <t>MOHAMMED SHARIFUL ISLAM</t>
  </si>
  <si>
    <t>A00491</t>
  </si>
  <si>
    <t>NUSRAT JAHAN</t>
  </si>
  <si>
    <t>SIKDER FAZLE RABBI</t>
  </si>
  <si>
    <t>A00493</t>
  </si>
  <si>
    <t>MD SHAFIQUR RAHMAN MONSI</t>
  </si>
  <si>
    <t>JISHAN SHAMSAD</t>
  </si>
  <si>
    <t>RAJIV HASSAN</t>
  </si>
  <si>
    <t>SHAHRIAR AZAD SHASHI</t>
  </si>
  <si>
    <t>MD. BASHARAT HASAN</t>
  </si>
  <si>
    <t>MUBTASIN KABIR</t>
  </si>
  <si>
    <t>A00499</t>
  </si>
  <si>
    <t>MUHAMMAD SAJJAD HOSSAIN</t>
  </si>
  <si>
    <t>SAIFUL ISLAM</t>
  </si>
  <si>
    <t>KHALED HOSSAIN</t>
  </si>
  <si>
    <t>HUMAIRA TABASSUM READDHE</t>
  </si>
  <si>
    <t>FATEHA KHATUN</t>
  </si>
  <si>
    <t>A.N.M. GOLAM SHABBIR</t>
  </si>
  <si>
    <t>UMMYA ROMAN</t>
  </si>
  <si>
    <t>ASFIA AFRIN TONNY</t>
  </si>
  <si>
    <t>KALPANA RANI</t>
  </si>
  <si>
    <t>JUBAIDA FARHANA HAQUE</t>
  </si>
  <si>
    <t>S.M. MAHBUBUR RAHMAN</t>
  </si>
  <si>
    <t>TANIA AKTER</t>
  </si>
  <si>
    <t>A00512</t>
  </si>
  <si>
    <t>MOIN UDDIN</t>
  </si>
  <si>
    <t>SAIQA MAZED</t>
  </si>
  <si>
    <t>MST. GOLENUR</t>
  </si>
  <si>
    <t>ASHAK ELAHI</t>
  </si>
  <si>
    <t>FARZANA MOSTAFA TITHE</t>
  </si>
  <si>
    <t>A00517</t>
  </si>
  <si>
    <t>BEAUTY BEGUM LOTA</t>
  </si>
  <si>
    <t>MD. JEDAR HOSSAIN</t>
  </si>
  <si>
    <t xml:space="preserve">H. S. M. SHAFEE BIN ALAM </t>
  </si>
  <si>
    <t>MD SULTAN MAMONUR RASHID</t>
  </si>
  <si>
    <t>A00521</t>
  </si>
  <si>
    <t xml:space="preserve">CWT EMERGING BANGLADESH FIRST GROWTH FUND </t>
  </si>
  <si>
    <t xml:space="preserve">CWT-SADHARAN BIMA GROWTH FUND </t>
  </si>
  <si>
    <t>CWT OPPORTUNITIES FUND</t>
  </si>
  <si>
    <t>MST SANTA ISLAM</t>
  </si>
  <si>
    <t>TAJDIKUL ALAM</t>
  </si>
  <si>
    <t>ASHIK CHOWDHURY OVI</t>
  </si>
  <si>
    <t>SHAH MUNTASIN MUJTABA</t>
  </si>
  <si>
    <t>ADNAN NOOR</t>
  </si>
  <si>
    <t>SHAHEEN SIAM</t>
  </si>
  <si>
    <t>A. K. M. MAHMUDUL ALAM</t>
  </si>
  <si>
    <t>ZINNATUL PERVIN JUI</t>
  </si>
  <si>
    <t>SB00003</t>
  </si>
  <si>
    <t>KAZI HABIBUR RAHMAN</t>
  </si>
  <si>
    <t>3A &amp; COMPANY LTD.</t>
  </si>
  <si>
    <t>AKIB TANVIR ANJUM</t>
  </si>
  <si>
    <t>CHAMPA SAHA</t>
  </si>
  <si>
    <t>ISMAIL HOSSEN</t>
  </si>
  <si>
    <t>MOHAMMAD HASAN IMAM</t>
  </si>
  <si>
    <t>BETAONE INVESTMENTS LIMITED</t>
  </si>
  <si>
    <t>MD MINHAZ UDDIN</t>
  </si>
  <si>
    <t>TANZEEN FERDOUS ALAM</t>
  </si>
  <si>
    <t>MAHMUD ALI ALAMGIR &amp; MOHAMMED ALI XAHANGIR</t>
  </si>
  <si>
    <t>NAZIA TABASSUM</t>
  </si>
  <si>
    <t>RITU SWARNA ROY</t>
  </si>
  <si>
    <t>KAZI MINUDDIN MAMUN</t>
  </si>
  <si>
    <t>MD AYNUL HOQUE</t>
  </si>
  <si>
    <t>ANINDITA SAHA</t>
  </si>
  <si>
    <t>MOHSIN REZA</t>
  </si>
  <si>
    <t>SHIREEN AFROZE</t>
  </si>
  <si>
    <t>A00548</t>
  </si>
  <si>
    <t>TANJINA ZAMAN ANISHA</t>
  </si>
  <si>
    <t>A. K. M. BAZLUR RASHID</t>
  </si>
  <si>
    <t>NRB BANK LIMITED</t>
  </si>
  <si>
    <t>TANZILA NUR</t>
  </si>
  <si>
    <t>FARIZA RAHMAN</t>
  </si>
  <si>
    <t>TAMANNA AFRIN MITUL</t>
  </si>
  <si>
    <t>KH KHAIRUL ALAM NABIL</t>
  </si>
  <si>
    <t>FARIHA FARZANA</t>
  </si>
  <si>
    <t>MD. AKRAM UDDIN</t>
  </si>
  <si>
    <t>A00557</t>
  </si>
  <si>
    <t>MAHMOOD KABIR</t>
  </si>
  <si>
    <t>JAKARIA MD. JONY</t>
  </si>
  <si>
    <t>A00559</t>
  </si>
  <si>
    <t>A00562</t>
  </si>
  <si>
    <t>A00560</t>
  </si>
  <si>
    <t>A00564</t>
  </si>
  <si>
    <t>A00561</t>
  </si>
  <si>
    <t>A00563</t>
  </si>
  <si>
    <t>A00572</t>
  </si>
  <si>
    <t>A00573</t>
  </si>
  <si>
    <t>A00568</t>
  </si>
  <si>
    <t>A00576</t>
  </si>
  <si>
    <t>A00577</t>
  </si>
  <si>
    <t>A00578</t>
  </si>
  <si>
    <t>A00575</t>
  </si>
  <si>
    <t>A00565</t>
  </si>
  <si>
    <t>A00579</t>
  </si>
  <si>
    <t>A00570</t>
  </si>
  <si>
    <t>A00574</t>
  </si>
  <si>
    <t>A00571</t>
  </si>
  <si>
    <t>A00566</t>
  </si>
  <si>
    <t>Sale of T-Bill (BD0909152243</t>
  </si>
  <si>
    <t>Sale of T-Bill (BD0909154249</t>
  </si>
  <si>
    <t>Sale of T-Bill (BD0909155244</t>
  </si>
  <si>
    <t>Investment in T-Bill (BD0909164248</t>
  </si>
  <si>
    <t>Investment in T-Bill (BD0909155244</t>
  </si>
  <si>
    <t>Investment in T-Bill (BD0909167241</t>
  </si>
  <si>
    <t>A00580</t>
  </si>
  <si>
    <t>A00581</t>
  </si>
  <si>
    <t>A00569</t>
  </si>
  <si>
    <t>Bank Interest income - BRAC</t>
  </si>
  <si>
    <t xml:space="preserve">Bank Interest income - Midland </t>
  </si>
  <si>
    <t>Bank Interest income - SBAC</t>
  </si>
  <si>
    <t>Bank Interest income - MTB</t>
  </si>
  <si>
    <t>1012-050203836</t>
  </si>
  <si>
    <t>NRB</t>
  </si>
  <si>
    <t>Investments in T-Bond</t>
  </si>
  <si>
    <t xml:space="preserve">         Net Investment in T-Bond</t>
  </si>
  <si>
    <t>Interest Income -BRAC</t>
  </si>
  <si>
    <t>Interest Income -Midland</t>
  </si>
  <si>
    <t>Interest Income -MTB</t>
  </si>
  <si>
    <t>Sukuk Income Receivable Reverse</t>
  </si>
  <si>
    <t>Sukuk Income</t>
  </si>
  <si>
    <t>T-BOND Interest income</t>
  </si>
  <si>
    <t>Interest income from T-Bond</t>
  </si>
  <si>
    <t>Bank Charges Return - Midland</t>
  </si>
  <si>
    <t>Advanced BSEC Annual Fee</t>
  </si>
  <si>
    <t xml:space="preserve">paid Withholding Tax </t>
  </si>
  <si>
    <t>A00583</t>
  </si>
  <si>
    <t>Advanced BSEC Annual Fee Expenses</t>
  </si>
  <si>
    <t>Sale of T-Bill (BD0909148241</t>
  </si>
  <si>
    <t>A00584</t>
  </si>
  <si>
    <t>Sale of T-Bill (BD0909149249</t>
  </si>
  <si>
    <t>Investment in T-Bond (BD0934401102</t>
  </si>
  <si>
    <t>Interest Receivables from Sukuk Reverse due to sale</t>
  </si>
  <si>
    <t>Paid Withholding Tax for CDBL Fee</t>
  </si>
  <si>
    <t>Interest Receivables  from APSCLBOND is being Accrued</t>
  </si>
  <si>
    <t>Interest Received of APSCLBOND</t>
  </si>
  <si>
    <t>Sale of T-Bill (BD0909150247</t>
  </si>
  <si>
    <t>Unit Surrender - SIP &amp;LUMSUMP</t>
  </si>
  <si>
    <t>FDR Renew IDLC Finance (10552261228269-70)</t>
  </si>
  <si>
    <t>Interest Received - IDLC Finance</t>
  </si>
  <si>
    <t>Sale of T-Bill (BD0909151245</t>
  </si>
  <si>
    <t>Investment in T-Bond (BD0928221052</t>
  </si>
  <si>
    <t>A00582</t>
  </si>
  <si>
    <t>FDR Renew IDLC Finance (10552261228271-76)</t>
  </si>
  <si>
    <t>Sale of T-Bill (BD0909153241</t>
  </si>
  <si>
    <t>Investment in T-Bill (BD0909101240</t>
  </si>
  <si>
    <t>Investment in T-Bond (BD0929401059</t>
  </si>
  <si>
    <t>Investment in T-Bond (BD0934481104</t>
  </si>
  <si>
    <t>Investment in T-Bill (BD0909106249</t>
  </si>
  <si>
    <t>Audit Fee - June 2024</t>
  </si>
  <si>
    <t>Interest Receivables from T-Bond</t>
  </si>
  <si>
    <t>A00587</t>
  </si>
  <si>
    <t>Investment in T-Bond (BD0928181058</t>
  </si>
  <si>
    <t>FDR Renew IDLC Finance (10552261228277-87)</t>
  </si>
  <si>
    <t>Investment in T-Bill (BD0909108245</t>
  </si>
  <si>
    <t>FDR Renew IDLC Finance (10552261228289)</t>
  </si>
  <si>
    <t>Paid Withholding Tax for Audit Fee</t>
  </si>
  <si>
    <t>Sale of T-Bill (BD0909158240</t>
  </si>
  <si>
    <t>Investment in T-Bill (BD0909109243</t>
  </si>
  <si>
    <t>Investment in T-Bond (BD0929431056</t>
  </si>
  <si>
    <t>FDR Renew IDLC Finance (10552261228290)</t>
  </si>
  <si>
    <t>FDR Renew IDLC Finance (10552261228291-7</t>
  </si>
  <si>
    <t>A00588</t>
  </si>
  <si>
    <t>Capital Market</t>
  </si>
  <si>
    <t>Weekly</t>
  </si>
  <si>
    <t>Month End</t>
  </si>
  <si>
    <t>Fee of .05%</t>
  </si>
  <si>
    <t>Monthly</t>
  </si>
  <si>
    <t>Difference</t>
  </si>
  <si>
    <t>Custodian Fee Payable</t>
  </si>
  <si>
    <t>Investment in T-Bond (BD0926251028 / TB2Y0126</t>
  </si>
  <si>
    <t>Sale of T-Bill (BD0909164248</t>
  </si>
  <si>
    <t>Sale of T-Bill (BD0909106249</t>
  </si>
  <si>
    <t>Investment in T-Bond (BD0937901157</t>
  </si>
  <si>
    <t>Investment in T-Bond (BD0944051202</t>
  </si>
  <si>
    <t>Paid Withholding Tax for Custodian Fee</t>
  </si>
  <si>
    <t>Investment in T-Bond (BD0935441156</t>
  </si>
  <si>
    <t>Unit  Subscription  - SIP</t>
  </si>
  <si>
    <t>A00589</t>
  </si>
  <si>
    <t>FDR Withdraw IDLC Finance (10452261228201)</t>
  </si>
  <si>
    <t>FDR Withdraw IDLC Finance (10452261228202)</t>
  </si>
  <si>
    <t>Sale of T-Bill (BD0909167241</t>
  </si>
  <si>
    <t>FDR Withdraw IDLC Finance (10452261224204)</t>
  </si>
  <si>
    <t>Sale of T-Bill (BD0909101240</t>
  </si>
  <si>
    <t>Withholding Tax- Management Fee</t>
  </si>
  <si>
    <t>Interest Received from T-Bond (BD0926381023)</t>
  </si>
  <si>
    <t>Custodian Fee Paid</t>
  </si>
  <si>
    <t>Interest Received from T-Bond (BD0929401059)</t>
  </si>
  <si>
    <t>A00590</t>
  </si>
  <si>
    <t>Interest Received from T-Bond (BD0934401102)</t>
  </si>
  <si>
    <t>Investment in T-Bond (BD0934311103</t>
  </si>
  <si>
    <t>A00592</t>
  </si>
  <si>
    <t>Trustee Fee Paid From Jan-June 2024</t>
  </si>
  <si>
    <t>Investment in T-Bill (BD0909119259</t>
  </si>
  <si>
    <t>A00593</t>
  </si>
  <si>
    <t>A00594</t>
  </si>
  <si>
    <t>FDR Withdraw IDLC Finance (10552261228269)</t>
  </si>
  <si>
    <t>FDR Withdraw IDLC Finance (10552261228270)</t>
  </si>
  <si>
    <t>Interest Received from T-Bond (BD0926421027</t>
  </si>
  <si>
    <t>Withholding Tax Paid to Government</t>
  </si>
  <si>
    <t>Investment in T-Bond (BD0929151050</t>
  </si>
  <si>
    <t xml:space="preserve">Interest Receivable from T-Bond </t>
  </si>
  <si>
    <t>FDR Withdraw IDLC Finance (10552261228273)</t>
  </si>
  <si>
    <t>FDR Withdraw IDLC Finance (10552261228274)</t>
  </si>
  <si>
    <t>FDR Withdraw IDLC Finance (10552261228275)</t>
  </si>
  <si>
    <t>FDR Withdraw IDLC Finance (10552261228276)</t>
  </si>
  <si>
    <t>FDR Renew IDLC Finance (10552261228271)</t>
  </si>
  <si>
    <t>FDR Renew IDLC Finance (10552261228272)</t>
  </si>
  <si>
    <t>Investment in T-Bond (BD0939371151</t>
  </si>
  <si>
    <t>A00595</t>
  </si>
  <si>
    <t>Sale of T-Bill (BD0909108245</t>
  </si>
  <si>
    <t>FDR Withdraw IDLC Finance (10552261228277)</t>
  </si>
  <si>
    <t>FDR Withdraw IDLC Finance (10552261228278-87</t>
  </si>
  <si>
    <t>Investment in T-Bond (BD0927231037</t>
  </si>
  <si>
    <t>FDR Withdraw IDLC Finance (10552261228297)</t>
  </si>
  <si>
    <t>FDR Withdraw IDLC Finance (10552261228296)</t>
  </si>
  <si>
    <t>FDR Withdraw IDLC Finance (10552261228295-91)</t>
  </si>
  <si>
    <t>A00596</t>
  </si>
  <si>
    <t>A00597</t>
  </si>
  <si>
    <t>Management fee Withdraw July 3 to Sep 2</t>
  </si>
  <si>
    <t xml:space="preserve">Interest Received from T-Bond </t>
  </si>
  <si>
    <t>Coupon Interest Received from T-Bond (BD0928221052)</t>
  </si>
  <si>
    <t>Coupon Interest Received from T-Bond (BD0928221052 / TB5Y1228)</t>
  </si>
  <si>
    <t>Investment in T-Bond (BD0933071104</t>
  </si>
  <si>
    <t>A00598</t>
  </si>
  <si>
    <t>Coupon Interest Received from T-Bond (BD0934481104)</t>
  </si>
  <si>
    <t>Sale of T-Bond (BD0926421027</t>
  </si>
  <si>
    <t>Coupon Interest Received from T-Bond (BD0935441156)</t>
  </si>
  <si>
    <t>For the period from July 1 to December 31, 2024</t>
  </si>
  <si>
    <t>For the period of July 1 to December 31, 2024</t>
  </si>
  <si>
    <t>As on December 29, 2024</t>
  </si>
  <si>
    <t>Coupon Interest Received from T-Bond (BD0937901157)</t>
  </si>
  <si>
    <t>Interest Income - MTB</t>
  </si>
  <si>
    <t>Interest Income - SBAC</t>
  </si>
  <si>
    <t>Coupon Interest Received from T-Bond (BD0926251028 / TB2Y0126)</t>
  </si>
  <si>
    <t>Coupon Interest Received from T-Bond (BD0926251028)</t>
  </si>
  <si>
    <t>Investment in T-Bond (BD0928271032</t>
  </si>
  <si>
    <t>P00001</t>
  </si>
  <si>
    <t>Investment in T-Bond (BD0929241059</t>
  </si>
  <si>
    <t>Trade (B) of Securities at Amar Securities Limited</t>
  </si>
  <si>
    <t>APSCLBOND Redemption</t>
  </si>
  <si>
    <t>Management fee Withdraw till Dec 2</t>
  </si>
  <si>
    <t>Investment in T-Bond (BD0935291106</t>
  </si>
  <si>
    <t>Sale of T-Bill (BD0909119259</t>
  </si>
  <si>
    <t>Coupon Interest Received from T-Bond (BD0944051202)</t>
  </si>
  <si>
    <t>APSCLBOND Redemption Received &amp; Interest Income</t>
  </si>
  <si>
    <t>A00599</t>
  </si>
  <si>
    <t>A00600</t>
  </si>
  <si>
    <t>Sell of T-Bond (BD0926251028</t>
  </si>
  <si>
    <t>Sell of T-Bond (BD0926381023</t>
  </si>
  <si>
    <t>A00601</t>
  </si>
  <si>
    <t>Preliminary and issue expense Paid</t>
  </si>
  <si>
    <t>A00603</t>
  </si>
  <si>
    <t>FDR with DBH Finance</t>
  </si>
  <si>
    <t>Investments in BRAC Bank 2nd Subordinated Bond</t>
  </si>
  <si>
    <t>Interest Receivables from BRAC Bank Bond</t>
  </si>
  <si>
    <t>Interest income from BRAC Bank Bond</t>
  </si>
  <si>
    <t>Coupon Interest Received from T-Bond (BD0933071104)</t>
  </si>
  <si>
    <t xml:space="preserve">     Investments in Corporate Bond</t>
  </si>
  <si>
    <t>Interest Income from BRAC Bank 2nd Subordinated Bond</t>
  </si>
  <si>
    <t>Investment in T-Bond (BD0926461023 / TB2Y0626</t>
  </si>
  <si>
    <t>Coupon Interest Received from T-Bond (BD0934311103)</t>
  </si>
  <si>
    <t>Custodian Fee Paid  (July - Dec 2024)</t>
  </si>
  <si>
    <t>Interest Income - DBH Finance</t>
  </si>
  <si>
    <t>Management fee Withdraw till March 2</t>
  </si>
  <si>
    <t>Interest Income from FDR is being Accrued - IDLC Finance (10453561228224-10453561228253)</t>
  </si>
  <si>
    <t>Interest Income from FDR is being Accrued - IDLC Finance (10453561228201-10453561228223)</t>
  </si>
  <si>
    <t>Interest Income from FDR is being Accrued - IDLC Finance (10453561228254-10453561228261)</t>
  </si>
  <si>
    <t>Interest Income from FDR is being Accrued - IDLC Finance (10552261228271-10552261228272)</t>
  </si>
  <si>
    <t>Interest Income from FDR is being Accrued - DBH Finance (171000233068-171000233079)</t>
  </si>
  <si>
    <t>Interest Income from FDR is being Accrued - DBH Finance (171000233178-171000233189)</t>
  </si>
  <si>
    <t>Interest Income - IDLC Finance (10453561228224-10453561228253)</t>
  </si>
  <si>
    <t>A00602</t>
  </si>
  <si>
    <t>Interest Income - IDLC Finance (10453561228201-10453561228223)</t>
  </si>
  <si>
    <t>Interest Income - IDLC Finance (10453561228254-10453561228261) 2/8</t>
  </si>
  <si>
    <t>Interest Income - IDLC Finance (10453561228254-10453561228261) 6/8</t>
  </si>
  <si>
    <t>A00604</t>
  </si>
  <si>
    <t>Interest Income - DBH Finance (171000233068-171000233079)</t>
  </si>
  <si>
    <t>Interest Income - DBH Finance (171000233178-171000233189)</t>
  </si>
  <si>
    <t>Coupon Interest Received from T-Bond (BD0939371151)</t>
  </si>
  <si>
    <t>Investments in Bank Asia 4th Subordinated Bond</t>
  </si>
  <si>
    <t>Interest Receivables from Bank Asia Bond</t>
  </si>
  <si>
    <t>Coupon Interest Received from T-Bond (BD0928271032)</t>
  </si>
  <si>
    <t>Coupon Interest Received from T-Bond (BD0929151050)</t>
  </si>
  <si>
    <t>Coupon Interest Received from T-Bond (BD0927231037)</t>
  </si>
  <si>
    <t>Interest income from Bank Asia Bond</t>
  </si>
  <si>
    <t>Interest Income from Bank Asia 4th Subordinated Bond</t>
  </si>
  <si>
    <t>A00606</t>
  </si>
  <si>
    <t>Sell of T-Bond (BD0928181058</t>
  </si>
  <si>
    <t>Sell of T-Bond (BD0928221052</t>
  </si>
  <si>
    <t>Interest Income - IDLC Finance (10453561228254-10453561228261)</t>
  </si>
  <si>
    <t>Coupon Interest Received from T-Bond (BD0934401102)</t>
  </si>
  <si>
    <t>Investment in T-Bond (BD0929401059 / TB5Y0429</t>
  </si>
  <si>
    <t>Sell of T-Bond (BD0927231037</t>
  </si>
  <si>
    <t>Investment in T-Bond (BD0935371106</t>
  </si>
  <si>
    <t>A00605</t>
  </si>
  <si>
    <t>Trustee Fee Paid From Jul-Dec 2024</t>
  </si>
  <si>
    <t>Bank Charges - Midland Withholding Tax</t>
  </si>
  <si>
    <t>Interest6</t>
  </si>
  <si>
    <t>NRB (1012-050203836)</t>
  </si>
  <si>
    <t>Investment in T-Bond (BD0942241201</t>
  </si>
  <si>
    <t>Investment in T-Bond (BD0940381157</t>
  </si>
  <si>
    <t xml:space="preserve">Unit Surrender -SIP </t>
  </si>
  <si>
    <t>A00610</t>
  </si>
  <si>
    <t>A00608</t>
  </si>
  <si>
    <t>A00611</t>
  </si>
  <si>
    <t>Coupon Interest Received from T-Bond (BD0929431056</t>
  </si>
  <si>
    <t>A00613</t>
  </si>
  <si>
    <t>A00609</t>
  </si>
  <si>
    <t>A00614</t>
  </si>
  <si>
    <t>Interest Income from IDLC Finance (10453561228201-10453561228223)</t>
  </si>
  <si>
    <t>Interest Income from IDLC Finance (10453561228254-10453561228261)</t>
  </si>
  <si>
    <t>Interest Income from IDLC Finance (10453561228224-10453561228253)</t>
  </si>
  <si>
    <t>Coupon Interest Received from T-Bond (BD0926461023, BD0928221052, BD0929241059)</t>
  </si>
  <si>
    <t>Coupon Interest Receivable from T-Bond (BD0926461023, BD0928221052, BD0929241059)</t>
  </si>
  <si>
    <t>A00585</t>
  </si>
  <si>
    <t>Interest Income from FDR is being Accrued - IDLC Finance (10452261228206-10452261228210)</t>
  </si>
  <si>
    <t>Interest Income from FDR is revised - DBH Finance (171000233068-171000233079)</t>
  </si>
  <si>
    <t>Interest Income from FDR is revised - DBH Finance (171000233178-171000233189)</t>
  </si>
  <si>
    <t>FDR withdraw of  DBH Finance PLC</t>
  </si>
  <si>
    <t>Investment in T-Bond (BD0945461202</t>
  </si>
  <si>
    <t>Investment in T-Bond (BD0935451106</t>
  </si>
  <si>
    <t>Coupon Interest Received from T-Bond (BD0942241201)</t>
  </si>
  <si>
    <t>Trade (S) of BRAC EPL Stock Brokerage Limited</t>
  </si>
  <si>
    <t>A00619</t>
  </si>
  <si>
    <t>A00617</t>
  </si>
  <si>
    <t>Management fee Withdraw till June 2</t>
  </si>
  <si>
    <t>SIP Return</t>
  </si>
  <si>
    <t>Bank Charges - NRB</t>
  </si>
  <si>
    <t>Interest Income from FDR is being Accrued - IDLC Finance (10452261228212 - 10452261228217)</t>
  </si>
  <si>
    <t>Interest Income from FDR is being Accrued - IPDC Finance (1001251000060509 - 1001251000060517)</t>
  </si>
  <si>
    <t>FDR with IPDC Finance (1001251000060509 - 1001251000060517)</t>
  </si>
  <si>
    <t>Interest Income from Bank Account is being Accrued</t>
  </si>
  <si>
    <t>Interest Income - BRAC Bank</t>
  </si>
  <si>
    <t>Bank Charges - MTBL</t>
  </si>
  <si>
    <t>Bank Charges Return - MTBL</t>
  </si>
  <si>
    <t>Interest Income - NRB Bank</t>
  </si>
  <si>
    <t xml:space="preserve">         Investments in Corporate Bond</t>
  </si>
  <si>
    <t>Coupon Interest Received from T-Bond (BD0928271032</t>
  </si>
  <si>
    <t>Investment in UCB Income Plus Fund</t>
  </si>
  <si>
    <t>Investment in T-Bond (BD0930481058</t>
  </si>
  <si>
    <t>Coupon Interest Received from T-Bond (BD0935291106</t>
  </si>
  <si>
    <t>dividend receivable from EDGE High Quality Income Fund - 2025</t>
  </si>
  <si>
    <t>APSCLBOND  Interest Income</t>
  </si>
  <si>
    <t>Coupon Interest Received from T-Bond (BD0944051202</t>
  </si>
  <si>
    <t>dividend received from EDGE High Quality Income Fund - 2025</t>
  </si>
  <si>
    <t>Investment in T-Bond (BD0930401056</t>
  </si>
  <si>
    <t>Sell of T-Bond (BD0926461023</t>
  </si>
  <si>
    <t>Coupon Interest Received from T-Bond (BD0933071104</t>
  </si>
  <si>
    <t>Share Buy Amount Paid - Amar Securities Limited</t>
  </si>
  <si>
    <t>Interest Received from BRAC Bank 2nd Subordinated Bond</t>
  </si>
  <si>
    <t>Coupon Interest Received from T-Bond (BD0934311103</t>
  </si>
  <si>
    <t>Interest Received from FDR is being Accrued - IDLC Finance (10452261228206-10452261228210)</t>
  </si>
  <si>
    <t>Interest Received from FDR is being Accrued - IDLC Finance (10552261228271-10552261228272)</t>
  </si>
  <si>
    <t>FDR Encash from IDLC (10452261228206-10452261228210)</t>
  </si>
  <si>
    <t>FDR Encash from IDLC (10552261228271-10552261228272)</t>
  </si>
  <si>
    <t>Share Sell Amount Receided - BRAC EPL Stock Brokerage Limited</t>
  </si>
  <si>
    <t>Sell of T-Bond (BD0929151050</t>
  </si>
  <si>
    <t>FDR Encash from IDLC (10452261228212 - 10452261228217)</t>
  </si>
  <si>
    <t>Interest Received from FDR is being Accrued - IDLC Finance  (10452261228212 - 10452261228217)</t>
  </si>
  <si>
    <t>FDR Encash from IDLC (1001251000060509-1001251000060517)</t>
  </si>
  <si>
    <t>Custodian Fee Paid  (Jan-Jun 2025)</t>
  </si>
  <si>
    <t>Investments in Dhaka Bank 4th Subordinated Bond</t>
  </si>
  <si>
    <t>Interest Receivables from Dhaka Bank 4th Subordinated Bond</t>
  </si>
  <si>
    <t>Coupon Interest Received from T-Bond (BD0935371106</t>
  </si>
  <si>
    <t>Interest Income from Dhaka Bank 4th Subordinated Bond</t>
  </si>
  <si>
    <t>Interest income from Dhaka Bank Bond</t>
  </si>
  <si>
    <t>Coupon Interest Received from T-Bond (BD0939371151</t>
  </si>
  <si>
    <t>Coupon Interest Received from T-Bond (BD0940381157</t>
  </si>
  <si>
    <t>Interest Received from Bank Asia 4th Subordinated Bond</t>
  </si>
  <si>
    <t>Sell of T-Bond (BD0930401056</t>
  </si>
  <si>
    <t>Sell of T-Bond (BD0935451106</t>
  </si>
  <si>
    <t>IPO Application of Renata PLC</t>
  </si>
  <si>
    <t xml:space="preserve">Coupon Interest Received from T-Bond </t>
  </si>
  <si>
    <t>Share Buy Amount Paid - Prime Bank Securities</t>
  </si>
  <si>
    <t>Trade (B) of Securities at Prime Bank Securities</t>
  </si>
  <si>
    <t>Coupon Interest Received from T-Bond (BD0929401059</t>
  </si>
  <si>
    <t>Sell of T-Bond (BD0928271032</t>
  </si>
  <si>
    <t>Coupon Interest Received from T-Bond (BD0934401102</t>
  </si>
  <si>
    <t>Management fee Withdraw till Sep 2</t>
  </si>
  <si>
    <t>Sell of UCB Income Plus Fund</t>
  </si>
  <si>
    <t>Coupon Interest Received from T-Bond (BD0926191026</t>
  </si>
  <si>
    <t>Coupon Interest Received from T-Bond (BD0928181058, BD0929431056</t>
  </si>
  <si>
    <t>IPO Allocation of Renata PLC</t>
  </si>
  <si>
    <t>Interest Income from Renata</t>
  </si>
  <si>
    <t>dividend receivable from RENATA - year ended June 30, 2025</t>
  </si>
  <si>
    <t>Coupon Interest Received from T-Bond (BD0945461202</t>
  </si>
  <si>
    <t>Payment of CDBL Annual Fee</t>
  </si>
  <si>
    <t>Daily</t>
  </si>
  <si>
    <t>Bond Buy Amount Paid - BRAC EPL Stock Brokerage Limited</t>
  </si>
  <si>
    <t>Unit Subscription - Lumpsum</t>
  </si>
  <si>
    <t>Trade (B) of Securities at BRAC EPL Stock Brokerage Limited (BD0927091027 /TB2Y0927)</t>
  </si>
  <si>
    <t>Trade (B) of Securities at BRAC EPL Stock Brokerage Limited (BD0929431056/TB5Y0529)</t>
  </si>
  <si>
    <t>Investment in T-Bond (BD0930211059</t>
  </si>
  <si>
    <t>Coupon Interest Received from T-Bond (BD0929241059</t>
  </si>
  <si>
    <t>Investment in T-Bond (BD0935191108</t>
  </si>
  <si>
    <t>Coupon Interest Received from T-Bond (BD0930481058</t>
  </si>
  <si>
    <t>Coupon Interest Received from T-Bond (BD0934481104</t>
  </si>
  <si>
    <t>Aduit Fee Paid</t>
  </si>
  <si>
    <t>Investment in T-Bond (BD0940081153</t>
  </si>
  <si>
    <t>Trade (B) of Securities at BRAC EPL Stock Brokerage Limited (BD0945461202/TB20Y0545)</t>
  </si>
  <si>
    <t>Coupon Interest Received from T-Bond (BD0942241201</t>
  </si>
  <si>
    <t>Unit Surrender - Limpsum</t>
  </si>
  <si>
    <t>Coupon Interest Received from T-Bond (BD0937901157</t>
  </si>
  <si>
    <t>Coupon Interest Received from T-Bond (BD0926251028</t>
  </si>
  <si>
    <t xml:space="preserve">Coupon Interest Received from T-Bond (BD0927011025	</t>
  </si>
  <si>
    <t>dividend received from RENATA - year ended June 30, 2025</t>
  </si>
  <si>
    <t>Unit Subscription - SIp</t>
  </si>
  <si>
    <t>Unit Surrender - Lumpsum</t>
  </si>
  <si>
    <t>Fair value of  T-Bond</t>
  </si>
  <si>
    <t>Fair value of  Securities</t>
  </si>
  <si>
    <t>Interest Income - NRB</t>
  </si>
  <si>
    <t>Buy Process paid to Prime Bank Securities</t>
  </si>
  <si>
    <t>charge of trustee fee</t>
  </si>
  <si>
    <t>charge of management fee</t>
  </si>
  <si>
    <t xml:space="preserve">charge of preliminary &amp; issue expense </t>
  </si>
  <si>
    <t>Coupon Interest Received from T-Bond (BD0940081153</t>
  </si>
  <si>
    <t>Coupon Interest Received from T-Bond (BD0927091027</t>
  </si>
  <si>
    <t>Bank Charges - BRAC Bank</t>
  </si>
  <si>
    <t>Investment in Jamuna Bank 5th Subordinated Bond</t>
  </si>
  <si>
    <t>Interest Income from Jamuna Bank 5th Subordinated 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</si>
</sst>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0_-;\-* #,##0_-;_-* &quot;-&quot;_-;_-@_-"/>
    <numFmt numFmtId="165" formatCode="_-&quot;Rs&quot;* #,##0.00_-;\-&quot;Rs&quot;* #,##0.00_-;_-&quot;Rs&quot;* &quot;-&quot;??_-;_-@_-"/>
    <numFmt numFmtId="166" formatCode="_-* #,##0.00_-;\-* #,##0.00_-;_-* &quot;-&quot;??_-;_-@_-"/>
    <numFmt numFmtId="167" formatCode="_(* #,##0_);_(* \(#,##0\);_(* &quot;-&quot;??_);_(@_)"/>
    <numFmt numFmtId="168" formatCode="_(* #,##0.000_);_(* \(#,##0.000\);_(* &quot;-&quot;??_);_(@_)"/>
    <numFmt numFmtId="169" formatCode="[$-409]mmmm\ d\,\ yyyy;@"/>
    <numFmt numFmtId="170" formatCode="0.00;[Red]0.00"/>
    <numFmt numFmtId="171" formatCode="_(* #,##0.0000_);_(* \(#,##0.0000\);_(* &quot;-&quot;??_);_(@_)"/>
    <numFmt numFmtId="172" formatCode="[$-409]d\-mmm\-yy;@"/>
    <numFmt numFmtId="173" formatCode="_(* #,##0.000000000000000000_);_(* \(#,##0.000000000000000000\);_(* &quot;-&quot;??_);_(@_)"/>
    <numFmt numFmtId="174" formatCode="0.000000000000000000000000000000000000000000000000000000000E+00"/>
    <numFmt numFmtId="175" formatCode="_(* #,##0.0000000000000000000000000_);_(* \(#,##0.0000000000000000000000000\);_(* &quot;-&quot;??_);_(@_)"/>
    <numFmt numFmtId="176" formatCode="0.00000"/>
    <numFmt numFmtId="177" formatCode="0.0000000000000000"/>
    <numFmt numFmtId="178" formatCode="dd/mm/yyyy;@"/>
    <numFmt numFmtId="179" formatCode="[$-409]dd\-mmm\-yy;@"/>
    <numFmt numFmtId="180" formatCode="0.000%"/>
    <numFmt numFmtId="181" formatCode="0.000"/>
    <numFmt numFmtId="182" formatCode="_-* #,##0_-;\-* #,##0_-;_-* &quot;-&quot;??_-;_-@_-"/>
    <numFmt numFmtId="183" formatCode="_-* #,##0.000_-;\-* #,##0.000_-;_-* &quot;-&quot;??_-;_-@_-"/>
  </numFmts>
  <fonts count="36" x14ac:knownFonts="1">
    <font>
      <sz val="11"/>
      <color theme="1"/>
      <name val="Calibri"/>
      <family val="2"/>
      <scheme val="minor"/>
    </font>
    <font>
      <sz val="11"/>
      <color theme="1"/>
      <name val="Calibri"/>
      <family val="2"/>
      <scheme val="minor"/>
    </font>
    <font>
      <b/>
      <sz val="10"/>
      <color theme="1"/>
      <name val="Arial"/>
      <family val="2"/>
    </font>
    <font>
      <sz val="10"/>
      <color theme="1"/>
      <name val="Arial"/>
      <family val="2"/>
    </font>
    <font>
      <b/>
      <sz val="11"/>
      <color theme="1"/>
      <name val="Calibri"/>
      <family val="2"/>
      <scheme val="minor"/>
    </font>
    <font>
      <sz val="10"/>
      <name val="Arial"/>
      <family val="2"/>
    </font>
    <font>
      <b/>
      <sz val="10"/>
      <name val="Arial"/>
      <family val="2"/>
    </font>
    <font>
      <sz val="9"/>
      <color theme="1"/>
      <name val="Arial"/>
      <family val="2"/>
    </font>
    <font>
      <sz val="10"/>
      <color theme="0"/>
      <name val="Arial"/>
      <family val="2"/>
    </font>
    <font>
      <u/>
      <sz val="10"/>
      <color theme="0"/>
      <name val="Arial"/>
      <family val="2"/>
    </font>
    <font>
      <sz val="8"/>
      <color theme="1"/>
      <name val="Arial"/>
      <family val="2"/>
    </font>
    <font>
      <sz val="8"/>
      <color theme="1"/>
      <name val="Calibri"/>
      <family val="2"/>
      <scheme val="minor"/>
    </font>
    <font>
      <b/>
      <sz val="12"/>
      <color theme="1"/>
      <name val="Calibri"/>
      <family val="2"/>
      <scheme val="minor"/>
    </font>
    <font>
      <b/>
      <sz val="9.5"/>
      <color theme="1"/>
      <name val="Arial"/>
      <family val="2"/>
    </font>
    <font>
      <b/>
      <sz val="9"/>
      <color theme="1"/>
      <name val="Arial"/>
      <family val="2"/>
    </font>
    <font>
      <sz val="9"/>
      <color theme="1"/>
      <name val="Calibri"/>
      <family val="2"/>
      <scheme val="minor"/>
    </font>
    <font>
      <sz val="8"/>
      <name val="Calibri"/>
      <family val="2"/>
      <scheme val="minor"/>
    </font>
    <font>
      <sz val="8"/>
      <color theme="0"/>
      <name val="Calibri"/>
      <family val="2"/>
      <scheme val="minor"/>
    </font>
    <font>
      <sz val="8"/>
      <color theme="1" tint="0.34998626667073579"/>
      <name val="Calibri"/>
      <family val="2"/>
      <scheme val="minor"/>
    </font>
    <font>
      <b/>
      <sz val="8"/>
      <color theme="1"/>
      <name val="Calibri"/>
      <family val="2"/>
      <scheme val="minor"/>
    </font>
    <font>
      <u/>
      <sz val="11"/>
      <color theme="1"/>
      <name val="Calibri"/>
      <family val="2"/>
      <scheme val="minor"/>
    </font>
    <font>
      <sz val="10"/>
      <color rgb="FF000000"/>
      <name val="Times New Roman"/>
      <family val="1"/>
    </font>
    <font>
      <sz val="14"/>
      <color rgb="FF000000"/>
      <name val="Times New Roman"/>
      <family val="1"/>
    </font>
    <font>
      <sz val="14"/>
      <color rgb="FF000000"/>
      <name val="Calibri"/>
      <family val="2"/>
      <scheme val="minor"/>
    </font>
    <font>
      <b/>
      <i/>
      <sz val="16"/>
      <color rgb="FF000000"/>
      <name val="Times New Roman"/>
      <family val="1"/>
    </font>
    <font>
      <b/>
      <sz val="16"/>
      <color rgb="FF000000"/>
      <name val="Calibri"/>
      <family val="2"/>
      <scheme val="minor"/>
    </font>
    <font>
      <b/>
      <sz val="14"/>
      <color rgb="FF000000"/>
      <name val="Times New Roman"/>
      <family val="1"/>
    </font>
    <font>
      <sz val="10"/>
      <color rgb="FF000000"/>
      <name val="Bahnschrift"/>
      <family val="2"/>
    </font>
    <font>
      <b/>
      <sz val="10"/>
      <color rgb="FF000000"/>
      <name val="Bahnschrift"/>
      <family val="2"/>
    </font>
    <font>
      <sz val="7"/>
      <color rgb="FF333333"/>
      <name val="Trebuchet MS"/>
      <family val="2"/>
    </font>
    <font>
      <sz val="10"/>
      <color theme="0" tint="-0.499984740745262"/>
      <name val="Arial"/>
      <family val="2"/>
    </font>
    <font>
      <sz val="14"/>
      <color rgb="FF000000"/>
      <name val="Calibri"/>
      <family val="2"/>
      <scheme val="minor"/>
    </font>
    <font>
      <sz val="14"/>
      <color rgb="FF000000"/>
      <name val="Calibri"/>
      <family val="2"/>
      <scheme val="minor"/>
    </font>
    <font>
      <sz val="9"/>
      <color rgb="FF333333"/>
      <name val="Trebuchet MS"/>
      <family val="2"/>
    </font>
    <font>
      <sz val="14"/>
      <color rgb="FF000000"/>
      <name val="Calibri"/>
      <family val="2"/>
      <scheme val="minor"/>
    </font>
    <font>
      <sz val="14"/>
      <color rgb="FF000000"/>
      <name val="Calibri"/>
      <family val="2"/>
      <scheme val="minor"/>
    </font>
  </fonts>
  <fills count="21">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92D050"/>
        <bgColor indexed="64"/>
      </patternFill>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7" tint="0.39997558519241921"/>
        <bgColor indexed="64"/>
      </patternFill>
    </fill>
    <fill>
      <patternFill patternType="solid">
        <fgColor rgb="FF00B05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FF5050"/>
        <bgColor indexed="64"/>
      </patternFill>
    </fill>
    <fill>
      <patternFill patternType="solid">
        <fgColor rgb="FFAE78D6"/>
        <bgColor indexed="64"/>
      </patternFill>
    </fill>
    <fill>
      <patternFill patternType="solid">
        <fgColor rgb="FFFF0000"/>
        <bgColor indexed="64"/>
      </patternFill>
    </fill>
  </fills>
  <borders count="36">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diagonal/>
    </border>
  </borders>
  <cellStyleXfs count="6">
    <xf numFmtId="0" fontId="0" fillId="0" borderId="0"/>
    <xf numFmtId="166" fontId="1" fillId="0" borderId="0" applyFont="0" applyFill="0" applyBorder="0" applyAlignment="0" applyProtection="0"/>
    <xf numFmtId="0" fontId="5" fillId="0" borderId="0"/>
    <xf numFmtId="9" fontId="1" fillId="0" borderId="0" applyFont="0" applyFill="0" applyBorder="0" applyAlignment="0" applyProtection="0"/>
    <xf numFmtId="0" fontId="5" fillId="0" borderId="0"/>
    <xf numFmtId="0" fontId="21" fillId="0" borderId="0"/>
  </cellStyleXfs>
  <cellXfs count="585">
    <xf numFmtId="0" fontId="0" fillId="0" borderId="0" xfId="0"/>
    <xf numFmtId="0" fontId="2" fillId="0" borderId="0" xfId="0" applyFont="1"/>
    <xf numFmtId="0" fontId="3" fillId="0" borderId="0" xfId="0" applyFont="1"/>
    <xf numFmtId="167" fontId="3" fillId="0" borderId="0" xfId="1" applyNumberFormat="1" applyFont="1"/>
    <xf numFmtId="0" fontId="2" fillId="0" borderId="0" xfId="0" applyFont="1" applyAlignment="1">
      <alignment horizontal="center"/>
    </xf>
    <xf numFmtId="167" fontId="3" fillId="0" borderId="0" xfId="0" applyNumberFormat="1" applyFont="1"/>
    <xf numFmtId="167" fontId="3" fillId="0" borderId="0" xfId="1" applyNumberFormat="1" applyFont="1" applyBorder="1"/>
    <xf numFmtId="167" fontId="2" fillId="0" borderId="0" xfId="1" applyNumberFormat="1" applyFont="1" applyBorder="1"/>
    <xf numFmtId="0" fontId="3" fillId="0" borderId="0" xfId="0" applyFont="1" applyAlignment="1">
      <alignment vertical="center"/>
    </xf>
    <xf numFmtId="0" fontId="3" fillId="0" borderId="0" xfId="0" applyFont="1" applyAlignment="1">
      <alignment horizontal="center"/>
    </xf>
    <xf numFmtId="0" fontId="3" fillId="0" borderId="1" xfId="0" applyFont="1" applyBorder="1"/>
    <xf numFmtId="167" fontId="3" fillId="0" borderId="7" xfId="1" applyNumberFormat="1" applyFont="1" applyBorder="1"/>
    <xf numFmtId="0" fontId="3" fillId="0" borderId="2" xfId="0" applyFont="1" applyBorder="1"/>
    <xf numFmtId="167" fontId="3" fillId="0" borderId="6" xfId="1" applyNumberFormat="1" applyFont="1" applyBorder="1"/>
    <xf numFmtId="167" fontId="2" fillId="0" borderId="0" xfId="0" applyNumberFormat="1" applyFont="1"/>
    <xf numFmtId="167" fontId="3" fillId="0" borderId="0" xfId="0" applyNumberFormat="1" applyFont="1" applyAlignment="1">
      <alignment horizontal="left" vertical="center"/>
    </xf>
    <xf numFmtId="167" fontId="2" fillId="0" borderId="0" xfId="0" applyNumberFormat="1" applyFont="1" applyAlignment="1">
      <alignment horizontal="center"/>
    </xf>
    <xf numFmtId="167" fontId="6" fillId="0" borderId="0" xfId="2" applyNumberFormat="1" applyFont="1"/>
    <xf numFmtId="0" fontId="6" fillId="0" borderId="0" xfId="2" applyFont="1"/>
    <xf numFmtId="166" fontId="2" fillId="0" borderId="0" xfId="0" applyNumberFormat="1" applyFont="1"/>
    <xf numFmtId="0" fontId="2" fillId="0" borderId="0" xfId="0" applyFont="1" applyAlignment="1">
      <alignment horizontal="left" vertical="top"/>
    </xf>
    <xf numFmtId="167" fontId="3" fillId="0" borderId="3" xfId="1" applyNumberFormat="1" applyFont="1" applyBorder="1"/>
    <xf numFmtId="167" fontId="3" fillId="0" borderId="4" xfId="1" applyNumberFormat="1" applyFont="1" applyBorder="1"/>
    <xf numFmtId="167" fontId="2" fillId="0" borderId="0" xfId="1" applyNumberFormat="1" applyFont="1"/>
    <xf numFmtId="166" fontId="3" fillId="0" borderId="0" xfId="0" applyNumberFormat="1" applyFont="1"/>
    <xf numFmtId="0" fontId="0" fillId="0" borderId="8" xfId="0" applyBorder="1"/>
    <xf numFmtId="0" fontId="0" fillId="0" borderId="8" xfId="0" applyBorder="1" applyAlignment="1">
      <alignment horizontal="center"/>
    </xf>
    <xf numFmtId="0" fontId="4" fillId="0" borderId="8" xfId="0" applyFont="1" applyBorder="1"/>
    <xf numFmtId="0" fontId="3" fillId="0" borderId="8" xfId="0" applyFont="1" applyBorder="1"/>
    <xf numFmtId="14" fontId="3" fillId="0" borderId="0" xfId="0" applyNumberFormat="1" applyFont="1"/>
    <xf numFmtId="10" fontId="3" fillId="0" borderId="0" xfId="3" applyNumberFormat="1" applyFont="1"/>
    <xf numFmtId="171" fontId="3" fillId="0" borderId="0" xfId="0" applyNumberFormat="1" applyFont="1"/>
    <xf numFmtId="166" fontId="2" fillId="0" borderId="5" xfId="1" applyFont="1" applyBorder="1"/>
    <xf numFmtId="167" fontId="3" fillId="6" borderId="0" xfId="0" applyNumberFormat="1" applyFont="1" applyFill="1"/>
    <xf numFmtId="0" fontId="3" fillId="6" borderId="0" xfId="0" applyFont="1" applyFill="1"/>
    <xf numFmtId="0" fontId="2" fillId="0" borderId="0" xfId="0" applyFont="1" applyAlignment="1">
      <alignment vertical="center"/>
    </xf>
    <xf numFmtId="169" fontId="2" fillId="0" borderId="0" xfId="0" applyNumberFormat="1" applyFont="1" applyAlignment="1">
      <alignment wrapText="1"/>
    </xf>
    <xf numFmtId="169" fontId="2" fillId="0" borderId="0" xfId="0" applyNumberFormat="1" applyFont="1" applyAlignment="1">
      <alignment vertical="center"/>
    </xf>
    <xf numFmtId="167" fontId="2" fillId="0" borderId="0" xfId="1" applyNumberFormat="1" applyFont="1" applyBorder="1" applyAlignment="1">
      <alignment horizontal="left" vertical="top"/>
    </xf>
    <xf numFmtId="167" fontId="2" fillId="0" borderId="0" xfId="1" applyNumberFormat="1" applyFont="1" applyAlignment="1">
      <alignment horizontal="center"/>
    </xf>
    <xf numFmtId="167" fontId="3" fillId="0" borderId="0" xfId="1" applyNumberFormat="1" applyFont="1" applyBorder="1" applyAlignment="1">
      <alignment horizontal="left" vertical="top"/>
    </xf>
    <xf numFmtId="167" fontId="2" fillId="0" borderId="0" xfId="1" applyNumberFormat="1" applyFont="1" applyAlignment="1"/>
    <xf numFmtId="167" fontId="2" fillId="0" borderId="0" xfId="1" applyNumberFormat="1" applyFont="1" applyBorder="1" applyAlignment="1">
      <alignment horizontal="center"/>
    </xf>
    <xf numFmtId="166" fontId="2" fillId="0" borderId="0" xfId="1" applyFont="1" applyBorder="1"/>
    <xf numFmtId="166" fontId="3" fillId="0" borderId="0" xfId="1" applyFont="1" applyBorder="1"/>
    <xf numFmtId="166" fontId="3" fillId="0" borderId="0" xfId="1" applyFont="1"/>
    <xf numFmtId="0" fontId="2" fillId="0" borderId="0" xfId="0" applyFont="1" applyAlignment="1">
      <alignment horizontal="center" vertical="top"/>
    </xf>
    <xf numFmtId="0" fontId="3" fillId="0" borderId="0" xfId="0" applyFont="1" applyAlignment="1">
      <alignment horizontal="center" vertical="center"/>
    </xf>
    <xf numFmtId="165" fontId="3" fillId="0" borderId="0" xfId="0" applyNumberFormat="1" applyFont="1"/>
    <xf numFmtId="165" fontId="2" fillId="0" borderId="0" xfId="0" applyNumberFormat="1" applyFont="1"/>
    <xf numFmtId="166" fontId="2" fillId="0" borderId="0" xfId="1" applyFont="1"/>
    <xf numFmtId="167" fontId="3" fillId="0" borderId="11" xfId="1" applyNumberFormat="1" applyFont="1" applyBorder="1"/>
    <xf numFmtId="165" fontId="2" fillId="0" borderId="0" xfId="0" applyNumberFormat="1" applyFont="1" applyAlignment="1">
      <alignment horizontal="center"/>
    </xf>
    <xf numFmtId="167" fontId="2" fillId="0" borderId="14" xfId="1" applyNumberFormat="1" applyFont="1" applyBorder="1"/>
    <xf numFmtId="167" fontId="3" fillId="0" borderId="12" xfId="1" applyNumberFormat="1" applyFont="1" applyBorder="1"/>
    <xf numFmtId="167" fontId="3" fillId="0" borderId="13" xfId="1" applyNumberFormat="1" applyFont="1" applyBorder="1"/>
    <xf numFmtId="167" fontId="3" fillId="0" borderId="15" xfId="1" applyNumberFormat="1" applyFont="1" applyBorder="1"/>
    <xf numFmtId="167" fontId="2" fillId="0" borderId="16" xfId="1" applyNumberFormat="1" applyFont="1" applyBorder="1"/>
    <xf numFmtId="167" fontId="3" fillId="0" borderId="8" xfId="1" applyNumberFormat="1" applyFont="1" applyBorder="1"/>
    <xf numFmtId="167" fontId="3" fillId="0" borderId="10" xfId="1" applyNumberFormat="1" applyFont="1" applyBorder="1"/>
    <xf numFmtId="172" fontId="2" fillId="0" borderId="0" xfId="0" applyNumberFormat="1" applyFont="1"/>
    <xf numFmtId="172" fontId="2" fillId="0" borderId="11" xfId="0" applyNumberFormat="1" applyFont="1" applyBorder="1" applyAlignment="1">
      <alignment horizontal="center"/>
    </xf>
    <xf numFmtId="167" fontId="2" fillId="0" borderId="11" xfId="0" applyNumberFormat="1" applyFont="1" applyBorder="1" applyAlignment="1">
      <alignment horizontal="center"/>
    </xf>
    <xf numFmtId="167" fontId="3" fillId="0" borderId="12" xfId="0" applyNumberFormat="1" applyFont="1" applyBorder="1"/>
    <xf numFmtId="167" fontId="3" fillId="0" borderId="15" xfId="0" applyNumberFormat="1" applyFont="1" applyBorder="1"/>
    <xf numFmtId="167" fontId="3" fillId="0" borderId="13" xfId="0" applyNumberFormat="1" applyFont="1" applyBorder="1"/>
    <xf numFmtId="167" fontId="2" fillId="0" borderId="8" xfId="0" applyNumberFormat="1" applyFont="1" applyBorder="1"/>
    <xf numFmtId="167" fontId="2" fillId="0" borderId="8" xfId="1" applyNumberFormat="1" applyFont="1" applyBorder="1"/>
    <xf numFmtId="169" fontId="3" fillId="0" borderId="0" xfId="0" applyNumberFormat="1" applyFont="1" applyAlignment="1">
      <alignment horizontal="right"/>
    </xf>
    <xf numFmtId="0" fontId="2" fillId="0" borderId="11" xfId="0" applyFont="1" applyBorder="1" applyAlignment="1">
      <alignment horizontal="center"/>
    </xf>
    <xf numFmtId="0" fontId="2" fillId="0" borderId="11" xfId="0" applyFont="1" applyBorder="1" applyAlignment="1">
      <alignment horizontal="center" vertical="center"/>
    </xf>
    <xf numFmtId="0" fontId="2" fillId="0" borderId="14" xfId="0" applyFont="1" applyBorder="1"/>
    <xf numFmtId="167" fontId="3" fillId="0" borderId="0" xfId="1" applyNumberFormat="1" applyFont="1" applyBorder="1" applyAlignment="1">
      <alignment horizontal="center"/>
    </xf>
    <xf numFmtId="167" fontId="2" fillId="0" borderId="11" xfId="1" applyNumberFormat="1" applyFont="1" applyBorder="1" applyAlignment="1">
      <alignment horizontal="center"/>
    </xf>
    <xf numFmtId="167" fontId="2" fillId="0" borderId="10" xfId="1" applyNumberFormat="1" applyFont="1" applyBorder="1"/>
    <xf numFmtId="167" fontId="2" fillId="0" borderId="0" xfId="0" applyNumberFormat="1" applyFont="1" applyAlignment="1">
      <alignment horizontal="left"/>
    </xf>
    <xf numFmtId="167" fontId="3" fillId="0" borderId="10" xfId="0" applyNumberFormat="1" applyFont="1" applyBorder="1"/>
    <xf numFmtId="167" fontId="8" fillId="0" borderId="0" xfId="0" applyNumberFormat="1" applyFont="1"/>
    <xf numFmtId="0" fontId="0" fillId="0" borderId="10" xfId="0" applyBorder="1"/>
    <xf numFmtId="0" fontId="5" fillId="0" borderId="0" xfId="0" applyFont="1" applyAlignment="1">
      <alignment horizontal="center" vertical="center"/>
    </xf>
    <xf numFmtId="0" fontId="5" fillId="0" borderId="0" xfId="0" applyFont="1" applyAlignment="1">
      <alignment horizontal="center"/>
    </xf>
    <xf numFmtId="166" fontId="2" fillId="0" borderId="14" xfId="1" applyFont="1" applyBorder="1"/>
    <xf numFmtId="0" fontId="0" fillId="0" borderId="0" xfId="0" applyAlignment="1">
      <alignment horizontal="center" vertical="center"/>
    </xf>
    <xf numFmtId="166" fontId="0" fillId="0" borderId="0" xfId="1" applyFont="1" applyBorder="1"/>
    <xf numFmtId="167" fontId="0" fillId="0" borderId="0" xfId="1" applyNumberFormat="1" applyFont="1" applyAlignment="1">
      <alignment horizontal="center" vertical="center"/>
    </xf>
    <xf numFmtId="167" fontId="0" fillId="0" borderId="12" xfId="1" applyNumberFormat="1" applyFont="1" applyBorder="1" applyAlignment="1">
      <alignment horizontal="center" vertical="center"/>
    </xf>
    <xf numFmtId="167" fontId="0" fillId="0" borderId="15" xfId="1" applyNumberFormat="1" applyFont="1" applyBorder="1" applyAlignment="1">
      <alignment horizontal="center" vertical="center"/>
    </xf>
    <xf numFmtId="167" fontId="0" fillId="0" borderId="13" xfId="1" applyNumberFormat="1" applyFont="1" applyBorder="1" applyAlignment="1">
      <alignment horizontal="center" vertical="center"/>
    </xf>
    <xf numFmtId="167" fontId="1" fillId="0" borderId="11" xfId="1" applyNumberFormat="1" applyFont="1" applyBorder="1" applyAlignment="1">
      <alignment horizontal="center" vertical="center"/>
    </xf>
    <xf numFmtId="0" fontId="4" fillId="0" borderId="0" xfId="0" applyFont="1"/>
    <xf numFmtId="167" fontId="4" fillId="0" borderId="0" xfId="1" applyNumberFormat="1" applyFont="1" applyBorder="1" applyAlignment="1">
      <alignment horizontal="center" vertical="center"/>
    </xf>
    <xf numFmtId="14" fontId="2" fillId="0" borderId="11" xfId="1" applyNumberFormat="1" applyFont="1" applyBorder="1" applyAlignment="1">
      <alignment horizontal="right"/>
    </xf>
    <xf numFmtId="14" fontId="2" fillId="0" borderId="0" xfId="1" applyNumberFormat="1" applyFont="1"/>
    <xf numFmtId="167" fontId="2" fillId="0" borderId="11" xfId="1" applyNumberFormat="1" applyFont="1" applyBorder="1" applyAlignment="1">
      <alignment horizontal="right"/>
    </xf>
    <xf numFmtId="166" fontId="2" fillId="0" borderId="0" xfId="1" applyFont="1" applyAlignment="1">
      <alignment horizontal="right"/>
    </xf>
    <xf numFmtId="164" fontId="3" fillId="0" borderId="0" xfId="0" applyNumberFormat="1" applyFont="1"/>
    <xf numFmtId="167" fontId="3" fillId="0" borderId="0" xfId="1" applyNumberFormat="1" applyFont="1" applyFill="1"/>
    <xf numFmtId="167" fontId="2" fillId="0" borderId="11" xfId="1" applyNumberFormat="1" applyFont="1" applyFill="1" applyBorder="1" applyAlignment="1">
      <alignment horizontal="center"/>
    </xf>
    <xf numFmtId="167" fontId="3" fillId="0" borderId="0" xfId="1" applyNumberFormat="1" applyFont="1" applyFill="1" applyBorder="1"/>
    <xf numFmtId="167" fontId="2" fillId="0" borderId="0" xfId="1" applyNumberFormat="1" applyFont="1" applyFill="1" applyBorder="1"/>
    <xf numFmtId="167" fontId="13" fillId="0" borderId="0" xfId="1" applyNumberFormat="1" applyFont="1" applyAlignment="1">
      <alignment horizontal="right" wrapText="1"/>
    </xf>
    <xf numFmtId="167" fontId="13" fillId="0" borderId="11" xfId="1" applyNumberFormat="1" applyFont="1" applyBorder="1" applyAlignment="1">
      <alignment horizontal="right" wrapText="1"/>
    </xf>
    <xf numFmtId="0" fontId="7" fillId="0" borderId="0" xfId="0" applyFont="1"/>
    <xf numFmtId="167" fontId="7" fillId="0" borderId="0" xfId="1" applyNumberFormat="1" applyFont="1"/>
    <xf numFmtId="167" fontId="7" fillId="0" borderId="0" xfId="0" applyNumberFormat="1" applyFont="1"/>
    <xf numFmtId="166" fontId="7" fillId="0" borderId="0" xfId="1" applyFont="1"/>
    <xf numFmtId="167" fontId="7" fillId="6" borderId="0" xfId="0" applyNumberFormat="1" applyFont="1" applyFill="1"/>
    <xf numFmtId="1" fontId="7" fillId="5" borderId="0" xfId="0" applyNumberFormat="1" applyFont="1" applyFill="1"/>
    <xf numFmtId="0" fontId="14" fillId="5" borderId="0" xfId="0" applyFont="1" applyFill="1"/>
    <xf numFmtId="0" fontId="14" fillId="5" borderId="0" xfId="0" applyFont="1" applyFill="1" applyAlignment="1">
      <alignment horizontal="center"/>
    </xf>
    <xf numFmtId="0" fontId="14" fillId="0" borderId="0" xfId="0" applyFont="1"/>
    <xf numFmtId="0" fontId="14" fillId="0" borderId="8" xfId="0" applyFont="1" applyBorder="1"/>
    <xf numFmtId="0" fontId="7" fillId="5" borderId="8" xfId="0" applyFont="1" applyFill="1" applyBorder="1"/>
    <xf numFmtId="0" fontId="7" fillId="5" borderId="8" xfId="0" applyFont="1" applyFill="1" applyBorder="1" applyAlignment="1">
      <alignment horizontal="center"/>
    </xf>
    <xf numFmtId="166" fontId="7" fillId="0" borderId="0" xfId="0" applyNumberFormat="1" applyFont="1"/>
    <xf numFmtId="0" fontId="7" fillId="0" borderId="8" xfId="0" applyFont="1" applyBorder="1"/>
    <xf numFmtId="167" fontId="7" fillId="0" borderId="8" xfId="1" applyNumberFormat="1" applyFont="1" applyFill="1" applyBorder="1"/>
    <xf numFmtId="166" fontId="7" fillId="0" borderId="8" xfId="1" applyFont="1" applyFill="1" applyBorder="1"/>
    <xf numFmtId="0" fontId="15" fillId="0" borderId="0" xfId="0" applyFont="1"/>
    <xf numFmtId="167" fontId="7" fillId="0" borderId="0" xfId="1" applyNumberFormat="1" applyFont="1" applyFill="1" applyBorder="1"/>
    <xf numFmtId="0" fontId="11" fillId="0" borderId="0" xfId="0" applyFont="1" applyAlignment="1">
      <alignment wrapText="1"/>
    </xf>
    <xf numFmtId="0" fontId="17" fillId="0" borderId="0" xfId="0" applyFont="1" applyAlignment="1">
      <alignment wrapText="1"/>
    </xf>
    <xf numFmtId="0" fontId="17" fillId="0" borderId="0" xfId="0" applyFont="1" applyAlignment="1">
      <alignment horizontal="center" vertical="center" wrapText="1"/>
    </xf>
    <xf numFmtId="0" fontId="17" fillId="0" borderId="0" xfId="0" applyFont="1" applyAlignment="1">
      <alignment horizont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167" fontId="19" fillId="0" borderId="9" xfId="0" applyNumberFormat="1" applyFont="1" applyBorder="1" applyAlignment="1">
      <alignment horizontal="center" vertical="center" wrapText="1"/>
    </xf>
    <xf numFmtId="0" fontId="19" fillId="0" borderId="0" xfId="0" applyFont="1" applyAlignment="1">
      <alignment wrapText="1"/>
    </xf>
    <xf numFmtId="0" fontId="11" fillId="0" borderId="0" xfId="0" applyFont="1" applyAlignment="1">
      <alignment horizontal="center" wrapText="1"/>
    </xf>
    <xf numFmtId="0" fontId="11" fillId="0" borderId="0" xfId="0" applyFont="1" applyAlignment="1">
      <alignment horizontal="left" wrapText="1"/>
    </xf>
    <xf numFmtId="166" fontId="11" fillId="0" borderId="0" xfId="0" applyNumberFormat="1" applyFont="1" applyAlignment="1">
      <alignment wrapText="1"/>
    </xf>
    <xf numFmtId="166" fontId="11" fillId="0" borderId="0" xfId="1" applyFont="1" applyFill="1" applyAlignment="1">
      <alignment wrapText="1"/>
    </xf>
    <xf numFmtId="0" fontId="11" fillId="0" borderId="0" xfId="0" applyFont="1" applyAlignment="1">
      <alignment horizontal="center" vertical="center" wrapText="1"/>
    </xf>
    <xf numFmtId="165" fontId="2" fillId="0" borderId="0" xfId="0" applyNumberFormat="1" applyFont="1" applyAlignment="1">
      <alignment horizontal="left"/>
    </xf>
    <xf numFmtId="165" fontId="3" fillId="0" borderId="0" xfId="0" applyNumberFormat="1" applyFont="1" applyAlignment="1">
      <alignment horizontal="left"/>
    </xf>
    <xf numFmtId="167" fontId="2" fillId="0" borderId="12" xfId="1" applyNumberFormat="1" applyFont="1" applyBorder="1"/>
    <xf numFmtId="167" fontId="2" fillId="0" borderId="13" xfId="1" applyNumberFormat="1" applyFont="1" applyBorder="1"/>
    <xf numFmtId="0" fontId="0" fillId="0" borderId="15" xfId="0" applyBorder="1"/>
    <xf numFmtId="0" fontId="0" fillId="0" borderId="19" xfId="0" applyBorder="1" applyAlignment="1">
      <alignment vertical="top" wrapText="1"/>
    </xf>
    <xf numFmtId="0" fontId="4" fillId="8" borderId="11" xfId="0" applyFont="1" applyFill="1" applyBorder="1" applyAlignment="1">
      <alignment horizontal="left" vertical="top"/>
    </xf>
    <xf numFmtId="0" fontId="4" fillId="8" borderId="17" xfId="0" applyFont="1" applyFill="1" applyBorder="1" applyAlignment="1">
      <alignment vertical="top"/>
    </xf>
    <xf numFmtId="0" fontId="0" fillId="0" borderId="0" xfId="0"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0" fillId="0" borderId="18" xfId="0" applyBorder="1" applyAlignment="1">
      <alignment vertical="top"/>
    </xf>
    <xf numFmtId="2" fontId="4" fillId="0" borderId="20" xfId="0" applyNumberFormat="1" applyFont="1" applyBorder="1" applyAlignment="1">
      <alignment vertical="top"/>
    </xf>
    <xf numFmtId="0" fontId="4" fillId="0" borderId="21" xfId="0" applyFont="1" applyBorder="1" applyAlignment="1">
      <alignment vertical="top" wrapText="1"/>
    </xf>
    <xf numFmtId="0" fontId="0" fillId="0" borderId="22" xfId="0" applyBorder="1" applyAlignment="1">
      <alignment vertical="top"/>
    </xf>
    <xf numFmtId="0" fontId="0" fillId="0" borderId="23" xfId="0" applyBorder="1" applyAlignment="1">
      <alignment vertical="top" wrapText="1"/>
    </xf>
    <xf numFmtId="0" fontId="0" fillId="0" borderId="13" xfId="0" applyBorder="1"/>
    <xf numFmtId="167" fontId="0" fillId="0" borderId="0" xfId="1" applyNumberFormat="1" applyFont="1" applyBorder="1"/>
    <xf numFmtId="167" fontId="0" fillId="0" borderId="10" xfId="1" applyNumberFormat="1" applyFont="1" applyBorder="1"/>
    <xf numFmtId="0" fontId="7" fillId="7" borderId="0" xfId="0" applyFont="1" applyFill="1"/>
    <xf numFmtId="0" fontId="7" fillId="7" borderId="8" xfId="0" applyFont="1" applyFill="1" applyBorder="1"/>
    <xf numFmtId="173" fontId="0" fillId="0" borderId="0" xfId="0" applyNumberFormat="1"/>
    <xf numFmtId="0" fontId="0" fillId="0" borderId="17" xfId="0" applyBorder="1" applyAlignment="1">
      <alignment horizontal="center" vertical="center"/>
    </xf>
    <xf numFmtId="2" fontId="0" fillId="0" borderId="0" xfId="0" applyNumberFormat="1"/>
    <xf numFmtId="166" fontId="0" fillId="0" borderId="23" xfId="1" applyFont="1" applyBorder="1"/>
    <xf numFmtId="2" fontId="0" fillId="0" borderId="10" xfId="0" applyNumberFormat="1" applyBorder="1"/>
    <xf numFmtId="166" fontId="0" fillId="0" borderId="10" xfId="1" applyFont="1" applyBorder="1"/>
    <xf numFmtId="166" fontId="0" fillId="0" borderId="19" xfId="1" applyFont="1" applyBorder="1"/>
    <xf numFmtId="0" fontId="0" fillId="0" borderId="11" xfId="0" applyBorder="1" applyAlignment="1">
      <alignment horizontal="center" vertical="center"/>
    </xf>
    <xf numFmtId="172" fontId="0" fillId="0" borderId="15" xfId="0" applyNumberFormat="1" applyBorder="1"/>
    <xf numFmtId="172" fontId="0" fillId="0" borderId="13" xfId="0" applyNumberFormat="1" applyBorder="1"/>
    <xf numFmtId="4" fontId="3" fillId="0" borderId="0" xfId="0" applyNumberFormat="1" applyFont="1"/>
    <xf numFmtId="166" fontId="18" fillId="0" borderId="0" xfId="1" applyFont="1" applyFill="1" applyAlignment="1">
      <alignment wrapText="1"/>
    </xf>
    <xf numFmtId="166" fontId="19" fillId="0" borderId="9" xfId="1" applyFont="1" applyFill="1" applyBorder="1" applyAlignment="1">
      <alignment horizontal="center" vertical="center" wrapText="1"/>
    </xf>
    <xf numFmtId="174" fontId="7" fillId="0" borderId="0" xfId="0" applyNumberFormat="1" applyFont="1"/>
    <xf numFmtId="175" fontId="7" fillId="0" borderId="0" xfId="1" applyNumberFormat="1" applyFont="1"/>
    <xf numFmtId="0" fontId="3" fillId="0" borderId="24" xfId="0" applyFont="1" applyBorder="1"/>
    <xf numFmtId="166" fontId="7" fillId="0" borderId="0" xfId="1" applyFont="1" applyFill="1"/>
    <xf numFmtId="169" fontId="3" fillId="0" borderId="22" xfId="0" applyNumberFormat="1" applyFont="1" applyBorder="1"/>
    <xf numFmtId="166" fontId="3" fillId="0" borderId="11" xfId="1" applyFont="1" applyBorder="1" applyAlignment="1">
      <alignment horizontal="right" vertical="center"/>
    </xf>
    <xf numFmtId="0" fontId="14" fillId="0" borderId="8" xfId="0" applyFont="1" applyBorder="1" applyAlignment="1">
      <alignment horizontal="right"/>
    </xf>
    <xf numFmtId="166" fontId="14" fillId="0" borderId="8" xfId="1" applyFont="1" applyFill="1" applyBorder="1" applyAlignment="1">
      <alignment horizontal="right"/>
    </xf>
    <xf numFmtId="167" fontId="7" fillId="0" borderId="0" xfId="1" applyNumberFormat="1" applyFont="1" applyFill="1"/>
    <xf numFmtId="4" fontId="7" fillId="7" borderId="0" xfId="0" applyNumberFormat="1" applyFont="1" applyFill="1"/>
    <xf numFmtId="166" fontId="7" fillId="7" borderId="0" xfId="0" applyNumberFormat="1" applyFont="1" applyFill="1"/>
    <xf numFmtId="176" fontId="11" fillId="0" borderId="0" xfId="0" applyNumberFormat="1" applyFont="1" applyAlignment="1">
      <alignment wrapText="1"/>
    </xf>
    <xf numFmtId="177" fontId="11" fillId="0" borderId="0" xfId="0" applyNumberFormat="1" applyFont="1" applyAlignment="1">
      <alignment wrapText="1"/>
    </xf>
    <xf numFmtId="4" fontId="3" fillId="0" borderId="0" xfId="0" applyNumberFormat="1" applyFont="1" applyAlignment="1">
      <alignment horizontal="center" vertical="center"/>
    </xf>
    <xf numFmtId="166" fontId="3" fillId="0" borderId="0" xfId="1" applyFont="1" applyAlignment="1">
      <alignment horizontal="center" vertical="center"/>
    </xf>
    <xf numFmtId="4" fontId="0" fillId="0" borderId="0" xfId="0" applyNumberFormat="1"/>
    <xf numFmtId="167" fontId="3" fillId="0" borderId="25" xfId="1" applyNumberFormat="1" applyFont="1" applyBorder="1"/>
    <xf numFmtId="0" fontId="3" fillId="0" borderId="27" xfId="0" applyFont="1" applyBorder="1"/>
    <xf numFmtId="166" fontId="3" fillId="0" borderId="28" xfId="0" applyNumberFormat="1" applyFont="1" applyBorder="1"/>
    <xf numFmtId="167" fontId="2" fillId="0" borderId="11" xfId="1" applyNumberFormat="1" applyFont="1" applyBorder="1" applyAlignment="1">
      <alignment horizontal="center" vertical="center"/>
    </xf>
    <xf numFmtId="0" fontId="2" fillId="0" borderId="0" xfId="0" applyFont="1" applyAlignment="1">
      <alignment horizontal="left"/>
    </xf>
    <xf numFmtId="0" fontId="3" fillId="0" borderId="0" xfId="0" applyFont="1" applyAlignment="1">
      <alignment horizontal="left"/>
    </xf>
    <xf numFmtId="0" fontId="2" fillId="0" borderId="11" xfId="0" applyFont="1" applyBorder="1" applyAlignment="1">
      <alignment horizontal="center" vertical="center" wrapText="1"/>
    </xf>
    <xf numFmtId="0" fontId="0" fillId="0" borderId="0" xfId="0" applyAlignment="1">
      <alignment horizontal="center"/>
    </xf>
    <xf numFmtId="0" fontId="11" fillId="0" borderId="10" xfId="0" applyFont="1" applyBorder="1" applyAlignment="1">
      <alignment wrapText="1"/>
    </xf>
    <xf numFmtId="1" fontId="11" fillId="0" borderId="10" xfId="0" applyNumberFormat="1" applyFont="1" applyBorder="1" applyAlignment="1">
      <alignment wrapText="1"/>
    </xf>
    <xf numFmtId="172" fontId="11" fillId="0" borderId="10" xfId="0" applyNumberFormat="1" applyFont="1" applyBorder="1" applyAlignment="1">
      <alignment wrapText="1"/>
    </xf>
    <xf numFmtId="0" fontId="11" fillId="0" borderId="10" xfId="0" applyFont="1" applyBorder="1" applyAlignment="1">
      <alignment horizontal="center" vertical="center" wrapText="1"/>
    </xf>
    <xf numFmtId="0" fontId="11" fillId="0" borderId="10" xfId="0" applyFont="1" applyBorder="1" applyAlignment="1">
      <alignment horizontal="center" wrapText="1"/>
    </xf>
    <xf numFmtId="166" fontId="11" fillId="0" borderId="10" xfId="1" applyFont="1" applyFill="1" applyBorder="1" applyAlignment="1">
      <alignment wrapText="1"/>
    </xf>
    <xf numFmtId="0" fontId="11" fillId="0" borderId="9" xfId="0" applyFont="1" applyBorder="1" applyAlignment="1">
      <alignment wrapText="1"/>
    </xf>
    <xf numFmtId="1" fontId="11" fillId="0" borderId="9" xfId="0" applyNumberFormat="1" applyFont="1" applyBorder="1" applyAlignment="1">
      <alignment wrapText="1"/>
    </xf>
    <xf numFmtId="172" fontId="11" fillId="0" borderId="9" xfId="0" applyNumberFormat="1" applyFont="1" applyBorder="1" applyAlignment="1">
      <alignment wrapText="1"/>
    </xf>
    <xf numFmtId="0" fontId="11" fillId="0" borderId="9" xfId="0" applyFont="1" applyBorder="1" applyAlignment="1">
      <alignment horizontal="center" vertical="center" wrapText="1"/>
    </xf>
    <xf numFmtId="0" fontId="11" fillId="0" borderId="9" xfId="0" applyFont="1" applyBorder="1" applyAlignment="1">
      <alignment horizontal="center" wrapText="1"/>
    </xf>
    <xf numFmtId="166" fontId="11" fillId="0" borderId="9" xfId="1" applyFont="1" applyFill="1" applyBorder="1" applyAlignment="1">
      <alignment wrapText="1"/>
    </xf>
    <xf numFmtId="0" fontId="3" fillId="0" borderId="11" xfId="0" applyFont="1" applyBorder="1"/>
    <xf numFmtId="166" fontId="3" fillId="0" borderId="11" xfId="0" applyNumberFormat="1" applyFont="1" applyBorder="1"/>
    <xf numFmtId="166" fontId="3" fillId="0" borderId="11" xfId="1" applyFont="1" applyBorder="1"/>
    <xf numFmtId="0" fontId="22" fillId="0" borderId="0" xfId="5" applyFont="1" applyAlignment="1">
      <alignment horizontal="left" vertical="top"/>
    </xf>
    <xf numFmtId="166" fontId="11" fillId="0" borderId="0" xfId="1" applyFont="1" applyFill="1" applyBorder="1" applyAlignment="1">
      <alignment wrapText="1"/>
    </xf>
    <xf numFmtId="1" fontId="11" fillId="0" borderId="0" xfId="0" applyNumberFormat="1" applyFont="1" applyAlignment="1">
      <alignment wrapText="1"/>
    </xf>
    <xf numFmtId="172" fontId="11" fillId="0" borderId="0" xfId="0" applyNumberFormat="1" applyFont="1" applyAlignment="1">
      <alignment wrapText="1"/>
    </xf>
    <xf numFmtId="0" fontId="11" fillId="9" borderId="9" xfId="0" applyFont="1" applyFill="1" applyBorder="1" applyAlignment="1">
      <alignment wrapText="1"/>
    </xf>
    <xf numFmtId="1" fontId="11" fillId="9" borderId="9" xfId="0" applyNumberFormat="1" applyFont="1" applyFill="1" applyBorder="1" applyAlignment="1">
      <alignment wrapText="1"/>
    </xf>
    <xf numFmtId="172" fontId="11" fillId="9" borderId="9" xfId="0" applyNumberFormat="1" applyFont="1" applyFill="1" applyBorder="1" applyAlignment="1">
      <alignment wrapText="1"/>
    </xf>
    <xf numFmtId="0" fontId="11" fillId="9" borderId="9" xfId="0" applyFont="1" applyFill="1" applyBorder="1" applyAlignment="1">
      <alignment horizontal="center" vertical="center" wrapText="1"/>
    </xf>
    <xf numFmtId="0" fontId="11" fillId="9" borderId="9" xfId="0" applyFont="1" applyFill="1" applyBorder="1" applyAlignment="1">
      <alignment horizontal="center" wrapText="1"/>
    </xf>
    <xf numFmtId="166" fontId="11" fillId="9" borderId="9" xfId="1" applyFont="1" applyFill="1" applyBorder="1" applyAlignment="1">
      <alignment wrapText="1"/>
    </xf>
    <xf numFmtId="0" fontId="11" fillId="9" borderId="10" xfId="0" applyFont="1" applyFill="1" applyBorder="1" applyAlignment="1">
      <alignment wrapText="1"/>
    </xf>
    <xf numFmtId="1" fontId="11" fillId="9" borderId="10" xfId="0" applyNumberFormat="1" applyFont="1" applyFill="1" applyBorder="1" applyAlignment="1">
      <alignment wrapText="1"/>
    </xf>
    <xf numFmtId="172" fontId="11" fillId="9" borderId="10" xfId="0" applyNumberFormat="1" applyFont="1" applyFill="1" applyBorder="1" applyAlignment="1">
      <alignment wrapText="1"/>
    </xf>
    <xf numFmtId="0" fontId="11" fillId="9" borderId="10" xfId="0" applyFont="1" applyFill="1" applyBorder="1" applyAlignment="1">
      <alignment horizontal="center" vertical="center" wrapText="1"/>
    </xf>
    <xf numFmtId="0" fontId="11" fillId="9" borderId="10" xfId="0" applyFont="1" applyFill="1" applyBorder="1" applyAlignment="1">
      <alignment horizontal="center" wrapText="1"/>
    </xf>
    <xf numFmtId="166" fontId="11" fillId="9" borderId="10" xfId="1" applyFont="1" applyFill="1" applyBorder="1" applyAlignment="1">
      <alignment wrapText="1"/>
    </xf>
    <xf numFmtId="0" fontId="11" fillId="10" borderId="9" xfId="0" applyFont="1" applyFill="1" applyBorder="1" applyAlignment="1">
      <alignment wrapText="1"/>
    </xf>
    <xf numFmtId="1" fontId="11" fillId="10" borderId="9" xfId="0" applyNumberFormat="1" applyFont="1" applyFill="1" applyBorder="1" applyAlignment="1">
      <alignment wrapText="1"/>
    </xf>
    <xf numFmtId="172" fontId="11" fillId="10" borderId="9" xfId="0" applyNumberFormat="1" applyFont="1" applyFill="1" applyBorder="1" applyAlignment="1">
      <alignment wrapText="1"/>
    </xf>
    <xf numFmtId="0" fontId="11" fillId="10" borderId="9" xfId="0" applyFont="1" applyFill="1" applyBorder="1" applyAlignment="1">
      <alignment horizontal="center" vertical="center" wrapText="1"/>
    </xf>
    <xf numFmtId="0" fontId="11" fillId="10" borderId="9" xfId="0" applyFont="1" applyFill="1" applyBorder="1" applyAlignment="1">
      <alignment horizontal="center" wrapText="1"/>
    </xf>
    <xf numFmtId="166" fontId="11" fillId="10" borderId="9" xfId="1" applyFont="1" applyFill="1" applyBorder="1" applyAlignment="1">
      <alignment wrapText="1"/>
    </xf>
    <xf numFmtId="0" fontId="11" fillId="10" borderId="10" xfId="0" applyFont="1" applyFill="1" applyBorder="1" applyAlignment="1">
      <alignment wrapText="1"/>
    </xf>
    <xf numFmtId="1" fontId="11" fillId="10" borderId="10" xfId="0" applyNumberFormat="1" applyFont="1" applyFill="1" applyBorder="1" applyAlignment="1">
      <alignment wrapText="1"/>
    </xf>
    <xf numFmtId="172" fontId="11" fillId="10" borderId="10" xfId="0" applyNumberFormat="1" applyFont="1" applyFill="1" applyBorder="1" applyAlignment="1">
      <alignment wrapText="1"/>
    </xf>
    <xf numFmtId="0" fontId="11" fillId="10" borderId="10" xfId="0" applyFont="1" applyFill="1" applyBorder="1" applyAlignment="1">
      <alignment horizontal="center" vertical="center" wrapText="1"/>
    </xf>
    <xf numFmtId="0" fontId="11" fillId="10" borderId="10" xfId="0" applyFont="1" applyFill="1" applyBorder="1" applyAlignment="1">
      <alignment horizontal="center" wrapText="1"/>
    </xf>
    <xf numFmtId="166" fontId="11" fillId="10" borderId="10" xfId="1" applyFont="1" applyFill="1" applyBorder="1" applyAlignment="1">
      <alignment wrapText="1"/>
    </xf>
    <xf numFmtId="168" fontId="2" fillId="0" borderId="0" xfId="0" applyNumberFormat="1" applyFont="1"/>
    <xf numFmtId="168" fontId="3" fillId="0" borderId="0" xfId="0" applyNumberFormat="1" applyFont="1"/>
    <xf numFmtId="167" fontId="7" fillId="0" borderId="10" xfId="1" applyNumberFormat="1" applyFont="1" applyFill="1" applyBorder="1"/>
    <xf numFmtId="0" fontId="7" fillId="0" borderId="0" xfId="0" applyFont="1" applyAlignment="1">
      <alignment horizontal="center"/>
    </xf>
    <xf numFmtId="179" fontId="11" fillId="9" borderId="9" xfId="0" applyNumberFormat="1" applyFont="1" applyFill="1" applyBorder="1" applyAlignment="1">
      <alignment wrapText="1"/>
    </xf>
    <xf numFmtId="179" fontId="11" fillId="9" borderId="10" xfId="0" applyNumberFormat="1" applyFont="1" applyFill="1" applyBorder="1" applyAlignment="1">
      <alignment wrapText="1"/>
    </xf>
    <xf numFmtId="179" fontId="11" fillId="10" borderId="9" xfId="0" applyNumberFormat="1" applyFont="1" applyFill="1" applyBorder="1" applyAlignment="1">
      <alignment wrapText="1"/>
    </xf>
    <xf numFmtId="179" fontId="11" fillId="10" borderId="10" xfId="0" applyNumberFormat="1" applyFont="1" applyFill="1" applyBorder="1" applyAlignment="1">
      <alignment wrapText="1"/>
    </xf>
    <xf numFmtId="0" fontId="11" fillId="9" borderId="0" xfId="0" applyFont="1" applyFill="1" applyAlignment="1">
      <alignment wrapText="1"/>
    </xf>
    <xf numFmtId="1" fontId="11" fillId="9" borderId="0" xfId="0" applyNumberFormat="1" applyFont="1" applyFill="1" applyAlignment="1">
      <alignment wrapText="1"/>
    </xf>
    <xf numFmtId="179" fontId="11" fillId="9" borderId="0" xfId="0" applyNumberFormat="1" applyFont="1" applyFill="1" applyAlignment="1">
      <alignment wrapText="1"/>
    </xf>
    <xf numFmtId="0" fontId="11" fillId="9" borderId="0" xfId="0" applyFont="1" applyFill="1" applyAlignment="1">
      <alignment horizontal="center" vertical="center" wrapText="1"/>
    </xf>
    <xf numFmtId="0" fontId="11" fillId="9" borderId="0" xfId="0" applyFont="1" applyFill="1" applyAlignment="1">
      <alignment horizontal="center" wrapText="1"/>
    </xf>
    <xf numFmtId="166" fontId="11" fillId="9" borderId="0" xfId="1" applyFont="1" applyFill="1" applyBorder="1" applyAlignment="1">
      <alignment wrapText="1"/>
    </xf>
    <xf numFmtId="0" fontId="11" fillId="0" borderId="9" xfId="0" applyFont="1" applyBorder="1" applyAlignment="1">
      <alignment horizontal="left" wrapText="1"/>
    </xf>
    <xf numFmtId="1" fontId="11" fillId="0" borderId="8" xfId="0" applyNumberFormat="1" applyFont="1" applyBorder="1" applyAlignment="1">
      <alignment wrapText="1"/>
    </xf>
    <xf numFmtId="0" fontId="11" fillId="0" borderId="10" xfId="0" applyFont="1" applyBorder="1" applyAlignment="1">
      <alignment horizontal="left" wrapText="1"/>
    </xf>
    <xf numFmtId="4" fontId="11" fillId="0" borderId="0" xfId="0" applyNumberFormat="1" applyFont="1" applyAlignment="1">
      <alignment wrapText="1"/>
    </xf>
    <xf numFmtId="0" fontId="25" fillId="11" borderId="0" xfId="5" applyFont="1" applyFill="1" applyAlignment="1">
      <alignment horizontal="center" vertical="top"/>
    </xf>
    <xf numFmtId="178" fontId="23" fillId="12" borderId="0" xfId="5" applyNumberFormat="1" applyFont="1" applyFill="1" applyAlignment="1">
      <alignment horizontal="center" vertical="top" shrinkToFit="1"/>
    </xf>
    <xf numFmtId="0" fontId="23" fillId="12" borderId="0" xfId="5" applyFont="1" applyFill="1" applyAlignment="1">
      <alignment horizontal="left" vertical="top"/>
    </xf>
    <xf numFmtId="178" fontId="23" fillId="12" borderId="0" xfId="5" applyNumberFormat="1" applyFont="1" applyFill="1" applyAlignment="1">
      <alignment horizontal="left" vertical="top" shrinkToFit="1"/>
    </xf>
    <xf numFmtId="166" fontId="23" fillId="12" borderId="0" xfId="1" applyFont="1" applyFill="1" applyAlignment="1">
      <alignment horizontal="left" vertical="top"/>
    </xf>
    <xf numFmtId="166" fontId="26" fillId="0" borderId="0" xfId="5" applyNumberFormat="1" applyFont="1" applyAlignment="1">
      <alignment vertical="top"/>
    </xf>
    <xf numFmtId="0" fontId="22" fillId="0" borderId="0" xfId="5" applyFont="1" applyAlignment="1">
      <alignment horizontal="center" vertical="top"/>
    </xf>
    <xf numFmtId="0" fontId="11" fillId="14" borderId="9" xfId="0" applyFont="1" applyFill="1" applyBorder="1" applyAlignment="1">
      <alignment wrapText="1"/>
    </xf>
    <xf numFmtId="1" fontId="11" fillId="14" borderId="9" xfId="0" applyNumberFormat="1" applyFont="1" applyFill="1" applyBorder="1" applyAlignment="1">
      <alignment wrapText="1"/>
    </xf>
    <xf numFmtId="179" fontId="11" fillId="14" borderId="9" xfId="0" applyNumberFormat="1" applyFont="1" applyFill="1" applyBorder="1" applyAlignment="1">
      <alignment wrapText="1"/>
    </xf>
    <xf numFmtId="0" fontId="11" fillId="14" borderId="9" xfId="0" applyFont="1" applyFill="1" applyBorder="1" applyAlignment="1">
      <alignment horizontal="center" vertical="center" wrapText="1"/>
    </xf>
    <xf numFmtId="0" fontId="11" fillId="14" borderId="9" xfId="0" applyFont="1" applyFill="1" applyBorder="1" applyAlignment="1">
      <alignment horizontal="center" wrapText="1"/>
    </xf>
    <xf numFmtId="166" fontId="11" fillId="14" borderId="9" xfId="1" applyFont="1" applyFill="1" applyBorder="1" applyAlignment="1">
      <alignment wrapText="1"/>
    </xf>
    <xf numFmtId="0" fontId="11" fillId="14" borderId="10" xfId="0" applyFont="1" applyFill="1" applyBorder="1" applyAlignment="1">
      <alignment wrapText="1"/>
    </xf>
    <xf numFmtId="1" fontId="11" fillId="14" borderId="10" xfId="0" applyNumberFormat="1" applyFont="1" applyFill="1" applyBorder="1" applyAlignment="1">
      <alignment wrapText="1"/>
    </xf>
    <xf numFmtId="179" fontId="11" fillId="14" borderId="10" xfId="0" applyNumberFormat="1" applyFont="1" applyFill="1" applyBorder="1" applyAlignment="1">
      <alignment wrapText="1"/>
    </xf>
    <xf numFmtId="0" fontId="11" fillId="14" borderId="10" xfId="0" applyFont="1" applyFill="1" applyBorder="1" applyAlignment="1">
      <alignment horizontal="center" vertical="center" wrapText="1"/>
    </xf>
    <xf numFmtId="0" fontId="11" fillId="14" borderId="10" xfId="0" applyFont="1" applyFill="1" applyBorder="1" applyAlignment="1">
      <alignment horizontal="center" wrapText="1"/>
    </xf>
    <xf numFmtId="166" fontId="11" fillId="14" borderId="10" xfId="1" applyFont="1" applyFill="1" applyBorder="1" applyAlignment="1">
      <alignment wrapText="1"/>
    </xf>
    <xf numFmtId="0" fontId="11" fillId="15" borderId="9" xfId="0" applyFont="1" applyFill="1" applyBorder="1" applyAlignment="1">
      <alignment wrapText="1"/>
    </xf>
    <xf numFmtId="1" fontId="11" fillId="15" borderId="9" xfId="0" applyNumberFormat="1" applyFont="1" applyFill="1" applyBorder="1" applyAlignment="1">
      <alignment wrapText="1"/>
    </xf>
    <xf numFmtId="179" fontId="11" fillId="15" borderId="9" xfId="0" applyNumberFormat="1" applyFont="1" applyFill="1" applyBorder="1" applyAlignment="1">
      <alignment wrapText="1"/>
    </xf>
    <xf numFmtId="0" fontId="11" fillId="15" borderId="9" xfId="0" applyFont="1" applyFill="1" applyBorder="1" applyAlignment="1">
      <alignment horizontal="center" vertical="center" wrapText="1"/>
    </xf>
    <xf numFmtId="0" fontId="11" fillId="15" borderId="9" xfId="0" applyFont="1" applyFill="1" applyBorder="1" applyAlignment="1">
      <alignment horizontal="center" wrapText="1"/>
    </xf>
    <xf numFmtId="166" fontId="11" fillId="15" borderId="9" xfId="1" applyFont="1" applyFill="1" applyBorder="1" applyAlignment="1">
      <alignment wrapText="1"/>
    </xf>
    <xf numFmtId="0" fontId="11" fillId="15" borderId="10" xfId="0" applyFont="1" applyFill="1" applyBorder="1" applyAlignment="1">
      <alignment wrapText="1"/>
    </xf>
    <xf numFmtId="1" fontId="11" fillId="15" borderId="10" xfId="0" applyNumberFormat="1" applyFont="1" applyFill="1" applyBorder="1" applyAlignment="1">
      <alignment wrapText="1"/>
    </xf>
    <xf numFmtId="179" fontId="11" fillId="15" borderId="10" xfId="0" applyNumberFormat="1" applyFont="1" applyFill="1" applyBorder="1" applyAlignment="1">
      <alignment wrapText="1"/>
    </xf>
    <xf numFmtId="0" fontId="11" fillId="15" borderId="10" xfId="0" applyFont="1" applyFill="1" applyBorder="1" applyAlignment="1">
      <alignment horizontal="center" vertical="center" wrapText="1"/>
    </xf>
    <xf numFmtId="0" fontId="11" fillId="15" borderId="10" xfId="0" applyFont="1" applyFill="1" applyBorder="1" applyAlignment="1">
      <alignment horizontal="center" wrapText="1"/>
    </xf>
    <xf numFmtId="166" fontId="11" fillId="15" borderId="10" xfId="1" applyFont="1" applyFill="1" applyBorder="1" applyAlignment="1">
      <alignment wrapText="1"/>
    </xf>
    <xf numFmtId="166" fontId="3" fillId="0" borderId="28" xfId="1" applyFont="1" applyBorder="1"/>
    <xf numFmtId="0" fontId="27" fillId="0" borderId="26" xfId="0" applyFont="1" applyBorder="1" applyAlignment="1">
      <alignment horizontal="center" vertical="center" wrapText="1"/>
    </xf>
    <xf numFmtId="3" fontId="27" fillId="0" borderId="28" xfId="0" applyNumberFormat="1" applyFont="1" applyBorder="1" applyAlignment="1">
      <alignment horizontal="right" vertical="center" wrapText="1"/>
    </xf>
    <xf numFmtId="3" fontId="27" fillId="0" borderId="25" xfId="0" applyNumberFormat="1" applyFont="1" applyBorder="1" applyAlignment="1">
      <alignment horizontal="right" vertical="center" wrapText="1"/>
    </xf>
    <xf numFmtId="3" fontId="28" fillId="0" borderId="25" xfId="0" applyNumberFormat="1" applyFont="1" applyBorder="1" applyAlignment="1">
      <alignment horizontal="right" vertical="center"/>
    </xf>
    <xf numFmtId="0" fontId="27" fillId="0" borderId="28" xfId="0" applyFont="1" applyBorder="1" applyAlignment="1">
      <alignment vertical="center"/>
    </xf>
    <xf numFmtId="0" fontId="27" fillId="0" borderId="25" xfId="0" applyFont="1" applyBorder="1" applyAlignment="1">
      <alignment vertical="center"/>
    </xf>
    <xf numFmtId="179" fontId="11" fillId="0" borderId="9" xfId="0" applyNumberFormat="1" applyFont="1" applyBorder="1" applyAlignment="1">
      <alignment wrapText="1"/>
    </xf>
    <xf numFmtId="179" fontId="11" fillId="0" borderId="10" xfId="0" applyNumberFormat="1" applyFont="1" applyBorder="1" applyAlignment="1">
      <alignment wrapText="1"/>
    </xf>
    <xf numFmtId="4" fontId="2" fillId="0" borderId="0" xfId="0" applyNumberFormat="1" applyFont="1"/>
    <xf numFmtId="179" fontId="11" fillId="0" borderId="0" xfId="0" applyNumberFormat="1" applyFont="1" applyAlignment="1">
      <alignment wrapText="1"/>
    </xf>
    <xf numFmtId="0" fontId="25" fillId="11" borderId="23" xfId="5" applyFont="1" applyFill="1" applyBorder="1" applyAlignment="1">
      <alignment horizontal="center" vertical="top"/>
    </xf>
    <xf numFmtId="166" fontId="23" fillId="12" borderId="23" xfId="1" applyFont="1" applyFill="1" applyBorder="1" applyAlignment="1">
      <alignment vertical="top"/>
    </xf>
    <xf numFmtId="0" fontId="22" fillId="0" borderId="22" xfId="5" applyFont="1" applyBorder="1" applyAlignment="1">
      <alignment horizontal="left" vertical="top"/>
    </xf>
    <xf numFmtId="0" fontId="25" fillId="11" borderId="22" xfId="5" applyFont="1" applyFill="1" applyBorder="1" applyAlignment="1">
      <alignment horizontal="center" vertical="top"/>
    </xf>
    <xf numFmtId="166" fontId="23" fillId="12" borderId="22" xfId="1" applyFont="1" applyFill="1" applyBorder="1" applyAlignment="1">
      <alignment horizontal="center" vertical="top"/>
    </xf>
    <xf numFmtId="166" fontId="23" fillId="13" borderId="22" xfId="1" applyFont="1" applyFill="1" applyBorder="1" applyAlignment="1">
      <alignment horizontal="center" vertical="top"/>
    </xf>
    <xf numFmtId="0" fontId="23" fillId="12" borderId="22" xfId="5" applyFont="1" applyFill="1" applyBorder="1" applyAlignment="1">
      <alignment horizontal="right" vertical="top"/>
    </xf>
    <xf numFmtId="166" fontId="23" fillId="12" borderId="22" xfId="1" applyFont="1" applyFill="1" applyBorder="1" applyAlignment="1">
      <alignment horizontal="right" vertical="top"/>
    </xf>
    <xf numFmtId="166" fontId="23" fillId="13" borderId="22" xfId="1" applyFont="1" applyFill="1" applyBorder="1" applyAlignment="1">
      <alignment horizontal="right" vertical="top"/>
    </xf>
    <xf numFmtId="166" fontId="23" fillId="12" borderId="23" xfId="1" applyFont="1" applyFill="1" applyBorder="1" applyAlignment="1">
      <alignment horizontal="left" vertical="top"/>
    </xf>
    <xf numFmtId="166" fontId="22" fillId="0" borderId="23" xfId="1" applyFont="1" applyBorder="1" applyAlignment="1">
      <alignment horizontal="center" vertical="center"/>
    </xf>
    <xf numFmtId="166" fontId="23" fillId="12" borderId="22" xfId="1" applyFont="1" applyFill="1" applyBorder="1" applyAlignment="1">
      <alignment horizontal="left" vertical="top"/>
    </xf>
    <xf numFmtId="4" fontId="23" fillId="12" borderId="0" xfId="5" applyNumberFormat="1" applyFont="1" applyFill="1" applyAlignment="1">
      <alignment horizontal="left" vertical="top"/>
    </xf>
    <xf numFmtId="166" fontId="23" fillId="12" borderId="0" xfId="5" applyNumberFormat="1" applyFont="1" applyFill="1" applyAlignment="1">
      <alignment horizontal="left" vertical="top"/>
    </xf>
    <xf numFmtId="180" fontId="11" fillId="0" borderId="0" xfId="3" applyNumberFormat="1" applyFont="1" applyAlignment="1">
      <alignment wrapText="1"/>
    </xf>
    <xf numFmtId="166" fontId="7" fillId="0" borderId="0" xfId="0" applyNumberFormat="1" applyFont="1" applyAlignment="1">
      <alignment horizontal="center"/>
    </xf>
    <xf numFmtId="166" fontId="3" fillId="0" borderId="0" xfId="1" applyFont="1" applyAlignment="1">
      <alignment horizontal="right"/>
    </xf>
    <xf numFmtId="167" fontId="2" fillId="0" borderId="14" xfId="1" applyNumberFormat="1" applyFont="1" applyFill="1" applyBorder="1"/>
    <xf numFmtId="0" fontId="11" fillId="16" borderId="9" xfId="0" applyFont="1" applyFill="1" applyBorder="1" applyAlignment="1">
      <alignment wrapText="1"/>
    </xf>
    <xf numFmtId="1" fontId="11" fillId="16" borderId="9" xfId="0" applyNumberFormat="1" applyFont="1" applyFill="1" applyBorder="1" applyAlignment="1">
      <alignment wrapText="1"/>
    </xf>
    <xf numFmtId="179" fontId="11" fillId="16" borderId="9" xfId="0" applyNumberFormat="1" applyFont="1" applyFill="1" applyBorder="1" applyAlignment="1">
      <alignment wrapText="1"/>
    </xf>
    <xf numFmtId="0" fontId="11" fillId="16" borderId="9" xfId="0" applyFont="1" applyFill="1" applyBorder="1" applyAlignment="1">
      <alignment horizontal="center" vertical="center" wrapText="1"/>
    </xf>
    <xf numFmtId="0" fontId="11" fillId="16" borderId="9" xfId="0" applyFont="1" applyFill="1" applyBorder="1" applyAlignment="1">
      <alignment horizontal="center" wrapText="1"/>
    </xf>
    <xf numFmtId="166" fontId="11" fillId="16" borderId="9" xfId="1" applyFont="1" applyFill="1" applyBorder="1" applyAlignment="1">
      <alignment wrapText="1"/>
    </xf>
    <xf numFmtId="0" fontId="11" fillId="16" borderId="10" xfId="0" applyFont="1" applyFill="1" applyBorder="1" applyAlignment="1">
      <alignment wrapText="1"/>
    </xf>
    <xf numFmtId="1" fontId="11" fillId="16" borderId="10" xfId="0" applyNumberFormat="1" applyFont="1" applyFill="1" applyBorder="1" applyAlignment="1">
      <alignment wrapText="1"/>
    </xf>
    <xf numFmtId="179" fontId="11" fillId="16" borderId="10" xfId="0" applyNumberFormat="1" applyFont="1" applyFill="1" applyBorder="1" applyAlignment="1">
      <alignment wrapText="1"/>
    </xf>
    <xf numFmtId="0" fontId="11" fillId="16" borderId="10" xfId="0" applyFont="1" applyFill="1" applyBorder="1" applyAlignment="1">
      <alignment horizontal="center" vertical="center" wrapText="1"/>
    </xf>
    <xf numFmtId="0" fontId="11" fillId="16" borderId="10" xfId="0" applyFont="1" applyFill="1" applyBorder="1" applyAlignment="1">
      <alignment horizontal="center" wrapText="1"/>
    </xf>
    <xf numFmtId="166" fontId="11" fillId="16" borderId="10" xfId="1" applyFont="1" applyFill="1" applyBorder="1" applyAlignment="1">
      <alignment wrapText="1"/>
    </xf>
    <xf numFmtId="167" fontId="30" fillId="0" borderId="15" xfId="1" applyNumberFormat="1" applyFont="1" applyBorder="1"/>
    <xf numFmtId="166" fontId="22" fillId="0" borderId="0" xfId="1" applyFont="1" applyAlignment="1">
      <alignment horizontal="left" vertical="top"/>
    </xf>
    <xf numFmtId="166" fontId="22" fillId="0" borderId="0" xfId="5" applyNumberFormat="1" applyFont="1" applyAlignment="1">
      <alignment horizontal="left" vertical="top"/>
    </xf>
    <xf numFmtId="0" fontId="29" fillId="0" borderId="0" xfId="0" applyFont="1"/>
    <xf numFmtId="166" fontId="11" fillId="0" borderId="0" xfId="1" applyFont="1" applyAlignment="1">
      <alignment wrapText="1"/>
    </xf>
    <xf numFmtId="4" fontId="7" fillId="0" borderId="0" xfId="0" applyNumberFormat="1" applyFont="1"/>
    <xf numFmtId="178" fontId="23" fillId="12" borderId="35" xfId="5" applyNumberFormat="1" applyFont="1" applyFill="1" applyBorder="1" applyAlignment="1">
      <alignment horizontal="center" vertical="top" shrinkToFit="1"/>
    </xf>
    <xf numFmtId="166" fontId="3" fillId="7" borderId="0" xfId="1" applyFont="1" applyFill="1"/>
    <xf numFmtId="178" fontId="31" fillId="12" borderId="0" xfId="5" applyNumberFormat="1" applyFont="1" applyFill="1" applyAlignment="1">
      <alignment horizontal="center" vertical="top" shrinkToFit="1"/>
    </xf>
    <xf numFmtId="166" fontId="31" fillId="12" borderId="22" xfId="1" applyFont="1" applyFill="1" applyBorder="1" applyAlignment="1">
      <alignment horizontal="center" vertical="top"/>
    </xf>
    <xf numFmtId="166" fontId="31" fillId="12" borderId="23" xfId="1" applyFont="1" applyFill="1" applyBorder="1" applyAlignment="1">
      <alignment vertical="top"/>
    </xf>
    <xf numFmtId="0" fontId="31" fillId="12" borderId="0" xfId="5" applyFont="1" applyFill="1" applyAlignment="1">
      <alignment horizontal="left" vertical="top"/>
    </xf>
    <xf numFmtId="166" fontId="31" fillId="12" borderId="22" xfId="1" applyFont="1" applyFill="1" applyBorder="1" applyAlignment="1">
      <alignment horizontal="left" vertical="top"/>
    </xf>
    <xf numFmtId="0" fontId="23" fillId="12" borderId="22" xfId="5" applyFont="1" applyFill="1" applyBorder="1" applyAlignment="1">
      <alignment horizontal="left" vertical="top"/>
    </xf>
    <xf numFmtId="4" fontId="23" fillId="12" borderId="22" xfId="5" applyNumberFormat="1" applyFont="1" applyFill="1" applyBorder="1" applyAlignment="1">
      <alignment horizontal="left" vertical="top"/>
    </xf>
    <xf numFmtId="178" fontId="32" fillId="12" borderId="0" xfId="5" applyNumberFormat="1" applyFont="1" applyFill="1" applyAlignment="1">
      <alignment horizontal="center" vertical="top" shrinkToFit="1"/>
    </xf>
    <xf numFmtId="166" fontId="32" fillId="12" borderId="22" xfId="1" applyFont="1" applyFill="1" applyBorder="1" applyAlignment="1">
      <alignment horizontal="center" vertical="top"/>
    </xf>
    <xf numFmtId="166" fontId="32" fillId="12" borderId="23" xfId="1" applyFont="1" applyFill="1" applyBorder="1" applyAlignment="1">
      <alignment vertical="top"/>
    </xf>
    <xf numFmtId="0" fontId="32" fillId="12" borderId="0" xfId="5" applyFont="1" applyFill="1" applyAlignment="1">
      <alignment horizontal="left" vertical="top"/>
    </xf>
    <xf numFmtId="166" fontId="32" fillId="12" borderId="22" xfId="1" applyFont="1" applyFill="1" applyBorder="1" applyAlignment="1">
      <alignment horizontal="left" vertical="top"/>
    </xf>
    <xf numFmtId="0" fontId="11" fillId="17" borderId="9" xfId="0" applyFont="1" applyFill="1" applyBorder="1" applyAlignment="1">
      <alignment wrapText="1"/>
    </xf>
    <xf numFmtId="1" fontId="11" fillId="17" borderId="9" xfId="0" applyNumberFormat="1" applyFont="1" applyFill="1" applyBorder="1" applyAlignment="1">
      <alignment wrapText="1"/>
    </xf>
    <xf numFmtId="179" fontId="11" fillId="17" borderId="9" xfId="0" applyNumberFormat="1" applyFont="1" applyFill="1" applyBorder="1" applyAlignment="1">
      <alignment wrapText="1"/>
    </xf>
    <xf numFmtId="0" fontId="11" fillId="17" borderId="9" xfId="0" applyFont="1" applyFill="1" applyBorder="1" applyAlignment="1">
      <alignment horizontal="center" vertical="center" wrapText="1"/>
    </xf>
    <xf numFmtId="0" fontId="11" fillId="17" borderId="9" xfId="0" applyFont="1" applyFill="1" applyBorder="1" applyAlignment="1">
      <alignment horizontal="center" wrapText="1"/>
    </xf>
    <xf numFmtId="166" fontId="11" fillId="17" borderId="9" xfId="1" applyFont="1" applyFill="1" applyBorder="1" applyAlignment="1">
      <alignment wrapText="1"/>
    </xf>
    <xf numFmtId="0" fontId="11" fillId="17" borderId="10" xfId="0" applyFont="1" applyFill="1" applyBorder="1" applyAlignment="1">
      <alignment wrapText="1"/>
    </xf>
    <xf numFmtId="1" fontId="11" fillId="17" borderId="10" xfId="0" applyNumberFormat="1" applyFont="1" applyFill="1" applyBorder="1" applyAlignment="1">
      <alignment wrapText="1"/>
    </xf>
    <xf numFmtId="179" fontId="11" fillId="17" borderId="10" xfId="0" applyNumberFormat="1" applyFont="1" applyFill="1" applyBorder="1" applyAlignment="1">
      <alignment wrapText="1"/>
    </xf>
    <xf numFmtId="0" fontId="11" fillId="17" borderId="10" xfId="0" applyFont="1" applyFill="1" applyBorder="1" applyAlignment="1">
      <alignment horizontal="center" vertical="center" wrapText="1"/>
    </xf>
    <xf numFmtId="0" fontId="11" fillId="17" borderId="10" xfId="0" applyFont="1" applyFill="1" applyBorder="1" applyAlignment="1">
      <alignment horizontal="center" wrapText="1"/>
    </xf>
    <xf numFmtId="166" fontId="11" fillId="17" borderId="10" xfId="1" applyFont="1" applyFill="1" applyBorder="1" applyAlignment="1">
      <alignment wrapText="1"/>
    </xf>
    <xf numFmtId="166" fontId="3" fillId="0" borderId="0" xfId="1" applyFont="1" applyAlignment="1">
      <alignment horizontal="right" vertical="center"/>
    </xf>
    <xf numFmtId="167" fontId="3" fillId="0" borderId="0" xfId="0" applyNumberFormat="1" applyFont="1" applyAlignment="1">
      <alignment horizontal="right" vertical="center"/>
    </xf>
    <xf numFmtId="4" fontId="22" fillId="0" borderId="0" xfId="5" applyNumberFormat="1" applyFont="1" applyAlignment="1">
      <alignment horizontal="left" vertical="top"/>
    </xf>
    <xf numFmtId="167" fontId="3" fillId="0" borderId="0" xfId="3" applyNumberFormat="1" applyFont="1"/>
    <xf numFmtId="0" fontId="11" fillId="18" borderId="9" xfId="0" applyFont="1" applyFill="1" applyBorder="1" applyAlignment="1">
      <alignment wrapText="1"/>
    </xf>
    <xf numFmtId="1" fontId="11" fillId="18" borderId="9" xfId="0" applyNumberFormat="1" applyFont="1" applyFill="1" applyBorder="1" applyAlignment="1">
      <alignment wrapText="1"/>
    </xf>
    <xf numFmtId="179" fontId="11" fillId="18" borderId="9" xfId="0" applyNumberFormat="1" applyFont="1" applyFill="1" applyBorder="1" applyAlignment="1">
      <alignment wrapText="1"/>
    </xf>
    <xf numFmtId="0" fontId="11" fillId="18" borderId="9" xfId="0" applyFont="1" applyFill="1" applyBorder="1" applyAlignment="1">
      <alignment horizontal="center" vertical="center" wrapText="1"/>
    </xf>
    <xf numFmtId="0" fontId="11" fillId="18" borderId="9" xfId="0" applyFont="1" applyFill="1" applyBorder="1" applyAlignment="1">
      <alignment horizontal="center" wrapText="1"/>
    </xf>
    <xf numFmtId="166" fontId="11" fillId="18" borderId="9" xfId="1" applyFont="1" applyFill="1" applyBorder="1" applyAlignment="1">
      <alignment wrapText="1"/>
    </xf>
    <xf numFmtId="4" fontId="11" fillId="18" borderId="0" xfId="0" applyNumberFormat="1" applyFont="1" applyFill="1" applyAlignment="1">
      <alignment wrapText="1"/>
    </xf>
    <xf numFmtId="0" fontId="11" fillId="18" borderId="0" xfId="0" applyFont="1" applyFill="1" applyAlignment="1">
      <alignment wrapText="1"/>
    </xf>
    <xf numFmtId="0" fontId="11" fillId="18" borderId="10" xfId="0" applyFont="1" applyFill="1" applyBorder="1" applyAlignment="1">
      <alignment wrapText="1"/>
    </xf>
    <xf numFmtId="1" fontId="11" fillId="18" borderId="10" xfId="0" applyNumberFormat="1" applyFont="1" applyFill="1" applyBorder="1" applyAlignment="1">
      <alignment wrapText="1"/>
    </xf>
    <xf numFmtId="179" fontId="11" fillId="18" borderId="10" xfId="0" applyNumberFormat="1" applyFont="1" applyFill="1" applyBorder="1" applyAlignment="1">
      <alignment wrapText="1"/>
    </xf>
    <xf numFmtId="0" fontId="11" fillId="18" borderId="10" xfId="0" applyFont="1" applyFill="1" applyBorder="1" applyAlignment="1">
      <alignment horizontal="center" vertical="center" wrapText="1"/>
    </xf>
    <xf numFmtId="0" fontId="11" fillId="18" borderId="10" xfId="0" applyFont="1" applyFill="1" applyBorder="1" applyAlignment="1">
      <alignment horizontal="center" wrapText="1"/>
    </xf>
    <xf numFmtId="166" fontId="11" fillId="18" borderId="10" xfId="1" applyFont="1" applyFill="1" applyBorder="1" applyAlignment="1">
      <alignment wrapText="1"/>
    </xf>
    <xf numFmtId="166" fontId="11" fillId="13" borderId="9" xfId="1" applyFont="1" applyFill="1" applyBorder="1" applyAlignment="1">
      <alignment wrapText="1"/>
    </xf>
    <xf numFmtId="166" fontId="11" fillId="13" borderId="10" xfId="1" applyFont="1" applyFill="1" applyBorder="1" applyAlignment="1">
      <alignment wrapText="1"/>
    </xf>
    <xf numFmtId="0" fontId="11" fillId="7" borderId="9" xfId="0" applyFont="1" applyFill="1" applyBorder="1" applyAlignment="1">
      <alignment wrapText="1"/>
    </xf>
    <xf numFmtId="166" fontId="11" fillId="7" borderId="9" xfId="1" applyFont="1" applyFill="1" applyBorder="1" applyAlignment="1">
      <alignment wrapText="1"/>
    </xf>
    <xf numFmtId="0" fontId="11" fillId="7" borderId="10" xfId="0" applyFont="1" applyFill="1" applyBorder="1" applyAlignment="1">
      <alignment wrapText="1"/>
    </xf>
    <xf numFmtId="166" fontId="11" fillId="7" borderId="10" xfId="1" applyFont="1" applyFill="1" applyBorder="1" applyAlignment="1">
      <alignment wrapText="1"/>
    </xf>
    <xf numFmtId="166" fontId="11" fillId="7" borderId="0" xfId="1" applyFont="1" applyFill="1" applyBorder="1" applyAlignment="1">
      <alignment wrapText="1"/>
    </xf>
    <xf numFmtId="166" fontId="11" fillId="13" borderId="0" xfId="1" applyFont="1" applyFill="1" applyBorder="1" applyAlignment="1">
      <alignment wrapText="1"/>
    </xf>
    <xf numFmtId="0" fontId="11" fillId="19" borderId="9" xfId="0" applyFont="1" applyFill="1" applyBorder="1" applyAlignment="1">
      <alignment wrapText="1"/>
    </xf>
    <xf numFmtId="1" fontId="11" fillId="19" borderId="9" xfId="0" applyNumberFormat="1" applyFont="1" applyFill="1" applyBorder="1" applyAlignment="1">
      <alignment wrapText="1"/>
    </xf>
    <xf numFmtId="172" fontId="11" fillId="19" borderId="0" xfId="0" applyNumberFormat="1" applyFont="1" applyFill="1" applyAlignment="1">
      <alignment wrapText="1"/>
    </xf>
    <xf numFmtId="0" fontId="11" fillId="19" borderId="9" xfId="0" applyFont="1" applyFill="1" applyBorder="1" applyAlignment="1">
      <alignment horizontal="center" vertical="center" wrapText="1"/>
    </xf>
    <xf numFmtId="0" fontId="11" fillId="19" borderId="9" xfId="0" applyFont="1" applyFill="1" applyBorder="1" applyAlignment="1">
      <alignment horizontal="center" wrapText="1"/>
    </xf>
    <xf numFmtId="0" fontId="11" fillId="19" borderId="9" xfId="0" applyFont="1" applyFill="1" applyBorder="1" applyAlignment="1">
      <alignment horizontal="left" wrapText="1"/>
    </xf>
    <xf numFmtId="166" fontId="11" fillId="19" borderId="0" xfId="1" applyFont="1" applyFill="1" applyAlignment="1">
      <alignment wrapText="1"/>
    </xf>
    <xf numFmtId="0" fontId="11" fillId="19" borderId="10" xfId="0" applyFont="1" applyFill="1" applyBorder="1" applyAlignment="1">
      <alignment wrapText="1"/>
    </xf>
    <xf numFmtId="1" fontId="11" fillId="19" borderId="10" xfId="0" applyNumberFormat="1" applyFont="1" applyFill="1" applyBorder="1" applyAlignment="1">
      <alignment wrapText="1"/>
    </xf>
    <xf numFmtId="172" fontId="11" fillId="19" borderId="10" xfId="0" applyNumberFormat="1" applyFont="1" applyFill="1" applyBorder="1" applyAlignment="1">
      <alignment wrapText="1"/>
    </xf>
    <xf numFmtId="0" fontId="11" fillId="19" borderId="10" xfId="0" applyFont="1" applyFill="1" applyBorder="1" applyAlignment="1">
      <alignment horizontal="center" vertical="center" wrapText="1"/>
    </xf>
    <xf numFmtId="0" fontId="11" fillId="19" borderId="10" xfId="0" applyFont="1" applyFill="1" applyBorder="1" applyAlignment="1">
      <alignment horizontal="center" wrapText="1"/>
    </xf>
    <xf numFmtId="0" fontId="11" fillId="19" borderId="10" xfId="0" applyFont="1" applyFill="1" applyBorder="1" applyAlignment="1">
      <alignment horizontal="left" wrapText="1"/>
    </xf>
    <xf numFmtId="166" fontId="3" fillId="0" borderId="0" xfId="1" applyFont="1" applyFill="1"/>
    <xf numFmtId="0" fontId="14" fillId="2" borderId="8" xfId="0" applyFont="1" applyFill="1" applyBorder="1" applyAlignment="1">
      <alignment horizontal="right"/>
    </xf>
    <xf numFmtId="166" fontId="14" fillId="2" borderId="8" xfId="1" applyFont="1" applyFill="1" applyBorder="1" applyAlignment="1">
      <alignment horizontal="right"/>
    </xf>
    <xf numFmtId="0" fontId="14" fillId="3" borderId="8" xfId="0" applyFont="1" applyFill="1" applyBorder="1"/>
    <xf numFmtId="0" fontId="14" fillId="6" borderId="8" xfId="0" applyFont="1" applyFill="1" applyBorder="1"/>
    <xf numFmtId="0" fontId="14" fillId="4" borderId="8" xfId="0" applyFont="1" applyFill="1" applyBorder="1" applyAlignment="1">
      <alignment horizontal="right"/>
    </xf>
    <xf numFmtId="167" fontId="7" fillId="2" borderId="0" xfId="1" applyNumberFormat="1" applyFont="1" applyFill="1"/>
    <xf numFmtId="167" fontId="7" fillId="3" borderId="0" xfId="1" applyNumberFormat="1" applyFont="1" applyFill="1"/>
    <xf numFmtId="167" fontId="7" fillId="6" borderId="0" xfId="1" applyNumberFormat="1" applyFont="1" applyFill="1"/>
    <xf numFmtId="167" fontId="7" fillId="4" borderId="0" xfId="1" applyNumberFormat="1" applyFont="1" applyFill="1"/>
    <xf numFmtId="167" fontId="7" fillId="2" borderId="8" xfId="1" applyNumberFormat="1" applyFont="1" applyFill="1" applyBorder="1"/>
    <xf numFmtId="167" fontId="7" fillId="3" borderId="8" xfId="1" applyNumberFormat="1" applyFont="1" applyFill="1" applyBorder="1"/>
    <xf numFmtId="167" fontId="7" fillId="6" borderId="8" xfId="1" applyNumberFormat="1" applyFont="1" applyFill="1" applyBorder="1"/>
    <xf numFmtId="167" fontId="7" fillId="4" borderId="8" xfId="1" applyNumberFormat="1" applyFont="1" applyFill="1" applyBorder="1"/>
    <xf numFmtId="3" fontId="7" fillId="0" borderId="0" xfId="0" applyNumberFormat="1" applyFont="1"/>
    <xf numFmtId="43" fontId="2" fillId="0" borderId="0" xfId="1" applyNumberFormat="1" applyFont="1"/>
    <xf numFmtId="182" fontId="30" fillId="0" borderId="0" xfId="1" applyNumberFormat="1" applyFont="1"/>
    <xf numFmtId="182" fontId="30" fillId="0" borderId="0" xfId="1" applyNumberFormat="1" applyFont="1" applyBorder="1"/>
    <xf numFmtId="167" fontId="30" fillId="0" borderId="0" xfId="1" applyNumberFormat="1" applyFont="1" applyBorder="1"/>
    <xf numFmtId="166" fontId="0" fillId="0" borderId="0" xfId="0" applyNumberFormat="1"/>
    <xf numFmtId="14" fontId="0" fillId="0" borderId="0" xfId="0" applyNumberFormat="1"/>
    <xf numFmtId="0" fontId="0" fillId="0" borderId="11" xfId="0" applyBorder="1" applyAlignment="1">
      <alignment horizontal="center"/>
    </xf>
    <xf numFmtId="166" fontId="0" fillId="0" borderId="11" xfId="1" applyFont="1" applyBorder="1"/>
    <xf numFmtId="166" fontId="0" fillId="0" borderId="11" xfId="0" applyNumberFormat="1" applyBorder="1"/>
    <xf numFmtId="0" fontId="0" fillId="0" borderId="11" xfId="0" applyBorder="1" applyAlignment="1">
      <alignment horizontal="left"/>
    </xf>
    <xf numFmtId="0" fontId="4" fillId="0" borderId="11" xfId="0" applyFont="1" applyBorder="1" applyAlignment="1">
      <alignment horizontal="center"/>
    </xf>
    <xf numFmtId="166" fontId="4" fillId="0" borderId="11" xfId="0" applyNumberFormat="1" applyFont="1" applyBorder="1"/>
    <xf numFmtId="166" fontId="11" fillId="19" borderId="9" xfId="1" applyFont="1" applyFill="1" applyBorder="1" applyAlignment="1">
      <alignment wrapText="1"/>
    </xf>
    <xf numFmtId="166" fontId="11" fillId="19" borderId="10" xfId="1" applyFont="1" applyFill="1" applyBorder="1" applyAlignment="1">
      <alignment wrapText="1"/>
    </xf>
    <xf numFmtId="0" fontId="11" fillId="19" borderId="0" xfId="0" applyFont="1" applyFill="1" applyAlignment="1">
      <alignment wrapText="1"/>
    </xf>
    <xf numFmtId="1" fontId="11" fillId="19" borderId="0" xfId="0" applyNumberFormat="1" applyFont="1" applyFill="1" applyAlignment="1">
      <alignment wrapText="1"/>
    </xf>
    <xf numFmtId="0" fontId="11" fillId="19" borderId="0" xfId="0" applyFont="1" applyFill="1" applyAlignment="1">
      <alignment horizontal="center" vertical="center" wrapText="1"/>
    </xf>
    <xf numFmtId="0" fontId="11" fillId="19" borderId="0" xfId="0" applyFont="1" applyFill="1" applyAlignment="1">
      <alignment horizontal="center" wrapText="1"/>
    </xf>
    <xf numFmtId="0" fontId="11" fillId="19" borderId="0" xfId="0" applyFont="1" applyFill="1" applyAlignment="1">
      <alignment horizontal="left" wrapText="1"/>
    </xf>
    <xf numFmtId="166" fontId="11" fillId="19" borderId="0" xfId="1" applyFont="1" applyFill="1" applyBorder="1" applyAlignment="1">
      <alignment wrapText="1"/>
    </xf>
    <xf numFmtId="166" fontId="0" fillId="0" borderId="0" xfId="1" applyFont="1"/>
    <xf numFmtId="0" fontId="11" fillId="20" borderId="9" xfId="0" applyFont="1" applyFill="1" applyBorder="1" applyAlignment="1">
      <alignment wrapText="1"/>
    </xf>
    <xf numFmtId="1" fontId="11" fillId="20" borderId="9" xfId="0" applyNumberFormat="1" applyFont="1" applyFill="1" applyBorder="1" applyAlignment="1">
      <alignment wrapText="1"/>
    </xf>
    <xf numFmtId="179" fontId="11" fillId="20" borderId="9" xfId="0" applyNumberFormat="1" applyFont="1" applyFill="1" applyBorder="1" applyAlignment="1">
      <alignment wrapText="1"/>
    </xf>
    <xf numFmtId="0" fontId="11" fillId="20" borderId="9" xfId="0" applyFont="1" applyFill="1" applyBorder="1" applyAlignment="1">
      <alignment horizontal="center" vertical="center" wrapText="1"/>
    </xf>
    <xf numFmtId="0" fontId="11" fillId="20" borderId="9" xfId="0" applyFont="1" applyFill="1" applyBorder="1" applyAlignment="1">
      <alignment horizontal="center" wrapText="1"/>
    </xf>
    <xf numFmtId="166" fontId="11" fillId="20" borderId="9" xfId="1" applyFont="1" applyFill="1" applyBorder="1" applyAlignment="1">
      <alignment wrapText="1"/>
    </xf>
    <xf numFmtId="0" fontId="11" fillId="20" borderId="0" xfId="0" applyFont="1" applyFill="1" applyAlignment="1">
      <alignment wrapText="1"/>
    </xf>
    <xf numFmtId="0" fontId="11" fillId="20" borderId="10" xfId="0" applyFont="1" applyFill="1" applyBorder="1" applyAlignment="1">
      <alignment wrapText="1"/>
    </xf>
    <xf numFmtId="1" fontId="11" fillId="20" borderId="10" xfId="0" applyNumberFormat="1" applyFont="1" applyFill="1" applyBorder="1" applyAlignment="1">
      <alignment wrapText="1"/>
    </xf>
    <xf numFmtId="0" fontId="11" fillId="20" borderId="10" xfId="0" applyFont="1" applyFill="1" applyBorder="1" applyAlignment="1">
      <alignment horizontal="center" vertical="center" wrapText="1"/>
    </xf>
    <xf numFmtId="0" fontId="11" fillId="20" borderId="10" xfId="0" applyFont="1" applyFill="1" applyBorder="1" applyAlignment="1">
      <alignment horizontal="center" wrapText="1"/>
    </xf>
    <xf numFmtId="166" fontId="11" fillId="20" borderId="10" xfId="1" applyFont="1" applyFill="1" applyBorder="1" applyAlignment="1">
      <alignment wrapText="1"/>
    </xf>
    <xf numFmtId="167" fontId="2" fillId="0" borderId="16" xfId="1" applyNumberFormat="1" applyFont="1" applyFill="1" applyBorder="1"/>
    <xf numFmtId="167" fontId="3" fillId="0" borderId="15" xfId="1" applyNumberFormat="1" applyFont="1" applyFill="1" applyBorder="1"/>
    <xf numFmtId="4" fontId="3" fillId="7" borderId="0" xfId="0" applyNumberFormat="1" applyFont="1" applyFill="1"/>
    <xf numFmtId="166" fontId="33" fillId="0" borderId="0" xfId="1" applyFont="1"/>
    <xf numFmtId="10" fontId="0" fillId="0" borderId="0" xfId="3" applyNumberFormat="1" applyFont="1"/>
    <xf numFmtId="3" fontId="3" fillId="0" borderId="0" xfId="0" applyNumberFormat="1" applyFont="1"/>
    <xf numFmtId="166" fontId="23" fillId="12" borderId="34" xfId="1" applyFont="1" applyFill="1" applyBorder="1" applyAlignment="1">
      <alignment horizontal="center" vertical="top"/>
    </xf>
    <xf numFmtId="166" fontId="23" fillId="12" borderId="17" xfId="1" applyFont="1" applyFill="1" applyBorder="1" applyAlignment="1">
      <alignment vertical="top"/>
    </xf>
    <xf numFmtId="166" fontId="23" fillId="12" borderId="18" xfId="1" applyFont="1" applyFill="1" applyBorder="1" applyAlignment="1">
      <alignment horizontal="center" vertical="top"/>
    </xf>
    <xf numFmtId="166" fontId="23" fillId="12" borderId="19" xfId="1" applyFont="1" applyFill="1" applyBorder="1" applyAlignment="1">
      <alignment vertical="top"/>
    </xf>
    <xf numFmtId="0" fontId="25" fillId="11" borderId="34" xfId="5" applyFont="1" applyFill="1" applyBorder="1" applyAlignment="1">
      <alignment horizontal="center" vertical="top"/>
    </xf>
    <xf numFmtId="0" fontId="25" fillId="11" borderId="17" xfId="5" applyFont="1" applyFill="1" applyBorder="1" applyAlignment="1">
      <alignment horizontal="center" vertical="top"/>
    </xf>
    <xf numFmtId="43" fontId="11" fillId="0" borderId="0" xfId="0" applyNumberFormat="1" applyFont="1" applyAlignment="1">
      <alignment wrapText="1"/>
    </xf>
    <xf numFmtId="183" fontId="3" fillId="0" borderId="0" xfId="1" applyNumberFormat="1" applyFont="1"/>
    <xf numFmtId="43" fontId="3" fillId="0" borderId="0" xfId="0" applyNumberFormat="1" applyFont="1"/>
    <xf numFmtId="181" fontId="3" fillId="0" borderId="0" xfId="0" applyNumberFormat="1" applyFont="1"/>
    <xf numFmtId="181" fontId="7" fillId="0" borderId="0" xfId="0" applyNumberFormat="1" applyFont="1"/>
    <xf numFmtId="0" fontId="25" fillId="11" borderId="18" xfId="5" applyFont="1" applyFill="1" applyBorder="1" applyAlignment="1">
      <alignment horizontal="center" vertical="top"/>
    </xf>
    <xf numFmtId="0" fontId="25" fillId="11" borderId="19" xfId="5" applyFont="1" applyFill="1" applyBorder="1" applyAlignment="1">
      <alignment horizontal="center" vertical="top"/>
    </xf>
    <xf numFmtId="178" fontId="34" fillId="12" borderId="0" xfId="5" applyNumberFormat="1" applyFont="1" applyFill="1" applyAlignment="1">
      <alignment horizontal="center" vertical="top" shrinkToFit="1"/>
    </xf>
    <xf numFmtId="166" fontId="34" fillId="12" borderId="22" xfId="1" applyFont="1" applyFill="1" applyBorder="1" applyAlignment="1">
      <alignment horizontal="center" vertical="top"/>
    </xf>
    <xf numFmtId="166" fontId="34" fillId="12" borderId="23" xfId="1" applyFont="1" applyFill="1" applyBorder="1" applyAlignment="1">
      <alignment vertical="top"/>
    </xf>
    <xf numFmtId="0" fontId="34" fillId="12" borderId="0" xfId="5" applyFont="1" applyFill="1" applyAlignment="1">
      <alignment horizontal="left" vertical="top"/>
    </xf>
    <xf numFmtId="166" fontId="34" fillId="12" borderId="22" xfId="1" applyFont="1" applyFill="1" applyBorder="1" applyAlignment="1">
      <alignment horizontal="left" vertical="top"/>
    </xf>
    <xf numFmtId="166" fontId="34" fillId="12" borderId="0" xfId="5" applyNumberFormat="1" applyFont="1" applyFill="1" applyAlignment="1">
      <alignment horizontal="left" vertical="top"/>
    </xf>
    <xf numFmtId="0" fontId="34" fillId="12" borderId="22" xfId="5" applyFont="1" applyFill="1" applyBorder="1" applyAlignment="1">
      <alignment horizontal="left" vertical="top"/>
    </xf>
    <xf numFmtId="167" fontId="3" fillId="0" borderId="12" xfId="1" applyNumberFormat="1" applyFont="1" applyFill="1" applyBorder="1"/>
    <xf numFmtId="167" fontId="3" fillId="0" borderId="13" xfId="1" applyNumberFormat="1" applyFont="1" applyFill="1" applyBorder="1"/>
    <xf numFmtId="167" fontId="2" fillId="0" borderId="8" xfId="1" applyNumberFormat="1" applyFont="1" applyFill="1" applyBorder="1"/>
    <xf numFmtId="167" fontId="3" fillId="0" borderId="8" xfId="1" applyNumberFormat="1" applyFont="1" applyFill="1" applyBorder="1"/>
    <xf numFmtId="167" fontId="3" fillId="0" borderId="10" xfId="1" applyNumberFormat="1" applyFont="1" applyFill="1" applyBorder="1"/>
    <xf numFmtId="178" fontId="35" fillId="12" borderId="0" xfId="5" applyNumberFormat="1" applyFont="1" applyFill="1" applyAlignment="1">
      <alignment horizontal="center" vertical="top" shrinkToFit="1"/>
    </xf>
    <xf numFmtId="166" fontId="35" fillId="12" borderId="22" xfId="1" applyFont="1" applyFill="1" applyBorder="1" applyAlignment="1">
      <alignment horizontal="center" vertical="top"/>
    </xf>
    <xf numFmtId="166" fontId="35" fillId="12" borderId="23" xfId="1" applyFont="1" applyFill="1" applyBorder="1" applyAlignment="1">
      <alignment vertical="top"/>
    </xf>
    <xf numFmtId="4" fontId="35" fillId="12" borderId="0" xfId="5" applyNumberFormat="1" applyFont="1" applyFill="1" applyAlignment="1">
      <alignment horizontal="left" vertical="top"/>
    </xf>
    <xf numFmtId="2" fontId="11" fillId="0" borderId="0" xfId="0" applyNumberFormat="1" applyFont="1" applyAlignment="1">
      <alignment wrapText="1"/>
    </xf>
    <xf numFmtId="2" fontId="0" fillId="0" borderId="0" xfId="1" applyNumberFormat="1" applyFont="1"/>
    <xf numFmtId="182" fontId="7" fillId="0" borderId="0" xfId="1" applyNumberFormat="1" applyFont="1"/>
    <xf numFmtId="10" fontId="3" fillId="0" borderId="0" xfId="3" applyNumberFormat="1" applyFont="1" applyBorder="1"/>
    <xf numFmtId="166" fontId="3" fillId="0" borderId="0" xfId="1" applyFont="1" applyBorder="1" applyAlignment="1">
      <alignment horizontal="right" vertical="center"/>
    </xf>
    <xf numFmtId="43" fontId="3" fillId="0" borderId="11" xfId="1" applyNumberFormat="1" applyFont="1" applyBorder="1"/>
    <xf numFmtId="43" fontId="2" fillId="0" borderId="0" xfId="1" applyNumberFormat="1" applyFont="1" applyBorder="1"/>
    <xf numFmtId="43" fontId="7" fillId="0" borderId="0" xfId="0" applyNumberFormat="1" applyFont="1"/>
    <xf numFmtId="0" fontId="11" fillId="16" borderId="0" xfId="0" applyFont="1" applyFill="1" applyAlignment="1">
      <alignment wrapText="1"/>
    </xf>
    <xf numFmtId="1" fontId="11" fillId="16" borderId="0" xfId="0" applyNumberFormat="1" applyFont="1" applyFill="1" applyAlignment="1">
      <alignment wrapText="1"/>
    </xf>
    <xf numFmtId="179" fontId="11" fillId="16" borderId="0" xfId="0" applyNumberFormat="1" applyFont="1" applyFill="1" applyAlignment="1">
      <alignment wrapText="1"/>
    </xf>
    <xf numFmtId="0" fontId="11" fillId="16" borderId="0" xfId="0" applyFont="1" applyFill="1" applyAlignment="1">
      <alignment horizontal="center" vertical="center" wrapText="1"/>
    </xf>
    <xf numFmtId="0" fontId="11" fillId="16" borderId="0" xfId="0" applyFont="1" applyFill="1" applyAlignment="1">
      <alignment horizontal="center" wrapText="1"/>
    </xf>
    <xf numFmtId="166" fontId="11" fillId="16" borderId="0" xfId="1" applyFont="1" applyFill="1" applyBorder="1" applyAlignment="1">
      <alignment wrapText="1"/>
    </xf>
    <xf numFmtId="0" fontId="11" fillId="10" borderId="0" xfId="0" applyFont="1" applyFill="1" applyAlignment="1">
      <alignment wrapText="1"/>
    </xf>
    <xf numFmtId="1" fontId="11" fillId="10" borderId="0" xfId="0" applyNumberFormat="1" applyFont="1" applyFill="1" applyAlignment="1">
      <alignment wrapText="1"/>
    </xf>
    <xf numFmtId="179" fontId="11" fillId="10" borderId="0" xfId="0" applyNumberFormat="1" applyFont="1" applyFill="1" applyAlignment="1">
      <alignment wrapText="1"/>
    </xf>
    <xf numFmtId="0" fontId="11" fillId="10" borderId="0" xfId="0" applyFont="1" applyFill="1" applyAlignment="1">
      <alignment horizontal="center" vertical="center" wrapText="1"/>
    </xf>
    <xf numFmtId="0" fontId="11" fillId="10" borderId="0" xfId="0" applyFont="1" applyFill="1" applyAlignment="1">
      <alignment horizontal="center" wrapText="1"/>
    </xf>
    <xf numFmtId="166" fontId="11" fillId="10" borderId="0" xfId="1" applyFont="1" applyFill="1" applyBorder="1" applyAlignment="1">
      <alignment wrapText="1"/>
    </xf>
    <xf numFmtId="10" fontId="11" fillId="0" borderId="0" xfId="0" applyNumberFormat="1" applyFont="1" applyAlignment="1">
      <alignment wrapText="1"/>
    </xf>
    <xf numFmtId="167" fontId="2" fillId="0" borderId="11" xfId="0" applyNumberFormat="1" applyFont="1" applyBorder="1" applyAlignment="1">
      <alignment horizontal="center" vertical="center"/>
    </xf>
    <xf numFmtId="0" fontId="2" fillId="0" borderId="11" xfId="0" applyFont="1" applyBorder="1" applyAlignment="1">
      <alignment horizontal="center" vertical="center"/>
    </xf>
    <xf numFmtId="167" fontId="6" fillId="0" borderId="0" xfId="2" applyNumberFormat="1" applyFont="1" applyAlignment="1">
      <alignment horizontal="center"/>
    </xf>
    <xf numFmtId="167" fontId="2" fillId="0" borderId="0" xfId="0" applyNumberFormat="1" applyFont="1" applyAlignment="1">
      <alignment horizontal="center"/>
    </xf>
    <xf numFmtId="167" fontId="3" fillId="0" borderId="0" xfId="0" applyNumberFormat="1" applyFont="1" applyAlignment="1">
      <alignment horizontal="right"/>
    </xf>
    <xf numFmtId="167" fontId="3" fillId="0" borderId="0" xfId="0" applyNumberFormat="1" applyFont="1" applyAlignment="1">
      <alignment horizontal="center"/>
    </xf>
    <xf numFmtId="181" fontId="3" fillId="3" borderId="11" xfId="0" applyNumberFormat="1" applyFont="1" applyFill="1" applyBorder="1" applyAlignment="1">
      <alignment horizontal="center"/>
    </xf>
    <xf numFmtId="167" fontId="10" fillId="0" borderId="0" xfId="0" applyNumberFormat="1" applyFont="1" applyAlignment="1">
      <alignment horizontal="center"/>
    </xf>
    <xf numFmtId="166" fontId="3" fillId="0" borderId="0" xfId="1" applyFont="1" applyBorder="1" applyAlignment="1">
      <alignment horizontal="right" vertical="center"/>
    </xf>
    <xf numFmtId="167" fontId="3" fillId="0" borderId="0" xfId="3" applyNumberFormat="1" applyFont="1" applyBorder="1" applyAlignment="1">
      <alignment horizontal="right" vertical="center"/>
    </xf>
    <xf numFmtId="166" fontId="3" fillId="0" borderId="22" xfId="1" applyFont="1" applyBorder="1" applyAlignment="1">
      <alignment horizontal="right" vertical="center"/>
    </xf>
    <xf numFmtId="167" fontId="3" fillId="0" borderId="22" xfId="3" applyNumberFormat="1" applyFont="1" applyBorder="1" applyAlignment="1">
      <alignment horizontal="right" vertical="center"/>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0" xfId="0" applyFont="1" applyAlignment="1">
      <alignment horizontal="center" vertical="center" wrapText="1"/>
    </xf>
    <xf numFmtId="0" fontId="11" fillId="19" borderId="9" xfId="0" applyFont="1" applyFill="1" applyBorder="1" applyAlignment="1">
      <alignment horizontal="center" vertical="center" wrapText="1"/>
    </xf>
    <xf numFmtId="0" fontId="11" fillId="19" borderId="10" xfId="0" applyFont="1" applyFill="1" applyBorder="1" applyAlignment="1">
      <alignment horizontal="center" vertical="center" wrapText="1"/>
    </xf>
    <xf numFmtId="0" fontId="11" fillId="17" borderId="9" xfId="0" applyFont="1" applyFill="1" applyBorder="1" applyAlignment="1">
      <alignment horizontal="center" vertical="center" wrapText="1"/>
    </xf>
    <xf numFmtId="0" fontId="11" fillId="17" borderId="10"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16" borderId="9" xfId="0" applyFont="1" applyFill="1" applyBorder="1" applyAlignment="1">
      <alignment horizontal="center" vertical="center" wrapText="1"/>
    </xf>
    <xf numFmtId="0" fontId="11" fillId="16" borderId="10" xfId="0" applyFont="1" applyFill="1" applyBorder="1" applyAlignment="1">
      <alignment horizontal="center" vertical="center" wrapText="1"/>
    </xf>
    <xf numFmtId="0" fontId="11" fillId="9" borderId="0" xfId="0" applyFont="1" applyFill="1" applyAlignment="1">
      <alignment horizontal="center" vertical="center" wrapText="1"/>
    </xf>
    <xf numFmtId="0" fontId="11" fillId="16" borderId="0" xfId="0" applyFont="1" applyFill="1" applyAlignment="1">
      <alignment horizontal="center" vertical="center" wrapText="1"/>
    </xf>
    <xf numFmtId="0" fontId="11" fillId="10" borderId="0" xfId="0" applyFont="1" applyFill="1" applyAlignment="1">
      <alignment horizontal="center" vertical="center" wrapText="1"/>
    </xf>
    <xf numFmtId="0" fontId="11" fillId="0" borderId="8" xfId="0" applyFont="1" applyBorder="1" applyAlignment="1">
      <alignment horizontal="center" vertical="center" wrapText="1"/>
    </xf>
    <xf numFmtId="0" fontId="11" fillId="19" borderId="0" xfId="0" applyFont="1" applyFill="1" applyAlignment="1">
      <alignment horizontal="center" vertical="center" wrapText="1"/>
    </xf>
    <xf numFmtId="0" fontId="11" fillId="18" borderId="9" xfId="0" applyFont="1" applyFill="1" applyBorder="1" applyAlignment="1">
      <alignment horizontal="center" vertical="center" wrapText="1"/>
    </xf>
    <xf numFmtId="0" fontId="11" fillId="18" borderId="10" xfId="0" applyFont="1" applyFill="1" applyBorder="1" applyAlignment="1">
      <alignment horizontal="center" vertical="center" wrapText="1"/>
    </xf>
    <xf numFmtId="0" fontId="11" fillId="14" borderId="9" xfId="0" applyFont="1" applyFill="1" applyBorder="1" applyAlignment="1">
      <alignment horizontal="center" vertical="center" wrapText="1"/>
    </xf>
    <xf numFmtId="0" fontId="11" fillId="14" borderId="10" xfId="0" applyFont="1" applyFill="1" applyBorder="1" applyAlignment="1">
      <alignment horizontal="center" vertical="center" wrapText="1"/>
    </xf>
    <xf numFmtId="0" fontId="11" fillId="15" borderId="9" xfId="0" applyFont="1" applyFill="1" applyBorder="1" applyAlignment="1">
      <alignment horizontal="center" vertical="center" wrapText="1"/>
    </xf>
    <xf numFmtId="0" fontId="11" fillId="15" borderId="10"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7" borderId="10" xfId="0" applyFont="1" applyFill="1" applyBorder="1" applyAlignment="1">
      <alignment horizontal="center" vertical="center" wrapText="1"/>
    </xf>
    <xf numFmtId="166" fontId="11" fillId="0" borderId="0" xfId="1" applyFont="1" applyFill="1" applyAlignment="1">
      <alignment horizontal="center" wrapText="1"/>
    </xf>
    <xf numFmtId="166" fontId="17" fillId="0" borderId="0" xfId="1" applyFont="1" applyFill="1" applyAlignment="1">
      <alignment horizontal="center" wrapText="1"/>
    </xf>
    <xf numFmtId="2" fontId="17" fillId="0" borderId="0" xfId="1" applyNumberFormat="1" applyFont="1" applyFill="1" applyAlignment="1">
      <alignment horizontal="center" wrapText="1"/>
    </xf>
    <xf numFmtId="0" fontId="11" fillId="0" borderId="0" xfId="0" applyFont="1" applyAlignment="1">
      <alignment horizontal="center" wrapText="1"/>
    </xf>
    <xf numFmtId="0" fontId="16" fillId="0" borderId="0" xfId="0" applyFont="1" applyAlignment="1">
      <alignment horizontal="center" wrapText="1"/>
    </xf>
    <xf numFmtId="168" fontId="16" fillId="0" borderId="0" xfId="0" applyNumberFormat="1" applyFont="1" applyAlignment="1">
      <alignment horizontal="center" wrapText="1"/>
    </xf>
    <xf numFmtId="0" fontId="11" fillId="20" borderId="9"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14" fillId="5" borderId="8" xfId="0" applyFont="1" applyFill="1" applyBorder="1" applyAlignment="1">
      <alignment horizontal="center"/>
    </xf>
    <xf numFmtId="0" fontId="14" fillId="0" borderId="10" xfId="0" applyFont="1" applyBorder="1" applyAlignment="1">
      <alignment horizontal="center"/>
    </xf>
    <xf numFmtId="166" fontId="7" fillId="0" borderId="0" xfId="1" applyFont="1" applyAlignment="1">
      <alignment horizontal="center" vertical="center"/>
    </xf>
    <xf numFmtId="166" fontId="7" fillId="0" borderId="0" xfId="1" applyFont="1" applyAlignment="1">
      <alignment horizontal="center"/>
    </xf>
    <xf numFmtId="167" fontId="7" fillId="0" borderId="0" xfId="1" applyNumberFormat="1" applyFont="1" applyAlignment="1">
      <alignment horizontal="center"/>
    </xf>
    <xf numFmtId="0" fontId="14" fillId="2" borderId="10" xfId="0" applyFont="1" applyFill="1" applyBorder="1" applyAlignment="1">
      <alignment horizontal="center"/>
    </xf>
    <xf numFmtId="0" fontId="14" fillId="3" borderId="10" xfId="0" applyFont="1" applyFill="1" applyBorder="1" applyAlignment="1">
      <alignment horizontal="center"/>
    </xf>
    <xf numFmtId="0" fontId="14" fillId="4" borderId="10" xfId="0" applyFont="1" applyFill="1" applyBorder="1" applyAlignment="1">
      <alignment horizontal="center"/>
    </xf>
    <xf numFmtId="167" fontId="3" fillId="0" borderId="0" xfId="1" applyNumberFormat="1" applyFont="1" applyAlignment="1">
      <alignment horizontal="center"/>
    </xf>
    <xf numFmtId="166" fontId="3" fillId="0" borderId="0" xfId="1" applyFont="1" applyAlignment="1">
      <alignment horizontal="center" vertical="center"/>
    </xf>
    <xf numFmtId="166" fontId="3" fillId="0" borderId="0" xfId="1" applyFont="1" applyAlignment="1">
      <alignment horizontal="center"/>
    </xf>
    <xf numFmtId="170" fontId="6" fillId="0" borderId="0" xfId="2" applyNumberFormat="1" applyFont="1" applyAlignment="1">
      <alignment horizontal="center"/>
    </xf>
    <xf numFmtId="0" fontId="2" fillId="0" borderId="0" xfId="0" applyFont="1" applyAlignment="1">
      <alignment horizontal="center"/>
    </xf>
    <xf numFmtId="167" fontId="7" fillId="0" borderId="0" xfId="0" applyNumberFormat="1" applyFont="1" applyAlignment="1">
      <alignment horizontal="center" vertical="center" wrapText="1"/>
    </xf>
    <xf numFmtId="167" fontId="6" fillId="0" borderId="0" xfId="1" applyNumberFormat="1" applyFont="1" applyAlignment="1">
      <alignment horizontal="center"/>
    </xf>
    <xf numFmtId="167" fontId="2" fillId="0" borderId="0" xfId="1" applyNumberFormat="1" applyFont="1" applyAlignment="1">
      <alignment horizontal="center"/>
    </xf>
    <xf numFmtId="167" fontId="2" fillId="0" borderId="11" xfId="1" applyNumberFormat="1" applyFont="1" applyBorder="1" applyAlignment="1">
      <alignment horizontal="center" vertical="center"/>
    </xf>
    <xf numFmtId="0" fontId="28" fillId="0" borderId="27" xfId="0" applyFont="1" applyBorder="1" applyAlignment="1">
      <alignment horizontal="center" vertical="center"/>
    </xf>
    <xf numFmtId="0" fontId="28" fillId="0" borderId="5" xfId="0" applyFont="1" applyBorder="1" applyAlignment="1">
      <alignment horizontal="center" vertical="center"/>
    </xf>
    <xf numFmtId="0" fontId="28" fillId="0" borderId="28" xfId="0" applyFont="1" applyBorder="1" applyAlignment="1">
      <alignment horizontal="center" vertical="center"/>
    </xf>
    <xf numFmtId="0" fontId="2" fillId="6" borderId="6" xfId="0" applyFont="1" applyFill="1" applyBorder="1" applyAlignment="1">
      <alignment horizontal="center"/>
    </xf>
    <xf numFmtId="0" fontId="27" fillId="0" borderId="29"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29" xfId="0" applyFont="1" applyBorder="1" applyAlignment="1">
      <alignment horizontal="center" vertical="center"/>
    </xf>
    <xf numFmtId="0" fontId="27" fillId="0" borderId="31" xfId="0" applyFont="1" applyBorder="1" applyAlignment="1">
      <alignment horizontal="center" vertical="center"/>
    </xf>
    <xf numFmtId="0" fontId="22" fillId="0" borderId="33" xfId="5" applyFont="1" applyBorder="1" applyAlignment="1">
      <alignment horizontal="center" vertical="top"/>
    </xf>
    <xf numFmtId="0" fontId="22" fillId="0" borderId="32" xfId="5" applyFont="1" applyBorder="1" applyAlignment="1">
      <alignment horizontal="center" vertical="top"/>
    </xf>
    <xf numFmtId="0" fontId="22" fillId="0" borderId="5" xfId="5" applyFont="1" applyBorder="1" applyAlignment="1">
      <alignment horizontal="center" vertical="top"/>
    </xf>
    <xf numFmtId="166" fontId="24" fillId="0" borderId="29" xfId="5" applyNumberFormat="1" applyFont="1" applyBorder="1" applyAlignment="1">
      <alignment horizontal="center" vertical="center"/>
    </xf>
    <xf numFmtId="166" fontId="24" fillId="0" borderId="31" xfId="5" applyNumberFormat="1" applyFont="1" applyBorder="1" applyAlignment="1">
      <alignment horizontal="center" vertical="center"/>
    </xf>
    <xf numFmtId="0" fontId="2" fillId="0" borderId="8" xfId="0" applyFont="1" applyBorder="1" applyAlignment="1">
      <alignment horizontal="center" wrapText="1"/>
    </xf>
    <xf numFmtId="0" fontId="2" fillId="0" borderId="8" xfId="0" applyFont="1" applyBorder="1" applyAlignment="1">
      <alignment horizontal="center"/>
    </xf>
    <xf numFmtId="167" fontId="13" fillId="0" borderId="11" xfId="1" applyNumberFormat="1" applyFont="1" applyBorder="1" applyAlignment="1">
      <alignment horizontal="right" wrapText="1"/>
    </xf>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cellXfs>
  <cellStyles count="6">
    <cellStyle name="Comma" xfId="1" builtinId="3"/>
    <cellStyle name="Normal" xfId="0" builtinId="0"/>
    <cellStyle name="Normal 2" xfId="5" xr:uid="{00000000-0005-0000-0000-000002000000}"/>
    <cellStyle name="Normal 2 2 14" xfId="4" xr:uid="{00000000-0005-0000-0000-000003000000}"/>
    <cellStyle name="Normal_Quarterly Statement-March-2004" xfId="2" xr:uid="{00000000-0005-0000-0000-000004000000}"/>
    <cellStyle name="Percent" xfId="3" builtinId="5"/>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theme="1"/>
      </font>
      <fill>
        <patternFill>
          <bgColor theme="9" tint="0.39994506668294322"/>
        </patternFill>
      </fill>
    </dxf>
    <dxf>
      <fill>
        <patternFill>
          <bgColor theme="9" tint="0.39994506668294322"/>
        </patternFill>
      </fill>
    </dxf>
    <dxf>
      <fill>
        <patternFill>
          <bgColor theme="9" tint="0.39994506668294322"/>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0000"/>
        </patternFill>
      </fill>
    </dxf>
    <dxf>
      <font>
        <b val="0"/>
        <i val="0"/>
        <strike val="0"/>
        <condense val="0"/>
        <extend val="0"/>
        <outline val="0"/>
        <shadow val="0"/>
        <u val="none"/>
        <vertAlign val="baseline"/>
        <sz val="14"/>
        <color rgb="FF000000"/>
        <name val="Calibri"/>
        <scheme val="minor"/>
      </font>
      <numFmt numFmtId="166" formatCode="_-* #,##0.00_-;\-* #,##0.00_-;_-* &quot;-&quot;??_-;_-@_-"/>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numFmt numFmtId="0" formatCode="General"/>
      <fill>
        <patternFill patternType="solid">
          <fgColor theme="4" tint="0.79998168889431442"/>
          <bgColor theme="0"/>
        </patternFill>
      </fill>
      <alignment horizontal="left" vertical="top"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4"/>
        <color rgb="FF000000"/>
        <name val="Calibri"/>
        <scheme val="minor"/>
      </font>
      <numFmt numFmtId="166" formatCode="_-* #,##0.00_-;\-* #,##0.00_-;_-* &quot;-&quot;??_-;_-@_-"/>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numFmt numFmtId="0" formatCode="General"/>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numFmt numFmtId="0" formatCode="General"/>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numFmt numFmtId="0" formatCode="General"/>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numFmt numFmtId="0" formatCode="General"/>
      <fill>
        <patternFill patternType="solid">
          <fgColor theme="4" tint="0.79998168889431442"/>
          <bgColor theme="0"/>
        </patternFill>
      </fill>
      <alignment horizontal="left" vertical="top" textRotation="0" wrapText="0" indent="0" justifyLastLine="0" shrinkToFit="0" readingOrder="0"/>
    </dxf>
    <dxf>
      <font>
        <b val="0"/>
        <i val="0"/>
        <strike val="0"/>
        <condense val="0"/>
        <extend val="0"/>
        <outline val="0"/>
        <shadow val="0"/>
        <u val="none"/>
        <vertAlign val="baseline"/>
        <sz val="14"/>
        <color rgb="FF000000"/>
        <name val="Calibri"/>
        <scheme val="minor"/>
      </font>
      <numFmt numFmtId="166" formatCode="_-* #,##0.00_-;\-* #,##0.00_-;_-* &quot;-&quot;??_-;_-@_-"/>
      <fill>
        <patternFill patternType="solid">
          <fgColor theme="4" tint="0.79998168889431442"/>
          <bgColor theme="0"/>
        </patternFill>
      </fill>
      <alignment horizontal="general" vertical="top"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4"/>
        <color rgb="FF000000"/>
        <name val="Calibri"/>
        <scheme val="minor"/>
      </font>
      <fill>
        <patternFill patternType="solid">
          <fgColor theme="4" tint="0.79998168889431442"/>
          <bgColor theme="0"/>
        </patternFill>
      </fill>
      <alignment horizontal="center" vertical="top"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4"/>
        <color rgb="FF000000"/>
        <name val="Calibri"/>
        <scheme val="minor"/>
      </font>
      <numFmt numFmtId="178" formatCode="dd/mm/yyyy;@"/>
      <fill>
        <patternFill patternType="solid">
          <fgColor theme="4" tint="0.79998168889431442"/>
          <bgColor theme="0"/>
        </patternFill>
      </fill>
      <alignment horizontal="center" vertical="top" textRotation="0" wrapText="0" indent="0" justifyLastLine="0" shrinkToFit="1" readingOrder="0"/>
    </dxf>
    <dxf>
      <font>
        <b/>
        <i val="0"/>
        <strike val="0"/>
        <condense val="0"/>
        <extend val="0"/>
        <outline val="0"/>
        <shadow val="0"/>
        <u val="none"/>
        <vertAlign val="baseline"/>
        <sz val="16"/>
        <color rgb="FF000000"/>
        <name val="Calibri"/>
        <scheme val="minor"/>
      </font>
      <numFmt numFmtId="0" formatCode="General"/>
      <fill>
        <patternFill patternType="solid">
          <fgColor theme="4"/>
          <bgColor theme="0"/>
        </patternFill>
      </fill>
      <alignment horizontal="center" vertical="top" textRotation="0" wrapText="0" indent="0" justifyLastLine="0" shrinkToFit="0" readingOrder="0"/>
    </dxf>
  </dxfs>
  <tableStyles count="0" defaultTableStyle="TableStyleMedium2" defaultPivotStyle="PivotStyleLight16"/>
  <colors>
    <mruColors>
      <color rgb="FFFF5050"/>
      <color rgb="FFFF006E"/>
      <color rgb="FFFFFF99"/>
      <color rgb="FFFFFFCC"/>
      <color rgb="FFFFCCFF"/>
      <color rgb="FFFF9966"/>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32084</xdr:colOff>
      <xdr:row>55</xdr:row>
      <xdr:rowOff>16043</xdr:rowOff>
    </xdr:from>
    <xdr:to>
      <xdr:col>0</xdr:col>
      <xdr:colOff>2101516</xdr:colOff>
      <xdr:row>55</xdr:row>
      <xdr:rowOff>16043</xdr:rowOff>
    </xdr:to>
    <xdr:cxnSp macro="">
      <xdr:nvCxnSpPr>
        <xdr:cNvPr id="2" name="Straight Connector 1">
          <a:extLst>
            <a:ext uri="{FF2B5EF4-FFF2-40B4-BE49-F238E27FC236}">
              <a16:creationId xmlns:a16="http://schemas.microsoft.com/office/drawing/2014/main" id="{E635065F-9910-4FC9-97FE-8120AC4B6936}"/>
            </a:ext>
          </a:extLst>
        </xdr:cNvPr>
        <xdr:cNvCxnSpPr/>
      </xdr:nvCxnSpPr>
      <xdr:spPr>
        <a:xfrm>
          <a:off x="474044" y="791036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424070</xdr:colOff>
      <xdr:row>55</xdr:row>
      <xdr:rowOff>19879</xdr:rowOff>
    </xdr:from>
    <xdr:to>
      <xdr:col>4</xdr:col>
      <xdr:colOff>1280928</xdr:colOff>
      <xdr:row>55</xdr:row>
      <xdr:rowOff>19879</xdr:rowOff>
    </xdr:to>
    <xdr:cxnSp macro="">
      <xdr:nvCxnSpPr>
        <xdr:cNvPr id="3" name="Straight Connector 2">
          <a:extLst>
            <a:ext uri="{FF2B5EF4-FFF2-40B4-BE49-F238E27FC236}">
              <a16:creationId xmlns:a16="http://schemas.microsoft.com/office/drawing/2014/main" id="{1D93DC52-04B1-49E1-8B0D-F4DDC48C7526}"/>
            </a:ext>
          </a:extLst>
        </xdr:cNvPr>
        <xdr:cNvCxnSpPr/>
      </xdr:nvCxnSpPr>
      <xdr:spPr>
        <a:xfrm>
          <a:off x="4188350" y="7914199"/>
          <a:ext cx="203033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1795667</xdr:colOff>
      <xdr:row>61</xdr:row>
      <xdr:rowOff>13252</xdr:rowOff>
    </xdr:from>
    <xdr:to>
      <xdr:col>2</xdr:col>
      <xdr:colOff>823725</xdr:colOff>
      <xdr:row>61</xdr:row>
      <xdr:rowOff>13252</xdr:rowOff>
    </xdr:to>
    <xdr:cxnSp macro="">
      <xdr:nvCxnSpPr>
        <xdr:cNvPr id="4" name="Straight Connector 3">
          <a:extLst>
            <a:ext uri="{FF2B5EF4-FFF2-40B4-BE49-F238E27FC236}">
              <a16:creationId xmlns:a16="http://schemas.microsoft.com/office/drawing/2014/main" id="{3535476B-D4DA-42E7-A786-6C8FBF7340B5}"/>
            </a:ext>
          </a:extLst>
        </xdr:cNvPr>
        <xdr:cNvCxnSpPr/>
      </xdr:nvCxnSpPr>
      <xdr:spPr>
        <a:xfrm>
          <a:off x="2237627" y="9004852"/>
          <a:ext cx="23503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32084</xdr:colOff>
      <xdr:row>43</xdr:row>
      <xdr:rowOff>16043</xdr:rowOff>
    </xdr:from>
    <xdr:to>
      <xdr:col>0</xdr:col>
      <xdr:colOff>2101516</xdr:colOff>
      <xdr:row>43</xdr:row>
      <xdr:rowOff>16043</xdr:rowOff>
    </xdr:to>
    <xdr:cxnSp macro="">
      <xdr:nvCxnSpPr>
        <xdr:cNvPr id="2" name="Straight Connector 1">
          <a:extLst>
            <a:ext uri="{FF2B5EF4-FFF2-40B4-BE49-F238E27FC236}">
              <a16:creationId xmlns:a16="http://schemas.microsoft.com/office/drawing/2014/main" id="{09D4EA4D-AC7C-4C00-9C11-1C8B293F2D5A}"/>
            </a:ext>
          </a:extLst>
        </xdr:cNvPr>
        <xdr:cNvCxnSpPr/>
      </xdr:nvCxnSpPr>
      <xdr:spPr>
        <a:xfrm>
          <a:off x="32084" y="714836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424070</xdr:colOff>
      <xdr:row>43</xdr:row>
      <xdr:rowOff>19879</xdr:rowOff>
    </xdr:from>
    <xdr:to>
      <xdr:col>4</xdr:col>
      <xdr:colOff>1280928</xdr:colOff>
      <xdr:row>43</xdr:row>
      <xdr:rowOff>19879</xdr:rowOff>
    </xdr:to>
    <xdr:cxnSp macro="">
      <xdr:nvCxnSpPr>
        <xdr:cNvPr id="3" name="Straight Connector 2">
          <a:extLst>
            <a:ext uri="{FF2B5EF4-FFF2-40B4-BE49-F238E27FC236}">
              <a16:creationId xmlns:a16="http://schemas.microsoft.com/office/drawing/2014/main" id="{9CA5741A-CBAC-44BD-906A-8B0FCF8893F6}"/>
            </a:ext>
          </a:extLst>
        </xdr:cNvPr>
        <xdr:cNvCxnSpPr/>
      </xdr:nvCxnSpPr>
      <xdr:spPr>
        <a:xfrm>
          <a:off x="4180730" y="7152199"/>
          <a:ext cx="22741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1795667</xdr:colOff>
      <xdr:row>49</xdr:row>
      <xdr:rowOff>13252</xdr:rowOff>
    </xdr:from>
    <xdr:to>
      <xdr:col>2</xdr:col>
      <xdr:colOff>823725</xdr:colOff>
      <xdr:row>49</xdr:row>
      <xdr:rowOff>13252</xdr:rowOff>
    </xdr:to>
    <xdr:cxnSp macro="">
      <xdr:nvCxnSpPr>
        <xdr:cNvPr id="4" name="Straight Connector 3">
          <a:extLst>
            <a:ext uri="{FF2B5EF4-FFF2-40B4-BE49-F238E27FC236}">
              <a16:creationId xmlns:a16="http://schemas.microsoft.com/office/drawing/2014/main" id="{1C719F96-6597-46D8-8DAB-A9C6C358BBEF}"/>
            </a:ext>
          </a:extLst>
        </xdr:cNvPr>
        <xdr:cNvCxnSpPr/>
      </xdr:nvCxnSpPr>
      <xdr:spPr>
        <a:xfrm>
          <a:off x="1795667" y="8242852"/>
          <a:ext cx="278471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32084</xdr:colOff>
      <xdr:row>37</xdr:row>
      <xdr:rowOff>16043</xdr:rowOff>
    </xdr:from>
    <xdr:to>
      <xdr:col>0</xdr:col>
      <xdr:colOff>2101516</xdr:colOff>
      <xdr:row>37</xdr:row>
      <xdr:rowOff>16043</xdr:rowOff>
    </xdr:to>
    <xdr:cxnSp macro="">
      <xdr:nvCxnSpPr>
        <xdr:cNvPr id="2" name="Straight Connector 1">
          <a:extLst>
            <a:ext uri="{FF2B5EF4-FFF2-40B4-BE49-F238E27FC236}">
              <a16:creationId xmlns:a16="http://schemas.microsoft.com/office/drawing/2014/main" id="{1EDF9499-4357-4C89-A96A-665B4B16841B}"/>
            </a:ext>
          </a:extLst>
        </xdr:cNvPr>
        <xdr:cNvCxnSpPr/>
      </xdr:nvCxnSpPr>
      <xdr:spPr>
        <a:xfrm>
          <a:off x="32084" y="715598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739140</xdr:colOff>
      <xdr:row>37</xdr:row>
      <xdr:rowOff>15240</xdr:rowOff>
    </xdr:from>
    <xdr:to>
      <xdr:col>6</xdr:col>
      <xdr:colOff>899928</xdr:colOff>
      <xdr:row>37</xdr:row>
      <xdr:rowOff>19879</xdr:rowOff>
    </xdr:to>
    <xdr:cxnSp macro="">
      <xdr:nvCxnSpPr>
        <xdr:cNvPr id="3" name="Straight Connector 2">
          <a:extLst>
            <a:ext uri="{FF2B5EF4-FFF2-40B4-BE49-F238E27FC236}">
              <a16:creationId xmlns:a16="http://schemas.microsoft.com/office/drawing/2014/main" id="{61BCD819-48F1-415B-AF6E-A88054E91468}"/>
            </a:ext>
          </a:extLst>
        </xdr:cNvPr>
        <xdr:cNvCxnSpPr/>
      </xdr:nvCxnSpPr>
      <xdr:spPr>
        <a:xfrm>
          <a:off x="6126480" y="6347460"/>
          <a:ext cx="2035308" cy="4639"/>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820307</xdr:colOff>
      <xdr:row>43</xdr:row>
      <xdr:rowOff>13252</xdr:rowOff>
    </xdr:from>
    <xdr:to>
      <xdr:col>3</xdr:col>
      <xdr:colOff>793245</xdr:colOff>
      <xdr:row>43</xdr:row>
      <xdr:rowOff>13252</xdr:rowOff>
    </xdr:to>
    <xdr:cxnSp macro="">
      <xdr:nvCxnSpPr>
        <xdr:cNvPr id="4" name="Straight Connector 3">
          <a:extLst>
            <a:ext uri="{FF2B5EF4-FFF2-40B4-BE49-F238E27FC236}">
              <a16:creationId xmlns:a16="http://schemas.microsoft.com/office/drawing/2014/main" id="{1B778650-03B3-4B47-BEF2-E304291F8C34}"/>
            </a:ext>
          </a:extLst>
        </xdr:cNvPr>
        <xdr:cNvCxnSpPr/>
      </xdr:nvCxnSpPr>
      <xdr:spPr>
        <a:xfrm>
          <a:off x="2953907" y="7351312"/>
          <a:ext cx="233513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32084</xdr:colOff>
      <xdr:row>53</xdr:row>
      <xdr:rowOff>16043</xdr:rowOff>
    </xdr:from>
    <xdr:to>
      <xdr:col>0</xdr:col>
      <xdr:colOff>2101516</xdr:colOff>
      <xdr:row>53</xdr:row>
      <xdr:rowOff>16043</xdr:rowOff>
    </xdr:to>
    <xdr:cxnSp macro="">
      <xdr:nvCxnSpPr>
        <xdr:cNvPr id="8" name="Straight Connector 7">
          <a:extLst>
            <a:ext uri="{FF2B5EF4-FFF2-40B4-BE49-F238E27FC236}">
              <a16:creationId xmlns:a16="http://schemas.microsoft.com/office/drawing/2014/main" id="{ABBAD196-ADB1-422B-9AF2-269A73617A50}"/>
            </a:ext>
          </a:extLst>
        </xdr:cNvPr>
        <xdr:cNvCxnSpPr/>
      </xdr:nvCxnSpPr>
      <xdr:spPr>
        <a:xfrm>
          <a:off x="466424" y="9060983"/>
          <a:ext cx="2069432"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424070</xdr:colOff>
      <xdr:row>53</xdr:row>
      <xdr:rowOff>19879</xdr:rowOff>
    </xdr:from>
    <xdr:to>
      <xdr:col>3</xdr:col>
      <xdr:colOff>1280928</xdr:colOff>
      <xdr:row>53</xdr:row>
      <xdr:rowOff>19879</xdr:rowOff>
    </xdr:to>
    <xdr:cxnSp macro="">
      <xdr:nvCxnSpPr>
        <xdr:cNvPr id="9" name="Straight Connector 8">
          <a:extLst>
            <a:ext uri="{FF2B5EF4-FFF2-40B4-BE49-F238E27FC236}">
              <a16:creationId xmlns:a16="http://schemas.microsoft.com/office/drawing/2014/main" id="{DA442DDD-32B3-4416-B1EA-101A9DCE7ED3}"/>
            </a:ext>
          </a:extLst>
        </xdr:cNvPr>
        <xdr:cNvCxnSpPr/>
      </xdr:nvCxnSpPr>
      <xdr:spPr>
        <a:xfrm>
          <a:off x="4409330" y="9064819"/>
          <a:ext cx="2312278" cy="0"/>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2108087</xdr:colOff>
      <xdr:row>59</xdr:row>
      <xdr:rowOff>13252</xdr:rowOff>
    </xdr:from>
    <xdr:to>
      <xdr:col>1</xdr:col>
      <xdr:colOff>678180</xdr:colOff>
      <xdr:row>59</xdr:row>
      <xdr:rowOff>15240</xdr:rowOff>
    </xdr:to>
    <xdr:cxnSp macro="">
      <xdr:nvCxnSpPr>
        <xdr:cNvPr id="10" name="Straight Connector 9">
          <a:extLst>
            <a:ext uri="{FF2B5EF4-FFF2-40B4-BE49-F238E27FC236}">
              <a16:creationId xmlns:a16="http://schemas.microsoft.com/office/drawing/2014/main" id="{AFD5A25B-A397-4BD0-9F8F-3224530B79F8}"/>
            </a:ext>
          </a:extLst>
        </xdr:cNvPr>
        <xdr:cNvCxnSpPr/>
      </xdr:nvCxnSpPr>
      <xdr:spPr>
        <a:xfrm>
          <a:off x="2542427" y="10155472"/>
          <a:ext cx="2121013" cy="1988"/>
        </a:xfrm>
        <a:prstGeom prst="line">
          <a:avLst/>
        </a:prstGeom>
        <a:ln w="9525">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L1191" totalsRowShown="0" headerRowDxfId="33" headerRowCellStyle="Normal 2">
  <autoFilter ref="B3:L1191" xr:uid="{00000000-0009-0000-0100-000003000000}"/>
  <tableColumns count="11">
    <tableColumn id="1" xr3:uid="{00000000-0010-0000-0100-000001000000}" name="Date" dataDxfId="32" dataCellStyle="Normal 2"/>
    <tableColumn id="2" xr3:uid="{00000000-0010-0000-0100-000002000000}" name="Mid 1017" dataDxfId="31" dataCellStyle="Comma"/>
    <tableColumn id="3" xr3:uid="{00000000-0010-0000-0100-000003000000}" name="Interest" dataDxfId="30" dataCellStyle="Comma">
      <calculatedColumnFormula>'Bank Int.'!$C4*7.5%/360</calculatedColumnFormula>
    </tableColumn>
    <tableColumn id="4" xr3:uid="{00000000-0010-0000-0100-000004000000}" name="Mid 146" dataDxfId="29" dataCellStyle="Normal 2"/>
    <tableColumn id="5" xr3:uid="{00000000-0010-0000-0100-000005000000}" name="Interest2" dataDxfId="28" dataCellStyle="Normal 2"/>
    <tableColumn id="6" xr3:uid="{00000000-0010-0000-0100-000006000000}" name="Brac" dataDxfId="27" dataCellStyle="Comma"/>
    <tableColumn id="7" xr3:uid="{00000000-0010-0000-0100-000007000000}" name="Interest4" dataDxfId="26" dataCellStyle="Normal 2"/>
    <tableColumn id="8" xr3:uid="{00000000-0010-0000-0100-000008000000}" name="Modhu 01" dataDxfId="25" dataCellStyle="Normal 2"/>
    <tableColumn id="9" xr3:uid="{00000000-0010-0000-0100-000009000000}" name="Interest42" dataDxfId="24" dataCellStyle="Normal 2">
      <calculatedColumnFormula>'Bank Int.'!$I4*6.5%/360</calculatedColumnFormula>
    </tableColumn>
    <tableColumn id="10" xr3:uid="{1934846B-3F03-4E74-8AAA-3DD4D9EA4E3F}" name="MTBL" dataDxfId="23" dataCellStyle="Normal 2"/>
    <tableColumn id="11" xr3:uid="{14324281-E0FB-47C1-9D89-7E40F70BDA29}" name="Interest5" dataDxfId="22" dataCellStyle="Normal 2">
      <calculatedColumnFormula>'Bank Int.'!$J4*6.5%/360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B2:E599"/>
  <sheetViews>
    <sheetView topLeftCell="A41" workbookViewId="0">
      <selection activeCell="B19" sqref="B19:B20"/>
    </sheetView>
  </sheetViews>
  <sheetFormatPr defaultRowHeight="15" x14ac:dyDescent="0.25"/>
  <cols>
    <col min="2" max="2" width="39.140625" bestFit="1" customWidth="1"/>
    <col min="3" max="3" width="15" bestFit="1" customWidth="1"/>
    <col min="5" max="5" width="14.42578125" bestFit="1" customWidth="1"/>
  </cols>
  <sheetData>
    <row r="2" spans="2:5" x14ac:dyDescent="0.25">
      <c r="B2" s="27" t="s">
        <v>56</v>
      </c>
      <c r="C2" s="27" t="s">
        <v>57</v>
      </c>
      <c r="E2" s="25" t="s">
        <v>124</v>
      </c>
    </row>
    <row r="3" spans="2:5" x14ac:dyDescent="0.25">
      <c r="B3" t="s">
        <v>70</v>
      </c>
      <c r="C3" s="190" t="s">
        <v>91</v>
      </c>
      <c r="E3" t="e">
        <f>#REF!</f>
        <v>#REF!</v>
      </c>
    </row>
    <row r="4" spans="2:5" x14ac:dyDescent="0.25">
      <c r="B4" s="25" t="s">
        <v>58</v>
      </c>
      <c r="C4" s="26" t="s">
        <v>91</v>
      </c>
      <c r="E4" t="e">
        <f>#REF!</f>
        <v>#REF!</v>
      </c>
    </row>
    <row r="5" spans="2:5" x14ac:dyDescent="0.25">
      <c r="B5" s="25" t="s">
        <v>55</v>
      </c>
      <c r="C5" s="26" t="s">
        <v>91</v>
      </c>
      <c r="E5" t="e">
        <f>#REF!</f>
        <v>#REF!</v>
      </c>
    </row>
    <row r="6" spans="2:5" x14ac:dyDescent="0.25">
      <c r="B6" s="25" t="s">
        <v>41</v>
      </c>
      <c r="C6" s="26" t="s">
        <v>92</v>
      </c>
      <c r="E6" t="e">
        <f>#REF!</f>
        <v>#REF!</v>
      </c>
    </row>
    <row r="7" spans="2:5" x14ac:dyDescent="0.25">
      <c r="B7" s="25" t="s">
        <v>42</v>
      </c>
      <c r="C7" s="26" t="s">
        <v>92</v>
      </c>
      <c r="E7" t="e">
        <f>#REF!</f>
        <v>#REF!</v>
      </c>
    </row>
    <row r="8" spans="2:5" x14ac:dyDescent="0.25">
      <c r="B8" s="25" t="s">
        <v>43</v>
      </c>
      <c r="C8" s="26" t="s">
        <v>92</v>
      </c>
      <c r="E8" t="e">
        <f>#REF!</f>
        <v>#REF!</v>
      </c>
    </row>
    <row r="9" spans="2:5" x14ac:dyDescent="0.25">
      <c r="B9" s="25" t="s">
        <v>82</v>
      </c>
      <c r="C9" s="26" t="s">
        <v>92</v>
      </c>
      <c r="E9" t="e">
        <f>#REF!</f>
        <v>#REF!</v>
      </c>
    </row>
    <row r="10" spans="2:5" x14ac:dyDescent="0.25">
      <c r="B10" s="25" t="s">
        <v>44</v>
      </c>
      <c r="C10" s="26" t="s">
        <v>92</v>
      </c>
      <c r="E10" t="e">
        <f>#REF!</f>
        <v>#REF!</v>
      </c>
    </row>
    <row r="11" spans="2:5" x14ac:dyDescent="0.25">
      <c r="B11" s="25" t="s">
        <v>45</v>
      </c>
      <c r="C11" s="26" t="s">
        <v>92</v>
      </c>
      <c r="E11" t="e">
        <f>#REF!</f>
        <v>#REF!</v>
      </c>
    </row>
    <row r="12" spans="2:5" x14ac:dyDescent="0.25">
      <c r="B12" s="25" t="s">
        <v>76</v>
      </c>
      <c r="C12" s="26" t="s">
        <v>91</v>
      </c>
      <c r="E12" t="e">
        <f>#REF!</f>
        <v>#REF!</v>
      </c>
    </row>
    <row r="13" spans="2:5" x14ac:dyDescent="0.25">
      <c r="B13" s="25" t="s">
        <v>46</v>
      </c>
      <c r="C13" s="26" t="s">
        <v>91</v>
      </c>
      <c r="E13" t="e">
        <f>#REF!</f>
        <v>#REF!</v>
      </c>
    </row>
    <row r="14" spans="2:5" x14ac:dyDescent="0.25">
      <c r="B14" s="25" t="s">
        <v>16</v>
      </c>
      <c r="C14" s="26" t="s">
        <v>92</v>
      </c>
      <c r="E14" t="e">
        <f>#REF!</f>
        <v>#REF!</v>
      </c>
    </row>
    <row r="15" spans="2:5" x14ac:dyDescent="0.25">
      <c r="B15" s="25" t="s">
        <v>47</v>
      </c>
      <c r="C15" s="26" t="s">
        <v>92</v>
      </c>
      <c r="E15" t="e">
        <f>#REF!</f>
        <v>#REF!</v>
      </c>
    </row>
    <row r="16" spans="2:5" x14ac:dyDescent="0.25">
      <c r="B16" s="25" t="s">
        <v>53</v>
      </c>
      <c r="C16" s="26" t="s">
        <v>92</v>
      </c>
      <c r="E16" t="e">
        <f>#REF!</f>
        <v>#REF!</v>
      </c>
    </row>
    <row r="17" spans="2:5" x14ac:dyDescent="0.25">
      <c r="B17" s="25" t="s">
        <v>1581</v>
      </c>
      <c r="C17" s="26"/>
    </row>
    <row r="18" spans="2:5" x14ac:dyDescent="0.25">
      <c r="B18" s="25" t="s">
        <v>1582</v>
      </c>
      <c r="C18" s="26"/>
    </row>
    <row r="19" spans="2:5" x14ac:dyDescent="0.25">
      <c r="B19" s="25" t="s">
        <v>2008</v>
      </c>
      <c r="C19" s="26"/>
    </row>
    <row r="20" spans="2:5" x14ac:dyDescent="0.25">
      <c r="B20" s="25" t="s">
        <v>1979</v>
      </c>
      <c r="C20" s="26"/>
    </row>
    <row r="21" spans="2:5" x14ac:dyDescent="0.25">
      <c r="B21" s="25" t="s">
        <v>1583</v>
      </c>
      <c r="C21" s="26"/>
    </row>
    <row r="22" spans="2:5" x14ac:dyDescent="0.25">
      <c r="B22" s="25" t="s">
        <v>1584</v>
      </c>
      <c r="C22" s="26"/>
    </row>
    <row r="23" spans="2:5" x14ac:dyDescent="0.25">
      <c r="B23" s="25" t="s">
        <v>1585</v>
      </c>
      <c r="C23" s="26" t="s">
        <v>92</v>
      </c>
    </row>
    <row r="24" spans="2:5" x14ac:dyDescent="0.25">
      <c r="B24" s="25" t="s">
        <v>54</v>
      </c>
      <c r="C24" s="26" t="s">
        <v>91</v>
      </c>
      <c r="E24" t="e">
        <f>#REF!</f>
        <v>#REF!</v>
      </c>
    </row>
    <row r="25" spans="2:5" x14ac:dyDescent="0.25">
      <c r="B25" s="25" t="s">
        <v>71</v>
      </c>
      <c r="C25" s="26" t="s">
        <v>91</v>
      </c>
      <c r="E25" t="e">
        <f>#REF!</f>
        <v>#REF!</v>
      </c>
    </row>
    <row r="26" spans="2:5" x14ac:dyDescent="0.25">
      <c r="B26" s="25" t="s">
        <v>72</v>
      </c>
      <c r="C26" s="26" t="s">
        <v>92</v>
      </c>
      <c r="E26" t="e">
        <f>#REF!</f>
        <v>#REF!</v>
      </c>
    </row>
    <row r="27" spans="2:5" x14ac:dyDescent="0.25">
      <c r="B27" s="25" t="s">
        <v>1458</v>
      </c>
      <c r="C27" s="26"/>
    </row>
    <row r="28" spans="2:5" x14ac:dyDescent="0.25">
      <c r="B28" s="25" t="s">
        <v>1459</v>
      </c>
      <c r="C28" s="26"/>
    </row>
    <row r="29" spans="2:5" x14ac:dyDescent="0.25">
      <c r="B29" s="25" t="s">
        <v>73</v>
      </c>
      <c r="C29" s="26" t="s">
        <v>91</v>
      </c>
      <c r="E29" t="e">
        <f>#REF!</f>
        <v>#REF!</v>
      </c>
    </row>
    <row r="30" spans="2:5" x14ac:dyDescent="0.25">
      <c r="B30" s="25" t="s">
        <v>75</v>
      </c>
      <c r="C30" s="26" t="s">
        <v>91</v>
      </c>
      <c r="E30" t="e">
        <f>#REF!</f>
        <v>#REF!</v>
      </c>
    </row>
    <row r="31" spans="2:5" x14ac:dyDescent="0.25">
      <c r="B31" s="25" t="s">
        <v>77</v>
      </c>
      <c r="C31" s="26" t="s">
        <v>91</v>
      </c>
      <c r="E31" t="e">
        <f>#REF!</f>
        <v>#REF!</v>
      </c>
    </row>
    <row r="32" spans="2:5" x14ac:dyDescent="0.25">
      <c r="B32" s="25" t="s">
        <v>80</v>
      </c>
      <c r="C32" s="26" t="s">
        <v>91</v>
      </c>
      <c r="E32" t="e">
        <f>#REF!</f>
        <v>#REF!</v>
      </c>
    </row>
    <row r="33" spans="2:5" x14ac:dyDescent="0.25">
      <c r="B33" s="25" t="s">
        <v>81</v>
      </c>
      <c r="C33" s="26" t="s">
        <v>91</v>
      </c>
      <c r="E33" t="e">
        <f>#REF!</f>
        <v>#REF!</v>
      </c>
    </row>
    <row r="34" spans="2:5" x14ac:dyDescent="0.25">
      <c r="B34" s="25" t="s">
        <v>83</v>
      </c>
      <c r="C34" s="26" t="s">
        <v>91</v>
      </c>
      <c r="E34" t="e">
        <f>#REF!</f>
        <v>#REF!</v>
      </c>
    </row>
    <row r="35" spans="2:5" x14ac:dyDescent="0.25">
      <c r="B35" s="25" t="s">
        <v>84</v>
      </c>
      <c r="C35" s="26" t="s">
        <v>91</v>
      </c>
      <c r="E35" t="e">
        <f>#REF!</f>
        <v>#REF!</v>
      </c>
    </row>
    <row r="36" spans="2:5" x14ac:dyDescent="0.25">
      <c r="B36" s="25" t="s">
        <v>87</v>
      </c>
      <c r="C36" s="26" t="s">
        <v>91</v>
      </c>
      <c r="E36" t="e">
        <f>#REF!</f>
        <v>#REF!</v>
      </c>
    </row>
    <row r="37" spans="2:5" x14ac:dyDescent="0.25">
      <c r="B37" s="25" t="s">
        <v>1460</v>
      </c>
      <c r="C37" s="26"/>
    </row>
    <row r="38" spans="2:5" x14ac:dyDescent="0.25">
      <c r="B38" s="25" t="s">
        <v>1461</v>
      </c>
      <c r="C38" s="26"/>
    </row>
    <row r="39" spans="2:5" x14ac:dyDescent="0.25">
      <c r="B39" s="25" t="s">
        <v>113</v>
      </c>
      <c r="C39" s="26" t="s">
        <v>91</v>
      </c>
      <c r="E39" t="e">
        <f>#REF!</f>
        <v>#REF!</v>
      </c>
    </row>
    <row r="40" spans="2:5" x14ac:dyDescent="0.25">
      <c r="B40" s="25" t="s">
        <v>121</v>
      </c>
      <c r="C40" s="26" t="s">
        <v>92</v>
      </c>
      <c r="E40" t="e">
        <f>#REF!</f>
        <v>#REF!</v>
      </c>
    </row>
    <row r="41" spans="2:5" x14ac:dyDescent="0.25">
      <c r="B41" s="25" t="s">
        <v>168</v>
      </c>
      <c r="C41" s="26" t="s">
        <v>91</v>
      </c>
      <c r="E41" t="e">
        <f>#REF!</f>
        <v>#REF!</v>
      </c>
    </row>
    <row r="42" spans="2:5" x14ac:dyDescent="0.25">
      <c r="B42" s="25" t="s">
        <v>170</v>
      </c>
      <c r="C42" s="25" t="s">
        <v>92</v>
      </c>
      <c r="E42" t="e">
        <f>#REF!</f>
        <v>#REF!</v>
      </c>
    </row>
    <row r="43" spans="2:5" x14ac:dyDescent="0.25">
      <c r="B43" s="78" t="s">
        <v>171</v>
      </c>
      <c r="C43" s="78" t="s">
        <v>91</v>
      </c>
      <c r="E43" t="e">
        <f>#REF!</f>
        <v>#REF!</v>
      </c>
    </row>
    <row r="44" spans="2:5" x14ac:dyDescent="0.25">
      <c r="B44" s="25" t="s">
        <v>173</v>
      </c>
      <c r="C44" s="25" t="s">
        <v>91</v>
      </c>
      <c r="E44" t="e">
        <f>#REF!</f>
        <v>#REF!</v>
      </c>
    </row>
    <row r="45" spans="2:5" x14ac:dyDescent="0.25">
      <c r="B45" s="25" t="s">
        <v>175</v>
      </c>
      <c r="C45" s="25" t="s">
        <v>91</v>
      </c>
      <c r="E45" t="e">
        <f>#REF!</f>
        <v>#REF!</v>
      </c>
    </row>
    <row r="46" spans="2:5" x14ac:dyDescent="0.25">
      <c r="B46" s="78" t="s">
        <v>176</v>
      </c>
      <c r="C46" s="78" t="s">
        <v>91</v>
      </c>
      <c r="E46" t="e">
        <f>#REF!</f>
        <v>#REF!</v>
      </c>
    </row>
    <row r="47" spans="2:5" x14ac:dyDescent="0.25">
      <c r="B47" t="s">
        <v>178</v>
      </c>
      <c r="C47" t="s">
        <v>91</v>
      </c>
      <c r="E47" t="e">
        <f>#REF!</f>
        <v>#REF!</v>
      </c>
    </row>
    <row r="48" spans="2:5" x14ac:dyDescent="0.25">
      <c r="B48" t="s">
        <v>179</v>
      </c>
      <c r="C48" t="s">
        <v>92</v>
      </c>
      <c r="E48" t="e">
        <f>#REF!</f>
        <v>#REF!</v>
      </c>
    </row>
    <row r="49" spans="2:5" x14ac:dyDescent="0.25">
      <c r="B49" t="s">
        <v>1588</v>
      </c>
    </row>
    <row r="50" spans="2:5" x14ac:dyDescent="0.25">
      <c r="B50" t="s">
        <v>1462</v>
      </c>
    </row>
    <row r="51" spans="2:5" x14ac:dyDescent="0.25">
      <c r="B51" t="s">
        <v>1463</v>
      </c>
    </row>
    <row r="52" spans="2:5" x14ac:dyDescent="0.25">
      <c r="B52" t="s">
        <v>193</v>
      </c>
      <c r="C52" t="s">
        <v>92</v>
      </c>
      <c r="E52" t="e">
        <f>#REF!</f>
        <v>#REF!</v>
      </c>
    </row>
    <row r="53" spans="2:5" x14ac:dyDescent="0.25">
      <c r="B53" t="s">
        <v>293</v>
      </c>
      <c r="C53" t="s">
        <v>92</v>
      </c>
      <c r="E53" t="e">
        <f>#REF!</f>
        <v>#REF!</v>
      </c>
    </row>
    <row r="54" spans="2:5" x14ac:dyDescent="0.25">
      <c r="B54" t="s">
        <v>296</v>
      </c>
      <c r="E54" t="e">
        <f>#REF!</f>
        <v>#REF!</v>
      </c>
    </row>
    <row r="55" spans="2:5" x14ac:dyDescent="0.25">
      <c r="B55" t="s">
        <v>295</v>
      </c>
      <c r="C55" t="s">
        <v>92</v>
      </c>
      <c r="E55" t="e">
        <f>#REF!</f>
        <v>#REF!</v>
      </c>
    </row>
    <row r="56" spans="2:5" x14ac:dyDescent="0.25">
      <c r="B56" t="s">
        <v>457</v>
      </c>
      <c r="C56" t="s">
        <v>92</v>
      </c>
      <c r="E56" t="e">
        <f>#REF!</f>
        <v>#REF!</v>
      </c>
    </row>
    <row r="57" spans="2:5" x14ac:dyDescent="0.25">
      <c r="B57" t="s">
        <v>458</v>
      </c>
      <c r="E57" t="e">
        <f>#REF!</f>
        <v>#REF!</v>
      </c>
    </row>
    <row r="58" spans="2:5" x14ac:dyDescent="0.25">
      <c r="B58" t="s">
        <v>1580</v>
      </c>
      <c r="C58" s="190" t="s">
        <v>91</v>
      </c>
      <c r="E58" t="e">
        <f>#REF!</f>
        <v>#REF!</v>
      </c>
    </row>
    <row r="59" spans="2:5" x14ac:dyDescent="0.25">
      <c r="B59" t="s">
        <v>1579</v>
      </c>
      <c r="C59" s="190" t="s">
        <v>91</v>
      </c>
    </row>
    <row r="60" spans="2:5" x14ac:dyDescent="0.25">
      <c r="B60" t="s">
        <v>1266</v>
      </c>
      <c r="C60" s="190" t="s">
        <v>91</v>
      </c>
      <c r="E60" t="e">
        <f>#REF!</f>
        <v>#REF!</v>
      </c>
    </row>
    <row r="61" spans="2:5" x14ac:dyDescent="0.25">
      <c r="B61" t="s">
        <v>1283</v>
      </c>
      <c r="C61" t="s">
        <v>91</v>
      </c>
      <c r="E61" t="e">
        <f>#REF!</f>
        <v>#REF!</v>
      </c>
    </row>
    <row r="62" spans="2:5" x14ac:dyDescent="0.25">
      <c r="B62" t="s">
        <v>1282</v>
      </c>
      <c r="C62" t="s">
        <v>92</v>
      </c>
      <c r="E62" t="e">
        <f>#REF!</f>
        <v>#REF!</v>
      </c>
    </row>
    <row r="63" spans="2:5" x14ac:dyDescent="0.25">
      <c r="B63" t="s">
        <v>1284</v>
      </c>
      <c r="C63" s="26" t="s">
        <v>91</v>
      </c>
      <c r="E63" t="e">
        <f>#REF!</f>
        <v>#REF!</v>
      </c>
    </row>
    <row r="64" spans="2:5" x14ac:dyDescent="0.25">
      <c r="B64" t="s">
        <v>1529</v>
      </c>
      <c r="C64" s="26"/>
    </row>
    <row r="65" spans="2:5" x14ac:dyDescent="0.25">
      <c r="B65" t="s">
        <v>1475</v>
      </c>
      <c r="C65" s="26" t="s">
        <v>91</v>
      </c>
      <c r="E65" t="e">
        <f>#REF!</f>
        <v>#REF!</v>
      </c>
    </row>
    <row r="66" spans="2:5" x14ac:dyDescent="0.25">
      <c r="B66" t="s">
        <v>1476</v>
      </c>
      <c r="C66" s="26" t="s">
        <v>91</v>
      </c>
      <c r="E66" t="e">
        <f>#REF!</f>
        <v>#REF!</v>
      </c>
    </row>
    <row r="67" spans="2:5" x14ac:dyDescent="0.25">
      <c r="B67" t="s">
        <v>1392</v>
      </c>
      <c r="C67" t="s">
        <v>92</v>
      </c>
      <c r="E67" t="e">
        <f>#REF!</f>
        <v>#REF!</v>
      </c>
    </row>
    <row r="68" spans="2:5" x14ac:dyDescent="0.25">
      <c r="B68" t="s">
        <v>1455</v>
      </c>
      <c r="E68" t="e">
        <f>#REF!</f>
        <v>#REF!</v>
      </c>
    </row>
    <row r="69" spans="2:5" x14ac:dyDescent="0.25">
      <c r="B69" t="s">
        <v>1456</v>
      </c>
      <c r="E69" t="e">
        <f>#REF!</f>
        <v>#REF!</v>
      </c>
    </row>
    <row r="70" spans="2:5" x14ac:dyDescent="0.25">
      <c r="B70" t="s">
        <v>1837</v>
      </c>
      <c r="E70" t="e">
        <f>#REF!</f>
        <v>#REF!</v>
      </c>
    </row>
    <row r="71" spans="2:5" x14ac:dyDescent="0.25">
      <c r="B71" t="s">
        <v>1977</v>
      </c>
      <c r="E71" t="e">
        <f>#REF!</f>
        <v>#REF!</v>
      </c>
    </row>
    <row r="72" spans="2:5" x14ac:dyDescent="0.25">
      <c r="B72" s="115" t="s">
        <v>1978</v>
      </c>
      <c r="E72" t="e">
        <f>#REF!</f>
        <v>#REF!</v>
      </c>
    </row>
    <row r="73" spans="2:5" x14ac:dyDescent="0.25">
      <c r="B73" t="s">
        <v>2003</v>
      </c>
      <c r="E73" t="e">
        <f>#REF!</f>
        <v>#REF!</v>
      </c>
    </row>
    <row r="74" spans="2:5" x14ac:dyDescent="0.25">
      <c r="B74" t="s">
        <v>2004</v>
      </c>
      <c r="E74" t="e">
        <f>#REF!</f>
        <v>#REF!</v>
      </c>
    </row>
    <row r="75" spans="2:5" x14ac:dyDescent="0.25">
      <c r="E75" t="e">
        <f>#REF!</f>
        <v>#REF!</v>
      </c>
    </row>
    <row r="76" spans="2:5" x14ac:dyDescent="0.25">
      <c r="E76" t="e">
        <f>#REF!</f>
        <v>#REF!</v>
      </c>
    </row>
    <row r="77" spans="2:5" x14ac:dyDescent="0.25">
      <c r="E77" t="e">
        <f>#REF!</f>
        <v>#REF!</v>
      </c>
    </row>
    <row r="78" spans="2:5" x14ac:dyDescent="0.25">
      <c r="E78" t="e">
        <f>#REF!</f>
        <v>#REF!</v>
      </c>
    </row>
    <row r="79" spans="2:5" x14ac:dyDescent="0.25">
      <c r="E79" t="e">
        <f>#REF!</f>
        <v>#REF!</v>
      </c>
    </row>
    <row r="80" spans="2:5" x14ac:dyDescent="0.25">
      <c r="E80" t="e">
        <f>#REF!</f>
        <v>#REF!</v>
      </c>
    </row>
    <row r="81" spans="5:5" x14ac:dyDescent="0.25">
      <c r="E81" t="e">
        <f>#REF!</f>
        <v>#REF!</v>
      </c>
    </row>
    <row r="82" spans="5:5" x14ac:dyDescent="0.25">
      <c r="E82" t="e">
        <f>#REF!</f>
        <v>#REF!</v>
      </c>
    </row>
    <row r="83" spans="5:5" x14ac:dyDescent="0.25">
      <c r="E83" t="e">
        <f>#REF!</f>
        <v>#REF!</v>
      </c>
    </row>
    <row r="84" spans="5:5" x14ac:dyDescent="0.25">
      <c r="E84" t="e">
        <f>#REF!</f>
        <v>#REF!</v>
      </c>
    </row>
    <row r="85" spans="5:5" x14ac:dyDescent="0.25">
      <c r="E85" t="e">
        <f>#REF!</f>
        <v>#REF!</v>
      </c>
    </row>
    <row r="86" spans="5:5" x14ac:dyDescent="0.25">
      <c r="E86" t="e">
        <f>#REF!</f>
        <v>#REF!</v>
      </c>
    </row>
    <row r="87" spans="5:5" x14ac:dyDescent="0.25">
      <c r="E87" t="e">
        <f>#REF!</f>
        <v>#REF!</v>
      </c>
    </row>
    <row r="88" spans="5:5" x14ac:dyDescent="0.25">
      <c r="E88" t="e">
        <f>#REF!</f>
        <v>#REF!</v>
      </c>
    </row>
    <row r="89" spans="5:5" x14ac:dyDescent="0.25">
      <c r="E89" t="e">
        <f>#REF!</f>
        <v>#REF!</v>
      </c>
    </row>
    <row r="90" spans="5:5" x14ac:dyDescent="0.25">
      <c r="E90" t="e">
        <f>#REF!</f>
        <v>#REF!</v>
      </c>
    </row>
    <row r="91" spans="5:5" x14ac:dyDescent="0.25">
      <c r="E91" t="e">
        <f>#REF!</f>
        <v>#REF!</v>
      </c>
    </row>
    <row r="92" spans="5:5" x14ac:dyDescent="0.25">
      <c r="E92" t="e">
        <f>#REF!</f>
        <v>#REF!</v>
      </c>
    </row>
    <row r="93" spans="5:5" x14ac:dyDescent="0.25">
      <c r="E93" t="e">
        <f>#REF!</f>
        <v>#REF!</v>
      </c>
    </row>
    <row r="94" spans="5:5" x14ac:dyDescent="0.25">
      <c r="E94" t="e">
        <f>#REF!</f>
        <v>#REF!</v>
      </c>
    </row>
    <row r="95" spans="5:5" x14ac:dyDescent="0.25">
      <c r="E95" t="e">
        <f>#REF!</f>
        <v>#REF!</v>
      </c>
    </row>
    <row r="96" spans="5:5" x14ac:dyDescent="0.25">
      <c r="E96" t="e">
        <f>#REF!</f>
        <v>#REF!</v>
      </c>
    </row>
    <row r="97" spans="5:5" x14ac:dyDescent="0.25">
      <c r="E97" t="e">
        <f>#REF!</f>
        <v>#REF!</v>
      </c>
    </row>
    <row r="98" spans="5:5" x14ac:dyDescent="0.25">
      <c r="E98" t="e">
        <f>#REF!</f>
        <v>#REF!</v>
      </c>
    </row>
    <row r="99" spans="5:5" x14ac:dyDescent="0.25">
      <c r="E99" t="e">
        <f>#REF!</f>
        <v>#REF!</v>
      </c>
    </row>
    <row r="100" spans="5:5" x14ac:dyDescent="0.25">
      <c r="E100" t="e">
        <f>#REF!</f>
        <v>#REF!</v>
      </c>
    </row>
    <row r="101" spans="5:5" x14ac:dyDescent="0.25">
      <c r="E101" t="e">
        <f>#REF!</f>
        <v>#REF!</v>
      </c>
    </row>
    <row r="102" spans="5:5" x14ac:dyDescent="0.25">
      <c r="E102" t="e">
        <f>#REF!</f>
        <v>#REF!</v>
      </c>
    </row>
    <row r="103" spans="5:5" x14ac:dyDescent="0.25">
      <c r="E103" t="e">
        <f>#REF!</f>
        <v>#REF!</v>
      </c>
    </row>
    <row r="104" spans="5:5" x14ac:dyDescent="0.25">
      <c r="E104" t="e">
        <f>#REF!</f>
        <v>#REF!</v>
      </c>
    </row>
    <row r="105" spans="5:5" x14ac:dyDescent="0.25">
      <c r="E105" t="e">
        <f>#REF!</f>
        <v>#REF!</v>
      </c>
    </row>
    <row r="106" spans="5:5" x14ac:dyDescent="0.25">
      <c r="E106" t="e">
        <f>#REF!</f>
        <v>#REF!</v>
      </c>
    </row>
    <row r="107" spans="5:5" x14ac:dyDescent="0.25">
      <c r="E107" t="e">
        <f>#REF!</f>
        <v>#REF!</v>
      </c>
    </row>
    <row r="108" spans="5:5" x14ac:dyDescent="0.25">
      <c r="E108" t="e">
        <f>#REF!</f>
        <v>#REF!</v>
      </c>
    </row>
    <row r="109" spans="5:5" x14ac:dyDescent="0.25">
      <c r="E109" t="e">
        <f>#REF!</f>
        <v>#REF!</v>
      </c>
    </row>
    <row r="110" spans="5:5" x14ac:dyDescent="0.25">
      <c r="E110" t="e">
        <f>#REF!</f>
        <v>#REF!</v>
      </c>
    </row>
    <row r="111" spans="5:5" x14ac:dyDescent="0.25">
      <c r="E111" t="e">
        <f>#REF!</f>
        <v>#REF!</v>
      </c>
    </row>
    <row r="112" spans="5:5" x14ac:dyDescent="0.25">
      <c r="E112" t="e">
        <f>#REF!</f>
        <v>#REF!</v>
      </c>
    </row>
    <row r="113" spans="5:5" x14ac:dyDescent="0.25">
      <c r="E113" t="e">
        <f>#REF!</f>
        <v>#REF!</v>
      </c>
    </row>
    <row r="114" spans="5:5" x14ac:dyDescent="0.25">
      <c r="E114" t="e">
        <f>#REF!</f>
        <v>#REF!</v>
      </c>
    </row>
    <row r="115" spans="5:5" x14ac:dyDescent="0.25">
      <c r="E115" t="e">
        <f>#REF!</f>
        <v>#REF!</v>
      </c>
    </row>
    <row r="116" spans="5:5" x14ac:dyDescent="0.25">
      <c r="E116" t="e">
        <f>#REF!</f>
        <v>#REF!</v>
      </c>
    </row>
    <row r="117" spans="5:5" x14ac:dyDescent="0.25">
      <c r="E117" t="e">
        <f>#REF!</f>
        <v>#REF!</v>
      </c>
    </row>
    <row r="118" spans="5:5" x14ac:dyDescent="0.25">
      <c r="E118" t="e">
        <f>#REF!</f>
        <v>#REF!</v>
      </c>
    </row>
    <row r="119" spans="5:5" x14ac:dyDescent="0.25">
      <c r="E119" t="e">
        <f>#REF!</f>
        <v>#REF!</v>
      </c>
    </row>
    <row r="120" spans="5:5" x14ac:dyDescent="0.25">
      <c r="E120" t="e">
        <f>#REF!</f>
        <v>#REF!</v>
      </c>
    </row>
    <row r="121" spans="5:5" x14ac:dyDescent="0.25">
      <c r="E121" t="e">
        <f>#REF!</f>
        <v>#REF!</v>
      </c>
    </row>
    <row r="122" spans="5:5" x14ac:dyDescent="0.25">
      <c r="E122" t="e">
        <f>#REF!</f>
        <v>#REF!</v>
      </c>
    </row>
    <row r="123" spans="5:5" x14ac:dyDescent="0.25">
      <c r="E123" t="e">
        <f>#REF!</f>
        <v>#REF!</v>
      </c>
    </row>
    <row r="124" spans="5:5" x14ac:dyDescent="0.25">
      <c r="E124" t="e">
        <f>#REF!</f>
        <v>#REF!</v>
      </c>
    </row>
    <row r="125" spans="5:5" x14ac:dyDescent="0.25">
      <c r="E125" t="e">
        <f>#REF!</f>
        <v>#REF!</v>
      </c>
    </row>
    <row r="126" spans="5:5" x14ac:dyDescent="0.25">
      <c r="E126" t="e">
        <f>#REF!</f>
        <v>#REF!</v>
      </c>
    </row>
    <row r="127" spans="5:5" x14ac:dyDescent="0.25">
      <c r="E127" t="e">
        <f>#REF!</f>
        <v>#REF!</v>
      </c>
    </row>
    <row r="128" spans="5:5" x14ac:dyDescent="0.25">
      <c r="E128" t="e">
        <f>#REF!</f>
        <v>#REF!</v>
      </c>
    </row>
    <row r="129" spans="5:5" x14ac:dyDescent="0.25">
      <c r="E129" t="e">
        <f>#REF!</f>
        <v>#REF!</v>
      </c>
    </row>
    <row r="130" spans="5:5" x14ac:dyDescent="0.25">
      <c r="E130" t="e">
        <f>#REF!</f>
        <v>#REF!</v>
      </c>
    </row>
    <row r="131" spans="5:5" x14ac:dyDescent="0.25">
      <c r="E131" t="e">
        <f>#REF!</f>
        <v>#REF!</v>
      </c>
    </row>
    <row r="132" spans="5:5" x14ac:dyDescent="0.25">
      <c r="E132" t="e">
        <f>#REF!</f>
        <v>#REF!</v>
      </c>
    </row>
    <row r="133" spans="5:5" x14ac:dyDescent="0.25">
      <c r="E133" t="e">
        <f>#REF!</f>
        <v>#REF!</v>
      </c>
    </row>
    <row r="134" spans="5:5" x14ac:dyDescent="0.25">
      <c r="E134" t="e">
        <f>#REF!</f>
        <v>#REF!</v>
      </c>
    </row>
    <row r="135" spans="5:5" x14ac:dyDescent="0.25">
      <c r="E135" t="e">
        <f>#REF!</f>
        <v>#REF!</v>
      </c>
    </row>
    <row r="136" spans="5:5" x14ac:dyDescent="0.25">
      <c r="E136" t="e">
        <f>#REF!</f>
        <v>#REF!</v>
      </c>
    </row>
    <row r="137" spans="5:5" x14ac:dyDescent="0.25">
      <c r="E137" t="e">
        <f>#REF!</f>
        <v>#REF!</v>
      </c>
    </row>
    <row r="138" spans="5:5" x14ac:dyDescent="0.25">
      <c r="E138" t="e">
        <f>#REF!</f>
        <v>#REF!</v>
      </c>
    </row>
    <row r="139" spans="5:5" x14ac:dyDescent="0.25">
      <c r="E139" t="e">
        <f>#REF!</f>
        <v>#REF!</v>
      </c>
    </row>
    <row r="140" spans="5:5" x14ac:dyDescent="0.25">
      <c r="E140" t="e">
        <f>#REF!</f>
        <v>#REF!</v>
      </c>
    </row>
    <row r="141" spans="5:5" x14ac:dyDescent="0.25">
      <c r="E141" t="e">
        <f>#REF!</f>
        <v>#REF!</v>
      </c>
    </row>
    <row r="142" spans="5:5" x14ac:dyDescent="0.25">
      <c r="E142" t="e">
        <f>#REF!</f>
        <v>#REF!</v>
      </c>
    </row>
    <row r="143" spans="5:5" x14ac:dyDescent="0.25">
      <c r="E143" t="e">
        <f>#REF!</f>
        <v>#REF!</v>
      </c>
    </row>
    <row r="144" spans="5:5" x14ac:dyDescent="0.25">
      <c r="E144" t="e">
        <f>#REF!</f>
        <v>#REF!</v>
      </c>
    </row>
    <row r="145" spans="5:5" x14ac:dyDescent="0.25">
      <c r="E145" t="e">
        <f>#REF!</f>
        <v>#REF!</v>
      </c>
    </row>
    <row r="146" spans="5:5" x14ac:dyDescent="0.25">
      <c r="E146" t="e">
        <f>#REF!</f>
        <v>#REF!</v>
      </c>
    </row>
    <row r="147" spans="5:5" x14ac:dyDescent="0.25">
      <c r="E147" t="e">
        <f>#REF!</f>
        <v>#REF!</v>
      </c>
    </row>
    <row r="148" spans="5:5" x14ac:dyDescent="0.25">
      <c r="E148" t="e">
        <f>#REF!</f>
        <v>#REF!</v>
      </c>
    </row>
    <row r="149" spans="5:5" x14ac:dyDescent="0.25">
      <c r="E149" t="e">
        <f>#REF!</f>
        <v>#REF!</v>
      </c>
    </row>
    <row r="150" spans="5:5" x14ac:dyDescent="0.25">
      <c r="E150" t="e">
        <f>#REF!</f>
        <v>#REF!</v>
      </c>
    </row>
    <row r="151" spans="5:5" x14ac:dyDescent="0.25">
      <c r="E151" t="e">
        <f>#REF!</f>
        <v>#REF!</v>
      </c>
    </row>
    <row r="152" spans="5:5" x14ac:dyDescent="0.25">
      <c r="E152" t="e">
        <f>#REF!</f>
        <v>#REF!</v>
      </c>
    </row>
    <row r="153" spans="5:5" x14ac:dyDescent="0.25">
      <c r="E153" t="e">
        <f>#REF!</f>
        <v>#REF!</v>
      </c>
    </row>
    <row r="154" spans="5:5" x14ac:dyDescent="0.25">
      <c r="E154" t="e">
        <f>#REF!</f>
        <v>#REF!</v>
      </c>
    </row>
    <row r="155" spans="5:5" x14ac:dyDescent="0.25">
      <c r="E155" t="e">
        <f>#REF!</f>
        <v>#REF!</v>
      </c>
    </row>
    <row r="156" spans="5:5" x14ac:dyDescent="0.25">
      <c r="E156" t="e">
        <f>#REF!</f>
        <v>#REF!</v>
      </c>
    </row>
    <row r="157" spans="5:5" x14ac:dyDescent="0.25">
      <c r="E157" t="e">
        <f>#REF!</f>
        <v>#REF!</v>
      </c>
    </row>
    <row r="158" spans="5:5" x14ac:dyDescent="0.25">
      <c r="E158" t="e">
        <f>#REF!</f>
        <v>#REF!</v>
      </c>
    </row>
    <row r="159" spans="5:5" x14ac:dyDescent="0.25">
      <c r="E159" t="e">
        <f>#REF!</f>
        <v>#REF!</v>
      </c>
    </row>
    <row r="160" spans="5:5" x14ac:dyDescent="0.25">
      <c r="E160" t="e">
        <f>#REF!</f>
        <v>#REF!</v>
      </c>
    </row>
    <row r="161" spans="5:5" x14ac:dyDescent="0.25">
      <c r="E161" t="e">
        <f>#REF!</f>
        <v>#REF!</v>
      </c>
    </row>
    <row r="162" spans="5:5" x14ac:dyDescent="0.25">
      <c r="E162" t="e">
        <f>#REF!</f>
        <v>#REF!</v>
      </c>
    </row>
    <row r="163" spans="5:5" x14ac:dyDescent="0.25">
      <c r="E163" t="e">
        <f>#REF!</f>
        <v>#REF!</v>
      </c>
    </row>
    <row r="164" spans="5:5" x14ac:dyDescent="0.25">
      <c r="E164" t="e">
        <f>#REF!</f>
        <v>#REF!</v>
      </c>
    </row>
    <row r="165" spans="5:5" x14ac:dyDescent="0.25">
      <c r="E165" t="e">
        <f>#REF!</f>
        <v>#REF!</v>
      </c>
    </row>
    <row r="166" spans="5:5" x14ac:dyDescent="0.25">
      <c r="E166" t="e">
        <f>#REF!</f>
        <v>#REF!</v>
      </c>
    </row>
    <row r="167" spans="5:5" x14ac:dyDescent="0.25">
      <c r="E167" t="e">
        <f>#REF!</f>
        <v>#REF!</v>
      </c>
    </row>
    <row r="168" spans="5:5" x14ac:dyDescent="0.25">
      <c r="E168" t="e">
        <f>#REF!</f>
        <v>#REF!</v>
      </c>
    </row>
    <row r="169" spans="5:5" x14ac:dyDescent="0.25">
      <c r="E169" t="e">
        <f>#REF!</f>
        <v>#REF!</v>
      </c>
    </row>
    <row r="170" spans="5:5" x14ac:dyDescent="0.25">
      <c r="E170" t="e">
        <f>#REF!</f>
        <v>#REF!</v>
      </c>
    </row>
    <row r="171" spans="5:5" x14ac:dyDescent="0.25">
      <c r="E171" t="e">
        <f>#REF!</f>
        <v>#REF!</v>
      </c>
    </row>
    <row r="172" spans="5:5" x14ac:dyDescent="0.25">
      <c r="E172" t="e">
        <f>#REF!</f>
        <v>#REF!</v>
      </c>
    </row>
    <row r="173" spans="5:5" x14ac:dyDescent="0.25">
      <c r="E173" t="e">
        <f>#REF!</f>
        <v>#REF!</v>
      </c>
    </row>
    <row r="174" spans="5:5" x14ac:dyDescent="0.25">
      <c r="E174" t="e">
        <f>#REF!</f>
        <v>#REF!</v>
      </c>
    </row>
    <row r="175" spans="5:5" x14ac:dyDescent="0.25">
      <c r="E175" t="e">
        <f>#REF!</f>
        <v>#REF!</v>
      </c>
    </row>
    <row r="176" spans="5:5" x14ac:dyDescent="0.25">
      <c r="E176" t="e">
        <f>#REF!</f>
        <v>#REF!</v>
      </c>
    </row>
    <row r="177" spans="5:5" x14ac:dyDescent="0.25">
      <c r="E177" t="e">
        <f>#REF!</f>
        <v>#REF!</v>
      </c>
    </row>
    <row r="178" spans="5:5" x14ac:dyDescent="0.25">
      <c r="E178" t="e">
        <f>#REF!</f>
        <v>#REF!</v>
      </c>
    </row>
    <row r="179" spans="5:5" x14ac:dyDescent="0.25">
      <c r="E179" t="e">
        <f>#REF!</f>
        <v>#REF!</v>
      </c>
    </row>
    <row r="180" spans="5:5" x14ac:dyDescent="0.25">
      <c r="E180" t="e">
        <f>#REF!</f>
        <v>#REF!</v>
      </c>
    </row>
    <row r="181" spans="5:5" x14ac:dyDescent="0.25">
      <c r="E181" t="e">
        <f>#REF!</f>
        <v>#REF!</v>
      </c>
    </row>
    <row r="182" spans="5:5" x14ac:dyDescent="0.25">
      <c r="E182" t="e">
        <f>#REF!</f>
        <v>#REF!</v>
      </c>
    </row>
    <row r="183" spans="5:5" x14ac:dyDescent="0.25">
      <c r="E183" t="e">
        <f>#REF!</f>
        <v>#REF!</v>
      </c>
    </row>
    <row r="184" spans="5:5" x14ac:dyDescent="0.25">
      <c r="E184" t="e">
        <f>#REF!</f>
        <v>#REF!</v>
      </c>
    </row>
    <row r="185" spans="5:5" x14ac:dyDescent="0.25">
      <c r="E185" t="e">
        <f>#REF!</f>
        <v>#REF!</v>
      </c>
    </row>
    <row r="186" spans="5:5" x14ac:dyDescent="0.25">
      <c r="E186" t="e">
        <f>#REF!</f>
        <v>#REF!</v>
      </c>
    </row>
    <row r="187" spans="5:5" x14ac:dyDescent="0.25">
      <c r="E187" t="e">
        <f>#REF!</f>
        <v>#REF!</v>
      </c>
    </row>
    <row r="188" spans="5:5" x14ac:dyDescent="0.25">
      <c r="E188" t="e">
        <f>#REF!</f>
        <v>#REF!</v>
      </c>
    </row>
    <row r="189" spans="5:5" x14ac:dyDescent="0.25">
      <c r="E189" t="e">
        <f>#REF!</f>
        <v>#REF!</v>
      </c>
    </row>
    <row r="190" spans="5:5" x14ac:dyDescent="0.25">
      <c r="E190" t="e">
        <f>#REF!</f>
        <v>#REF!</v>
      </c>
    </row>
    <row r="191" spans="5:5" x14ac:dyDescent="0.25">
      <c r="E191" t="e">
        <f>#REF!</f>
        <v>#REF!</v>
      </c>
    </row>
    <row r="192" spans="5:5" x14ac:dyDescent="0.25">
      <c r="E192" t="e">
        <f>#REF!</f>
        <v>#REF!</v>
      </c>
    </row>
    <row r="193" spans="5:5" x14ac:dyDescent="0.25">
      <c r="E193" t="e">
        <f>#REF!</f>
        <v>#REF!</v>
      </c>
    </row>
    <row r="194" spans="5:5" x14ac:dyDescent="0.25">
      <c r="E194" t="e">
        <f>#REF!</f>
        <v>#REF!</v>
      </c>
    </row>
    <row r="195" spans="5:5" x14ac:dyDescent="0.25">
      <c r="E195" t="e">
        <f>#REF!</f>
        <v>#REF!</v>
      </c>
    </row>
    <row r="196" spans="5:5" x14ac:dyDescent="0.25">
      <c r="E196" t="e">
        <f>#REF!</f>
        <v>#REF!</v>
      </c>
    </row>
    <row r="197" spans="5:5" x14ac:dyDescent="0.25">
      <c r="E197" t="e">
        <f>#REF!</f>
        <v>#REF!</v>
      </c>
    </row>
    <row r="198" spans="5:5" x14ac:dyDescent="0.25">
      <c r="E198" t="e">
        <f>#REF!</f>
        <v>#REF!</v>
      </c>
    </row>
    <row r="199" spans="5:5" x14ac:dyDescent="0.25">
      <c r="E199" t="e">
        <f>#REF!</f>
        <v>#REF!</v>
      </c>
    </row>
    <row r="200" spans="5:5" x14ac:dyDescent="0.25">
      <c r="E200" t="e">
        <f>#REF!</f>
        <v>#REF!</v>
      </c>
    </row>
    <row r="201" spans="5:5" x14ac:dyDescent="0.25">
      <c r="E201" t="e">
        <f>#REF!</f>
        <v>#REF!</v>
      </c>
    </row>
    <row r="202" spans="5:5" x14ac:dyDescent="0.25">
      <c r="E202" t="e">
        <f>#REF!</f>
        <v>#REF!</v>
      </c>
    </row>
    <row r="203" spans="5:5" x14ac:dyDescent="0.25">
      <c r="E203" t="e">
        <f>#REF!</f>
        <v>#REF!</v>
      </c>
    </row>
    <row r="204" spans="5:5" x14ac:dyDescent="0.25">
      <c r="E204" t="e">
        <f>#REF!</f>
        <v>#REF!</v>
      </c>
    </row>
    <row r="205" spans="5:5" x14ac:dyDescent="0.25">
      <c r="E205" t="e">
        <f>#REF!</f>
        <v>#REF!</v>
      </c>
    </row>
    <row r="206" spans="5:5" x14ac:dyDescent="0.25">
      <c r="E206" t="e">
        <f>#REF!</f>
        <v>#REF!</v>
      </c>
    </row>
    <row r="207" spans="5:5" x14ac:dyDescent="0.25">
      <c r="E207" t="e">
        <f>#REF!</f>
        <v>#REF!</v>
      </c>
    </row>
    <row r="208" spans="5:5" x14ac:dyDescent="0.25">
      <c r="E208" t="e">
        <f>#REF!</f>
        <v>#REF!</v>
      </c>
    </row>
    <row r="209" spans="5:5" x14ac:dyDescent="0.25">
      <c r="E209" t="e">
        <f>#REF!</f>
        <v>#REF!</v>
      </c>
    </row>
    <row r="210" spans="5:5" x14ac:dyDescent="0.25">
      <c r="E210" t="e">
        <f>#REF!</f>
        <v>#REF!</v>
      </c>
    </row>
    <row r="211" spans="5:5" x14ac:dyDescent="0.25">
      <c r="E211" t="e">
        <f>#REF!</f>
        <v>#REF!</v>
      </c>
    </row>
    <row r="212" spans="5:5" x14ac:dyDescent="0.25">
      <c r="E212" t="e">
        <f>#REF!</f>
        <v>#REF!</v>
      </c>
    </row>
    <row r="213" spans="5:5" x14ac:dyDescent="0.25">
      <c r="E213" t="e">
        <f>#REF!</f>
        <v>#REF!</v>
      </c>
    </row>
    <row r="214" spans="5:5" x14ac:dyDescent="0.25">
      <c r="E214" t="e">
        <f>#REF!</f>
        <v>#REF!</v>
      </c>
    </row>
    <row r="215" spans="5:5" x14ac:dyDescent="0.25">
      <c r="E215" t="e">
        <f>#REF!</f>
        <v>#REF!</v>
      </c>
    </row>
    <row r="216" spans="5:5" x14ac:dyDescent="0.25">
      <c r="E216" t="e">
        <f>#REF!</f>
        <v>#REF!</v>
      </c>
    </row>
    <row r="217" spans="5:5" x14ac:dyDescent="0.25">
      <c r="E217" t="e">
        <f>#REF!</f>
        <v>#REF!</v>
      </c>
    </row>
    <row r="218" spans="5:5" x14ac:dyDescent="0.25">
      <c r="E218" t="e">
        <f>#REF!</f>
        <v>#REF!</v>
      </c>
    </row>
    <row r="219" spans="5:5" x14ac:dyDescent="0.25">
      <c r="E219" t="e">
        <f>#REF!</f>
        <v>#REF!</v>
      </c>
    </row>
    <row r="220" spans="5:5" x14ac:dyDescent="0.25">
      <c r="E220" t="e">
        <f>#REF!</f>
        <v>#REF!</v>
      </c>
    </row>
    <row r="221" spans="5:5" x14ac:dyDescent="0.25">
      <c r="E221" t="e">
        <f>#REF!</f>
        <v>#REF!</v>
      </c>
    </row>
    <row r="222" spans="5:5" x14ac:dyDescent="0.25">
      <c r="E222" t="e">
        <f>#REF!</f>
        <v>#REF!</v>
      </c>
    </row>
    <row r="223" spans="5:5" x14ac:dyDescent="0.25">
      <c r="E223" t="e">
        <f>#REF!</f>
        <v>#REF!</v>
      </c>
    </row>
    <row r="224" spans="5:5" x14ac:dyDescent="0.25">
      <c r="E224" t="e">
        <f>#REF!</f>
        <v>#REF!</v>
      </c>
    </row>
    <row r="225" spans="5:5" x14ac:dyDescent="0.25">
      <c r="E225" t="e">
        <f>#REF!</f>
        <v>#REF!</v>
      </c>
    </row>
    <row r="226" spans="5:5" x14ac:dyDescent="0.25">
      <c r="E226" t="e">
        <f>#REF!</f>
        <v>#REF!</v>
      </c>
    </row>
    <row r="227" spans="5:5" x14ac:dyDescent="0.25">
      <c r="E227" t="e">
        <f>#REF!</f>
        <v>#REF!</v>
      </c>
    </row>
    <row r="228" spans="5:5" x14ac:dyDescent="0.25">
      <c r="E228" t="e">
        <f>#REF!</f>
        <v>#REF!</v>
      </c>
    </row>
    <row r="229" spans="5:5" x14ac:dyDescent="0.25">
      <c r="E229" t="e">
        <f>#REF!</f>
        <v>#REF!</v>
      </c>
    </row>
    <row r="230" spans="5:5" x14ac:dyDescent="0.25">
      <c r="E230" t="e">
        <f>#REF!</f>
        <v>#REF!</v>
      </c>
    </row>
    <row r="231" spans="5:5" x14ac:dyDescent="0.25">
      <c r="E231" t="e">
        <f>#REF!</f>
        <v>#REF!</v>
      </c>
    </row>
    <row r="232" spans="5:5" x14ac:dyDescent="0.25">
      <c r="E232" t="e">
        <f>#REF!</f>
        <v>#REF!</v>
      </c>
    </row>
    <row r="233" spans="5:5" x14ac:dyDescent="0.25">
      <c r="E233" t="e">
        <f>#REF!</f>
        <v>#REF!</v>
      </c>
    </row>
    <row r="234" spans="5:5" x14ac:dyDescent="0.25">
      <c r="E234" t="e">
        <f>#REF!</f>
        <v>#REF!</v>
      </c>
    </row>
    <row r="235" spans="5:5" x14ac:dyDescent="0.25">
      <c r="E235" t="e">
        <f>#REF!</f>
        <v>#REF!</v>
      </c>
    </row>
    <row r="236" spans="5:5" x14ac:dyDescent="0.25">
      <c r="E236" t="e">
        <f>#REF!</f>
        <v>#REF!</v>
      </c>
    </row>
    <row r="237" spans="5:5" x14ac:dyDescent="0.25">
      <c r="E237" t="e">
        <f>#REF!</f>
        <v>#REF!</v>
      </c>
    </row>
    <row r="238" spans="5:5" x14ac:dyDescent="0.25">
      <c r="E238" t="e">
        <f>#REF!</f>
        <v>#REF!</v>
      </c>
    </row>
    <row r="239" spans="5:5" x14ac:dyDescent="0.25">
      <c r="E239" t="e">
        <f>#REF!</f>
        <v>#REF!</v>
      </c>
    </row>
    <row r="240" spans="5:5" x14ac:dyDescent="0.25">
      <c r="E240" t="e">
        <f>#REF!</f>
        <v>#REF!</v>
      </c>
    </row>
    <row r="241" spans="5:5" x14ac:dyDescent="0.25">
      <c r="E241" t="e">
        <f>#REF!</f>
        <v>#REF!</v>
      </c>
    </row>
    <row r="242" spans="5:5" x14ac:dyDescent="0.25">
      <c r="E242" t="e">
        <f>#REF!</f>
        <v>#REF!</v>
      </c>
    </row>
    <row r="243" spans="5:5" x14ac:dyDescent="0.25">
      <c r="E243" t="e">
        <f>#REF!</f>
        <v>#REF!</v>
      </c>
    </row>
    <row r="244" spans="5:5" x14ac:dyDescent="0.25">
      <c r="E244" t="e">
        <f>#REF!</f>
        <v>#REF!</v>
      </c>
    </row>
    <row r="245" spans="5:5" x14ac:dyDescent="0.25">
      <c r="E245" t="e">
        <f>#REF!</f>
        <v>#REF!</v>
      </c>
    </row>
    <row r="246" spans="5:5" x14ac:dyDescent="0.25">
      <c r="E246" t="e">
        <f>#REF!</f>
        <v>#REF!</v>
      </c>
    </row>
    <row r="247" spans="5:5" x14ac:dyDescent="0.25">
      <c r="E247" t="e">
        <f>#REF!</f>
        <v>#REF!</v>
      </c>
    </row>
    <row r="248" spans="5:5" x14ac:dyDescent="0.25">
      <c r="E248" t="e">
        <f>#REF!</f>
        <v>#REF!</v>
      </c>
    </row>
    <row r="249" spans="5:5" x14ac:dyDescent="0.25">
      <c r="E249" t="e">
        <f>#REF!</f>
        <v>#REF!</v>
      </c>
    </row>
    <row r="250" spans="5:5" x14ac:dyDescent="0.25">
      <c r="E250" t="e">
        <f>#REF!</f>
        <v>#REF!</v>
      </c>
    </row>
    <row r="251" spans="5:5" x14ac:dyDescent="0.25">
      <c r="E251" t="e">
        <f>#REF!</f>
        <v>#REF!</v>
      </c>
    </row>
    <row r="252" spans="5:5" x14ac:dyDescent="0.25">
      <c r="E252" t="e">
        <f>#REF!</f>
        <v>#REF!</v>
      </c>
    </row>
    <row r="253" spans="5:5" x14ac:dyDescent="0.25">
      <c r="E253" t="e">
        <f>#REF!</f>
        <v>#REF!</v>
      </c>
    </row>
    <row r="254" spans="5:5" x14ac:dyDescent="0.25">
      <c r="E254" t="e">
        <f>#REF!</f>
        <v>#REF!</v>
      </c>
    </row>
    <row r="255" spans="5:5" x14ac:dyDescent="0.25">
      <c r="E255" t="e">
        <f>#REF!</f>
        <v>#REF!</v>
      </c>
    </row>
    <row r="256" spans="5:5" x14ac:dyDescent="0.25">
      <c r="E256" t="e">
        <f>#REF!</f>
        <v>#REF!</v>
      </c>
    </row>
    <row r="257" spans="5:5" x14ac:dyDescent="0.25">
      <c r="E257" t="e">
        <f>#REF!</f>
        <v>#REF!</v>
      </c>
    </row>
    <row r="258" spans="5:5" x14ac:dyDescent="0.25">
      <c r="E258" t="e">
        <f>#REF!</f>
        <v>#REF!</v>
      </c>
    </row>
    <row r="259" spans="5:5" x14ac:dyDescent="0.25">
      <c r="E259" t="e">
        <f>#REF!</f>
        <v>#REF!</v>
      </c>
    </row>
    <row r="260" spans="5:5" x14ac:dyDescent="0.25">
      <c r="E260" t="e">
        <f>#REF!</f>
        <v>#REF!</v>
      </c>
    </row>
    <row r="261" spans="5:5" x14ac:dyDescent="0.25">
      <c r="E261" t="e">
        <f>#REF!</f>
        <v>#REF!</v>
      </c>
    </row>
    <row r="262" spans="5:5" x14ac:dyDescent="0.25">
      <c r="E262" t="e">
        <f>#REF!</f>
        <v>#REF!</v>
      </c>
    </row>
    <row r="263" spans="5:5" x14ac:dyDescent="0.25">
      <c r="E263" t="e">
        <f>#REF!</f>
        <v>#REF!</v>
      </c>
    </row>
    <row r="264" spans="5:5" x14ac:dyDescent="0.25">
      <c r="E264" t="e">
        <f>#REF!</f>
        <v>#REF!</v>
      </c>
    </row>
    <row r="265" spans="5:5" x14ac:dyDescent="0.25">
      <c r="E265" t="e">
        <f>#REF!</f>
        <v>#REF!</v>
      </c>
    </row>
    <row r="266" spans="5:5" x14ac:dyDescent="0.25">
      <c r="E266" t="e">
        <f>#REF!</f>
        <v>#REF!</v>
      </c>
    </row>
    <row r="267" spans="5:5" x14ac:dyDescent="0.25">
      <c r="E267" t="e">
        <f>#REF!</f>
        <v>#REF!</v>
      </c>
    </row>
    <row r="268" spans="5:5" x14ac:dyDescent="0.25">
      <c r="E268" t="e">
        <f>#REF!</f>
        <v>#REF!</v>
      </c>
    </row>
    <row r="269" spans="5:5" x14ac:dyDescent="0.25">
      <c r="E269" t="e">
        <f>#REF!</f>
        <v>#REF!</v>
      </c>
    </row>
    <row r="270" spans="5:5" x14ac:dyDescent="0.25">
      <c r="E270" t="e">
        <f>#REF!</f>
        <v>#REF!</v>
      </c>
    </row>
    <row r="271" spans="5:5" x14ac:dyDescent="0.25">
      <c r="E271" t="e">
        <f>#REF!</f>
        <v>#REF!</v>
      </c>
    </row>
    <row r="272" spans="5:5" x14ac:dyDescent="0.25">
      <c r="E272" t="e">
        <f>#REF!</f>
        <v>#REF!</v>
      </c>
    </row>
    <row r="273" spans="5:5" x14ac:dyDescent="0.25">
      <c r="E273" t="e">
        <f>#REF!</f>
        <v>#REF!</v>
      </c>
    </row>
    <row r="274" spans="5:5" x14ac:dyDescent="0.25">
      <c r="E274" t="e">
        <f>#REF!</f>
        <v>#REF!</v>
      </c>
    </row>
    <row r="275" spans="5:5" x14ac:dyDescent="0.25">
      <c r="E275" t="e">
        <f>#REF!</f>
        <v>#REF!</v>
      </c>
    </row>
    <row r="276" spans="5:5" x14ac:dyDescent="0.25">
      <c r="E276" t="e">
        <f>#REF!</f>
        <v>#REF!</v>
      </c>
    </row>
    <row r="277" spans="5:5" x14ac:dyDescent="0.25">
      <c r="E277" t="e">
        <f>#REF!</f>
        <v>#REF!</v>
      </c>
    </row>
    <row r="278" spans="5:5" x14ac:dyDescent="0.25">
      <c r="E278" t="e">
        <f>#REF!</f>
        <v>#REF!</v>
      </c>
    </row>
    <row r="279" spans="5:5" x14ac:dyDescent="0.25">
      <c r="E279" t="e">
        <f>#REF!</f>
        <v>#REF!</v>
      </c>
    </row>
    <row r="280" spans="5:5" x14ac:dyDescent="0.25">
      <c r="E280" t="e">
        <f>#REF!</f>
        <v>#REF!</v>
      </c>
    </row>
    <row r="281" spans="5:5" x14ac:dyDescent="0.25">
      <c r="E281" t="e">
        <f>#REF!</f>
        <v>#REF!</v>
      </c>
    </row>
    <row r="282" spans="5:5" x14ac:dyDescent="0.25">
      <c r="E282" t="e">
        <f>#REF!</f>
        <v>#REF!</v>
      </c>
    </row>
    <row r="283" spans="5:5" x14ac:dyDescent="0.25">
      <c r="E283" t="e">
        <f>#REF!</f>
        <v>#REF!</v>
      </c>
    </row>
    <row r="284" spans="5:5" x14ac:dyDescent="0.25">
      <c r="E284" t="e">
        <f>#REF!</f>
        <v>#REF!</v>
      </c>
    </row>
    <row r="285" spans="5:5" x14ac:dyDescent="0.25">
      <c r="E285" t="e">
        <f>#REF!</f>
        <v>#REF!</v>
      </c>
    </row>
    <row r="286" spans="5:5" x14ac:dyDescent="0.25">
      <c r="E286" t="e">
        <f>#REF!</f>
        <v>#REF!</v>
      </c>
    </row>
    <row r="287" spans="5:5" x14ac:dyDescent="0.25">
      <c r="E287" t="e">
        <f>#REF!</f>
        <v>#REF!</v>
      </c>
    </row>
    <row r="288" spans="5:5" x14ac:dyDescent="0.25">
      <c r="E288" t="e">
        <f>#REF!</f>
        <v>#REF!</v>
      </c>
    </row>
    <row r="289" spans="5:5" x14ac:dyDescent="0.25">
      <c r="E289" t="e">
        <f>#REF!</f>
        <v>#REF!</v>
      </c>
    </row>
    <row r="290" spans="5:5" x14ac:dyDescent="0.25">
      <c r="E290" t="e">
        <f>#REF!</f>
        <v>#REF!</v>
      </c>
    </row>
    <row r="291" spans="5:5" x14ac:dyDescent="0.25">
      <c r="E291" t="e">
        <f>#REF!</f>
        <v>#REF!</v>
      </c>
    </row>
    <row r="292" spans="5:5" x14ac:dyDescent="0.25">
      <c r="E292" t="e">
        <f>#REF!</f>
        <v>#REF!</v>
      </c>
    </row>
    <row r="293" spans="5:5" x14ac:dyDescent="0.25">
      <c r="E293" t="e">
        <f>#REF!</f>
        <v>#REF!</v>
      </c>
    </row>
    <row r="294" spans="5:5" x14ac:dyDescent="0.25">
      <c r="E294" t="e">
        <f>#REF!</f>
        <v>#REF!</v>
      </c>
    </row>
    <row r="295" spans="5:5" x14ac:dyDescent="0.25">
      <c r="E295" t="e">
        <f>#REF!</f>
        <v>#REF!</v>
      </c>
    </row>
    <row r="296" spans="5:5" x14ac:dyDescent="0.25">
      <c r="E296" t="e">
        <f>#REF!</f>
        <v>#REF!</v>
      </c>
    </row>
    <row r="297" spans="5:5" x14ac:dyDescent="0.25">
      <c r="E297" t="e">
        <f>#REF!</f>
        <v>#REF!</v>
      </c>
    </row>
    <row r="298" spans="5:5" x14ac:dyDescent="0.25">
      <c r="E298" t="e">
        <f>#REF!</f>
        <v>#REF!</v>
      </c>
    </row>
    <row r="299" spans="5:5" x14ac:dyDescent="0.25">
      <c r="E299" t="e">
        <f>#REF!</f>
        <v>#REF!</v>
      </c>
    </row>
    <row r="300" spans="5:5" x14ac:dyDescent="0.25">
      <c r="E300" t="e">
        <f>#REF!</f>
        <v>#REF!</v>
      </c>
    </row>
    <row r="301" spans="5:5" x14ac:dyDescent="0.25">
      <c r="E301" t="e">
        <f>#REF!</f>
        <v>#REF!</v>
      </c>
    </row>
    <row r="302" spans="5:5" x14ac:dyDescent="0.25">
      <c r="E302" t="e">
        <f>#REF!</f>
        <v>#REF!</v>
      </c>
    </row>
    <row r="303" spans="5:5" x14ac:dyDescent="0.25">
      <c r="E303" t="e">
        <f>#REF!</f>
        <v>#REF!</v>
      </c>
    </row>
    <row r="304" spans="5:5" x14ac:dyDescent="0.25">
      <c r="E304" t="e">
        <f>#REF!</f>
        <v>#REF!</v>
      </c>
    </row>
    <row r="305" spans="5:5" x14ac:dyDescent="0.25">
      <c r="E305" t="e">
        <f>#REF!</f>
        <v>#REF!</v>
      </c>
    </row>
    <row r="306" spans="5:5" x14ac:dyDescent="0.25">
      <c r="E306" t="e">
        <f>#REF!</f>
        <v>#REF!</v>
      </c>
    </row>
    <row r="307" spans="5:5" x14ac:dyDescent="0.25">
      <c r="E307" t="e">
        <f>#REF!</f>
        <v>#REF!</v>
      </c>
    </row>
    <row r="308" spans="5:5" x14ac:dyDescent="0.25">
      <c r="E308" t="e">
        <f>#REF!</f>
        <v>#REF!</v>
      </c>
    </row>
    <row r="309" spans="5:5" x14ac:dyDescent="0.25">
      <c r="E309" t="e">
        <f>#REF!</f>
        <v>#REF!</v>
      </c>
    </row>
    <row r="310" spans="5:5" x14ac:dyDescent="0.25">
      <c r="E310" t="e">
        <f>#REF!</f>
        <v>#REF!</v>
      </c>
    </row>
    <row r="311" spans="5:5" x14ac:dyDescent="0.25">
      <c r="E311" t="e">
        <f>#REF!</f>
        <v>#REF!</v>
      </c>
    </row>
    <row r="312" spans="5:5" x14ac:dyDescent="0.25">
      <c r="E312" t="e">
        <f>#REF!</f>
        <v>#REF!</v>
      </c>
    </row>
    <row r="313" spans="5:5" x14ac:dyDescent="0.25">
      <c r="E313" t="e">
        <f>#REF!</f>
        <v>#REF!</v>
      </c>
    </row>
    <row r="314" spans="5:5" x14ac:dyDescent="0.25">
      <c r="E314" t="e">
        <f>#REF!</f>
        <v>#REF!</v>
      </c>
    </row>
    <row r="315" spans="5:5" x14ac:dyDescent="0.25">
      <c r="E315" t="e">
        <f>#REF!</f>
        <v>#REF!</v>
      </c>
    </row>
    <row r="316" spans="5:5" x14ac:dyDescent="0.25">
      <c r="E316" t="e">
        <f>#REF!</f>
        <v>#REF!</v>
      </c>
    </row>
    <row r="317" spans="5:5" x14ac:dyDescent="0.25">
      <c r="E317" t="e">
        <f>#REF!</f>
        <v>#REF!</v>
      </c>
    </row>
    <row r="318" spans="5:5" x14ac:dyDescent="0.25">
      <c r="E318" t="e">
        <f>#REF!</f>
        <v>#REF!</v>
      </c>
    </row>
    <row r="319" spans="5:5" x14ac:dyDescent="0.25">
      <c r="E319" t="e">
        <f>#REF!</f>
        <v>#REF!</v>
      </c>
    </row>
    <row r="320" spans="5:5" x14ac:dyDescent="0.25">
      <c r="E320" t="e">
        <f>#REF!</f>
        <v>#REF!</v>
      </c>
    </row>
    <row r="321" spans="5:5" x14ac:dyDescent="0.25">
      <c r="E321" t="e">
        <f>#REF!</f>
        <v>#REF!</v>
      </c>
    </row>
    <row r="322" spans="5:5" x14ac:dyDescent="0.25">
      <c r="E322" t="e">
        <f>#REF!</f>
        <v>#REF!</v>
      </c>
    </row>
    <row r="323" spans="5:5" x14ac:dyDescent="0.25">
      <c r="E323" t="e">
        <f>#REF!</f>
        <v>#REF!</v>
      </c>
    </row>
    <row r="324" spans="5:5" x14ac:dyDescent="0.25">
      <c r="E324" t="e">
        <f>#REF!</f>
        <v>#REF!</v>
      </c>
    </row>
    <row r="325" spans="5:5" x14ac:dyDescent="0.25">
      <c r="E325" t="e">
        <f>#REF!</f>
        <v>#REF!</v>
      </c>
    </row>
    <row r="326" spans="5:5" x14ac:dyDescent="0.25">
      <c r="E326" t="e">
        <f>#REF!</f>
        <v>#REF!</v>
      </c>
    </row>
    <row r="327" spans="5:5" x14ac:dyDescent="0.25">
      <c r="E327" t="e">
        <f>#REF!</f>
        <v>#REF!</v>
      </c>
    </row>
    <row r="328" spans="5:5" x14ac:dyDescent="0.25">
      <c r="E328" t="e">
        <f>#REF!</f>
        <v>#REF!</v>
      </c>
    </row>
    <row r="329" spans="5:5" x14ac:dyDescent="0.25">
      <c r="E329" t="e">
        <f>#REF!</f>
        <v>#REF!</v>
      </c>
    </row>
    <row r="330" spans="5:5" x14ac:dyDescent="0.25">
      <c r="E330" t="e">
        <f>#REF!</f>
        <v>#REF!</v>
      </c>
    </row>
    <row r="331" spans="5:5" x14ac:dyDescent="0.25">
      <c r="E331" t="e">
        <f>#REF!</f>
        <v>#REF!</v>
      </c>
    </row>
    <row r="332" spans="5:5" x14ac:dyDescent="0.25">
      <c r="E332" t="e">
        <f>#REF!</f>
        <v>#REF!</v>
      </c>
    </row>
    <row r="333" spans="5:5" x14ac:dyDescent="0.25">
      <c r="E333" t="e">
        <f>#REF!</f>
        <v>#REF!</v>
      </c>
    </row>
    <row r="334" spans="5:5" x14ac:dyDescent="0.25">
      <c r="E334" t="e">
        <f>#REF!</f>
        <v>#REF!</v>
      </c>
    </row>
    <row r="335" spans="5:5" x14ac:dyDescent="0.25">
      <c r="E335" t="e">
        <f>#REF!</f>
        <v>#REF!</v>
      </c>
    </row>
    <row r="336" spans="5:5" x14ac:dyDescent="0.25">
      <c r="E336" t="e">
        <f>#REF!</f>
        <v>#REF!</v>
      </c>
    </row>
    <row r="337" spans="5:5" x14ac:dyDescent="0.25">
      <c r="E337" t="e">
        <f>#REF!</f>
        <v>#REF!</v>
      </c>
    </row>
    <row r="338" spans="5:5" x14ac:dyDescent="0.25">
      <c r="E338" t="e">
        <f>#REF!</f>
        <v>#REF!</v>
      </c>
    </row>
    <row r="339" spans="5:5" x14ac:dyDescent="0.25">
      <c r="E339" t="e">
        <f>#REF!</f>
        <v>#REF!</v>
      </c>
    </row>
    <row r="340" spans="5:5" x14ac:dyDescent="0.25">
      <c r="E340" t="e">
        <f>#REF!</f>
        <v>#REF!</v>
      </c>
    </row>
    <row r="341" spans="5:5" x14ac:dyDescent="0.25">
      <c r="E341" t="e">
        <f>#REF!</f>
        <v>#REF!</v>
      </c>
    </row>
    <row r="342" spans="5:5" x14ac:dyDescent="0.25">
      <c r="E342" t="e">
        <f>#REF!</f>
        <v>#REF!</v>
      </c>
    </row>
    <row r="343" spans="5:5" x14ac:dyDescent="0.25">
      <c r="E343" t="e">
        <f>#REF!</f>
        <v>#REF!</v>
      </c>
    </row>
    <row r="344" spans="5:5" x14ac:dyDescent="0.25">
      <c r="E344" t="e">
        <f>#REF!</f>
        <v>#REF!</v>
      </c>
    </row>
    <row r="345" spans="5:5" x14ac:dyDescent="0.25">
      <c r="E345" t="e">
        <f>#REF!</f>
        <v>#REF!</v>
      </c>
    </row>
    <row r="346" spans="5:5" x14ac:dyDescent="0.25">
      <c r="E346" t="e">
        <f>#REF!</f>
        <v>#REF!</v>
      </c>
    </row>
    <row r="347" spans="5:5" x14ac:dyDescent="0.25">
      <c r="E347" t="e">
        <f>#REF!</f>
        <v>#REF!</v>
      </c>
    </row>
    <row r="348" spans="5:5" x14ac:dyDescent="0.25">
      <c r="E348" t="e">
        <f>#REF!</f>
        <v>#REF!</v>
      </c>
    </row>
    <row r="349" spans="5:5" x14ac:dyDescent="0.25">
      <c r="E349" t="e">
        <f>#REF!</f>
        <v>#REF!</v>
      </c>
    </row>
    <row r="350" spans="5:5" x14ac:dyDescent="0.25">
      <c r="E350" t="e">
        <f>#REF!</f>
        <v>#REF!</v>
      </c>
    </row>
    <row r="351" spans="5:5" x14ac:dyDescent="0.25">
      <c r="E351" t="e">
        <f>#REF!</f>
        <v>#REF!</v>
      </c>
    </row>
    <row r="352" spans="5:5" x14ac:dyDescent="0.25">
      <c r="E352" t="e">
        <f>#REF!</f>
        <v>#REF!</v>
      </c>
    </row>
    <row r="353" spans="5:5" x14ac:dyDescent="0.25">
      <c r="E353" t="e">
        <f>#REF!</f>
        <v>#REF!</v>
      </c>
    </row>
    <row r="354" spans="5:5" x14ac:dyDescent="0.25">
      <c r="E354" t="e">
        <f>#REF!</f>
        <v>#REF!</v>
      </c>
    </row>
    <row r="355" spans="5:5" x14ac:dyDescent="0.25">
      <c r="E355" t="e">
        <f>#REF!</f>
        <v>#REF!</v>
      </c>
    </row>
    <row r="356" spans="5:5" x14ac:dyDescent="0.25">
      <c r="E356" t="e">
        <f>#REF!</f>
        <v>#REF!</v>
      </c>
    </row>
    <row r="357" spans="5:5" x14ac:dyDescent="0.25">
      <c r="E357" t="e">
        <f>#REF!</f>
        <v>#REF!</v>
      </c>
    </row>
    <row r="358" spans="5:5" x14ac:dyDescent="0.25">
      <c r="E358" t="e">
        <f>#REF!</f>
        <v>#REF!</v>
      </c>
    </row>
    <row r="359" spans="5:5" x14ac:dyDescent="0.25">
      <c r="E359" t="e">
        <f>#REF!</f>
        <v>#REF!</v>
      </c>
    </row>
    <row r="360" spans="5:5" x14ac:dyDescent="0.25">
      <c r="E360" t="e">
        <f>#REF!</f>
        <v>#REF!</v>
      </c>
    </row>
    <row r="361" spans="5:5" x14ac:dyDescent="0.25">
      <c r="E361" t="e">
        <f>#REF!</f>
        <v>#REF!</v>
      </c>
    </row>
    <row r="362" spans="5:5" x14ac:dyDescent="0.25">
      <c r="E362" t="e">
        <f>#REF!</f>
        <v>#REF!</v>
      </c>
    </row>
    <row r="363" spans="5:5" x14ac:dyDescent="0.25">
      <c r="E363" t="e">
        <f>#REF!</f>
        <v>#REF!</v>
      </c>
    </row>
    <row r="364" spans="5:5" x14ac:dyDescent="0.25">
      <c r="E364" t="e">
        <f>#REF!</f>
        <v>#REF!</v>
      </c>
    </row>
    <row r="365" spans="5:5" x14ac:dyDescent="0.25">
      <c r="E365" t="e">
        <f>#REF!</f>
        <v>#REF!</v>
      </c>
    </row>
    <row r="366" spans="5:5" x14ac:dyDescent="0.25">
      <c r="E366" t="e">
        <f>#REF!</f>
        <v>#REF!</v>
      </c>
    </row>
    <row r="367" spans="5:5" x14ac:dyDescent="0.25">
      <c r="E367" t="e">
        <f>#REF!</f>
        <v>#REF!</v>
      </c>
    </row>
    <row r="368" spans="5:5" x14ac:dyDescent="0.25">
      <c r="E368" t="e">
        <f>#REF!</f>
        <v>#REF!</v>
      </c>
    </row>
    <row r="369" spans="5:5" x14ac:dyDescent="0.25">
      <c r="E369" t="e">
        <f>#REF!</f>
        <v>#REF!</v>
      </c>
    </row>
    <row r="370" spans="5:5" x14ac:dyDescent="0.25">
      <c r="E370" t="e">
        <f>#REF!</f>
        <v>#REF!</v>
      </c>
    </row>
    <row r="371" spans="5:5" x14ac:dyDescent="0.25">
      <c r="E371" t="e">
        <f>#REF!</f>
        <v>#REF!</v>
      </c>
    </row>
    <row r="372" spans="5:5" x14ac:dyDescent="0.25">
      <c r="E372" t="e">
        <f>#REF!</f>
        <v>#REF!</v>
      </c>
    </row>
    <row r="373" spans="5:5" x14ac:dyDescent="0.25">
      <c r="E373" t="e">
        <f>#REF!</f>
        <v>#REF!</v>
      </c>
    </row>
    <row r="374" spans="5:5" x14ac:dyDescent="0.25">
      <c r="E374" t="e">
        <f>#REF!</f>
        <v>#REF!</v>
      </c>
    </row>
    <row r="375" spans="5:5" x14ac:dyDescent="0.25">
      <c r="E375" t="e">
        <f>#REF!</f>
        <v>#REF!</v>
      </c>
    </row>
    <row r="376" spans="5:5" x14ac:dyDescent="0.25">
      <c r="E376" t="e">
        <f>#REF!</f>
        <v>#REF!</v>
      </c>
    </row>
    <row r="377" spans="5:5" x14ac:dyDescent="0.25">
      <c r="E377" t="e">
        <f>#REF!</f>
        <v>#REF!</v>
      </c>
    </row>
    <row r="378" spans="5:5" x14ac:dyDescent="0.25">
      <c r="E378" t="e">
        <f>#REF!</f>
        <v>#REF!</v>
      </c>
    </row>
    <row r="379" spans="5:5" x14ac:dyDescent="0.25">
      <c r="E379" t="e">
        <f>#REF!</f>
        <v>#REF!</v>
      </c>
    </row>
    <row r="380" spans="5:5" x14ac:dyDescent="0.25">
      <c r="E380" t="e">
        <f>#REF!</f>
        <v>#REF!</v>
      </c>
    </row>
    <row r="381" spans="5:5" x14ac:dyDescent="0.25">
      <c r="E381" t="e">
        <f>#REF!</f>
        <v>#REF!</v>
      </c>
    </row>
    <row r="382" spans="5:5" x14ac:dyDescent="0.25">
      <c r="E382" t="e">
        <f>#REF!</f>
        <v>#REF!</v>
      </c>
    </row>
    <row r="383" spans="5:5" x14ac:dyDescent="0.25">
      <c r="E383" t="e">
        <f>#REF!</f>
        <v>#REF!</v>
      </c>
    </row>
    <row r="384" spans="5:5" x14ac:dyDescent="0.25">
      <c r="E384" t="e">
        <f>#REF!</f>
        <v>#REF!</v>
      </c>
    </row>
    <row r="385" spans="5:5" x14ac:dyDescent="0.25">
      <c r="E385" t="e">
        <f>#REF!</f>
        <v>#REF!</v>
      </c>
    </row>
    <row r="386" spans="5:5" x14ac:dyDescent="0.25">
      <c r="E386" t="e">
        <f>#REF!</f>
        <v>#REF!</v>
      </c>
    </row>
    <row r="387" spans="5:5" x14ac:dyDescent="0.25">
      <c r="E387" t="e">
        <f>#REF!</f>
        <v>#REF!</v>
      </c>
    </row>
    <row r="388" spans="5:5" x14ac:dyDescent="0.25">
      <c r="E388" t="e">
        <f>#REF!</f>
        <v>#REF!</v>
      </c>
    </row>
    <row r="389" spans="5:5" x14ac:dyDescent="0.25">
      <c r="E389" t="e">
        <f>#REF!</f>
        <v>#REF!</v>
      </c>
    </row>
    <row r="390" spans="5:5" x14ac:dyDescent="0.25">
      <c r="E390" t="e">
        <f>#REF!</f>
        <v>#REF!</v>
      </c>
    </row>
    <row r="391" spans="5:5" x14ac:dyDescent="0.25">
      <c r="E391" t="e">
        <f>#REF!</f>
        <v>#REF!</v>
      </c>
    </row>
    <row r="392" spans="5:5" x14ac:dyDescent="0.25">
      <c r="E392" t="e">
        <f>#REF!</f>
        <v>#REF!</v>
      </c>
    </row>
    <row r="393" spans="5:5" x14ac:dyDescent="0.25">
      <c r="E393" t="e">
        <f>#REF!</f>
        <v>#REF!</v>
      </c>
    </row>
    <row r="394" spans="5:5" x14ac:dyDescent="0.25">
      <c r="E394" t="e">
        <f>#REF!</f>
        <v>#REF!</v>
      </c>
    </row>
    <row r="395" spans="5:5" x14ac:dyDescent="0.25">
      <c r="E395" t="e">
        <f>#REF!</f>
        <v>#REF!</v>
      </c>
    </row>
    <row r="396" spans="5:5" x14ac:dyDescent="0.25">
      <c r="E396" t="e">
        <f>#REF!</f>
        <v>#REF!</v>
      </c>
    </row>
    <row r="397" spans="5:5" x14ac:dyDescent="0.25">
      <c r="E397" t="e">
        <f>#REF!</f>
        <v>#REF!</v>
      </c>
    </row>
    <row r="398" spans="5:5" x14ac:dyDescent="0.25">
      <c r="E398" t="e">
        <f>#REF!</f>
        <v>#REF!</v>
      </c>
    </row>
    <row r="399" spans="5:5" x14ac:dyDescent="0.25">
      <c r="E399" t="e">
        <f>#REF!</f>
        <v>#REF!</v>
      </c>
    </row>
    <row r="400" spans="5:5" x14ac:dyDescent="0.25">
      <c r="E400" t="e">
        <f>#REF!</f>
        <v>#REF!</v>
      </c>
    </row>
    <row r="401" spans="5:5" x14ac:dyDescent="0.25">
      <c r="E401" t="e">
        <f>#REF!</f>
        <v>#REF!</v>
      </c>
    </row>
    <row r="402" spans="5:5" x14ac:dyDescent="0.25">
      <c r="E402" t="e">
        <f>#REF!</f>
        <v>#REF!</v>
      </c>
    </row>
    <row r="403" spans="5:5" x14ac:dyDescent="0.25">
      <c r="E403" t="e">
        <f>#REF!</f>
        <v>#REF!</v>
      </c>
    </row>
    <row r="404" spans="5:5" x14ac:dyDescent="0.25">
      <c r="E404" t="e">
        <f>#REF!</f>
        <v>#REF!</v>
      </c>
    </row>
    <row r="405" spans="5:5" x14ac:dyDescent="0.25">
      <c r="E405" t="e">
        <f>#REF!</f>
        <v>#REF!</v>
      </c>
    </row>
    <row r="406" spans="5:5" x14ac:dyDescent="0.25">
      <c r="E406" t="e">
        <f>#REF!</f>
        <v>#REF!</v>
      </c>
    </row>
    <row r="407" spans="5:5" x14ac:dyDescent="0.25">
      <c r="E407" t="e">
        <f>#REF!</f>
        <v>#REF!</v>
      </c>
    </row>
    <row r="408" spans="5:5" x14ac:dyDescent="0.25">
      <c r="E408" t="e">
        <f>#REF!</f>
        <v>#REF!</v>
      </c>
    </row>
    <row r="409" spans="5:5" x14ac:dyDescent="0.25">
      <c r="E409" t="e">
        <f>#REF!</f>
        <v>#REF!</v>
      </c>
    </row>
    <row r="410" spans="5:5" x14ac:dyDescent="0.25">
      <c r="E410" t="e">
        <f>#REF!</f>
        <v>#REF!</v>
      </c>
    </row>
    <row r="411" spans="5:5" x14ac:dyDescent="0.25">
      <c r="E411" t="e">
        <f>#REF!</f>
        <v>#REF!</v>
      </c>
    </row>
    <row r="412" spans="5:5" x14ac:dyDescent="0.25">
      <c r="E412" t="e">
        <f>#REF!</f>
        <v>#REF!</v>
      </c>
    </row>
    <row r="413" spans="5:5" x14ac:dyDescent="0.25">
      <c r="E413" t="e">
        <f>#REF!</f>
        <v>#REF!</v>
      </c>
    </row>
    <row r="414" spans="5:5" x14ac:dyDescent="0.25">
      <c r="E414" t="e">
        <f>#REF!</f>
        <v>#REF!</v>
      </c>
    </row>
    <row r="415" spans="5:5" x14ac:dyDescent="0.25">
      <c r="E415" t="e">
        <f>#REF!</f>
        <v>#REF!</v>
      </c>
    </row>
    <row r="416" spans="5:5" x14ac:dyDescent="0.25">
      <c r="E416" t="e">
        <f>#REF!</f>
        <v>#REF!</v>
      </c>
    </row>
    <row r="417" spans="5:5" x14ac:dyDescent="0.25">
      <c r="E417" t="e">
        <f>#REF!</f>
        <v>#REF!</v>
      </c>
    </row>
    <row r="418" spans="5:5" x14ac:dyDescent="0.25">
      <c r="E418" t="e">
        <f>#REF!</f>
        <v>#REF!</v>
      </c>
    </row>
    <row r="419" spans="5:5" x14ac:dyDescent="0.25">
      <c r="E419" t="e">
        <f>#REF!</f>
        <v>#REF!</v>
      </c>
    </row>
    <row r="420" spans="5:5" x14ac:dyDescent="0.25">
      <c r="E420" t="e">
        <f>#REF!</f>
        <v>#REF!</v>
      </c>
    </row>
    <row r="421" spans="5:5" x14ac:dyDescent="0.25">
      <c r="E421" t="e">
        <f>#REF!</f>
        <v>#REF!</v>
      </c>
    </row>
    <row r="422" spans="5:5" x14ac:dyDescent="0.25">
      <c r="E422" t="e">
        <f>#REF!</f>
        <v>#REF!</v>
      </c>
    </row>
    <row r="423" spans="5:5" x14ac:dyDescent="0.25">
      <c r="E423" t="e">
        <f>#REF!</f>
        <v>#REF!</v>
      </c>
    </row>
    <row r="424" spans="5:5" x14ac:dyDescent="0.25">
      <c r="E424" t="e">
        <f>#REF!</f>
        <v>#REF!</v>
      </c>
    </row>
    <row r="425" spans="5:5" x14ac:dyDescent="0.25">
      <c r="E425" t="e">
        <f>#REF!</f>
        <v>#REF!</v>
      </c>
    </row>
    <row r="426" spans="5:5" x14ac:dyDescent="0.25">
      <c r="E426" t="e">
        <f>#REF!</f>
        <v>#REF!</v>
      </c>
    </row>
    <row r="427" spans="5:5" x14ac:dyDescent="0.25">
      <c r="E427" t="e">
        <f>#REF!</f>
        <v>#REF!</v>
      </c>
    </row>
    <row r="428" spans="5:5" x14ac:dyDescent="0.25">
      <c r="E428" t="e">
        <f>#REF!</f>
        <v>#REF!</v>
      </c>
    </row>
    <row r="429" spans="5:5" x14ac:dyDescent="0.25">
      <c r="E429" t="e">
        <f>#REF!</f>
        <v>#REF!</v>
      </c>
    </row>
    <row r="430" spans="5:5" x14ac:dyDescent="0.25">
      <c r="E430" t="e">
        <f>#REF!</f>
        <v>#REF!</v>
      </c>
    </row>
    <row r="431" spans="5:5" x14ac:dyDescent="0.25">
      <c r="E431" t="e">
        <f>#REF!</f>
        <v>#REF!</v>
      </c>
    </row>
    <row r="432" spans="5:5" x14ac:dyDescent="0.25">
      <c r="E432" t="e">
        <f>#REF!</f>
        <v>#REF!</v>
      </c>
    </row>
    <row r="433" spans="5:5" x14ac:dyDescent="0.25">
      <c r="E433" t="e">
        <f>#REF!</f>
        <v>#REF!</v>
      </c>
    </row>
    <row r="434" spans="5:5" x14ac:dyDescent="0.25">
      <c r="E434" t="e">
        <f>#REF!</f>
        <v>#REF!</v>
      </c>
    </row>
    <row r="435" spans="5:5" x14ac:dyDescent="0.25">
      <c r="E435" t="e">
        <f>#REF!</f>
        <v>#REF!</v>
      </c>
    </row>
    <row r="436" spans="5:5" x14ac:dyDescent="0.25">
      <c r="E436" t="e">
        <f>#REF!</f>
        <v>#REF!</v>
      </c>
    </row>
    <row r="437" spans="5:5" x14ac:dyDescent="0.25">
      <c r="E437" t="e">
        <f>#REF!</f>
        <v>#REF!</v>
      </c>
    </row>
    <row r="438" spans="5:5" x14ac:dyDescent="0.25">
      <c r="E438" t="e">
        <f>#REF!</f>
        <v>#REF!</v>
      </c>
    </row>
    <row r="439" spans="5:5" x14ac:dyDescent="0.25">
      <c r="E439" t="e">
        <f>#REF!</f>
        <v>#REF!</v>
      </c>
    </row>
    <row r="440" spans="5:5" x14ac:dyDescent="0.25">
      <c r="E440" t="e">
        <f>#REF!</f>
        <v>#REF!</v>
      </c>
    </row>
    <row r="441" spans="5:5" x14ac:dyDescent="0.25">
      <c r="E441" t="e">
        <f>#REF!</f>
        <v>#REF!</v>
      </c>
    </row>
    <row r="442" spans="5:5" x14ac:dyDescent="0.25">
      <c r="E442" t="e">
        <f>#REF!</f>
        <v>#REF!</v>
      </c>
    </row>
    <row r="443" spans="5:5" x14ac:dyDescent="0.25">
      <c r="E443" t="e">
        <f>#REF!</f>
        <v>#REF!</v>
      </c>
    </row>
    <row r="444" spans="5:5" x14ac:dyDescent="0.25">
      <c r="E444" t="e">
        <f>#REF!</f>
        <v>#REF!</v>
      </c>
    </row>
    <row r="445" spans="5:5" x14ac:dyDescent="0.25">
      <c r="E445" t="e">
        <f>#REF!</f>
        <v>#REF!</v>
      </c>
    </row>
    <row r="446" spans="5:5" x14ac:dyDescent="0.25">
      <c r="E446" t="e">
        <f>#REF!</f>
        <v>#REF!</v>
      </c>
    </row>
    <row r="447" spans="5:5" x14ac:dyDescent="0.25">
      <c r="E447" t="e">
        <f>#REF!</f>
        <v>#REF!</v>
      </c>
    </row>
    <row r="448" spans="5:5" x14ac:dyDescent="0.25">
      <c r="E448" t="e">
        <f>#REF!</f>
        <v>#REF!</v>
      </c>
    </row>
    <row r="449" spans="5:5" x14ac:dyDescent="0.25">
      <c r="E449" t="e">
        <f>#REF!</f>
        <v>#REF!</v>
      </c>
    </row>
    <row r="450" spans="5:5" x14ac:dyDescent="0.25">
      <c r="E450" t="e">
        <f>#REF!</f>
        <v>#REF!</v>
      </c>
    </row>
    <row r="451" spans="5:5" x14ac:dyDescent="0.25">
      <c r="E451" t="e">
        <f>#REF!</f>
        <v>#REF!</v>
      </c>
    </row>
    <row r="452" spans="5:5" x14ac:dyDescent="0.25">
      <c r="E452" t="e">
        <f>#REF!</f>
        <v>#REF!</v>
      </c>
    </row>
    <row r="453" spans="5:5" x14ac:dyDescent="0.25">
      <c r="E453" t="e">
        <f>#REF!</f>
        <v>#REF!</v>
      </c>
    </row>
    <row r="454" spans="5:5" x14ac:dyDescent="0.25">
      <c r="E454" t="e">
        <f>#REF!</f>
        <v>#REF!</v>
      </c>
    </row>
    <row r="455" spans="5:5" x14ac:dyDescent="0.25">
      <c r="E455" t="e">
        <f>#REF!</f>
        <v>#REF!</v>
      </c>
    </row>
    <row r="456" spans="5:5" x14ac:dyDescent="0.25">
      <c r="E456" t="e">
        <f>#REF!</f>
        <v>#REF!</v>
      </c>
    </row>
    <row r="457" spans="5:5" x14ac:dyDescent="0.25">
      <c r="E457" t="e">
        <f>#REF!</f>
        <v>#REF!</v>
      </c>
    </row>
    <row r="458" spans="5:5" x14ac:dyDescent="0.25">
      <c r="E458" t="e">
        <f>#REF!</f>
        <v>#REF!</v>
      </c>
    </row>
    <row r="459" spans="5:5" x14ac:dyDescent="0.25">
      <c r="E459" t="e">
        <f>#REF!</f>
        <v>#REF!</v>
      </c>
    </row>
    <row r="460" spans="5:5" x14ac:dyDescent="0.25">
      <c r="E460" t="e">
        <f>#REF!</f>
        <v>#REF!</v>
      </c>
    </row>
    <row r="461" spans="5:5" x14ac:dyDescent="0.25">
      <c r="E461" t="e">
        <f>#REF!</f>
        <v>#REF!</v>
      </c>
    </row>
    <row r="462" spans="5:5" x14ac:dyDescent="0.25">
      <c r="E462" t="e">
        <f>#REF!</f>
        <v>#REF!</v>
      </c>
    </row>
    <row r="463" spans="5:5" x14ac:dyDescent="0.25">
      <c r="E463" t="e">
        <f>#REF!</f>
        <v>#REF!</v>
      </c>
    </row>
    <row r="464" spans="5:5" x14ac:dyDescent="0.25">
      <c r="E464" t="e">
        <f>#REF!</f>
        <v>#REF!</v>
      </c>
    </row>
    <row r="465" spans="5:5" x14ac:dyDescent="0.25">
      <c r="E465" t="e">
        <f>#REF!</f>
        <v>#REF!</v>
      </c>
    </row>
    <row r="466" spans="5:5" x14ac:dyDescent="0.25">
      <c r="E466" t="e">
        <f>#REF!</f>
        <v>#REF!</v>
      </c>
    </row>
    <row r="467" spans="5:5" x14ac:dyDescent="0.25">
      <c r="E467" t="e">
        <f>#REF!</f>
        <v>#REF!</v>
      </c>
    </row>
    <row r="468" spans="5:5" x14ac:dyDescent="0.25">
      <c r="E468" t="e">
        <f>#REF!</f>
        <v>#REF!</v>
      </c>
    </row>
    <row r="469" spans="5:5" x14ac:dyDescent="0.25">
      <c r="E469" t="e">
        <f>#REF!</f>
        <v>#REF!</v>
      </c>
    </row>
    <row r="470" spans="5:5" x14ac:dyDescent="0.25">
      <c r="E470" t="e">
        <f>#REF!</f>
        <v>#REF!</v>
      </c>
    </row>
    <row r="471" spans="5:5" x14ac:dyDescent="0.25">
      <c r="E471" t="e">
        <f>#REF!</f>
        <v>#REF!</v>
      </c>
    </row>
    <row r="472" spans="5:5" x14ac:dyDescent="0.25">
      <c r="E472" t="e">
        <f>#REF!</f>
        <v>#REF!</v>
      </c>
    </row>
    <row r="473" spans="5:5" x14ac:dyDescent="0.25">
      <c r="E473" t="e">
        <f>#REF!</f>
        <v>#REF!</v>
      </c>
    </row>
    <row r="474" spans="5:5" x14ac:dyDescent="0.25">
      <c r="E474" t="e">
        <f>#REF!</f>
        <v>#REF!</v>
      </c>
    </row>
    <row r="475" spans="5:5" x14ac:dyDescent="0.25">
      <c r="E475" t="e">
        <f>#REF!</f>
        <v>#REF!</v>
      </c>
    </row>
    <row r="476" spans="5:5" x14ac:dyDescent="0.25">
      <c r="E476" t="e">
        <f>#REF!</f>
        <v>#REF!</v>
      </c>
    </row>
    <row r="477" spans="5:5" x14ac:dyDescent="0.25">
      <c r="E477" t="e">
        <f>#REF!</f>
        <v>#REF!</v>
      </c>
    </row>
    <row r="478" spans="5:5" x14ac:dyDescent="0.25">
      <c r="E478" t="e">
        <f>#REF!</f>
        <v>#REF!</v>
      </c>
    </row>
    <row r="479" spans="5:5" x14ac:dyDescent="0.25">
      <c r="E479" t="e">
        <f>#REF!</f>
        <v>#REF!</v>
      </c>
    </row>
    <row r="480" spans="5:5" x14ac:dyDescent="0.25">
      <c r="E480" t="e">
        <f>#REF!</f>
        <v>#REF!</v>
      </c>
    </row>
    <row r="481" spans="5:5" x14ac:dyDescent="0.25">
      <c r="E481" t="e">
        <f>#REF!</f>
        <v>#REF!</v>
      </c>
    </row>
    <row r="482" spans="5:5" x14ac:dyDescent="0.25">
      <c r="E482" t="e">
        <f>#REF!</f>
        <v>#REF!</v>
      </c>
    </row>
    <row r="483" spans="5:5" x14ac:dyDescent="0.25">
      <c r="E483" t="e">
        <f>#REF!</f>
        <v>#REF!</v>
      </c>
    </row>
    <row r="484" spans="5:5" x14ac:dyDescent="0.25">
      <c r="E484" t="e">
        <f>#REF!</f>
        <v>#REF!</v>
      </c>
    </row>
    <row r="485" spans="5:5" x14ac:dyDescent="0.25">
      <c r="E485" t="e">
        <f>#REF!</f>
        <v>#REF!</v>
      </c>
    </row>
    <row r="486" spans="5:5" x14ac:dyDescent="0.25">
      <c r="E486" t="e">
        <f>#REF!</f>
        <v>#REF!</v>
      </c>
    </row>
    <row r="487" spans="5:5" x14ac:dyDescent="0.25">
      <c r="E487" t="e">
        <f>#REF!</f>
        <v>#REF!</v>
      </c>
    </row>
    <row r="488" spans="5:5" x14ac:dyDescent="0.25">
      <c r="E488" t="e">
        <f>#REF!</f>
        <v>#REF!</v>
      </c>
    </row>
    <row r="489" spans="5:5" x14ac:dyDescent="0.25">
      <c r="E489" t="e">
        <f>#REF!</f>
        <v>#REF!</v>
      </c>
    </row>
    <row r="490" spans="5:5" x14ac:dyDescent="0.25">
      <c r="E490" t="e">
        <f>#REF!</f>
        <v>#REF!</v>
      </c>
    </row>
    <row r="491" spans="5:5" x14ac:dyDescent="0.25">
      <c r="E491" t="e">
        <f>#REF!</f>
        <v>#REF!</v>
      </c>
    </row>
    <row r="492" spans="5:5" x14ac:dyDescent="0.25">
      <c r="E492" t="e">
        <f>#REF!</f>
        <v>#REF!</v>
      </c>
    </row>
    <row r="493" spans="5:5" x14ac:dyDescent="0.25">
      <c r="E493" t="e">
        <f>#REF!</f>
        <v>#REF!</v>
      </c>
    </row>
    <row r="494" spans="5:5" x14ac:dyDescent="0.25">
      <c r="E494" t="e">
        <f>#REF!</f>
        <v>#REF!</v>
      </c>
    </row>
    <row r="495" spans="5:5" x14ac:dyDescent="0.25">
      <c r="E495" t="e">
        <f>#REF!</f>
        <v>#REF!</v>
      </c>
    </row>
    <row r="496" spans="5:5" x14ac:dyDescent="0.25">
      <c r="E496" t="e">
        <f>#REF!</f>
        <v>#REF!</v>
      </c>
    </row>
    <row r="497" spans="5:5" x14ac:dyDescent="0.25">
      <c r="E497" t="e">
        <f>#REF!</f>
        <v>#REF!</v>
      </c>
    </row>
    <row r="498" spans="5:5" x14ac:dyDescent="0.25">
      <c r="E498" t="e">
        <f>#REF!</f>
        <v>#REF!</v>
      </c>
    </row>
    <row r="499" spans="5:5" x14ac:dyDescent="0.25">
      <c r="E499" t="e">
        <f>#REF!</f>
        <v>#REF!</v>
      </c>
    </row>
    <row r="500" spans="5:5" x14ac:dyDescent="0.25">
      <c r="E500" t="e">
        <f>#REF!</f>
        <v>#REF!</v>
      </c>
    </row>
    <row r="501" spans="5:5" x14ac:dyDescent="0.25">
      <c r="E501" t="e">
        <f>#REF!</f>
        <v>#REF!</v>
      </c>
    </row>
    <row r="502" spans="5:5" x14ac:dyDescent="0.25">
      <c r="E502" t="e">
        <f>#REF!</f>
        <v>#REF!</v>
      </c>
    </row>
    <row r="503" spans="5:5" x14ac:dyDescent="0.25">
      <c r="E503" t="e">
        <f>#REF!</f>
        <v>#REF!</v>
      </c>
    </row>
    <row r="504" spans="5:5" x14ac:dyDescent="0.25">
      <c r="E504" t="e">
        <f>#REF!</f>
        <v>#REF!</v>
      </c>
    </row>
    <row r="505" spans="5:5" x14ac:dyDescent="0.25">
      <c r="E505" t="e">
        <f>#REF!</f>
        <v>#REF!</v>
      </c>
    </row>
    <row r="506" spans="5:5" x14ac:dyDescent="0.25">
      <c r="E506" t="e">
        <f>#REF!</f>
        <v>#REF!</v>
      </c>
    </row>
    <row r="507" spans="5:5" x14ac:dyDescent="0.25">
      <c r="E507" t="e">
        <f>#REF!</f>
        <v>#REF!</v>
      </c>
    </row>
    <row r="508" spans="5:5" x14ac:dyDescent="0.25">
      <c r="E508" t="e">
        <f>#REF!</f>
        <v>#REF!</v>
      </c>
    </row>
    <row r="509" spans="5:5" x14ac:dyDescent="0.25">
      <c r="E509" t="e">
        <f>#REF!</f>
        <v>#REF!</v>
      </c>
    </row>
    <row r="510" spans="5:5" x14ac:dyDescent="0.25">
      <c r="E510" t="e">
        <f>#REF!</f>
        <v>#REF!</v>
      </c>
    </row>
    <row r="511" spans="5:5" x14ac:dyDescent="0.25">
      <c r="E511" t="e">
        <f>#REF!</f>
        <v>#REF!</v>
      </c>
    </row>
    <row r="512" spans="5:5" x14ac:dyDescent="0.25">
      <c r="E512" t="e">
        <f>#REF!</f>
        <v>#REF!</v>
      </c>
    </row>
    <row r="513" spans="5:5" x14ac:dyDescent="0.25">
      <c r="E513" t="e">
        <f>#REF!</f>
        <v>#REF!</v>
      </c>
    </row>
    <row r="514" spans="5:5" x14ac:dyDescent="0.25">
      <c r="E514" t="e">
        <f>#REF!</f>
        <v>#REF!</v>
      </c>
    </row>
    <row r="515" spans="5:5" x14ac:dyDescent="0.25">
      <c r="E515" t="e">
        <f>#REF!</f>
        <v>#REF!</v>
      </c>
    </row>
    <row r="516" spans="5:5" x14ac:dyDescent="0.25">
      <c r="E516" t="e">
        <f>#REF!</f>
        <v>#REF!</v>
      </c>
    </row>
    <row r="517" spans="5:5" x14ac:dyDescent="0.25">
      <c r="E517" t="e">
        <f>#REF!</f>
        <v>#REF!</v>
      </c>
    </row>
    <row r="518" spans="5:5" x14ac:dyDescent="0.25">
      <c r="E518" t="e">
        <f>#REF!</f>
        <v>#REF!</v>
      </c>
    </row>
    <row r="519" spans="5:5" x14ac:dyDescent="0.25">
      <c r="E519" t="e">
        <f>#REF!</f>
        <v>#REF!</v>
      </c>
    </row>
    <row r="520" spans="5:5" x14ac:dyDescent="0.25">
      <c r="E520" t="e">
        <f>#REF!</f>
        <v>#REF!</v>
      </c>
    </row>
    <row r="521" spans="5:5" x14ac:dyDescent="0.25">
      <c r="E521" t="e">
        <f>#REF!</f>
        <v>#REF!</v>
      </c>
    </row>
    <row r="522" spans="5:5" x14ac:dyDescent="0.25">
      <c r="E522" t="e">
        <f>#REF!</f>
        <v>#REF!</v>
      </c>
    </row>
    <row r="523" spans="5:5" x14ac:dyDescent="0.25">
      <c r="E523" t="e">
        <f>#REF!</f>
        <v>#REF!</v>
      </c>
    </row>
    <row r="524" spans="5:5" x14ac:dyDescent="0.25">
      <c r="E524" t="e">
        <f>#REF!</f>
        <v>#REF!</v>
      </c>
    </row>
    <row r="525" spans="5:5" x14ac:dyDescent="0.25">
      <c r="E525" t="e">
        <f>#REF!</f>
        <v>#REF!</v>
      </c>
    </row>
    <row r="526" spans="5:5" x14ac:dyDescent="0.25">
      <c r="E526" t="e">
        <f>#REF!</f>
        <v>#REF!</v>
      </c>
    </row>
    <row r="527" spans="5:5" x14ac:dyDescent="0.25">
      <c r="E527" t="e">
        <f>#REF!</f>
        <v>#REF!</v>
      </c>
    </row>
    <row r="528" spans="5:5" x14ac:dyDescent="0.25">
      <c r="E528" t="e">
        <f>#REF!</f>
        <v>#REF!</v>
      </c>
    </row>
    <row r="529" spans="5:5" x14ac:dyDescent="0.25">
      <c r="E529" t="e">
        <f>#REF!</f>
        <v>#REF!</v>
      </c>
    </row>
    <row r="530" spans="5:5" x14ac:dyDescent="0.25">
      <c r="E530" t="e">
        <f>#REF!</f>
        <v>#REF!</v>
      </c>
    </row>
    <row r="531" spans="5:5" x14ac:dyDescent="0.25">
      <c r="E531" t="e">
        <f>#REF!</f>
        <v>#REF!</v>
      </c>
    </row>
    <row r="532" spans="5:5" x14ac:dyDescent="0.25">
      <c r="E532" t="e">
        <f>#REF!</f>
        <v>#REF!</v>
      </c>
    </row>
    <row r="533" spans="5:5" x14ac:dyDescent="0.25">
      <c r="E533" t="e">
        <f>#REF!</f>
        <v>#REF!</v>
      </c>
    </row>
    <row r="534" spans="5:5" x14ac:dyDescent="0.25">
      <c r="E534" t="e">
        <f>#REF!</f>
        <v>#REF!</v>
      </c>
    </row>
    <row r="535" spans="5:5" x14ac:dyDescent="0.25">
      <c r="E535" t="e">
        <f>#REF!</f>
        <v>#REF!</v>
      </c>
    </row>
    <row r="536" spans="5:5" x14ac:dyDescent="0.25">
      <c r="E536" t="e">
        <f>#REF!</f>
        <v>#REF!</v>
      </c>
    </row>
    <row r="537" spans="5:5" x14ac:dyDescent="0.25">
      <c r="E537" t="e">
        <f>#REF!</f>
        <v>#REF!</v>
      </c>
    </row>
    <row r="538" spans="5:5" x14ac:dyDescent="0.25">
      <c r="E538" t="e">
        <f>#REF!</f>
        <v>#REF!</v>
      </c>
    </row>
    <row r="539" spans="5:5" x14ac:dyDescent="0.25">
      <c r="E539" t="e">
        <f>#REF!</f>
        <v>#REF!</v>
      </c>
    </row>
    <row r="540" spans="5:5" x14ac:dyDescent="0.25">
      <c r="E540" t="e">
        <f>#REF!</f>
        <v>#REF!</v>
      </c>
    </row>
    <row r="541" spans="5:5" x14ac:dyDescent="0.25">
      <c r="E541" t="e">
        <f>#REF!</f>
        <v>#REF!</v>
      </c>
    </row>
    <row r="542" spans="5:5" x14ac:dyDescent="0.25">
      <c r="E542" t="e">
        <f>#REF!</f>
        <v>#REF!</v>
      </c>
    </row>
    <row r="543" spans="5:5" x14ac:dyDescent="0.25">
      <c r="E543" t="e">
        <f>#REF!</f>
        <v>#REF!</v>
      </c>
    </row>
    <row r="544" spans="5:5" x14ac:dyDescent="0.25">
      <c r="E544" t="e">
        <f>#REF!</f>
        <v>#REF!</v>
      </c>
    </row>
    <row r="545" spans="5:5" x14ac:dyDescent="0.25">
      <c r="E545" t="e">
        <f>#REF!</f>
        <v>#REF!</v>
      </c>
    </row>
    <row r="546" spans="5:5" x14ac:dyDescent="0.25">
      <c r="E546" t="e">
        <f>#REF!</f>
        <v>#REF!</v>
      </c>
    </row>
    <row r="547" spans="5:5" x14ac:dyDescent="0.25">
      <c r="E547" t="e">
        <f>#REF!</f>
        <v>#REF!</v>
      </c>
    </row>
    <row r="548" spans="5:5" x14ac:dyDescent="0.25">
      <c r="E548" t="e">
        <f>#REF!</f>
        <v>#REF!</v>
      </c>
    </row>
    <row r="549" spans="5:5" x14ac:dyDescent="0.25">
      <c r="E549" t="e">
        <f>#REF!</f>
        <v>#REF!</v>
      </c>
    </row>
    <row r="550" spans="5:5" x14ac:dyDescent="0.25">
      <c r="E550" t="e">
        <f>#REF!</f>
        <v>#REF!</v>
      </c>
    </row>
    <row r="551" spans="5:5" x14ac:dyDescent="0.25">
      <c r="E551" t="e">
        <f>#REF!</f>
        <v>#REF!</v>
      </c>
    </row>
    <row r="552" spans="5:5" x14ac:dyDescent="0.25">
      <c r="E552" t="e">
        <f>#REF!</f>
        <v>#REF!</v>
      </c>
    </row>
    <row r="553" spans="5:5" x14ac:dyDescent="0.25">
      <c r="E553" t="e">
        <f>#REF!</f>
        <v>#REF!</v>
      </c>
    </row>
    <row r="554" spans="5:5" x14ac:dyDescent="0.25">
      <c r="E554" t="e">
        <f>#REF!</f>
        <v>#REF!</v>
      </c>
    </row>
    <row r="555" spans="5:5" x14ac:dyDescent="0.25">
      <c r="E555" t="e">
        <f>#REF!</f>
        <v>#REF!</v>
      </c>
    </row>
    <row r="556" spans="5:5" x14ac:dyDescent="0.25">
      <c r="E556" t="e">
        <f>#REF!</f>
        <v>#REF!</v>
      </c>
    </row>
    <row r="557" spans="5:5" x14ac:dyDescent="0.25">
      <c r="E557" t="e">
        <f>#REF!</f>
        <v>#REF!</v>
      </c>
    </row>
    <row r="558" spans="5:5" x14ac:dyDescent="0.25">
      <c r="E558" t="e">
        <f>#REF!</f>
        <v>#REF!</v>
      </c>
    </row>
    <row r="559" spans="5:5" x14ac:dyDescent="0.25">
      <c r="E559" t="e">
        <f>#REF!</f>
        <v>#REF!</v>
      </c>
    </row>
    <row r="560" spans="5:5" x14ac:dyDescent="0.25">
      <c r="E560" t="e">
        <f>#REF!</f>
        <v>#REF!</v>
      </c>
    </row>
    <row r="561" spans="5:5" x14ac:dyDescent="0.25">
      <c r="E561" t="e">
        <f>#REF!</f>
        <v>#REF!</v>
      </c>
    </row>
    <row r="562" spans="5:5" x14ac:dyDescent="0.25">
      <c r="E562" t="e">
        <f>#REF!</f>
        <v>#REF!</v>
      </c>
    </row>
    <row r="563" spans="5:5" x14ac:dyDescent="0.25">
      <c r="E563" t="e">
        <f>#REF!</f>
        <v>#REF!</v>
      </c>
    </row>
    <row r="564" spans="5:5" x14ac:dyDescent="0.25">
      <c r="E564" t="e">
        <f>#REF!</f>
        <v>#REF!</v>
      </c>
    </row>
    <row r="565" spans="5:5" x14ac:dyDescent="0.25">
      <c r="E565" t="e">
        <f>#REF!</f>
        <v>#REF!</v>
      </c>
    </row>
    <row r="566" spans="5:5" x14ac:dyDescent="0.25">
      <c r="E566" t="e">
        <f>#REF!</f>
        <v>#REF!</v>
      </c>
    </row>
    <row r="567" spans="5:5" x14ac:dyDescent="0.25">
      <c r="E567" t="e">
        <f>#REF!</f>
        <v>#REF!</v>
      </c>
    </row>
    <row r="568" spans="5:5" x14ac:dyDescent="0.25">
      <c r="E568" t="e">
        <f>#REF!</f>
        <v>#REF!</v>
      </c>
    </row>
    <row r="569" spans="5:5" x14ac:dyDescent="0.25">
      <c r="E569" t="e">
        <f>#REF!</f>
        <v>#REF!</v>
      </c>
    </row>
    <row r="570" spans="5:5" x14ac:dyDescent="0.25">
      <c r="E570" t="e">
        <f>#REF!</f>
        <v>#REF!</v>
      </c>
    </row>
    <row r="571" spans="5:5" x14ac:dyDescent="0.25">
      <c r="E571" t="e">
        <f>#REF!</f>
        <v>#REF!</v>
      </c>
    </row>
    <row r="572" spans="5:5" x14ac:dyDescent="0.25">
      <c r="E572" t="e">
        <f>#REF!</f>
        <v>#REF!</v>
      </c>
    </row>
    <row r="573" spans="5:5" x14ac:dyDescent="0.25">
      <c r="E573" t="e">
        <f>#REF!</f>
        <v>#REF!</v>
      </c>
    </row>
    <row r="574" spans="5:5" x14ac:dyDescent="0.25">
      <c r="E574" t="e">
        <f>#REF!</f>
        <v>#REF!</v>
      </c>
    </row>
    <row r="575" spans="5:5" x14ac:dyDescent="0.25">
      <c r="E575" t="e">
        <f>#REF!</f>
        <v>#REF!</v>
      </c>
    </row>
    <row r="576" spans="5:5" x14ac:dyDescent="0.25">
      <c r="E576" t="e">
        <f>#REF!</f>
        <v>#REF!</v>
      </c>
    </row>
    <row r="577" spans="5:5" x14ac:dyDescent="0.25">
      <c r="E577" t="e">
        <f>#REF!</f>
        <v>#REF!</v>
      </c>
    </row>
    <row r="578" spans="5:5" x14ac:dyDescent="0.25">
      <c r="E578" t="e">
        <f>#REF!</f>
        <v>#REF!</v>
      </c>
    </row>
    <row r="579" spans="5:5" x14ac:dyDescent="0.25">
      <c r="E579" t="e">
        <f>#REF!</f>
        <v>#REF!</v>
      </c>
    </row>
    <row r="580" spans="5:5" x14ac:dyDescent="0.25">
      <c r="E580" t="e">
        <f>#REF!</f>
        <v>#REF!</v>
      </c>
    </row>
    <row r="581" spans="5:5" x14ac:dyDescent="0.25">
      <c r="E581" t="e">
        <f>#REF!</f>
        <v>#REF!</v>
      </c>
    </row>
    <row r="582" spans="5:5" x14ac:dyDescent="0.25">
      <c r="E582" t="e">
        <f>#REF!</f>
        <v>#REF!</v>
      </c>
    </row>
    <row r="583" spans="5:5" x14ac:dyDescent="0.25">
      <c r="E583" t="e">
        <f>#REF!</f>
        <v>#REF!</v>
      </c>
    </row>
    <row r="584" spans="5:5" x14ac:dyDescent="0.25">
      <c r="E584" t="e">
        <f>#REF!</f>
        <v>#REF!</v>
      </c>
    </row>
    <row r="585" spans="5:5" x14ac:dyDescent="0.25">
      <c r="E585" t="e">
        <f>#REF!</f>
        <v>#REF!</v>
      </c>
    </row>
    <row r="586" spans="5:5" x14ac:dyDescent="0.25">
      <c r="E586" t="e">
        <f>#REF!</f>
        <v>#REF!</v>
      </c>
    </row>
    <row r="587" spans="5:5" x14ac:dyDescent="0.25">
      <c r="E587" t="e">
        <f>#REF!</f>
        <v>#REF!</v>
      </c>
    </row>
    <row r="588" spans="5:5" x14ac:dyDescent="0.25">
      <c r="E588" t="e">
        <f>#REF!</f>
        <v>#REF!</v>
      </c>
    </row>
    <row r="589" spans="5:5" x14ac:dyDescent="0.25">
      <c r="E589" t="e">
        <f>#REF!</f>
        <v>#REF!</v>
      </c>
    </row>
    <row r="590" spans="5:5" x14ac:dyDescent="0.25">
      <c r="E590" t="e">
        <f>#REF!</f>
        <v>#REF!</v>
      </c>
    </row>
    <row r="591" spans="5:5" x14ac:dyDescent="0.25">
      <c r="E591" t="e">
        <f>#REF!</f>
        <v>#REF!</v>
      </c>
    </row>
    <row r="592" spans="5:5" x14ac:dyDescent="0.25">
      <c r="E592" t="e">
        <f>#REF!</f>
        <v>#REF!</v>
      </c>
    </row>
    <row r="593" spans="5:5" x14ac:dyDescent="0.25">
      <c r="E593" t="e">
        <f>#REF!</f>
        <v>#REF!</v>
      </c>
    </row>
    <row r="594" spans="5:5" x14ac:dyDescent="0.25">
      <c r="E594" t="e">
        <f>#REF!</f>
        <v>#REF!</v>
      </c>
    </row>
    <row r="595" spans="5:5" x14ac:dyDescent="0.25">
      <c r="E595" t="e">
        <f>#REF!</f>
        <v>#REF!</v>
      </c>
    </row>
    <row r="596" spans="5:5" x14ac:dyDescent="0.25">
      <c r="E596" t="e">
        <f>#REF!</f>
        <v>#REF!</v>
      </c>
    </row>
    <row r="597" spans="5:5" x14ac:dyDescent="0.25">
      <c r="E597" t="e">
        <f>#REF!</f>
        <v>#REF!</v>
      </c>
    </row>
    <row r="598" spans="5:5" x14ac:dyDescent="0.25">
      <c r="E598" t="e">
        <f>#REF!</f>
        <v>#REF!</v>
      </c>
    </row>
    <row r="599" spans="5:5" x14ac:dyDescent="0.25">
      <c r="E599" t="e">
        <f>#REF!</f>
        <v>#REF!</v>
      </c>
    </row>
  </sheetData>
  <autoFilter ref="B2:C2" xr:uid="{00000000-0009-0000-0000-000000000000}">
    <sortState xmlns:xlrd2="http://schemas.microsoft.com/office/spreadsheetml/2017/richdata2" ref="B3:C43">
      <sortCondition ref="B2"/>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62"/>
  <sheetViews>
    <sheetView topLeftCell="A19" workbookViewId="0">
      <selection activeCell="A39" sqref="A39"/>
    </sheetView>
  </sheetViews>
  <sheetFormatPr defaultRowHeight="15" x14ac:dyDescent="0.25"/>
  <cols>
    <col min="1" max="1" width="44.7109375" customWidth="1"/>
    <col min="2" max="2" width="19.85546875" bestFit="1" customWidth="1"/>
  </cols>
  <sheetData>
    <row r="1" spans="1:2" x14ac:dyDescent="0.25">
      <c r="A1" s="82" t="s">
        <v>468</v>
      </c>
      <c r="B1" s="82" t="s">
        <v>469</v>
      </c>
    </row>
    <row r="2" spans="1:2" x14ac:dyDescent="0.25">
      <c r="A2" t="s">
        <v>470</v>
      </c>
      <c r="B2" s="82" t="s">
        <v>298</v>
      </c>
    </row>
    <row r="3" spans="1:2" x14ac:dyDescent="0.25">
      <c r="A3" t="s">
        <v>471</v>
      </c>
      <c r="B3" s="82" t="s">
        <v>299</v>
      </c>
    </row>
    <row r="4" spans="1:2" x14ac:dyDescent="0.25">
      <c r="A4" t="s">
        <v>472</v>
      </c>
      <c r="B4" s="82" t="s">
        <v>300</v>
      </c>
    </row>
    <row r="5" spans="1:2" x14ac:dyDescent="0.25">
      <c r="A5" t="s">
        <v>473</v>
      </c>
      <c r="B5" s="82" t="s">
        <v>301</v>
      </c>
    </row>
    <row r="6" spans="1:2" x14ac:dyDescent="0.25">
      <c r="A6" t="s">
        <v>931</v>
      </c>
      <c r="B6" s="82" t="s">
        <v>302</v>
      </c>
    </row>
    <row r="7" spans="1:2" x14ac:dyDescent="0.25">
      <c r="A7" t="s">
        <v>932</v>
      </c>
      <c r="B7" s="82" t="s">
        <v>303</v>
      </c>
    </row>
    <row r="8" spans="1:2" x14ac:dyDescent="0.25">
      <c r="A8" t="s">
        <v>933</v>
      </c>
      <c r="B8" s="82" t="s">
        <v>304</v>
      </c>
    </row>
    <row r="9" spans="1:2" x14ac:dyDescent="0.25">
      <c r="A9" t="s">
        <v>934</v>
      </c>
      <c r="B9" s="82" t="s">
        <v>305</v>
      </c>
    </row>
    <row r="10" spans="1:2" x14ac:dyDescent="0.25">
      <c r="A10" t="s">
        <v>935</v>
      </c>
      <c r="B10" s="82" t="s">
        <v>306</v>
      </c>
    </row>
    <row r="11" spans="1:2" x14ac:dyDescent="0.25">
      <c r="A11" t="s">
        <v>936</v>
      </c>
      <c r="B11" s="82" t="s">
        <v>307</v>
      </c>
    </row>
    <row r="12" spans="1:2" x14ac:dyDescent="0.25">
      <c r="A12" t="s">
        <v>937</v>
      </c>
      <c r="B12" s="82" t="s">
        <v>308</v>
      </c>
    </row>
    <row r="13" spans="1:2" x14ac:dyDescent="0.25">
      <c r="A13" t="s">
        <v>938</v>
      </c>
      <c r="B13" s="82" t="s">
        <v>309</v>
      </c>
    </row>
    <row r="14" spans="1:2" x14ac:dyDescent="0.25">
      <c r="A14" t="s">
        <v>830</v>
      </c>
      <c r="B14" s="82" t="s">
        <v>310</v>
      </c>
    </row>
    <row r="15" spans="1:2" x14ac:dyDescent="0.25">
      <c r="A15" t="s">
        <v>939</v>
      </c>
      <c r="B15" s="82" t="s">
        <v>311</v>
      </c>
    </row>
    <row r="16" spans="1:2" x14ac:dyDescent="0.25">
      <c r="A16" t="s">
        <v>940</v>
      </c>
      <c r="B16" s="82" t="s">
        <v>312</v>
      </c>
    </row>
    <row r="17" spans="1:2" x14ac:dyDescent="0.25">
      <c r="A17" t="s">
        <v>941</v>
      </c>
      <c r="B17" s="82" t="s">
        <v>313</v>
      </c>
    </row>
    <row r="18" spans="1:2" x14ac:dyDescent="0.25">
      <c r="A18" t="s">
        <v>942</v>
      </c>
      <c r="B18" s="82" t="s">
        <v>314</v>
      </c>
    </row>
    <row r="19" spans="1:2" x14ac:dyDescent="0.25">
      <c r="A19" t="s">
        <v>831</v>
      </c>
      <c r="B19" s="82" t="s">
        <v>315</v>
      </c>
    </row>
    <row r="20" spans="1:2" x14ac:dyDescent="0.25">
      <c r="A20" t="s">
        <v>943</v>
      </c>
      <c r="B20" s="82" t="s">
        <v>316</v>
      </c>
    </row>
    <row r="21" spans="1:2" x14ac:dyDescent="0.25">
      <c r="A21" t="s">
        <v>944</v>
      </c>
      <c r="B21" s="82" t="s">
        <v>317</v>
      </c>
    </row>
    <row r="22" spans="1:2" x14ac:dyDescent="0.25">
      <c r="A22" t="s">
        <v>945</v>
      </c>
      <c r="B22" s="82" t="s">
        <v>318</v>
      </c>
    </row>
    <row r="23" spans="1:2" x14ac:dyDescent="0.25">
      <c r="A23" t="s">
        <v>946</v>
      </c>
      <c r="B23" s="82" t="s">
        <v>319</v>
      </c>
    </row>
    <row r="24" spans="1:2" x14ac:dyDescent="0.25">
      <c r="A24" t="s">
        <v>947</v>
      </c>
      <c r="B24" s="82" t="s">
        <v>320</v>
      </c>
    </row>
    <row r="25" spans="1:2" x14ac:dyDescent="0.25">
      <c r="A25" t="s">
        <v>948</v>
      </c>
      <c r="B25" s="82" t="s">
        <v>321</v>
      </c>
    </row>
    <row r="26" spans="1:2" x14ac:dyDescent="0.25">
      <c r="A26" t="s">
        <v>949</v>
      </c>
      <c r="B26" s="82" t="s">
        <v>322</v>
      </c>
    </row>
    <row r="27" spans="1:2" x14ac:dyDescent="0.25">
      <c r="A27" t="s">
        <v>832</v>
      </c>
      <c r="B27" s="82" t="s">
        <v>323</v>
      </c>
    </row>
    <row r="28" spans="1:2" x14ac:dyDescent="0.25">
      <c r="A28" t="s">
        <v>833</v>
      </c>
      <c r="B28" s="82" t="s">
        <v>324</v>
      </c>
    </row>
    <row r="29" spans="1:2" x14ac:dyDescent="0.25">
      <c r="A29" t="s">
        <v>950</v>
      </c>
      <c r="B29" s="82" t="s">
        <v>325</v>
      </c>
    </row>
    <row r="30" spans="1:2" x14ac:dyDescent="0.25">
      <c r="A30" t="s">
        <v>951</v>
      </c>
      <c r="B30" s="82" t="s">
        <v>326</v>
      </c>
    </row>
    <row r="31" spans="1:2" x14ac:dyDescent="0.25">
      <c r="A31" t="s">
        <v>952</v>
      </c>
      <c r="B31" s="82" t="s">
        <v>327</v>
      </c>
    </row>
    <row r="32" spans="1:2" x14ac:dyDescent="0.25">
      <c r="A32" t="s">
        <v>953</v>
      </c>
      <c r="B32" s="82" t="s">
        <v>328</v>
      </c>
    </row>
    <row r="33" spans="1:2" x14ac:dyDescent="0.25">
      <c r="A33" t="s">
        <v>954</v>
      </c>
      <c r="B33" s="82" t="s">
        <v>329</v>
      </c>
    </row>
    <row r="34" spans="1:2" x14ac:dyDescent="0.25">
      <c r="A34" t="s">
        <v>955</v>
      </c>
      <c r="B34" s="82" t="s">
        <v>330</v>
      </c>
    </row>
    <row r="35" spans="1:2" x14ac:dyDescent="0.25">
      <c r="A35" t="s">
        <v>956</v>
      </c>
      <c r="B35" s="82" t="s">
        <v>331</v>
      </c>
    </row>
    <row r="36" spans="1:2" x14ac:dyDescent="0.25">
      <c r="A36" t="s">
        <v>957</v>
      </c>
      <c r="B36" s="82" t="s">
        <v>332</v>
      </c>
    </row>
    <row r="37" spans="1:2" x14ac:dyDescent="0.25">
      <c r="A37" t="s">
        <v>958</v>
      </c>
      <c r="B37" s="82" t="s">
        <v>333</v>
      </c>
    </row>
    <row r="38" spans="1:2" x14ac:dyDescent="0.25">
      <c r="A38" t="s">
        <v>959</v>
      </c>
      <c r="B38" s="82" t="s">
        <v>334</v>
      </c>
    </row>
    <row r="39" spans="1:2" x14ac:dyDescent="0.25">
      <c r="A39" t="s">
        <v>960</v>
      </c>
      <c r="B39" s="82" t="s">
        <v>335</v>
      </c>
    </row>
    <row r="40" spans="1:2" x14ac:dyDescent="0.25">
      <c r="A40" t="s">
        <v>961</v>
      </c>
      <c r="B40" s="82" t="s">
        <v>336</v>
      </c>
    </row>
    <row r="41" spans="1:2" x14ac:dyDescent="0.25">
      <c r="A41" t="s">
        <v>962</v>
      </c>
      <c r="B41" s="82" t="s">
        <v>337</v>
      </c>
    </row>
    <row r="42" spans="1:2" x14ac:dyDescent="0.25">
      <c r="A42" t="s">
        <v>963</v>
      </c>
      <c r="B42" s="82" t="s">
        <v>338</v>
      </c>
    </row>
    <row r="43" spans="1:2" x14ac:dyDescent="0.25">
      <c r="A43" t="s">
        <v>834</v>
      </c>
      <c r="B43" s="82" t="s">
        <v>339</v>
      </c>
    </row>
    <row r="44" spans="1:2" x14ac:dyDescent="0.25">
      <c r="A44" t="s">
        <v>964</v>
      </c>
      <c r="B44" s="82" t="s">
        <v>340</v>
      </c>
    </row>
    <row r="45" spans="1:2" x14ac:dyDescent="0.25">
      <c r="A45" t="s">
        <v>965</v>
      </c>
      <c r="B45" s="82" t="s">
        <v>341</v>
      </c>
    </row>
    <row r="46" spans="1:2" x14ac:dyDescent="0.25">
      <c r="A46" t="s">
        <v>966</v>
      </c>
      <c r="B46" s="82" t="s">
        <v>342</v>
      </c>
    </row>
    <row r="47" spans="1:2" x14ac:dyDescent="0.25">
      <c r="A47" t="s">
        <v>835</v>
      </c>
      <c r="B47" s="82" t="s">
        <v>343</v>
      </c>
    </row>
    <row r="48" spans="1:2" x14ac:dyDescent="0.25">
      <c r="A48" t="s">
        <v>967</v>
      </c>
      <c r="B48" s="82" t="s">
        <v>344</v>
      </c>
    </row>
    <row r="49" spans="1:2" x14ac:dyDescent="0.25">
      <c r="A49" t="s">
        <v>836</v>
      </c>
      <c r="B49" s="82" t="s">
        <v>345</v>
      </c>
    </row>
    <row r="50" spans="1:2" x14ac:dyDescent="0.25">
      <c r="A50" t="s">
        <v>968</v>
      </c>
      <c r="B50" s="82" t="s">
        <v>346</v>
      </c>
    </row>
    <row r="51" spans="1:2" x14ac:dyDescent="0.25">
      <c r="A51" t="s">
        <v>837</v>
      </c>
      <c r="B51" s="82" t="s">
        <v>347</v>
      </c>
    </row>
    <row r="52" spans="1:2" x14ac:dyDescent="0.25">
      <c r="A52" t="s">
        <v>969</v>
      </c>
      <c r="B52" s="82" t="s">
        <v>348</v>
      </c>
    </row>
    <row r="53" spans="1:2" x14ac:dyDescent="0.25">
      <c r="A53" t="s">
        <v>970</v>
      </c>
      <c r="B53" s="82" t="s">
        <v>349</v>
      </c>
    </row>
    <row r="54" spans="1:2" x14ac:dyDescent="0.25">
      <c r="A54" t="s">
        <v>672</v>
      </c>
      <c r="B54" s="82" t="s">
        <v>350</v>
      </c>
    </row>
    <row r="55" spans="1:2" x14ac:dyDescent="0.25">
      <c r="A55" t="s">
        <v>971</v>
      </c>
      <c r="B55" s="82" t="s">
        <v>351</v>
      </c>
    </row>
    <row r="56" spans="1:2" x14ac:dyDescent="0.25">
      <c r="A56" t="s">
        <v>972</v>
      </c>
      <c r="B56" s="82" t="s">
        <v>352</v>
      </c>
    </row>
    <row r="57" spans="1:2" x14ac:dyDescent="0.25">
      <c r="A57" t="s">
        <v>973</v>
      </c>
      <c r="B57" s="82" t="s">
        <v>353</v>
      </c>
    </row>
    <row r="58" spans="1:2" x14ac:dyDescent="0.25">
      <c r="A58" t="s">
        <v>641</v>
      </c>
      <c r="B58" s="82" t="s">
        <v>354</v>
      </c>
    </row>
    <row r="59" spans="1:2" x14ac:dyDescent="0.25">
      <c r="A59" t="s">
        <v>974</v>
      </c>
      <c r="B59" s="82" t="s">
        <v>355</v>
      </c>
    </row>
    <row r="60" spans="1:2" x14ac:dyDescent="0.25">
      <c r="A60" t="s">
        <v>975</v>
      </c>
      <c r="B60" s="82" t="s">
        <v>356</v>
      </c>
    </row>
    <row r="61" spans="1:2" x14ac:dyDescent="0.25">
      <c r="A61" t="s">
        <v>976</v>
      </c>
      <c r="B61" s="82" t="s">
        <v>357</v>
      </c>
    </row>
    <row r="62" spans="1:2" x14ac:dyDescent="0.25">
      <c r="A62" t="s">
        <v>977</v>
      </c>
      <c r="B62" s="82" t="s">
        <v>358</v>
      </c>
    </row>
    <row r="63" spans="1:2" x14ac:dyDescent="0.25">
      <c r="A63" t="s">
        <v>838</v>
      </c>
      <c r="B63" s="82" t="s">
        <v>359</v>
      </c>
    </row>
    <row r="64" spans="1:2" x14ac:dyDescent="0.25">
      <c r="A64" t="s">
        <v>474</v>
      </c>
      <c r="B64" s="82" t="s">
        <v>360</v>
      </c>
    </row>
    <row r="65" spans="1:2" x14ac:dyDescent="0.25">
      <c r="A65" t="s">
        <v>978</v>
      </c>
      <c r="B65" s="82" t="s">
        <v>361</v>
      </c>
    </row>
    <row r="66" spans="1:2" x14ac:dyDescent="0.25">
      <c r="A66" t="s">
        <v>979</v>
      </c>
      <c r="B66" s="82" t="s">
        <v>362</v>
      </c>
    </row>
    <row r="67" spans="1:2" x14ac:dyDescent="0.25">
      <c r="A67" t="s">
        <v>980</v>
      </c>
      <c r="B67" s="82" t="s">
        <v>363</v>
      </c>
    </row>
    <row r="68" spans="1:2" x14ac:dyDescent="0.25">
      <c r="A68" t="s">
        <v>839</v>
      </c>
      <c r="B68" s="82" t="s">
        <v>364</v>
      </c>
    </row>
    <row r="69" spans="1:2" x14ac:dyDescent="0.25">
      <c r="A69" t="s">
        <v>981</v>
      </c>
      <c r="B69" s="82" t="s">
        <v>365</v>
      </c>
    </row>
    <row r="70" spans="1:2" x14ac:dyDescent="0.25">
      <c r="A70" t="s">
        <v>762</v>
      </c>
      <c r="B70" s="82" t="s">
        <v>366</v>
      </c>
    </row>
    <row r="71" spans="1:2" x14ac:dyDescent="0.25">
      <c r="A71" t="s">
        <v>982</v>
      </c>
      <c r="B71" s="82" t="s">
        <v>367</v>
      </c>
    </row>
    <row r="72" spans="1:2" x14ac:dyDescent="0.25">
      <c r="A72" t="s">
        <v>983</v>
      </c>
      <c r="B72" s="82" t="s">
        <v>368</v>
      </c>
    </row>
    <row r="73" spans="1:2" x14ac:dyDescent="0.25">
      <c r="A73" t="s">
        <v>984</v>
      </c>
      <c r="B73" s="82" t="s">
        <v>369</v>
      </c>
    </row>
    <row r="74" spans="1:2" x14ac:dyDescent="0.25">
      <c r="A74" t="s">
        <v>840</v>
      </c>
      <c r="B74" s="82" t="s">
        <v>370</v>
      </c>
    </row>
    <row r="75" spans="1:2" x14ac:dyDescent="0.25">
      <c r="A75" t="s">
        <v>985</v>
      </c>
      <c r="B75" s="82" t="s">
        <v>371</v>
      </c>
    </row>
    <row r="76" spans="1:2" x14ac:dyDescent="0.25">
      <c r="A76" t="s">
        <v>841</v>
      </c>
      <c r="B76" s="82" t="s">
        <v>372</v>
      </c>
    </row>
    <row r="77" spans="1:2" x14ac:dyDescent="0.25">
      <c r="A77" t="s">
        <v>986</v>
      </c>
      <c r="B77" s="82" t="s">
        <v>373</v>
      </c>
    </row>
    <row r="78" spans="1:2" x14ac:dyDescent="0.25">
      <c r="A78" t="s">
        <v>842</v>
      </c>
      <c r="B78" s="82" t="s">
        <v>374</v>
      </c>
    </row>
    <row r="79" spans="1:2" x14ac:dyDescent="0.25">
      <c r="A79" t="s">
        <v>987</v>
      </c>
      <c r="B79" s="82" t="s">
        <v>375</v>
      </c>
    </row>
    <row r="80" spans="1:2" x14ac:dyDescent="0.25">
      <c r="A80" t="s">
        <v>988</v>
      </c>
      <c r="B80" s="82" t="s">
        <v>376</v>
      </c>
    </row>
    <row r="81" spans="1:2" x14ac:dyDescent="0.25">
      <c r="A81" t="s">
        <v>843</v>
      </c>
      <c r="B81" s="82" t="s">
        <v>377</v>
      </c>
    </row>
    <row r="82" spans="1:2" x14ac:dyDescent="0.25">
      <c r="A82" t="s">
        <v>989</v>
      </c>
      <c r="B82" s="82" t="s">
        <v>378</v>
      </c>
    </row>
    <row r="83" spans="1:2" x14ac:dyDescent="0.25">
      <c r="A83" t="s">
        <v>990</v>
      </c>
      <c r="B83" s="82" t="s">
        <v>379</v>
      </c>
    </row>
    <row r="84" spans="1:2" x14ac:dyDescent="0.25">
      <c r="A84" t="s">
        <v>991</v>
      </c>
      <c r="B84" s="82" t="s">
        <v>380</v>
      </c>
    </row>
    <row r="85" spans="1:2" x14ac:dyDescent="0.25">
      <c r="A85" t="s">
        <v>992</v>
      </c>
      <c r="B85" s="82" t="s">
        <v>381</v>
      </c>
    </row>
    <row r="86" spans="1:2" x14ac:dyDescent="0.25">
      <c r="A86" t="s">
        <v>993</v>
      </c>
      <c r="B86" s="82" t="s">
        <v>382</v>
      </c>
    </row>
    <row r="87" spans="1:2" x14ac:dyDescent="0.25">
      <c r="A87" t="s">
        <v>689</v>
      </c>
      <c r="B87" s="82" t="s">
        <v>383</v>
      </c>
    </row>
    <row r="88" spans="1:2" x14ac:dyDescent="0.25">
      <c r="A88" t="s">
        <v>844</v>
      </c>
      <c r="B88" s="82" t="s">
        <v>384</v>
      </c>
    </row>
    <row r="89" spans="1:2" x14ac:dyDescent="0.25">
      <c r="A89" t="s">
        <v>994</v>
      </c>
      <c r="B89" s="82" t="s">
        <v>385</v>
      </c>
    </row>
    <row r="90" spans="1:2" x14ac:dyDescent="0.25">
      <c r="A90" t="s">
        <v>995</v>
      </c>
      <c r="B90" s="82" t="s">
        <v>386</v>
      </c>
    </row>
    <row r="91" spans="1:2" x14ac:dyDescent="0.25">
      <c r="A91" t="s">
        <v>475</v>
      </c>
      <c r="B91" s="82" t="s">
        <v>387</v>
      </c>
    </row>
    <row r="92" spans="1:2" x14ac:dyDescent="0.25">
      <c r="A92" t="s">
        <v>476</v>
      </c>
      <c r="B92" s="82" t="s">
        <v>388</v>
      </c>
    </row>
    <row r="93" spans="1:2" x14ac:dyDescent="0.25">
      <c r="A93" t="s">
        <v>477</v>
      </c>
      <c r="B93" s="82" t="s">
        <v>389</v>
      </c>
    </row>
    <row r="94" spans="1:2" x14ac:dyDescent="0.25">
      <c r="A94" t="s">
        <v>478</v>
      </c>
      <c r="B94" s="82" t="s">
        <v>479</v>
      </c>
    </row>
    <row r="95" spans="1:2" x14ac:dyDescent="0.25">
      <c r="A95" t="s">
        <v>480</v>
      </c>
      <c r="B95" s="82" t="s">
        <v>481</v>
      </c>
    </row>
    <row r="96" spans="1:2" x14ac:dyDescent="0.25">
      <c r="A96" t="s">
        <v>482</v>
      </c>
      <c r="B96" s="82" t="s">
        <v>390</v>
      </c>
    </row>
    <row r="97" spans="1:2" x14ac:dyDescent="0.25">
      <c r="A97" t="s">
        <v>996</v>
      </c>
      <c r="B97" s="82" t="s">
        <v>391</v>
      </c>
    </row>
    <row r="98" spans="1:2" x14ac:dyDescent="0.25">
      <c r="A98" t="s">
        <v>997</v>
      </c>
      <c r="B98" s="82" t="s">
        <v>392</v>
      </c>
    </row>
    <row r="99" spans="1:2" x14ac:dyDescent="0.25">
      <c r="A99" t="s">
        <v>483</v>
      </c>
      <c r="B99" s="82" t="s">
        <v>393</v>
      </c>
    </row>
    <row r="100" spans="1:2" x14ac:dyDescent="0.25">
      <c r="A100" t="s">
        <v>484</v>
      </c>
      <c r="B100" s="82" t="s">
        <v>485</v>
      </c>
    </row>
    <row r="101" spans="1:2" x14ac:dyDescent="0.25">
      <c r="A101" t="s">
        <v>486</v>
      </c>
      <c r="B101" s="82" t="s">
        <v>487</v>
      </c>
    </row>
    <row r="102" spans="1:2" x14ac:dyDescent="0.25">
      <c r="A102" t="s">
        <v>488</v>
      </c>
      <c r="B102" s="82" t="s">
        <v>394</v>
      </c>
    </row>
    <row r="103" spans="1:2" x14ac:dyDescent="0.25">
      <c r="A103" t="s">
        <v>489</v>
      </c>
      <c r="B103" s="82" t="s">
        <v>490</v>
      </c>
    </row>
    <row r="104" spans="1:2" x14ac:dyDescent="0.25">
      <c r="A104" t="s">
        <v>491</v>
      </c>
      <c r="B104" s="82" t="s">
        <v>492</v>
      </c>
    </row>
    <row r="105" spans="1:2" x14ac:dyDescent="0.25">
      <c r="A105" t="s">
        <v>493</v>
      </c>
      <c r="B105" s="82" t="s">
        <v>494</v>
      </c>
    </row>
    <row r="106" spans="1:2" x14ac:dyDescent="0.25">
      <c r="A106" t="s">
        <v>495</v>
      </c>
      <c r="B106" s="82" t="s">
        <v>496</v>
      </c>
    </row>
    <row r="107" spans="1:2" x14ac:dyDescent="0.25">
      <c r="A107" t="s">
        <v>497</v>
      </c>
      <c r="B107" s="82" t="s">
        <v>498</v>
      </c>
    </row>
    <row r="108" spans="1:2" x14ac:dyDescent="0.25">
      <c r="A108" t="s">
        <v>499</v>
      </c>
      <c r="B108" s="82" t="s">
        <v>500</v>
      </c>
    </row>
    <row r="109" spans="1:2" x14ac:dyDescent="0.25">
      <c r="A109" t="s">
        <v>501</v>
      </c>
      <c r="B109" s="82" t="s">
        <v>395</v>
      </c>
    </row>
    <row r="110" spans="1:2" x14ac:dyDescent="0.25">
      <c r="A110" t="s">
        <v>502</v>
      </c>
      <c r="B110" s="82" t="s">
        <v>503</v>
      </c>
    </row>
    <row r="111" spans="1:2" x14ac:dyDescent="0.25">
      <c r="A111" t="s">
        <v>504</v>
      </c>
      <c r="B111" s="82" t="s">
        <v>505</v>
      </c>
    </row>
    <row r="112" spans="1:2" x14ac:dyDescent="0.25">
      <c r="A112" t="s">
        <v>506</v>
      </c>
      <c r="B112" s="82" t="s">
        <v>507</v>
      </c>
    </row>
    <row r="113" spans="1:2" x14ac:dyDescent="0.25">
      <c r="A113" t="s">
        <v>508</v>
      </c>
      <c r="B113" s="82" t="s">
        <v>396</v>
      </c>
    </row>
    <row r="114" spans="1:2" x14ac:dyDescent="0.25">
      <c r="A114" t="s">
        <v>509</v>
      </c>
      <c r="B114" s="82" t="s">
        <v>510</v>
      </c>
    </row>
    <row r="115" spans="1:2" x14ac:dyDescent="0.25">
      <c r="A115" t="s">
        <v>998</v>
      </c>
      <c r="B115" s="82" t="s">
        <v>397</v>
      </c>
    </row>
    <row r="116" spans="1:2" x14ac:dyDescent="0.25">
      <c r="A116" t="s">
        <v>511</v>
      </c>
      <c r="B116" s="82" t="s">
        <v>398</v>
      </c>
    </row>
    <row r="117" spans="1:2" x14ac:dyDescent="0.25">
      <c r="A117" t="s">
        <v>512</v>
      </c>
      <c r="B117" s="82" t="s">
        <v>513</v>
      </c>
    </row>
    <row r="118" spans="1:2" x14ac:dyDescent="0.25">
      <c r="A118" t="s">
        <v>514</v>
      </c>
      <c r="B118" s="82" t="s">
        <v>515</v>
      </c>
    </row>
    <row r="119" spans="1:2" x14ac:dyDescent="0.25">
      <c r="A119" t="s">
        <v>999</v>
      </c>
      <c r="B119" s="82" t="s">
        <v>399</v>
      </c>
    </row>
    <row r="120" spans="1:2" x14ac:dyDescent="0.25">
      <c r="A120" t="s">
        <v>845</v>
      </c>
      <c r="B120" s="82" t="s">
        <v>400</v>
      </c>
    </row>
    <row r="121" spans="1:2" x14ac:dyDescent="0.25">
      <c r="A121" t="s">
        <v>1000</v>
      </c>
      <c r="B121" s="82" t="s">
        <v>401</v>
      </c>
    </row>
    <row r="122" spans="1:2" x14ac:dyDescent="0.25">
      <c r="A122" t="s">
        <v>1001</v>
      </c>
      <c r="B122" s="82" t="s">
        <v>516</v>
      </c>
    </row>
    <row r="123" spans="1:2" x14ac:dyDescent="0.25">
      <c r="A123" t="s">
        <v>1002</v>
      </c>
      <c r="B123" s="82" t="s">
        <v>402</v>
      </c>
    </row>
    <row r="124" spans="1:2" x14ac:dyDescent="0.25">
      <c r="A124" t="s">
        <v>1003</v>
      </c>
      <c r="B124" s="82" t="s">
        <v>403</v>
      </c>
    </row>
    <row r="125" spans="1:2" x14ac:dyDescent="0.25">
      <c r="A125" t="s">
        <v>846</v>
      </c>
      <c r="B125" s="82" t="s">
        <v>404</v>
      </c>
    </row>
    <row r="126" spans="1:2" x14ac:dyDescent="0.25">
      <c r="A126" t="s">
        <v>1004</v>
      </c>
      <c r="B126" s="82" t="s">
        <v>405</v>
      </c>
    </row>
    <row r="127" spans="1:2" x14ac:dyDescent="0.25">
      <c r="A127" t="s">
        <v>1005</v>
      </c>
      <c r="B127" s="82" t="s">
        <v>406</v>
      </c>
    </row>
    <row r="128" spans="1:2" x14ac:dyDescent="0.25">
      <c r="A128" t="s">
        <v>673</v>
      </c>
      <c r="B128" s="82" t="s">
        <v>517</v>
      </c>
    </row>
    <row r="129" spans="1:2" x14ac:dyDescent="0.25">
      <c r="A129" t="s">
        <v>1006</v>
      </c>
      <c r="B129" s="82" t="s">
        <v>518</v>
      </c>
    </row>
    <row r="130" spans="1:2" x14ac:dyDescent="0.25">
      <c r="A130" t="s">
        <v>1007</v>
      </c>
      <c r="B130" s="82" t="s">
        <v>519</v>
      </c>
    </row>
    <row r="131" spans="1:2" x14ac:dyDescent="0.25">
      <c r="A131" t="s">
        <v>1008</v>
      </c>
      <c r="B131" s="82" t="s">
        <v>407</v>
      </c>
    </row>
    <row r="132" spans="1:2" x14ac:dyDescent="0.25">
      <c r="A132" t="s">
        <v>1009</v>
      </c>
      <c r="B132" s="82" t="s">
        <v>520</v>
      </c>
    </row>
    <row r="133" spans="1:2" x14ac:dyDescent="0.25">
      <c r="A133" t="s">
        <v>1010</v>
      </c>
      <c r="B133" s="82" t="s">
        <v>521</v>
      </c>
    </row>
    <row r="134" spans="1:2" x14ac:dyDescent="0.25">
      <c r="A134" t="s">
        <v>1011</v>
      </c>
      <c r="B134" s="82" t="s">
        <v>408</v>
      </c>
    </row>
    <row r="135" spans="1:2" x14ac:dyDescent="0.25">
      <c r="A135" t="s">
        <v>1012</v>
      </c>
      <c r="B135" s="82" t="s">
        <v>522</v>
      </c>
    </row>
    <row r="136" spans="1:2" x14ac:dyDescent="0.25">
      <c r="A136" t="s">
        <v>1013</v>
      </c>
      <c r="B136" s="82" t="s">
        <v>409</v>
      </c>
    </row>
    <row r="137" spans="1:2" x14ac:dyDescent="0.25">
      <c r="A137" t="s">
        <v>1014</v>
      </c>
      <c r="B137" s="82" t="s">
        <v>523</v>
      </c>
    </row>
    <row r="138" spans="1:2" x14ac:dyDescent="0.25">
      <c r="A138" t="s">
        <v>1015</v>
      </c>
      <c r="B138" s="82" t="s">
        <v>524</v>
      </c>
    </row>
    <row r="139" spans="1:2" x14ac:dyDescent="0.25">
      <c r="A139" t="s">
        <v>1016</v>
      </c>
      <c r="B139" s="82" t="s">
        <v>525</v>
      </c>
    </row>
    <row r="140" spans="1:2" x14ac:dyDescent="0.25">
      <c r="A140" t="s">
        <v>1017</v>
      </c>
      <c r="B140" s="82" t="s">
        <v>526</v>
      </c>
    </row>
    <row r="141" spans="1:2" x14ac:dyDescent="0.25">
      <c r="A141" t="s">
        <v>1018</v>
      </c>
      <c r="B141" s="82" t="s">
        <v>527</v>
      </c>
    </row>
    <row r="142" spans="1:2" x14ac:dyDescent="0.25">
      <c r="A142" t="s">
        <v>1019</v>
      </c>
      <c r="B142" s="82" t="s">
        <v>528</v>
      </c>
    </row>
    <row r="143" spans="1:2" x14ac:dyDescent="0.25">
      <c r="A143" t="s">
        <v>1020</v>
      </c>
      <c r="B143" s="82" t="s">
        <v>529</v>
      </c>
    </row>
    <row r="144" spans="1:2" x14ac:dyDescent="0.25">
      <c r="A144" t="s">
        <v>847</v>
      </c>
      <c r="B144" s="82" t="s">
        <v>410</v>
      </c>
    </row>
    <row r="145" spans="1:2" x14ac:dyDescent="0.25">
      <c r="A145" t="s">
        <v>1021</v>
      </c>
      <c r="B145" s="82" t="s">
        <v>411</v>
      </c>
    </row>
    <row r="146" spans="1:2" x14ac:dyDescent="0.25">
      <c r="A146" t="s">
        <v>1022</v>
      </c>
      <c r="B146" s="82" t="s">
        <v>412</v>
      </c>
    </row>
    <row r="147" spans="1:2" x14ac:dyDescent="0.25">
      <c r="A147" t="s">
        <v>1023</v>
      </c>
      <c r="B147" s="82" t="s">
        <v>413</v>
      </c>
    </row>
    <row r="148" spans="1:2" x14ac:dyDescent="0.25">
      <c r="A148" t="s">
        <v>1024</v>
      </c>
      <c r="B148" s="82" t="s">
        <v>530</v>
      </c>
    </row>
    <row r="149" spans="1:2" x14ac:dyDescent="0.25">
      <c r="A149" t="s">
        <v>1025</v>
      </c>
      <c r="B149" s="82" t="s">
        <v>414</v>
      </c>
    </row>
    <row r="150" spans="1:2" x14ac:dyDescent="0.25">
      <c r="A150" t="s">
        <v>1026</v>
      </c>
      <c r="B150" s="82" t="s">
        <v>415</v>
      </c>
    </row>
    <row r="151" spans="1:2" x14ac:dyDescent="0.25">
      <c r="A151" t="s">
        <v>1027</v>
      </c>
      <c r="B151" s="82" t="s">
        <v>416</v>
      </c>
    </row>
    <row r="152" spans="1:2" x14ac:dyDescent="0.25">
      <c r="A152" t="s">
        <v>1028</v>
      </c>
      <c r="B152" s="82" t="s">
        <v>417</v>
      </c>
    </row>
    <row r="153" spans="1:2" x14ac:dyDescent="0.25">
      <c r="A153" t="s">
        <v>1029</v>
      </c>
      <c r="B153" s="82" t="s">
        <v>418</v>
      </c>
    </row>
    <row r="154" spans="1:2" x14ac:dyDescent="0.25">
      <c r="A154" t="s">
        <v>1030</v>
      </c>
      <c r="B154" s="82" t="s">
        <v>419</v>
      </c>
    </row>
    <row r="155" spans="1:2" x14ac:dyDescent="0.25">
      <c r="A155" t="s">
        <v>1031</v>
      </c>
      <c r="B155" s="82" t="s">
        <v>531</v>
      </c>
    </row>
    <row r="156" spans="1:2" x14ac:dyDescent="0.25">
      <c r="A156" t="s">
        <v>674</v>
      </c>
      <c r="B156" s="82" t="s">
        <v>420</v>
      </c>
    </row>
    <row r="157" spans="1:2" x14ac:dyDescent="0.25">
      <c r="A157" t="s">
        <v>1032</v>
      </c>
      <c r="B157" s="82" t="s">
        <v>421</v>
      </c>
    </row>
    <row r="158" spans="1:2" x14ac:dyDescent="0.25">
      <c r="A158" t="s">
        <v>1033</v>
      </c>
      <c r="B158" s="82" t="s">
        <v>422</v>
      </c>
    </row>
    <row r="159" spans="1:2" x14ac:dyDescent="0.25">
      <c r="A159" t="s">
        <v>1034</v>
      </c>
      <c r="B159" s="82" t="s">
        <v>423</v>
      </c>
    </row>
    <row r="160" spans="1:2" x14ac:dyDescent="0.25">
      <c r="A160" t="s">
        <v>848</v>
      </c>
      <c r="B160" s="82" t="s">
        <v>424</v>
      </c>
    </row>
    <row r="161" spans="1:2" x14ac:dyDescent="0.25">
      <c r="A161" t="s">
        <v>1035</v>
      </c>
      <c r="B161" s="82" t="s">
        <v>532</v>
      </c>
    </row>
    <row r="162" spans="1:2" x14ac:dyDescent="0.25">
      <c r="A162" t="s">
        <v>1036</v>
      </c>
      <c r="B162" s="82" t="s">
        <v>533</v>
      </c>
    </row>
    <row r="163" spans="1:2" x14ac:dyDescent="0.25">
      <c r="A163" t="s">
        <v>1037</v>
      </c>
      <c r="B163" s="82" t="s">
        <v>425</v>
      </c>
    </row>
    <row r="164" spans="1:2" x14ac:dyDescent="0.25">
      <c r="A164" t="s">
        <v>1038</v>
      </c>
      <c r="B164" s="82" t="s">
        <v>534</v>
      </c>
    </row>
    <row r="165" spans="1:2" x14ac:dyDescent="0.25">
      <c r="A165" t="s">
        <v>1039</v>
      </c>
      <c r="B165" s="82" t="s">
        <v>535</v>
      </c>
    </row>
    <row r="166" spans="1:2" x14ac:dyDescent="0.25">
      <c r="A166" t="s">
        <v>1040</v>
      </c>
      <c r="B166" s="82" t="s">
        <v>536</v>
      </c>
    </row>
    <row r="167" spans="1:2" x14ac:dyDescent="0.25">
      <c r="A167" t="s">
        <v>1041</v>
      </c>
      <c r="B167" s="82" t="s">
        <v>537</v>
      </c>
    </row>
    <row r="168" spans="1:2" x14ac:dyDescent="0.25">
      <c r="A168" t="s">
        <v>1042</v>
      </c>
      <c r="B168" s="82" t="s">
        <v>426</v>
      </c>
    </row>
    <row r="169" spans="1:2" x14ac:dyDescent="0.25">
      <c r="A169" t="s">
        <v>1043</v>
      </c>
      <c r="B169" s="82" t="s">
        <v>427</v>
      </c>
    </row>
    <row r="170" spans="1:2" x14ac:dyDescent="0.25">
      <c r="A170" t="s">
        <v>849</v>
      </c>
      <c r="B170" s="82" t="s">
        <v>428</v>
      </c>
    </row>
    <row r="171" spans="1:2" x14ac:dyDescent="0.25">
      <c r="A171" t="s">
        <v>1044</v>
      </c>
      <c r="B171" s="82" t="s">
        <v>429</v>
      </c>
    </row>
    <row r="172" spans="1:2" x14ac:dyDescent="0.25">
      <c r="A172" t="s">
        <v>1045</v>
      </c>
      <c r="B172" s="82" t="s">
        <v>430</v>
      </c>
    </row>
    <row r="173" spans="1:2" x14ac:dyDescent="0.25">
      <c r="A173" t="s">
        <v>1046</v>
      </c>
      <c r="B173" s="82" t="s">
        <v>431</v>
      </c>
    </row>
    <row r="174" spans="1:2" x14ac:dyDescent="0.25">
      <c r="A174" t="s">
        <v>1047</v>
      </c>
      <c r="B174" s="82" t="s">
        <v>432</v>
      </c>
    </row>
    <row r="175" spans="1:2" x14ac:dyDescent="0.25">
      <c r="A175" t="s">
        <v>1048</v>
      </c>
      <c r="B175" s="82" t="s">
        <v>538</v>
      </c>
    </row>
    <row r="176" spans="1:2" x14ac:dyDescent="0.25">
      <c r="A176" t="s">
        <v>1049</v>
      </c>
      <c r="B176" s="82" t="s">
        <v>539</v>
      </c>
    </row>
    <row r="177" spans="1:2" x14ac:dyDescent="0.25">
      <c r="A177" t="s">
        <v>1050</v>
      </c>
      <c r="B177" s="82" t="s">
        <v>433</v>
      </c>
    </row>
    <row r="178" spans="1:2" x14ac:dyDescent="0.25">
      <c r="A178" t="s">
        <v>1051</v>
      </c>
      <c r="B178" s="82" t="s">
        <v>434</v>
      </c>
    </row>
    <row r="179" spans="1:2" x14ac:dyDescent="0.25">
      <c r="A179" t="s">
        <v>1052</v>
      </c>
      <c r="B179" s="82" t="s">
        <v>435</v>
      </c>
    </row>
    <row r="180" spans="1:2" x14ac:dyDescent="0.25">
      <c r="A180" t="s">
        <v>1053</v>
      </c>
      <c r="B180" s="82" t="s">
        <v>436</v>
      </c>
    </row>
    <row r="181" spans="1:2" x14ac:dyDescent="0.25">
      <c r="A181" t="s">
        <v>1054</v>
      </c>
      <c r="B181" s="82" t="s">
        <v>437</v>
      </c>
    </row>
    <row r="182" spans="1:2" x14ac:dyDescent="0.25">
      <c r="A182" t="s">
        <v>1055</v>
      </c>
      <c r="B182" s="82" t="s">
        <v>438</v>
      </c>
    </row>
    <row r="183" spans="1:2" x14ac:dyDescent="0.25">
      <c r="A183" t="s">
        <v>1056</v>
      </c>
      <c r="B183" s="82" t="s">
        <v>439</v>
      </c>
    </row>
    <row r="184" spans="1:2" x14ac:dyDescent="0.25">
      <c r="A184" t="s">
        <v>1057</v>
      </c>
      <c r="B184" s="82" t="s">
        <v>440</v>
      </c>
    </row>
    <row r="185" spans="1:2" x14ac:dyDescent="0.25">
      <c r="A185" t="s">
        <v>1058</v>
      </c>
      <c r="B185" s="82" t="s">
        <v>441</v>
      </c>
    </row>
    <row r="186" spans="1:2" x14ac:dyDescent="0.25">
      <c r="A186" t="s">
        <v>1059</v>
      </c>
      <c r="B186" s="82" t="s">
        <v>442</v>
      </c>
    </row>
    <row r="187" spans="1:2" x14ac:dyDescent="0.25">
      <c r="A187" t="s">
        <v>750</v>
      </c>
      <c r="B187" s="82" t="s">
        <v>751</v>
      </c>
    </row>
    <row r="188" spans="1:2" x14ac:dyDescent="0.25">
      <c r="A188" t="s">
        <v>1659</v>
      </c>
      <c r="B188" s="82" t="s">
        <v>443</v>
      </c>
    </row>
    <row r="189" spans="1:2" x14ac:dyDescent="0.25">
      <c r="A189" t="s">
        <v>850</v>
      </c>
      <c r="B189" s="82" t="s">
        <v>444</v>
      </c>
    </row>
    <row r="190" spans="1:2" x14ac:dyDescent="0.25">
      <c r="A190" t="s">
        <v>540</v>
      </c>
      <c r="B190" s="82" t="s">
        <v>445</v>
      </c>
    </row>
    <row r="191" spans="1:2" x14ac:dyDescent="0.25">
      <c r="A191" t="s">
        <v>541</v>
      </c>
      <c r="B191" s="82" t="s">
        <v>446</v>
      </c>
    </row>
    <row r="192" spans="1:2" x14ac:dyDescent="0.25">
      <c r="A192" t="s">
        <v>542</v>
      </c>
      <c r="B192" s="82" t="s">
        <v>447</v>
      </c>
    </row>
    <row r="193" spans="1:2" x14ac:dyDescent="0.25">
      <c r="A193" t="s">
        <v>1060</v>
      </c>
      <c r="B193" s="82" t="s">
        <v>448</v>
      </c>
    </row>
    <row r="194" spans="1:2" x14ac:dyDescent="0.25">
      <c r="A194" t="s">
        <v>543</v>
      </c>
      <c r="B194" s="82" t="s">
        <v>449</v>
      </c>
    </row>
    <row r="195" spans="1:2" x14ac:dyDescent="0.25">
      <c r="A195" t="s">
        <v>544</v>
      </c>
      <c r="B195" s="82" t="s">
        <v>450</v>
      </c>
    </row>
    <row r="196" spans="1:2" x14ac:dyDescent="0.25">
      <c r="A196" t="s">
        <v>545</v>
      </c>
      <c r="B196" s="82" t="s">
        <v>546</v>
      </c>
    </row>
    <row r="197" spans="1:2" x14ac:dyDescent="0.25">
      <c r="A197" t="s">
        <v>547</v>
      </c>
      <c r="B197" s="82" t="s">
        <v>548</v>
      </c>
    </row>
    <row r="198" spans="1:2" x14ac:dyDescent="0.25">
      <c r="A198" t="s">
        <v>549</v>
      </c>
      <c r="B198" s="82" t="s">
        <v>550</v>
      </c>
    </row>
    <row r="199" spans="1:2" x14ac:dyDescent="0.25">
      <c r="A199" t="s">
        <v>551</v>
      </c>
      <c r="B199" s="82" t="s">
        <v>451</v>
      </c>
    </row>
    <row r="200" spans="1:2" x14ac:dyDescent="0.25">
      <c r="A200" t="s">
        <v>552</v>
      </c>
      <c r="B200" s="82" t="s">
        <v>452</v>
      </c>
    </row>
    <row r="201" spans="1:2" x14ac:dyDescent="0.25">
      <c r="A201" t="s">
        <v>553</v>
      </c>
      <c r="B201" s="82" t="s">
        <v>453</v>
      </c>
    </row>
    <row r="202" spans="1:2" x14ac:dyDescent="0.25">
      <c r="A202" t="s">
        <v>763</v>
      </c>
      <c r="B202" s="82" t="s">
        <v>454</v>
      </c>
    </row>
    <row r="203" spans="1:2" x14ac:dyDescent="0.25">
      <c r="A203" t="s">
        <v>554</v>
      </c>
      <c r="B203" s="82" t="s">
        <v>455</v>
      </c>
    </row>
    <row r="204" spans="1:2" x14ac:dyDescent="0.25">
      <c r="A204" t="s">
        <v>555</v>
      </c>
      <c r="B204" s="82" t="s">
        <v>556</v>
      </c>
    </row>
    <row r="205" spans="1:2" x14ac:dyDescent="0.25">
      <c r="A205" t="s">
        <v>557</v>
      </c>
      <c r="B205" s="82" t="s">
        <v>558</v>
      </c>
    </row>
    <row r="206" spans="1:2" x14ac:dyDescent="0.25">
      <c r="A206" t="s">
        <v>1061</v>
      </c>
      <c r="B206" s="82" t="s">
        <v>456</v>
      </c>
    </row>
    <row r="207" spans="1:2" x14ac:dyDescent="0.25">
      <c r="A207" t="s">
        <v>559</v>
      </c>
      <c r="B207" s="82" t="s">
        <v>560</v>
      </c>
    </row>
    <row r="208" spans="1:2" x14ac:dyDescent="0.25">
      <c r="A208" t="s">
        <v>561</v>
      </c>
      <c r="B208" s="82" t="s">
        <v>562</v>
      </c>
    </row>
    <row r="209" spans="1:2" x14ac:dyDescent="0.25">
      <c r="A209" t="s">
        <v>563</v>
      </c>
      <c r="B209" s="82" t="s">
        <v>459</v>
      </c>
    </row>
    <row r="210" spans="1:2" x14ac:dyDescent="0.25">
      <c r="A210" t="s">
        <v>564</v>
      </c>
      <c r="B210" s="82" t="s">
        <v>460</v>
      </c>
    </row>
    <row r="211" spans="1:2" x14ac:dyDescent="0.25">
      <c r="A211" t="s">
        <v>565</v>
      </c>
      <c r="B211" s="82" t="s">
        <v>461</v>
      </c>
    </row>
    <row r="212" spans="1:2" x14ac:dyDescent="0.25">
      <c r="A212" t="s">
        <v>566</v>
      </c>
      <c r="B212" s="82" t="s">
        <v>567</v>
      </c>
    </row>
    <row r="213" spans="1:2" x14ac:dyDescent="0.25">
      <c r="A213" t="s">
        <v>568</v>
      </c>
      <c r="B213" s="82" t="s">
        <v>569</v>
      </c>
    </row>
    <row r="214" spans="1:2" x14ac:dyDescent="0.25">
      <c r="A214" t="s">
        <v>570</v>
      </c>
      <c r="B214" s="82" t="s">
        <v>462</v>
      </c>
    </row>
    <row r="215" spans="1:2" x14ac:dyDescent="0.25">
      <c r="A215" t="s">
        <v>571</v>
      </c>
      <c r="B215" s="82" t="s">
        <v>463</v>
      </c>
    </row>
    <row r="216" spans="1:2" x14ac:dyDescent="0.25">
      <c r="A216" t="s">
        <v>572</v>
      </c>
      <c r="B216" s="82" t="s">
        <v>464</v>
      </c>
    </row>
    <row r="217" spans="1:2" x14ac:dyDescent="0.25">
      <c r="A217" t="s">
        <v>573</v>
      </c>
      <c r="B217" s="82" t="s">
        <v>574</v>
      </c>
    </row>
    <row r="218" spans="1:2" x14ac:dyDescent="0.25">
      <c r="A218" t="s">
        <v>575</v>
      </c>
      <c r="B218" s="82" t="s">
        <v>576</v>
      </c>
    </row>
    <row r="219" spans="1:2" x14ac:dyDescent="0.25">
      <c r="A219" t="s">
        <v>577</v>
      </c>
      <c r="B219" s="82" t="s">
        <v>465</v>
      </c>
    </row>
    <row r="220" spans="1:2" x14ac:dyDescent="0.25">
      <c r="A220" t="s">
        <v>747</v>
      </c>
      <c r="B220" s="82" t="s">
        <v>748</v>
      </c>
    </row>
    <row r="221" spans="1:2" x14ac:dyDescent="0.25">
      <c r="A221" t="s">
        <v>578</v>
      </c>
      <c r="B221" s="82" t="s">
        <v>466</v>
      </c>
    </row>
    <row r="222" spans="1:2" x14ac:dyDescent="0.25">
      <c r="A222" t="s">
        <v>579</v>
      </c>
      <c r="B222" s="82" t="s">
        <v>467</v>
      </c>
    </row>
    <row r="223" spans="1:2" x14ac:dyDescent="0.25">
      <c r="A223" t="s">
        <v>580</v>
      </c>
      <c r="B223" s="82" t="s">
        <v>581</v>
      </c>
    </row>
    <row r="224" spans="1:2" x14ac:dyDescent="0.25">
      <c r="A224" t="s">
        <v>583</v>
      </c>
      <c r="B224" s="82" t="s">
        <v>582</v>
      </c>
    </row>
    <row r="225" spans="1:2" x14ac:dyDescent="0.25">
      <c r="A225" t="s">
        <v>585</v>
      </c>
      <c r="B225" s="82" t="s">
        <v>584</v>
      </c>
    </row>
    <row r="226" spans="1:2" x14ac:dyDescent="0.25">
      <c r="A226" t="s">
        <v>587</v>
      </c>
      <c r="B226" s="82" t="s">
        <v>586</v>
      </c>
    </row>
    <row r="227" spans="1:2" x14ac:dyDescent="0.25">
      <c r="A227" t="s">
        <v>726</v>
      </c>
      <c r="B227" s="82" t="s">
        <v>588</v>
      </c>
    </row>
    <row r="228" spans="1:2" x14ac:dyDescent="0.25">
      <c r="A228" t="s">
        <v>592</v>
      </c>
      <c r="B228" s="82" t="s">
        <v>590</v>
      </c>
    </row>
    <row r="229" spans="1:2" x14ac:dyDescent="0.25">
      <c r="A229" t="s">
        <v>593</v>
      </c>
      <c r="B229" s="82" t="s">
        <v>591</v>
      </c>
    </row>
    <row r="230" spans="1:2" x14ac:dyDescent="0.25">
      <c r="A230" t="s">
        <v>595</v>
      </c>
      <c r="B230" s="82" t="s">
        <v>594</v>
      </c>
    </row>
    <row r="231" spans="1:2" x14ac:dyDescent="0.25">
      <c r="A231" t="s">
        <v>597</v>
      </c>
      <c r="B231" s="82" t="s">
        <v>596</v>
      </c>
    </row>
    <row r="232" spans="1:2" x14ac:dyDescent="0.25">
      <c r="A232" t="s">
        <v>598</v>
      </c>
      <c r="B232" s="82" t="s">
        <v>601</v>
      </c>
    </row>
    <row r="233" spans="1:2" x14ac:dyDescent="0.25">
      <c r="A233" t="s">
        <v>599</v>
      </c>
      <c r="B233" s="82" t="s">
        <v>602</v>
      </c>
    </row>
    <row r="234" spans="1:2" x14ac:dyDescent="0.25">
      <c r="A234" t="s">
        <v>851</v>
      </c>
      <c r="B234" s="82" t="s">
        <v>603</v>
      </c>
    </row>
    <row r="235" spans="1:2" x14ac:dyDescent="0.25">
      <c r="A235" t="s">
        <v>600</v>
      </c>
      <c r="B235" s="82" t="s">
        <v>604</v>
      </c>
    </row>
    <row r="236" spans="1:2" x14ac:dyDescent="0.25">
      <c r="A236" t="s">
        <v>607</v>
      </c>
      <c r="B236" s="82" t="s">
        <v>605</v>
      </c>
    </row>
    <row r="237" spans="1:2" x14ac:dyDescent="0.25">
      <c r="A237" t="s">
        <v>608</v>
      </c>
      <c r="B237" s="82" t="s">
        <v>606</v>
      </c>
    </row>
    <row r="238" spans="1:2" x14ac:dyDescent="0.25">
      <c r="A238" t="s">
        <v>610</v>
      </c>
      <c r="B238" s="82" t="s">
        <v>609</v>
      </c>
    </row>
    <row r="239" spans="1:2" x14ac:dyDescent="0.25">
      <c r="A239" t="s">
        <v>611</v>
      </c>
      <c r="B239" s="82" t="s">
        <v>612</v>
      </c>
    </row>
    <row r="240" spans="1:2" x14ac:dyDescent="0.25">
      <c r="A240" t="s">
        <v>614</v>
      </c>
      <c r="B240" s="82" t="s">
        <v>613</v>
      </c>
    </row>
    <row r="241" spans="1:2" x14ac:dyDescent="0.25">
      <c r="A241" t="s">
        <v>621</v>
      </c>
      <c r="B241" s="82" t="s">
        <v>615</v>
      </c>
    </row>
    <row r="242" spans="1:2" x14ac:dyDescent="0.25">
      <c r="A242" t="s">
        <v>622</v>
      </c>
      <c r="B242" s="82" t="s">
        <v>616</v>
      </c>
    </row>
    <row r="243" spans="1:2" x14ac:dyDescent="0.25">
      <c r="A243" t="s">
        <v>623</v>
      </c>
      <c r="B243" s="82" t="s">
        <v>617</v>
      </c>
    </row>
    <row r="244" spans="1:2" x14ac:dyDescent="0.25">
      <c r="A244" t="s">
        <v>624</v>
      </c>
      <c r="B244" s="82" t="s">
        <v>618</v>
      </c>
    </row>
    <row r="245" spans="1:2" x14ac:dyDescent="0.25">
      <c r="A245" t="s">
        <v>625</v>
      </c>
      <c r="B245" s="82" t="s">
        <v>619</v>
      </c>
    </row>
    <row r="246" spans="1:2" x14ac:dyDescent="0.25">
      <c r="A246" t="s">
        <v>626</v>
      </c>
      <c r="B246" s="82" t="s">
        <v>620</v>
      </c>
    </row>
    <row r="247" spans="1:2" x14ac:dyDescent="0.25">
      <c r="A247" t="s">
        <v>631</v>
      </c>
      <c r="B247" s="82" t="s">
        <v>627</v>
      </c>
    </row>
    <row r="248" spans="1:2" x14ac:dyDescent="0.25">
      <c r="A248" t="s">
        <v>632</v>
      </c>
      <c r="B248" s="82" t="s">
        <v>628</v>
      </c>
    </row>
    <row r="249" spans="1:2" x14ac:dyDescent="0.25">
      <c r="A249" t="s">
        <v>633</v>
      </c>
      <c r="B249" s="82" t="s">
        <v>629</v>
      </c>
    </row>
    <row r="250" spans="1:2" x14ac:dyDescent="0.25">
      <c r="A250" t="s">
        <v>634</v>
      </c>
      <c r="B250" s="82" t="s">
        <v>630</v>
      </c>
    </row>
    <row r="251" spans="1:2" x14ac:dyDescent="0.25">
      <c r="A251" t="s">
        <v>675</v>
      </c>
      <c r="B251" s="82" t="s">
        <v>635</v>
      </c>
    </row>
    <row r="252" spans="1:2" x14ac:dyDescent="0.25">
      <c r="A252" t="s">
        <v>637</v>
      </c>
      <c r="B252" s="82" t="s">
        <v>636</v>
      </c>
    </row>
    <row r="253" spans="1:2" x14ac:dyDescent="0.25">
      <c r="A253" t="s">
        <v>640</v>
      </c>
      <c r="B253" s="82" t="s">
        <v>638</v>
      </c>
    </row>
    <row r="254" spans="1:2" x14ac:dyDescent="0.25">
      <c r="A254" t="s">
        <v>641</v>
      </c>
      <c r="B254" s="82" t="s">
        <v>639</v>
      </c>
    </row>
    <row r="255" spans="1:2" x14ac:dyDescent="0.25">
      <c r="A255" t="s">
        <v>643</v>
      </c>
      <c r="B255" s="82" t="s">
        <v>642</v>
      </c>
    </row>
    <row r="256" spans="1:2" x14ac:dyDescent="0.25">
      <c r="A256" t="s">
        <v>645</v>
      </c>
      <c r="B256" s="82" t="s">
        <v>644</v>
      </c>
    </row>
    <row r="257" spans="1:2" x14ac:dyDescent="0.25">
      <c r="A257" t="s">
        <v>647</v>
      </c>
      <c r="B257" s="82" t="s">
        <v>646</v>
      </c>
    </row>
    <row r="258" spans="1:2" x14ac:dyDescent="0.25">
      <c r="A258" t="s">
        <v>649</v>
      </c>
      <c r="B258" s="82" t="s">
        <v>648</v>
      </c>
    </row>
    <row r="259" spans="1:2" x14ac:dyDescent="0.25">
      <c r="A259" t="s">
        <v>651</v>
      </c>
      <c r="B259" s="82" t="s">
        <v>650</v>
      </c>
    </row>
    <row r="260" spans="1:2" x14ac:dyDescent="0.25">
      <c r="A260" t="s">
        <v>653</v>
      </c>
      <c r="B260" s="82" t="s">
        <v>652</v>
      </c>
    </row>
    <row r="261" spans="1:2" x14ac:dyDescent="0.25">
      <c r="A261" t="s">
        <v>655</v>
      </c>
      <c r="B261" s="82" t="s">
        <v>654</v>
      </c>
    </row>
    <row r="262" spans="1:2" x14ac:dyDescent="0.25">
      <c r="A262" t="s">
        <v>657</v>
      </c>
      <c r="B262" s="82" t="s">
        <v>656</v>
      </c>
    </row>
    <row r="263" spans="1:2" x14ac:dyDescent="0.25">
      <c r="A263" t="s">
        <v>659</v>
      </c>
      <c r="B263" s="82" t="s">
        <v>658</v>
      </c>
    </row>
    <row r="264" spans="1:2" x14ac:dyDescent="0.25">
      <c r="A264" t="s">
        <v>661</v>
      </c>
      <c r="B264" s="82" t="s">
        <v>660</v>
      </c>
    </row>
    <row r="265" spans="1:2" x14ac:dyDescent="0.25">
      <c r="A265" t="s">
        <v>663</v>
      </c>
      <c r="B265" s="82" t="s">
        <v>662</v>
      </c>
    </row>
    <row r="266" spans="1:2" x14ac:dyDescent="0.25">
      <c r="A266" t="s">
        <v>665</v>
      </c>
      <c r="B266" s="82" t="s">
        <v>664</v>
      </c>
    </row>
    <row r="267" spans="1:2" x14ac:dyDescent="0.25">
      <c r="A267" t="s">
        <v>667</v>
      </c>
      <c r="B267" s="82" t="s">
        <v>666</v>
      </c>
    </row>
    <row r="268" spans="1:2" x14ac:dyDescent="0.25">
      <c r="A268" t="s">
        <v>669</v>
      </c>
      <c r="B268" s="82" t="s">
        <v>668</v>
      </c>
    </row>
    <row r="269" spans="1:2" x14ac:dyDescent="0.25">
      <c r="A269" t="s">
        <v>676</v>
      </c>
      <c r="B269" s="82" t="s">
        <v>670</v>
      </c>
    </row>
    <row r="270" spans="1:2" x14ac:dyDescent="0.25">
      <c r="A270" t="s">
        <v>677</v>
      </c>
      <c r="B270" s="82" t="s">
        <v>671</v>
      </c>
    </row>
    <row r="271" spans="1:2" x14ac:dyDescent="0.25">
      <c r="A271" t="s">
        <v>679</v>
      </c>
      <c r="B271" s="82" t="s">
        <v>678</v>
      </c>
    </row>
    <row r="272" spans="1:2" x14ac:dyDescent="0.25">
      <c r="A272" t="s">
        <v>681</v>
      </c>
      <c r="B272" s="82" t="s">
        <v>680</v>
      </c>
    </row>
    <row r="273" spans="1:2" x14ac:dyDescent="0.25">
      <c r="A273" t="s">
        <v>683</v>
      </c>
      <c r="B273" s="82" t="s">
        <v>682</v>
      </c>
    </row>
    <row r="274" spans="1:2" x14ac:dyDescent="0.25">
      <c r="A274" t="s">
        <v>685</v>
      </c>
      <c r="B274" s="82" t="s">
        <v>684</v>
      </c>
    </row>
    <row r="275" spans="1:2" x14ac:dyDescent="0.25">
      <c r="A275" t="s">
        <v>687</v>
      </c>
      <c r="B275" s="82" t="s">
        <v>686</v>
      </c>
    </row>
    <row r="276" spans="1:2" x14ac:dyDescent="0.25">
      <c r="A276" t="s">
        <v>689</v>
      </c>
      <c r="B276" s="82" t="s">
        <v>688</v>
      </c>
    </row>
    <row r="277" spans="1:2" x14ac:dyDescent="0.25">
      <c r="A277" t="s">
        <v>691</v>
      </c>
      <c r="B277" s="82" t="s">
        <v>690</v>
      </c>
    </row>
    <row r="278" spans="1:2" x14ac:dyDescent="0.25">
      <c r="A278" t="s">
        <v>693</v>
      </c>
      <c r="B278" s="82" t="s">
        <v>692</v>
      </c>
    </row>
    <row r="279" spans="1:2" x14ac:dyDescent="0.25">
      <c r="A279" t="s">
        <v>695</v>
      </c>
      <c r="B279" s="82" t="s">
        <v>694</v>
      </c>
    </row>
    <row r="280" spans="1:2" x14ac:dyDescent="0.25">
      <c r="A280" t="s">
        <v>697</v>
      </c>
      <c r="B280" s="82" t="s">
        <v>696</v>
      </c>
    </row>
    <row r="281" spans="1:2" x14ac:dyDescent="0.25">
      <c r="A281" t="s">
        <v>699</v>
      </c>
      <c r="B281" s="82" t="s">
        <v>698</v>
      </c>
    </row>
    <row r="282" spans="1:2" x14ac:dyDescent="0.25">
      <c r="A282" t="s">
        <v>701</v>
      </c>
      <c r="B282" s="82" t="s">
        <v>700</v>
      </c>
    </row>
    <row r="283" spans="1:2" x14ac:dyDescent="0.25">
      <c r="A283" t="s">
        <v>703</v>
      </c>
      <c r="B283" s="82" t="s">
        <v>702</v>
      </c>
    </row>
    <row r="284" spans="1:2" x14ac:dyDescent="0.25">
      <c r="A284" t="s">
        <v>705</v>
      </c>
      <c r="B284" s="82" t="s">
        <v>704</v>
      </c>
    </row>
    <row r="285" spans="1:2" x14ac:dyDescent="0.25">
      <c r="A285" t="s">
        <v>707</v>
      </c>
      <c r="B285" s="82" t="s">
        <v>706</v>
      </c>
    </row>
    <row r="286" spans="1:2" x14ac:dyDescent="0.25">
      <c r="A286" t="s">
        <v>709</v>
      </c>
      <c r="B286" s="82" t="s">
        <v>708</v>
      </c>
    </row>
    <row r="287" spans="1:2" x14ac:dyDescent="0.25">
      <c r="A287" t="s">
        <v>711</v>
      </c>
      <c r="B287" s="82" t="s">
        <v>710</v>
      </c>
    </row>
    <row r="288" spans="1:2" x14ac:dyDescent="0.25">
      <c r="A288" t="s">
        <v>713</v>
      </c>
      <c r="B288" s="82" t="s">
        <v>712</v>
      </c>
    </row>
    <row r="289" spans="1:2" x14ac:dyDescent="0.25">
      <c r="A289" t="s">
        <v>715</v>
      </c>
      <c r="B289" s="82" t="s">
        <v>714</v>
      </c>
    </row>
    <row r="290" spans="1:2" x14ac:dyDescent="0.25">
      <c r="A290" t="s">
        <v>717</v>
      </c>
      <c r="B290" s="82" t="s">
        <v>716</v>
      </c>
    </row>
    <row r="291" spans="1:2" x14ac:dyDescent="0.25">
      <c r="A291" t="s">
        <v>719</v>
      </c>
      <c r="B291" s="82" t="s">
        <v>718</v>
      </c>
    </row>
    <row r="292" spans="1:2" x14ac:dyDescent="0.25">
      <c r="A292" t="s">
        <v>721</v>
      </c>
      <c r="B292" s="82" t="s">
        <v>720</v>
      </c>
    </row>
    <row r="293" spans="1:2" x14ac:dyDescent="0.25">
      <c r="A293" t="s">
        <v>723</v>
      </c>
      <c r="B293" s="82" t="s">
        <v>722</v>
      </c>
    </row>
    <row r="294" spans="1:2" x14ac:dyDescent="0.25">
      <c r="A294" t="s">
        <v>725</v>
      </c>
      <c r="B294" s="82" t="s">
        <v>724</v>
      </c>
    </row>
    <row r="295" spans="1:2" x14ac:dyDescent="0.25">
      <c r="A295" t="s">
        <v>727</v>
      </c>
      <c r="B295" s="82" t="s">
        <v>728</v>
      </c>
    </row>
    <row r="296" spans="1:2" x14ac:dyDescent="0.25">
      <c r="A296" t="s">
        <v>729</v>
      </c>
      <c r="B296" s="82" t="s">
        <v>730</v>
      </c>
    </row>
    <row r="297" spans="1:2" x14ac:dyDescent="0.25">
      <c r="A297" t="s">
        <v>731</v>
      </c>
      <c r="B297" s="82" t="s">
        <v>732</v>
      </c>
    </row>
    <row r="298" spans="1:2" x14ac:dyDescent="0.25">
      <c r="A298" t="s">
        <v>733</v>
      </c>
      <c r="B298" s="82" t="s">
        <v>734</v>
      </c>
    </row>
    <row r="299" spans="1:2" x14ac:dyDescent="0.25">
      <c r="A299" t="s">
        <v>735</v>
      </c>
      <c r="B299" s="82" t="s">
        <v>736</v>
      </c>
    </row>
    <row r="300" spans="1:2" x14ac:dyDescent="0.25">
      <c r="A300" t="s">
        <v>737</v>
      </c>
      <c r="B300" s="82" t="s">
        <v>738</v>
      </c>
    </row>
    <row r="301" spans="1:2" x14ac:dyDescent="0.25">
      <c r="A301" t="s">
        <v>739</v>
      </c>
      <c r="B301" s="82" t="s">
        <v>740</v>
      </c>
    </row>
    <row r="302" spans="1:2" x14ac:dyDescent="0.25">
      <c r="A302" t="s">
        <v>741</v>
      </c>
      <c r="B302" s="82" t="s">
        <v>742</v>
      </c>
    </row>
    <row r="303" spans="1:2" x14ac:dyDescent="0.25">
      <c r="A303" t="s">
        <v>744</v>
      </c>
      <c r="B303" s="82" t="s">
        <v>743</v>
      </c>
    </row>
    <row r="304" spans="1:2" x14ac:dyDescent="0.25">
      <c r="A304" t="s">
        <v>745</v>
      </c>
      <c r="B304" s="82" t="s">
        <v>746</v>
      </c>
    </row>
    <row r="305" spans="1:2" x14ac:dyDescent="0.25">
      <c r="A305" t="s">
        <v>1660</v>
      </c>
      <c r="B305" s="82" t="s">
        <v>749</v>
      </c>
    </row>
    <row r="306" spans="1:2" x14ac:dyDescent="0.25">
      <c r="A306" t="s">
        <v>752</v>
      </c>
      <c r="B306" s="82" t="s">
        <v>753</v>
      </c>
    </row>
    <row r="307" spans="1:2" x14ac:dyDescent="0.25">
      <c r="A307" t="s">
        <v>754</v>
      </c>
      <c r="B307" s="82" t="s">
        <v>755</v>
      </c>
    </row>
    <row r="308" spans="1:2" x14ac:dyDescent="0.25">
      <c r="A308" t="s">
        <v>757</v>
      </c>
      <c r="B308" s="82" t="s">
        <v>756</v>
      </c>
    </row>
    <row r="309" spans="1:2" x14ac:dyDescent="0.25">
      <c r="A309" t="s">
        <v>758</v>
      </c>
      <c r="B309" s="82" t="s">
        <v>759</v>
      </c>
    </row>
    <row r="310" spans="1:2" x14ac:dyDescent="0.25">
      <c r="A310" t="s">
        <v>760</v>
      </c>
      <c r="B310" s="82" t="s">
        <v>761</v>
      </c>
    </row>
    <row r="311" spans="1:2" x14ac:dyDescent="0.25">
      <c r="A311" t="s">
        <v>764</v>
      </c>
      <c r="B311" s="82" t="s">
        <v>765</v>
      </c>
    </row>
    <row r="312" spans="1:2" x14ac:dyDescent="0.25">
      <c r="A312" t="s">
        <v>766</v>
      </c>
      <c r="B312" s="82" t="s">
        <v>767</v>
      </c>
    </row>
    <row r="313" spans="1:2" x14ac:dyDescent="0.25">
      <c r="A313" t="s">
        <v>768</v>
      </c>
      <c r="B313" s="82" t="s">
        <v>769</v>
      </c>
    </row>
    <row r="314" spans="1:2" x14ac:dyDescent="0.25">
      <c r="A314" t="s">
        <v>770</v>
      </c>
      <c r="B314" s="82" t="s">
        <v>771</v>
      </c>
    </row>
    <row r="315" spans="1:2" x14ac:dyDescent="0.25">
      <c r="A315" t="s">
        <v>773</v>
      </c>
      <c r="B315" s="82" t="s">
        <v>772</v>
      </c>
    </row>
    <row r="316" spans="1:2" x14ac:dyDescent="0.25">
      <c r="A316" t="s">
        <v>774</v>
      </c>
      <c r="B316" s="82" t="s">
        <v>775</v>
      </c>
    </row>
    <row r="317" spans="1:2" x14ac:dyDescent="0.25">
      <c r="A317" t="s">
        <v>776</v>
      </c>
      <c r="B317" s="82" t="s">
        <v>777</v>
      </c>
    </row>
    <row r="318" spans="1:2" x14ac:dyDescent="0.25">
      <c r="A318" t="s">
        <v>778</v>
      </c>
      <c r="B318" s="82" t="s">
        <v>779</v>
      </c>
    </row>
    <row r="319" spans="1:2" x14ac:dyDescent="0.25">
      <c r="A319" t="s">
        <v>780</v>
      </c>
      <c r="B319" s="82" t="s">
        <v>781</v>
      </c>
    </row>
    <row r="320" spans="1:2" x14ac:dyDescent="0.25">
      <c r="A320" t="s">
        <v>782</v>
      </c>
      <c r="B320" s="82" t="s">
        <v>783</v>
      </c>
    </row>
    <row r="321" spans="1:2" x14ac:dyDescent="0.25">
      <c r="A321" t="s">
        <v>784</v>
      </c>
      <c r="B321" s="82" t="s">
        <v>785</v>
      </c>
    </row>
    <row r="322" spans="1:2" x14ac:dyDescent="0.25">
      <c r="A322" t="s">
        <v>786</v>
      </c>
      <c r="B322" s="82" t="s">
        <v>787</v>
      </c>
    </row>
    <row r="323" spans="1:2" x14ac:dyDescent="0.25">
      <c r="A323" t="s">
        <v>788</v>
      </c>
      <c r="B323" s="82" t="s">
        <v>789</v>
      </c>
    </row>
    <row r="324" spans="1:2" x14ac:dyDescent="0.25">
      <c r="A324" t="s">
        <v>790</v>
      </c>
      <c r="B324" s="82" t="s">
        <v>791</v>
      </c>
    </row>
    <row r="325" spans="1:2" x14ac:dyDescent="0.25">
      <c r="A325" t="s">
        <v>792</v>
      </c>
      <c r="B325" s="82" t="s">
        <v>793</v>
      </c>
    </row>
    <row r="326" spans="1:2" x14ac:dyDescent="0.25">
      <c r="A326" t="s">
        <v>794</v>
      </c>
      <c r="B326" s="82" t="s">
        <v>795</v>
      </c>
    </row>
    <row r="327" spans="1:2" x14ac:dyDescent="0.25">
      <c r="A327" t="s">
        <v>797</v>
      </c>
      <c r="B327" s="82" t="s">
        <v>796</v>
      </c>
    </row>
    <row r="328" spans="1:2" x14ac:dyDescent="0.25">
      <c r="A328" t="s">
        <v>798</v>
      </c>
      <c r="B328" s="82" t="s">
        <v>799</v>
      </c>
    </row>
    <row r="329" spans="1:2" x14ac:dyDescent="0.25">
      <c r="A329" t="s">
        <v>800</v>
      </c>
      <c r="B329" s="82" t="s">
        <v>801</v>
      </c>
    </row>
    <row r="330" spans="1:2" x14ac:dyDescent="0.25">
      <c r="A330" t="s">
        <v>802</v>
      </c>
      <c r="B330" s="82" t="s">
        <v>803</v>
      </c>
    </row>
    <row r="331" spans="1:2" x14ac:dyDescent="0.25">
      <c r="A331" t="s">
        <v>804</v>
      </c>
      <c r="B331" s="82" t="s">
        <v>805</v>
      </c>
    </row>
    <row r="332" spans="1:2" x14ac:dyDescent="0.25">
      <c r="A332" t="s">
        <v>806</v>
      </c>
      <c r="B332" s="82" t="s">
        <v>807</v>
      </c>
    </row>
    <row r="333" spans="1:2" x14ac:dyDescent="0.25">
      <c r="A333" t="s">
        <v>808</v>
      </c>
      <c r="B333" s="82" t="s">
        <v>809</v>
      </c>
    </row>
    <row r="334" spans="1:2" x14ac:dyDescent="0.25">
      <c r="A334" t="s">
        <v>810</v>
      </c>
      <c r="B334" s="82" t="s">
        <v>811</v>
      </c>
    </row>
    <row r="335" spans="1:2" x14ac:dyDescent="0.25">
      <c r="A335" t="s">
        <v>812</v>
      </c>
      <c r="B335" s="82" t="s">
        <v>813</v>
      </c>
    </row>
    <row r="336" spans="1:2" x14ac:dyDescent="0.25">
      <c r="A336" t="s">
        <v>852</v>
      </c>
      <c r="B336" s="82" t="s">
        <v>814</v>
      </c>
    </row>
    <row r="337" spans="1:2" x14ac:dyDescent="0.25">
      <c r="A337" t="s">
        <v>815</v>
      </c>
      <c r="B337" s="82" t="s">
        <v>816</v>
      </c>
    </row>
    <row r="338" spans="1:2" x14ac:dyDescent="0.25">
      <c r="A338" t="s">
        <v>817</v>
      </c>
      <c r="B338" s="82" t="s">
        <v>818</v>
      </c>
    </row>
    <row r="339" spans="1:2" x14ac:dyDescent="0.25">
      <c r="A339" t="s">
        <v>853</v>
      </c>
      <c r="B339" s="82" t="s">
        <v>819</v>
      </c>
    </row>
    <row r="340" spans="1:2" x14ac:dyDescent="0.25">
      <c r="A340" t="s">
        <v>820</v>
      </c>
      <c r="B340" s="82" t="s">
        <v>821</v>
      </c>
    </row>
    <row r="341" spans="1:2" x14ac:dyDescent="0.25">
      <c r="A341" t="s">
        <v>1661</v>
      </c>
      <c r="B341" s="82" t="s">
        <v>822</v>
      </c>
    </row>
    <row r="342" spans="1:2" x14ac:dyDescent="0.25">
      <c r="A342" t="s">
        <v>823</v>
      </c>
      <c r="B342" s="82" t="s">
        <v>824</v>
      </c>
    </row>
    <row r="343" spans="1:2" x14ac:dyDescent="0.25">
      <c r="A343" t="s">
        <v>825</v>
      </c>
      <c r="B343" s="82" t="s">
        <v>826</v>
      </c>
    </row>
    <row r="344" spans="1:2" x14ac:dyDescent="0.25">
      <c r="A344" t="s">
        <v>1662</v>
      </c>
      <c r="B344" s="82" t="s">
        <v>827</v>
      </c>
    </row>
    <row r="345" spans="1:2" x14ac:dyDescent="0.25">
      <c r="A345" t="s">
        <v>828</v>
      </c>
      <c r="B345" s="82" t="s">
        <v>829</v>
      </c>
    </row>
    <row r="346" spans="1:2" x14ac:dyDescent="0.25">
      <c r="A346" t="s">
        <v>854</v>
      </c>
      <c r="B346" s="82" t="s">
        <v>855</v>
      </c>
    </row>
    <row r="347" spans="1:2" x14ac:dyDescent="0.25">
      <c r="A347" t="s">
        <v>856</v>
      </c>
      <c r="B347" s="82" t="s">
        <v>857</v>
      </c>
    </row>
    <row r="348" spans="1:2" x14ac:dyDescent="0.25">
      <c r="A348" t="s">
        <v>858</v>
      </c>
      <c r="B348" s="82" t="s">
        <v>859</v>
      </c>
    </row>
    <row r="349" spans="1:2" x14ac:dyDescent="0.25">
      <c r="A349" t="s">
        <v>860</v>
      </c>
      <c r="B349" s="82" t="s">
        <v>861</v>
      </c>
    </row>
    <row r="350" spans="1:2" x14ac:dyDescent="0.25">
      <c r="A350" t="s">
        <v>862</v>
      </c>
      <c r="B350" s="82" t="s">
        <v>863</v>
      </c>
    </row>
    <row r="351" spans="1:2" x14ac:dyDescent="0.25">
      <c r="A351" t="s">
        <v>864</v>
      </c>
      <c r="B351" s="82" t="s">
        <v>865</v>
      </c>
    </row>
    <row r="352" spans="1:2" x14ac:dyDescent="0.25">
      <c r="A352" t="s">
        <v>866</v>
      </c>
      <c r="B352" s="82" t="s">
        <v>867</v>
      </c>
    </row>
    <row r="353" spans="1:2" x14ac:dyDescent="0.25">
      <c r="A353" t="s">
        <v>868</v>
      </c>
      <c r="B353" s="82" t="s">
        <v>869</v>
      </c>
    </row>
    <row r="354" spans="1:2" x14ac:dyDescent="0.25">
      <c r="A354" t="s">
        <v>870</v>
      </c>
      <c r="B354" s="82" t="s">
        <v>871</v>
      </c>
    </row>
    <row r="355" spans="1:2" x14ac:dyDescent="0.25">
      <c r="A355" t="s">
        <v>872</v>
      </c>
      <c r="B355" s="82" t="s">
        <v>873</v>
      </c>
    </row>
    <row r="356" spans="1:2" x14ac:dyDescent="0.25">
      <c r="A356" t="s">
        <v>1663</v>
      </c>
      <c r="B356" s="82" t="s">
        <v>874</v>
      </c>
    </row>
    <row r="357" spans="1:2" x14ac:dyDescent="0.25">
      <c r="A357" t="s">
        <v>875</v>
      </c>
      <c r="B357" s="82" t="s">
        <v>876</v>
      </c>
    </row>
    <row r="358" spans="1:2" x14ac:dyDescent="0.25">
      <c r="A358" t="s">
        <v>877</v>
      </c>
      <c r="B358" s="82" t="s">
        <v>878</v>
      </c>
    </row>
    <row r="359" spans="1:2" x14ac:dyDescent="0.25">
      <c r="A359" t="s">
        <v>879</v>
      </c>
      <c r="B359" s="82" t="s">
        <v>880</v>
      </c>
    </row>
    <row r="360" spans="1:2" x14ac:dyDescent="0.25">
      <c r="A360" t="s">
        <v>881</v>
      </c>
      <c r="B360" s="82" t="s">
        <v>882</v>
      </c>
    </row>
    <row r="361" spans="1:2" x14ac:dyDescent="0.25">
      <c r="A361" t="s">
        <v>883</v>
      </c>
      <c r="B361" s="82" t="s">
        <v>884</v>
      </c>
    </row>
    <row r="362" spans="1:2" x14ac:dyDescent="0.25">
      <c r="A362" t="s">
        <v>885</v>
      </c>
      <c r="B362" s="82" t="s">
        <v>886</v>
      </c>
    </row>
    <row r="363" spans="1:2" x14ac:dyDescent="0.25">
      <c r="A363" t="s">
        <v>887</v>
      </c>
      <c r="B363" s="82" t="s">
        <v>888</v>
      </c>
    </row>
    <row r="364" spans="1:2" x14ac:dyDescent="0.25">
      <c r="A364" t="s">
        <v>889</v>
      </c>
      <c r="B364" s="82" t="s">
        <v>890</v>
      </c>
    </row>
    <row r="365" spans="1:2" x14ac:dyDescent="0.25">
      <c r="A365" t="s">
        <v>891</v>
      </c>
      <c r="B365" s="82" t="s">
        <v>892</v>
      </c>
    </row>
    <row r="366" spans="1:2" x14ac:dyDescent="0.25">
      <c r="A366" t="s">
        <v>893</v>
      </c>
      <c r="B366" s="82" t="s">
        <v>894</v>
      </c>
    </row>
    <row r="367" spans="1:2" x14ac:dyDescent="0.25">
      <c r="A367" t="s">
        <v>1062</v>
      </c>
      <c r="B367" s="82" t="s">
        <v>895</v>
      </c>
    </row>
    <row r="368" spans="1:2" x14ac:dyDescent="0.25">
      <c r="A368" t="s">
        <v>896</v>
      </c>
      <c r="B368" s="82" t="s">
        <v>897</v>
      </c>
    </row>
    <row r="369" spans="1:2" x14ac:dyDescent="0.25">
      <c r="A369" t="s">
        <v>898</v>
      </c>
      <c r="B369" s="82" t="s">
        <v>899</v>
      </c>
    </row>
    <row r="370" spans="1:2" x14ac:dyDescent="0.25">
      <c r="A370" t="s">
        <v>900</v>
      </c>
      <c r="B370" s="82" t="s">
        <v>901</v>
      </c>
    </row>
    <row r="371" spans="1:2" x14ac:dyDescent="0.25">
      <c r="A371" t="s">
        <v>902</v>
      </c>
      <c r="B371" s="82" t="s">
        <v>903</v>
      </c>
    </row>
    <row r="372" spans="1:2" x14ac:dyDescent="0.25">
      <c r="A372" t="s">
        <v>904</v>
      </c>
      <c r="B372" s="82" t="s">
        <v>905</v>
      </c>
    </row>
    <row r="373" spans="1:2" x14ac:dyDescent="0.25">
      <c r="A373" t="s">
        <v>906</v>
      </c>
      <c r="B373" s="82" t="s">
        <v>907</v>
      </c>
    </row>
    <row r="374" spans="1:2" x14ac:dyDescent="0.25">
      <c r="A374" t="s">
        <v>908</v>
      </c>
      <c r="B374" s="82" t="s">
        <v>909</v>
      </c>
    </row>
    <row r="375" spans="1:2" x14ac:dyDescent="0.25">
      <c r="A375" t="s">
        <v>910</v>
      </c>
      <c r="B375" s="82" t="s">
        <v>911</v>
      </c>
    </row>
    <row r="376" spans="1:2" x14ac:dyDescent="0.25">
      <c r="A376" t="s">
        <v>912</v>
      </c>
      <c r="B376" s="82" t="s">
        <v>913</v>
      </c>
    </row>
    <row r="377" spans="1:2" x14ac:dyDescent="0.25">
      <c r="A377" t="s">
        <v>1086</v>
      </c>
      <c r="B377" s="82" t="s">
        <v>914</v>
      </c>
    </row>
    <row r="378" spans="1:2" x14ac:dyDescent="0.25">
      <c r="A378" t="s">
        <v>915</v>
      </c>
      <c r="B378" s="82" t="s">
        <v>916</v>
      </c>
    </row>
    <row r="379" spans="1:2" x14ac:dyDescent="0.25">
      <c r="A379" t="s">
        <v>917</v>
      </c>
      <c r="B379" s="82" t="s">
        <v>918</v>
      </c>
    </row>
    <row r="380" spans="1:2" x14ac:dyDescent="0.25">
      <c r="A380" t="s">
        <v>919</v>
      </c>
      <c r="B380" s="82" t="s">
        <v>920</v>
      </c>
    </row>
    <row r="381" spans="1:2" x14ac:dyDescent="0.25">
      <c r="A381" t="s">
        <v>921</v>
      </c>
      <c r="B381" s="82" t="s">
        <v>922</v>
      </c>
    </row>
    <row r="382" spans="1:2" x14ac:dyDescent="0.25">
      <c r="A382" t="s">
        <v>832</v>
      </c>
      <c r="B382" s="82" t="s">
        <v>923</v>
      </c>
    </row>
    <row r="383" spans="1:2" x14ac:dyDescent="0.25">
      <c r="A383" t="s">
        <v>924</v>
      </c>
      <c r="B383" s="82" t="s">
        <v>925</v>
      </c>
    </row>
    <row r="384" spans="1:2" x14ac:dyDescent="0.25">
      <c r="A384" t="s">
        <v>1093</v>
      </c>
      <c r="B384" s="82" t="s">
        <v>926</v>
      </c>
    </row>
    <row r="385" spans="1:2" x14ac:dyDescent="0.25">
      <c r="A385" t="s">
        <v>1079</v>
      </c>
      <c r="B385" s="82" t="s">
        <v>1078</v>
      </c>
    </row>
    <row r="386" spans="1:2" x14ac:dyDescent="0.25">
      <c r="A386" t="s">
        <v>927</v>
      </c>
      <c r="B386" s="82" t="s">
        <v>928</v>
      </c>
    </row>
    <row r="387" spans="1:2" x14ac:dyDescent="0.25">
      <c r="A387" t="s">
        <v>929</v>
      </c>
      <c r="B387" s="82" t="s">
        <v>930</v>
      </c>
    </row>
    <row r="388" spans="1:2" x14ac:dyDescent="0.25">
      <c r="A388" t="s">
        <v>1063</v>
      </c>
      <c r="B388" s="82" t="s">
        <v>1064</v>
      </c>
    </row>
    <row r="389" spans="1:2" x14ac:dyDescent="0.25">
      <c r="A389" t="s">
        <v>1065</v>
      </c>
      <c r="B389" s="82" t="s">
        <v>1066</v>
      </c>
    </row>
    <row r="390" spans="1:2" x14ac:dyDescent="0.25">
      <c r="A390" t="s">
        <v>1067</v>
      </c>
      <c r="B390" s="82" t="s">
        <v>1068</v>
      </c>
    </row>
    <row r="391" spans="1:2" x14ac:dyDescent="0.25">
      <c r="A391" t="s">
        <v>1069</v>
      </c>
      <c r="B391" s="82" t="s">
        <v>1070</v>
      </c>
    </row>
    <row r="392" spans="1:2" x14ac:dyDescent="0.25">
      <c r="A392" t="s">
        <v>1071</v>
      </c>
      <c r="B392" s="82" t="s">
        <v>1072</v>
      </c>
    </row>
    <row r="393" spans="1:2" x14ac:dyDescent="0.25">
      <c r="A393" t="s">
        <v>1073</v>
      </c>
      <c r="B393" s="82" t="s">
        <v>1074</v>
      </c>
    </row>
    <row r="394" spans="1:2" x14ac:dyDescent="0.25">
      <c r="A394" t="s">
        <v>1075</v>
      </c>
      <c r="B394" s="82" t="s">
        <v>1076</v>
      </c>
    </row>
    <row r="395" spans="1:2" x14ac:dyDescent="0.25">
      <c r="A395" t="s">
        <v>1664</v>
      </c>
      <c r="B395" s="82" t="s">
        <v>1077</v>
      </c>
    </row>
    <row r="396" spans="1:2" x14ac:dyDescent="0.25">
      <c r="A396" t="s">
        <v>1080</v>
      </c>
      <c r="B396" s="82" t="s">
        <v>1081</v>
      </c>
    </row>
    <row r="397" spans="1:2" x14ac:dyDescent="0.25">
      <c r="A397" t="s">
        <v>1094</v>
      </c>
      <c r="B397" s="82" t="s">
        <v>1082</v>
      </c>
    </row>
    <row r="398" spans="1:2" x14ac:dyDescent="0.25">
      <c r="A398" t="s">
        <v>1106</v>
      </c>
      <c r="B398" s="82" t="s">
        <v>1083</v>
      </c>
    </row>
    <row r="399" spans="1:2" x14ac:dyDescent="0.25">
      <c r="A399" t="s">
        <v>1084</v>
      </c>
      <c r="B399" s="82" t="s">
        <v>1085</v>
      </c>
    </row>
    <row r="400" spans="1:2" x14ac:dyDescent="0.25">
      <c r="A400" t="s">
        <v>1087</v>
      </c>
      <c r="B400" s="82" t="s">
        <v>1088</v>
      </c>
    </row>
    <row r="401" spans="1:2" x14ac:dyDescent="0.25">
      <c r="A401" t="s">
        <v>1089</v>
      </c>
      <c r="B401" s="82" t="s">
        <v>1090</v>
      </c>
    </row>
    <row r="402" spans="1:2" x14ac:dyDescent="0.25">
      <c r="A402" t="s">
        <v>1091</v>
      </c>
      <c r="B402" s="82" t="s">
        <v>1092</v>
      </c>
    </row>
    <row r="403" spans="1:2" x14ac:dyDescent="0.25">
      <c r="A403" t="s">
        <v>1095</v>
      </c>
      <c r="B403" s="82" t="s">
        <v>1096</v>
      </c>
    </row>
    <row r="404" spans="1:2" x14ac:dyDescent="0.25">
      <c r="A404" t="s">
        <v>1097</v>
      </c>
      <c r="B404" s="82" t="s">
        <v>1098</v>
      </c>
    </row>
    <row r="405" spans="1:2" x14ac:dyDescent="0.25">
      <c r="A405" t="s">
        <v>1099</v>
      </c>
      <c r="B405" s="82" t="s">
        <v>1100</v>
      </c>
    </row>
    <row r="406" spans="1:2" x14ac:dyDescent="0.25">
      <c r="A406" t="s">
        <v>1101</v>
      </c>
      <c r="B406" s="82" t="s">
        <v>1102</v>
      </c>
    </row>
    <row r="407" spans="1:2" x14ac:dyDescent="0.25">
      <c r="A407" t="s">
        <v>780</v>
      </c>
      <c r="B407" s="82" t="s">
        <v>1103</v>
      </c>
    </row>
    <row r="408" spans="1:2" x14ac:dyDescent="0.25">
      <c r="A408" t="s">
        <v>1105</v>
      </c>
      <c r="B408" s="82" t="s">
        <v>1104</v>
      </c>
    </row>
    <row r="409" spans="1:2" x14ac:dyDescent="0.25">
      <c r="A409" t="s">
        <v>1665</v>
      </c>
      <c r="B409" s="82" t="s">
        <v>1107</v>
      </c>
    </row>
    <row r="410" spans="1:2" x14ac:dyDescent="0.25">
      <c r="A410" t="s">
        <v>1108</v>
      </c>
      <c r="B410" s="82" t="s">
        <v>1109</v>
      </c>
    </row>
    <row r="411" spans="1:2" x14ac:dyDescent="0.25">
      <c r="A411" t="s">
        <v>1110</v>
      </c>
      <c r="B411" s="82" t="s">
        <v>1111</v>
      </c>
    </row>
    <row r="412" spans="1:2" x14ac:dyDescent="0.25">
      <c r="A412" t="s">
        <v>1112</v>
      </c>
      <c r="B412" s="82" t="s">
        <v>1113</v>
      </c>
    </row>
    <row r="413" spans="1:2" x14ac:dyDescent="0.25">
      <c r="A413" t="s">
        <v>1114</v>
      </c>
      <c r="B413" s="82" t="s">
        <v>1115</v>
      </c>
    </row>
    <row r="414" spans="1:2" x14ac:dyDescent="0.25">
      <c r="A414" t="s">
        <v>1116</v>
      </c>
      <c r="B414" s="82" t="s">
        <v>1117</v>
      </c>
    </row>
    <row r="415" spans="1:2" x14ac:dyDescent="0.25">
      <c r="A415" t="s">
        <v>1118</v>
      </c>
      <c r="B415" s="82" t="s">
        <v>1119</v>
      </c>
    </row>
    <row r="416" spans="1:2" x14ac:dyDescent="0.25">
      <c r="A416" t="s">
        <v>1120</v>
      </c>
      <c r="B416" s="82" t="s">
        <v>1121</v>
      </c>
    </row>
    <row r="417" spans="1:2" x14ac:dyDescent="0.25">
      <c r="A417" t="s">
        <v>1122</v>
      </c>
      <c r="B417" s="82" t="s">
        <v>1123</v>
      </c>
    </row>
    <row r="418" spans="1:2" x14ac:dyDescent="0.25">
      <c r="A418" t="s">
        <v>1124</v>
      </c>
      <c r="B418" s="82" t="s">
        <v>1125</v>
      </c>
    </row>
    <row r="419" spans="1:2" x14ac:dyDescent="0.25">
      <c r="A419" t="s">
        <v>1126</v>
      </c>
      <c r="B419" s="82" t="s">
        <v>1127</v>
      </c>
    </row>
    <row r="420" spans="1:2" x14ac:dyDescent="0.25">
      <c r="A420" t="s">
        <v>1128</v>
      </c>
      <c r="B420" s="82" t="s">
        <v>1129</v>
      </c>
    </row>
    <row r="421" spans="1:2" x14ac:dyDescent="0.25">
      <c r="A421" t="s">
        <v>1130</v>
      </c>
      <c r="B421" s="82" t="s">
        <v>1131</v>
      </c>
    </row>
    <row r="422" spans="1:2" x14ac:dyDescent="0.25">
      <c r="A422" t="s">
        <v>1132</v>
      </c>
      <c r="B422" s="82" t="s">
        <v>1133</v>
      </c>
    </row>
    <row r="423" spans="1:2" x14ac:dyDescent="0.25">
      <c r="A423" t="s">
        <v>1134</v>
      </c>
      <c r="B423" s="82" t="s">
        <v>1135</v>
      </c>
    </row>
    <row r="424" spans="1:2" x14ac:dyDescent="0.25">
      <c r="A424" t="s">
        <v>1136</v>
      </c>
      <c r="B424" s="82" t="s">
        <v>1137</v>
      </c>
    </row>
    <row r="425" spans="1:2" x14ac:dyDescent="0.25">
      <c r="A425" t="s">
        <v>1138</v>
      </c>
      <c r="B425" s="82" t="s">
        <v>1139</v>
      </c>
    </row>
    <row r="426" spans="1:2" x14ac:dyDescent="0.25">
      <c r="A426" t="s">
        <v>1140</v>
      </c>
      <c r="B426" s="82" t="s">
        <v>1141</v>
      </c>
    </row>
    <row r="427" spans="1:2" x14ac:dyDescent="0.25">
      <c r="A427" t="s">
        <v>1142</v>
      </c>
      <c r="B427" s="82" t="s">
        <v>1143</v>
      </c>
    </row>
    <row r="428" spans="1:2" x14ac:dyDescent="0.25">
      <c r="A428" t="s">
        <v>1144</v>
      </c>
      <c r="B428" s="82" t="s">
        <v>1145</v>
      </c>
    </row>
    <row r="429" spans="1:2" x14ac:dyDescent="0.25">
      <c r="A429" t="s">
        <v>1146</v>
      </c>
      <c r="B429" s="82" t="s">
        <v>1147</v>
      </c>
    </row>
    <row r="430" spans="1:2" x14ac:dyDescent="0.25">
      <c r="A430" t="s">
        <v>1148</v>
      </c>
      <c r="B430" s="82" t="s">
        <v>1149</v>
      </c>
    </row>
    <row r="431" spans="1:2" x14ac:dyDescent="0.25">
      <c r="A431" t="s">
        <v>1151</v>
      </c>
      <c r="B431" s="82" t="s">
        <v>1152</v>
      </c>
    </row>
    <row r="432" spans="1:2" x14ac:dyDescent="0.25">
      <c r="A432" t="s">
        <v>1153</v>
      </c>
      <c r="B432" s="82" t="s">
        <v>1154</v>
      </c>
    </row>
    <row r="433" spans="1:2" x14ac:dyDescent="0.25">
      <c r="A433" t="s">
        <v>1155</v>
      </c>
      <c r="B433" s="82" t="s">
        <v>1156</v>
      </c>
    </row>
    <row r="434" spans="1:2" x14ac:dyDescent="0.25">
      <c r="A434" t="s">
        <v>1157</v>
      </c>
      <c r="B434" s="82" t="s">
        <v>1150</v>
      </c>
    </row>
    <row r="435" spans="1:2" x14ac:dyDescent="0.25">
      <c r="A435" t="s">
        <v>1158</v>
      </c>
      <c r="B435" s="82" t="s">
        <v>1159</v>
      </c>
    </row>
    <row r="436" spans="1:2" x14ac:dyDescent="0.25">
      <c r="A436" t="s">
        <v>1160</v>
      </c>
      <c r="B436" s="82" t="s">
        <v>1161</v>
      </c>
    </row>
    <row r="437" spans="1:2" x14ac:dyDescent="0.25">
      <c r="A437" t="s">
        <v>1162</v>
      </c>
      <c r="B437" s="82" t="s">
        <v>1163</v>
      </c>
    </row>
    <row r="438" spans="1:2" x14ac:dyDescent="0.25">
      <c r="A438" t="s">
        <v>1164</v>
      </c>
      <c r="B438" s="82" t="s">
        <v>1165</v>
      </c>
    </row>
    <row r="439" spans="1:2" x14ac:dyDescent="0.25">
      <c r="A439" t="s">
        <v>1167</v>
      </c>
      <c r="B439" s="82" t="s">
        <v>1166</v>
      </c>
    </row>
    <row r="440" spans="1:2" x14ac:dyDescent="0.25">
      <c r="A440" t="s">
        <v>1169</v>
      </c>
      <c r="B440" s="82" t="s">
        <v>1170</v>
      </c>
    </row>
    <row r="441" spans="1:2" x14ac:dyDescent="0.25">
      <c r="A441" t="s">
        <v>1171</v>
      </c>
      <c r="B441" s="82" t="s">
        <v>1168</v>
      </c>
    </row>
    <row r="442" spans="1:2" x14ac:dyDescent="0.25">
      <c r="A442" t="s">
        <v>1172</v>
      </c>
      <c r="B442" s="82" t="s">
        <v>1173</v>
      </c>
    </row>
    <row r="443" spans="1:2" x14ac:dyDescent="0.25">
      <c r="A443" t="s">
        <v>1175</v>
      </c>
      <c r="B443" s="82" t="s">
        <v>1174</v>
      </c>
    </row>
    <row r="444" spans="1:2" x14ac:dyDescent="0.25">
      <c r="A444" t="s">
        <v>1666</v>
      </c>
      <c r="B444" t="s">
        <v>1213</v>
      </c>
    </row>
    <row r="445" spans="1:2" x14ac:dyDescent="0.25">
      <c r="A445" t="s">
        <v>1667</v>
      </c>
      <c r="B445" t="s">
        <v>1214</v>
      </c>
    </row>
    <row r="446" spans="1:2" x14ac:dyDescent="0.25">
      <c r="A446" t="s">
        <v>1668</v>
      </c>
      <c r="B446" t="s">
        <v>1215</v>
      </c>
    </row>
    <row r="447" spans="1:2" x14ac:dyDescent="0.25">
      <c r="A447" t="s">
        <v>1669</v>
      </c>
      <c r="B447" t="s">
        <v>1216</v>
      </c>
    </row>
    <row r="448" spans="1:2" x14ac:dyDescent="0.25">
      <c r="A448" t="s">
        <v>1670</v>
      </c>
      <c r="B448" t="s">
        <v>1217</v>
      </c>
    </row>
    <row r="449" spans="1:2" x14ac:dyDescent="0.25">
      <c r="A449" t="s">
        <v>1671</v>
      </c>
      <c r="B449" t="s">
        <v>1218</v>
      </c>
    </row>
    <row r="450" spans="1:2" x14ac:dyDescent="0.25">
      <c r="A450" t="s">
        <v>1672</v>
      </c>
      <c r="B450" t="s">
        <v>1219</v>
      </c>
    </row>
    <row r="451" spans="1:2" x14ac:dyDescent="0.25">
      <c r="A451" t="s">
        <v>1673</v>
      </c>
      <c r="B451" t="s">
        <v>1220</v>
      </c>
    </row>
    <row r="452" spans="1:2" x14ac:dyDescent="0.25">
      <c r="A452" t="s">
        <v>1674</v>
      </c>
      <c r="B452" t="s">
        <v>1221</v>
      </c>
    </row>
    <row r="453" spans="1:2" x14ac:dyDescent="0.25">
      <c r="A453" t="s">
        <v>1675</v>
      </c>
      <c r="B453" t="s">
        <v>1222</v>
      </c>
    </row>
    <row r="454" spans="1:2" x14ac:dyDescent="0.25">
      <c r="A454" t="s">
        <v>1676</v>
      </c>
      <c r="B454" t="s">
        <v>1223</v>
      </c>
    </row>
    <row r="455" spans="1:2" x14ac:dyDescent="0.25">
      <c r="A455" t="s">
        <v>1677</v>
      </c>
      <c r="B455" t="s">
        <v>1224</v>
      </c>
    </row>
    <row r="456" spans="1:2" x14ac:dyDescent="0.25">
      <c r="A456" t="s">
        <v>1678</v>
      </c>
      <c r="B456" t="s">
        <v>1229</v>
      </c>
    </row>
    <row r="457" spans="1:2" x14ac:dyDescent="0.25">
      <c r="A457" t="s">
        <v>1679</v>
      </c>
      <c r="B457" t="s">
        <v>1230</v>
      </c>
    </row>
    <row r="458" spans="1:2" x14ac:dyDescent="0.25">
      <c r="A458" t="s">
        <v>1680</v>
      </c>
      <c r="B458" t="s">
        <v>1681</v>
      </c>
    </row>
    <row r="459" spans="1:2" x14ac:dyDescent="0.25">
      <c r="A459" t="s">
        <v>1682</v>
      </c>
      <c r="B459" t="s">
        <v>1233</v>
      </c>
    </row>
    <row r="460" spans="1:2" x14ac:dyDescent="0.25">
      <c r="A460" t="s">
        <v>1683</v>
      </c>
      <c r="B460" t="s">
        <v>1234</v>
      </c>
    </row>
    <row r="461" spans="1:2" x14ac:dyDescent="0.25">
      <c r="A461" t="s">
        <v>1684</v>
      </c>
      <c r="B461" t="s">
        <v>1235</v>
      </c>
    </row>
    <row r="462" spans="1:2" x14ac:dyDescent="0.25">
      <c r="A462" t="s">
        <v>1685</v>
      </c>
      <c r="B462" t="s">
        <v>1236</v>
      </c>
    </row>
    <row r="463" spans="1:2" x14ac:dyDescent="0.25">
      <c r="A463" t="s">
        <v>1686</v>
      </c>
      <c r="B463" t="s">
        <v>1237</v>
      </c>
    </row>
    <row r="464" spans="1:2" x14ac:dyDescent="0.25">
      <c r="A464" t="s">
        <v>1687</v>
      </c>
      <c r="B464" t="s">
        <v>1238</v>
      </c>
    </row>
    <row r="465" spans="1:2" x14ac:dyDescent="0.25">
      <c r="A465" t="s">
        <v>1688</v>
      </c>
      <c r="B465" t="s">
        <v>1241</v>
      </c>
    </row>
    <row r="466" spans="1:2" x14ac:dyDescent="0.25">
      <c r="A466" t="s">
        <v>1689</v>
      </c>
      <c r="B466" t="s">
        <v>1239</v>
      </c>
    </row>
    <row r="467" spans="1:2" x14ac:dyDescent="0.25">
      <c r="A467" t="s">
        <v>1690</v>
      </c>
      <c r="B467" t="s">
        <v>1240</v>
      </c>
    </row>
    <row r="468" spans="1:2" x14ac:dyDescent="0.25">
      <c r="A468" t="s">
        <v>1691</v>
      </c>
      <c r="B468" t="s">
        <v>1242</v>
      </c>
    </row>
    <row r="469" spans="1:2" x14ac:dyDescent="0.25">
      <c r="A469" t="s">
        <v>1692</v>
      </c>
      <c r="B469" t="s">
        <v>1243</v>
      </c>
    </row>
    <row r="470" spans="1:2" x14ac:dyDescent="0.25">
      <c r="A470" t="s">
        <v>1693</v>
      </c>
      <c r="B470" t="s">
        <v>1293</v>
      </c>
    </row>
    <row r="471" spans="1:2" x14ac:dyDescent="0.25">
      <c r="A471" t="s">
        <v>1694</v>
      </c>
      <c r="B471" t="s">
        <v>1294</v>
      </c>
    </row>
    <row r="472" spans="1:2" x14ac:dyDescent="0.25">
      <c r="A472" t="s">
        <v>1695</v>
      </c>
      <c r="B472" t="s">
        <v>1295</v>
      </c>
    </row>
    <row r="473" spans="1:2" x14ac:dyDescent="0.25">
      <c r="A473" t="s">
        <v>1696</v>
      </c>
      <c r="B473" t="s">
        <v>1301</v>
      </c>
    </row>
    <row r="474" spans="1:2" x14ac:dyDescent="0.25">
      <c r="A474" t="s">
        <v>1697</v>
      </c>
      <c r="B474" t="s">
        <v>1302</v>
      </c>
    </row>
    <row r="475" spans="1:2" x14ac:dyDescent="0.25">
      <c r="A475" t="s">
        <v>1698</v>
      </c>
      <c r="B475" t="s">
        <v>1699</v>
      </c>
    </row>
    <row r="476" spans="1:2" x14ac:dyDescent="0.25">
      <c r="A476" t="s">
        <v>1700</v>
      </c>
      <c r="B476" t="s">
        <v>1303</v>
      </c>
    </row>
    <row r="477" spans="1:2" x14ac:dyDescent="0.25">
      <c r="A477" t="s">
        <v>1701</v>
      </c>
      <c r="B477" t="s">
        <v>1702</v>
      </c>
    </row>
    <row r="478" spans="1:2" x14ac:dyDescent="0.25">
      <c r="A478" t="s">
        <v>1703</v>
      </c>
      <c r="B478" t="s">
        <v>1704</v>
      </c>
    </row>
    <row r="479" spans="1:2" x14ac:dyDescent="0.25">
      <c r="A479" t="s">
        <v>1705</v>
      </c>
      <c r="B479" t="s">
        <v>1310</v>
      </c>
    </row>
    <row r="480" spans="1:2" x14ac:dyDescent="0.25">
      <c r="A480" t="s">
        <v>1706</v>
      </c>
      <c r="B480" t="s">
        <v>1707</v>
      </c>
    </row>
    <row r="481" spans="1:2" x14ac:dyDescent="0.25">
      <c r="A481" t="s">
        <v>1708</v>
      </c>
      <c r="B481" t="s">
        <v>1709</v>
      </c>
    </row>
    <row r="482" spans="1:2" x14ac:dyDescent="0.25">
      <c r="A482" t="s">
        <v>1710</v>
      </c>
      <c r="B482" t="s">
        <v>1711</v>
      </c>
    </row>
    <row r="483" spans="1:2" x14ac:dyDescent="0.25">
      <c r="A483" t="s">
        <v>1712</v>
      </c>
      <c r="B483" t="s">
        <v>1713</v>
      </c>
    </row>
    <row r="484" spans="1:2" x14ac:dyDescent="0.25">
      <c r="A484" t="s">
        <v>1714</v>
      </c>
      <c r="B484" t="s">
        <v>1320</v>
      </c>
    </row>
    <row r="485" spans="1:2" x14ac:dyDescent="0.25">
      <c r="A485" t="s">
        <v>1715</v>
      </c>
      <c r="B485" t="s">
        <v>1716</v>
      </c>
    </row>
    <row r="486" spans="1:2" x14ac:dyDescent="0.25">
      <c r="A486" t="s">
        <v>1717</v>
      </c>
      <c r="B486" t="s">
        <v>1718</v>
      </c>
    </row>
    <row r="487" spans="1:2" x14ac:dyDescent="0.25">
      <c r="A487" t="s">
        <v>1719</v>
      </c>
      <c r="B487" t="s">
        <v>1720</v>
      </c>
    </row>
    <row r="488" spans="1:2" x14ac:dyDescent="0.25">
      <c r="A488" t="s">
        <v>1721</v>
      </c>
      <c r="B488" t="s">
        <v>1722</v>
      </c>
    </row>
    <row r="489" spans="1:2" x14ac:dyDescent="0.25">
      <c r="A489" t="s">
        <v>1723</v>
      </c>
      <c r="B489" t="s">
        <v>1318</v>
      </c>
    </row>
    <row r="490" spans="1:2" x14ac:dyDescent="0.25">
      <c r="A490" t="s">
        <v>1724</v>
      </c>
      <c r="B490" t="s">
        <v>1321</v>
      </c>
    </row>
    <row r="491" spans="1:2" x14ac:dyDescent="0.25">
      <c r="A491" t="s">
        <v>1725</v>
      </c>
      <c r="B491" t="s">
        <v>1726</v>
      </c>
    </row>
    <row r="492" spans="1:2" x14ac:dyDescent="0.25">
      <c r="A492" t="s">
        <v>1727</v>
      </c>
      <c r="B492" t="s">
        <v>1324</v>
      </c>
    </row>
    <row r="493" spans="1:2" x14ac:dyDescent="0.25">
      <c r="A493" t="s">
        <v>1728</v>
      </c>
      <c r="B493" t="s">
        <v>1729</v>
      </c>
    </row>
    <row r="494" spans="1:2" x14ac:dyDescent="0.25">
      <c r="A494" t="s">
        <v>1730</v>
      </c>
      <c r="B494" t="s">
        <v>1333</v>
      </c>
    </row>
    <row r="495" spans="1:2" x14ac:dyDescent="0.25">
      <c r="A495" t="s">
        <v>1731</v>
      </c>
      <c r="B495" t="s">
        <v>1332</v>
      </c>
    </row>
    <row r="496" spans="1:2" x14ac:dyDescent="0.25">
      <c r="A496" t="s">
        <v>1732</v>
      </c>
      <c r="B496" t="s">
        <v>1334</v>
      </c>
    </row>
    <row r="497" spans="1:2" x14ac:dyDescent="0.25">
      <c r="A497" t="s">
        <v>1733</v>
      </c>
      <c r="B497" t="s">
        <v>1335</v>
      </c>
    </row>
    <row r="498" spans="1:2" x14ac:dyDescent="0.25">
      <c r="A498" t="s">
        <v>1734</v>
      </c>
      <c r="B498" t="s">
        <v>1336</v>
      </c>
    </row>
    <row r="499" spans="1:2" x14ac:dyDescent="0.25">
      <c r="A499" t="s">
        <v>1735</v>
      </c>
      <c r="B499" t="s">
        <v>1736</v>
      </c>
    </row>
    <row r="500" spans="1:2" x14ac:dyDescent="0.25">
      <c r="A500" t="s">
        <v>1737</v>
      </c>
      <c r="B500" t="s">
        <v>1351</v>
      </c>
    </row>
    <row r="501" spans="1:2" x14ac:dyDescent="0.25">
      <c r="A501" t="s">
        <v>1738</v>
      </c>
      <c r="B501" t="s">
        <v>1352</v>
      </c>
    </row>
    <row r="502" spans="1:2" x14ac:dyDescent="0.25">
      <c r="A502" t="s">
        <v>1739</v>
      </c>
      <c r="B502" t="s">
        <v>1353</v>
      </c>
    </row>
    <row r="503" spans="1:2" x14ac:dyDescent="0.25">
      <c r="A503" t="s">
        <v>1740</v>
      </c>
      <c r="B503" t="s">
        <v>1356</v>
      </c>
    </row>
    <row r="504" spans="1:2" x14ac:dyDescent="0.25">
      <c r="A504" t="s">
        <v>1741</v>
      </c>
      <c r="B504" t="s">
        <v>1357</v>
      </c>
    </row>
    <row r="505" spans="1:2" x14ac:dyDescent="0.25">
      <c r="A505" t="s">
        <v>1742</v>
      </c>
      <c r="B505" t="s">
        <v>1371</v>
      </c>
    </row>
    <row r="506" spans="1:2" x14ac:dyDescent="0.25">
      <c r="A506" t="s">
        <v>508</v>
      </c>
      <c r="B506" t="s">
        <v>1400</v>
      </c>
    </row>
    <row r="507" spans="1:2" x14ac:dyDescent="0.25">
      <c r="A507" t="s">
        <v>1743</v>
      </c>
      <c r="B507" t="s">
        <v>1384</v>
      </c>
    </row>
    <row r="508" spans="1:2" x14ac:dyDescent="0.25">
      <c r="A508" t="s">
        <v>1744</v>
      </c>
      <c r="B508" t="s">
        <v>1427</v>
      </c>
    </row>
    <row r="509" spans="1:2" x14ac:dyDescent="0.25">
      <c r="A509" t="s">
        <v>1745</v>
      </c>
      <c r="B509" t="s">
        <v>1426</v>
      </c>
    </row>
    <row r="510" spans="1:2" x14ac:dyDescent="0.25">
      <c r="A510" t="s">
        <v>1746</v>
      </c>
      <c r="B510" t="s">
        <v>1483</v>
      </c>
    </row>
    <row r="511" spans="1:2" x14ac:dyDescent="0.25">
      <c r="A511" t="s">
        <v>1747</v>
      </c>
      <c r="B511" t="s">
        <v>1438</v>
      </c>
    </row>
    <row r="512" spans="1:2" x14ac:dyDescent="0.25">
      <c r="A512" t="s">
        <v>1748</v>
      </c>
      <c r="B512" t="s">
        <v>1749</v>
      </c>
    </row>
    <row r="513" spans="1:2" x14ac:dyDescent="0.25">
      <c r="A513" t="s">
        <v>1750</v>
      </c>
      <c r="B513" t="s">
        <v>1479</v>
      </c>
    </row>
    <row r="514" spans="1:2" x14ac:dyDescent="0.25">
      <c r="A514" t="s">
        <v>1751</v>
      </c>
      <c r="B514" t="s">
        <v>1488</v>
      </c>
    </row>
    <row r="515" spans="1:2" x14ac:dyDescent="0.25">
      <c r="A515" t="s">
        <v>1752</v>
      </c>
      <c r="B515" t="s">
        <v>1491</v>
      </c>
    </row>
    <row r="516" spans="1:2" x14ac:dyDescent="0.25">
      <c r="A516" t="s">
        <v>1753</v>
      </c>
      <c r="B516" t="s">
        <v>1493</v>
      </c>
    </row>
    <row r="517" spans="1:2" x14ac:dyDescent="0.25">
      <c r="A517" t="s">
        <v>1754</v>
      </c>
      <c r="B517" t="s">
        <v>1755</v>
      </c>
    </row>
    <row r="518" spans="1:2" x14ac:dyDescent="0.25">
      <c r="A518" t="s">
        <v>1756</v>
      </c>
      <c r="B518" t="s">
        <v>1498</v>
      </c>
    </row>
    <row r="519" spans="1:2" x14ac:dyDescent="0.25">
      <c r="A519" t="s">
        <v>1757</v>
      </c>
      <c r="B519" t="s">
        <v>1502</v>
      </c>
    </row>
    <row r="520" spans="1:2" x14ac:dyDescent="0.25">
      <c r="A520" t="s">
        <v>1758</v>
      </c>
      <c r="B520" t="s">
        <v>1504</v>
      </c>
    </row>
    <row r="521" spans="1:2" x14ac:dyDescent="0.25">
      <c r="A521" t="s">
        <v>1759</v>
      </c>
      <c r="B521" t="s">
        <v>1760</v>
      </c>
    </row>
    <row r="522" spans="1:2" x14ac:dyDescent="0.25">
      <c r="A522" t="s">
        <v>1761</v>
      </c>
      <c r="B522" t="s">
        <v>1507</v>
      </c>
    </row>
    <row r="523" spans="1:2" x14ac:dyDescent="0.25">
      <c r="A523" t="s">
        <v>1762</v>
      </c>
      <c r="B523" t="s">
        <v>1506</v>
      </c>
    </row>
    <row r="524" spans="1:2" x14ac:dyDescent="0.25">
      <c r="A524" t="s">
        <v>1763</v>
      </c>
      <c r="B524" t="s">
        <v>1505</v>
      </c>
    </row>
    <row r="525" spans="1:2" x14ac:dyDescent="0.25">
      <c r="A525" t="s">
        <v>1764</v>
      </c>
      <c r="B525" t="s">
        <v>1531</v>
      </c>
    </row>
    <row r="526" spans="1:2" x14ac:dyDescent="0.25">
      <c r="A526" t="s">
        <v>1765</v>
      </c>
      <c r="B526" t="s">
        <v>1566</v>
      </c>
    </row>
    <row r="527" spans="1:2" x14ac:dyDescent="0.25">
      <c r="A527" t="s">
        <v>1766</v>
      </c>
      <c r="B527" t="s">
        <v>1572</v>
      </c>
    </row>
    <row r="528" spans="1:2" x14ac:dyDescent="0.25">
      <c r="A528" t="s">
        <v>1767</v>
      </c>
      <c r="B528" t="s">
        <v>1569</v>
      </c>
    </row>
    <row r="529" spans="1:2" x14ac:dyDescent="0.25">
      <c r="A529" t="s">
        <v>1768</v>
      </c>
      <c r="B529" t="s">
        <v>1589</v>
      </c>
    </row>
    <row r="530" spans="1:2" x14ac:dyDescent="0.25">
      <c r="A530" t="s">
        <v>1769</v>
      </c>
      <c r="B530" t="s">
        <v>1573</v>
      </c>
    </row>
    <row r="531" spans="1:2" x14ac:dyDescent="0.25">
      <c r="A531" t="s">
        <v>1770</v>
      </c>
      <c r="B531" t="s">
        <v>1503</v>
      </c>
    </row>
    <row r="532" spans="1:2" x14ac:dyDescent="0.25">
      <c r="A532" t="s">
        <v>1771</v>
      </c>
      <c r="B532" t="s">
        <v>1772</v>
      </c>
    </row>
    <row r="533" spans="1:2" x14ac:dyDescent="0.25">
      <c r="A533" t="s">
        <v>1773</v>
      </c>
      <c r="B533" t="s">
        <v>1594</v>
      </c>
    </row>
    <row r="534" spans="1:2" x14ac:dyDescent="0.25">
      <c r="A534" t="s">
        <v>1774</v>
      </c>
      <c r="B534" t="s">
        <v>1590</v>
      </c>
    </row>
    <row r="535" spans="1:2" x14ac:dyDescent="0.25">
      <c r="A535" t="s">
        <v>1773</v>
      </c>
      <c r="B535" t="s">
        <v>1597</v>
      </c>
    </row>
    <row r="536" spans="1:2" x14ac:dyDescent="0.25">
      <c r="A536" t="s">
        <v>1775</v>
      </c>
      <c r="B536" t="s">
        <v>1596</v>
      </c>
    </row>
    <row r="537" spans="1:2" x14ac:dyDescent="0.25">
      <c r="A537" t="s">
        <v>1776</v>
      </c>
      <c r="B537" t="s">
        <v>1601</v>
      </c>
    </row>
    <row r="538" spans="1:2" x14ac:dyDescent="0.25">
      <c r="A538" t="s">
        <v>1777</v>
      </c>
      <c r="B538" t="s">
        <v>1605</v>
      </c>
    </row>
    <row r="539" spans="1:2" x14ac:dyDescent="0.25">
      <c r="A539" t="s">
        <v>1778</v>
      </c>
      <c r="B539" t="s">
        <v>1637</v>
      </c>
    </row>
    <row r="540" spans="1:2" x14ac:dyDescent="0.25">
      <c r="A540" t="s">
        <v>1779</v>
      </c>
      <c r="B540" t="s">
        <v>1631</v>
      </c>
    </row>
    <row r="541" spans="1:2" x14ac:dyDescent="0.25">
      <c r="A541" t="s">
        <v>1780</v>
      </c>
      <c r="B541" t="s">
        <v>1619</v>
      </c>
    </row>
    <row r="542" spans="1:2" x14ac:dyDescent="0.25">
      <c r="A542" t="s">
        <v>1781</v>
      </c>
      <c r="B542" t="s">
        <v>1620</v>
      </c>
    </row>
    <row r="543" spans="1:2" x14ac:dyDescent="0.25">
      <c r="A543" t="s">
        <v>1782</v>
      </c>
      <c r="B543" t="s">
        <v>1630</v>
      </c>
    </row>
    <row r="544" spans="1:2" x14ac:dyDescent="0.25">
      <c r="A544" t="s">
        <v>1779</v>
      </c>
      <c r="B544" t="s">
        <v>1654</v>
      </c>
    </row>
    <row r="545" spans="1:2" x14ac:dyDescent="0.25">
      <c r="A545" t="s">
        <v>1783</v>
      </c>
      <c r="B545" t="s">
        <v>1632</v>
      </c>
    </row>
    <row r="546" spans="1:2" x14ac:dyDescent="0.25">
      <c r="A546" t="s">
        <v>1784</v>
      </c>
      <c r="B546" t="s">
        <v>1653</v>
      </c>
    </row>
    <row r="547" spans="1:2" x14ac:dyDescent="0.25">
      <c r="A547" t="s">
        <v>1785</v>
      </c>
      <c r="B547" t="s">
        <v>1636</v>
      </c>
    </row>
    <row r="548" spans="1:2" x14ac:dyDescent="0.25">
      <c r="A548" t="s">
        <v>1786</v>
      </c>
      <c r="B548" t="s">
        <v>1633</v>
      </c>
    </row>
    <row r="549" spans="1:2" x14ac:dyDescent="0.25">
      <c r="A549" t="s">
        <v>1787</v>
      </c>
      <c r="B549" t="s">
        <v>1642</v>
      </c>
    </row>
    <row r="550" spans="1:2" x14ac:dyDescent="0.25">
      <c r="A550" t="s">
        <v>1788</v>
      </c>
      <c r="B550" t="s">
        <v>1641</v>
      </c>
    </row>
    <row r="551" spans="1:2" x14ac:dyDescent="0.25">
      <c r="A551" t="s">
        <v>1789</v>
      </c>
      <c r="B551" t="s">
        <v>1790</v>
      </c>
    </row>
    <row r="552" spans="1:2" x14ac:dyDescent="0.25">
      <c r="A552" t="s">
        <v>1791</v>
      </c>
      <c r="B552" t="s">
        <v>1639</v>
      </c>
    </row>
    <row r="553" spans="1:2" x14ac:dyDescent="0.25">
      <c r="A553" t="s">
        <v>1792</v>
      </c>
      <c r="B553" t="s">
        <v>1643</v>
      </c>
    </row>
    <row r="554" spans="1:2" x14ac:dyDescent="0.25">
      <c r="A554" t="s">
        <v>1793</v>
      </c>
      <c r="B554" t="s">
        <v>1644</v>
      </c>
    </row>
    <row r="555" spans="1:2" x14ac:dyDescent="0.25">
      <c r="A555" t="s">
        <v>1794</v>
      </c>
      <c r="B555" t="s">
        <v>1646</v>
      </c>
    </row>
    <row r="556" spans="1:2" x14ac:dyDescent="0.25">
      <c r="A556" t="s">
        <v>1795</v>
      </c>
      <c r="B556" t="s">
        <v>1655</v>
      </c>
    </row>
    <row r="557" spans="1:2" x14ac:dyDescent="0.25">
      <c r="A557" t="s">
        <v>1796</v>
      </c>
      <c r="B557" t="s">
        <v>1647</v>
      </c>
    </row>
    <row r="558" spans="1:2" x14ac:dyDescent="0.25">
      <c r="A558" t="s">
        <v>1797</v>
      </c>
      <c r="B558" t="s">
        <v>1652</v>
      </c>
    </row>
    <row r="559" spans="1:2" x14ac:dyDescent="0.25">
      <c r="A559" t="s">
        <v>1798</v>
      </c>
      <c r="B559" t="s">
        <v>1656</v>
      </c>
    </row>
    <row r="560" spans="1:2" x14ac:dyDescent="0.25">
      <c r="A560" t="s">
        <v>1799</v>
      </c>
      <c r="B560" t="s">
        <v>1800</v>
      </c>
    </row>
    <row r="561" spans="1:2" x14ac:dyDescent="0.25">
      <c r="A561" t="s">
        <v>1801</v>
      </c>
      <c r="B561" t="s">
        <v>1658</v>
      </c>
    </row>
    <row r="562" spans="1:2" x14ac:dyDescent="0.25">
      <c r="A562" t="s">
        <v>1802</v>
      </c>
      <c r="B562" t="s">
        <v>1803</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2:P15389"/>
  <sheetViews>
    <sheetView showGridLines="0" topLeftCell="A2" zoomScale="120" zoomScaleNormal="120" workbookViewId="0">
      <pane ySplit="6" topLeftCell="A14376" activePane="bottomLeft" state="frozen"/>
      <selection activeCell="D26" sqref="D26"/>
      <selection pane="bottomLeft" activeCell="F14391" sqref="F14391"/>
    </sheetView>
  </sheetViews>
  <sheetFormatPr defaultColWidth="8.85546875" defaultRowHeight="11.25" customHeight="1" x14ac:dyDescent="0.2"/>
  <cols>
    <col min="1" max="1" width="6" style="120" customWidth="1"/>
    <col min="2" max="3" width="5.7109375" style="120" customWidth="1"/>
    <col min="4" max="4" width="7.5703125" style="120" customWidth="1"/>
    <col min="5" max="5" width="8" style="120" customWidth="1"/>
    <col min="6" max="6" width="45.28515625" style="120" customWidth="1"/>
    <col min="7" max="7" width="8.5703125" style="132" customWidth="1"/>
    <col min="8" max="8" width="5" style="128" customWidth="1"/>
    <col min="9" max="9" width="4.42578125" style="128" customWidth="1"/>
    <col min="10" max="10" width="32.42578125" style="129" customWidth="1"/>
    <col min="11" max="11" width="13.85546875" style="131" bestFit="1" customWidth="1"/>
    <col min="12" max="12" width="13.7109375" style="131" bestFit="1" customWidth="1"/>
    <col min="13" max="13" width="11.42578125" style="120" customWidth="1"/>
    <col min="14" max="14" width="10.28515625" style="120" customWidth="1"/>
    <col min="15" max="15" width="10.42578125" style="120" customWidth="1"/>
    <col min="16" max="16" width="14.5703125" style="120" bestFit="1" customWidth="1"/>
    <col min="17" max="18" width="19.42578125" style="120" bestFit="1" customWidth="1"/>
    <col min="19" max="19" width="13.5703125" style="120" bestFit="1" customWidth="1"/>
    <col min="20" max="20" width="10.28515625" style="120" bestFit="1" customWidth="1"/>
    <col min="21" max="21" width="11.7109375" style="120" bestFit="1" customWidth="1"/>
    <col min="22" max="22" width="9.28515625" style="120" bestFit="1" customWidth="1"/>
    <col min="23" max="23" width="11.7109375" style="120" bestFit="1" customWidth="1"/>
    <col min="24" max="16384" width="8.85546875" style="120"/>
  </cols>
  <sheetData>
    <row r="2" spans="1:14" ht="11.25" customHeight="1" x14ac:dyDescent="0.2">
      <c r="A2" s="540" t="s">
        <v>103</v>
      </c>
      <c r="B2" s="540"/>
      <c r="C2" s="540"/>
      <c r="D2" s="540"/>
      <c r="E2" s="540"/>
      <c r="F2" s="540"/>
      <c r="G2" s="537">
        <f>K6-L6</f>
        <v>-3.3416748046875E-3</v>
      </c>
      <c r="H2" s="537"/>
      <c r="I2" s="537"/>
      <c r="J2" s="537"/>
      <c r="K2" s="537"/>
      <c r="L2" s="537"/>
    </row>
    <row r="3" spans="1:14" ht="11.25" customHeight="1" x14ac:dyDescent="0.2">
      <c r="A3" s="540" t="s">
        <v>99</v>
      </c>
      <c r="B3" s="540"/>
      <c r="C3" s="540"/>
      <c r="D3" s="540"/>
      <c r="E3" s="540"/>
      <c r="F3" s="540"/>
      <c r="G3" s="537">
        <f>SUM('TB-C'!H7:H5021)-SUM('TB-C'!I7:I5021)</f>
        <v>-7.2669386863708496E-3</v>
      </c>
      <c r="H3" s="537"/>
      <c r="I3" s="537"/>
      <c r="J3" s="537"/>
      <c r="K3" s="537"/>
      <c r="L3" s="537"/>
    </row>
    <row r="4" spans="1:14" ht="11.25" customHeight="1" x14ac:dyDescent="0.2">
      <c r="A4" s="542" t="s">
        <v>102</v>
      </c>
      <c r="B4" s="542"/>
      <c r="C4" s="542"/>
      <c r="D4" s="542"/>
      <c r="E4" s="542"/>
      <c r="F4" s="542"/>
      <c r="G4" s="538">
        <f>BS!C25-BS!C42</f>
        <v>-3.340601921081543E-3</v>
      </c>
      <c r="H4" s="538"/>
      <c r="I4" s="538"/>
      <c r="J4" s="538"/>
      <c r="K4" s="538"/>
      <c r="L4" s="538"/>
    </row>
    <row r="5" spans="1:14" ht="11.25" customHeight="1" x14ac:dyDescent="0.2">
      <c r="A5" s="541" t="s">
        <v>101</v>
      </c>
      <c r="B5" s="541"/>
      <c r="C5" s="541"/>
      <c r="D5" s="541"/>
      <c r="E5" s="541"/>
      <c r="F5" s="541"/>
      <c r="G5" s="539">
        <f>BS!C23-CF!B43</f>
        <v>94994186.641011357</v>
      </c>
      <c r="H5" s="539"/>
      <c r="I5" s="539"/>
      <c r="J5" s="539"/>
      <c r="K5" s="539"/>
      <c r="L5" s="539"/>
      <c r="M5" s="179"/>
    </row>
    <row r="6" spans="1:14" ht="11.25" customHeight="1" x14ac:dyDescent="0.2">
      <c r="A6" s="121"/>
      <c r="B6" s="121"/>
      <c r="C6" s="121"/>
      <c r="D6" s="121"/>
      <c r="E6" s="121"/>
      <c r="F6" s="121"/>
      <c r="G6" s="122"/>
      <c r="H6" s="123"/>
      <c r="I6" s="123"/>
      <c r="J6" s="130">
        <f>ROUND(L6-K6,0)</f>
        <v>0</v>
      </c>
      <c r="K6" s="165">
        <f>SUBTOTAL(9,K9:K18768)</f>
        <v>6366802533.4875498</v>
      </c>
      <c r="L6" s="165">
        <f>SUBTOTAL(9,L9:L18768)</f>
        <v>6366802533.4908915</v>
      </c>
      <c r="M6" s="130"/>
      <c r="N6" s="178"/>
    </row>
    <row r="7" spans="1:14" s="127" customFormat="1" ht="29.25" customHeight="1" x14ac:dyDescent="0.2">
      <c r="A7" s="124" t="s">
        <v>59</v>
      </c>
      <c r="B7" s="125" t="s">
        <v>60</v>
      </c>
      <c r="C7" s="125" t="s">
        <v>61</v>
      </c>
      <c r="D7" s="125" t="s">
        <v>62</v>
      </c>
      <c r="E7" s="125"/>
      <c r="F7" s="126" t="s">
        <v>51</v>
      </c>
      <c r="G7" s="125" t="s">
        <v>68</v>
      </c>
      <c r="H7" s="124"/>
      <c r="I7" s="124"/>
      <c r="J7" s="125" t="s">
        <v>48</v>
      </c>
      <c r="K7" s="166" t="s">
        <v>49</v>
      </c>
      <c r="L7" s="166" t="s">
        <v>50</v>
      </c>
      <c r="N7" s="127" t="s">
        <v>203</v>
      </c>
    </row>
    <row r="8" spans="1:14" s="127" customFormat="1" ht="11.25" customHeight="1" x14ac:dyDescent="0.2">
      <c r="A8" s="125"/>
      <c r="B8" s="125"/>
      <c r="C8" s="125"/>
      <c r="D8" s="125"/>
      <c r="E8" s="125" t="s">
        <v>104</v>
      </c>
      <c r="F8" s="126"/>
      <c r="G8" s="125"/>
      <c r="H8" s="125"/>
      <c r="I8" s="125"/>
      <c r="J8" s="125"/>
      <c r="K8" s="166"/>
      <c r="L8" s="166"/>
    </row>
    <row r="9" spans="1:14" ht="11.25" customHeight="1" x14ac:dyDescent="0.2">
      <c r="A9" s="197">
        <v>2022</v>
      </c>
      <c r="B9" s="197">
        <v>9</v>
      </c>
      <c r="C9" s="197">
        <v>7</v>
      </c>
      <c r="D9" s="198">
        <f t="shared" ref="D9:D72" si="0">DATE(A9,B9,C9)</f>
        <v>44811</v>
      </c>
      <c r="E9" s="199">
        <f t="shared" ref="E9:E40" si="1">DATE(A9,B9,C9)</f>
        <v>44811</v>
      </c>
      <c r="F9" s="513" t="s">
        <v>1210</v>
      </c>
      <c r="G9" s="200" t="s">
        <v>1209</v>
      </c>
      <c r="H9" s="201"/>
      <c r="I9" s="201" t="s">
        <v>299</v>
      </c>
      <c r="J9" s="197" t="s">
        <v>46</v>
      </c>
      <c r="K9" s="202">
        <v>2000</v>
      </c>
      <c r="L9" s="202"/>
    </row>
    <row r="10" spans="1:14" ht="11.25" customHeight="1" x14ac:dyDescent="0.2">
      <c r="A10" s="191">
        <v>2022</v>
      </c>
      <c r="B10" s="191">
        <v>9</v>
      </c>
      <c r="C10" s="191">
        <v>7</v>
      </c>
      <c r="D10" s="192">
        <f t="shared" si="0"/>
        <v>44811</v>
      </c>
      <c r="E10" s="193">
        <f t="shared" si="1"/>
        <v>44811</v>
      </c>
      <c r="F10" s="514"/>
      <c r="G10" s="194" t="s">
        <v>1209</v>
      </c>
      <c r="H10" s="195"/>
      <c r="I10" s="195" t="s">
        <v>299</v>
      </c>
      <c r="J10" s="191" t="s">
        <v>16</v>
      </c>
      <c r="K10" s="196"/>
      <c r="L10" s="196">
        <v>2000</v>
      </c>
    </row>
    <row r="11" spans="1:14" ht="11.25" customHeight="1" x14ac:dyDescent="0.2">
      <c r="A11" s="197">
        <v>2022</v>
      </c>
      <c r="B11" s="197">
        <v>10</v>
      </c>
      <c r="C11" s="197">
        <v>31</v>
      </c>
      <c r="D11" s="198">
        <f t="shared" si="0"/>
        <v>44865</v>
      </c>
      <c r="E11" s="199">
        <f t="shared" si="1"/>
        <v>44865</v>
      </c>
      <c r="F11" s="513" t="s">
        <v>1211</v>
      </c>
      <c r="G11" s="200" t="s">
        <v>1209</v>
      </c>
      <c r="H11" s="201"/>
      <c r="I11" s="201"/>
      <c r="J11" s="197" t="s">
        <v>54</v>
      </c>
      <c r="K11" s="202">
        <v>201.25</v>
      </c>
      <c r="L11" s="202"/>
    </row>
    <row r="12" spans="1:14" ht="11.25" customHeight="1" x14ac:dyDescent="0.2">
      <c r="A12" s="191">
        <v>2022</v>
      </c>
      <c r="B12" s="191">
        <v>10</v>
      </c>
      <c r="C12" s="191">
        <v>31</v>
      </c>
      <c r="D12" s="192">
        <f t="shared" si="0"/>
        <v>44865</v>
      </c>
      <c r="E12" s="193">
        <f t="shared" si="1"/>
        <v>44865</v>
      </c>
      <c r="F12" s="514"/>
      <c r="G12" s="194" t="s">
        <v>1209</v>
      </c>
      <c r="H12" s="201"/>
      <c r="I12" s="195"/>
      <c r="J12" s="191" t="s">
        <v>46</v>
      </c>
      <c r="K12" s="196"/>
      <c r="L12" s="196">
        <v>201.25</v>
      </c>
    </row>
    <row r="13" spans="1:14" ht="11.25" customHeight="1" x14ac:dyDescent="0.2">
      <c r="A13" s="197">
        <v>2022</v>
      </c>
      <c r="B13" s="197">
        <v>11</v>
      </c>
      <c r="C13" s="197">
        <v>1</v>
      </c>
      <c r="D13" s="198">
        <f t="shared" si="0"/>
        <v>44866</v>
      </c>
      <c r="E13" s="199">
        <f t="shared" si="1"/>
        <v>44866</v>
      </c>
      <c r="F13" s="513" t="s">
        <v>1210</v>
      </c>
      <c r="G13" s="200" t="s">
        <v>1209</v>
      </c>
      <c r="H13" s="201"/>
      <c r="I13" s="201" t="s">
        <v>299</v>
      </c>
      <c r="J13" s="197" t="s">
        <v>46</v>
      </c>
      <c r="K13" s="202">
        <v>25000000</v>
      </c>
      <c r="L13" s="202"/>
    </row>
    <row r="14" spans="1:14" ht="11.25" customHeight="1" x14ac:dyDescent="0.2">
      <c r="A14" s="191">
        <v>2022</v>
      </c>
      <c r="B14" s="191">
        <v>11</v>
      </c>
      <c r="C14" s="191">
        <v>1</v>
      </c>
      <c r="D14" s="192">
        <f t="shared" si="0"/>
        <v>44866</v>
      </c>
      <c r="E14" s="193">
        <f t="shared" si="1"/>
        <v>44866</v>
      </c>
      <c r="F14" s="514"/>
      <c r="G14" s="194" t="s">
        <v>1209</v>
      </c>
      <c r="H14" s="195"/>
      <c r="I14" s="195" t="s">
        <v>299</v>
      </c>
      <c r="J14" s="191" t="s">
        <v>16</v>
      </c>
      <c r="K14" s="196"/>
      <c r="L14" s="196">
        <v>25000000</v>
      </c>
    </row>
    <row r="15" spans="1:14" ht="11.25" customHeight="1" x14ac:dyDescent="0.2">
      <c r="A15" s="197">
        <v>2022</v>
      </c>
      <c r="B15" s="197">
        <v>12</v>
      </c>
      <c r="C15" s="197">
        <v>29</v>
      </c>
      <c r="D15" s="198">
        <f t="shared" si="0"/>
        <v>44924</v>
      </c>
      <c r="E15" s="199">
        <f t="shared" si="1"/>
        <v>44924</v>
      </c>
      <c r="F15" s="513" t="s">
        <v>1212</v>
      </c>
      <c r="G15" s="200" t="s">
        <v>1209</v>
      </c>
      <c r="H15" s="201"/>
      <c r="I15" s="201"/>
      <c r="J15" s="197" t="s">
        <v>46</v>
      </c>
      <c r="K15" s="202">
        <v>129176</v>
      </c>
      <c r="L15" s="202"/>
    </row>
    <row r="16" spans="1:14" ht="11.25" customHeight="1" x14ac:dyDescent="0.2">
      <c r="A16" s="191">
        <v>2022</v>
      </c>
      <c r="B16" s="191">
        <v>12</v>
      </c>
      <c r="C16" s="191">
        <v>29</v>
      </c>
      <c r="D16" s="192">
        <f t="shared" si="0"/>
        <v>44924</v>
      </c>
      <c r="E16" s="193">
        <f t="shared" si="1"/>
        <v>44924</v>
      </c>
      <c r="F16" s="514"/>
      <c r="G16" s="194" t="s">
        <v>1209</v>
      </c>
      <c r="H16" s="195"/>
      <c r="I16" s="195"/>
      <c r="J16" s="191" t="s">
        <v>53</v>
      </c>
      <c r="K16" s="196"/>
      <c r="L16" s="196">
        <v>129176</v>
      </c>
    </row>
    <row r="17" spans="1:12" ht="11.25" customHeight="1" x14ac:dyDescent="0.2">
      <c r="A17" s="197">
        <v>2022</v>
      </c>
      <c r="B17" s="197">
        <v>10</v>
      </c>
      <c r="C17" s="197">
        <v>31</v>
      </c>
      <c r="D17" s="198">
        <f t="shared" si="0"/>
        <v>44865</v>
      </c>
      <c r="E17" s="199">
        <f t="shared" si="1"/>
        <v>44865</v>
      </c>
      <c r="F17" s="513" t="s">
        <v>1225</v>
      </c>
      <c r="G17" s="200" t="s">
        <v>1209</v>
      </c>
      <c r="H17" s="201"/>
      <c r="I17" s="201"/>
      <c r="J17" s="197" t="s">
        <v>54</v>
      </c>
      <c r="K17" s="202">
        <v>12917.64</v>
      </c>
      <c r="L17" s="202"/>
    </row>
    <row r="18" spans="1:12" ht="11.25" customHeight="1" x14ac:dyDescent="0.2">
      <c r="A18" s="191">
        <v>2022</v>
      </c>
      <c r="B18" s="191">
        <v>10</v>
      </c>
      <c r="C18" s="191">
        <v>31</v>
      </c>
      <c r="D18" s="192">
        <f t="shared" si="0"/>
        <v>44865</v>
      </c>
      <c r="E18" s="193">
        <f t="shared" si="1"/>
        <v>44865</v>
      </c>
      <c r="F18" s="514"/>
      <c r="G18" s="194" t="s">
        <v>1209</v>
      </c>
      <c r="H18" s="195"/>
      <c r="I18" s="195"/>
      <c r="J18" s="191" t="s">
        <v>46</v>
      </c>
      <c r="K18" s="196"/>
      <c r="L18" s="196">
        <v>12917.64</v>
      </c>
    </row>
    <row r="19" spans="1:12" ht="11.25" customHeight="1" x14ac:dyDescent="0.2">
      <c r="A19" s="197">
        <v>2022</v>
      </c>
      <c r="B19" s="197">
        <v>10</v>
      </c>
      <c r="C19" s="197">
        <v>31</v>
      </c>
      <c r="D19" s="198">
        <f t="shared" si="0"/>
        <v>44865</v>
      </c>
      <c r="E19" s="199">
        <f t="shared" si="1"/>
        <v>44865</v>
      </c>
      <c r="F19" s="513" t="s">
        <v>1226</v>
      </c>
      <c r="G19" s="200" t="s">
        <v>1209</v>
      </c>
      <c r="H19" s="201"/>
      <c r="I19" s="201"/>
      <c r="J19" s="197" t="s">
        <v>54</v>
      </c>
      <c r="K19" s="202">
        <v>575</v>
      </c>
      <c r="L19" s="202"/>
    </row>
    <row r="20" spans="1:12" ht="11.25" customHeight="1" x14ac:dyDescent="0.2">
      <c r="A20" s="191">
        <v>2022</v>
      </c>
      <c r="B20" s="191">
        <v>10</v>
      </c>
      <c r="C20" s="191">
        <v>31</v>
      </c>
      <c r="D20" s="192">
        <f t="shared" si="0"/>
        <v>44865</v>
      </c>
      <c r="E20" s="193">
        <f t="shared" si="1"/>
        <v>44865</v>
      </c>
      <c r="F20" s="514"/>
      <c r="G20" s="194" t="s">
        <v>1209</v>
      </c>
      <c r="H20" s="195"/>
      <c r="I20" s="195"/>
      <c r="J20" s="191" t="s">
        <v>46</v>
      </c>
      <c r="K20" s="196"/>
      <c r="L20" s="196">
        <v>575</v>
      </c>
    </row>
    <row r="21" spans="1:12" ht="11.25" customHeight="1" x14ac:dyDescent="0.2">
      <c r="A21" s="197">
        <v>2022</v>
      </c>
      <c r="B21" s="197">
        <v>10</v>
      </c>
      <c r="C21" s="197">
        <v>31</v>
      </c>
      <c r="D21" s="198">
        <f t="shared" si="0"/>
        <v>44865</v>
      </c>
      <c r="E21" s="199">
        <f t="shared" si="1"/>
        <v>44865</v>
      </c>
      <c r="F21" s="513" t="s">
        <v>1227</v>
      </c>
      <c r="G21" s="200" t="s">
        <v>1209</v>
      </c>
      <c r="H21" s="201"/>
      <c r="I21" s="201"/>
      <c r="J21" s="197" t="s">
        <v>54</v>
      </c>
      <c r="K21" s="202">
        <v>15000</v>
      </c>
      <c r="L21" s="202"/>
    </row>
    <row r="22" spans="1:12" ht="11.25" customHeight="1" x14ac:dyDescent="0.2">
      <c r="A22" s="191">
        <v>2022</v>
      </c>
      <c r="B22" s="191">
        <v>10</v>
      </c>
      <c r="C22" s="191">
        <v>31</v>
      </c>
      <c r="D22" s="192">
        <f t="shared" si="0"/>
        <v>44865</v>
      </c>
      <c r="E22" s="193">
        <f t="shared" si="1"/>
        <v>44865</v>
      </c>
      <c r="F22" s="514"/>
      <c r="G22" s="194" t="s">
        <v>1209</v>
      </c>
      <c r="H22" s="195"/>
      <c r="I22" s="195"/>
      <c r="J22" s="191" t="s">
        <v>46</v>
      </c>
      <c r="K22" s="196"/>
      <c r="L22" s="196">
        <v>15000</v>
      </c>
    </row>
    <row r="23" spans="1:12" ht="11.25" customHeight="1" x14ac:dyDescent="0.2">
      <c r="A23" s="197">
        <v>2023</v>
      </c>
      <c r="B23" s="197">
        <v>1</v>
      </c>
      <c r="C23" s="197">
        <v>16</v>
      </c>
      <c r="D23" s="198">
        <f t="shared" si="0"/>
        <v>44942</v>
      </c>
      <c r="E23" s="199">
        <f t="shared" si="1"/>
        <v>44942</v>
      </c>
      <c r="F23" s="513" t="s">
        <v>1210</v>
      </c>
      <c r="G23" s="200" t="s">
        <v>1209</v>
      </c>
      <c r="H23" s="201"/>
      <c r="I23" s="201" t="s">
        <v>314</v>
      </c>
      <c r="J23" s="197" t="s">
        <v>46</v>
      </c>
      <c r="K23" s="202">
        <v>800000</v>
      </c>
      <c r="L23" s="202"/>
    </row>
    <row r="24" spans="1:12" ht="11.25" customHeight="1" x14ac:dyDescent="0.2">
      <c r="A24" s="191">
        <v>2023</v>
      </c>
      <c r="B24" s="191">
        <v>1</v>
      </c>
      <c r="C24" s="191">
        <v>16</v>
      </c>
      <c r="D24" s="192">
        <f t="shared" si="0"/>
        <v>44942</v>
      </c>
      <c r="E24" s="193">
        <f t="shared" si="1"/>
        <v>44942</v>
      </c>
      <c r="F24" s="514"/>
      <c r="G24" s="194" t="s">
        <v>1209</v>
      </c>
      <c r="H24" s="195"/>
      <c r="I24" s="195" t="s">
        <v>314</v>
      </c>
      <c r="J24" s="191" t="s">
        <v>16</v>
      </c>
      <c r="K24" s="196"/>
      <c r="L24" s="196">
        <v>800000</v>
      </c>
    </row>
    <row r="25" spans="1:12" ht="11.25" customHeight="1" x14ac:dyDescent="0.2">
      <c r="A25" s="197">
        <v>2023</v>
      </c>
      <c r="B25" s="197">
        <v>1</v>
      </c>
      <c r="C25" s="197">
        <v>16</v>
      </c>
      <c r="D25" s="198">
        <f t="shared" si="0"/>
        <v>44942</v>
      </c>
      <c r="E25" s="199">
        <f t="shared" si="1"/>
        <v>44942</v>
      </c>
      <c r="F25" s="513" t="s">
        <v>1228</v>
      </c>
      <c r="G25" s="200" t="s">
        <v>1209</v>
      </c>
      <c r="H25" s="201"/>
      <c r="I25" s="201"/>
      <c r="J25" s="197" t="s">
        <v>54</v>
      </c>
      <c r="K25" s="202">
        <v>25</v>
      </c>
      <c r="L25" s="202"/>
    </row>
    <row r="26" spans="1:12" ht="11.25" customHeight="1" x14ac:dyDescent="0.2">
      <c r="A26" s="191">
        <v>2023</v>
      </c>
      <c r="B26" s="191">
        <v>1</v>
      </c>
      <c r="C26" s="191">
        <v>16</v>
      </c>
      <c r="D26" s="192">
        <f t="shared" si="0"/>
        <v>44942</v>
      </c>
      <c r="E26" s="193">
        <f t="shared" si="1"/>
        <v>44942</v>
      </c>
      <c r="F26" s="514"/>
      <c r="G26" s="194" t="s">
        <v>1209</v>
      </c>
      <c r="H26" s="195"/>
      <c r="I26" s="195"/>
      <c r="J26" s="191" t="s">
        <v>46</v>
      </c>
      <c r="K26" s="196"/>
      <c r="L26" s="196">
        <v>25</v>
      </c>
    </row>
    <row r="27" spans="1:12" ht="11.25" customHeight="1" x14ac:dyDescent="0.2">
      <c r="A27" s="197">
        <v>2023</v>
      </c>
      <c r="B27" s="197">
        <v>1</v>
      </c>
      <c r="C27" s="197">
        <v>17</v>
      </c>
      <c r="D27" s="198">
        <f t="shared" si="0"/>
        <v>44943</v>
      </c>
      <c r="E27" s="199">
        <f t="shared" si="1"/>
        <v>44943</v>
      </c>
      <c r="F27" s="513" t="s">
        <v>1210</v>
      </c>
      <c r="G27" s="200" t="s">
        <v>1209</v>
      </c>
      <c r="H27" s="201"/>
      <c r="I27" s="201" t="s">
        <v>796</v>
      </c>
      <c r="J27" s="197" t="s">
        <v>46</v>
      </c>
      <c r="K27" s="202">
        <v>500000</v>
      </c>
      <c r="L27" s="202"/>
    </row>
    <row r="28" spans="1:12" ht="11.25" customHeight="1" x14ac:dyDescent="0.2">
      <c r="A28" s="191">
        <v>2023</v>
      </c>
      <c r="B28" s="191">
        <v>1</v>
      </c>
      <c r="C28" s="191">
        <v>17</v>
      </c>
      <c r="D28" s="192">
        <f t="shared" si="0"/>
        <v>44943</v>
      </c>
      <c r="E28" s="193">
        <f t="shared" si="1"/>
        <v>44943</v>
      </c>
      <c r="F28" s="514"/>
      <c r="G28" s="194" t="s">
        <v>1209</v>
      </c>
      <c r="H28" s="195"/>
      <c r="I28" s="195" t="s">
        <v>796</v>
      </c>
      <c r="J28" s="191" t="s">
        <v>16</v>
      </c>
      <c r="K28" s="196"/>
      <c r="L28" s="196">
        <v>500000</v>
      </c>
    </row>
    <row r="29" spans="1:12" ht="11.25" customHeight="1" x14ac:dyDescent="0.2">
      <c r="A29" s="197">
        <v>2023</v>
      </c>
      <c r="B29" s="197">
        <v>1</v>
      </c>
      <c r="C29" s="197">
        <v>17</v>
      </c>
      <c r="D29" s="198">
        <f t="shared" si="0"/>
        <v>44943</v>
      </c>
      <c r="E29" s="199">
        <f t="shared" si="1"/>
        <v>44943</v>
      </c>
      <c r="F29" s="513" t="s">
        <v>1228</v>
      </c>
      <c r="G29" s="200" t="s">
        <v>1209</v>
      </c>
      <c r="H29" s="201"/>
      <c r="I29" s="201"/>
      <c r="J29" s="197" t="s">
        <v>54</v>
      </c>
      <c r="K29" s="202">
        <v>60</v>
      </c>
      <c r="L29" s="202"/>
    </row>
    <row r="30" spans="1:12" ht="11.25" customHeight="1" x14ac:dyDescent="0.2">
      <c r="A30" s="191">
        <v>2023</v>
      </c>
      <c r="B30" s="191">
        <v>1</v>
      </c>
      <c r="C30" s="191">
        <v>17</v>
      </c>
      <c r="D30" s="192">
        <f t="shared" si="0"/>
        <v>44943</v>
      </c>
      <c r="E30" s="193">
        <f t="shared" si="1"/>
        <v>44943</v>
      </c>
      <c r="F30" s="514"/>
      <c r="G30" s="194" t="s">
        <v>1209</v>
      </c>
      <c r="H30" s="195"/>
      <c r="I30" s="195"/>
      <c r="J30" s="191" t="s">
        <v>46</v>
      </c>
      <c r="K30" s="196"/>
      <c r="L30" s="196">
        <v>60</v>
      </c>
    </row>
    <row r="31" spans="1:12" ht="11.25" customHeight="1" x14ac:dyDescent="0.2">
      <c r="A31" s="197">
        <v>2023</v>
      </c>
      <c r="B31" s="197">
        <v>1</v>
      </c>
      <c r="C31" s="197">
        <v>19</v>
      </c>
      <c r="D31" s="198">
        <f t="shared" si="0"/>
        <v>44945</v>
      </c>
      <c r="E31" s="199">
        <f t="shared" si="1"/>
        <v>44945</v>
      </c>
      <c r="F31" s="513" t="s">
        <v>1210</v>
      </c>
      <c r="G31" s="200" t="s">
        <v>1209</v>
      </c>
      <c r="H31" s="201"/>
      <c r="I31" s="201" t="s">
        <v>1213</v>
      </c>
      <c r="J31" s="197" t="s">
        <v>46</v>
      </c>
      <c r="K31" s="202">
        <v>200000</v>
      </c>
      <c r="L31" s="202"/>
    </row>
    <row r="32" spans="1:12" ht="11.25" customHeight="1" x14ac:dyDescent="0.2">
      <c r="A32" s="191">
        <v>2023</v>
      </c>
      <c r="B32" s="191">
        <v>1</v>
      </c>
      <c r="C32" s="191">
        <v>19</v>
      </c>
      <c r="D32" s="192">
        <f t="shared" si="0"/>
        <v>44945</v>
      </c>
      <c r="E32" s="193">
        <f t="shared" si="1"/>
        <v>44945</v>
      </c>
      <c r="F32" s="514"/>
      <c r="G32" s="194" t="s">
        <v>1209</v>
      </c>
      <c r="H32" s="195"/>
      <c r="I32" s="195" t="s">
        <v>1213</v>
      </c>
      <c r="J32" s="191" t="s">
        <v>16</v>
      </c>
      <c r="K32" s="196"/>
      <c r="L32" s="196">
        <v>200000</v>
      </c>
    </row>
    <row r="33" spans="1:12" ht="11.25" customHeight="1" x14ac:dyDescent="0.2">
      <c r="A33" s="197">
        <v>2023</v>
      </c>
      <c r="B33" s="197">
        <v>1</v>
      </c>
      <c r="C33" s="197">
        <v>25</v>
      </c>
      <c r="D33" s="198">
        <f t="shared" si="0"/>
        <v>44951</v>
      </c>
      <c r="E33" s="199">
        <f t="shared" si="1"/>
        <v>44951</v>
      </c>
      <c r="F33" s="513" t="s">
        <v>1210</v>
      </c>
      <c r="G33" s="200" t="s">
        <v>1209</v>
      </c>
      <c r="H33" s="201"/>
      <c r="I33" s="201" t="s">
        <v>318</v>
      </c>
      <c r="J33" s="197" t="s">
        <v>46</v>
      </c>
      <c r="K33" s="202">
        <v>850000</v>
      </c>
      <c r="L33" s="202"/>
    </row>
    <row r="34" spans="1:12" ht="11.25" customHeight="1" x14ac:dyDescent="0.2">
      <c r="A34" s="191">
        <v>2023</v>
      </c>
      <c r="B34" s="191">
        <v>1</v>
      </c>
      <c r="C34" s="191">
        <v>25</v>
      </c>
      <c r="D34" s="192">
        <f t="shared" si="0"/>
        <v>44951</v>
      </c>
      <c r="E34" s="193">
        <f t="shared" si="1"/>
        <v>44951</v>
      </c>
      <c r="F34" s="514"/>
      <c r="G34" s="194" t="s">
        <v>1209</v>
      </c>
      <c r="H34" s="195"/>
      <c r="I34" s="195" t="s">
        <v>318</v>
      </c>
      <c r="J34" s="191" t="s">
        <v>16</v>
      </c>
      <c r="K34" s="196"/>
      <c r="L34" s="196">
        <v>850000</v>
      </c>
    </row>
    <row r="35" spans="1:12" ht="11.25" customHeight="1" x14ac:dyDescent="0.2">
      <c r="A35" s="197">
        <v>2023</v>
      </c>
      <c r="B35" s="197">
        <v>1</v>
      </c>
      <c r="C35" s="197">
        <v>25</v>
      </c>
      <c r="D35" s="198">
        <f t="shared" si="0"/>
        <v>44951</v>
      </c>
      <c r="E35" s="199">
        <f t="shared" si="1"/>
        <v>44951</v>
      </c>
      <c r="F35" s="513" t="s">
        <v>1228</v>
      </c>
      <c r="G35" s="200" t="s">
        <v>1209</v>
      </c>
      <c r="H35" s="201"/>
      <c r="I35" s="201"/>
      <c r="J35" s="197" t="s">
        <v>54</v>
      </c>
      <c r="K35" s="202">
        <v>60</v>
      </c>
      <c r="L35" s="202"/>
    </row>
    <row r="36" spans="1:12" ht="11.25" customHeight="1" x14ac:dyDescent="0.2">
      <c r="A36" s="191">
        <v>2023</v>
      </c>
      <c r="B36" s="191">
        <v>1</v>
      </c>
      <c r="C36" s="191">
        <v>25</v>
      </c>
      <c r="D36" s="192">
        <f t="shared" si="0"/>
        <v>44951</v>
      </c>
      <c r="E36" s="193">
        <f t="shared" si="1"/>
        <v>44951</v>
      </c>
      <c r="F36" s="514"/>
      <c r="G36" s="194" t="s">
        <v>1209</v>
      </c>
      <c r="H36" s="195"/>
      <c r="I36" s="195"/>
      <c r="J36" s="191" t="s">
        <v>46</v>
      </c>
      <c r="K36" s="196"/>
      <c r="L36" s="196">
        <v>60</v>
      </c>
    </row>
    <row r="37" spans="1:12" ht="11.25" customHeight="1" x14ac:dyDescent="0.2">
      <c r="A37" s="197">
        <v>2023</v>
      </c>
      <c r="B37" s="197">
        <v>1</v>
      </c>
      <c r="C37" s="197">
        <v>26</v>
      </c>
      <c r="D37" s="198">
        <f t="shared" si="0"/>
        <v>44952</v>
      </c>
      <c r="E37" s="199">
        <f t="shared" si="1"/>
        <v>44952</v>
      </c>
      <c r="F37" s="513" t="s">
        <v>1210</v>
      </c>
      <c r="G37" s="200" t="s">
        <v>1209</v>
      </c>
      <c r="H37" s="201"/>
      <c r="I37" s="201" t="s">
        <v>636</v>
      </c>
      <c r="J37" s="197" t="s">
        <v>46</v>
      </c>
      <c r="K37" s="202">
        <v>700000</v>
      </c>
      <c r="L37" s="202"/>
    </row>
    <row r="38" spans="1:12" ht="11.25" customHeight="1" x14ac:dyDescent="0.2">
      <c r="A38" s="191">
        <v>2023</v>
      </c>
      <c r="B38" s="191">
        <v>1</v>
      </c>
      <c r="C38" s="191">
        <v>26</v>
      </c>
      <c r="D38" s="192">
        <f t="shared" si="0"/>
        <v>44952</v>
      </c>
      <c r="E38" s="193">
        <f t="shared" si="1"/>
        <v>44952</v>
      </c>
      <c r="F38" s="514"/>
      <c r="G38" s="194" t="s">
        <v>1209</v>
      </c>
      <c r="H38" s="195"/>
      <c r="I38" s="195" t="s">
        <v>636</v>
      </c>
      <c r="J38" s="191" t="s">
        <v>16</v>
      </c>
      <c r="K38" s="196"/>
      <c r="L38" s="196">
        <v>700000</v>
      </c>
    </row>
    <row r="39" spans="1:12" ht="11.25" customHeight="1" x14ac:dyDescent="0.2">
      <c r="A39" s="197">
        <v>2023</v>
      </c>
      <c r="B39" s="197">
        <v>2</v>
      </c>
      <c r="C39" s="197">
        <v>5</v>
      </c>
      <c r="D39" s="198">
        <f t="shared" si="0"/>
        <v>44962</v>
      </c>
      <c r="E39" s="199">
        <f t="shared" si="1"/>
        <v>44962</v>
      </c>
      <c r="F39" s="513" t="s">
        <v>1210</v>
      </c>
      <c r="G39" s="200" t="s">
        <v>1209</v>
      </c>
      <c r="H39" s="201"/>
      <c r="I39" s="201" t="s">
        <v>428</v>
      </c>
      <c r="J39" s="197" t="s">
        <v>46</v>
      </c>
      <c r="K39" s="202">
        <v>800000</v>
      </c>
      <c r="L39" s="202"/>
    </row>
    <row r="40" spans="1:12" ht="11.25" customHeight="1" x14ac:dyDescent="0.2">
      <c r="A40" s="191">
        <v>2023</v>
      </c>
      <c r="B40" s="191">
        <v>2</v>
      </c>
      <c r="C40" s="191">
        <v>5</v>
      </c>
      <c r="D40" s="192">
        <f t="shared" si="0"/>
        <v>44962</v>
      </c>
      <c r="E40" s="193">
        <f t="shared" si="1"/>
        <v>44962</v>
      </c>
      <c r="F40" s="514"/>
      <c r="G40" s="194" t="s">
        <v>1209</v>
      </c>
      <c r="H40" s="195"/>
      <c r="I40" s="195" t="s">
        <v>428</v>
      </c>
      <c r="J40" s="191" t="s">
        <v>16</v>
      </c>
      <c r="K40" s="196"/>
      <c r="L40" s="196">
        <v>800000</v>
      </c>
    </row>
    <row r="41" spans="1:12" ht="11.25" customHeight="1" x14ac:dyDescent="0.2">
      <c r="A41" s="197">
        <v>2023</v>
      </c>
      <c r="B41" s="197">
        <v>2</v>
      </c>
      <c r="C41" s="197">
        <v>5</v>
      </c>
      <c r="D41" s="198">
        <f t="shared" si="0"/>
        <v>44962</v>
      </c>
      <c r="E41" s="199">
        <f t="shared" ref="E41:E72" si="2">DATE(A41,B41,C41)</f>
        <v>44962</v>
      </c>
      <c r="F41" s="513" t="s">
        <v>1228</v>
      </c>
      <c r="G41" s="200" t="s">
        <v>1209</v>
      </c>
      <c r="H41" s="201"/>
      <c r="I41" s="201"/>
      <c r="J41" s="197" t="s">
        <v>54</v>
      </c>
      <c r="K41" s="202">
        <v>25</v>
      </c>
      <c r="L41" s="202"/>
    </row>
    <row r="42" spans="1:12" ht="11.25" customHeight="1" x14ac:dyDescent="0.2">
      <c r="A42" s="191">
        <v>2023</v>
      </c>
      <c r="B42" s="191">
        <v>2</v>
      </c>
      <c r="C42" s="191">
        <v>5</v>
      </c>
      <c r="D42" s="192">
        <f t="shared" si="0"/>
        <v>44962</v>
      </c>
      <c r="E42" s="193">
        <f t="shared" si="2"/>
        <v>44962</v>
      </c>
      <c r="F42" s="514"/>
      <c r="G42" s="194" t="s">
        <v>1209</v>
      </c>
      <c r="H42" s="195"/>
      <c r="I42" s="195"/>
      <c r="J42" s="191" t="s">
        <v>46</v>
      </c>
      <c r="K42" s="196"/>
      <c r="L42" s="196">
        <v>25</v>
      </c>
    </row>
    <row r="43" spans="1:12" ht="11.25" customHeight="1" x14ac:dyDescent="0.2">
      <c r="A43" s="197">
        <v>2023</v>
      </c>
      <c r="B43" s="197">
        <v>2</v>
      </c>
      <c r="C43" s="197">
        <v>7</v>
      </c>
      <c r="D43" s="198">
        <f t="shared" si="0"/>
        <v>44964</v>
      </c>
      <c r="E43" s="199">
        <f t="shared" si="2"/>
        <v>44964</v>
      </c>
      <c r="F43" s="513" t="s">
        <v>1210</v>
      </c>
      <c r="G43" s="200" t="s">
        <v>1209</v>
      </c>
      <c r="H43" s="201"/>
      <c r="I43" s="201" t="s">
        <v>1214</v>
      </c>
      <c r="J43" s="197" t="s">
        <v>46</v>
      </c>
      <c r="K43" s="202">
        <v>100000</v>
      </c>
      <c r="L43" s="202"/>
    </row>
    <row r="44" spans="1:12" ht="11.25" customHeight="1" x14ac:dyDescent="0.2">
      <c r="A44" s="191">
        <v>2023</v>
      </c>
      <c r="B44" s="191">
        <v>2</v>
      </c>
      <c r="C44" s="191">
        <v>7</v>
      </c>
      <c r="D44" s="192">
        <f t="shared" si="0"/>
        <v>44964</v>
      </c>
      <c r="E44" s="193">
        <f t="shared" si="2"/>
        <v>44964</v>
      </c>
      <c r="F44" s="514"/>
      <c r="G44" s="194" t="s">
        <v>1209</v>
      </c>
      <c r="H44" s="195"/>
      <c r="I44" s="195" t="s">
        <v>1214</v>
      </c>
      <c r="J44" s="191" t="s">
        <v>16</v>
      </c>
      <c r="K44" s="196"/>
      <c r="L44" s="196">
        <v>100000</v>
      </c>
    </row>
    <row r="45" spans="1:12" ht="11.25" customHeight="1" x14ac:dyDescent="0.2">
      <c r="A45" s="197">
        <v>2023</v>
      </c>
      <c r="B45" s="197">
        <v>2</v>
      </c>
      <c r="C45" s="197">
        <v>7</v>
      </c>
      <c r="D45" s="198">
        <f t="shared" si="0"/>
        <v>44964</v>
      </c>
      <c r="E45" s="199">
        <f t="shared" si="2"/>
        <v>44964</v>
      </c>
      <c r="F45" s="513" t="s">
        <v>1210</v>
      </c>
      <c r="G45" s="200" t="s">
        <v>1209</v>
      </c>
      <c r="H45" s="201"/>
      <c r="I45" s="201" t="s">
        <v>415</v>
      </c>
      <c r="J45" s="197" t="s">
        <v>46</v>
      </c>
      <c r="K45" s="202">
        <v>100000</v>
      </c>
      <c r="L45" s="202"/>
    </row>
    <row r="46" spans="1:12" ht="11.25" customHeight="1" x14ac:dyDescent="0.2">
      <c r="A46" s="191">
        <v>2023</v>
      </c>
      <c r="B46" s="191">
        <v>2</v>
      </c>
      <c r="C46" s="191">
        <v>7</v>
      </c>
      <c r="D46" s="192">
        <f t="shared" si="0"/>
        <v>44964</v>
      </c>
      <c r="E46" s="193">
        <f t="shared" si="2"/>
        <v>44964</v>
      </c>
      <c r="F46" s="514"/>
      <c r="G46" s="194" t="s">
        <v>1209</v>
      </c>
      <c r="H46" s="195"/>
      <c r="I46" s="195" t="s">
        <v>415</v>
      </c>
      <c r="J46" s="191" t="s">
        <v>16</v>
      </c>
      <c r="K46" s="196"/>
      <c r="L46" s="196">
        <v>100000</v>
      </c>
    </row>
    <row r="47" spans="1:12" ht="11.25" customHeight="1" x14ac:dyDescent="0.2">
      <c r="A47" s="197">
        <v>2023</v>
      </c>
      <c r="B47" s="197">
        <v>2</v>
      </c>
      <c r="C47" s="197">
        <v>7</v>
      </c>
      <c r="D47" s="198">
        <f t="shared" si="0"/>
        <v>44964</v>
      </c>
      <c r="E47" s="199">
        <f t="shared" si="2"/>
        <v>44964</v>
      </c>
      <c r="F47" s="513" t="s">
        <v>1228</v>
      </c>
      <c r="G47" s="200" t="s">
        <v>1209</v>
      </c>
      <c r="H47" s="201"/>
      <c r="I47" s="201"/>
      <c r="J47" s="197" t="s">
        <v>54</v>
      </c>
      <c r="K47" s="202">
        <v>10</v>
      </c>
      <c r="L47" s="202"/>
    </row>
    <row r="48" spans="1:12" ht="11.25" customHeight="1" x14ac:dyDescent="0.2">
      <c r="A48" s="191">
        <v>2023</v>
      </c>
      <c r="B48" s="191">
        <v>2</v>
      </c>
      <c r="C48" s="191">
        <v>7</v>
      </c>
      <c r="D48" s="192">
        <f t="shared" si="0"/>
        <v>44964</v>
      </c>
      <c r="E48" s="193">
        <f t="shared" si="2"/>
        <v>44964</v>
      </c>
      <c r="F48" s="514"/>
      <c r="G48" s="194" t="s">
        <v>1209</v>
      </c>
      <c r="H48" s="195"/>
      <c r="I48" s="195"/>
      <c r="J48" s="191" t="s">
        <v>46</v>
      </c>
      <c r="K48" s="196"/>
      <c r="L48" s="196">
        <v>10</v>
      </c>
    </row>
    <row r="49" spans="1:12" ht="11.25" customHeight="1" x14ac:dyDescent="0.2">
      <c r="A49" s="197">
        <v>2023</v>
      </c>
      <c r="B49" s="197">
        <v>2</v>
      </c>
      <c r="C49" s="197">
        <v>8</v>
      </c>
      <c r="D49" s="198">
        <f t="shared" si="0"/>
        <v>44965</v>
      </c>
      <c r="E49" s="199">
        <f t="shared" si="2"/>
        <v>44965</v>
      </c>
      <c r="F49" s="513" t="s">
        <v>1210</v>
      </c>
      <c r="G49" s="200" t="s">
        <v>1209</v>
      </c>
      <c r="H49" s="201"/>
      <c r="I49" s="201" t="s">
        <v>1216</v>
      </c>
      <c r="J49" s="197" t="s">
        <v>46</v>
      </c>
      <c r="K49" s="202">
        <v>200000</v>
      </c>
      <c r="L49" s="202"/>
    </row>
    <row r="50" spans="1:12" ht="11.25" customHeight="1" x14ac:dyDescent="0.2">
      <c r="A50" s="191">
        <v>2023</v>
      </c>
      <c r="B50" s="191">
        <v>2</v>
      </c>
      <c r="C50" s="191">
        <v>8</v>
      </c>
      <c r="D50" s="192">
        <f t="shared" si="0"/>
        <v>44965</v>
      </c>
      <c r="E50" s="193">
        <f t="shared" si="2"/>
        <v>44965</v>
      </c>
      <c r="F50" s="514"/>
      <c r="G50" s="194" t="s">
        <v>1209</v>
      </c>
      <c r="H50" s="195"/>
      <c r="I50" s="195" t="s">
        <v>1216</v>
      </c>
      <c r="J50" s="191" t="s">
        <v>16</v>
      </c>
      <c r="K50" s="196"/>
      <c r="L50" s="196">
        <v>200000</v>
      </c>
    </row>
    <row r="51" spans="1:12" ht="11.25" customHeight="1" x14ac:dyDescent="0.2">
      <c r="A51" s="197">
        <v>2023</v>
      </c>
      <c r="B51" s="197">
        <v>2</v>
      </c>
      <c r="C51" s="197">
        <v>9</v>
      </c>
      <c r="D51" s="198">
        <f t="shared" si="0"/>
        <v>44966</v>
      </c>
      <c r="E51" s="199">
        <f t="shared" si="2"/>
        <v>44966</v>
      </c>
      <c r="F51" s="513" t="s">
        <v>1210</v>
      </c>
      <c r="G51" s="200" t="s">
        <v>1209</v>
      </c>
      <c r="H51" s="201"/>
      <c r="I51" s="201" t="s">
        <v>596</v>
      </c>
      <c r="J51" s="197" t="s">
        <v>46</v>
      </c>
      <c r="K51" s="202">
        <v>1000000</v>
      </c>
      <c r="L51" s="202"/>
    </row>
    <row r="52" spans="1:12" ht="11.25" customHeight="1" x14ac:dyDescent="0.2">
      <c r="A52" s="191">
        <v>2023</v>
      </c>
      <c r="B52" s="191">
        <v>2</v>
      </c>
      <c r="C52" s="191">
        <v>9</v>
      </c>
      <c r="D52" s="192">
        <f t="shared" si="0"/>
        <v>44966</v>
      </c>
      <c r="E52" s="193">
        <f t="shared" si="2"/>
        <v>44966</v>
      </c>
      <c r="F52" s="514"/>
      <c r="G52" s="194" t="s">
        <v>1209</v>
      </c>
      <c r="H52" s="195"/>
      <c r="I52" s="195" t="s">
        <v>596</v>
      </c>
      <c r="J52" s="191" t="s">
        <v>16</v>
      </c>
      <c r="K52" s="196"/>
      <c r="L52" s="196">
        <v>1000000</v>
      </c>
    </row>
    <row r="53" spans="1:12" ht="11.25" customHeight="1" x14ac:dyDescent="0.2">
      <c r="A53" s="197">
        <v>2023</v>
      </c>
      <c r="B53" s="197">
        <v>2</v>
      </c>
      <c r="C53" s="197">
        <v>9</v>
      </c>
      <c r="D53" s="198">
        <f t="shared" si="0"/>
        <v>44966</v>
      </c>
      <c r="E53" s="199">
        <f t="shared" si="2"/>
        <v>44966</v>
      </c>
      <c r="F53" s="513" t="s">
        <v>1228</v>
      </c>
      <c r="G53" s="200" t="s">
        <v>1209</v>
      </c>
      <c r="H53" s="201"/>
      <c r="I53" s="201"/>
      <c r="J53" s="197" t="s">
        <v>54</v>
      </c>
      <c r="K53" s="202">
        <v>25</v>
      </c>
      <c r="L53" s="202"/>
    </row>
    <row r="54" spans="1:12" ht="11.25" customHeight="1" x14ac:dyDescent="0.2">
      <c r="A54" s="191">
        <v>2023</v>
      </c>
      <c r="B54" s="191">
        <v>2</v>
      </c>
      <c r="C54" s="191">
        <v>9</v>
      </c>
      <c r="D54" s="192">
        <f t="shared" si="0"/>
        <v>44966</v>
      </c>
      <c r="E54" s="193">
        <f t="shared" si="2"/>
        <v>44966</v>
      </c>
      <c r="F54" s="514"/>
      <c r="G54" s="194" t="s">
        <v>1209</v>
      </c>
      <c r="H54" s="195"/>
      <c r="I54" s="195"/>
      <c r="J54" s="191" t="s">
        <v>46</v>
      </c>
      <c r="K54" s="196"/>
      <c r="L54" s="196">
        <v>25</v>
      </c>
    </row>
    <row r="55" spans="1:12" ht="11.25" customHeight="1" x14ac:dyDescent="0.2">
      <c r="A55" s="197">
        <v>2023</v>
      </c>
      <c r="B55" s="197">
        <v>2</v>
      </c>
      <c r="C55" s="197">
        <v>12</v>
      </c>
      <c r="D55" s="198">
        <f t="shared" si="0"/>
        <v>44969</v>
      </c>
      <c r="E55" s="199">
        <f t="shared" si="2"/>
        <v>44969</v>
      </c>
      <c r="F55" s="513" t="s">
        <v>1210</v>
      </c>
      <c r="G55" s="200" t="s">
        <v>1209</v>
      </c>
      <c r="H55" s="201"/>
      <c r="I55" s="201" t="s">
        <v>1217</v>
      </c>
      <c r="J55" s="197" t="s">
        <v>46</v>
      </c>
      <c r="K55" s="202">
        <v>1500000</v>
      </c>
      <c r="L55" s="202"/>
    </row>
    <row r="56" spans="1:12" ht="11.25" customHeight="1" x14ac:dyDescent="0.2">
      <c r="A56" s="191">
        <v>2023</v>
      </c>
      <c r="B56" s="191">
        <v>2</v>
      </c>
      <c r="C56" s="191">
        <v>12</v>
      </c>
      <c r="D56" s="192">
        <f t="shared" si="0"/>
        <v>44969</v>
      </c>
      <c r="E56" s="193">
        <f t="shared" si="2"/>
        <v>44969</v>
      </c>
      <c r="F56" s="514"/>
      <c r="G56" s="194" t="s">
        <v>1209</v>
      </c>
      <c r="H56" s="195"/>
      <c r="I56" s="195" t="s">
        <v>1217</v>
      </c>
      <c r="J56" s="191" t="s">
        <v>16</v>
      </c>
      <c r="K56" s="196"/>
      <c r="L56" s="196">
        <v>1500000</v>
      </c>
    </row>
    <row r="57" spans="1:12" ht="11.25" customHeight="1" x14ac:dyDescent="0.2">
      <c r="A57" s="197">
        <v>2023</v>
      </c>
      <c r="B57" s="197">
        <v>2</v>
      </c>
      <c r="C57" s="197">
        <v>12</v>
      </c>
      <c r="D57" s="198">
        <f t="shared" si="0"/>
        <v>44969</v>
      </c>
      <c r="E57" s="199">
        <f t="shared" si="2"/>
        <v>44969</v>
      </c>
      <c r="F57" s="513" t="s">
        <v>1228</v>
      </c>
      <c r="G57" s="200" t="s">
        <v>1209</v>
      </c>
      <c r="H57" s="201"/>
      <c r="I57" s="201"/>
      <c r="J57" s="197" t="s">
        <v>54</v>
      </c>
      <c r="K57" s="202">
        <v>50</v>
      </c>
      <c r="L57" s="202"/>
    </row>
    <row r="58" spans="1:12" ht="11.25" customHeight="1" x14ac:dyDescent="0.2">
      <c r="A58" s="191">
        <v>2023</v>
      </c>
      <c r="B58" s="191">
        <v>2</v>
      </c>
      <c r="C58" s="191">
        <v>12</v>
      </c>
      <c r="D58" s="192">
        <f t="shared" si="0"/>
        <v>44969</v>
      </c>
      <c r="E58" s="193">
        <f t="shared" si="2"/>
        <v>44969</v>
      </c>
      <c r="F58" s="514"/>
      <c r="G58" s="194" t="s">
        <v>1209</v>
      </c>
      <c r="H58" s="195"/>
      <c r="I58" s="195"/>
      <c r="J58" s="191" t="s">
        <v>46</v>
      </c>
      <c r="K58" s="196"/>
      <c r="L58" s="196">
        <v>50</v>
      </c>
    </row>
    <row r="59" spans="1:12" ht="11.25" customHeight="1" x14ac:dyDescent="0.2">
      <c r="A59" s="197">
        <v>2023</v>
      </c>
      <c r="B59" s="197">
        <v>2</v>
      </c>
      <c r="C59" s="197">
        <v>14</v>
      </c>
      <c r="D59" s="198">
        <f t="shared" si="0"/>
        <v>44971</v>
      </c>
      <c r="E59" s="199">
        <f t="shared" si="2"/>
        <v>44971</v>
      </c>
      <c r="F59" s="513" t="s">
        <v>1210</v>
      </c>
      <c r="G59" s="200" t="s">
        <v>1209</v>
      </c>
      <c r="H59" s="201"/>
      <c r="I59" s="201" t="s">
        <v>1229</v>
      </c>
      <c r="J59" s="197" t="s">
        <v>46</v>
      </c>
      <c r="K59" s="202">
        <v>50000</v>
      </c>
      <c r="L59" s="202"/>
    </row>
    <row r="60" spans="1:12" ht="11.25" customHeight="1" x14ac:dyDescent="0.2">
      <c r="A60" s="191">
        <v>2023</v>
      </c>
      <c r="B60" s="191">
        <v>2</v>
      </c>
      <c r="C60" s="191">
        <v>14</v>
      </c>
      <c r="D60" s="192">
        <f t="shared" si="0"/>
        <v>44971</v>
      </c>
      <c r="E60" s="193">
        <f t="shared" si="2"/>
        <v>44971</v>
      </c>
      <c r="F60" s="514"/>
      <c r="G60" s="194" t="s">
        <v>1209</v>
      </c>
      <c r="H60" s="195"/>
      <c r="I60" s="195" t="s">
        <v>1229</v>
      </c>
      <c r="J60" s="191" t="s">
        <v>16</v>
      </c>
      <c r="K60" s="196"/>
      <c r="L60" s="196">
        <v>50000</v>
      </c>
    </row>
    <row r="61" spans="1:12" ht="11.25" customHeight="1" x14ac:dyDescent="0.2">
      <c r="A61" s="197">
        <v>2023</v>
      </c>
      <c r="B61" s="197">
        <v>2</v>
      </c>
      <c r="C61" s="197">
        <v>14</v>
      </c>
      <c r="D61" s="198">
        <f t="shared" si="0"/>
        <v>44971</v>
      </c>
      <c r="E61" s="199">
        <f t="shared" si="2"/>
        <v>44971</v>
      </c>
      <c r="F61" s="513" t="s">
        <v>1210</v>
      </c>
      <c r="G61" s="200" t="s">
        <v>1209</v>
      </c>
      <c r="H61" s="201"/>
      <c r="I61" s="201" t="s">
        <v>1229</v>
      </c>
      <c r="J61" s="197" t="s">
        <v>46</v>
      </c>
      <c r="K61" s="202">
        <v>20000</v>
      </c>
      <c r="L61" s="202"/>
    </row>
    <row r="62" spans="1:12" ht="11.25" customHeight="1" x14ac:dyDescent="0.2">
      <c r="A62" s="191">
        <v>2023</v>
      </c>
      <c r="B62" s="191">
        <v>2</v>
      </c>
      <c r="C62" s="191">
        <v>14</v>
      </c>
      <c r="D62" s="192">
        <f t="shared" si="0"/>
        <v>44971</v>
      </c>
      <c r="E62" s="193">
        <f t="shared" si="2"/>
        <v>44971</v>
      </c>
      <c r="F62" s="514"/>
      <c r="G62" s="194" t="s">
        <v>1209</v>
      </c>
      <c r="H62" s="195"/>
      <c r="I62" s="195" t="s">
        <v>1229</v>
      </c>
      <c r="J62" s="191" t="s">
        <v>16</v>
      </c>
      <c r="K62" s="196"/>
      <c r="L62" s="196">
        <v>20000</v>
      </c>
    </row>
    <row r="63" spans="1:12" ht="11.25" customHeight="1" x14ac:dyDescent="0.2">
      <c r="A63" s="197">
        <v>2023</v>
      </c>
      <c r="B63" s="197">
        <v>2</v>
      </c>
      <c r="C63" s="197">
        <v>15</v>
      </c>
      <c r="D63" s="198">
        <f t="shared" si="0"/>
        <v>44972</v>
      </c>
      <c r="E63" s="199">
        <f t="shared" si="2"/>
        <v>44972</v>
      </c>
      <c r="F63" s="513" t="s">
        <v>1210</v>
      </c>
      <c r="G63" s="200" t="s">
        <v>1209</v>
      </c>
      <c r="H63" s="201"/>
      <c r="I63" s="201" t="s">
        <v>1218</v>
      </c>
      <c r="J63" s="197" t="s">
        <v>46</v>
      </c>
      <c r="K63" s="202">
        <v>10000000</v>
      </c>
      <c r="L63" s="202"/>
    </row>
    <row r="64" spans="1:12" ht="11.25" customHeight="1" x14ac:dyDescent="0.2">
      <c r="A64" s="191">
        <v>2023</v>
      </c>
      <c r="B64" s="191">
        <v>2</v>
      </c>
      <c r="C64" s="191">
        <v>15</v>
      </c>
      <c r="D64" s="192">
        <f t="shared" si="0"/>
        <v>44972</v>
      </c>
      <c r="E64" s="193">
        <f t="shared" si="2"/>
        <v>44972</v>
      </c>
      <c r="F64" s="514"/>
      <c r="G64" s="194" t="s">
        <v>1209</v>
      </c>
      <c r="H64" s="195"/>
      <c r="I64" s="195" t="s">
        <v>1218</v>
      </c>
      <c r="J64" s="191" t="s">
        <v>16</v>
      </c>
      <c r="K64" s="196"/>
      <c r="L64" s="196">
        <v>10000000</v>
      </c>
    </row>
    <row r="65" spans="1:12" ht="11.25" customHeight="1" x14ac:dyDescent="0.2">
      <c r="A65" s="197">
        <v>2023</v>
      </c>
      <c r="B65" s="197">
        <v>2</v>
      </c>
      <c r="C65" s="197">
        <v>15</v>
      </c>
      <c r="D65" s="198">
        <f t="shared" si="0"/>
        <v>44972</v>
      </c>
      <c r="E65" s="199">
        <f t="shared" si="2"/>
        <v>44972</v>
      </c>
      <c r="F65" s="513" t="s">
        <v>1210</v>
      </c>
      <c r="G65" s="200" t="s">
        <v>1209</v>
      </c>
      <c r="H65" s="201"/>
      <c r="I65" s="201" t="s">
        <v>1219</v>
      </c>
      <c r="J65" s="197" t="s">
        <v>46</v>
      </c>
      <c r="K65" s="202">
        <v>500000</v>
      </c>
      <c r="L65" s="202"/>
    </row>
    <row r="66" spans="1:12" ht="11.25" customHeight="1" x14ac:dyDescent="0.2">
      <c r="A66" s="191">
        <v>2023</v>
      </c>
      <c r="B66" s="191">
        <v>2</v>
      </c>
      <c r="C66" s="191">
        <v>15</v>
      </c>
      <c r="D66" s="192">
        <f t="shared" si="0"/>
        <v>44972</v>
      </c>
      <c r="E66" s="193">
        <f t="shared" si="2"/>
        <v>44972</v>
      </c>
      <c r="F66" s="514"/>
      <c r="G66" s="194" t="s">
        <v>1209</v>
      </c>
      <c r="H66" s="195"/>
      <c r="I66" s="195" t="s">
        <v>1219</v>
      </c>
      <c r="J66" s="191" t="s">
        <v>16</v>
      </c>
      <c r="K66" s="196"/>
      <c r="L66" s="196">
        <v>500000</v>
      </c>
    </row>
    <row r="67" spans="1:12" ht="11.25" customHeight="1" x14ac:dyDescent="0.2">
      <c r="A67" s="197">
        <v>2023</v>
      </c>
      <c r="B67" s="197">
        <v>2</v>
      </c>
      <c r="C67" s="197">
        <v>15</v>
      </c>
      <c r="D67" s="198">
        <f t="shared" si="0"/>
        <v>44972</v>
      </c>
      <c r="E67" s="199">
        <f t="shared" si="2"/>
        <v>44972</v>
      </c>
      <c r="F67" s="513" t="s">
        <v>1228</v>
      </c>
      <c r="G67" s="200" t="s">
        <v>1209</v>
      </c>
      <c r="H67" s="201"/>
      <c r="I67" s="201"/>
      <c r="J67" s="197" t="s">
        <v>54</v>
      </c>
      <c r="K67" s="202">
        <v>120</v>
      </c>
      <c r="L67" s="202"/>
    </row>
    <row r="68" spans="1:12" ht="11.25" customHeight="1" x14ac:dyDescent="0.2">
      <c r="A68" s="191">
        <v>2023</v>
      </c>
      <c r="B68" s="191">
        <v>2</v>
      </c>
      <c r="C68" s="191">
        <v>15</v>
      </c>
      <c r="D68" s="192">
        <f t="shared" si="0"/>
        <v>44972</v>
      </c>
      <c r="E68" s="193">
        <f t="shared" si="2"/>
        <v>44972</v>
      </c>
      <c r="F68" s="514"/>
      <c r="G68" s="194" t="s">
        <v>1209</v>
      </c>
      <c r="H68" s="195"/>
      <c r="I68" s="195"/>
      <c r="J68" s="191" t="s">
        <v>46</v>
      </c>
      <c r="K68" s="196"/>
      <c r="L68" s="196">
        <v>120</v>
      </c>
    </row>
    <row r="69" spans="1:12" ht="11.25" customHeight="1" x14ac:dyDescent="0.2">
      <c r="A69" s="197">
        <v>2023</v>
      </c>
      <c r="B69" s="197">
        <v>2</v>
      </c>
      <c r="C69" s="197">
        <v>16</v>
      </c>
      <c r="D69" s="198">
        <f t="shared" si="0"/>
        <v>44973</v>
      </c>
      <c r="E69" s="199">
        <f t="shared" si="2"/>
        <v>44973</v>
      </c>
      <c r="F69" s="513" t="s">
        <v>1210</v>
      </c>
      <c r="G69" s="200" t="s">
        <v>1209</v>
      </c>
      <c r="H69" s="201"/>
      <c r="I69" s="201" t="s">
        <v>404</v>
      </c>
      <c r="J69" s="197" t="s">
        <v>46</v>
      </c>
      <c r="K69" s="202">
        <v>400000</v>
      </c>
      <c r="L69" s="202"/>
    </row>
    <row r="70" spans="1:12" ht="11.25" customHeight="1" x14ac:dyDescent="0.2">
      <c r="A70" s="191">
        <v>2023</v>
      </c>
      <c r="B70" s="191">
        <v>2</v>
      </c>
      <c r="C70" s="191">
        <v>16</v>
      </c>
      <c r="D70" s="192">
        <f t="shared" si="0"/>
        <v>44973</v>
      </c>
      <c r="E70" s="193">
        <f t="shared" si="2"/>
        <v>44973</v>
      </c>
      <c r="F70" s="514"/>
      <c r="G70" s="194" t="s">
        <v>1209</v>
      </c>
      <c r="H70" s="195"/>
      <c r="I70" s="195" t="s">
        <v>404</v>
      </c>
      <c r="J70" s="191" t="s">
        <v>16</v>
      </c>
      <c r="K70" s="196"/>
      <c r="L70" s="196">
        <v>400000</v>
      </c>
    </row>
    <row r="71" spans="1:12" ht="11.25" customHeight="1" x14ac:dyDescent="0.2">
      <c r="A71" s="197">
        <v>2023</v>
      </c>
      <c r="B71" s="197">
        <v>2</v>
      </c>
      <c r="C71" s="197">
        <v>16</v>
      </c>
      <c r="D71" s="198">
        <f t="shared" si="0"/>
        <v>44973</v>
      </c>
      <c r="E71" s="199">
        <f t="shared" si="2"/>
        <v>44973</v>
      </c>
      <c r="F71" s="513" t="s">
        <v>1228</v>
      </c>
      <c r="G71" s="200" t="s">
        <v>1209</v>
      </c>
      <c r="H71" s="201"/>
      <c r="I71" s="201"/>
      <c r="J71" s="197" t="s">
        <v>54</v>
      </c>
      <c r="K71" s="202">
        <v>10</v>
      </c>
      <c r="L71" s="202"/>
    </row>
    <row r="72" spans="1:12" ht="11.25" customHeight="1" x14ac:dyDescent="0.2">
      <c r="A72" s="191">
        <v>2023</v>
      </c>
      <c r="B72" s="191">
        <v>2</v>
      </c>
      <c r="C72" s="191">
        <v>16</v>
      </c>
      <c r="D72" s="192">
        <f t="shared" si="0"/>
        <v>44973</v>
      </c>
      <c r="E72" s="193">
        <f t="shared" si="2"/>
        <v>44973</v>
      </c>
      <c r="F72" s="514"/>
      <c r="G72" s="194" t="s">
        <v>1209</v>
      </c>
      <c r="H72" s="195"/>
      <c r="I72" s="195"/>
      <c r="J72" s="191" t="s">
        <v>46</v>
      </c>
      <c r="K72" s="196"/>
      <c r="L72" s="196">
        <v>10</v>
      </c>
    </row>
    <row r="73" spans="1:12" ht="11.25" customHeight="1" x14ac:dyDescent="0.2">
      <c r="A73" s="197">
        <v>2023</v>
      </c>
      <c r="B73" s="197">
        <v>2</v>
      </c>
      <c r="C73" s="197">
        <v>19</v>
      </c>
      <c r="D73" s="198">
        <f t="shared" ref="D73:D136" si="3">DATE(A73,B73,C73)</f>
        <v>44976</v>
      </c>
      <c r="E73" s="199">
        <f t="shared" ref="E73:E80" si="4">DATE(A73,B73,C73)</f>
        <v>44976</v>
      </c>
      <c r="F73" s="513" t="s">
        <v>1210</v>
      </c>
      <c r="G73" s="200" t="s">
        <v>1209</v>
      </c>
      <c r="H73" s="201"/>
      <c r="I73" s="201" t="s">
        <v>1221</v>
      </c>
      <c r="J73" s="197" t="s">
        <v>46</v>
      </c>
      <c r="K73" s="202">
        <v>1500000</v>
      </c>
      <c r="L73" s="202"/>
    </row>
    <row r="74" spans="1:12" ht="11.25" customHeight="1" x14ac:dyDescent="0.2">
      <c r="A74" s="191">
        <v>2023</v>
      </c>
      <c r="B74" s="191">
        <v>2</v>
      </c>
      <c r="C74" s="191">
        <v>19</v>
      </c>
      <c r="D74" s="192">
        <f t="shared" si="3"/>
        <v>44976</v>
      </c>
      <c r="E74" s="193">
        <f t="shared" si="4"/>
        <v>44976</v>
      </c>
      <c r="F74" s="514"/>
      <c r="G74" s="194" t="s">
        <v>1209</v>
      </c>
      <c r="H74" s="195"/>
      <c r="I74" s="195" t="s">
        <v>1221</v>
      </c>
      <c r="J74" s="191" t="s">
        <v>16</v>
      </c>
      <c r="K74" s="196"/>
      <c r="L74" s="196">
        <v>1500000</v>
      </c>
    </row>
    <row r="75" spans="1:12" ht="11.25" customHeight="1" x14ac:dyDescent="0.2">
      <c r="A75" s="197">
        <v>2023</v>
      </c>
      <c r="B75" s="197">
        <v>2</v>
      </c>
      <c r="C75" s="197">
        <v>19</v>
      </c>
      <c r="D75" s="198">
        <f t="shared" si="3"/>
        <v>44976</v>
      </c>
      <c r="E75" s="199">
        <f t="shared" si="4"/>
        <v>44976</v>
      </c>
      <c r="F75" s="513" t="s">
        <v>1210</v>
      </c>
      <c r="G75" s="200" t="s">
        <v>1209</v>
      </c>
      <c r="H75" s="201"/>
      <c r="I75" s="201" t="s">
        <v>1215</v>
      </c>
      <c r="J75" s="197" t="s">
        <v>46</v>
      </c>
      <c r="K75" s="202">
        <v>1000000</v>
      </c>
      <c r="L75" s="202"/>
    </row>
    <row r="76" spans="1:12" ht="11.25" customHeight="1" x14ac:dyDescent="0.2">
      <c r="A76" s="191">
        <v>2023</v>
      </c>
      <c r="B76" s="191">
        <v>2</v>
      </c>
      <c r="C76" s="191">
        <v>19</v>
      </c>
      <c r="D76" s="192">
        <f t="shared" si="3"/>
        <v>44976</v>
      </c>
      <c r="E76" s="193">
        <f t="shared" si="4"/>
        <v>44976</v>
      </c>
      <c r="F76" s="514"/>
      <c r="G76" s="194" t="s">
        <v>1209</v>
      </c>
      <c r="H76" s="195"/>
      <c r="I76" s="195" t="s">
        <v>1215</v>
      </c>
      <c r="J76" s="191" t="s">
        <v>16</v>
      </c>
      <c r="K76" s="196"/>
      <c r="L76" s="196">
        <v>1000000</v>
      </c>
    </row>
    <row r="77" spans="1:12" ht="11.25" customHeight="1" x14ac:dyDescent="0.2">
      <c r="A77" s="197">
        <v>2023</v>
      </c>
      <c r="B77" s="197">
        <v>2</v>
      </c>
      <c r="C77" s="197">
        <v>19</v>
      </c>
      <c r="D77" s="198">
        <f t="shared" si="3"/>
        <v>44976</v>
      </c>
      <c r="E77" s="199">
        <f t="shared" si="4"/>
        <v>44976</v>
      </c>
      <c r="F77" s="513" t="s">
        <v>1210</v>
      </c>
      <c r="G77" s="200" t="s">
        <v>1209</v>
      </c>
      <c r="H77" s="201"/>
      <c r="I77" s="201" t="s">
        <v>310</v>
      </c>
      <c r="J77" s="197" t="s">
        <v>46</v>
      </c>
      <c r="K77" s="202">
        <v>1500000</v>
      </c>
      <c r="L77" s="202"/>
    </row>
    <row r="78" spans="1:12" ht="11.25" customHeight="1" x14ac:dyDescent="0.2">
      <c r="A78" s="191">
        <v>2023</v>
      </c>
      <c r="B78" s="191">
        <v>2</v>
      </c>
      <c r="C78" s="191">
        <v>19</v>
      </c>
      <c r="D78" s="192">
        <f t="shared" si="3"/>
        <v>44976</v>
      </c>
      <c r="E78" s="193">
        <f t="shared" si="4"/>
        <v>44976</v>
      </c>
      <c r="F78" s="514"/>
      <c r="G78" s="194" t="s">
        <v>1209</v>
      </c>
      <c r="H78" s="195"/>
      <c r="I78" s="195" t="s">
        <v>310</v>
      </c>
      <c r="J78" s="191" t="s">
        <v>16</v>
      </c>
      <c r="K78" s="196"/>
      <c r="L78" s="196">
        <v>1500000</v>
      </c>
    </row>
    <row r="79" spans="1:12" ht="11.25" customHeight="1" x14ac:dyDescent="0.2">
      <c r="A79" s="197">
        <v>2023</v>
      </c>
      <c r="B79" s="197">
        <v>2</v>
      </c>
      <c r="C79" s="197">
        <v>19</v>
      </c>
      <c r="D79" s="198">
        <f t="shared" si="3"/>
        <v>44976</v>
      </c>
      <c r="E79" s="199">
        <f t="shared" si="4"/>
        <v>44976</v>
      </c>
      <c r="F79" s="513" t="s">
        <v>1228</v>
      </c>
      <c r="G79" s="200" t="s">
        <v>1209</v>
      </c>
      <c r="H79" s="201"/>
      <c r="I79" s="201"/>
      <c r="J79" s="197" t="s">
        <v>54</v>
      </c>
      <c r="K79" s="202">
        <v>180</v>
      </c>
      <c r="L79" s="202"/>
    </row>
    <row r="80" spans="1:12" ht="11.25" customHeight="1" x14ac:dyDescent="0.2">
      <c r="A80" s="191">
        <v>2023</v>
      </c>
      <c r="B80" s="191">
        <v>2</v>
      </c>
      <c r="C80" s="191">
        <v>19</v>
      </c>
      <c r="D80" s="192">
        <f t="shared" si="3"/>
        <v>44976</v>
      </c>
      <c r="E80" s="193">
        <f t="shared" si="4"/>
        <v>44976</v>
      </c>
      <c r="F80" s="514"/>
      <c r="G80" s="194" t="s">
        <v>1209</v>
      </c>
      <c r="H80" s="195"/>
      <c r="I80" s="195"/>
      <c r="J80" s="191" t="s">
        <v>46</v>
      </c>
      <c r="K80" s="196"/>
      <c r="L80" s="196">
        <v>180</v>
      </c>
    </row>
    <row r="81" spans="1:12" ht="11.25" customHeight="1" x14ac:dyDescent="0.2">
      <c r="A81" s="197">
        <v>2023</v>
      </c>
      <c r="B81" s="197">
        <v>2</v>
      </c>
      <c r="C81" s="197">
        <v>20</v>
      </c>
      <c r="D81" s="198">
        <f t="shared" si="3"/>
        <v>44977</v>
      </c>
      <c r="E81" s="199">
        <f t="shared" ref="E81:E88" si="5">DATE(A81,B81,C81)</f>
        <v>44977</v>
      </c>
      <c r="F81" s="513" t="s">
        <v>1228</v>
      </c>
      <c r="G81" s="200" t="s">
        <v>1209</v>
      </c>
      <c r="H81" s="201"/>
      <c r="I81" s="201"/>
      <c r="J81" s="197" t="s">
        <v>54</v>
      </c>
      <c r="K81" s="202">
        <v>50</v>
      </c>
      <c r="L81" s="202"/>
    </row>
    <row r="82" spans="1:12" ht="11.25" customHeight="1" x14ac:dyDescent="0.2">
      <c r="A82" s="191">
        <v>2023</v>
      </c>
      <c r="B82" s="191">
        <v>2</v>
      </c>
      <c r="C82" s="191">
        <v>20</v>
      </c>
      <c r="D82" s="192">
        <f t="shared" si="3"/>
        <v>44977</v>
      </c>
      <c r="E82" s="193">
        <f t="shared" si="5"/>
        <v>44977</v>
      </c>
      <c r="F82" s="514"/>
      <c r="G82" s="194" t="s">
        <v>1209</v>
      </c>
      <c r="H82" s="195"/>
      <c r="I82" s="195"/>
      <c r="J82" s="191" t="s">
        <v>46</v>
      </c>
      <c r="K82" s="196"/>
      <c r="L82" s="196">
        <v>50</v>
      </c>
    </row>
    <row r="83" spans="1:12" ht="11.25" customHeight="1" x14ac:dyDescent="0.2">
      <c r="A83" s="197">
        <v>2023</v>
      </c>
      <c r="B83" s="197">
        <v>2</v>
      </c>
      <c r="C83" s="197">
        <v>20</v>
      </c>
      <c r="D83" s="198">
        <f t="shared" si="3"/>
        <v>44977</v>
      </c>
      <c r="E83" s="199">
        <f t="shared" si="5"/>
        <v>44977</v>
      </c>
      <c r="F83" s="513" t="s">
        <v>1210</v>
      </c>
      <c r="G83" s="200" t="s">
        <v>1209</v>
      </c>
      <c r="H83" s="201"/>
      <c r="I83" s="201" t="s">
        <v>449</v>
      </c>
      <c r="J83" s="197" t="s">
        <v>46</v>
      </c>
      <c r="K83" s="202">
        <v>2000000</v>
      </c>
      <c r="L83" s="202"/>
    </row>
    <row r="84" spans="1:12" ht="11.25" customHeight="1" x14ac:dyDescent="0.2">
      <c r="A84" s="191">
        <v>2023</v>
      </c>
      <c r="B84" s="191">
        <v>2</v>
      </c>
      <c r="C84" s="191">
        <v>20</v>
      </c>
      <c r="D84" s="192">
        <f t="shared" si="3"/>
        <v>44977</v>
      </c>
      <c r="E84" s="193">
        <f t="shared" si="5"/>
        <v>44977</v>
      </c>
      <c r="F84" s="514"/>
      <c r="G84" s="194" t="s">
        <v>1209</v>
      </c>
      <c r="H84" s="195"/>
      <c r="I84" s="195" t="s">
        <v>449</v>
      </c>
      <c r="J84" s="191" t="s">
        <v>16</v>
      </c>
      <c r="K84" s="196"/>
      <c r="L84" s="196">
        <v>2000000</v>
      </c>
    </row>
    <row r="85" spans="1:12" ht="11.25" customHeight="1" x14ac:dyDescent="0.2">
      <c r="A85" s="197">
        <v>2023</v>
      </c>
      <c r="B85" s="197">
        <v>2</v>
      </c>
      <c r="C85" s="197">
        <v>20</v>
      </c>
      <c r="D85" s="198">
        <f t="shared" si="3"/>
        <v>44977</v>
      </c>
      <c r="E85" s="199">
        <f t="shared" si="5"/>
        <v>44977</v>
      </c>
      <c r="F85" s="513" t="s">
        <v>1210</v>
      </c>
      <c r="G85" s="200" t="s">
        <v>1209</v>
      </c>
      <c r="H85" s="201"/>
      <c r="I85" s="201" t="s">
        <v>1224</v>
      </c>
      <c r="J85" s="197" t="s">
        <v>46</v>
      </c>
      <c r="K85" s="202">
        <v>1000000</v>
      </c>
      <c r="L85" s="202"/>
    </row>
    <row r="86" spans="1:12" ht="11.25" customHeight="1" x14ac:dyDescent="0.2">
      <c r="A86" s="191">
        <v>2023</v>
      </c>
      <c r="B86" s="191">
        <v>2</v>
      </c>
      <c r="C86" s="191">
        <v>20</v>
      </c>
      <c r="D86" s="192">
        <f t="shared" si="3"/>
        <v>44977</v>
      </c>
      <c r="E86" s="193">
        <f t="shared" si="5"/>
        <v>44977</v>
      </c>
      <c r="F86" s="514"/>
      <c r="G86" s="194" t="s">
        <v>1209</v>
      </c>
      <c r="H86" s="195"/>
      <c r="I86" s="195" t="s">
        <v>1224</v>
      </c>
      <c r="J86" s="191" t="s">
        <v>16</v>
      </c>
      <c r="K86" s="196"/>
      <c r="L86" s="196">
        <v>1000000</v>
      </c>
    </row>
    <row r="87" spans="1:12" ht="11.25" customHeight="1" x14ac:dyDescent="0.2">
      <c r="A87" s="197">
        <v>2023</v>
      </c>
      <c r="B87" s="197">
        <v>2</v>
      </c>
      <c r="C87" s="197">
        <v>22</v>
      </c>
      <c r="D87" s="198">
        <f t="shared" si="3"/>
        <v>44979</v>
      </c>
      <c r="E87" s="199">
        <f t="shared" si="5"/>
        <v>44979</v>
      </c>
      <c r="F87" s="513" t="s">
        <v>1210</v>
      </c>
      <c r="G87" s="200" t="s">
        <v>1209</v>
      </c>
      <c r="H87" s="201"/>
      <c r="I87" s="201" t="s">
        <v>581</v>
      </c>
      <c r="J87" s="197" t="s">
        <v>46</v>
      </c>
      <c r="K87" s="202">
        <v>5000</v>
      </c>
      <c r="L87" s="202"/>
    </row>
    <row r="88" spans="1:12" ht="11.25" customHeight="1" x14ac:dyDescent="0.2">
      <c r="A88" s="191">
        <v>2023</v>
      </c>
      <c r="B88" s="191">
        <v>2</v>
      </c>
      <c r="C88" s="191">
        <v>22</v>
      </c>
      <c r="D88" s="192">
        <f t="shared" si="3"/>
        <v>44979</v>
      </c>
      <c r="E88" s="193">
        <f t="shared" si="5"/>
        <v>44979</v>
      </c>
      <c r="F88" s="514"/>
      <c r="G88" s="194" t="s">
        <v>1209</v>
      </c>
      <c r="H88" s="195"/>
      <c r="I88" s="195" t="s">
        <v>581</v>
      </c>
      <c r="J88" s="191" t="s">
        <v>16</v>
      </c>
      <c r="K88" s="196"/>
      <c r="L88" s="196">
        <v>5000</v>
      </c>
    </row>
    <row r="89" spans="1:12" ht="11.25" customHeight="1" x14ac:dyDescent="0.2">
      <c r="A89" s="197">
        <v>2023</v>
      </c>
      <c r="B89" s="197">
        <v>2</v>
      </c>
      <c r="C89" s="197">
        <v>22</v>
      </c>
      <c r="D89" s="198">
        <f t="shared" si="3"/>
        <v>44979</v>
      </c>
      <c r="E89" s="199">
        <f t="shared" ref="E89:E106" si="6">DATE(A89,B89,C89)</f>
        <v>44979</v>
      </c>
      <c r="F89" s="513" t="s">
        <v>1210</v>
      </c>
      <c r="G89" s="200" t="s">
        <v>1209</v>
      </c>
      <c r="H89" s="201"/>
      <c r="I89" s="201" t="s">
        <v>581</v>
      </c>
      <c r="J89" s="197" t="s">
        <v>46</v>
      </c>
      <c r="K89" s="202">
        <v>195000</v>
      </c>
      <c r="L89" s="202"/>
    </row>
    <row r="90" spans="1:12" ht="11.25" customHeight="1" x14ac:dyDescent="0.2">
      <c r="A90" s="191">
        <v>2023</v>
      </c>
      <c r="B90" s="191">
        <v>2</v>
      </c>
      <c r="C90" s="191">
        <v>22</v>
      </c>
      <c r="D90" s="192">
        <f t="shared" si="3"/>
        <v>44979</v>
      </c>
      <c r="E90" s="193">
        <f t="shared" si="6"/>
        <v>44979</v>
      </c>
      <c r="F90" s="514"/>
      <c r="G90" s="194" t="s">
        <v>1209</v>
      </c>
      <c r="H90" s="195"/>
      <c r="I90" s="195" t="s">
        <v>581</v>
      </c>
      <c r="J90" s="191" t="s">
        <v>16</v>
      </c>
      <c r="K90" s="196"/>
      <c r="L90" s="196">
        <v>195000</v>
      </c>
    </row>
    <row r="91" spans="1:12" ht="11.25" customHeight="1" x14ac:dyDescent="0.2">
      <c r="A91" s="197">
        <v>2023</v>
      </c>
      <c r="B91" s="197">
        <v>2</v>
      </c>
      <c r="C91" s="197">
        <v>23</v>
      </c>
      <c r="D91" s="198">
        <f t="shared" si="3"/>
        <v>44980</v>
      </c>
      <c r="E91" s="199">
        <f t="shared" ref="E91:E98" si="7">DATE(A91,B91,C91)</f>
        <v>44980</v>
      </c>
      <c r="F91" s="513" t="s">
        <v>1210</v>
      </c>
      <c r="G91" s="200" t="s">
        <v>1209</v>
      </c>
      <c r="H91" s="201"/>
      <c r="I91" s="201" t="s">
        <v>369</v>
      </c>
      <c r="J91" s="197" t="s">
        <v>46</v>
      </c>
      <c r="K91" s="202">
        <v>1000000</v>
      </c>
      <c r="L91" s="202"/>
    </row>
    <row r="92" spans="1:12" ht="11.25" customHeight="1" x14ac:dyDescent="0.2">
      <c r="A92" s="191">
        <v>2023</v>
      </c>
      <c r="B92" s="191">
        <v>2</v>
      </c>
      <c r="C92" s="191">
        <v>23</v>
      </c>
      <c r="D92" s="192">
        <f t="shared" si="3"/>
        <v>44980</v>
      </c>
      <c r="E92" s="193">
        <f t="shared" si="7"/>
        <v>44980</v>
      </c>
      <c r="F92" s="514"/>
      <c r="G92" s="194" t="s">
        <v>1209</v>
      </c>
      <c r="H92" s="195"/>
      <c r="I92" s="195" t="s">
        <v>369</v>
      </c>
      <c r="J92" s="191" t="s">
        <v>16</v>
      </c>
      <c r="K92" s="196"/>
      <c r="L92" s="196">
        <v>1000000</v>
      </c>
    </row>
    <row r="93" spans="1:12" ht="11.25" customHeight="1" x14ac:dyDescent="0.2">
      <c r="A93" s="197">
        <v>2023</v>
      </c>
      <c r="B93" s="197">
        <v>2</v>
      </c>
      <c r="C93" s="197">
        <v>23</v>
      </c>
      <c r="D93" s="198">
        <f t="shared" si="3"/>
        <v>44980</v>
      </c>
      <c r="E93" s="199">
        <f t="shared" si="7"/>
        <v>44980</v>
      </c>
      <c r="F93" s="513" t="s">
        <v>1210</v>
      </c>
      <c r="G93" s="200" t="s">
        <v>1209</v>
      </c>
      <c r="H93" s="201"/>
      <c r="I93" s="201" t="s">
        <v>1220</v>
      </c>
      <c r="J93" s="197" t="s">
        <v>46</v>
      </c>
      <c r="K93" s="202">
        <v>50000</v>
      </c>
      <c r="L93" s="202"/>
    </row>
    <row r="94" spans="1:12" ht="11.25" customHeight="1" x14ac:dyDescent="0.2">
      <c r="A94" s="191">
        <v>2023</v>
      </c>
      <c r="B94" s="191">
        <v>2</v>
      </c>
      <c r="C94" s="191">
        <v>23</v>
      </c>
      <c r="D94" s="192">
        <f t="shared" si="3"/>
        <v>44980</v>
      </c>
      <c r="E94" s="193">
        <f t="shared" si="7"/>
        <v>44980</v>
      </c>
      <c r="F94" s="514"/>
      <c r="G94" s="194" t="s">
        <v>1209</v>
      </c>
      <c r="H94" s="195"/>
      <c r="I94" s="195" t="s">
        <v>1220</v>
      </c>
      <c r="J94" s="191" t="s">
        <v>16</v>
      </c>
      <c r="K94" s="196"/>
      <c r="L94" s="196">
        <v>50000</v>
      </c>
    </row>
    <row r="95" spans="1:12" ht="11.25" customHeight="1" x14ac:dyDescent="0.2">
      <c r="A95" s="197">
        <v>2023</v>
      </c>
      <c r="B95" s="197">
        <v>2</v>
      </c>
      <c r="C95" s="197">
        <v>23</v>
      </c>
      <c r="D95" s="198">
        <f t="shared" si="3"/>
        <v>44980</v>
      </c>
      <c r="E95" s="199">
        <f t="shared" si="7"/>
        <v>44980</v>
      </c>
      <c r="F95" s="513" t="s">
        <v>1210</v>
      </c>
      <c r="G95" s="200" t="s">
        <v>1209</v>
      </c>
      <c r="H95" s="201"/>
      <c r="I95" s="201" t="s">
        <v>341</v>
      </c>
      <c r="J95" s="197" t="s">
        <v>46</v>
      </c>
      <c r="K95" s="202">
        <v>4500000</v>
      </c>
      <c r="L95" s="202"/>
    </row>
    <row r="96" spans="1:12" ht="11.25" customHeight="1" x14ac:dyDescent="0.2">
      <c r="A96" s="191">
        <v>2023</v>
      </c>
      <c r="B96" s="191">
        <v>2</v>
      </c>
      <c r="C96" s="191">
        <v>23</v>
      </c>
      <c r="D96" s="192">
        <f t="shared" si="3"/>
        <v>44980</v>
      </c>
      <c r="E96" s="193">
        <f t="shared" si="7"/>
        <v>44980</v>
      </c>
      <c r="F96" s="514"/>
      <c r="G96" s="194" t="s">
        <v>1209</v>
      </c>
      <c r="H96" s="195"/>
      <c r="I96" s="195" t="s">
        <v>341</v>
      </c>
      <c r="J96" s="191" t="s">
        <v>16</v>
      </c>
      <c r="K96" s="196"/>
      <c r="L96" s="196">
        <v>4500000</v>
      </c>
    </row>
    <row r="97" spans="1:12" ht="11.25" customHeight="1" x14ac:dyDescent="0.2">
      <c r="A97" s="197">
        <v>2023</v>
      </c>
      <c r="B97" s="197">
        <v>2</v>
      </c>
      <c r="C97" s="197">
        <v>23</v>
      </c>
      <c r="D97" s="198">
        <f t="shared" si="3"/>
        <v>44980</v>
      </c>
      <c r="E97" s="199">
        <f t="shared" si="7"/>
        <v>44980</v>
      </c>
      <c r="F97" s="513" t="s">
        <v>1210</v>
      </c>
      <c r="G97" s="200" t="s">
        <v>1209</v>
      </c>
      <c r="H97" s="201"/>
      <c r="I97" s="201" t="s">
        <v>628</v>
      </c>
      <c r="J97" s="197" t="s">
        <v>46</v>
      </c>
      <c r="K97" s="202">
        <v>2000000</v>
      </c>
      <c r="L97" s="202"/>
    </row>
    <row r="98" spans="1:12" ht="11.25" customHeight="1" x14ac:dyDescent="0.2">
      <c r="A98" s="191">
        <v>2023</v>
      </c>
      <c r="B98" s="191">
        <v>2</v>
      </c>
      <c r="C98" s="191">
        <v>23</v>
      </c>
      <c r="D98" s="192">
        <f t="shared" si="3"/>
        <v>44980</v>
      </c>
      <c r="E98" s="193">
        <f t="shared" si="7"/>
        <v>44980</v>
      </c>
      <c r="F98" s="514"/>
      <c r="G98" s="194" t="s">
        <v>1209</v>
      </c>
      <c r="H98" s="195"/>
      <c r="I98" s="195" t="s">
        <v>628</v>
      </c>
      <c r="J98" s="191" t="s">
        <v>16</v>
      </c>
      <c r="K98" s="196"/>
      <c r="L98" s="196">
        <v>2000000</v>
      </c>
    </row>
    <row r="99" spans="1:12" ht="11.25" customHeight="1" x14ac:dyDescent="0.2">
      <c r="A99" s="197">
        <v>2023</v>
      </c>
      <c r="B99" s="197">
        <v>2</v>
      </c>
      <c r="C99" s="197">
        <v>23</v>
      </c>
      <c r="D99" s="198">
        <f t="shared" si="3"/>
        <v>44980</v>
      </c>
      <c r="E99" s="199">
        <f t="shared" si="6"/>
        <v>44980</v>
      </c>
      <c r="F99" s="513" t="s">
        <v>1210</v>
      </c>
      <c r="G99" s="200" t="s">
        <v>1209</v>
      </c>
      <c r="H99" s="201"/>
      <c r="I99" s="201" t="s">
        <v>1233</v>
      </c>
      <c r="J99" s="197" t="s">
        <v>46</v>
      </c>
      <c r="K99" s="202">
        <v>2500000</v>
      </c>
      <c r="L99" s="202"/>
    </row>
    <row r="100" spans="1:12" ht="11.25" customHeight="1" x14ac:dyDescent="0.2">
      <c r="A100" s="191">
        <v>2023</v>
      </c>
      <c r="B100" s="191">
        <v>2</v>
      </c>
      <c r="C100" s="191">
        <v>23</v>
      </c>
      <c r="D100" s="192">
        <f t="shared" si="3"/>
        <v>44980</v>
      </c>
      <c r="E100" s="193">
        <f t="shared" si="6"/>
        <v>44980</v>
      </c>
      <c r="F100" s="514"/>
      <c r="G100" s="194" t="s">
        <v>1209</v>
      </c>
      <c r="H100" s="195"/>
      <c r="I100" s="195" t="s">
        <v>1233</v>
      </c>
      <c r="J100" s="191" t="s">
        <v>16</v>
      </c>
      <c r="K100" s="196"/>
      <c r="L100" s="196">
        <v>2500000</v>
      </c>
    </row>
    <row r="101" spans="1:12" ht="11.25" customHeight="1" x14ac:dyDescent="0.2">
      <c r="A101" s="197">
        <v>2023</v>
      </c>
      <c r="B101" s="197">
        <v>2</v>
      </c>
      <c r="C101" s="197">
        <v>23</v>
      </c>
      <c r="D101" s="198">
        <f t="shared" si="3"/>
        <v>44980</v>
      </c>
      <c r="E101" s="199">
        <f t="shared" si="6"/>
        <v>44980</v>
      </c>
      <c r="F101" s="513" t="s">
        <v>1210</v>
      </c>
      <c r="G101" s="200" t="s">
        <v>1209</v>
      </c>
      <c r="H101" s="201"/>
      <c r="I101" s="201" t="s">
        <v>827</v>
      </c>
      <c r="J101" s="197" t="s">
        <v>46</v>
      </c>
      <c r="K101" s="202">
        <v>2500000</v>
      </c>
      <c r="L101" s="202"/>
    </row>
    <row r="102" spans="1:12" ht="11.25" customHeight="1" x14ac:dyDescent="0.2">
      <c r="A102" s="191">
        <v>2023</v>
      </c>
      <c r="B102" s="191">
        <v>2</v>
      </c>
      <c r="C102" s="191">
        <v>23</v>
      </c>
      <c r="D102" s="192">
        <f t="shared" si="3"/>
        <v>44980</v>
      </c>
      <c r="E102" s="193">
        <f t="shared" si="6"/>
        <v>44980</v>
      </c>
      <c r="F102" s="514"/>
      <c r="G102" s="194" t="s">
        <v>1209</v>
      </c>
      <c r="H102" s="195"/>
      <c r="I102" s="195" t="s">
        <v>827</v>
      </c>
      <c r="J102" s="191" t="s">
        <v>16</v>
      </c>
      <c r="K102" s="196"/>
      <c r="L102" s="196">
        <v>2500000</v>
      </c>
    </row>
    <row r="103" spans="1:12" ht="11.25" customHeight="1" x14ac:dyDescent="0.2">
      <c r="A103" s="197">
        <v>2023</v>
      </c>
      <c r="B103" s="197">
        <v>2</v>
      </c>
      <c r="C103" s="197">
        <v>23</v>
      </c>
      <c r="D103" s="198">
        <f t="shared" si="3"/>
        <v>44980</v>
      </c>
      <c r="E103" s="199">
        <f t="shared" si="6"/>
        <v>44980</v>
      </c>
      <c r="F103" s="513" t="s">
        <v>1210</v>
      </c>
      <c r="G103" s="200" t="s">
        <v>1209</v>
      </c>
      <c r="H103" s="201"/>
      <c r="I103" s="201" t="s">
        <v>1223</v>
      </c>
      <c r="J103" s="197" t="s">
        <v>46</v>
      </c>
      <c r="K103" s="202">
        <v>1500000</v>
      </c>
      <c r="L103" s="202"/>
    </row>
    <row r="104" spans="1:12" ht="11.25" customHeight="1" x14ac:dyDescent="0.2">
      <c r="A104" s="191">
        <v>2023</v>
      </c>
      <c r="B104" s="191">
        <v>2</v>
      </c>
      <c r="C104" s="191">
        <v>23</v>
      </c>
      <c r="D104" s="192">
        <f t="shared" si="3"/>
        <v>44980</v>
      </c>
      <c r="E104" s="193">
        <f t="shared" si="6"/>
        <v>44980</v>
      </c>
      <c r="F104" s="514"/>
      <c r="G104" s="194" t="s">
        <v>1209</v>
      </c>
      <c r="H104" s="195"/>
      <c r="I104" s="195" t="s">
        <v>1223</v>
      </c>
      <c r="J104" s="191" t="s">
        <v>16</v>
      </c>
      <c r="K104" s="196"/>
      <c r="L104" s="196">
        <v>1500000</v>
      </c>
    </row>
    <row r="105" spans="1:12" ht="11.25" customHeight="1" x14ac:dyDescent="0.2">
      <c r="A105" s="197">
        <v>2023</v>
      </c>
      <c r="B105" s="197">
        <v>2</v>
      </c>
      <c r="C105" s="197">
        <v>23</v>
      </c>
      <c r="D105" s="198">
        <f t="shared" si="3"/>
        <v>44980</v>
      </c>
      <c r="E105" s="199">
        <f t="shared" si="6"/>
        <v>44980</v>
      </c>
      <c r="F105" s="513" t="s">
        <v>1210</v>
      </c>
      <c r="G105" s="200" t="s">
        <v>1209</v>
      </c>
      <c r="H105" s="201"/>
      <c r="I105" s="201" t="s">
        <v>520</v>
      </c>
      <c r="J105" s="197" t="s">
        <v>46</v>
      </c>
      <c r="K105" s="202">
        <v>2600000</v>
      </c>
      <c r="L105" s="202"/>
    </row>
    <row r="106" spans="1:12" ht="11.25" customHeight="1" x14ac:dyDescent="0.2">
      <c r="A106" s="191">
        <v>2023</v>
      </c>
      <c r="B106" s="191">
        <v>2</v>
      </c>
      <c r="C106" s="191">
        <v>23</v>
      </c>
      <c r="D106" s="192">
        <f t="shared" si="3"/>
        <v>44980</v>
      </c>
      <c r="E106" s="193">
        <f t="shared" si="6"/>
        <v>44980</v>
      </c>
      <c r="F106" s="514"/>
      <c r="G106" s="194" t="s">
        <v>1209</v>
      </c>
      <c r="H106" s="195"/>
      <c r="I106" s="195" t="s">
        <v>520</v>
      </c>
      <c r="J106" s="191" t="s">
        <v>16</v>
      </c>
      <c r="K106" s="196"/>
      <c r="L106" s="196">
        <v>2600000</v>
      </c>
    </row>
    <row r="107" spans="1:12" ht="11.25" customHeight="1" x14ac:dyDescent="0.2">
      <c r="A107" s="197">
        <v>2023</v>
      </c>
      <c r="B107" s="197">
        <v>2</v>
      </c>
      <c r="C107" s="197">
        <v>23</v>
      </c>
      <c r="D107" s="198">
        <f t="shared" si="3"/>
        <v>44980</v>
      </c>
      <c r="E107" s="199">
        <f t="shared" ref="E107:E120" si="8">DATE(A107,B107,C107)</f>
        <v>44980</v>
      </c>
      <c r="F107" s="513" t="s">
        <v>1210</v>
      </c>
      <c r="G107" s="200" t="s">
        <v>1209</v>
      </c>
      <c r="H107" s="201"/>
      <c r="I107" s="201" t="s">
        <v>387</v>
      </c>
      <c r="J107" s="197" t="s">
        <v>46</v>
      </c>
      <c r="K107" s="202">
        <v>480000</v>
      </c>
      <c r="L107" s="202"/>
    </row>
    <row r="108" spans="1:12" ht="11.25" customHeight="1" x14ac:dyDescent="0.2">
      <c r="A108" s="191">
        <v>2023</v>
      </c>
      <c r="B108" s="191">
        <v>2</v>
      </c>
      <c r="C108" s="191">
        <v>23</v>
      </c>
      <c r="D108" s="192">
        <f t="shared" si="3"/>
        <v>44980</v>
      </c>
      <c r="E108" s="193">
        <f t="shared" si="8"/>
        <v>44980</v>
      </c>
      <c r="F108" s="514"/>
      <c r="G108" s="194" t="s">
        <v>1209</v>
      </c>
      <c r="H108" s="195"/>
      <c r="I108" s="195" t="s">
        <v>387</v>
      </c>
      <c r="J108" s="191" t="s">
        <v>16</v>
      </c>
      <c r="K108" s="196"/>
      <c r="L108" s="196">
        <v>480000</v>
      </c>
    </row>
    <row r="109" spans="1:12" ht="11.25" customHeight="1" x14ac:dyDescent="0.2">
      <c r="A109" s="197">
        <v>2023</v>
      </c>
      <c r="B109" s="197">
        <v>2</v>
      </c>
      <c r="C109" s="197">
        <v>23</v>
      </c>
      <c r="D109" s="198">
        <f t="shared" si="3"/>
        <v>44980</v>
      </c>
      <c r="E109" s="199">
        <f t="shared" si="8"/>
        <v>44980</v>
      </c>
      <c r="F109" s="513" t="s">
        <v>1228</v>
      </c>
      <c r="G109" s="200" t="s">
        <v>1209</v>
      </c>
      <c r="H109" s="201"/>
      <c r="I109" s="201"/>
      <c r="J109" s="197" t="s">
        <v>54</v>
      </c>
      <c r="K109" s="202">
        <v>325</v>
      </c>
      <c r="L109" s="202"/>
    </row>
    <row r="110" spans="1:12" ht="11.25" customHeight="1" x14ac:dyDescent="0.2">
      <c r="A110" s="191">
        <v>2023</v>
      </c>
      <c r="B110" s="191">
        <v>2</v>
      </c>
      <c r="C110" s="191">
        <v>23</v>
      </c>
      <c r="D110" s="192">
        <f t="shared" si="3"/>
        <v>44980</v>
      </c>
      <c r="E110" s="193">
        <f t="shared" si="8"/>
        <v>44980</v>
      </c>
      <c r="F110" s="514"/>
      <c r="G110" s="194" t="s">
        <v>1209</v>
      </c>
      <c r="H110" s="195"/>
      <c r="I110" s="195"/>
      <c r="J110" s="191" t="s">
        <v>46</v>
      </c>
      <c r="K110" s="196"/>
      <c r="L110" s="196">
        <v>325</v>
      </c>
    </row>
    <row r="111" spans="1:12" ht="11.25" customHeight="1" x14ac:dyDescent="0.2">
      <c r="A111" s="197">
        <v>2023</v>
      </c>
      <c r="B111" s="197">
        <v>2</v>
      </c>
      <c r="C111" s="197">
        <v>26</v>
      </c>
      <c r="D111" s="198">
        <f t="shared" si="3"/>
        <v>44983</v>
      </c>
      <c r="E111" s="199">
        <f t="shared" si="8"/>
        <v>44983</v>
      </c>
      <c r="F111" s="513" t="s">
        <v>1210</v>
      </c>
      <c r="G111" s="200" t="s">
        <v>1209</v>
      </c>
      <c r="H111" s="201"/>
      <c r="I111" s="201" t="s">
        <v>315</v>
      </c>
      <c r="J111" s="197" t="s">
        <v>46</v>
      </c>
      <c r="K111" s="202">
        <v>10000</v>
      </c>
      <c r="L111" s="202"/>
    </row>
    <row r="112" spans="1:12" ht="11.25" customHeight="1" x14ac:dyDescent="0.2">
      <c r="A112" s="191">
        <v>2023</v>
      </c>
      <c r="B112" s="191">
        <v>2</v>
      </c>
      <c r="C112" s="191">
        <v>26</v>
      </c>
      <c r="D112" s="192">
        <f t="shared" si="3"/>
        <v>44983</v>
      </c>
      <c r="E112" s="193">
        <f t="shared" si="8"/>
        <v>44983</v>
      </c>
      <c r="F112" s="514"/>
      <c r="G112" s="194" t="s">
        <v>1209</v>
      </c>
      <c r="H112" s="195"/>
      <c r="I112" s="195" t="s">
        <v>315</v>
      </c>
      <c r="J112" s="191" t="s">
        <v>16</v>
      </c>
      <c r="K112" s="196"/>
      <c r="L112" s="196">
        <v>10000</v>
      </c>
    </row>
    <row r="113" spans="1:12" ht="11.25" customHeight="1" x14ac:dyDescent="0.2">
      <c r="A113" s="197">
        <v>2023</v>
      </c>
      <c r="B113" s="197">
        <v>2</v>
      </c>
      <c r="C113" s="197">
        <v>26</v>
      </c>
      <c r="D113" s="198">
        <f t="shared" si="3"/>
        <v>44983</v>
      </c>
      <c r="E113" s="199">
        <f t="shared" si="8"/>
        <v>44983</v>
      </c>
      <c r="F113" s="513" t="s">
        <v>1210</v>
      </c>
      <c r="G113" s="200" t="s">
        <v>1209</v>
      </c>
      <c r="H113" s="201"/>
      <c r="I113" s="201" t="s">
        <v>315</v>
      </c>
      <c r="J113" s="197" t="s">
        <v>46</v>
      </c>
      <c r="K113" s="202">
        <v>990000</v>
      </c>
      <c r="L113" s="202"/>
    </row>
    <row r="114" spans="1:12" ht="11.25" customHeight="1" x14ac:dyDescent="0.2">
      <c r="A114" s="191">
        <v>2023</v>
      </c>
      <c r="B114" s="191">
        <v>2</v>
      </c>
      <c r="C114" s="191">
        <v>26</v>
      </c>
      <c r="D114" s="192">
        <f t="shared" si="3"/>
        <v>44983</v>
      </c>
      <c r="E114" s="193">
        <f t="shared" si="8"/>
        <v>44983</v>
      </c>
      <c r="F114" s="514"/>
      <c r="G114" s="194" t="s">
        <v>1209</v>
      </c>
      <c r="H114" s="195"/>
      <c r="I114" s="195" t="s">
        <v>315</v>
      </c>
      <c r="J114" s="191" t="s">
        <v>16</v>
      </c>
      <c r="K114" s="196"/>
      <c r="L114" s="196">
        <v>990000</v>
      </c>
    </row>
    <row r="115" spans="1:12" ht="11.25" customHeight="1" x14ac:dyDescent="0.2">
      <c r="A115" s="197">
        <v>2023</v>
      </c>
      <c r="B115" s="197">
        <v>2</v>
      </c>
      <c r="C115" s="197">
        <v>26</v>
      </c>
      <c r="D115" s="198">
        <f t="shared" si="3"/>
        <v>44983</v>
      </c>
      <c r="E115" s="199">
        <f t="shared" si="8"/>
        <v>44983</v>
      </c>
      <c r="F115" s="513" t="s">
        <v>1210</v>
      </c>
      <c r="G115" s="200" t="s">
        <v>1209</v>
      </c>
      <c r="H115" s="201"/>
      <c r="I115" s="201" t="s">
        <v>1242</v>
      </c>
      <c r="J115" s="197" t="s">
        <v>46</v>
      </c>
      <c r="K115" s="202">
        <v>200000</v>
      </c>
      <c r="L115" s="202"/>
    </row>
    <row r="116" spans="1:12" ht="11.25" customHeight="1" x14ac:dyDescent="0.2">
      <c r="A116" s="191">
        <v>2023</v>
      </c>
      <c r="B116" s="191">
        <v>2</v>
      </c>
      <c r="C116" s="191">
        <v>26</v>
      </c>
      <c r="D116" s="192">
        <f t="shared" si="3"/>
        <v>44983</v>
      </c>
      <c r="E116" s="193">
        <f t="shared" si="8"/>
        <v>44983</v>
      </c>
      <c r="F116" s="514"/>
      <c r="G116" s="194" t="s">
        <v>1209</v>
      </c>
      <c r="H116" s="195"/>
      <c r="I116" s="195" t="s">
        <v>1242</v>
      </c>
      <c r="J116" s="191" t="s">
        <v>16</v>
      </c>
      <c r="K116" s="196"/>
      <c r="L116" s="196">
        <v>200000</v>
      </c>
    </row>
    <row r="117" spans="1:12" ht="11.25" customHeight="1" x14ac:dyDescent="0.2">
      <c r="A117" s="197">
        <v>2023</v>
      </c>
      <c r="B117" s="197">
        <v>2</v>
      </c>
      <c r="C117" s="197">
        <v>26</v>
      </c>
      <c r="D117" s="198">
        <f t="shared" si="3"/>
        <v>44983</v>
      </c>
      <c r="E117" s="199">
        <f t="shared" si="8"/>
        <v>44983</v>
      </c>
      <c r="F117" s="513" t="s">
        <v>1210</v>
      </c>
      <c r="G117" s="200" t="s">
        <v>1209</v>
      </c>
      <c r="H117" s="201"/>
      <c r="I117" s="201" t="s">
        <v>347</v>
      </c>
      <c r="J117" s="197" t="s">
        <v>46</v>
      </c>
      <c r="K117" s="202">
        <v>1000000</v>
      </c>
      <c r="L117" s="202"/>
    </row>
    <row r="118" spans="1:12" ht="11.25" customHeight="1" x14ac:dyDescent="0.2">
      <c r="A118" s="191">
        <v>2023</v>
      </c>
      <c r="B118" s="191">
        <v>2</v>
      </c>
      <c r="C118" s="191">
        <v>26</v>
      </c>
      <c r="D118" s="192">
        <f t="shared" si="3"/>
        <v>44983</v>
      </c>
      <c r="E118" s="193">
        <f t="shared" si="8"/>
        <v>44983</v>
      </c>
      <c r="F118" s="514"/>
      <c r="G118" s="194" t="s">
        <v>1209</v>
      </c>
      <c r="H118" s="195"/>
      <c r="I118" s="195" t="s">
        <v>347</v>
      </c>
      <c r="J118" s="191" t="s">
        <v>16</v>
      </c>
      <c r="K118" s="196"/>
      <c r="L118" s="196">
        <v>1000000</v>
      </c>
    </row>
    <row r="119" spans="1:12" ht="11.25" customHeight="1" x14ac:dyDescent="0.2">
      <c r="A119" s="197">
        <v>2023</v>
      </c>
      <c r="B119" s="197">
        <v>2</v>
      </c>
      <c r="C119" s="197">
        <v>26</v>
      </c>
      <c r="D119" s="198">
        <f t="shared" si="3"/>
        <v>44983</v>
      </c>
      <c r="E119" s="199">
        <f t="shared" si="8"/>
        <v>44983</v>
      </c>
      <c r="F119" s="513" t="s">
        <v>1210</v>
      </c>
      <c r="G119" s="200" t="s">
        <v>1209</v>
      </c>
      <c r="H119" s="201"/>
      <c r="I119" s="201" t="s">
        <v>1235</v>
      </c>
      <c r="J119" s="197" t="s">
        <v>46</v>
      </c>
      <c r="K119" s="202">
        <v>100000</v>
      </c>
      <c r="L119" s="202"/>
    </row>
    <row r="120" spans="1:12" ht="11.25" customHeight="1" x14ac:dyDescent="0.2">
      <c r="A120" s="191">
        <v>2023</v>
      </c>
      <c r="B120" s="191">
        <v>2</v>
      </c>
      <c r="C120" s="191">
        <v>26</v>
      </c>
      <c r="D120" s="192">
        <f t="shared" si="3"/>
        <v>44983</v>
      </c>
      <c r="E120" s="193">
        <f t="shared" si="8"/>
        <v>44983</v>
      </c>
      <c r="F120" s="514"/>
      <c r="G120" s="194" t="s">
        <v>1209</v>
      </c>
      <c r="H120" s="195"/>
      <c r="I120" s="195" t="s">
        <v>1235</v>
      </c>
      <c r="J120" s="191" t="s">
        <v>16</v>
      </c>
      <c r="K120" s="196"/>
      <c r="L120" s="196">
        <v>100000</v>
      </c>
    </row>
    <row r="121" spans="1:12" ht="11.25" customHeight="1" x14ac:dyDescent="0.2">
      <c r="A121" s="197">
        <v>2023</v>
      </c>
      <c r="B121" s="197">
        <v>2</v>
      </c>
      <c r="C121" s="197">
        <v>26</v>
      </c>
      <c r="D121" s="198">
        <f t="shared" si="3"/>
        <v>44983</v>
      </c>
      <c r="E121" s="199">
        <f t="shared" ref="E121:E142" si="9">DATE(A121,B121,C121)</f>
        <v>44983</v>
      </c>
      <c r="F121" s="513" t="s">
        <v>1210</v>
      </c>
      <c r="G121" s="200" t="s">
        <v>1209</v>
      </c>
      <c r="H121" s="201"/>
      <c r="I121" s="201" t="s">
        <v>880</v>
      </c>
      <c r="J121" s="197" t="s">
        <v>46</v>
      </c>
      <c r="K121" s="202">
        <v>100000</v>
      </c>
      <c r="L121" s="202"/>
    </row>
    <row r="122" spans="1:12" ht="11.25" customHeight="1" x14ac:dyDescent="0.2">
      <c r="A122" s="191">
        <v>2023</v>
      </c>
      <c r="B122" s="191">
        <v>2</v>
      </c>
      <c r="C122" s="191">
        <v>26</v>
      </c>
      <c r="D122" s="192">
        <f t="shared" si="3"/>
        <v>44983</v>
      </c>
      <c r="E122" s="193">
        <f t="shared" si="9"/>
        <v>44983</v>
      </c>
      <c r="F122" s="514"/>
      <c r="G122" s="194" t="s">
        <v>1209</v>
      </c>
      <c r="H122" s="195"/>
      <c r="I122" s="195" t="s">
        <v>880</v>
      </c>
      <c r="J122" s="191" t="s">
        <v>16</v>
      </c>
      <c r="K122" s="196"/>
      <c r="L122" s="196">
        <v>100000</v>
      </c>
    </row>
    <row r="123" spans="1:12" ht="11.25" customHeight="1" x14ac:dyDescent="0.2">
      <c r="A123" s="197">
        <v>2023</v>
      </c>
      <c r="B123" s="197">
        <v>2</v>
      </c>
      <c r="C123" s="197">
        <v>26</v>
      </c>
      <c r="D123" s="198">
        <f t="shared" si="3"/>
        <v>44983</v>
      </c>
      <c r="E123" s="199">
        <f t="shared" si="9"/>
        <v>44983</v>
      </c>
      <c r="F123" s="513" t="s">
        <v>1210</v>
      </c>
      <c r="G123" s="200" t="s">
        <v>1209</v>
      </c>
      <c r="H123" s="201"/>
      <c r="I123" s="201" t="s">
        <v>384</v>
      </c>
      <c r="J123" s="197" t="s">
        <v>46</v>
      </c>
      <c r="K123" s="202">
        <v>400000</v>
      </c>
      <c r="L123" s="202"/>
    </row>
    <row r="124" spans="1:12" ht="11.25" customHeight="1" x14ac:dyDescent="0.2">
      <c r="A124" s="191">
        <v>2023</v>
      </c>
      <c r="B124" s="191">
        <v>2</v>
      </c>
      <c r="C124" s="191">
        <v>26</v>
      </c>
      <c r="D124" s="192">
        <f t="shared" si="3"/>
        <v>44983</v>
      </c>
      <c r="E124" s="193">
        <f t="shared" si="9"/>
        <v>44983</v>
      </c>
      <c r="F124" s="514"/>
      <c r="G124" s="194" t="s">
        <v>1209</v>
      </c>
      <c r="H124" s="195"/>
      <c r="I124" s="195" t="s">
        <v>384</v>
      </c>
      <c r="J124" s="191" t="s">
        <v>16</v>
      </c>
      <c r="K124" s="196"/>
      <c r="L124" s="196">
        <v>400000</v>
      </c>
    </row>
    <row r="125" spans="1:12" ht="11.25" customHeight="1" x14ac:dyDescent="0.2">
      <c r="A125" s="197">
        <v>2023</v>
      </c>
      <c r="B125" s="197">
        <v>2</v>
      </c>
      <c r="C125" s="197">
        <v>26</v>
      </c>
      <c r="D125" s="198">
        <f t="shared" si="3"/>
        <v>44983</v>
      </c>
      <c r="E125" s="199">
        <f t="shared" si="9"/>
        <v>44983</v>
      </c>
      <c r="F125" s="513" t="s">
        <v>1210</v>
      </c>
      <c r="G125" s="200" t="s">
        <v>1209</v>
      </c>
      <c r="H125" s="201"/>
      <c r="I125" s="201" t="s">
        <v>1237</v>
      </c>
      <c r="J125" s="197" t="s">
        <v>46</v>
      </c>
      <c r="K125" s="202">
        <v>500000</v>
      </c>
      <c r="L125" s="202"/>
    </row>
    <row r="126" spans="1:12" ht="11.25" customHeight="1" x14ac:dyDescent="0.2">
      <c r="A126" s="191">
        <v>2023</v>
      </c>
      <c r="B126" s="191">
        <v>2</v>
      </c>
      <c r="C126" s="191">
        <v>26</v>
      </c>
      <c r="D126" s="192">
        <f t="shared" si="3"/>
        <v>44983</v>
      </c>
      <c r="E126" s="193">
        <f t="shared" si="9"/>
        <v>44983</v>
      </c>
      <c r="F126" s="514"/>
      <c r="G126" s="194" t="s">
        <v>1209</v>
      </c>
      <c r="H126" s="195"/>
      <c r="I126" s="195" t="s">
        <v>1237</v>
      </c>
      <c r="J126" s="191" t="s">
        <v>16</v>
      </c>
      <c r="K126" s="196"/>
      <c r="L126" s="196">
        <v>500000</v>
      </c>
    </row>
    <row r="127" spans="1:12" ht="11.25" customHeight="1" x14ac:dyDescent="0.2">
      <c r="A127" s="197">
        <v>2023</v>
      </c>
      <c r="B127" s="197">
        <v>2</v>
      </c>
      <c r="C127" s="197">
        <v>26</v>
      </c>
      <c r="D127" s="198">
        <f t="shared" si="3"/>
        <v>44983</v>
      </c>
      <c r="E127" s="199">
        <f>DATE(A127,B127,C127)</f>
        <v>44983</v>
      </c>
      <c r="F127" s="513" t="s">
        <v>1210</v>
      </c>
      <c r="G127" s="200" t="s">
        <v>1209</v>
      </c>
      <c r="H127" s="201"/>
      <c r="I127" s="201" t="s">
        <v>323</v>
      </c>
      <c r="J127" s="197" t="s">
        <v>46</v>
      </c>
      <c r="K127" s="202">
        <v>500000</v>
      </c>
      <c r="L127" s="202"/>
    </row>
    <row r="128" spans="1:12" ht="11.25" customHeight="1" x14ac:dyDescent="0.2">
      <c r="A128" s="191">
        <v>2023</v>
      </c>
      <c r="B128" s="191">
        <v>2</v>
      </c>
      <c r="C128" s="191">
        <v>26</v>
      </c>
      <c r="D128" s="192">
        <f t="shared" si="3"/>
        <v>44983</v>
      </c>
      <c r="E128" s="193">
        <f>DATE(A128,B128,C128)</f>
        <v>44983</v>
      </c>
      <c r="F128" s="514"/>
      <c r="G128" s="194" t="s">
        <v>1209</v>
      </c>
      <c r="H128" s="195"/>
      <c r="I128" s="195" t="s">
        <v>323</v>
      </c>
      <c r="J128" s="191" t="s">
        <v>16</v>
      </c>
      <c r="K128" s="196"/>
      <c r="L128" s="196">
        <v>500000</v>
      </c>
    </row>
    <row r="129" spans="1:12" ht="11.25" customHeight="1" x14ac:dyDescent="0.2">
      <c r="A129" s="197">
        <v>2023</v>
      </c>
      <c r="B129" s="197">
        <v>2</v>
      </c>
      <c r="C129" s="197">
        <v>26</v>
      </c>
      <c r="D129" s="198">
        <f t="shared" si="3"/>
        <v>44983</v>
      </c>
      <c r="E129" s="199">
        <f t="shared" si="9"/>
        <v>44983</v>
      </c>
      <c r="F129" s="513" t="s">
        <v>1228</v>
      </c>
      <c r="G129" s="200" t="s">
        <v>1209</v>
      </c>
      <c r="H129" s="201"/>
      <c r="I129" s="201"/>
      <c r="J129" s="197" t="s">
        <v>54</v>
      </c>
      <c r="K129" s="202">
        <v>60</v>
      </c>
      <c r="L129" s="202"/>
    </row>
    <row r="130" spans="1:12" ht="11.25" customHeight="1" x14ac:dyDescent="0.2">
      <c r="A130" s="191">
        <v>2023</v>
      </c>
      <c r="B130" s="191">
        <v>2</v>
      </c>
      <c r="C130" s="191">
        <v>26</v>
      </c>
      <c r="D130" s="192">
        <f t="shared" si="3"/>
        <v>44983</v>
      </c>
      <c r="E130" s="193">
        <f t="shared" si="9"/>
        <v>44983</v>
      </c>
      <c r="F130" s="514"/>
      <c r="G130" s="194" t="s">
        <v>1209</v>
      </c>
      <c r="H130" s="195"/>
      <c r="I130" s="195"/>
      <c r="J130" s="191" t="s">
        <v>46</v>
      </c>
      <c r="K130" s="196"/>
      <c r="L130" s="196">
        <v>60</v>
      </c>
    </row>
    <row r="131" spans="1:12" ht="11.25" customHeight="1" x14ac:dyDescent="0.2">
      <c r="A131" s="197">
        <v>2023</v>
      </c>
      <c r="B131" s="197">
        <v>2</v>
      </c>
      <c r="C131" s="197">
        <v>26</v>
      </c>
      <c r="D131" s="198">
        <f t="shared" si="3"/>
        <v>44983</v>
      </c>
      <c r="E131" s="199">
        <f>DATE(A131,B131,C131)</f>
        <v>44983</v>
      </c>
      <c r="F131" s="513" t="s">
        <v>1228</v>
      </c>
      <c r="G131" s="200" t="s">
        <v>1209</v>
      </c>
      <c r="H131" s="201"/>
      <c r="I131" s="201"/>
      <c r="J131" s="197" t="s">
        <v>54</v>
      </c>
      <c r="K131" s="202">
        <v>80</v>
      </c>
      <c r="L131" s="202"/>
    </row>
    <row r="132" spans="1:12" ht="11.25" customHeight="1" x14ac:dyDescent="0.2">
      <c r="A132" s="191">
        <v>2023</v>
      </c>
      <c r="B132" s="191">
        <v>2</v>
      </c>
      <c r="C132" s="191">
        <v>26</v>
      </c>
      <c r="D132" s="192">
        <f t="shared" si="3"/>
        <v>44983</v>
      </c>
      <c r="E132" s="193">
        <f>DATE(A132,B132,C132)</f>
        <v>44983</v>
      </c>
      <c r="F132" s="514"/>
      <c r="G132" s="194" t="s">
        <v>1209</v>
      </c>
      <c r="H132" s="195"/>
      <c r="I132" s="195"/>
      <c r="J132" s="191" t="s">
        <v>46</v>
      </c>
      <c r="K132" s="196"/>
      <c r="L132" s="196">
        <v>80</v>
      </c>
    </row>
    <row r="133" spans="1:12" ht="11.25" customHeight="1" x14ac:dyDescent="0.2">
      <c r="A133" s="197">
        <v>2023</v>
      </c>
      <c r="B133" s="197">
        <v>2</v>
      </c>
      <c r="C133" s="197">
        <v>27</v>
      </c>
      <c r="D133" s="198">
        <f t="shared" si="3"/>
        <v>44984</v>
      </c>
      <c r="E133" s="199">
        <f t="shared" si="9"/>
        <v>44984</v>
      </c>
      <c r="F133" s="513" t="s">
        <v>1210</v>
      </c>
      <c r="G133" s="200" t="s">
        <v>1209</v>
      </c>
      <c r="H133" s="201"/>
      <c r="I133" s="201" t="s">
        <v>1234</v>
      </c>
      <c r="J133" s="197" t="s">
        <v>46</v>
      </c>
      <c r="K133" s="202">
        <v>50000</v>
      </c>
      <c r="L133" s="202"/>
    </row>
    <row r="134" spans="1:12" ht="11.25" customHeight="1" x14ac:dyDescent="0.2">
      <c r="A134" s="191">
        <v>2023</v>
      </c>
      <c r="B134" s="191">
        <v>2</v>
      </c>
      <c r="C134" s="191">
        <v>27</v>
      </c>
      <c r="D134" s="192">
        <f t="shared" si="3"/>
        <v>44984</v>
      </c>
      <c r="E134" s="193">
        <f t="shared" si="9"/>
        <v>44984</v>
      </c>
      <c r="F134" s="514"/>
      <c r="G134" s="194" t="s">
        <v>1209</v>
      </c>
      <c r="H134" s="195"/>
      <c r="I134" s="195" t="s">
        <v>1234</v>
      </c>
      <c r="J134" s="191" t="s">
        <v>16</v>
      </c>
      <c r="K134" s="196"/>
      <c r="L134" s="196">
        <v>50000</v>
      </c>
    </row>
    <row r="135" spans="1:12" ht="11.25" customHeight="1" x14ac:dyDescent="0.2">
      <c r="A135" s="197">
        <v>2023</v>
      </c>
      <c r="B135" s="197">
        <v>2</v>
      </c>
      <c r="C135" s="197">
        <v>27</v>
      </c>
      <c r="D135" s="198">
        <f t="shared" si="3"/>
        <v>44984</v>
      </c>
      <c r="E135" s="199">
        <f t="shared" si="9"/>
        <v>44984</v>
      </c>
      <c r="F135" s="513" t="s">
        <v>1210</v>
      </c>
      <c r="G135" s="200" t="s">
        <v>1209</v>
      </c>
      <c r="H135" s="201"/>
      <c r="I135" s="201" t="s">
        <v>1238</v>
      </c>
      <c r="J135" s="197" t="s">
        <v>46</v>
      </c>
      <c r="K135" s="202">
        <v>600000</v>
      </c>
      <c r="L135" s="202"/>
    </row>
    <row r="136" spans="1:12" ht="11.25" customHeight="1" x14ac:dyDescent="0.2">
      <c r="A136" s="191">
        <v>2023</v>
      </c>
      <c r="B136" s="191">
        <v>2</v>
      </c>
      <c r="C136" s="191">
        <v>27</v>
      </c>
      <c r="D136" s="192">
        <f t="shared" si="3"/>
        <v>44984</v>
      </c>
      <c r="E136" s="193">
        <f t="shared" si="9"/>
        <v>44984</v>
      </c>
      <c r="F136" s="514"/>
      <c r="G136" s="194" t="s">
        <v>1209</v>
      </c>
      <c r="H136" s="195"/>
      <c r="I136" s="195" t="s">
        <v>1238</v>
      </c>
      <c r="J136" s="191" t="s">
        <v>16</v>
      </c>
      <c r="K136" s="196"/>
      <c r="L136" s="196">
        <v>600000</v>
      </c>
    </row>
    <row r="137" spans="1:12" ht="11.25" customHeight="1" x14ac:dyDescent="0.2">
      <c r="A137" s="197">
        <v>2023</v>
      </c>
      <c r="B137" s="197">
        <v>2</v>
      </c>
      <c r="C137" s="197">
        <v>27</v>
      </c>
      <c r="D137" s="198">
        <f t="shared" ref="D137:D200" si="10">DATE(A137,B137,C137)</f>
        <v>44984</v>
      </c>
      <c r="E137" s="199">
        <f t="shared" si="9"/>
        <v>44984</v>
      </c>
      <c r="F137" s="513" t="s">
        <v>1210</v>
      </c>
      <c r="G137" s="200" t="s">
        <v>1209</v>
      </c>
      <c r="H137" s="201"/>
      <c r="I137" s="201" t="s">
        <v>422</v>
      </c>
      <c r="J137" s="197" t="s">
        <v>46</v>
      </c>
      <c r="K137" s="202">
        <v>500000</v>
      </c>
      <c r="L137" s="202"/>
    </row>
    <row r="138" spans="1:12" ht="11.25" customHeight="1" x14ac:dyDescent="0.2">
      <c r="A138" s="191">
        <v>2023</v>
      </c>
      <c r="B138" s="191">
        <v>2</v>
      </c>
      <c r="C138" s="191">
        <v>27</v>
      </c>
      <c r="D138" s="192">
        <f t="shared" si="10"/>
        <v>44984</v>
      </c>
      <c r="E138" s="193">
        <f t="shared" si="9"/>
        <v>44984</v>
      </c>
      <c r="F138" s="514"/>
      <c r="G138" s="194" t="s">
        <v>1209</v>
      </c>
      <c r="H138" s="195"/>
      <c r="I138" s="195" t="s">
        <v>422</v>
      </c>
      <c r="J138" s="191" t="s">
        <v>16</v>
      </c>
      <c r="K138" s="196"/>
      <c r="L138" s="196">
        <v>500000</v>
      </c>
    </row>
    <row r="139" spans="1:12" ht="11.25" customHeight="1" x14ac:dyDescent="0.2">
      <c r="A139" s="197">
        <v>2023</v>
      </c>
      <c r="B139" s="197">
        <v>2</v>
      </c>
      <c r="C139" s="197">
        <v>27</v>
      </c>
      <c r="D139" s="198">
        <f t="shared" si="10"/>
        <v>44984</v>
      </c>
      <c r="E139" s="199">
        <f t="shared" si="9"/>
        <v>44984</v>
      </c>
      <c r="F139" s="513" t="s">
        <v>1210</v>
      </c>
      <c r="G139" s="200" t="s">
        <v>1209</v>
      </c>
      <c r="H139" s="201"/>
      <c r="I139" s="201" t="s">
        <v>658</v>
      </c>
      <c r="J139" s="197" t="s">
        <v>46</v>
      </c>
      <c r="K139" s="202">
        <v>800000</v>
      </c>
      <c r="L139" s="202"/>
    </row>
    <row r="140" spans="1:12" ht="11.25" customHeight="1" x14ac:dyDescent="0.2">
      <c r="A140" s="191">
        <v>2023</v>
      </c>
      <c r="B140" s="191">
        <v>2</v>
      </c>
      <c r="C140" s="191">
        <v>27</v>
      </c>
      <c r="D140" s="192">
        <f t="shared" si="10"/>
        <v>44984</v>
      </c>
      <c r="E140" s="193">
        <f t="shared" si="9"/>
        <v>44984</v>
      </c>
      <c r="F140" s="514"/>
      <c r="G140" s="194" t="s">
        <v>1209</v>
      </c>
      <c r="H140" s="195"/>
      <c r="I140" s="195" t="s">
        <v>658</v>
      </c>
      <c r="J140" s="191" t="s">
        <v>16</v>
      </c>
      <c r="K140" s="196"/>
      <c r="L140" s="196">
        <v>800000</v>
      </c>
    </row>
    <row r="141" spans="1:12" ht="11.25" customHeight="1" x14ac:dyDescent="0.2">
      <c r="A141" s="197">
        <v>2023</v>
      </c>
      <c r="B141" s="197">
        <v>2</v>
      </c>
      <c r="C141" s="197">
        <v>27</v>
      </c>
      <c r="D141" s="198">
        <f t="shared" si="10"/>
        <v>44984</v>
      </c>
      <c r="E141" s="199">
        <f t="shared" si="9"/>
        <v>44984</v>
      </c>
      <c r="F141" s="513" t="s">
        <v>1210</v>
      </c>
      <c r="G141" s="200" t="s">
        <v>1209</v>
      </c>
      <c r="H141" s="201"/>
      <c r="I141" s="201" t="s">
        <v>620</v>
      </c>
      <c r="J141" s="197" t="s">
        <v>46</v>
      </c>
      <c r="K141" s="202">
        <v>3000000</v>
      </c>
      <c r="L141" s="202"/>
    </row>
    <row r="142" spans="1:12" ht="11.25" customHeight="1" x14ac:dyDescent="0.2">
      <c r="A142" s="191">
        <v>2023</v>
      </c>
      <c r="B142" s="191">
        <v>2</v>
      </c>
      <c r="C142" s="191">
        <v>27</v>
      </c>
      <c r="D142" s="192">
        <f t="shared" si="10"/>
        <v>44984</v>
      </c>
      <c r="E142" s="193">
        <f t="shared" si="9"/>
        <v>44984</v>
      </c>
      <c r="F142" s="514"/>
      <c r="G142" s="194" t="s">
        <v>1209</v>
      </c>
      <c r="H142" s="195"/>
      <c r="I142" s="195" t="s">
        <v>620</v>
      </c>
      <c r="J142" s="191" t="s">
        <v>16</v>
      </c>
      <c r="K142" s="196"/>
      <c r="L142" s="196">
        <v>3000000</v>
      </c>
    </row>
    <row r="143" spans="1:12" ht="11.25" customHeight="1" x14ac:dyDescent="0.2">
      <c r="A143" s="197">
        <v>2023</v>
      </c>
      <c r="B143" s="197">
        <v>2</v>
      </c>
      <c r="C143" s="197">
        <v>27</v>
      </c>
      <c r="D143" s="198">
        <f t="shared" si="10"/>
        <v>44984</v>
      </c>
      <c r="E143" s="199">
        <f t="shared" ref="E143:E158" si="11">DATE(A143,B143,C143)</f>
        <v>44984</v>
      </c>
      <c r="F143" s="513" t="s">
        <v>1210</v>
      </c>
      <c r="G143" s="200" t="s">
        <v>1209</v>
      </c>
      <c r="H143" s="201"/>
      <c r="I143" s="201" t="s">
        <v>349</v>
      </c>
      <c r="J143" s="197" t="s">
        <v>46</v>
      </c>
      <c r="K143" s="202">
        <v>100000</v>
      </c>
      <c r="L143" s="202"/>
    </row>
    <row r="144" spans="1:12" ht="11.25" customHeight="1" x14ac:dyDescent="0.2">
      <c r="A144" s="191">
        <v>2023</v>
      </c>
      <c r="B144" s="191">
        <v>2</v>
      </c>
      <c r="C144" s="191">
        <v>27</v>
      </c>
      <c r="D144" s="192">
        <f t="shared" si="10"/>
        <v>44984</v>
      </c>
      <c r="E144" s="193">
        <f t="shared" si="11"/>
        <v>44984</v>
      </c>
      <c r="F144" s="514"/>
      <c r="G144" s="194" t="s">
        <v>1209</v>
      </c>
      <c r="H144" s="195"/>
      <c r="I144" s="195" t="s">
        <v>349</v>
      </c>
      <c r="J144" s="191" t="s">
        <v>16</v>
      </c>
      <c r="K144" s="196"/>
      <c r="L144" s="196">
        <v>100000</v>
      </c>
    </row>
    <row r="145" spans="1:12" ht="11.25" customHeight="1" x14ac:dyDescent="0.2">
      <c r="A145" s="197">
        <v>2023</v>
      </c>
      <c r="B145" s="197">
        <v>2</v>
      </c>
      <c r="C145" s="197">
        <v>27</v>
      </c>
      <c r="D145" s="198">
        <f t="shared" si="10"/>
        <v>44984</v>
      </c>
      <c r="E145" s="199">
        <f t="shared" si="11"/>
        <v>44984</v>
      </c>
      <c r="F145" s="513" t="s">
        <v>1210</v>
      </c>
      <c r="G145" s="200" t="s">
        <v>1209</v>
      </c>
      <c r="H145" s="201"/>
      <c r="I145" s="201" t="s">
        <v>1229</v>
      </c>
      <c r="J145" s="197" t="s">
        <v>46</v>
      </c>
      <c r="K145" s="202">
        <v>30000</v>
      </c>
      <c r="L145" s="202"/>
    </row>
    <row r="146" spans="1:12" ht="11.25" customHeight="1" x14ac:dyDescent="0.2">
      <c r="A146" s="191">
        <v>2023</v>
      </c>
      <c r="B146" s="191">
        <v>2</v>
      </c>
      <c r="C146" s="191">
        <v>27</v>
      </c>
      <c r="D146" s="192">
        <f t="shared" si="10"/>
        <v>44984</v>
      </c>
      <c r="E146" s="193">
        <f t="shared" si="11"/>
        <v>44984</v>
      </c>
      <c r="F146" s="514"/>
      <c r="G146" s="194" t="s">
        <v>1209</v>
      </c>
      <c r="H146" s="195"/>
      <c r="I146" s="195" t="s">
        <v>1229</v>
      </c>
      <c r="J146" s="191" t="s">
        <v>16</v>
      </c>
      <c r="K146" s="196"/>
      <c r="L146" s="196">
        <v>30000</v>
      </c>
    </row>
    <row r="147" spans="1:12" ht="11.25" customHeight="1" x14ac:dyDescent="0.2">
      <c r="A147" s="197">
        <v>2023</v>
      </c>
      <c r="B147" s="197">
        <v>2</v>
      </c>
      <c r="C147" s="197">
        <v>27</v>
      </c>
      <c r="D147" s="198">
        <f t="shared" si="10"/>
        <v>44984</v>
      </c>
      <c r="E147" s="199">
        <f t="shared" si="11"/>
        <v>44984</v>
      </c>
      <c r="F147" s="513" t="s">
        <v>1210</v>
      </c>
      <c r="G147" s="200" t="s">
        <v>1209</v>
      </c>
      <c r="H147" s="201"/>
      <c r="I147" s="201" t="s">
        <v>1239</v>
      </c>
      <c r="J147" s="197" t="s">
        <v>46</v>
      </c>
      <c r="K147" s="202">
        <v>1500000</v>
      </c>
      <c r="L147" s="202"/>
    </row>
    <row r="148" spans="1:12" ht="11.25" customHeight="1" x14ac:dyDescent="0.2">
      <c r="A148" s="191">
        <v>2023</v>
      </c>
      <c r="B148" s="191">
        <v>2</v>
      </c>
      <c r="C148" s="191">
        <v>27</v>
      </c>
      <c r="D148" s="192">
        <f t="shared" si="10"/>
        <v>44984</v>
      </c>
      <c r="E148" s="193">
        <f t="shared" si="11"/>
        <v>44984</v>
      </c>
      <c r="F148" s="514"/>
      <c r="G148" s="194" t="s">
        <v>1209</v>
      </c>
      <c r="H148" s="195"/>
      <c r="I148" s="195" t="s">
        <v>1239</v>
      </c>
      <c r="J148" s="191" t="s">
        <v>16</v>
      </c>
      <c r="K148" s="196"/>
      <c r="L148" s="196">
        <v>1500000</v>
      </c>
    </row>
    <row r="149" spans="1:12" ht="11.25" customHeight="1" x14ac:dyDescent="0.2">
      <c r="A149" s="197">
        <v>2023</v>
      </c>
      <c r="B149" s="197">
        <v>2</v>
      </c>
      <c r="C149" s="197">
        <v>27</v>
      </c>
      <c r="D149" s="198">
        <f t="shared" si="10"/>
        <v>44984</v>
      </c>
      <c r="E149" s="199">
        <f t="shared" si="11"/>
        <v>44984</v>
      </c>
      <c r="F149" s="513" t="s">
        <v>1210</v>
      </c>
      <c r="G149" s="200" t="s">
        <v>1209</v>
      </c>
      <c r="H149" s="201"/>
      <c r="I149" s="201" t="s">
        <v>386</v>
      </c>
      <c r="J149" s="197" t="s">
        <v>46</v>
      </c>
      <c r="K149" s="202">
        <v>500000</v>
      </c>
      <c r="L149" s="202"/>
    </row>
    <row r="150" spans="1:12" ht="11.25" customHeight="1" x14ac:dyDescent="0.2">
      <c r="A150" s="191">
        <v>2023</v>
      </c>
      <c r="B150" s="191">
        <v>2</v>
      </c>
      <c r="C150" s="191">
        <v>27</v>
      </c>
      <c r="D150" s="192">
        <f t="shared" si="10"/>
        <v>44984</v>
      </c>
      <c r="E150" s="193">
        <f t="shared" si="11"/>
        <v>44984</v>
      </c>
      <c r="F150" s="514"/>
      <c r="G150" s="194" t="s">
        <v>1209</v>
      </c>
      <c r="H150" s="195"/>
      <c r="I150" s="195" t="s">
        <v>386</v>
      </c>
      <c r="J150" s="191" t="s">
        <v>16</v>
      </c>
      <c r="K150" s="196"/>
      <c r="L150" s="196">
        <v>500000</v>
      </c>
    </row>
    <row r="151" spans="1:12" ht="11.25" customHeight="1" x14ac:dyDescent="0.2">
      <c r="A151" s="197">
        <v>2023</v>
      </c>
      <c r="B151" s="197">
        <v>2</v>
      </c>
      <c r="C151" s="197">
        <v>27</v>
      </c>
      <c r="D151" s="198">
        <f t="shared" si="10"/>
        <v>44984</v>
      </c>
      <c r="E151" s="199">
        <f t="shared" si="11"/>
        <v>44984</v>
      </c>
      <c r="F151" s="513" t="s">
        <v>1210</v>
      </c>
      <c r="G151" s="200" t="s">
        <v>1209</v>
      </c>
      <c r="H151" s="201"/>
      <c r="I151" s="201" t="s">
        <v>1240</v>
      </c>
      <c r="J151" s="197" t="s">
        <v>46</v>
      </c>
      <c r="K151" s="202">
        <v>25000</v>
      </c>
      <c r="L151" s="202"/>
    </row>
    <row r="152" spans="1:12" ht="11.25" customHeight="1" x14ac:dyDescent="0.2">
      <c r="A152" s="191">
        <v>2023</v>
      </c>
      <c r="B152" s="191">
        <v>2</v>
      </c>
      <c r="C152" s="191">
        <v>27</v>
      </c>
      <c r="D152" s="192">
        <f t="shared" si="10"/>
        <v>44984</v>
      </c>
      <c r="E152" s="193">
        <f t="shared" si="11"/>
        <v>44984</v>
      </c>
      <c r="F152" s="514"/>
      <c r="G152" s="194" t="s">
        <v>1209</v>
      </c>
      <c r="H152" s="195"/>
      <c r="I152" s="195" t="s">
        <v>1240</v>
      </c>
      <c r="J152" s="191" t="s">
        <v>16</v>
      </c>
      <c r="K152" s="196"/>
      <c r="L152" s="196">
        <v>25000</v>
      </c>
    </row>
    <row r="153" spans="1:12" ht="11.25" customHeight="1" x14ac:dyDescent="0.2">
      <c r="A153" s="197">
        <v>2023</v>
      </c>
      <c r="B153" s="197">
        <v>2</v>
      </c>
      <c r="C153" s="197">
        <v>27</v>
      </c>
      <c r="D153" s="198">
        <f t="shared" si="10"/>
        <v>44984</v>
      </c>
      <c r="E153" s="199">
        <f t="shared" si="11"/>
        <v>44984</v>
      </c>
      <c r="F153" s="513" t="s">
        <v>1210</v>
      </c>
      <c r="G153" s="200" t="s">
        <v>1209</v>
      </c>
      <c r="H153" s="201"/>
      <c r="I153" s="201" t="s">
        <v>395</v>
      </c>
      <c r="J153" s="197" t="s">
        <v>46</v>
      </c>
      <c r="K153" s="202">
        <v>3700000</v>
      </c>
      <c r="L153" s="202"/>
    </row>
    <row r="154" spans="1:12" ht="11.25" customHeight="1" x14ac:dyDescent="0.2">
      <c r="A154" s="191">
        <v>2023</v>
      </c>
      <c r="B154" s="191">
        <v>2</v>
      </c>
      <c r="C154" s="191">
        <v>27</v>
      </c>
      <c r="D154" s="192">
        <f t="shared" si="10"/>
        <v>44984</v>
      </c>
      <c r="E154" s="193">
        <f t="shared" si="11"/>
        <v>44984</v>
      </c>
      <c r="F154" s="514"/>
      <c r="G154" s="194" t="s">
        <v>1209</v>
      </c>
      <c r="H154" s="195"/>
      <c r="I154" s="195" t="s">
        <v>395</v>
      </c>
      <c r="J154" s="191" t="s">
        <v>16</v>
      </c>
      <c r="K154" s="196"/>
      <c r="L154" s="196">
        <v>3700000</v>
      </c>
    </row>
    <row r="155" spans="1:12" ht="11.25" customHeight="1" x14ac:dyDescent="0.2">
      <c r="A155" s="197">
        <v>2023</v>
      </c>
      <c r="B155" s="197">
        <v>2</v>
      </c>
      <c r="C155" s="197">
        <v>27</v>
      </c>
      <c r="D155" s="198">
        <f t="shared" si="10"/>
        <v>44984</v>
      </c>
      <c r="E155" s="199">
        <f t="shared" si="11"/>
        <v>44984</v>
      </c>
      <c r="F155" s="513" t="s">
        <v>1210</v>
      </c>
      <c r="G155" s="200" t="s">
        <v>1209</v>
      </c>
      <c r="H155" s="201"/>
      <c r="I155" s="201" t="s">
        <v>1230</v>
      </c>
      <c r="J155" s="197" t="s">
        <v>46</v>
      </c>
      <c r="K155" s="202">
        <v>3500000</v>
      </c>
      <c r="L155" s="202"/>
    </row>
    <row r="156" spans="1:12" ht="11.25" customHeight="1" x14ac:dyDescent="0.2">
      <c r="A156" s="191">
        <v>2023</v>
      </c>
      <c r="B156" s="191">
        <v>2</v>
      </c>
      <c r="C156" s="191">
        <v>27</v>
      </c>
      <c r="D156" s="192">
        <f t="shared" si="10"/>
        <v>44984</v>
      </c>
      <c r="E156" s="193">
        <f t="shared" si="11"/>
        <v>44984</v>
      </c>
      <c r="F156" s="514"/>
      <c r="G156" s="194" t="s">
        <v>1209</v>
      </c>
      <c r="H156" s="195"/>
      <c r="I156" s="195" t="s">
        <v>1230</v>
      </c>
      <c r="J156" s="191" t="s">
        <v>16</v>
      </c>
      <c r="K156" s="196"/>
      <c r="L156" s="196">
        <v>3500000</v>
      </c>
    </row>
    <row r="157" spans="1:12" ht="11.25" customHeight="1" x14ac:dyDescent="0.2">
      <c r="A157" s="197">
        <v>2023</v>
      </c>
      <c r="B157" s="197">
        <v>2</v>
      </c>
      <c r="C157" s="197">
        <v>27</v>
      </c>
      <c r="D157" s="198">
        <f t="shared" si="10"/>
        <v>44984</v>
      </c>
      <c r="E157" s="199">
        <f t="shared" si="11"/>
        <v>44984</v>
      </c>
      <c r="F157" s="513" t="s">
        <v>1210</v>
      </c>
      <c r="G157" s="200" t="s">
        <v>1209</v>
      </c>
      <c r="H157" s="201"/>
      <c r="I157" s="201" t="s">
        <v>395</v>
      </c>
      <c r="J157" s="197" t="s">
        <v>46</v>
      </c>
      <c r="K157" s="202">
        <v>1300000</v>
      </c>
      <c r="L157" s="202"/>
    </row>
    <row r="158" spans="1:12" ht="11.25" customHeight="1" x14ac:dyDescent="0.2">
      <c r="A158" s="191">
        <v>2023</v>
      </c>
      <c r="B158" s="191">
        <v>2</v>
      </c>
      <c r="C158" s="191">
        <v>27</v>
      </c>
      <c r="D158" s="192">
        <f t="shared" si="10"/>
        <v>44984</v>
      </c>
      <c r="E158" s="193">
        <f t="shared" si="11"/>
        <v>44984</v>
      </c>
      <c r="F158" s="514"/>
      <c r="G158" s="194" t="s">
        <v>1209</v>
      </c>
      <c r="H158" s="195"/>
      <c r="I158" s="195" t="s">
        <v>395</v>
      </c>
      <c r="J158" s="191" t="s">
        <v>16</v>
      </c>
      <c r="K158" s="196"/>
      <c r="L158" s="196">
        <v>1300000</v>
      </c>
    </row>
    <row r="159" spans="1:12" ht="11.25" customHeight="1" x14ac:dyDescent="0.2">
      <c r="A159" s="197">
        <v>2023</v>
      </c>
      <c r="B159" s="197">
        <v>2</v>
      </c>
      <c r="C159" s="197">
        <v>27</v>
      </c>
      <c r="D159" s="198">
        <f t="shared" si="10"/>
        <v>44984</v>
      </c>
      <c r="E159" s="199">
        <f t="shared" ref="E159:E166" si="12">DATE(A159,B159,C159)</f>
        <v>44984</v>
      </c>
      <c r="F159" s="513" t="s">
        <v>1210</v>
      </c>
      <c r="G159" s="200" t="s">
        <v>1209</v>
      </c>
      <c r="H159" s="201"/>
      <c r="I159" s="201" t="s">
        <v>494</v>
      </c>
      <c r="J159" s="197" t="s">
        <v>46</v>
      </c>
      <c r="K159" s="202">
        <v>100000</v>
      </c>
      <c r="L159" s="202"/>
    </row>
    <row r="160" spans="1:12" ht="11.25" customHeight="1" x14ac:dyDescent="0.2">
      <c r="A160" s="191">
        <v>2023</v>
      </c>
      <c r="B160" s="191">
        <v>2</v>
      </c>
      <c r="C160" s="191">
        <v>27</v>
      </c>
      <c r="D160" s="192">
        <f t="shared" si="10"/>
        <v>44984</v>
      </c>
      <c r="E160" s="193">
        <f t="shared" si="12"/>
        <v>44984</v>
      </c>
      <c r="F160" s="514"/>
      <c r="G160" s="194" t="s">
        <v>1209</v>
      </c>
      <c r="H160" s="195"/>
      <c r="I160" s="195" t="s">
        <v>494</v>
      </c>
      <c r="J160" s="191" t="s">
        <v>16</v>
      </c>
      <c r="K160" s="196"/>
      <c r="L160" s="196">
        <v>100000</v>
      </c>
    </row>
    <row r="161" spans="1:12" ht="11.25" customHeight="1" x14ac:dyDescent="0.2">
      <c r="A161" s="197">
        <v>2023</v>
      </c>
      <c r="B161" s="197">
        <v>2</v>
      </c>
      <c r="C161" s="197">
        <v>27</v>
      </c>
      <c r="D161" s="198">
        <f t="shared" si="10"/>
        <v>44984</v>
      </c>
      <c r="E161" s="199">
        <f t="shared" si="12"/>
        <v>44984</v>
      </c>
      <c r="F161" s="513" t="s">
        <v>1210</v>
      </c>
      <c r="G161" s="200" t="s">
        <v>1209</v>
      </c>
      <c r="H161" s="201"/>
      <c r="I161" s="201" t="s">
        <v>1241</v>
      </c>
      <c r="J161" s="197" t="s">
        <v>46</v>
      </c>
      <c r="K161" s="202">
        <v>3000000</v>
      </c>
      <c r="L161" s="202"/>
    </row>
    <row r="162" spans="1:12" ht="11.25" customHeight="1" x14ac:dyDescent="0.2">
      <c r="A162" s="191">
        <v>2023</v>
      </c>
      <c r="B162" s="191">
        <v>2</v>
      </c>
      <c r="C162" s="191">
        <v>27</v>
      </c>
      <c r="D162" s="192">
        <f t="shared" si="10"/>
        <v>44984</v>
      </c>
      <c r="E162" s="193">
        <f t="shared" si="12"/>
        <v>44984</v>
      </c>
      <c r="F162" s="514"/>
      <c r="G162" s="194" t="s">
        <v>1209</v>
      </c>
      <c r="H162" s="195"/>
      <c r="I162" s="195" t="s">
        <v>1241</v>
      </c>
      <c r="J162" s="191" t="s">
        <v>16</v>
      </c>
      <c r="K162" s="196"/>
      <c r="L162" s="196">
        <v>3000000</v>
      </c>
    </row>
    <row r="163" spans="1:12" ht="11.25" customHeight="1" x14ac:dyDescent="0.2">
      <c r="A163" s="197">
        <v>2023</v>
      </c>
      <c r="B163" s="197">
        <v>2</v>
      </c>
      <c r="C163" s="197">
        <v>27</v>
      </c>
      <c r="D163" s="198">
        <f t="shared" si="10"/>
        <v>44984</v>
      </c>
      <c r="E163" s="199">
        <f t="shared" si="12"/>
        <v>44984</v>
      </c>
      <c r="F163" s="513" t="s">
        <v>1228</v>
      </c>
      <c r="G163" s="200" t="s">
        <v>1209</v>
      </c>
      <c r="H163" s="201"/>
      <c r="I163" s="201"/>
      <c r="J163" s="197" t="s">
        <v>54</v>
      </c>
      <c r="K163" s="202">
        <v>310</v>
      </c>
      <c r="L163" s="202"/>
    </row>
    <row r="164" spans="1:12" ht="11.25" customHeight="1" x14ac:dyDescent="0.2">
      <c r="A164" s="191">
        <v>2023</v>
      </c>
      <c r="B164" s="191">
        <v>2</v>
      </c>
      <c r="C164" s="191">
        <v>27</v>
      </c>
      <c r="D164" s="192">
        <f t="shared" si="10"/>
        <v>44984</v>
      </c>
      <c r="E164" s="193">
        <f t="shared" si="12"/>
        <v>44984</v>
      </c>
      <c r="F164" s="514"/>
      <c r="G164" s="194" t="s">
        <v>1209</v>
      </c>
      <c r="H164" s="195"/>
      <c r="I164" s="195"/>
      <c r="J164" s="191" t="s">
        <v>46</v>
      </c>
      <c r="K164" s="196"/>
      <c r="L164" s="196">
        <v>310</v>
      </c>
    </row>
    <row r="165" spans="1:12" ht="11.25" customHeight="1" x14ac:dyDescent="0.2">
      <c r="A165" s="197">
        <v>2023</v>
      </c>
      <c r="B165" s="197">
        <v>2</v>
      </c>
      <c r="C165" s="197">
        <v>28</v>
      </c>
      <c r="D165" s="198">
        <f t="shared" si="10"/>
        <v>44985</v>
      </c>
      <c r="E165" s="199">
        <f t="shared" si="12"/>
        <v>44985</v>
      </c>
      <c r="F165" s="513" t="s">
        <v>1210</v>
      </c>
      <c r="G165" s="200" t="s">
        <v>1209</v>
      </c>
      <c r="H165" s="201"/>
      <c r="I165" s="201" t="s">
        <v>1238</v>
      </c>
      <c r="J165" s="197" t="s">
        <v>46</v>
      </c>
      <c r="K165" s="202">
        <v>900000</v>
      </c>
      <c r="L165" s="202"/>
    </row>
    <row r="166" spans="1:12" ht="11.25" customHeight="1" x14ac:dyDescent="0.2">
      <c r="A166" s="191">
        <v>2023</v>
      </c>
      <c r="B166" s="191">
        <v>2</v>
      </c>
      <c r="C166" s="191">
        <v>28</v>
      </c>
      <c r="D166" s="192">
        <f t="shared" si="10"/>
        <v>44985</v>
      </c>
      <c r="E166" s="193">
        <f t="shared" si="12"/>
        <v>44985</v>
      </c>
      <c r="F166" s="514"/>
      <c r="G166" s="194" t="s">
        <v>1209</v>
      </c>
      <c r="H166" s="195"/>
      <c r="I166" s="195" t="s">
        <v>1238</v>
      </c>
      <c r="J166" s="191" t="s">
        <v>16</v>
      </c>
      <c r="K166" s="196"/>
      <c r="L166" s="196">
        <v>900000</v>
      </c>
    </row>
    <row r="167" spans="1:12" ht="11.25" customHeight="1" x14ac:dyDescent="0.2">
      <c r="A167" s="197">
        <v>2023</v>
      </c>
      <c r="B167" s="197">
        <v>2</v>
      </c>
      <c r="C167" s="197">
        <v>28</v>
      </c>
      <c r="D167" s="198">
        <f t="shared" si="10"/>
        <v>44985</v>
      </c>
      <c r="E167" s="199">
        <f t="shared" ref="E167:E180" si="13">DATE(A167,B167,C167)</f>
        <v>44985</v>
      </c>
      <c r="F167" s="513" t="s">
        <v>1210</v>
      </c>
      <c r="G167" s="200" t="s">
        <v>1209</v>
      </c>
      <c r="H167" s="201"/>
      <c r="I167" s="201" t="s">
        <v>342</v>
      </c>
      <c r="J167" s="197" t="s">
        <v>46</v>
      </c>
      <c r="K167" s="202">
        <v>2000000</v>
      </c>
      <c r="L167" s="202"/>
    </row>
    <row r="168" spans="1:12" ht="11.25" customHeight="1" x14ac:dyDescent="0.2">
      <c r="A168" s="191">
        <v>2023</v>
      </c>
      <c r="B168" s="191">
        <v>2</v>
      </c>
      <c r="C168" s="191">
        <v>28</v>
      </c>
      <c r="D168" s="192">
        <f t="shared" si="10"/>
        <v>44985</v>
      </c>
      <c r="E168" s="193">
        <f t="shared" si="13"/>
        <v>44985</v>
      </c>
      <c r="F168" s="514"/>
      <c r="G168" s="194" t="s">
        <v>1209</v>
      </c>
      <c r="H168" s="195"/>
      <c r="I168" s="195" t="s">
        <v>342</v>
      </c>
      <c r="J168" s="191" t="s">
        <v>16</v>
      </c>
      <c r="K168" s="196"/>
      <c r="L168" s="196">
        <v>2000000</v>
      </c>
    </row>
    <row r="169" spans="1:12" ht="11.25" customHeight="1" x14ac:dyDescent="0.2">
      <c r="A169" s="197">
        <v>2023</v>
      </c>
      <c r="B169" s="197">
        <v>2</v>
      </c>
      <c r="C169" s="197">
        <v>28</v>
      </c>
      <c r="D169" s="198">
        <f t="shared" si="10"/>
        <v>44985</v>
      </c>
      <c r="E169" s="199">
        <f t="shared" si="13"/>
        <v>44985</v>
      </c>
      <c r="F169" s="513" t="s">
        <v>1210</v>
      </c>
      <c r="G169" s="200" t="s">
        <v>1209</v>
      </c>
      <c r="H169" s="201"/>
      <c r="I169" s="201" t="s">
        <v>327</v>
      </c>
      <c r="J169" s="197" t="s">
        <v>46</v>
      </c>
      <c r="K169" s="202">
        <v>5000000</v>
      </c>
      <c r="L169" s="202"/>
    </row>
    <row r="170" spans="1:12" ht="11.25" customHeight="1" x14ac:dyDescent="0.2">
      <c r="A170" s="191">
        <v>2023</v>
      </c>
      <c r="B170" s="191">
        <v>2</v>
      </c>
      <c r="C170" s="191">
        <v>28</v>
      </c>
      <c r="D170" s="192">
        <f t="shared" si="10"/>
        <v>44985</v>
      </c>
      <c r="E170" s="193">
        <f t="shared" si="13"/>
        <v>44985</v>
      </c>
      <c r="F170" s="514"/>
      <c r="G170" s="194" t="s">
        <v>1209</v>
      </c>
      <c r="H170" s="195"/>
      <c r="I170" s="195" t="s">
        <v>327</v>
      </c>
      <c r="J170" s="191" t="s">
        <v>16</v>
      </c>
      <c r="K170" s="196"/>
      <c r="L170" s="196">
        <v>5000000</v>
      </c>
    </row>
    <row r="171" spans="1:12" ht="11.25" customHeight="1" x14ac:dyDescent="0.2">
      <c r="A171" s="197">
        <v>2023</v>
      </c>
      <c r="B171" s="197">
        <v>2</v>
      </c>
      <c r="C171" s="197">
        <v>28</v>
      </c>
      <c r="D171" s="198">
        <f t="shared" si="10"/>
        <v>44985</v>
      </c>
      <c r="E171" s="199">
        <f t="shared" si="13"/>
        <v>44985</v>
      </c>
      <c r="F171" s="513" t="s">
        <v>1210</v>
      </c>
      <c r="G171" s="200" t="s">
        <v>1209</v>
      </c>
      <c r="H171" s="201"/>
      <c r="I171" s="201" t="s">
        <v>1236</v>
      </c>
      <c r="J171" s="197" t="s">
        <v>46</v>
      </c>
      <c r="K171" s="202">
        <v>1000000</v>
      </c>
      <c r="L171" s="202"/>
    </row>
    <row r="172" spans="1:12" ht="11.25" customHeight="1" x14ac:dyDescent="0.2">
      <c r="A172" s="191">
        <v>2023</v>
      </c>
      <c r="B172" s="191">
        <v>2</v>
      </c>
      <c r="C172" s="191">
        <v>28</v>
      </c>
      <c r="D172" s="192">
        <f t="shared" si="10"/>
        <v>44985</v>
      </c>
      <c r="E172" s="193">
        <f t="shared" si="13"/>
        <v>44985</v>
      </c>
      <c r="F172" s="514"/>
      <c r="G172" s="194" t="s">
        <v>1209</v>
      </c>
      <c r="H172" s="195"/>
      <c r="I172" s="195" t="s">
        <v>1236</v>
      </c>
      <c r="J172" s="191" t="s">
        <v>16</v>
      </c>
      <c r="K172" s="196"/>
      <c r="L172" s="196">
        <v>1000000</v>
      </c>
    </row>
    <row r="173" spans="1:12" ht="11.25" customHeight="1" x14ac:dyDescent="0.2">
      <c r="A173" s="197">
        <v>2023</v>
      </c>
      <c r="B173" s="197">
        <v>2</v>
      </c>
      <c r="C173" s="197">
        <v>28</v>
      </c>
      <c r="D173" s="198">
        <f t="shared" si="10"/>
        <v>44985</v>
      </c>
      <c r="E173" s="199">
        <f t="shared" si="13"/>
        <v>44985</v>
      </c>
      <c r="F173" s="513" t="s">
        <v>1210</v>
      </c>
      <c r="G173" s="200" t="s">
        <v>1209</v>
      </c>
      <c r="H173" s="201"/>
      <c r="I173" s="201" t="s">
        <v>627</v>
      </c>
      <c r="J173" s="197" t="s">
        <v>46</v>
      </c>
      <c r="K173" s="202">
        <v>1000000</v>
      </c>
      <c r="L173" s="202"/>
    </row>
    <row r="174" spans="1:12" ht="11.25" customHeight="1" x14ac:dyDescent="0.2">
      <c r="A174" s="191">
        <v>2023</v>
      </c>
      <c r="B174" s="191">
        <v>2</v>
      </c>
      <c r="C174" s="191">
        <v>28</v>
      </c>
      <c r="D174" s="192">
        <f t="shared" si="10"/>
        <v>44985</v>
      </c>
      <c r="E174" s="193">
        <f t="shared" si="13"/>
        <v>44985</v>
      </c>
      <c r="F174" s="514"/>
      <c r="G174" s="194" t="s">
        <v>1209</v>
      </c>
      <c r="H174" s="195"/>
      <c r="I174" s="195" t="s">
        <v>627</v>
      </c>
      <c r="J174" s="191" t="s">
        <v>16</v>
      </c>
      <c r="K174" s="196"/>
      <c r="L174" s="196">
        <v>1000000</v>
      </c>
    </row>
    <row r="175" spans="1:12" ht="11.25" customHeight="1" x14ac:dyDescent="0.2">
      <c r="A175" s="197">
        <v>2023</v>
      </c>
      <c r="B175" s="197">
        <v>2</v>
      </c>
      <c r="C175" s="197">
        <v>28</v>
      </c>
      <c r="D175" s="198">
        <f t="shared" si="10"/>
        <v>44985</v>
      </c>
      <c r="E175" s="199">
        <f t="shared" si="13"/>
        <v>44985</v>
      </c>
      <c r="F175" s="513" t="s">
        <v>1210</v>
      </c>
      <c r="G175" s="200" t="s">
        <v>1209</v>
      </c>
      <c r="H175" s="201"/>
      <c r="I175" s="201" t="s">
        <v>299</v>
      </c>
      <c r="J175" s="197" t="s">
        <v>46</v>
      </c>
      <c r="K175" s="202">
        <v>300000</v>
      </c>
      <c r="L175" s="202"/>
    </row>
    <row r="176" spans="1:12" ht="11.25" customHeight="1" x14ac:dyDescent="0.2">
      <c r="A176" s="191">
        <v>2023</v>
      </c>
      <c r="B176" s="191">
        <v>2</v>
      </c>
      <c r="C176" s="191">
        <v>28</v>
      </c>
      <c r="D176" s="192">
        <f t="shared" si="10"/>
        <v>44985</v>
      </c>
      <c r="E176" s="193">
        <f t="shared" si="13"/>
        <v>44985</v>
      </c>
      <c r="F176" s="514"/>
      <c r="G176" s="194" t="s">
        <v>1209</v>
      </c>
      <c r="H176" s="195"/>
      <c r="I176" s="195" t="s">
        <v>299</v>
      </c>
      <c r="J176" s="191" t="s">
        <v>16</v>
      </c>
      <c r="K176" s="196"/>
      <c r="L176" s="196">
        <v>300000</v>
      </c>
    </row>
    <row r="177" spans="1:12" ht="11.25" customHeight="1" x14ac:dyDescent="0.2">
      <c r="A177" s="197">
        <v>2023</v>
      </c>
      <c r="B177" s="197">
        <v>2</v>
      </c>
      <c r="C177" s="197">
        <v>28</v>
      </c>
      <c r="D177" s="198">
        <f t="shared" si="10"/>
        <v>44985</v>
      </c>
      <c r="E177" s="199">
        <f t="shared" si="13"/>
        <v>44985</v>
      </c>
      <c r="F177" s="513" t="s">
        <v>1210</v>
      </c>
      <c r="G177" s="200" t="s">
        <v>1209</v>
      </c>
      <c r="H177" s="201"/>
      <c r="I177" s="201" t="s">
        <v>523</v>
      </c>
      <c r="J177" s="197" t="s">
        <v>46</v>
      </c>
      <c r="K177" s="202">
        <v>300000</v>
      </c>
      <c r="L177" s="202"/>
    </row>
    <row r="178" spans="1:12" ht="11.25" customHeight="1" x14ac:dyDescent="0.2">
      <c r="A178" s="191">
        <v>2023</v>
      </c>
      <c r="B178" s="191">
        <v>2</v>
      </c>
      <c r="C178" s="191">
        <v>28</v>
      </c>
      <c r="D178" s="192">
        <f t="shared" si="10"/>
        <v>44985</v>
      </c>
      <c r="E178" s="193">
        <f t="shared" si="13"/>
        <v>44985</v>
      </c>
      <c r="F178" s="514"/>
      <c r="G178" s="194" t="s">
        <v>1209</v>
      </c>
      <c r="H178" s="195"/>
      <c r="I178" s="195" t="s">
        <v>523</v>
      </c>
      <c r="J178" s="191" t="s">
        <v>16</v>
      </c>
      <c r="K178" s="196"/>
      <c r="L178" s="196">
        <v>300000</v>
      </c>
    </row>
    <row r="179" spans="1:12" ht="11.25" customHeight="1" x14ac:dyDescent="0.2">
      <c r="A179" s="197">
        <v>2023</v>
      </c>
      <c r="B179" s="197">
        <v>2</v>
      </c>
      <c r="C179" s="197">
        <v>28</v>
      </c>
      <c r="D179" s="198">
        <f t="shared" si="10"/>
        <v>44985</v>
      </c>
      <c r="E179" s="199">
        <f t="shared" si="13"/>
        <v>44985</v>
      </c>
      <c r="F179" s="513" t="s">
        <v>1228</v>
      </c>
      <c r="G179" s="200" t="s">
        <v>1209</v>
      </c>
      <c r="H179" s="201"/>
      <c r="I179" s="201"/>
      <c r="J179" s="197" t="s">
        <v>54</v>
      </c>
      <c r="K179" s="202">
        <v>180</v>
      </c>
      <c r="L179" s="202"/>
    </row>
    <row r="180" spans="1:12" ht="11.25" customHeight="1" x14ac:dyDescent="0.2">
      <c r="A180" s="191">
        <v>2023</v>
      </c>
      <c r="B180" s="191">
        <v>2</v>
      </c>
      <c r="C180" s="191">
        <v>28</v>
      </c>
      <c r="D180" s="192">
        <f t="shared" si="10"/>
        <v>44985</v>
      </c>
      <c r="E180" s="193">
        <f t="shared" si="13"/>
        <v>44985</v>
      </c>
      <c r="F180" s="514"/>
      <c r="G180" s="194" t="s">
        <v>1209</v>
      </c>
      <c r="H180" s="195"/>
      <c r="I180" s="195"/>
      <c r="J180" s="191" t="s">
        <v>46</v>
      </c>
      <c r="K180" s="196"/>
      <c r="L180" s="196">
        <v>180</v>
      </c>
    </row>
    <row r="181" spans="1:12" ht="11.25" customHeight="1" x14ac:dyDescent="0.2">
      <c r="A181" s="197">
        <v>2023</v>
      </c>
      <c r="B181" s="197">
        <v>3</v>
      </c>
      <c r="C181" s="197">
        <v>1</v>
      </c>
      <c r="D181" s="198">
        <f t="shared" si="10"/>
        <v>44986</v>
      </c>
      <c r="E181" s="199">
        <f>DATE(A181,B181,C181)</f>
        <v>44986</v>
      </c>
      <c r="F181" s="513" t="s">
        <v>1228</v>
      </c>
      <c r="G181" s="200" t="s">
        <v>1209</v>
      </c>
      <c r="H181" s="201"/>
      <c r="I181" s="201"/>
      <c r="J181" s="197" t="s">
        <v>54</v>
      </c>
      <c r="K181" s="202">
        <v>60</v>
      </c>
      <c r="L181" s="202"/>
    </row>
    <row r="182" spans="1:12" ht="11.25" customHeight="1" x14ac:dyDescent="0.2">
      <c r="A182" s="191">
        <v>2023</v>
      </c>
      <c r="B182" s="191">
        <v>3</v>
      </c>
      <c r="C182" s="191">
        <v>1</v>
      </c>
      <c r="D182" s="192">
        <f t="shared" si="10"/>
        <v>44986</v>
      </c>
      <c r="E182" s="193">
        <f>DATE(A182,B182,C182)</f>
        <v>44986</v>
      </c>
      <c r="F182" s="514"/>
      <c r="G182" s="194" t="s">
        <v>1209</v>
      </c>
      <c r="H182" s="195"/>
      <c r="I182" s="195"/>
      <c r="J182" s="191" t="s">
        <v>46</v>
      </c>
      <c r="K182" s="196"/>
      <c r="L182" s="196">
        <v>60</v>
      </c>
    </row>
    <row r="183" spans="1:12" ht="11.25" customHeight="1" x14ac:dyDescent="0.2">
      <c r="A183" s="197">
        <v>2023</v>
      </c>
      <c r="B183" s="197">
        <v>3</v>
      </c>
      <c r="C183" s="197">
        <v>2</v>
      </c>
      <c r="D183" s="198">
        <f t="shared" si="10"/>
        <v>44987</v>
      </c>
      <c r="E183" s="199">
        <f>DATE(A183,B183,C183)</f>
        <v>44987</v>
      </c>
      <c r="F183" s="513" t="s">
        <v>1210</v>
      </c>
      <c r="G183" s="200" t="s">
        <v>1209</v>
      </c>
      <c r="H183" s="201"/>
      <c r="I183" s="201" t="s">
        <v>389</v>
      </c>
      <c r="J183" s="197" t="s">
        <v>46</v>
      </c>
      <c r="K183" s="202">
        <v>1000000</v>
      </c>
      <c r="L183" s="202"/>
    </row>
    <row r="184" spans="1:12" ht="11.25" customHeight="1" x14ac:dyDescent="0.2">
      <c r="A184" s="191">
        <v>2023</v>
      </c>
      <c r="B184" s="191">
        <v>3</v>
      </c>
      <c r="C184" s="191">
        <v>2</v>
      </c>
      <c r="D184" s="192">
        <f t="shared" si="10"/>
        <v>44987</v>
      </c>
      <c r="E184" s="193">
        <f>DATE(A184,B184,C184)</f>
        <v>44987</v>
      </c>
      <c r="F184" s="514"/>
      <c r="G184" s="194" t="s">
        <v>1209</v>
      </c>
      <c r="H184" s="195"/>
      <c r="I184" s="195" t="s">
        <v>389</v>
      </c>
      <c r="J184" s="191" t="s">
        <v>16</v>
      </c>
      <c r="K184" s="196"/>
      <c r="L184" s="196">
        <v>1000000</v>
      </c>
    </row>
    <row r="185" spans="1:12" ht="11.25" customHeight="1" x14ac:dyDescent="0.2">
      <c r="A185" s="197">
        <v>2023</v>
      </c>
      <c r="B185" s="197">
        <v>3</v>
      </c>
      <c r="C185" s="197">
        <v>2</v>
      </c>
      <c r="D185" s="198">
        <f t="shared" si="10"/>
        <v>44987</v>
      </c>
      <c r="E185" s="199">
        <f t="shared" ref="E185:E191" si="14">DATE(A185,B185,C185)</f>
        <v>44987</v>
      </c>
      <c r="F185" s="513" t="s">
        <v>1228</v>
      </c>
      <c r="G185" s="200" t="s">
        <v>1209</v>
      </c>
      <c r="H185" s="201"/>
      <c r="I185" s="201"/>
      <c r="J185" s="197" t="s">
        <v>54</v>
      </c>
      <c r="K185" s="202">
        <v>70</v>
      </c>
      <c r="L185" s="202"/>
    </row>
    <row r="186" spans="1:12" ht="11.25" customHeight="1" x14ac:dyDescent="0.2">
      <c r="A186" s="191">
        <v>2023</v>
      </c>
      <c r="B186" s="191">
        <v>3</v>
      </c>
      <c r="C186" s="191">
        <v>2</v>
      </c>
      <c r="D186" s="192">
        <f t="shared" si="10"/>
        <v>44987</v>
      </c>
      <c r="E186" s="193">
        <f t="shared" si="14"/>
        <v>44987</v>
      </c>
      <c r="F186" s="514"/>
      <c r="G186" s="194" t="s">
        <v>1209</v>
      </c>
      <c r="H186" s="195"/>
      <c r="I186" s="195"/>
      <c r="J186" s="191" t="s">
        <v>46</v>
      </c>
      <c r="K186" s="196"/>
      <c r="L186" s="196">
        <v>70</v>
      </c>
    </row>
    <row r="187" spans="1:12" ht="11.25" customHeight="1" x14ac:dyDescent="0.2">
      <c r="A187" s="197">
        <v>2023</v>
      </c>
      <c r="B187" s="197">
        <v>3</v>
      </c>
      <c r="C187" s="197">
        <v>5</v>
      </c>
      <c r="D187" s="198">
        <f t="shared" si="10"/>
        <v>44990</v>
      </c>
      <c r="E187" s="199">
        <f t="shared" si="14"/>
        <v>44990</v>
      </c>
      <c r="F187" s="513" t="s">
        <v>1210</v>
      </c>
      <c r="G187" s="200" t="s">
        <v>1209</v>
      </c>
      <c r="H187" s="201"/>
      <c r="I187" s="201" t="s">
        <v>1243</v>
      </c>
      <c r="J187" s="197" t="s">
        <v>46</v>
      </c>
      <c r="K187" s="202">
        <v>387001</v>
      </c>
      <c r="L187" s="202"/>
    </row>
    <row r="188" spans="1:12" ht="11.25" customHeight="1" x14ac:dyDescent="0.2">
      <c r="A188" s="120">
        <v>2023</v>
      </c>
      <c r="B188" s="120">
        <v>3</v>
      </c>
      <c r="C188" s="120">
        <v>5</v>
      </c>
      <c r="D188" s="208">
        <f t="shared" si="10"/>
        <v>44990</v>
      </c>
      <c r="E188" s="209">
        <f>DATE(A188,B188,C188)</f>
        <v>44990</v>
      </c>
      <c r="F188" s="515"/>
      <c r="G188" s="132" t="s">
        <v>1209</v>
      </c>
      <c r="I188" s="128" t="s">
        <v>1243</v>
      </c>
      <c r="J188" s="120" t="s">
        <v>47</v>
      </c>
      <c r="K188" s="207"/>
      <c r="L188" s="207">
        <v>1</v>
      </c>
    </row>
    <row r="189" spans="1:12" ht="11.25" customHeight="1" x14ac:dyDescent="0.2">
      <c r="A189" s="191">
        <v>2023</v>
      </c>
      <c r="B189" s="191">
        <v>3</v>
      </c>
      <c r="C189" s="191">
        <v>5</v>
      </c>
      <c r="D189" s="192">
        <f t="shared" si="10"/>
        <v>44990</v>
      </c>
      <c r="E189" s="193">
        <f t="shared" si="14"/>
        <v>44990</v>
      </c>
      <c r="F189" s="514"/>
      <c r="G189" s="194" t="s">
        <v>1209</v>
      </c>
      <c r="H189" s="195"/>
      <c r="I189" s="195" t="s">
        <v>1243</v>
      </c>
      <c r="J189" s="191" t="s">
        <v>16</v>
      </c>
      <c r="K189" s="196"/>
      <c r="L189" s="196">
        <v>387000</v>
      </c>
    </row>
    <row r="190" spans="1:12" ht="11.25" customHeight="1" x14ac:dyDescent="0.2">
      <c r="A190" s="197">
        <v>2023</v>
      </c>
      <c r="B190" s="197">
        <v>3</v>
      </c>
      <c r="C190" s="197">
        <v>5</v>
      </c>
      <c r="D190" s="198">
        <f t="shared" si="10"/>
        <v>44990</v>
      </c>
      <c r="E190" s="199">
        <f t="shared" si="14"/>
        <v>44990</v>
      </c>
      <c r="F190" s="513" t="s">
        <v>1210</v>
      </c>
      <c r="G190" s="200" t="s">
        <v>1209</v>
      </c>
      <c r="H190" s="201"/>
      <c r="I190" s="201" t="s">
        <v>783</v>
      </c>
      <c r="J190" s="197" t="s">
        <v>46</v>
      </c>
      <c r="K190" s="202">
        <v>200000</v>
      </c>
      <c r="L190" s="202"/>
    </row>
    <row r="191" spans="1:12" ht="11.25" customHeight="1" x14ac:dyDescent="0.2">
      <c r="A191" s="191">
        <v>2023</v>
      </c>
      <c r="B191" s="191">
        <v>3</v>
      </c>
      <c r="C191" s="191">
        <v>5</v>
      </c>
      <c r="D191" s="192">
        <f t="shared" si="10"/>
        <v>44990</v>
      </c>
      <c r="E191" s="193">
        <f t="shared" si="14"/>
        <v>44990</v>
      </c>
      <c r="F191" s="514"/>
      <c r="G191" s="194" t="s">
        <v>1209</v>
      </c>
      <c r="H191" s="195"/>
      <c r="I191" s="195" t="s">
        <v>783</v>
      </c>
      <c r="J191" s="191" t="s">
        <v>16</v>
      </c>
      <c r="K191" s="196"/>
      <c r="L191" s="196">
        <v>200000</v>
      </c>
    </row>
    <row r="192" spans="1:12" ht="11.25" customHeight="1" x14ac:dyDescent="0.2">
      <c r="A192" s="197">
        <v>2023</v>
      </c>
      <c r="B192" s="197">
        <v>3</v>
      </c>
      <c r="C192" s="197">
        <v>6</v>
      </c>
      <c r="D192" s="198">
        <f t="shared" si="10"/>
        <v>44991</v>
      </c>
      <c r="E192" s="199">
        <f t="shared" ref="E192:E202" si="15">DATE(A192,B192,C192)</f>
        <v>44991</v>
      </c>
      <c r="F192" s="513" t="s">
        <v>1252</v>
      </c>
      <c r="G192" s="200" t="s">
        <v>1209</v>
      </c>
      <c r="H192" s="201"/>
      <c r="I192" s="201"/>
      <c r="J192" s="197" t="s">
        <v>54</v>
      </c>
      <c r="K192" s="202">
        <v>805</v>
      </c>
      <c r="L192" s="202"/>
    </row>
    <row r="193" spans="1:13" ht="11.25" customHeight="1" x14ac:dyDescent="0.2">
      <c r="A193" s="191">
        <v>2023</v>
      </c>
      <c r="B193" s="191">
        <v>3</v>
      </c>
      <c r="C193" s="191">
        <v>6</v>
      </c>
      <c r="D193" s="192">
        <f t="shared" si="10"/>
        <v>44991</v>
      </c>
      <c r="E193" s="193">
        <f t="shared" si="15"/>
        <v>44991</v>
      </c>
      <c r="F193" s="514"/>
      <c r="G193" s="194" t="s">
        <v>1209</v>
      </c>
      <c r="H193" s="195"/>
      <c r="I193" s="195"/>
      <c r="J193" s="191" t="s">
        <v>46</v>
      </c>
      <c r="K193" s="196"/>
      <c r="L193" s="196">
        <v>805</v>
      </c>
    </row>
    <row r="194" spans="1:13" ht="11.25" customHeight="1" x14ac:dyDescent="0.2">
      <c r="A194" s="197">
        <v>2023</v>
      </c>
      <c r="B194" s="197">
        <v>3</v>
      </c>
      <c r="C194" s="197">
        <v>6</v>
      </c>
      <c r="D194" s="198">
        <f t="shared" si="10"/>
        <v>44991</v>
      </c>
      <c r="E194" s="199">
        <f t="shared" si="15"/>
        <v>44991</v>
      </c>
      <c r="F194" s="513" t="s">
        <v>1249</v>
      </c>
      <c r="G194" s="200" t="s">
        <v>1245</v>
      </c>
      <c r="H194" s="201"/>
      <c r="I194" s="201"/>
      <c r="J194" s="197" t="s">
        <v>1580</v>
      </c>
      <c r="K194" s="202">
        <v>1853190</v>
      </c>
      <c r="L194" s="202"/>
    </row>
    <row r="195" spans="1:13" ht="11.25" customHeight="1" x14ac:dyDescent="0.2">
      <c r="A195" s="120">
        <v>2023</v>
      </c>
      <c r="B195" s="120">
        <v>3</v>
      </c>
      <c r="C195" s="120">
        <v>6</v>
      </c>
      <c r="D195" s="208">
        <f t="shared" si="10"/>
        <v>44991</v>
      </c>
      <c r="E195" s="209">
        <f t="shared" si="15"/>
        <v>44991</v>
      </c>
      <c r="F195" s="515"/>
      <c r="G195" s="132" t="s">
        <v>1245</v>
      </c>
      <c r="J195" s="120" t="s">
        <v>1250</v>
      </c>
      <c r="K195" s="207">
        <v>1500</v>
      </c>
      <c r="L195" s="207"/>
      <c r="M195" s="120">
        <f>6300000*0.18/100</f>
        <v>11340</v>
      </c>
    </row>
    <row r="196" spans="1:13" ht="11.25" customHeight="1" x14ac:dyDescent="0.2">
      <c r="A196" s="191">
        <v>2023</v>
      </c>
      <c r="B196" s="191">
        <v>3</v>
      </c>
      <c r="C196" s="191">
        <v>6</v>
      </c>
      <c r="D196" s="192">
        <f t="shared" si="10"/>
        <v>44991</v>
      </c>
      <c r="E196" s="193">
        <f t="shared" si="15"/>
        <v>44991</v>
      </c>
      <c r="F196" s="514"/>
      <c r="G196" s="194" t="s">
        <v>1245</v>
      </c>
      <c r="H196" s="195"/>
      <c r="I196" s="195"/>
      <c r="J196" s="191" t="s">
        <v>1251</v>
      </c>
      <c r="K196" s="196"/>
      <c r="L196" s="196">
        <v>1854690</v>
      </c>
    </row>
    <row r="197" spans="1:13" ht="11.25" customHeight="1" x14ac:dyDescent="0.2">
      <c r="A197" s="197">
        <v>2023</v>
      </c>
      <c r="B197" s="197">
        <v>3</v>
      </c>
      <c r="C197" s="197">
        <v>9</v>
      </c>
      <c r="D197" s="198">
        <f t="shared" si="10"/>
        <v>44994</v>
      </c>
      <c r="E197" s="199">
        <f t="shared" si="15"/>
        <v>44994</v>
      </c>
      <c r="F197" s="513" t="s">
        <v>1271</v>
      </c>
      <c r="G197" s="200" t="s">
        <v>1209</v>
      </c>
      <c r="H197" s="201"/>
      <c r="I197" s="201" t="s">
        <v>1253</v>
      </c>
      <c r="J197" s="197" t="s">
        <v>76</v>
      </c>
      <c r="K197" s="202">
        <v>1000000</v>
      </c>
      <c r="L197" s="202"/>
    </row>
    <row r="198" spans="1:13" ht="11.25" customHeight="1" x14ac:dyDescent="0.2">
      <c r="A198" s="191">
        <v>2023</v>
      </c>
      <c r="B198" s="191">
        <v>3</v>
      </c>
      <c r="C198" s="191">
        <v>9</v>
      </c>
      <c r="D198" s="192">
        <f t="shared" si="10"/>
        <v>44994</v>
      </c>
      <c r="E198" s="193">
        <f t="shared" si="15"/>
        <v>44994</v>
      </c>
      <c r="F198" s="514"/>
      <c r="G198" s="194" t="s">
        <v>1209</v>
      </c>
      <c r="H198" s="195"/>
      <c r="I198" s="195" t="s">
        <v>1253</v>
      </c>
      <c r="J198" s="191" t="s">
        <v>46</v>
      </c>
      <c r="K198" s="196"/>
      <c r="L198" s="196">
        <v>1000000</v>
      </c>
    </row>
    <row r="199" spans="1:13" ht="11.25" customHeight="1" x14ac:dyDescent="0.2">
      <c r="A199" s="197">
        <v>2023</v>
      </c>
      <c r="B199" s="197">
        <v>3</v>
      </c>
      <c r="C199" s="197">
        <v>9</v>
      </c>
      <c r="D199" s="198">
        <f t="shared" si="10"/>
        <v>44994</v>
      </c>
      <c r="E199" s="199">
        <f t="shared" si="15"/>
        <v>44994</v>
      </c>
      <c r="F199" s="513" t="s">
        <v>1272</v>
      </c>
      <c r="G199" s="200" t="s">
        <v>1209</v>
      </c>
      <c r="H199" s="201"/>
      <c r="I199" s="201" t="s">
        <v>1253</v>
      </c>
      <c r="J199" s="197" t="s">
        <v>76</v>
      </c>
      <c r="K199" s="202">
        <v>1000000</v>
      </c>
      <c r="L199" s="202"/>
    </row>
    <row r="200" spans="1:13" ht="11.25" customHeight="1" x14ac:dyDescent="0.2">
      <c r="A200" s="191">
        <v>2023</v>
      </c>
      <c r="B200" s="191">
        <v>3</v>
      </c>
      <c r="C200" s="191">
        <v>9</v>
      </c>
      <c r="D200" s="192">
        <f t="shared" si="10"/>
        <v>44994</v>
      </c>
      <c r="E200" s="193">
        <f t="shared" si="15"/>
        <v>44994</v>
      </c>
      <c r="F200" s="514"/>
      <c r="G200" s="194" t="s">
        <v>1209</v>
      </c>
      <c r="H200" s="195"/>
      <c r="I200" s="195" t="s">
        <v>1253</v>
      </c>
      <c r="J200" s="191" t="s">
        <v>46</v>
      </c>
      <c r="K200" s="196"/>
      <c r="L200" s="196">
        <v>1000000</v>
      </c>
    </row>
    <row r="201" spans="1:13" ht="11.25" customHeight="1" x14ac:dyDescent="0.2">
      <c r="A201" s="197">
        <v>2023</v>
      </c>
      <c r="B201" s="197">
        <v>3</v>
      </c>
      <c r="C201" s="197">
        <v>9</v>
      </c>
      <c r="D201" s="198">
        <f t="shared" ref="D201:D263" si="16">DATE(A201,B201,C201)</f>
        <v>44994</v>
      </c>
      <c r="E201" s="199">
        <f t="shared" si="15"/>
        <v>44994</v>
      </c>
      <c r="F201" s="513" t="s">
        <v>1273</v>
      </c>
      <c r="G201" s="200" t="s">
        <v>1209</v>
      </c>
      <c r="H201" s="201"/>
      <c r="I201" s="201" t="s">
        <v>1253</v>
      </c>
      <c r="J201" s="197" t="s">
        <v>76</v>
      </c>
      <c r="K201" s="202">
        <v>1000000</v>
      </c>
      <c r="L201" s="202"/>
    </row>
    <row r="202" spans="1:13" ht="11.25" customHeight="1" x14ac:dyDescent="0.2">
      <c r="A202" s="191">
        <v>2023</v>
      </c>
      <c r="B202" s="191">
        <v>3</v>
      </c>
      <c r="C202" s="191">
        <v>9</v>
      </c>
      <c r="D202" s="192">
        <f t="shared" si="16"/>
        <v>44994</v>
      </c>
      <c r="E202" s="193">
        <f t="shared" si="15"/>
        <v>44994</v>
      </c>
      <c r="F202" s="514"/>
      <c r="G202" s="194" t="s">
        <v>1209</v>
      </c>
      <c r="H202" s="195"/>
      <c r="I202" s="195" t="s">
        <v>1253</v>
      </c>
      <c r="J202" s="191" t="s">
        <v>46</v>
      </c>
      <c r="K202" s="196"/>
      <c r="L202" s="196">
        <v>1000000</v>
      </c>
    </row>
    <row r="203" spans="1:13" ht="11.25" customHeight="1" x14ac:dyDescent="0.2">
      <c r="A203" s="197">
        <v>2023</v>
      </c>
      <c r="B203" s="197">
        <v>3</v>
      </c>
      <c r="C203" s="197">
        <v>9</v>
      </c>
      <c r="D203" s="198">
        <f t="shared" si="16"/>
        <v>44994</v>
      </c>
      <c r="E203" s="199">
        <f t="shared" ref="E203:E208" si="17">DATE(A203,B203,C203)</f>
        <v>44994</v>
      </c>
      <c r="F203" s="513" t="s">
        <v>1274</v>
      </c>
      <c r="G203" s="200" t="s">
        <v>1209</v>
      </c>
      <c r="H203" s="201"/>
      <c r="I203" s="201" t="s">
        <v>1253</v>
      </c>
      <c r="J203" s="197" t="s">
        <v>76</v>
      </c>
      <c r="K203" s="202">
        <v>10000000</v>
      </c>
      <c r="L203" s="202"/>
    </row>
    <row r="204" spans="1:13" ht="11.25" customHeight="1" x14ac:dyDescent="0.2">
      <c r="A204" s="191">
        <v>2023</v>
      </c>
      <c r="B204" s="191">
        <v>3</v>
      </c>
      <c r="C204" s="191">
        <v>9</v>
      </c>
      <c r="D204" s="192">
        <f t="shared" si="16"/>
        <v>44994</v>
      </c>
      <c r="E204" s="193">
        <f t="shared" si="17"/>
        <v>44994</v>
      </c>
      <c r="F204" s="514"/>
      <c r="G204" s="194" t="s">
        <v>1209</v>
      </c>
      <c r="H204" s="195"/>
      <c r="I204" s="195" t="s">
        <v>1253</v>
      </c>
      <c r="J204" s="191" t="s">
        <v>46</v>
      </c>
      <c r="K204" s="196"/>
      <c r="L204" s="196">
        <v>10000000</v>
      </c>
    </row>
    <row r="205" spans="1:13" ht="11.25" customHeight="1" x14ac:dyDescent="0.2">
      <c r="A205" s="197">
        <v>2023</v>
      </c>
      <c r="B205" s="197">
        <v>3</v>
      </c>
      <c r="C205" s="197">
        <v>9</v>
      </c>
      <c r="D205" s="198">
        <f t="shared" si="16"/>
        <v>44994</v>
      </c>
      <c r="E205" s="199">
        <f t="shared" si="17"/>
        <v>44994</v>
      </c>
      <c r="F205" s="513" t="s">
        <v>1275</v>
      </c>
      <c r="G205" s="200" t="s">
        <v>1209</v>
      </c>
      <c r="H205" s="201"/>
      <c r="I205" s="201" t="s">
        <v>1253</v>
      </c>
      <c r="J205" s="197" t="s">
        <v>76</v>
      </c>
      <c r="K205" s="202">
        <v>10000000</v>
      </c>
      <c r="L205" s="202"/>
    </row>
    <row r="206" spans="1:13" ht="11.25" customHeight="1" x14ac:dyDescent="0.2">
      <c r="A206" s="191">
        <v>2023</v>
      </c>
      <c r="B206" s="191">
        <v>3</v>
      </c>
      <c r="C206" s="191">
        <v>9</v>
      </c>
      <c r="D206" s="192">
        <f t="shared" si="16"/>
        <v>44994</v>
      </c>
      <c r="E206" s="193">
        <f t="shared" si="17"/>
        <v>44994</v>
      </c>
      <c r="F206" s="514"/>
      <c r="G206" s="194" t="s">
        <v>1209</v>
      </c>
      <c r="H206" s="195"/>
      <c r="I206" s="195" t="s">
        <v>1253</v>
      </c>
      <c r="J206" s="191" t="s">
        <v>46</v>
      </c>
      <c r="K206" s="196"/>
      <c r="L206" s="196">
        <v>10000000</v>
      </c>
    </row>
    <row r="207" spans="1:13" ht="11.25" customHeight="1" x14ac:dyDescent="0.2">
      <c r="A207" s="197">
        <v>2023</v>
      </c>
      <c r="B207" s="197">
        <v>3</v>
      </c>
      <c r="C207" s="197">
        <v>9</v>
      </c>
      <c r="D207" s="198">
        <f t="shared" si="16"/>
        <v>44994</v>
      </c>
      <c r="E207" s="199">
        <f t="shared" si="17"/>
        <v>44994</v>
      </c>
      <c r="F207" s="513" t="s">
        <v>1276</v>
      </c>
      <c r="G207" s="200" t="s">
        <v>1209</v>
      </c>
      <c r="H207" s="201"/>
      <c r="I207" s="201" t="s">
        <v>1253</v>
      </c>
      <c r="J207" s="197" t="s">
        <v>76</v>
      </c>
      <c r="K207" s="202">
        <v>1000000</v>
      </c>
      <c r="L207" s="202"/>
    </row>
    <row r="208" spans="1:13" ht="11.25" customHeight="1" x14ac:dyDescent="0.2">
      <c r="A208" s="191">
        <v>2023</v>
      </c>
      <c r="B208" s="191">
        <v>3</v>
      </c>
      <c r="C208" s="191">
        <v>9</v>
      </c>
      <c r="D208" s="192">
        <f t="shared" si="16"/>
        <v>44994</v>
      </c>
      <c r="E208" s="193">
        <f t="shared" si="17"/>
        <v>44994</v>
      </c>
      <c r="F208" s="514"/>
      <c r="G208" s="194" t="s">
        <v>1209</v>
      </c>
      <c r="H208" s="195"/>
      <c r="I208" s="195" t="s">
        <v>1253</v>
      </c>
      <c r="J208" s="191" t="s">
        <v>46</v>
      </c>
      <c r="K208" s="196"/>
      <c r="L208" s="196">
        <v>1000000</v>
      </c>
    </row>
    <row r="209" spans="1:12" ht="11.25" customHeight="1" x14ac:dyDescent="0.2">
      <c r="A209" s="197">
        <v>2023</v>
      </c>
      <c r="B209" s="197">
        <v>3</v>
      </c>
      <c r="C209" s="197">
        <v>9</v>
      </c>
      <c r="D209" s="198">
        <f t="shared" si="16"/>
        <v>44994</v>
      </c>
      <c r="E209" s="199">
        <f t="shared" ref="E209:E218" si="18">DATE(A209,B209,C209)</f>
        <v>44994</v>
      </c>
      <c r="F209" s="513" t="s">
        <v>1277</v>
      </c>
      <c r="G209" s="200" t="s">
        <v>1209</v>
      </c>
      <c r="H209" s="201"/>
      <c r="I209" s="201" t="s">
        <v>1253</v>
      </c>
      <c r="J209" s="197" t="s">
        <v>76</v>
      </c>
      <c r="K209" s="202">
        <v>1000000</v>
      </c>
      <c r="L209" s="202"/>
    </row>
    <row r="210" spans="1:12" ht="11.25" customHeight="1" x14ac:dyDescent="0.2">
      <c r="A210" s="191">
        <v>2023</v>
      </c>
      <c r="B210" s="191">
        <v>3</v>
      </c>
      <c r="C210" s="191">
        <v>9</v>
      </c>
      <c r="D210" s="192">
        <f t="shared" si="16"/>
        <v>44994</v>
      </c>
      <c r="E210" s="193">
        <f t="shared" si="18"/>
        <v>44994</v>
      </c>
      <c r="F210" s="514"/>
      <c r="G210" s="194" t="s">
        <v>1209</v>
      </c>
      <c r="H210" s="195"/>
      <c r="I210" s="195" t="s">
        <v>1253</v>
      </c>
      <c r="J210" s="191" t="s">
        <v>46</v>
      </c>
      <c r="K210" s="196"/>
      <c r="L210" s="196">
        <v>1000000</v>
      </c>
    </row>
    <row r="211" spans="1:12" ht="11.25" customHeight="1" x14ac:dyDescent="0.2">
      <c r="A211" s="197">
        <v>2023</v>
      </c>
      <c r="B211" s="197">
        <v>3</v>
      </c>
      <c r="C211" s="197">
        <v>7</v>
      </c>
      <c r="D211" s="198">
        <f t="shared" si="16"/>
        <v>44992</v>
      </c>
      <c r="E211" s="199">
        <f t="shared" si="18"/>
        <v>44992</v>
      </c>
      <c r="F211" s="513" t="s">
        <v>1268</v>
      </c>
      <c r="G211" s="200" t="s">
        <v>1209</v>
      </c>
      <c r="H211" s="201"/>
      <c r="I211" s="201" t="s">
        <v>1253</v>
      </c>
      <c r="J211" s="197" t="s">
        <v>76</v>
      </c>
      <c r="K211" s="202">
        <v>9000000</v>
      </c>
      <c r="L211" s="202"/>
    </row>
    <row r="212" spans="1:12" ht="11.25" customHeight="1" x14ac:dyDescent="0.2">
      <c r="A212" s="191">
        <v>2023</v>
      </c>
      <c r="B212" s="191">
        <v>3</v>
      </c>
      <c r="C212" s="191">
        <v>7</v>
      </c>
      <c r="D212" s="192">
        <f t="shared" si="16"/>
        <v>44992</v>
      </c>
      <c r="E212" s="193">
        <f t="shared" si="18"/>
        <v>44992</v>
      </c>
      <c r="F212" s="514"/>
      <c r="G212" s="194" t="s">
        <v>1209</v>
      </c>
      <c r="H212" s="195"/>
      <c r="I212" s="195" t="s">
        <v>1253</v>
      </c>
      <c r="J212" s="191" t="s">
        <v>46</v>
      </c>
      <c r="K212" s="196"/>
      <c r="L212" s="196">
        <v>9000000</v>
      </c>
    </row>
    <row r="213" spans="1:12" ht="11.25" customHeight="1" x14ac:dyDescent="0.2">
      <c r="A213" s="197">
        <v>2023</v>
      </c>
      <c r="B213" s="197">
        <v>3</v>
      </c>
      <c r="C213" s="197">
        <v>7</v>
      </c>
      <c r="D213" s="198">
        <f t="shared" si="16"/>
        <v>44992</v>
      </c>
      <c r="E213" s="199">
        <f t="shared" si="18"/>
        <v>44992</v>
      </c>
      <c r="F213" s="513" t="s">
        <v>1267</v>
      </c>
      <c r="G213" s="200" t="s">
        <v>1209</v>
      </c>
      <c r="H213" s="201"/>
      <c r="I213" s="201" t="s">
        <v>1253</v>
      </c>
      <c r="J213" s="197" t="s">
        <v>76</v>
      </c>
      <c r="K213" s="202">
        <v>9000000</v>
      </c>
      <c r="L213" s="202"/>
    </row>
    <row r="214" spans="1:12" ht="11.25" customHeight="1" x14ac:dyDescent="0.2">
      <c r="A214" s="191">
        <v>2023</v>
      </c>
      <c r="B214" s="191">
        <v>3</v>
      </c>
      <c r="C214" s="191">
        <v>7</v>
      </c>
      <c r="D214" s="192">
        <f t="shared" si="16"/>
        <v>44992</v>
      </c>
      <c r="E214" s="193">
        <f t="shared" si="18"/>
        <v>44992</v>
      </c>
      <c r="F214" s="514"/>
      <c r="G214" s="194" t="s">
        <v>1209</v>
      </c>
      <c r="H214" s="195"/>
      <c r="I214" s="195" t="s">
        <v>1253</v>
      </c>
      <c r="J214" s="191" t="s">
        <v>46</v>
      </c>
      <c r="K214" s="196"/>
      <c r="L214" s="196">
        <v>9000000</v>
      </c>
    </row>
    <row r="215" spans="1:12" ht="11.25" customHeight="1" x14ac:dyDescent="0.2">
      <c r="A215" s="197">
        <v>2023</v>
      </c>
      <c r="B215" s="197">
        <v>3</v>
      </c>
      <c r="C215" s="197">
        <v>7</v>
      </c>
      <c r="D215" s="198">
        <f t="shared" si="16"/>
        <v>44992</v>
      </c>
      <c r="E215" s="199">
        <f t="shared" si="18"/>
        <v>44992</v>
      </c>
      <c r="F215" s="513" t="s">
        <v>1269</v>
      </c>
      <c r="G215" s="200" t="s">
        <v>1209</v>
      </c>
      <c r="H215" s="201"/>
      <c r="I215" s="201" t="s">
        <v>1253</v>
      </c>
      <c r="J215" s="197" t="s">
        <v>76</v>
      </c>
      <c r="K215" s="202">
        <v>1000000</v>
      </c>
      <c r="L215" s="202"/>
    </row>
    <row r="216" spans="1:12" ht="11.25" customHeight="1" x14ac:dyDescent="0.2">
      <c r="A216" s="191">
        <v>2023</v>
      </c>
      <c r="B216" s="191">
        <v>3</v>
      </c>
      <c r="C216" s="191">
        <v>7</v>
      </c>
      <c r="D216" s="192">
        <f t="shared" si="16"/>
        <v>44992</v>
      </c>
      <c r="E216" s="193">
        <f t="shared" si="18"/>
        <v>44992</v>
      </c>
      <c r="F216" s="514"/>
      <c r="G216" s="194" t="s">
        <v>1209</v>
      </c>
      <c r="H216" s="195"/>
      <c r="I216" s="195" t="s">
        <v>1253</v>
      </c>
      <c r="J216" s="191" t="s">
        <v>46</v>
      </c>
      <c r="K216" s="196"/>
      <c r="L216" s="196">
        <v>1000000</v>
      </c>
    </row>
    <row r="217" spans="1:12" ht="11.25" customHeight="1" x14ac:dyDescent="0.2">
      <c r="A217" s="197">
        <v>2023</v>
      </c>
      <c r="B217" s="197">
        <v>3</v>
      </c>
      <c r="C217" s="197">
        <v>7</v>
      </c>
      <c r="D217" s="198">
        <f t="shared" si="16"/>
        <v>44992</v>
      </c>
      <c r="E217" s="199">
        <f t="shared" si="18"/>
        <v>44992</v>
      </c>
      <c r="F217" s="513" t="s">
        <v>1270</v>
      </c>
      <c r="G217" s="200" t="s">
        <v>1209</v>
      </c>
      <c r="H217" s="201"/>
      <c r="I217" s="201" t="s">
        <v>1253</v>
      </c>
      <c r="J217" s="197" t="s">
        <v>76</v>
      </c>
      <c r="K217" s="202">
        <v>1000000</v>
      </c>
      <c r="L217" s="202"/>
    </row>
    <row r="218" spans="1:12" ht="11.25" customHeight="1" x14ac:dyDescent="0.2">
      <c r="A218" s="191">
        <v>2023</v>
      </c>
      <c r="B218" s="191">
        <v>3</v>
      </c>
      <c r="C218" s="191">
        <v>7</v>
      </c>
      <c r="D218" s="192">
        <f t="shared" si="16"/>
        <v>44992</v>
      </c>
      <c r="E218" s="193">
        <f t="shared" si="18"/>
        <v>44992</v>
      </c>
      <c r="F218" s="514"/>
      <c r="G218" s="194" t="s">
        <v>1209</v>
      </c>
      <c r="H218" s="195"/>
      <c r="I218" s="195" t="s">
        <v>1253</v>
      </c>
      <c r="J218" s="191" t="s">
        <v>46</v>
      </c>
      <c r="K218" s="196"/>
      <c r="L218" s="196">
        <v>1000000</v>
      </c>
    </row>
    <row r="219" spans="1:12" ht="11.25" customHeight="1" x14ac:dyDescent="0.2">
      <c r="A219" s="197">
        <v>2023</v>
      </c>
      <c r="B219" s="197">
        <v>3</v>
      </c>
      <c r="C219" s="197">
        <v>7</v>
      </c>
      <c r="D219" s="198">
        <f t="shared" si="16"/>
        <v>44992</v>
      </c>
      <c r="E219" s="199">
        <f t="shared" ref="E219:E225" si="19">DATE(A219,B219,C219)</f>
        <v>44992</v>
      </c>
      <c r="F219" s="513" t="s">
        <v>1254</v>
      </c>
      <c r="G219" s="200" t="s">
        <v>1209</v>
      </c>
      <c r="H219" s="201"/>
      <c r="I219" s="201" t="s">
        <v>1253</v>
      </c>
      <c r="J219" s="197" t="s">
        <v>70</v>
      </c>
      <c r="K219" s="202">
        <v>15000000</v>
      </c>
      <c r="L219" s="202"/>
    </row>
    <row r="220" spans="1:12" ht="11.25" customHeight="1" x14ac:dyDescent="0.2">
      <c r="A220" s="191">
        <v>2023</v>
      </c>
      <c r="B220" s="191">
        <v>3</v>
      </c>
      <c r="C220" s="191">
        <v>7</v>
      </c>
      <c r="D220" s="192">
        <f t="shared" si="16"/>
        <v>44992</v>
      </c>
      <c r="E220" s="193">
        <f t="shared" si="19"/>
        <v>44992</v>
      </c>
      <c r="F220" s="514"/>
      <c r="G220" s="194" t="s">
        <v>1209</v>
      </c>
      <c r="H220" s="195"/>
      <c r="I220" s="195" t="s">
        <v>1253</v>
      </c>
      <c r="J220" s="191" t="s">
        <v>46</v>
      </c>
      <c r="K220" s="196"/>
      <c r="L220" s="196">
        <v>15000000</v>
      </c>
    </row>
    <row r="221" spans="1:12" ht="11.25" customHeight="1" x14ac:dyDescent="0.2">
      <c r="A221" s="197">
        <v>2023</v>
      </c>
      <c r="B221" s="197">
        <v>3</v>
      </c>
      <c r="C221" s="197">
        <v>7</v>
      </c>
      <c r="D221" s="198">
        <f t="shared" si="16"/>
        <v>44992</v>
      </c>
      <c r="E221" s="199">
        <f>DATE(A221,B221,C221)</f>
        <v>44992</v>
      </c>
      <c r="F221" s="513" t="s">
        <v>1258</v>
      </c>
      <c r="G221" s="200" t="s">
        <v>1245</v>
      </c>
      <c r="H221" s="201"/>
      <c r="I221" s="201"/>
      <c r="J221" s="197" t="s">
        <v>1580</v>
      </c>
      <c r="K221" s="202">
        <v>490200</v>
      </c>
      <c r="L221" s="202"/>
    </row>
    <row r="222" spans="1:12" ht="11.25" customHeight="1" x14ac:dyDescent="0.2">
      <c r="A222" s="120">
        <v>2023</v>
      </c>
      <c r="B222" s="120">
        <v>3</v>
      </c>
      <c r="C222" s="120">
        <v>7</v>
      </c>
      <c r="D222" s="208">
        <f t="shared" si="16"/>
        <v>44992</v>
      </c>
      <c r="E222" s="209">
        <f>DATE(A222,B222,C222)</f>
        <v>44992</v>
      </c>
      <c r="F222" s="515"/>
      <c r="G222" s="132" t="s">
        <v>1245</v>
      </c>
      <c r="J222" s="120" t="s">
        <v>1250</v>
      </c>
      <c r="K222" s="207">
        <v>300</v>
      </c>
      <c r="L222" s="207"/>
    </row>
    <row r="223" spans="1:12" ht="11.25" customHeight="1" x14ac:dyDescent="0.2">
      <c r="A223" s="191">
        <v>2023</v>
      </c>
      <c r="B223" s="191">
        <v>3</v>
      </c>
      <c r="C223" s="191">
        <v>7</v>
      </c>
      <c r="D223" s="192">
        <f t="shared" si="16"/>
        <v>44992</v>
      </c>
      <c r="E223" s="193">
        <f>DATE(A223,B223,C223)</f>
        <v>44992</v>
      </c>
      <c r="F223" s="514"/>
      <c r="G223" s="194" t="s">
        <v>1245</v>
      </c>
      <c r="H223" s="195"/>
      <c r="I223" s="195"/>
      <c r="J223" s="191" t="s">
        <v>1251</v>
      </c>
      <c r="K223" s="196"/>
      <c r="L223" s="196">
        <v>490500</v>
      </c>
    </row>
    <row r="224" spans="1:12" ht="11.25" customHeight="1" x14ac:dyDescent="0.2">
      <c r="A224" s="197">
        <v>2023</v>
      </c>
      <c r="B224" s="197">
        <v>3</v>
      </c>
      <c r="C224" s="197">
        <v>7</v>
      </c>
      <c r="D224" s="198">
        <f t="shared" si="16"/>
        <v>44992</v>
      </c>
      <c r="E224" s="199">
        <f t="shared" si="19"/>
        <v>44992</v>
      </c>
      <c r="F224" s="513" t="s">
        <v>1279</v>
      </c>
      <c r="G224" s="200" t="s">
        <v>1209</v>
      </c>
      <c r="H224" s="201"/>
      <c r="I224" s="201" t="s">
        <v>1253</v>
      </c>
      <c r="J224" s="197" t="s">
        <v>76</v>
      </c>
      <c r="K224" s="202">
        <v>17500000</v>
      </c>
      <c r="L224" s="202"/>
    </row>
    <row r="225" spans="1:12" ht="11.25" customHeight="1" x14ac:dyDescent="0.2">
      <c r="A225" s="191">
        <v>2023</v>
      </c>
      <c r="B225" s="191">
        <v>3</v>
      </c>
      <c r="C225" s="191">
        <v>7</v>
      </c>
      <c r="D225" s="192">
        <f t="shared" si="16"/>
        <v>44992</v>
      </c>
      <c r="E225" s="193">
        <f t="shared" si="19"/>
        <v>44992</v>
      </c>
      <c r="F225" s="514"/>
      <c r="G225" s="194" t="s">
        <v>1209</v>
      </c>
      <c r="H225" s="195"/>
      <c r="I225" s="195" t="s">
        <v>1253</v>
      </c>
      <c r="J225" s="191" t="s">
        <v>46</v>
      </c>
      <c r="K225" s="196"/>
      <c r="L225" s="196">
        <v>17500000</v>
      </c>
    </row>
    <row r="226" spans="1:12" ht="11.25" customHeight="1" x14ac:dyDescent="0.2">
      <c r="A226" s="197">
        <v>2023</v>
      </c>
      <c r="B226" s="197">
        <v>3</v>
      </c>
      <c r="C226" s="197">
        <v>9</v>
      </c>
      <c r="D226" s="198">
        <f t="shared" si="16"/>
        <v>44994</v>
      </c>
      <c r="E226" s="199">
        <f>DATE(A226,B226,C226)</f>
        <v>44994</v>
      </c>
      <c r="F226" s="513" t="s">
        <v>1228</v>
      </c>
      <c r="G226" s="200" t="s">
        <v>1209</v>
      </c>
      <c r="H226" s="201"/>
      <c r="I226" s="201"/>
      <c r="J226" s="197" t="s">
        <v>54</v>
      </c>
      <c r="K226" s="202">
        <v>25</v>
      </c>
      <c r="L226" s="202"/>
    </row>
    <row r="227" spans="1:12" ht="11.25" customHeight="1" x14ac:dyDescent="0.2">
      <c r="A227" s="191">
        <v>2023</v>
      </c>
      <c r="B227" s="191">
        <v>3</v>
      </c>
      <c r="C227" s="191">
        <v>9</v>
      </c>
      <c r="D227" s="192">
        <f t="shared" si="16"/>
        <v>44994</v>
      </c>
      <c r="E227" s="193">
        <f>DATE(A227,B227,C227)</f>
        <v>44994</v>
      </c>
      <c r="F227" s="514"/>
      <c r="G227" s="194" t="s">
        <v>1209</v>
      </c>
      <c r="H227" s="195"/>
      <c r="I227" s="195"/>
      <c r="J227" s="191" t="s">
        <v>46</v>
      </c>
      <c r="K227" s="196"/>
      <c r="L227" s="196">
        <v>25</v>
      </c>
    </row>
    <row r="228" spans="1:12" ht="11.25" customHeight="1" x14ac:dyDescent="0.2">
      <c r="A228" s="197">
        <v>2023</v>
      </c>
      <c r="B228" s="197">
        <v>3</v>
      </c>
      <c r="C228" s="197">
        <v>9</v>
      </c>
      <c r="D228" s="198">
        <f t="shared" si="16"/>
        <v>44994</v>
      </c>
      <c r="E228" s="199">
        <f>DATE(A228,B228,C228)</f>
        <v>44994</v>
      </c>
      <c r="F228" s="513" t="s">
        <v>1210</v>
      </c>
      <c r="G228" s="200" t="s">
        <v>1209</v>
      </c>
      <c r="H228" s="201"/>
      <c r="I228" s="201" t="s">
        <v>356</v>
      </c>
      <c r="J228" s="197" t="s">
        <v>46</v>
      </c>
      <c r="K228" s="202">
        <v>500000</v>
      </c>
      <c r="L228" s="202"/>
    </row>
    <row r="229" spans="1:12" ht="11.25" customHeight="1" x14ac:dyDescent="0.2">
      <c r="A229" s="120">
        <v>2023</v>
      </c>
      <c r="B229" s="120">
        <v>3</v>
      </c>
      <c r="C229" s="120">
        <v>9</v>
      </c>
      <c r="D229" s="208">
        <f t="shared" si="16"/>
        <v>44994</v>
      </c>
      <c r="E229" s="209">
        <f>DATE(A229,B229,C229)</f>
        <v>44994</v>
      </c>
      <c r="F229" s="515"/>
      <c r="G229" s="132" t="s">
        <v>1209</v>
      </c>
      <c r="I229" s="128" t="s">
        <v>356</v>
      </c>
      <c r="J229" s="120" t="s">
        <v>47</v>
      </c>
      <c r="K229" s="207"/>
      <c r="L229" s="207">
        <v>1500</v>
      </c>
    </row>
    <row r="230" spans="1:12" ht="11.25" customHeight="1" x14ac:dyDescent="0.2">
      <c r="A230" s="191">
        <v>2023</v>
      </c>
      <c r="B230" s="191">
        <v>3</v>
      </c>
      <c r="C230" s="191">
        <v>9</v>
      </c>
      <c r="D230" s="192">
        <f t="shared" si="16"/>
        <v>44994</v>
      </c>
      <c r="E230" s="193">
        <f>DATE(A230,B230,C230)</f>
        <v>44994</v>
      </c>
      <c r="F230" s="514"/>
      <c r="G230" s="194" t="s">
        <v>1209</v>
      </c>
      <c r="H230" s="195"/>
      <c r="I230" s="195" t="s">
        <v>356</v>
      </c>
      <c r="J230" s="191" t="s">
        <v>16</v>
      </c>
      <c r="K230" s="196"/>
      <c r="L230" s="196">
        <v>498500</v>
      </c>
    </row>
    <row r="231" spans="1:12" ht="11.25" customHeight="1" x14ac:dyDescent="0.2">
      <c r="A231" s="197">
        <v>2023</v>
      </c>
      <c r="B231" s="197">
        <v>3</v>
      </c>
      <c r="C231" s="197">
        <v>9</v>
      </c>
      <c r="D231" s="198">
        <f t="shared" si="16"/>
        <v>44994</v>
      </c>
      <c r="E231" s="199">
        <f t="shared" ref="E231:E236" si="20">DATE(A231,B231,C231)</f>
        <v>44994</v>
      </c>
      <c r="F231" s="513" t="s">
        <v>1258</v>
      </c>
      <c r="G231" s="200" t="s">
        <v>1245</v>
      </c>
      <c r="H231" s="201"/>
      <c r="I231" s="201"/>
      <c r="J231" s="197" t="s">
        <v>1580</v>
      </c>
      <c r="K231" s="202">
        <v>187850</v>
      </c>
      <c r="L231" s="202"/>
    </row>
    <row r="232" spans="1:12" ht="11.25" customHeight="1" x14ac:dyDescent="0.2">
      <c r="A232" s="120">
        <v>2023</v>
      </c>
      <c r="B232" s="120">
        <v>3</v>
      </c>
      <c r="C232" s="120">
        <v>9</v>
      </c>
      <c r="D232" s="208">
        <f t="shared" si="16"/>
        <v>44994</v>
      </c>
      <c r="E232" s="209">
        <f t="shared" si="20"/>
        <v>44994</v>
      </c>
      <c r="F232" s="515"/>
      <c r="G232" s="132" t="s">
        <v>1245</v>
      </c>
      <c r="J232" s="120" t="s">
        <v>1579</v>
      </c>
      <c r="K232" s="207">
        <v>1243000</v>
      </c>
      <c r="L232" s="207"/>
    </row>
    <row r="233" spans="1:12" ht="11.25" customHeight="1" x14ac:dyDescent="0.2">
      <c r="A233" s="120">
        <v>2023</v>
      </c>
      <c r="B233" s="120">
        <v>3</v>
      </c>
      <c r="C233" s="120">
        <v>9</v>
      </c>
      <c r="D233" s="208">
        <f t="shared" si="16"/>
        <v>44994</v>
      </c>
      <c r="E233" s="209">
        <f t="shared" si="20"/>
        <v>44994</v>
      </c>
      <c r="F233" s="515"/>
      <c r="G233" s="132" t="s">
        <v>1245</v>
      </c>
      <c r="J233" s="120" t="s">
        <v>1250</v>
      </c>
      <c r="K233" s="207">
        <v>300</v>
      </c>
      <c r="L233" s="207"/>
    </row>
    <row r="234" spans="1:12" ht="11.25" customHeight="1" x14ac:dyDescent="0.2">
      <c r="A234" s="191">
        <v>2023</v>
      </c>
      <c r="B234" s="191">
        <v>3</v>
      </c>
      <c r="C234" s="191">
        <v>9</v>
      </c>
      <c r="D234" s="192">
        <f t="shared" si="16"/>
        <v>44994</v>
      </c>
      <c r="E234" s="193">
        <f t="shared" si="20"/>
        <v>44994</v>
      </c>
      <c r="F234" s="514"/>
      <c r="G234" s="194" t="s">
        <v>1245</v>
      </c>
      <c r="H234" s="195"/>
      <c r="I234" s="195"/>
      <c r="J234" s="191" t="s">
        <v>1251</v>
      </c>
      <c r="K234" s="196"/>
      <c r="L234" s="196">
        <v>1431150</v>
      </c>
    </row>
    <row r="235" spans="1:12" ht="11.25" customHeight="1" x14ac:dyDescent="0.2">
      <c r="A235" s="197">
        <v>2023</v>
      </c>
      <c r="B235" s="197">
        <v>3</v>
      </c>
      <c r="C235" s="197">
        <v>9</v>
      </c>
      <c r="D235" s="198">
        <f t="shared" si="16"/>
        <v>44994</v>
      </c>
      <c r="E235" s="199">
        <f t="shared" si="20"/>
        <v>44994</v>
      </c>
      <c r="F235" s="513" t="s">
        <v>1393</v>
      </c>
      <c r="G235" s="200" t="s">
        <v>1245</v>
      </c>
      <c r="H235" s="201"/>
      <c r="I235" s="201"/>
      <c r="J235" s="197" t="s">
        <v>55</v>
      </c>
      <c r="K235" s="202">
        <v>1000000</v>
      </c>
      <c r="L235" s="202"/>
    </row>
    <row r="236" spans="1:12" ht="11.25" customHeight="1" x14ac:dyDescent="0.2">
      <c r="A236" s="191">
        <v>2023</v>
      </c>
      <c r="B236" s="191">
        <v>3</v>
      </c>
      <c r="C236" s="191">
        <v>9</v>
      </c>
      <c r="D236" s="192">
        <f t="shared" si="16"/>
        <v>44994</v>
      </c>
      <c r="E236" s="193">
        <f t="shared" si="20"/>
        <v>44994</v>
      </c>
      <c r="F236" s="514"/>
      <c r="G236" s="194" t="s">
        <v>1245</v>
      </c>
      <c r="H236" s="195"/>
      <c r="I236" s="195"/>
      <c r="J236" s="191" t="s">
        <v>1392</v>
      </c>
      <c r="K236" s="196"/>
      <c r="L236" s="196">
        <v>1000000</v>
      </c>
    </row>
    <row r="237" spans="1:12" ht="11.25" customHeight="1" x14ac:dyDescent="0.2">
      <c r="A237" s="210">
        <v>2023</v>
      </c>
      <c r="B237" s="210">
        <v>3</v>
      </c>
      <c r="C237" s="210">
        <v>9</v>
      </c>
      <c r="D237" s="211">
        <f t="shared" si="16"/>
        <v>44994</v>
      </c>
      <c r="E237" s="212">
        <v>44994</v>
      </c>
      <c r="F237" s="520" t="s">
        <v>1259</v>
      </c>
      <c r="G237" s="213" t="s">
        <v>1245</v>
      </c>
      <c r="H237" s="214"/>
      <c r="I237" s="214" t="s">
        <v>1253</v>
      </c>
      <c r="J237" s="210" t="s">
        <v>58</v>
      </c>
      <c r="K237" s="215">
        <v>464225.85974666692</v>
      </c>
      <c r="L237" s="215"/>
    </row>
    <row r="238" spans="1:12" ht="11.25" customHeight="1" x14ac:dyDescent="0.2">
      <c r="A238" s="216">
        <v>2023</v>
      </c>
      <c r="B238" s="216">
        <v>3</v>
      </c>
      <c r="C238" s="216">
        <v>9</v>
      </c>
      <c r="D238" s="217">
        <f t="shared" si="16"/>
        <v>44994</v>
      </c>
      <c r="E238" s="218">
        <v>44994</v>
      </c>
      <c r="F238" s="521"/>
      <c r="G238" s="219" t="s">
        <v>1245</v>
      </c>
      <c r="H238" s="220"/>
      <c r="I238" s="220" t="s">
        <v>1253</v>
      </c>
      <c r="J238" s="216" t="s">
        <v>153</v>
      </c>
      <c r="K238" s="221"/>
      <c r="L238" s="221">
        <v>464225.85974666692</v>
      </c>
    </row>
    <row r="239" spans="1:12" ht="11.25" customHeight="1" x14ac:dyDescent="0.2">
      <c r="A239" s="210">
        <v>2023</v>
      </c>
      <c r="B239" s="210">
        <v>3</v>
      </c>
      <c r="C239" s="210">
        <v>9</v>
      </c>
      <c r="D239" s="211">
        <f t="shared" si="16"/>
        <v>44994</v>
      </c>
      <c r="E239" s="212">
        <v>44994</v>
      </c>
      <c r="F239" s="520" t="s">
        <v>1255</v>
      </c>
      <c r="G239" s="213" t="s">
        <v>1245</v>
      </c>
      <c r="H239" s="214"/>
      <c r="I239" s="214" t="s">
        <v>1253</v>
      </c>
      <c r="J239" s="210" t="s">
        <v>113</v>
      </c>
      <c r="K239" s="215">
        <v>39215.686274509877</v>
      </c>
      <c r="L239" s="215"/>
    </row>
    <row r="240" spans="1:12" ht="11.25" customHeight="1" x14ac:dyDescent="0.2">
      <c r="A240" s="216">
        <v>2023</v>
      </c>
      <c r="B240" s="216">
        <v>3</v>
      </c>
      <c r="C240" s="216">
        <v>9</v>
      </c>
      <c r="D240" s="217">
        <f t="shared" si="16"/>
        <v>44994</v>
      </c>
      <c r="E240" s="218">
        <v>44994</v>
      </c>
      <c r="F240" s="521"/>
      <c r="G240" s="219" t="s">
        <v>1245</v>
      </c>
      <c r="H240" s="220"/>
      <c r="I240" s="220" t="s">
        <v>1253</v>
      </c>
      <c r="J240" s="216" t="s">
        <v>153</v>
      </c>
      <c r="K240" s="221"/>
      <c r="L240" s="221">
        <v>39215.686274509877</v>
      </c>
    </row>
    <row r="241" spans="1:12" ht="11.25" customHeight="1" x14ac:dyDescent="0.2">
      <c r="A241" s="210">
        <v>2023</v>
      </c>
      <c r="B241" s="210">
        <v>3</v>
      </c>
      <c r="C241" s="210">
        <v>9</v>
      </c>
      <c r="D241" s="211">
        <f t="shared" si="16"/>
        <v>44994</v>
      </c>
      <c r="E241" s="212">
        <v>44994</v>
      </c>
      <c r="F241" s="520" t="s">
        <v>1256</v>
      </c>
      <c r="G241" s="213" t="s">
        <v>1245</v>
      </c>
      <c r="H241" s="214"/>
      <c r="I241" s="214" t="s">
        <v>1253</v>
      </c>
      <c r="J241" s="210" t="s">
        <v>113</v>
      </c>
      <c r="K241" s="215">
        <v>26593.137254901889</v>
      </c>
      <c r="L241" s="215"/>
    </row>
    <row r="242" spans="1:12" ht="11.25" customHeight="1" x14ac:dyDescent="0.2">
      <c r="A242" s="216">
        <v>2023</v>
      </c>
      <c r="B242" s="216">
        <v>3</v>
      </c>
      <c r="C242" s="216">
        <v>9</v>
      </c>
      <c r="D242" s="217">
        <f t="shared" si="16"/>
        <v>44994</v>
      </c>
      <c r="E242" s="218">
        <v>44994</v>
      </c>
      <c r="F242" s="521"/>
      <c r="G242" s="219" t="s">
        <v>1245</v>
      </c>
      <c r="H242" s="220"/>
      <c r="I242" s="220" t="s">
        <v>1253</v>
      </c>
      <c r="J242" s="216" t="s">
        <v>153</v>
      </c>
      <c r="K242" s="221"/>
      <c r="L242" s="221">
        <v>26593.137254901889</v>
      </c>
    </row>
    <row r="243" spans="1:12" ht="11.25" customHeight="1" x14ac:dyDescent="0.2">
      <c r="A243" s="210">
        <v>2023</v>
      </c>
      <c r="B243" s="210">
        <v>3</v>
      </c>
      <c r="C243" s="210">
        <v>9</v>
      </c>
      <c r="D243" s="211">
        <f t="shared" si="16"/>
        <v>44994</v>
      </c>
      <c r="E243" s="212">
        <v>44994</v>
      </c>
      <c r="F243" s="520" t="s">
        <v>1257</v>
      </c>
      <c r="G243" s="213" t="s">
        <v>1245</v>
      </c>
      <c r="H243" s="214"/>
      <c r="I243" s="214" t="s">
        <v>1253</v>
      </c>
      <c r="J243" s="210" t="s">
        <v>113</v>
      </c>
      <c r="K243" s="215">
        <v>30392.156862745171</v>
      </c>
      <c r="L243" s="215"/>
    </row>
    <row r="244" spans="1:12" ht="11.25" customHeight="1" x14ac:dyDescent="0.2">
      <c r="A244" s="216">
        <v>2023</v>
      </c>
      <c r="B244" s="216">
        <v>3</v>
      </c>
      <c r="C244" s="216">
        <v>9</v>
      </c>
      <c r="D244" s="217">
        <f t="shared" si="16"/>
        <v>44994</v>
      </c>
      <c r="E244" s="218">
        <v>44994</v>
      </c>
      <c r="F244" s="521"/>
      <c r="G244" s="219" t="s">
        <v>1245</v>
      </c>
      <c r="H244" s="220"/>
      <c r="I244" s="220" t="s">
        <v>1253</v>
      </c>
      <c r="J244" s="216" t="s">
        <v>153</v>
      </c>
      <c r="K244" s="221"/>
      <c r="L244" s="221">
        <v>30392.156862745171</v>
      </c>
    </row>
    <row r="245" spans="1:12" ht="11.25" customHeight="1" x14ac:dyDescent="0.2">
      <c r="A245" s="222">
        <v>2023</v>
      </c>
      <c r="B245" s="222">
        <v>3</v>
      </c>
      <c r="C245" s="222">
        <v>9</v>
      </c>
      <c r="D245" s="223">
        <f t="shared" si="16"/>
        <v>44994</v>
      </c>
      <c r="E245" s="224">
        <v>44994</v>
      </c>
      <c r="F245" s="511" t="s">
        <v>1244</v>
      </c>
      <c r="G245" s="225" t="s">
        <v>1245</v>
      </c>
      <c r="H245" s="226"/>
      <c r="I245" s="226" t="s">
        <v>1253</v>
      </c>
      <c r="J245" s="222" t="s">
        <v>72</v>
      </c>
      <c r="K245" s="227">
        <v>30655.70000000298</v>
      </c>
      <c r="L245" s="227"/>
    </row>
    <row r="246" spans="1:12" ht="11.25" customHeight="1" x14ac:dyDescent="0.2">
      <c r="A246" s="228">
        <v>2023</v>
      </c>
      <c r="B246" s="228">
        <v>3</v>
      </c>
      <c r="C246" s="228">
        <v>9</v>
      </c>
      <c r="D246" s="229">
        <f t="shared" si="16"/>
        <v>44994</v>
      </c>
      <c r="E246" s="230">
        <v>44994</v>
      </c>
      <c r="F246" s="512"/>
      <c r="G246" s="231" t="s">
        <v>1245</v>
      </c>
      <c r="H246" s="232"/>
      <c r="I246" s="232" t="s">
        <v>1253</v>
      </c>
      <c r="J246" s="228" t="s">
        <v>87</v>
      </c>
      <c r="K246" s="233"/>
      <c r="L246" s="233">
        <v>30655.70000000298</v>
      </c>
    </row>
    <row r="247" spans="1:12" ht="11.25" customHeight="1" x14ac:dyDescent="0.2">
      <c r="A247" s="222">
        <v>2023</v>
      </c>
      <c r="B247" s="222">
        <v>3</v>
      </c>
      <c r="C247" s="222">
        <v>9</v>
      </c>
      <c r="D247" s="223">
        <f t="shared" si="16"/>
        <v>44994</v>
      </c>
      <c r="E247" s="224">
        <v>44994</v>
      </c>
      <c r="F247" s="511" t="s">
        <v>1246</v>
      </c>
      <c r="G247" s="225" t="s">
        <v>1245</v>
      </c>
      <c r="H247" s="226"/>
      <c r="I247" s="226" t="s">
        <v>1253</v>
      </c>
      <c r="J247" s="222" t="s">
        <v>75</v>
      </c>
      <c r="K247" s="227">
        <v>3846.1538461538462</v>
      </c>
      <c r="L247" s="227"/>
    </row>
    <row r="248" spans="1:12" ht="11.25" customHeight="1" x14ac:dyDescent="0.2">
      <c r="A248" s="228">
        <v>2023</v>
      </c>
      <c r="B248" s="228">
        <v>3</v>
      </c>
      <c r="C248" s="228">
        <v>9</v>
      </c>
      <c r="D248" s="229">
        <f t="shared" si="16"/>
        <v>44994</v>
      </c>
      <c r="E248" s="230">
        <v>44994</v>
      </c>
      <c r="F248" s="512"/>
      <c r="G248" s="231" t="s">
        <v>1245</v>
      </c>
      <c r="H248" s="232"/>
      <c r="I248" s="232" t="s">
        <v>1253</v>
      </c>
      <c r="J248" s="228" t="s">
        <v>55</v>
      </c>
      <c r="K248" s="233"/>
      <c r="L248" s="233">
        <v>3846.1538461538462</v>
      </c>
    </row>
    <row r="249" spans="1:12" ht="11.25" customHeight="1" x14ac:dyDescent="0.2">
      <c r="A249" s="222">
        <v>2023</v>
      </c>
      <c r="B249" s="222">
        <v>3</v>
      </c>
      <c r="C249" s="222">
        <v>9</v>
      </c>
      <c r="D249" s="223">
        <f t="shared" si="16"/>
        <v>44994</v>
      </c>
      <c r="E249" s="224">
        <v>44994</v>
      </c>
      <c r="F249" s="511" t="s">
        <v>1247</v>
      </c>
      <c r="G249" s="225" t="s">
        <v>1245</v>
      </c>
      <c r="H249" s="226"/>
      <c r="I249" s="226" t="s">
        <v>1253</v>
      </c>
      <c r="J249" s="222" t="s">
        <v>77</v>
      </c>
      <c r="K249" s="227">
        <v>19763.389278872848</v>
      </c>
      <c r="L249" s="227"/>
    </row>
    <row r="250" spans="1:12" ht="11.25" customHeight="1" x14ac:dyDescent="0.2">
      <c r="A250" s="228">
        <v>2023</v>
      </c>
      <c r="B250" s="228">
        <v>3</v>
      </c>
      <c r="C250" s="228">
        <v>9</v>
      </c>
      <c r="D250" s="229">
        <f t="shared" si="16"/>
        <v>44994</v>
      </c>
      <c r="E250" s="230">
        <v>44994</v>
      </c>
      <c r="F250" s="512"/>
      <c r="G250" s="231" t="s">
        <v>1245</v>
      </c>
      <c r="H250" s="232"/>
      <c r="I250" s="232" t="s">
        <v>1253</v>
      </c>
      <c r="J250" s="228" t="s">
        <v>41</v>
      </c>
      <c r="K250" s="233"/>
      <c r="L250" s="233">
        <v>19763.389278872848</v>
      </c>
    </row>
    <row r="251" spans="1:12" ht="11.25" customHeight="1" x14ac:dyDescent="0.2">
      <c r="A251" s="222">
        <v>2023</v>
      </c>
      <c r="B251" s="222">
        <v>3</v>
      </c>
      <c r="C251" s="222">
        <v>9</v>
      </c>
      <c r="D251" s="223">
        <f t="shared" si="16"/>
        <v>44994</v>
      </c>
      <c r="E251" s="224">
        <v>44994</v>
      </c>
      <c r="F251" s="511" t="s">
        <v>1248</v>
      </c>
      <c r="G251" s="225" t="s">
        <v>1245</v>
      </c>
      <c r="H251" s="226"/>
      <c r="I251" s="226" t="s">
        <v>1253</v>
      </c>
      <c r="J251" s="222" t="s">
        <v>80</v>
      </c>
      <c r="K251" s="227">
        <v>988.16946394364254</v>
      </c>
      <c r="L251" s="227"/>
    </row>
    <row r="252" spans="1:12" ht="11.25" customHeight="1" x14ac:dyDescent="0.2">
      <c r="A252" s="228">
        <v>2023</v>
      </c>
      <c r="B252" s="228">
        <v>3</v>
      </c>
      <c r="C252" s="228">
        <v>9</v>
      </c>
      <c r="D252" s="229">
        <f t="shared" si="16"/>
        <v>44994</v>
      </c>
      <c r="E252" s="230">
        <v>44994</v>
      </c>
      <c r="F252" s="512"/>
      <c r="G252" s="231" t="s">
        <v>1245</v>
      </c>
      <c r="H252" s="232"/>
      <c r="I252" s="232" t="s">
        <v>1253</v>
      </c>
      <c r="J252" s="228" t="s">
        <v>42</v>
      </c>
      <c r="K252" s="233"/>
      <c r="L252" s="233">
        <v>988.16946394364254</v>
      </c>
    </row>
    <row r="253" spans="1:12" ht="11.25" customHeight="1" x14ac:dyDescent="0.2">
      <c r="A253" s="197">
        <v>2023</v>
      </c>
      <c r="B253" s="197">
        <v>3</v>
      </c>
      <c r="C253" s="197">
        <v>12</v>
      </c>
      <c r="D253" s="198">
        <f t="shared" si="16"/>
        <v>44997</v>
      </c>
      <c r="E253" s="199">
        <f>DATE(A253,B253,C253)</f>
        <v>44997</v>
      </c>
      <c r="F253" s="513" t="s">
        <v>1262</v>
      </c>
      <c r="G253" s="200" t="s">
        <v>1209</v>
      </c>
      <c r="H253" s="201"/>
      <c r="I253" s="201"/>
      <c r="J253" s="197" t="s">
        <v>168</v>
      </c>
      <c r="K253" s="202">
        <v>25000</v>
      </c>
      <c r="L253" s="202" t="s">
        <v>1253</v>
      </c>
    </row>
    <row r="254" spans="1:12" ht="11.25" customHeight="1" x14ac:dyDescent="0.2">
      <c r="A254" s="120">
        <v>2023</v>
      </c>
      <c r="B254" s="120">
        <v>3</v>
      </c>
      <c r="C254" s="120">
        <v>12</v>
      </c>
      <c r="D254" s="208">
        <f t="shared" si="16"/>
        <v>44997</v>
      </c>
      <c r="E254" s="209">
        <f>DATE(A254,B254,C254)</f>
        <v>44997</v>
      </c>
      <c r="F254" s="515"/>
      <c r="G254" s="132" t="s">
        <v>1209</v>
      </c>
      <c r="J254" s="120" t="s">
        <v>54</v>
      </c>
      <c r="K254" s="207">
        <v>58</v>
      </c>
      <c r="L254" s="207" t="s">
        <v>1253</v>
      </c>
    </row>
    <row r="255" spans="1:12" ht="11.25" customHeight="1" x14ac:dyDescent="0.2">
      <c r="A255" s="191">
        <v>2023</v>
      </c>
      <c r="B255" s="191">
        <v>3</v>
      </c>
      <c r="C255" s="191">
        <v>12</v>
      </c>
      <c r="D255" s="192">
        <f t="shared" si="16"/>
        <v>44997</v>
      </c>
      <c r="E255" s="193">
        <f>DATE(A255,B255,C255)</f>
        <v>44997</v>
      </c>
      <c r="F255" s="514"/>
      <c r="G255" s="194" t="s">
        <v>1209</v>
      </c>
      <c r="H255" s="195"/>
      <c r="I255" s="195"/>
      <c r="J255" s="191" t="s">
        <v>46</v>
      </c>
      <c r="K255" s="196" t="s">
        <v>1253</v>
      </c>
      <c r="L255" s="196">
        <v>25058</v>
      </c>
    </row>
    <row r="256" spans="1:12" ht="11.25" customHeight="1" x14ac:dyDescent="0.2">
      <c r="A256" s="197">
        <v>2023</v>
      </c>
      <c r="B256" s="197">
        <v>3</v>
      </c>
      <c r="C256" s="197">
        <v>13</v>
      </c>
      <c r="D256" s="198">
        <f t="shared" si="16"/>
        <v>44998</v>
      </c>
      <c r="E256" s="199">
        <f t="shared" ref="E256:E262" si="21">DATE(A256,B256,C256)</f>
        <v>44998</v>
      </c>
      <c r="F256" s="513" t="s">
        <v>1210</v>
      </c>
      <c r="G256" s="200" t="s">
        <v>1209</v>
      </c>
      <c r="H256" s="201"/>
      <c r="I256" s="201" t="s">
        <v>524</v>
      </c>
      <c r="J256" s="197" t="s">
        <v>46</v>
      </c>
      <c r="K256" s="202">
        <v>1500000</v>
      </c>
      <c r="L256" s="202"/>
    </row>
    <row r="257" spans="1:13" ht="11.25" customHeight="1" x14ac:dyDescent="0.2">
      <c r="A257" s="120">
        <v>2023</v>
      </c>
      <c r="B257" s="120">
        <v>3</v>
      </c>
      <c r="C257" s="120">
        <v>13</v>
      </c>
      <c r="D257" s="208">
        <f t="shared" si="16"/>
        <v>44998</v>
      </c>
      <c r="E257" s="209">
        <f t="shared" si="21"/>
        <v>44998</v>
      </c>
      <c r="F257" s="515"/>
      <c r="G257" s="132" t="s">
        <v>1209</v>
      </c>
      <c r="I257" s="128" t="s">
        <v>524</v>
      </c>
      <c r="J257" s="120" t="s">
        <v>16</v>
      </c>
      <c r="K257" s="207"/>
      <c r="L257" s="207">
        <v>1495510</v>
      </c>
    </row>
    <row r="258" spans="1:13" ht="11.25" customHeight="1" x14ac:dyDescent="0.2">
      <c r="A258" s="191">
        <v>2023</v>
      </c>
      <c r="B258" s="191">
        <v>3</v>
      </c>
      <c r="C258" s="191">
        <v>13</v>
      </c>
      <c r="D258" s="192">
        <f t="shared" si="16"/>
        <v>44998</v>
      </c>
      <c r="E258" s="193">
        <f t="shared" si="21"/>
        <v>44998</v>
      </c>
      <c r="F258" s="514"/>
      <c r="G258" s="194" t="s">
        <v>1209</v>
      </c>
      <c r="H258" s="195"/>
      <c r="I258" s="195" t="s">
        <v>524</v>
      </c>
      <c r="J258" s="191" t="s">
        <v>47</v>
      </c>
      <c r="K258" s="196"/>
      <c r="L258" s="196">
        <v>4490</v>
      </c>
    </row>
    <row r="259" spans="1:13" ht="11.25" customHeight="1" x14ac:dyDescent="0.2">
      <c r="A259" s="197">
        <v>2023</v>
      </c>
      <c r="B259" s="197">
        <v>3</v>
      </c>
      <c r="C259" s="197">
        <v>13</v>
      </c>
      <c r="D259" s="198">
        <f t="shared" si="16"/>
        <v>44998</v>
      </c>
      <c r="E259" s="199">
        <f t="shared" si="21"/>
        <v>44998</v>
      </c>
      <c r="F259" s="513" t="s">
        <v>1228</v>
      </c>
      <c r="G259" s="200" t="s">
        <v>1209</v>
      </c>
      <c r="H259" s="201"/>
      <c r="I259" s="201"/>
      <c r="J259" s="197" t="s">
        <v>54</v>
      </c>
      <c r="K259" s="202">
        <v>25</v>
      </c>
      <c r="L259" s="202"/>
    </row>
    <row r="260" spans="1:13" ht="11.25" customHeight="1" x14ac:dyDescent="0.2">
      <c r="A260" s="191">
        <v>2023</v>
      </c>
      <c r="B260" s="191">
        <v>3</v>
      </c>
      <c r="C260" s="191">
        <v>13</v>
      </c>
      <c r="D260" s="192">
        <f t="shared" si="16"/>
        <v>44998</v>
      </c>
      <c r="E260" s="193">
        <f t="shared" si="21"/>
        <v>44998</v>
      </c>
      <c r="F260" s="514"/>
      <c r="G260" s="194" t="s">
        <v>1209</v>
      </c>
      <c r="H260" s="195"/>
      <c r="I260" s="195"/>
      <c r="J260" s="191" t="s">
        <v>46</v>
      </c>
      <c r="K260" s="196"/>
      <c r="L260" s="196">
        <v>25</v>
      </c>
    </row>
    <row r="261" spans="1:13" ht="11.25" customHeight="1" x14ac:dyDescent="0.2">
      <c r="A261" s="197">
        <v>2023</v>
      </c>
      <c r="B261" s="197">
        <v>3</v>
      </c>
      <c r="C261" s="197">
        <v>13</v>
      </c>
      <c r="D261" s="198">
        <f t="shared" si="16"/>
        <v>44998</v>
      </c>
      <c r="E261" s="199">
        <f t="shared" si="21"/>
        <v>44998</v>
      </c>
      <c r="F261" s="513" t="s">
        <v>1263</v>
      </c>
      <c r="G261" s="200" t="s">
        <v>1209</v>
      </c>
      <c r="H261" s="201"/>
      <c r="I261" s="201"/>
      <c r="J261" s="197" t="s">
        <v>121</v>
      </c>
      <c r="K261" s="202">
        <v>1854690</v>
      </c>
      <c r="L261" s="202"/>
    </row>
    <row r="262" spans="1:13" ht="11.25" customHeight="1" x14ac:dyDescent="0.2">
      <c r="A262" s="191">
        <v>2023</v>
      </c>
      <c r="B262" s="191">
        <v>3</v>
      </c>
      <c r="C262" s="191">
        <v>13</v>
      </c>
      <c r="D262" s="192">
        <f t="shared" si="16"/>
        <v>44998</v>
      </c>
      <c r="E262" s="193">
        <f t="shared" si="21"/>
        <v>44998</v>
      </c>
      <c r="F262" s="514"/>
      <c r="G262" s="194" t="s">
        <v>1209</v>
      </c>
      <c r="H262" s="195"/>
      <c r="I262" s="195" t="s">
        <v>1253</v>
      </c>
      <c r="J262" s="191" t="s">
        <v>46</v>
      </c>
      <c r="K262" s="196"/>
      <c r="L262" s="196">
        <v>1854690</v>
      </c>
    </row>
    <row r="263" spans="1:13" ht="11.25" customHeight="1" x14ac:dyDescent="0.2">
      <c r="A263" s="197">
        <v>2023</v>
      </c>
      <c r="B263" s="197">
        <v>3</v>
      </c>
      <c r="C263" s="197">
        <v>13</v>
      </c>
      <c r="D263" s="198">
        <f t="shared" si="16"/>
        <v>44998</v>
      </c>
      <c r="E263" s="199">
        <f t="shared" ref="E263:E269" si="22">DATE(A263,B263,C263)</f>
        <v>44998</v>
      </c>
      <c r="F263" s="513" t="s">
        <v>1264</v>
      </c>
      <c r="G263" s="200" t="s">
        <v>1209</v>
      </c>
      <c r="H263" s="201"/>
      <c r="I263" s="201"/>
      <c r="J263" s="197" t="s">
        <v>121</v>
      </c>
      <c r="K263" s="202">
        <v>490500</v>
      </c>
      <c r="L263" s="202"/>
    </row>
    <row r="264" spans="1:13" ht="11.25" customHeight="1" x14ac:dyDescent="0.2">
      <c r="A264" s="191">
        <v>2023</v>
      </c>
      <c r="B264" s="191">
        <v>3</v>
      </c>
      <c r="C264" s="191">
        <v>13</v>
      </c>
      <c r="D264" s="192">
        <f t="shared" ref="D264:D324" si="23">DATE(A264,B264,C264)</f>
        <v>44998</v>
      </c>
      <c r="E264" s="193">
        <f t="shared" si="22"/>
        <v>44998</v>
      </c>
      <c r="F264" s="514"/>
      <c r="G264" s="194" t="s">
        <v>1209</v>
      </c>
      <c r="H264" s="195"/>
      <c r="I264" s="195" t="s">
        <v>1253</v>
      </c>
      <c r="J264" s="191" t="s">
        <v>46</v>
      </c>
      <c r="K264" s="196"/>
      <c r="L264" s="196">
        <v>490500</v>
      </c>
    </row>
    <row r="265" spans="1:13" ht="11.25" customHeight="1" x14ac:dyDescent="0.2">
      <c r="A265" s="197">
        <v>2023</v>
      </c>
      <c r="B265" s="197">
        <v>3</v>
      </c>
      <c r="C265" s="197">
        <v>13</v>
      </c>
      <c r="D265" s="198">
        <f t="shared" si="23"/>
        <v>44998</v>
      </c>
      <c r="E265" s="199">
        <f t="shared" si="22"/>
        <v>44998</v>
      </c>
      <c r="F265" s="513" t="s">
        <v>1254</v>
      </c>
      <c r="G265" s="200" t="s">
        <v>1209</v>
      </c>
      <c r="H265" s="201"/>
      <c r="I265" s="201" t="s">
        <v>1253</v>
      </c>
      <c r="J265" s="197" t="s">
        <v>70</v>
      </c>
      <c r="K265" s="202">
        <v>5050000</v>
      </c>
      <c r="L265" s="202"/>
    </row>
    <row r="266" spans="1:13" ht="11.25" customHeight="1" x14ac:dyDescent="0.2">
      <c r="A266" s="191">
        <v>2023</v>
      </c>
      <c r="B266" s="191">
        <v>3</v>
      </c>
      <c r="C266" s="191">
        <v>13</v>
      </c>
      <c r="D266" s="192">
        <f t="shared" si="23"/>
        <v>44998</v>
      </c>
      <c r="E266" s="193">
        <f t="shared" si="22"/>
        <v>44998</v>
      </c>
      <c r="F266" s="514"/>
      <c r="G266" s="194" t="s">
        <v>1209</v>
      </c>
      <c r="H266" s="195"/>
      <c r="I266" s="195" t="s">
        <v>1253</v>
      </c>
      <c r="J266" s="191" t="s">
        <v>46</v>
      </c>
      <c r="K266" s="196"/>
      <c r="L266" s="196">
        <v>5050000</v>
      </c>
    </row>
    <row r="267" spans="1:13" ht="11.25" customHeight="1" x14ac:dyDescent="0.2">
      <c r="A267" s="197">
        <v>2023</v>
      </c>
      <c r="B267" s="197">
        <v>3</v>
      </c>
      <c r="C267" s="197">
        <v>13</v>
      </c>
      <c r="D267" s="198">
        <f t="shared" si="23"/>
        <v>44998</v>
      </c>
      <c r="E267" s="199">
        <f t="shared" si="22"/>
        <v>44998</v>
      </c>
      <c r="F267" s="513" t="s">
        <v>1258</v>
      </c>
      <c r="G267" s="200" t="s">
        <v>1245</v>
      </c>
      <c r="H267" s="201"/>
      <c r="I267" s="201"/>
      <c r="J267" s="197" t="s">
        <v>1579</v>
      </c>
      <c r="K267" s="202">
        <v>6259000</v>
      </c>
      <c r="L267" s="202"/>
    </row>
    <row r="268" spans="1:13" ht="11.25" customHeight="1" x14ac:dyDescent="0.2">
      <c r="A268" s="120">
        <v>2023</v>
      </c>
      <c r="B268" s="120">
        <v>3</v>
      </c>
      <c r="C268" s="120">
        <v>13</v>
      </c>
      <c r="D268" s="208">
        <f t="shared" si="23"/>
        <v>44998</v>
      </c>
      <c r="E268" s="209">
        <f t="shared" si="22"/>
        <v>44998</v>
      </c>
      <c r="F268" s="515"/>
      <c r="G268" s="132" t="s">
        <v>1245</v>
      </c>
      <c r="J268" s="120" t="s">
        <v>1250</v>
      </c>
      <c r="K268" s="207">
        <v>10014.4</v>
      </c>
      <c r="L268" s="207"/>
      <c r="M268" s="130"/>
    </row>
    <row r="269" spans="1:13" ht="11.25" customHeight="1" x14ac:dyDescent="0.2">
      <c r="A269" s="191">
        <v>2023</v>
      </c>
      <c r="B269" s="191">
        <v>3</v>
      </c>
      <c r="C269" s="191">
        <v>13</v>
      </c>
      <c r="D269" s="192">
        <f t="shared" si="23"/>
        <v>44998</v>
      </c>
      <c r="E269" s="193">
        <f t="shared" si="22"/>
        <v>44998</v>
      </c>
      <c r="F269" s="514"/>
      <c r="G269" s="194" t="s">
        <v>1245</v>
      </c>
      <c r="H269" s="195"/>
      <c r="I269" s="195"/>
      <c r="J269" s="191" t="s">
        <v>1251</v>
      </c>
      <c r="K269" s="196"/>
      <c r="L269" s="196">
        <v>6269014.4000000004</v>
      </c>
    </row>
    <row r="270" spans="1:13" ht="11.25" customHeight="1" x14ac:dyDescent="0.2">
      <c r="A270" s="197">
        <v>2023</v>
      </c>
      <c r="B270" s="197">
        <v>3</v>
      </c>
      <c r="C270" s="197">
        <v>15</v>
      </c>
      <c r="D270" s="198">
        <f t="shared" si="23"/>
        <v>45000</v>
      </c>
      <c r="E270" s="199">
        <f t="shared" ref="E270:E287" si="24">DATE(A270,B270,C270)</f>
        <v>45000</v>
      </c>
      <c r="F270" s="513" t="s">
        <v>1264</v>
      </c>
      <c r="G270" s="200" t="s">
        <v>1209</v>
      </c>
      <c r="H270" s="201"/>
      <c r="I270" s="201"/>
      <c r="J270" s="197" t="s">
        <v>121</v>
      </c>
      <c r="K270" s="202">
        <v>1431150</v>
      </c>
      <c r="L270" s="202"/>
    </row>
    <row r="271" spans="1:13" ht="11.25" customHeight="1" x14ac:dyDescent="0.2">
      <c r="A271" s="191">
        <v>2023</v>
      </c>
      <c r="B271" s="191">
        <v>3</v>
      </c>
      <c r="C271" s="191">
        <v>15</v>
      </c>
      <c r="D271" s="192">
        <f t="shared" si="23"/>
        <v>45000</v>
      </c>
      <c r="E271" s="193">
        <f t="shared" si="24"/>
        <v>45000</v>
      </c>
      <c r="F271" s="514"/>
      <c r="G271" s="194" t="s">
        <v>1209</v>
      </c>
      <c r="H271" s="195"/>
      <c r="I271" s="195" t="s">
        <v>1253</v>
      </c>
      <c r="J271" s="191" t="s">
        <v>46</v>
      </c>
      <c r="K271" s="196"/>
      <c r="L271" s="196">
        <v>1431150</v>
      </c>
    </row>
    <row r="272" spans="1:13" ht="11.25" customHeight="1" x14ac:dyDescent="0.2">
      <c r="A272" s="210">
        <v>2023</v>
      </c>
      <c r="B272" s="210">
        <v>3</v>
      </c>
      <c r="C272" s="210">
        <v>16</v>
      </c>
      <c r="D272" s="211">
        <f t="shared" si="23"/>
        <v>45001</v>
      </c>
      <c r="E272" s="238">
        <f t="shared" si="24"/>
        <v>45001</v>
      </c>
      <c r="F272" s="520" t="s">
        <v>1259</v>
      </c>
      <c r="G272" s="213" t="s">
        <v>1245</v>
      </c>
      <c r="H272" s="214"/>
      <c r="I272" s="214" t="s">
        <v>1253</v>
      </c>
      <c r="J272" s="210" t="s">
        <v>58</v>
      </c>
      <c r="K272" s="215">
        <v>24437.536960000001</v>
      </c>
      <c r="L272" s="215"/>
    </row>
    <row r="273" spans="1:12" ht="11.25" customHeight="1" x14ac:dyDescent="0.2">
      <c r="A273" s="216">
        <v>2023</v>
      </c>
      <c r="B273" s="216">
        <v>3</v>
      </c>
      <c r="C273" s="216">
        <v>16</v>
      </c>
      <c r="D273" s="217">
        <f t="shared" si="23"/>
        <v>45001</v>
      </c>
      <c r="E273" s="239">
        <f t="shared" si="24"/>
        <v>45001</v>
      </c>
      <c r="F273" s="521"/>
      <c r="G273" s="219" t="s">
        <v>1245</v>
      </c>
      <c r="H273" s="220"/>
      <c r="I273" s="220" t="s">
        <v>1253</v>
      </c>
      <c r="J273" s="216" t="s">
        <v>153</v>
      </c>
      <c r="K273" s="221"/>
      <c r="L273" s="221">
        <v>24437.536960000001</v>
      </c>
    </row>
    <row r="274" spans="1:12" ht="11.25" customHeight="1" x14ac:dyDescent="0.2">
      <c r="A274" s="210">
        <v>2023</v>
      </c>
      <c r="B274" s="210">
        <v>3</v>
      </c>
      <c r="C274" s="210">
        <v>16</v>
      </c>
      <c r="D274" s="211">
        <f t="shared" si="23"/>
        <v>45001</v>
      </c>
      <c r="E274" s="238">
        <f t="shared" si="24"/>
        <v>45001</v>
      </c>
      <c r="F274" s="520" t="s">
        <v>1255</v>
      </c>
      <c r="G274" s="213" t="s">
        <v>1245</v>
      </c>
      <c r="H274" s="214"/>
      <c r="I274" s="214" t="s">
        <v>1253</v>
      </c>
      <c r="J274" s="210" t="s">
        <v>113</v>
      </c>
      <c r="K274" s="215">
        <v>39215.686274509877</v>
      </c>
      <c r="L274" s="215"/>
    </row>
    <row r="275" spans="1:12" ht="11.25" customHeight="1" x14ac:dyDescent="0.2">
      <c r="A275" s="216">
        <v>2023</v>
      </c>
      <c r="B275" s="216">
        <v>3</v>
      </c>
      <c r="C275" s="216">
        <v>16</v>
      </c>
      <c r="D275" s="217">
        <f t="shared" si="23"/>
        <v>45001</v>
      </c>
      <c r="E275" s="239">
        <f t="shared" si="24"/>
        <v>45001</v>
      </c>
      <c r="F275" s="521"/>
      <c r="G275" s="219" t="s">
        <v>1245</v>
      </c>
      <c r="H275" s="220"/>
      <c r="I275" s="220" t="s">
        <v>1253</v>
      </c>
      <c r="J275" s="216" t="s">
        <v>153</v>
      </c>
      <c r="K275" s="221"/>
      <c r="L275" s="221">
        <v>39215.686274509877</v>
      </c>
    </row>
    <row r="276" spans="1:12" ht="11.25" customHeight="1" x14ac:dyDescent="0.2">
      <c r="A276" s="210">
        <v>2023</v>
      </c>
      <c r="B276" s="210">
        <v>3</v>
      </c>
      <c r="C276" s="210">
        <v>16</v>
      </c>
      <c r="D276" s="211">
        <f t="shared" si="23"/>
        <v>45001</v>
      </c>
      <c r="E276" s="238">
        <f t="shared" si="24"/>
        <v>45001</v>
      </c>
      <c r="F276" s="520" t="s">
        <v>1256</v>
      </c>
      <c r="G276" s="213" t="s">
        <v>1245</v>
      </c>
      <c r="H276" s="214"/>
      <c r="I276" s="214" t="s">
        <v>1253</v>
      </c>
      <c r="J276" s="210" t="s">
        <v>113</v>
      </c>
      <c r="K276" s="215">
        <v>26593.137254901889</v>
      </c>
      <c r="L276" s="215"/>
    </row>
    <row r="277" spans="1:12" ht="11.25" customHeight="1" x14ac:dyDescent="0.2">
      <c r="A277" s="216">
        <v>2023</v>
      </c>
      <c r="B277" s="216">
        <v>3</v>
      </c>
      <c r="C277" s="216">
        <v>16</v>
      </c>
      <c r="D277" s="217">
        <f t="shared" si="23"/>
        <v>45001</v>
      </c>
      <c r="E277" s="239">
        <f t="shared" si="24"/>
        <v>45001</v>
      </c>
      <c r="F277" s="521"/>
      <c r="G277" s="219" t="s">
        <v>1245</v>
      </c>
      <c r="H277" s="220"/>
      <c r="I277" s="220" t="s">
        <v>1253</v>
      </c>
      <c r="J277" s="216" t="s">
        <v>153</v>
      </c>
      <c r="K277" s="221"/>
      <c r="L277" s="221">
        <v>26593.137254901889</v>
      </c>
    </row>
    <row r="278" spans="1:12" ht="11.25" customHeight="1" x14ac:dyDescent="0.2">
      <c r="A278" s="210">
        <v>2023</v>
      </c>
      <c r="B278" s="210">
        <v>3</v>
      </c>
      <c r="C278" s="210">
        <v>16</v>
      </c>
      <c r="D278" s="211">
        <f t="shared" si="23"/>
        <v>45001</v>
      </c>
      <c r="E278" s="238">
        <f t="shared" si="24"/>
        <v>45001</v>
      </c>
      <c r="F278" s="520" t="s">
        <v>1257</v>
      </c>
      <c r="G278" s="213" t="s">
        <v>1245</v>
      </c>
      <c r="H278" s="214"/>
      <c r="I278" s="214" t="s">
        <v>1253</v>
      </c>
      <c r="J278" s="210" t="s">
        <v>113</v>
      </c>
      <c r="K278" s="215">
        <v>30392.156862745171</v>
      </c>
      <c r="L278" s="215"/>
    </row>
    <row r="279" spans="1:12" ht="11.25" customHeight="1" x14ac:dyDescent="0.2">
      <c r="A279" s="216">
        <v>2023</v>
      </c>
      <c r="B279" s="216">
        <v>3</v>
      </c>
      <c r="C279" s="216">
        <v>16</v>
      </c>
      <c r="D279" s="217">
        <f t="shared" si="23"/>
        <v>45001</v>
      </c>
      <c r="E279" s="239">
        <f t="shared" si="24"/>
        <v>45001</v>
      </c>
      <c r="F279" s="521"/>
      <c r="G279" s="219" t="s">
        <v>1245</v>
      </c>
      <c r="H279" s="220"/>
      <c r="I279" s="220" t="s">
        <v>1253</v>
      </c>
      <c r="J279" s="216" t="s">
        <v>153</v>
      </c>
      <c r="K279" s="221"/>
      <c r="L279" s="221">
        <v>30392.156862745171</v>
      </c>
    </row>
    <row r="280" spans="1:12" ht="11.25" customHeight="1" x14ac:dyDescent="0.2">
      <c r="A280" s="222">
        <v>2023</v>
      </c>
      <c r="B280" s="222">
        <v>3</v>
      </c>
      <c r="C280" s="222">
        <v>16</v>
      </c>
      <c r="D280" s="223">
        <f t="shared" si="23"/>
        <v>45001</v>
      </c>
      <c r="E280" s="240">
        <f t="shared" si="24"/>
        <v>45001</v>
      </c>
      <c r="F280" s="511" t="s">
        <v>1244</v>
      </c>
      <c r="G280" s="225" t="s">
        <v>1245</v>
      </c>
      <c r="H280" s="226"/>
      <c r="I280" s="226" t="s">
        <v>1253</v>
      </c>
      <c r="J280" s="222" t="s">
        <v>87</v>
      </c>
      <c r="K280" s="227">
        <v>19869.710000004619</v>
      </c>
      <c r="L280" s="227"/>
    </row>
    <row r="281" spans="1:12" ht="11.25" customHeight="1" x14ac:dyDescent="0.2">
      <c r="A281" s="228">
        <v>2023</v>
      </c>
      <c r="B281" s="228">
        <v>3</v>
      </c>
      <c r="C281" s="228">
        <v>16</v>
      </c>
      <c r="D281" s="229">
        <f t="shared" si="23"/>
        <v>45001</v>
      </c>
      <c r="E281" s="241">
        <f t="shared" si="24"/>
        <v>45001</v>
      </c>
      <c r="F281" s="512"/>
      <c r="G281" s="231" t="s">
        <v>1245</v>
      </c>
      <c r="H281" s="232"/>
      <c r="I281" s="232" t="s">
        <v>1253</v>
      </c>
      <c r="J281" s="228" t="s">
        <v>72</v>
      </c>
      <c r="K281" s="233"/>
      <c r="L281" s="233">
        <v>19869.710000004619</v>
      </c>
    </row>
    <row r="282" spans="1:12" ht="11.25" customHeight="1" x14ac:dyDescent="0.2">
      <c r="A282" s="222">
        <v>2023</v>
      </c>
      <c r="B282" s="222">
        <v>3</v>
      </c>
      <c r="C282" s="222">
        <v>16</v>
      </c>
      <c r="D282" s="223">
        <f t="shared" si="23"/>
        <v>45001</v>
      </c>
      <c r="E282" s="240">
        <f t="shared" si="24"/>
        <v>45001</v>
      </c>
      <c r="F282" s="511" t="s">
        <v>1246</v>
      </c>
      <c r="G282" s="225" t="s">
        <v>1245</v>
      </c>
      <c r="H282" s="226"/>
      <c r="I282" s="226" t="s">
        <v>1253</v>
      </c>
      <c r="J282" s="222" t="s">
        <v>75</v>
      </c>
      <c r="K282" s="227">
        <v>3846.1538461538462</v>
      </c>
      <c r="L282" s="227"/>
    </row>
    <row r="283" spans="1:12" ht="11.25" customHeight="1" x14ac:dyDescent="0.2">
      <c r="A283" s="228">
        <v>2023</v>
      </c>
      <c r="B283" s="228">
        <v>3</v>
      </c>
      <c r="C283" s="228">
        <v>16</v>
      </c>
      <c r="D283" s="229">
        <f t="shared" si="23"/>
        <v>45001</v>
      </c>
      <c r="E283" s="241">
        <f t="shared" si="24"/>
        <v>45001</v>
      </c>
      <c r="F283" s="512"/>
      <c r="G283" s="231" t="s">
        <v>1245</v>
      </c>
      <c r="H283" s="232"/>
      <c r="I283" s="232" t="s">
        <v>1253</v>
      </c>
      <c r="J283" s="228" t="s">
        <v>55</v>
      </c>
      <c r="K283" s="233"/>
      <c r="L283" s="233">
        <v>3846.1538461538462</v>
      </c>
    </row>
    <row r="284" spans="1:12" ht="11.25" customHeight="1" x14ac:dyDescent="0.2">
      <c r="A284" s="222">
        <v>2023</v>
      </c>
      <c r="B284" s="222">
        <v>3</v>
      </c>
      <c r="C284" s="222">
        <v>16</v>
      </c>
      <c r="D284" s="223">
        <f t="shared" si="23"/>
        <v>45001</v>
      </c>
      <c r="E284" s="240">
        <f t="shared" si="24"/>
        <v>45001</v>
      </c>
      <c r="F284" s="511" t="s">
        <v>1247</v>
      </c>
      <c r="G284" s="225" t="s">
        <v>1245</v>
      </c>
      <c r="H284" s="226"/>
      <c r="I284" s="226" t="s">
        <v>1253</v>
      </c>
      <c r="J284" s="222" t="s">
        <v>77</v>
      </c>
      <c r="K284" s="227">
        <v>20063.788279788852</v>
      </c>
      <c r="L284" s="227"/>
    </row>
    <row r="285" spans="1:12" ht="11.25" customHeight="1" x14ac:dyDescent="0.2">
      <c r="A285" s="228">
        <v>2023</v>
      </c>
      <c r="B285" s="228">
        <v>3</v>
      </c>
      <c r="C285" s="228">
        <v>16</v>
      </c>
      <c r="D285" s="229">
        <f t="shared" si="23"/>
        <v>45001</v>
      </c>
      <c r="E285" s="241">
        <f t="shared" si="24"/>
        <v>45001</v>
      </c>
      <c r="F285" s="512"/>
      <c r="G285" s="231" t="s">
        <v>1245</v>
      </c>
      <c r="H285" s="232"/>
      <c r="I285" s="232" t="s">
        <v>1253</v>
      </c>
      <c r="J285" s="228" t="s">
        <v>41</v>
      </c>
      <c r="K285" s="233"/>
      <c r="L285" s="233">
        <v>20063.788279788852</v>
      </c>
    </row>
    <row r="286" spans="1:12" ht="11.25" customHeight="1" x14ac:dyDescent="0.2">
      <c r="A286" s="222">
        <v>2023</v>
      </c>
      <c r="B286" s="222">
        <v>3</v>
      </c>
      <c r="C286" s="222">
        <v>16</v>
      </c>
      <c r="D286" s="223">
        <f t="shared" si="23"/>
        <v>45001</v>
      </c>
      <c r="E286" s="240">
        <f t="shared" si="24"/>
        <v>45001</v>
      </c>
      <c r="F286" s="511" t="s">
        <v>1248</v>
      </c>
      <c r="G286" s="225" t="s">
        <v>1245</v>
      </c>
      <c r="H286" s="226"/>
      <c r="I286" s="226" t="s">
        <v>1253</v>
      </c>
      <c r="J286" s="222" t="s">
        <v>80</v>
      </c>
      <c r="K286" s="227">
        <v>1003.1894139894425</v>
      </c>
      <c r="L286" s="227"/>
    </row>
    <row r="287" spans="1:12" ht="11.25" customHeight="1" x14ac:dyDescent="0.2">
      <c r="A287" s="228">
        <v>2023</v>
      </c>
      <c r="B287" s="228">
        <v>3</v>
      </c>
      <c r="C287" s="228">
        <v>16</v>
      </c>
      <c r="D287" s="229">
        <f t="shared" si="23"/>
        <v>45001</v>
      </c>
      <c r="E287" s="241">
        <f t="shared" si="24"/>
        <v>45001</v>
      </c>
      <c r="F287" s="512"/>
      <c r="G287" s="231" t="s">
        <v>1245</v>
      </c>
      <c r="H287" s="232"/>
      <c r="I287" s="232" t="s">
        <v>1253</v>
      </c>
      <c r="J287" s="228" t="s">
        <v>42</v>
      </c>
      <c r="K287" s="233"/>
      <c r="L287" s="233">
        <v>1003.1894139894425</v>
      </c>
    </row>
    <row r="288" spans="1:12" ht="11.25" customHeight="1" x14ac:dyDescent="0.2">
      <c r="A288" s="197">
        <v>2023</v>
      </c>
      <c r="B288" s="197">
        <v>3</v>
      </c>
      <c r="C288" s="197">
        <v>19</v>
      </c>
      <c r="D288" s="198">
        <f t="shared" si="23"/>
        <v>45004</v>
      </c>
      <c r="E288" s="199">
        <f t="shared" ref="E288:E293" si="25">DATE(A288,B288,C288)</f>
        <v>45004</v>
      </c>
      <c r="F288" s="513" t="s">
        <v>1264</v>
      </c>
      <c r="G288" s="200" t="s">
        <v>1209</v>
      </c>
      <c r="H288" s="201"/>
      <c r="I288" s="201"/>
      <c r="J288" s="197" t="s">
        <v>121</v>
      </c>
      <c r="K288" s="202">
        <v>6269014.4000000004</v>
      </c>
      <c r="L288" s="202"/>
    </row>
    <row r="289" spans="1:12" ht="11.25" customHeight="1" x14ac:dyDescent="0.2">
      <c r="A289" s="191">
        <v>2023</v>
      </c>
      <c r="B289" s="191">
        <v>3</v>
      </c>
      <c r="C289" s="191">
        <v>19</v>
      </c>
      <c r="D289" s="192">
        <f t="shared" si="23"/>
        <v>45004</v>
      </c>
      <c r="E289" s="193">
        <f t="shared" si="25"/>
        <v>45004</v>
      </c>
      <c r="F289" s="514"/>
      <c r="G289" s="194" t="s">
        <v>1209</v>
      </c>
      <c r="H289" s="195"/>
      <c r="I289" s="195" t="s">
        <v>1253</v>
      </c>
      <c r="J289" s="191" t="s">
        <v>46</v>
      </c>
      <c r="K289" s="196"/>
      <c r="L289" s="196">
        <v>6269014.4000000004</v>
      </c>
    </row>
    <row r="290" spans="1:12" ht="11.25" customHeight="1" x14ac:dyDescent="0.2">
      <c r="A290" s="197">
        <v>2023</v>
      </c>
      <c r="B290" s="197">
        <v>3</v>
      </c>
      <c r="C290" s="197">
        <v>19</v>
      </c>
      <c r="D290" s="198">
        <f t="shared" si="23"/>
        <v>45004</v>
      </c>
      <c r="E290" s="199">
        <f t="shared" si="25"/>
        <v>45004</v>
      </c>
      <c r="F290" s="513" t="s">
        <v>1280</v>
      </c>
      <c r="G290" s="200" t="s">
        <v>1209</v>
      </c>
      <c r="H290" s="201"/>
      <c r="I290" s="201" t="s">
        <v>796</v>
      </c>
      <c r="J290" s="197" t="s">
        <v>16</v>
      </c>
      <c r="K290" s="202">
        <v>500000</v>
      </c>
      <c r="L290" s="202"/>
    </row>
    <row r="291" spans="1:12" ht="11.25" customHeight="1" x14ac:dyDescent="0.2">
      <c r="A291" s="191">
        <v>2023</v>
      </c>
      <c r="B291" s="191">
        <v>3</v>
      </c>
      <c r="C291" s="191">
        <v>19</v>
      </c>
      <c r="D291" s="192">
        <f t="shared" si="23"/>
        <v>45004</v>
      </c>
      <c r="E291" s="193">
        <f t="shared" si="25"/>
        <v>45004</v>
      </c>
      <c r="F291" s="514"/>
      <c r="G291" s="194" t="s">
        <v>1209</v>
      </c>
      <c r="H291" s="195"/>
      <c r="I291" s="195" t="s">
        <v>796</v>
      </c>
      <c r="J291" s="191" t="s">
        <v>46</v>
      </c>
      <c r="K291" s="196"/>
      <c r="L291" s="196">
        <v>500000</v>
      </c>
    </row>
    <row r="292" spans="1:12" ht="11.25" customHeight="1" x14ac:dyDescent="0.2">
      <c r="A292" s="197">
        <v>2023</v>
      </c>
      <c r="B292" s="197">
        <v>3</v>
      </c>
      <c r="C292" s="197">
        <v>19</v>
      </c>
      <c r="D292" s="198">
        <f t="shared" si="23"/>
        <v>45004</v>
      </c>
      <c r="E292" s="199">
        <f t="shared" si="25"/>
        <v>45004</v>
      </c>
      <c r="F292" s="513" t="s">
        <v>1281</v>
      </c>
      <c r="G292" s="200" t="s">
        <v>1209</v>
      </c>
      <c r="H292" s="201"/>
      <c r="I292" s="201"/>
      <c r="J292" s="197" t="s">
        <v>54</v>
      </c>
      <c r="K292" s="202">
        <v>58</v>
      </c>
      <c r="L292" s="202"/>
    </row>
    <row r="293" spans="1:12" ht="11.25" customHeight="1" x14ac:dyDescent="0.2">
      <c r="A293" s="191">
        <v>2023</v>
      </c>
      <c r="B293" s="191">
        <v>3</v>
      </c>
      <c r="C293" s="191">
        <v>19</v>
      </c>
      <c r="D293" s="192">
        <f t="shared" si="23"/>
        <v>45004</v>
      </c>
      <c r="E293" s="193">
        <f t="shared" si="25"/>
        <v>45004</v>
      </c>
      <c r="F293" s="514"/>
      <c r="G293" s="194" t="s">
        <v>1209</v>
      </c>
      <c r="H293" s="195"/>
      <c r="I293" s="195"/>
      <c r="J293" s="191" t="s">
        <v>46</v>
      </c>
      <c r="K293" s="196"/>
      <c r="L293" s="196">
        <v>58</v>
      </c>
    </row>
    <row r="294" spans="1:12" ht="11.25" customHeight="1" x14ac:dyDescent="0.2">
      <c r="A294" s="197">
        <v>2023</v>
      </c>
      <c r="B294" s="197">
        <v>3</v>
      </c>
      <c r="C294" s="197">
        <v>21</v>
      </c>
      <c r="D294" s="198">
        <f t="shared" si="23"/>
        <v>45006</v>
      </c>
      <c r="E294" s="199">
        <f>DATE(A294,B294,C294)</f>
        <v>45006</v>
      </c>
      <c r="F294" s="513" t="s">
        <v>1280</v>
      </c>
      <c r="G294" s="200" t="s">
        <v>1209</v>
      </c>
      <c r="H294" s="201"/>
      <c r="I294" s="201" t="s">
        <v>323</v>
      </c>
      <c r="J294" s="197" t="s">
        <v>16</v>
      </c>
      <c r="K294" s="202">
        <v>500000</v>
      </c>
      <c r="L294" s="202"/>
    </row>
    <row r="295" spans="1:12" ht="11.25" customHeight="1" x14ac:dyDescent="0.2">
      <c r="A295" s="120">
        <v>2023</v>
      </c>
      <c r="B295" s="120">
        <v>3</v>
      </c>
      <c r="C295" s="120">
        <v>21</v>
      </c>
      <c r="D295" s="208">
        <f t="shared" si="23"/>
        <v>45006</v>
      </c>
      <c r="E295" s="209">
        <f>DATE(A295,B295,C295)</f>
        <v>45006</v>
      </c>
      <c r="F295" s="515"/>
      <c r="G295" s="132" t="s">
        <v>1209</v>
      </c>
      <c r="I295" s="128" t="s">
        <v>323</v>
      </c>
      <c r="J295" s="120" t="s">
        <v>47</v>
      </c>
      <c r="K295" s="207">
        <v>2850</v>
      </c>
      <c r="L295" s="207"/>
    </row>
    <row r="296" spans="1:12" ht="11.25" customHeight="1" x14ac:dyDescent="0.2">
      <c r="A296" s="191">
        <v>2023</v>
      </c>
      <c r="B296" s="191">
        <v>3</v>
      </c>
      <c r="C296" s="191">
        <v>21</v>
      </c>
      <c r="D296" s="192">
        <f t="shared" si="23"/>
        <v>45006</v>
      </c>
      <c r="E296" s="193">
        <f>DATE(A296,B296,C296)</f>
        <v>45006</v>
      </c>
      <c r="F296" s="514"/>
      <c r="G296" s="194" t="s">
        <v>1209</v>
      </c>
      <c r="H296" s="195"/>
      <c r="I296" s="195" t="s">
        <v>323</v>
      </c>
      <c r="J296" s="191" t="s">
        <v>46</v>
      </c>
      <c r="K296" s="196"/>
      <c r="L296" s="196">
        <v>502850</v>
      </c>
    </row>
    <row r="297" spans="1:12" ht="11.25" customHeight="1" x14ac:dyDescent="0.2">
      <c r="A297" s="197">
        <v>2023</v>
      </c>
      <c r="B297" s="197">
        <v>3</v>
      </c>
      <c r="C297" s="197">
        <v>23</v>
      </c>
      <c r="D297" s="198">
        <f t="shared" si="23"/>
        <v>45008</v>
      </c>
      <c r="E297" s="199">
        <f>DATE(A297,B297,C297)</f>
        <v>45008</v>
      </c>
      <c r="F297" s="513" t="s">
        <v>1281</v>
      </c>
      <c r="G297" s="200" t="s">
        <v>1209</v>
      </c>
      <c r="H297" s="201"/>
      <c r="I297" s="201"/>
      <c r="J297" s="197" t="s">
        <v>54</v>
      </c>
      <c r="K297" s="202">
        <v>58</v>
      </c>
      <c r="L297" s="202"/>
    </row>
    <row r="298" spans="1:12" ht="11.25" customHeight="1" x14ac:dyDescent="0.2">
      <c r="A298" s="191">
        <v>2023</v>
      </c>
      <c r="B298" s="191">
        <v>3</v>
      </c>
      <c r="C298" s="191">
        <v>23</v>
      </c>
      <c r="D298" s="192">
        <f t="shared" si="23"/>
        <v>45008</v>
      </c>
      <c r="E298" s="193">
        <f>DATE(A298,B298,C298)</f>
        <v>45008</v>
      </c>
      <c r="F298" s="514"/>
      <c r="G298" s="194" t="s">
        <v>1209</v>
      </c>
      <c r="H298" s="195"/>
      <c r="I298" s="195"/>
      <c r="J298" s="191" t="s">
        <v>46</v>
      </c>
      <c r="K298" s="196"/>
      <c r="L298" s="196">
        <v>58</v>
      </c>
    </row>
    <row r="299" spans="1:12" ht="11.25" customHeight="1" x14ac:dyDescent="0.2">
      <c r="A299" s="197">
        <v>2023</v>
      </c>
      <c r="B299" s="197">
        <v>3</v>
      </c>
      <c r="C299" s="197">
        <v>23</v>
      </c>
      <c r="D299" s="198">
        <f t="shared" si="23"/>
        <v>45008</v>
      </c>
      <c r="E299" s="199">
        <f t="shared" ref="E299:E328" si="26">DATE(A299,B299,C299)</f>
        <v>45008</v>
      </c>
      <c r="F299" s="513" t="s">
        <v>1280</v>
      </c>
      <c r="G299" s="200" t="s">
        <v>1209</v>
      </c>
      <c r="H299" s="201"/>
      <c r="I299" s="201" t="s">
        <v>880</v>
      </c>
      <c r="J299" s="197" t="s">
        <v>16</v>
      </c>
      <c r="K299" s="202">
        <v>100000</v>
      </c>
      <c r="L299" s="202"/>
    </row>
    <row r="300" spans="1:12" ht="11.25" customHeight="1" x14ac:dyDescent="0.2">
      <c r="A300" s="120">
        <v>2023</v>
      </c>
      <c r="B300" s="120">
        <v>3</v>
      </c>
      <c r="C300" s="120">
        <v>23</v>
      </c>
      <c r="D300" s="208">
        <f t="shared" si="23"/>
        <v>45008</v>
      </c>
      <c r="E300" s="209">
        <f t="shared" si="26"/>
        <v>45008</v>
      </c>
      <c r="F300" s="515"/>
      <c r="G300" s="132" t="s">
        <v>1209</v>
      </c>
      <c r="I300" s="128" t="s">
        <v>880</v>
      </c>
      <c r="J300" s="120" t="s">
        <v>47</v>
      </c>
      <c r="K300" s="207">
        <v>570</v>
      </c>
      <c r="L300" s="207"/>
    </row>
    <row r="301" spans="1:12" ht="11.25" customHeight="1" x14ac:dyDescent="0.2">
      <c r="A301" s="191">
        <v>2023</v>
      </c>
      <c r="B301" s="191">
        <v>3</v>
      </c>
      <c r="C301" s="191">
        <v>23</v>
      </c>
      <c r="D301" s="192">
        <f t="shared" si="23"/>
        <v>45008</v>
      </c>
      <c r="E301" s="193">
        <f t="shared" si="26"/>
        <v>45008</v>
      </c>
      <c r="F301" s="514"/>
      <c r="G301" s="194" t="s">
        <v>1209</v>
      </c>
      <c r="H301" s="195"/>
      <c r="I301" s="195" t="s">
        <v>880</v>
      </c>
      <c r="J301" s="191" t="s">
        <v>46</v>
      </c>
      <c r="K301" s="196"/>
      <c r="L301" s="196">
        <v>100570</v>
      </c>
    </row>
    <row r="302" spans="1:12" ht="11.25" customHeight="1" x14ac:dyDescent="0.2">
      <c r="A302" s="210">
        <v>2023</v>
      </c>
      <c r="B302" s="210">
        <v>3</v>
      </c>
      <c r="C302" s="210">
        <v>23</v>
      </c>
      <c r="D302" s="211">
        <f t="shared" si="23"/>
        <v>45008</v>
      </c>
      <c r="E302" s="238">
        <f t="shared" si="26"/>
        <v>45008</v>
      </c>
      <c r="F302" s="520" t="s">
        <v>1278</v>
      </c>
      <c r="G302" s="213" t="s">
        <v>1245</v>
      </c>
      <c r="H302" s="214"/>
      <c r="I302" s="214" t="s">
        <v>1253</v>
      </c>
      <c r="J302" s="210" t="s">
        <v>1529</v>
      </c>
      <c r="K302" s="215">
        <v>14064.525</v>
      </c>
      <c r="L302" s="215"/>
    </row>
    <row r="303" spans="1:12" ht="11.25" customHeight="1" x14ac:dyDescent="0.2">
      <c r="A303" s="216">
        <v>2023</v>
      </c>
      <c r="B303" s="216">
        <v>3</v>
      </c>
      <c r="C303" s="216">
        <v>23</v>
      </c>
      <c r="D303" s="217">
        <f t="shared" si="23"/>
        <v>45008</v>
      </c>
      <c r="E303" s="239">
        <f t="shared" si="26"/>
        <v>45008</v>
      </c>
      <c r="F303" s="521"/>
      <c r="G303" s="219" t="s">
        <v>1245</v>
      </c>
      <c r="H303" s="220"/>
      <c r="I303" s="220" t="s">
        <v>1253</v>
      </c>
      <c r="J303" s="216" t="s">
        <v>153</v>
      </c>
      <c r="K303" s="221"/>
      <c r="L303" s="221">
        <v>14064.525</v>
      </c>
    </row>
    <row r="304" spans="1:12" ht="11.25" customHeight="1" x14ac:dyDescent="0.2">
      <c r="A304" s="210">
        <v>2023</v>
      </c>
      <c r="B304" s="242">
        <v>3</v>
      </c>
      <c r="C304" s="242">
        <v>23</v>
      </c>
      <c r="D304" s="211">
        <f t="shared" si="23"/>
        <v>45008</v>
      </c>
      <c r="E304" s="238">
        <f t="shared" ref="E304" si="27">DATE(A304,B304,C304)</f>
        <v>45008</v>
      </c>
      <c r="F304" s="520" t="s">
        <v>1285</v>
      </c>
      <c r="G304" s="213" t="s">
        <v>1245</v>
      </c>
      <c r="H304" s="214"/>
      <c r="I304" s="214" t="s">
        <v>1253</v>
      </c>
      <c r="J304" s="210" t="s">
        <v>1284</v>
      </c>
      <c r="K304" s="215">
        <v>30796.560000000001</v>
      </c>
      <c r="L304" s="215"/>
    </row>
    <row r="305" spans="1:12" ht="11.25" customHeight="1" x14ac:dyDescent="0.2">
      <c r="A305" s="242">
        <v>2023</v>
      </c>
      <c r="B305" s="242">
        <v>3</v>
      </c>
      <c r="C305" s="242">
        <v>23</v>
      </c>
      <c r="D305" s="243">
        <f t="shared" si="23"/>
        <v>45008</v>
      </c>
      <c r="E305" s="244">
        <f>DATE(A305,B305,C305)</f>
        <v>45008</v>
      </c>
      <c r="F305" s="524"/>
      <c r="G305" s="245" t="s">
        <v>1245</v>
      </c>
      <c r="H305" s="246"/>
      <c r="I305" s="246"/>
      <c r="J305" s="242" t="s">
        <v>1582</v>
      </c>
      <c r="K305" s="247"/>
      <c r="L305" s="247">
        <v>30796.560000000001</v>
      </c>
    </row>
    <row r="306" spans="1:12" ht="11.25" customHeight="1" x14ac:dyDescent="0.2">
      <c r="A306" s="210">
        <v>2023</v>
      </c>
      <c r="B306" s="210">
        <v>3</v>
      </c>
      <c r="C306" s="210">
        <v>23</v>
      </c>
      <c r="D306" s="211">
        <f t="shared" si="23"/>
        <v>45008</v>
      </c>
      <c r="E306" s="238">
        <f t="shared" si="26"/>
        <v>45008</v>
      </c>
      <c r="F306" s="520" t="s">
        <v>1259</v>
      </c>
      <c r="G306" s="213" t="s">
        <v>1245</v>
      </c>
      <c r="H306" s="214"/>
      <c r="I306" s="214" t="s">
        <v>1253</v>
      </c>
      <c r="J306" s="210" t="s">
        <v>58</v>
      </c>
      <c r="K306" s="215">
        <v>14379.86</v>
      </c>
      <c r="L306" s="215"/>
    </row>
    <row r="307" spans="1:12" ht="11.25" customHeight="1" x14ac:dyDescent="0.2">
      <c r="A307" s="216">
        <v>2023</v>
      </c>
      <c r="B307" s="216">
        <v>3</v>
      </c>
      <c r="C307" s="216">
        <v>23</v>
      </c>
      <c r="D307" s="217">
        <f t="shared" si="23"/>
        <v>45008</v>
      </c>
      <c r="E307" s="239">
        <f t="shared" si="26"/>
        <v>45008</v>
      </c>
      <c r="F307" s="521"/>
      <c r="G307" s="219" t="s">
        <v>1245</v>
      </c>
      <c r="H307" s="220"/>
      <c r="I307" s="220" t="s">
        <v>1253</v>
      </c>
      <c r="J307" s="216" t="s">
        <v>153</v>
      </c>
      <c r="K307" s="221"/>
      <c r="L307" s="221">
        <v>14379.86</v>
      </c>
    </row>
    <row r="308" spans="1:12" ht="11.25" customHeight="1" x14ac:dyDescent="0.2">
      <c r="A308" s="210">
        <v>2023</v>
      </c>
      <c r="B308" s="210">
        <v>3</v>
      </c>
      <c r="C308" s="210">
        <v>23</v>
      </c>
      <c r="D308" s="211">
        <f t="shared" si="23"/>
        <v>45008</v>
      </c>
      <c r="E308" s="238">
        <f t="shared" si="26"/>
        <v>45008</v>
      </c>
      <c r="F308" s="520" t="s">
        <v>1255</v>
      </c>
      <c r="G308" s="213" t="s">
        <v>1245</v>
      </c>
      <c r="H308" s="214"/>
      <c r="I308" s="214" t="s">
        <v>1253</v>
      </c>
      <c r="J308" s="210" t="s">
        <v>113</v>
      </c>
      <c r="K308" s="215">
        <v>39215.686274509877</v>
      </c>
      <c r="L308" s="215"/>
    </row>
    <row r="309" spans="1:12" ht="11.25" customHeight="1" x14ac:dyDescent="0.2">
      <c r="A309" s="216">
        <v>2023</v>
      </c>
      <c r="B309" s="216">
        <v>3</v>
      </c>
      <c r="C309" s="216">
        <v>23</v>
      </c>
      <c r="D309" s="217">
        <f t="shared" si="23"/>
        <v>45008</v>
      </c>
      <c r="E309" s="239">
        <f t="shared" si="26"/>
        <v>45008</v>
      </c>
      <c r="F309" s="521"/>
      <c r="G309" s="219" t="s">
        <v>1245</v>
      </c>
      <c r="H309" s="220"/>
      <c r="I309" s="220" t="s">
        <v>1253</v>
      </c>
      <c r="J309" s="216" t="s">
        <v>153</v>
      </c>
      <c r="K309" s="221"/>
      <c r="L309" s="221">
        <v>39215.686274509877</v>
      </c>
    </row>
    <row r="310" spans="1:12" ht="11.25" customHeight="1" x14ac:dyDescent="0.2">
      <c r="A310" s="210">
        <v>2023</v>
      </c>
      <c r="B310" s="210">
        <v>3</v>
      </c>
      <c r="C310" s="210">
        <v>23</v>
      </c>
      <c r="D310" s="211">
        <f t="shared" si="23"/>
        <v>45008</v>
      </c>
      <c r="E310" s="238">
        <f t="shared" si="26"/>
        <v>45008</v>
      </c>
      <c r="F310" s="520" t="s">
        <v>1256</v>
      </c>
      <c r="G310" s="213" t="s">
        <v>1245</v>
      </c>
      <c r="H310" s="214"/>
      <c r="I310" s="214" t="s">
        <v>1253</v>
      </c>
      <c r="J310" s="210" t="s">
        <v>113</v>
      </c>
      <c r="K310" s="215">
        <v>26593.137254901889</v>
      </c>
      <c r="L310" s="215"/>
    </row>
    <row r="311" spans="1:12" ht="11.25" customHeight="1" x14ac:dyDescent="0.2">
      <c r="A311" s="216">
        <v>2023</v>
      </c>
      <c r="B311" s="216">
        <v>3</v>
      </c>
      <c r="C311" s="216">
        <v>23</v>
      </c>
      <c r="D311" s="217">
        <f t="shared" si="23"/>
        <v>45008</v>
      </c>
      <c r="E311" s="239">
        <f t="shared" si="26"/>
        <v>45008</v>
      </c>
      <c r="F311" s="521"/>
      <c r="G311" s="219" t="s">
        <v>1245</v>
      </c>
      <c r="H311" s="220"/>
      <c r="I311" s="220" t="s">
        <v>1253</v>
      </c>
      <c r="J311" s="216" t="s">
        <v>153</v>
      </c>
      <c r="K311" s="221"/>
      <c r="L311" s="221">
        <v>26593.137254901889</v>
      </c>
    </row>
    <row r="312" spans="1:12" ht="11.25" customHeight="1" x14ac:dyDescent="0.2">
      <c r="A312" s="210">
        <v>2023</v>
      </c>
      <c r="B312" s="210">
        <v>3</v>
      </c>
      <c r="C312" s="210">
        <v>23</v>
      </c>
      <c r="D312" s="211">
        <f t="shared" si="23"/>
        <v>45008</v>
      </c>
      <c r="E312" s="238">
        <f t="shared" si="26"/>
        <v>45008</v>
      </c>
      <c r="F312" s="520" t="s">
        <v>1257</v>
      </c>
      <c r="G312" s="213" t="s">
        <v>1245</v>
      </c>
      <c r="H312" s="214"/>
      <c r="I312" s="214" t="s">
        <v>1253</v>
      </c>
      <c r="J312" s="210" t="s">
        <v>113</v>
      </c>
      <c r="K312" s="215">
        <v>30392.156862745171</v>
      </c>
      <c r="L312" s="215"/>
    </row>
    <row r="313" spans="1:12" ht="11.25" customHeight="1" x14ac:dyDescent="0.2">
      <c r="A313" s="216">
        <v>2023</v>
      </c>
      <c r="B313" s="216">
        <v>3</v>
      </c>
      <c r="C313" s="216">
        <v>23</v>
      </c>
      <c r="D313" s="217">
        <f t="shared" si="23"/>
        <v>45008</v>
      </c>
      <c r="E313" s="239">
        <f t="shared" si="26"/>
        <v>45008</v>
      </c>
      <c r="F313" s="521"/>
      <c r="G313" s="219" t="s">
        <v>1245</v>
      </c>
      <c r="H313" s="220"/>
      <c r="I313" s="220" t="s">
        <v>1253</v>
      </c>
      <c r="J313" s="216" t="s">
        <v>153</v>
      </c>
      <c r="K313" s="221"/>
      <c r="L313" s="221">
        <v>30392.156862745171</v>
      </c>
    </row>
    <row r="314" spans="1:12" ht="11.25" customHeight="1" x14ac:dyDescent="0.2">
      <c r="A314" s="222">
        <v>2023</v>
      </c>
      <c r="B314" s="222">
        <v>3</v>
      </c>
      <c r="C314" s="222">
        <v>23</v>
      </c>
      <c r="D314" s="223">
        <f t="shared" si="23"/>
        <v>45008</v>
      </c>
      <c r="E314" s="240">
        <f t="shared" si="26"/>
        <v>45008</v>
      </c>
      <c r="F314" s="511" t="s">
        <v>1244</v>
      </c>
      <c r="G314" s="225" t="s">
        <v>1245</v>
      </c>
      <c r="H314" s="226"/>
      <c r="I314" s="226" t="s">
        <v>1253</v>
      </c>
      <c r="J314" s="222" t="s">
        <v>72</v>
      </c>
      <c r="K314" s="227">
        <v>1363.9961904734373</v>
      </c>
      <c r="L314" s="227"/>
    </row>
    <row r="315" spans="1:12" ht="11.25" customHeight="1" x14ac:dyDescent="0.2">
      <c r="A315" s="228">
        <v>2023</v>
      </c>
      <c r="B315" s="228">
        <v>3</v>
      </c>
      <c r="C315" s="228">
        <v>23</v>
      </c>
      <c r="D315" s="229">
        <f t="shared" si="23"/>
        <v>45008</v>
      </c>
      <c r="E315" s="241">
        <f t="shared" si="26"/>
        <v>45008</v>
      </c>
      <c r="F315" s="512"/>
      <c r="G315" s="231" t="s">
        <v>1245</v>
      </c>
      <c r="H315" s="232"/>
      <c r="I315" s="232" t="s">
        <v>1253</v>
      </c>
      <c r="J315" s="228" t="s">
        <v>87</v>
      </c>
      <c r="K315" s="233"/>
      <c r="L315" s="233">
        <v>1363.9961904734373</v>
      </c>
    </row>
    <row r="316" spans="1:12" ht="11.25" customHeight="1" x14ac:dyDescent="0.2">
      <c r="A316" s="222">
        <v>2023</v>
      </c>
      <c r="B316" s="222">
        <v>3</v>
      </c>
      <c r="C316" s="222">
        <v>23</v>
      </c>
      <c r="D316" s="223">
        <f t="shared" si="23"/>
        <v>45008</v>
      </c>
      <c r="E316" s="240">
        <f t="shared" si="26"/>
        <v>45008</v>
      </c>
      <c r="F316" s="511" t="s">
        <v>1246</v>
      </c>
      <c r="G316" s="225" t="s">
        <v>1245</v>
      </c>
      <c r="H316" s="226"/>
      <c r="I316" s="226" t="s">
        <v>1253</v>
      </c>
      <c r="J316" s="222" t="s">
        <v>75</v>
      </c>
      <c r="K316" s="227">
        <v>3846.1538461538462</v>
      </c>
      <c r="L316" s="227"/>
    </row>
    <row r="317" spans="1:12" ht="11.25" customHeight="1" x14ac:dyDescent="0.2">
      <c r="A317" s="228">
        <v>2023</v>
      </c>
      <c r="B317" s="228">
        <v>3</v>
      </c>
      <c r="C317" s="228">
        <v>23</v>
      </c>
      <c r="D317" s="229">
        <f t="shared" si="23"/>
        <v>45008</v>
      </c>
      <c r="E317" s="241">
        <f t="shared" si="26"/>
        <v>45008</v>
      </c>
      <c r="F317" s="512"/>
      <c r="G317" s="231" t="s">
        <v>1245</v>
      </c>
      <c r="H317" s="232"/>
      <c r="I317" s="232" t="s">
        <v>1253</v>
      </c>
      <c r="J317" s="228" t="s">
        <v>55</v>
      </c>
      <c r="K317" s="233"/>
      <c r="L317" s="233">
        <v>3846.1538461538462</v>
      </c>
    </row>
    <row r="318" spans="1:12" ht="11.25" customHeight="1" x14ac:dyDescent="0.2">
      <c r="A318" s="222">
        <v>2023</v>
      </c>
      <c r="B318" s="222">
        <v>3</v>
      </c>
      <c r="C318" s="222">
        <v>23</v>
      </c>
      <c r="D318" s="223">
        <f t="shared" si="23"/>
        <v>45008</v>
      </c>
      <c r="E318" s="240">
        <f t="shared" si="26"/>
        <v>45008</v>
      </c>
      <c r="F318" s="511" t="s">
        <v>1247</v>
      </c>
      <c r="G318" s="225" t="s">
        <v>1245</v>
      </c>
      <c r="H318" s="226"/>
      <c r="I318" s="226" t="s">
        <v>1253</v>
      </c>
      <c r="J318" s="222" t="s">
        <v>77</v>
      </c>
      <c r="K318" s="227">
        <v>19902.3456625094</v>
      </c>
      <c r="L318" s="227"/>
    </row>
    <row r="319" spans="1:12" ht="11.25" customHeight="1" x14ac:dyDescent="0.2">
      <c r="A319" s="228">
        <v>2023</v>
      </c>
      <c r="B319" s="228">
        <v>3</v>
      </c>
      <c r="C319" s="228">
        <v>23</v>
      </c>
      <c r="D319" s="229">
        <f t="shared" si="23"/>
        <v>45008</v>
      </c>
      <c r="E319" s="241">
        <f t="shared" si="26"/>
        <v>45008</v>
      </c>
      <c r="F319" s="512"/>
      <c r="G319" s="231" t="s">
        <v>1245</v>
      </c>
      <c r="H319" s="232"/>
      <c r="I319" s="232" t="s">
        <v>1253</v>
      </c>
      <c r="J319" s="228" t="s">
        <v>41</v>
      </c>
      <c r="K319" s="233"/>
      <c r="L319" s="233">
        <v>19902.3456625094</v>
      </c>
    </row>
    <row r="320" spans="1:12" ht="11.25" customHeight="1" x14ac:dyDescent="0.2">
      <c r="A320" s="222">
        <v>2023</v>
      </c>
      <c r="B320" s="222">
        <v>3</v>
      </c>
      <c r="C320" s="222">
        <v>23</v>
      </c>
      <c r="D320" s="223">
        <f t="shared" si="23"/>
        <v>45008</v>
      </c>
      <c r="E320" s="240">
        <f t="shared" si="26"/>
        <v>45008</v>
      </c>
      <c r="F320" s="511" t="s">
        <v>1248</v>
      </c>
      <c r="G320" s="225" t="s">
        <v>1245</v>
      </c>
      <c r="H320" s="226"/>
      <c r="I320" s="226" t="s">
        <v>1253</v>
      </c>
      <c r="J320" s="222" t="s">
        <v>80</v>
      </c>
      <c r="K320" s="227">
        <v>995.11728312547007</v>
      </c>
      <c r="L320" s="227"/>
    </row>
    <row r="321" spans="1:12" ht="11.25" customHeight="1" x14ac:dyDescent="0.2">
      <c r="A321" s="228">
        <v>2023</v>
      </c>
      <c r="B321" s="228">
        <v>3</v>
      </c>
      <c r="C321" s="228">
        <v>23</v>
      </c>
      <c r="D321" s="229">
        <f t="shared" si="23"/>
        <v>45008</v>
      </c>
      <c r="E321" s="241">
        <f t="shared" si="26"/>
        <v>45008</v>
      </c>
      <c r="F321" s="512"/>
      <c r="G321" s="231" t="s">
        <v>1245</v>
      </c>
      <c r="H321" s="232"/>
      <c r="I321" s="232" t="s">
        <v>1253</v>
      </c>
      <c r="J321" s="228" t="s">
        <v>42</v>
      </c>
      <c r="K321" s="233"/>
      <c r="L321" s="233">
        <v>995.11728312547007</v>
      </c>
    </row>
    <row r="322" spans="1:12" ht="11.25" customHeight="1" x14ac:dyDescent="0.2">
      <c r="A322" s="197">
        <v>2023</v>
      </c>
      <c r="B322" s="197">
        <v>3</v>
      </c>
      <c r="C322" s="197">
        <v>29</v>
      </c>
      <c r="D322" s="198">
        <f t="shared" si="23"/>
        <v>45014</v>
      </c>
      <c r="E322" s="199">
        <f t="shared" si="26"/>
        <v>45014</v>
      </c>
      <c r="F322" s="513" t="s">
        <v>1286</v>
      </c>
      <c r="G322" s="200" t="s">
        <v>1209</v>
      </c>
      <c r="H322" s="201"/>
      <c r="I322" s="201"/>
      <c r="J322" s="197" t="s">
        <v>46</v>
      </c>
      <c r="K322" s="202">
        <v>9939.4</v>
      </c>
      <c r="L322" s="202"/>
    </row>
    <row r="323" spans="1:12" ht="11.25" customHeight="1" x14ac:dyDescent="0.2">
      <c r="A323" s="191">
        <v>2023</v>
      </c>
      <c r="B323" s="191">
        <v>3</v>
      </c>
      <c r="C323" s="191">
        <v>29</v>
      </c>
      <c r="D323" s="192">
        <f t="shared" si="23"/>
        <v>45014</v>
      </c>
      <c r="E323" s="193">
        <f t="shared" si="26"/>
        <v>45014</v>
      </c>
      <c r="F323" s="514"/>
      <c r="G323" s="194" t="s">
        <v>1209</v>
      </c>
      <c r="H323" s="195"/>
      <c r="I323" s="195" t="s">
        <v>1253</v>
      </c>
      <c r="J323" s="191" t="s">
        <v>1250</v>
      </c>
      <c r="K323" s="196"/>
      <c r="L323" s="196">
        <v>9939.4</v>
      </c>
    </row>
    <row r="324" spans="1:12" ht="11.25" customHeight="1" x14ac:dyDescent="0.2">
      <c r="A324" s="197">
        <v>2023</v>
      </c>
      <c r="B324" s="197">
        <v>3</v>
      </c>
      <c r="C324" s="197">
        <v>30</v>
      </c>
      <c r="D324" s="198">
        <f t="shared" si="23"/>
        <v>45015</v>
      </c>
      <c r="E324" s="199">
        <f t="shared" si="26"/>
        <v>45015</v>
      </c>
      <c r="F324" s="513" t="s">
        <v>1287</v>
      </c>
      <c r="G324" s="200" t="s">
        <v>1209</v>
      </c>
      <c r="H324" s="201"/>
      <c r="I324" s="201"/>
      <c r="J324" s="197" t="s">
        <v>54</v>
      </c>
      <c r="K324" s="202">
        <v>60</v>
      </c>
      <c r="L324" s="202"/>
    </row>
    <row r="325" spans="1:12" ht="11.25" customHeight="1" x14ac:dyDescent="0.2">
      <c r="A325" s="191">
        <v>2023</v>
      </c>
      <c r="B325" s="191">
        <v>3</v>
      </c>
      <c r="C325" s="191">
        <v>30</v>
      </c>
      <c r="D325" s="192">
        <f t="shared" ref="D325:D384" si="28">DATE(A325,B325,C325)</f>
        <v>45015</v>
      </c>
      <c r="E325" s="193">
        <f t="shared" si="26"/>
        <v>45015</v>
      </c>
      <c r="F325" s="514"/>
      <c r="G325" s="194" t="s">
        <v>1209</v>
      </c>
      <c r="H325" s="195"/>
      <c r="I325" s="195"/>
      <c r="J325" s="191" t="s">
        <v>46</v>
      </c>
      <c r="K325" s="196"/>
      <c r="L325" s="196">
        <v>60</v>
      </c>
    </row>
    <row r="326" spans="1:12" ht="11.25" customHeight="1" x14ac:dyDescent="0.2">
      <c r="A326" s="197">
        <v>2023</v>
      </c>
      <c r="B326" s="197">
        <v>3</v>
      </c>
      <c r="C326" s="197">
        <v>30</v>
      </c>
      <c r="D326" s="198">
        <f t="shared" si="28"/>
        <v>45015</v>
      </c>
      <c r="E326" s="199">
        <f t="shared" si="26"/>
        <v>45015</v>
      </c>
      <c r="F326" s="513" t="s">
        <v>1210</v>
      </c>
      <c r="G326" s="200" t="s">
        <v>1209</v>
      </c>
      <c r="H326" s="201"/>
      <c r="I326" s="201" t="s">
        <v>1218</v>
      </c>
      <c r="J326" s="197" t="s">
        <v>46</v>
      </c>
      <c r="K326" s="202">
        <v>5000000</v>
      </c>
      <c r="L326" s="202"/>
    </row>
    <row r="327" spans="1:12" ht="11.25" customHeight="1" x14ac:dyDescent="0.2">
      <c r="A327" s="120">
        <v>2023</v>
      </c>
      <c r="B327" s="120">
        <v>3</v>
      </c>
      <c r="C327" s="120">
        <v>30</v>
      </c>
      <c r="D327" s="208">
        <f t="shared" si="28"/>
        <v>45015</v>
      </c>
      <c r="E327" s="209">
        <f t="shared" si="26"/>
        <v>45015</v>
      </c>
      <c r="F327" s="515"/>
      <c r="G327" s="132" t="s">
        <v>1209</v>
      </c>
      <c r="I327" s="128" t="s">
        <v>1218</v>
      </c>
      <c r="J327" s="120" t="s">
        <v>16</v>
      </c>
      <c r="K327" s="207"/>
      <c r="L327" s="207">
        <v>4969680</v>
      </c>
    </row>
    <row r="328" spans="1:12" ht="11.25" customHeight="1" x14ac:dyDescent="0.2">
      <c r="A328" s="191">
        <v>2023</v>
      </c>
      <c r="B328" s="191">
        <v>3</v>
      </c>
      <c r="C328" s="191">
        <v>30</v>
      </c>
      <c r="D328" s="192">
        <f t="shared" si="28"/>
        <v>45015</v>
      </c>
      <c r="E328" s="193">
        <f t="shared" si="26"/>
        <v>45015</v>
      </c>
      <c r="F328" s="514"/>
      <c r="G328" s="194" t="s">
        <v>1209</v>
      </c>
      <c r="H328" s="195"/>
      <c r="I328" s="195" t="s">
        <v>1218</v>
      </c>
      <c r="J328" s="191" t="s">
        <v>47</v>
      </c>
      <c r="K328" s="196"/>
      <c r="L328" s="196">
        <v>30320</v>
      </c>
    </row>
    <row r="329" spans="1:12" ht="11.25" customHeight="1" x14ac:dyDescent="0.2">
      <c r="A329" s="210">
        <v>2023</v>
      </c>
      <c r="B329" s="210">
        <v>3</v>
      </c>
      <c r="C329" s="210">
        <v>30</v>
      </c>
      <c r="D329" s="211">
        <f t="shared" si="28"/>
        <v>45015</v>
      </c>
      <c r="E329" s="238">
        <f t="shared" ref="E329:E364" si="29">DATE(A329,B329,C329)</f>
        <v>45015</v>
      </c>
      <c r="F329" s="520" t="s">
        <v>1278</v>
      </c>
      <c r="G329" s="213" t="s">
        <v>1245</v>
      </c>
      <c r="H329" s="214"/>
      <c r="I329" s="214" t="s">
        <v>1253</v>
      </c>
      <c r="J329" s="210" t="s">
        <v>1529</v>
      </c>
      <c r="K329" s="215">
        <v>7032.2624999999998</v>
      </c>
      <c r="L329" s="215"/>
    </row>
    <row r="330" spans="1:12" ht="11.25" customHeight="1" x14ac:dyDescent="0.2">
      <c r="A330" s="216">
        <v>2023</v>
      </c>
      <c r="B330" s="216">
        <v>3</v>
      </c>
      <c r="C330" s="216">
        <v>30</v>
      </c>
      <c r="D330" s="217">
        <f t="shared" si="28"/>
        <v>45015</v>
      </c>
      <c r="E330" s="239">
        <f t="shared" si="29"/>
        <v>45015</v>
      </c>
      <c r="F330" s="521"/>
      <c r="G330" s="219" t="s">
        <v>1245</v>
      </c>
      <c r="H330" s="220"/>
      <c r="I330" s="220" t="s">
        <v>1253</v>
      </c>
      <c r="J330" s="216" t="s">
        <v>153</v>
      </c>
      <c r="K330" s="221"/>
      <c r="L330" s="221">
        <v>7032.2624999999998</v>
      </c>
    </row>
    <row r="331" spans="1:12" ht="11.25" customHeight="1" x14ac:dyDescent="0.2">
      <c r="A331" s="210">
        <v>2023</v>
      </c>
      <c r="B331" s="216">
        <v>3</v>
      </c>
      <c r="C331" s="216">
        <v>30</v>
      </c>
      <c r="D331" s="211">
        <f t="shared" si="28"/>
        <v>45015</v>
      </c>
      <c r="E331" s="238">
        <f t="shared" si="29"/>
        <v>45015</v>
      </c>
      <c r="F331" s="520" t="s">
        <v>1285</v>
      </c>
      <c r="G331" s="213" t="s">
        <v>1245</v>
      </c>
      <c r="H331" s="214"/>
      <c r="I331" s="214" t="s">
        <v>1253</v>
      </c>
      <c r="J331" s="210" t="s">
        <v>1284</v>
      </c>
      <c r="K331" s="215">
        <v>15398.28</v>
      </c>
      <c r="L331" s="215"/>
    </row>
    <row r="332" spans="1:12" ht="11.25" customHeight="1" x14ac:dyDescent="0.2">
      <c r="A332" s="242">
        <v>2023</v>
      </c>
      <c r="B332" s="216">
        <v>3</v>
      </c>
      <c r="C332" s="216">
        <v>30</v>
      </c>
      <c r="D332" s="243">
        <f t="shared" si="28"/>
        <v>45015</v>
      </c>
      <c r="E332" s="244">
        <f>DATE(A332,B332,C332)</f>
        <v>45015</v>
      </c>
      <c r="F332" s="524"/>
      <c r="G332" s="245" t="s">
        <v>1245</v>
      </c>
      <c r="H332" s="246"/>
      <c r="I332" s="246"/>
      <c r="J332" s="242" t="s">
        <v>1582</v>
      </c>
      <c r="K332" s="247"/>
      <c r="L332" s="247">
        <v>15398.28</v>
      </c>
    </row>
    <row r="333" spans="1:12" ht="11.25" customHeight="1" x14ac:dyDescent="0.2">
      <c r="A333" s="210">
        <v>2023</v>
      </c>
      <c r="B333" s="210">
        <v>3</v>
      </c>
      <c r="C333" s="210">
        <v>30</v>
      </c>
      <c r="D333" s="211">
        <f t="shared" si="28"/>
        <v>45015</v>
      </c>
      <c r="E333" s="238">
        <f t="shared" si="29"/>
        <v>45015</v>
      </c>
      <c r="F333" s="520" t="s">
        <v>1259</v>
      </c>
      <c r="G333" s="213" t="s">
        <v>1245</v>
      </c>
      <c r="H333" s="214"/>
      <c r="I333" s="214" t="s">
        <v>1253</v>
      </c>
      <c r="J333" s="210" t="s">
        <v>58</v>
      </c>
      <c r="K333" s="215">
        <v>12522.632900000001</v>
      </c>
      <c r="L333" s="215"/>
    </row>
    <row r="334" spans="1:12" ht="11.25" customHeight="1" x14ac:dyDescent="0.2">
      <c r="A334" s="216">
        <v>2023</v>
      </c>
      <c r="B334" s="216">
        <v>3</v>
      </c>
      <c r="C334" s="216">
        <v>30</v>
      </c>
      <c r="D334" s="217">
        <f t="shared" si="28"/>
        <v>45015</v>
      </c>
      <c r="E334" s="239">
        <f t="shared" si="29"/>
        <v>45015</v>
      </c>
      <c r="F334" s="521"/>
      <c r="G334" s="219" t="s">
        <v>1245</v>
      </c>
      <c r="H334" s="220"/>
      <c r="I334" s="220" t="s">
        <v>1253</v>
      </c>
      <c r="J334" s="216" t="s">
        <v>153</v>
      </c>
      <c r="K334" s="221"/>
      <c r="L334" s="221">
        <v>12522.632900000001</v>
      </c>
    </row>
    <row r="335" spans="1:12" ht="11.25" customHeight="1" x14ac:dyDescent="0.2">
      <c r="A335" s="210">
        <v>2023</v>
      </c>
      <c r="B335" s="210">
        <v>3</v>
      </c>
      <c r="C335" s="210">
        <v>30</v>
      </c>
      <c r="D335" s="211">
        <f t="shared" si="28"/>
        <v>45015</v>
      </c>
      <c r="E335" s="238">
        <f t="shared" si="29"/>
        <v>45015</v>
      </c>
      <c r="F335" s="520" t="s">
        <v>1255</v>
      </c>
      <c r="G335" s="213" t="s">
        <v>1245</v>
      </c>
      <c r="H335" s="214"/>
      <c r="I335" s="214" t="s">
        <v>1253</v>
      </c>
      <c r="J335" s="210" t="s">
        <v>113</v>
      </c>
      <c r="K335" s="215">
        <v>39215.686274509877</v>
      </c>
      <c r="L335" s="215"/>
    </row>
    <row r="336" spans="1:12" ht="11.25" customHeight="1" x14ac:dyDescent="0.2">
      <c r="A336" s="216">
        <v>2023</v>
      </c>
      <c r="B336" s="216">
        <v>3</v>
      </c>
      <c r="C336" s="216">
        <v>30</v>
      </c>
      <c r="D336" s="217">
        <f t="shared" si="28"/>
        <v>45015</v>
      </c>
      <c r="E336" s="239">
        <f t="shared" si="29"/>
        <v>45015</v>
      </c>
      <c r="F336" s="521"/>
      <c r="G336" s="219" t="s">
        <v>1245</v>
      </c>
      <c r="H336" s="220"/>
      <c r="I336" s="220" t="s">
        <v>1253</v>
      </c>
      <c r="J336" s="216" t="s">
        <v>153</v>
      </c>
      <c r="K336" s="221"/>
      <c r="L336" s="221">
        <v>39215.686274509877</v>
      </c>
    </row>
    <row r="337" spans="1:12" ht="11.25" customHeight="1" x14ac:dyDescent="0.2">
      <c r="A337" s="210">
        <v>2023</v>
      </c>
      <c r="B337" s="210">
        <v>3</v>
      </c>
      <c r="C337" s="210">
        <v>30</v>
      </c>
      <c r="D337" s="211">
        <f t="shared" si="28"/>
        <v>45015</v>
      </c>
      <c r="E337" s="238">
        <f t="shared" si="29"/>
        <v>45015</v>
      </c>
      <c r="F337" s="520" t="s">
        <v>1256</v>
      </c>
      <c r="G337" s="213" t="s">
        <v>1245</v>
      </c>
      <c r="H337" s="214"/>
      <c r="I337" s="214" t="s">
        <v>1253</v>
      </c>
      <c r="J337" s="210" t="s">
        <v>113</v>
      </c>
      <c r="K337" s="215">
        <v>26593.137254901889</v>
      </c>
      <c r="L337" s="215"/>
    </row>
    <row r="338" spans="1:12" ht="11.25" customHeight="1" x14ac:dyDescent="0.2">
      <c r="A338" s="216">
        <v>2023</v>
      </c>
      <c r="B338" s="216">
        <v>3</v>
      </c>
      <c r="C338" s="216">
        <v>30</v>
      </c>
      <c r="D338" s="217">
        <f t="shared" si="28"/>
        <v>45015</v>
      </c>
      <c r="E338" s="239">
        <f t="shared" si="29"/>
        <v>45015</v>
      </c>
      <c r="F338" s="521"/>
      <c r="G338" s="219" t="s">
        <v>1245</v>
      </c>
      <c r="H338" s="220"/>
      <c r="I338" s="220" t="s">
        <v>1253</v>
      </c>
      <c r="J338" s="216" t="s">
        <v>153</v>
      </c>
      <c r="K338" s="221"/>
      <c r="L338" s="221">
        <v>26593.137254901889</v>
      </c>
    </row>
    <row r="339" spans="1:12" ht="11.25" customHeight="1" x14ac:dyDescent="0.2">
      <c r="A339" s="210">
        <v>2023</v>
      </c>
      <c r="B339" s="210">
        <v>3</v>
      </c>
      <c r="C339" s="210">
        <v>30</v>
      </c>
      <c r="D339" s="211">
        <f t="shared" si="28"/>
        <v>45015</v>
      </c>
      <c r="E339" s="238">
        <f t="shared" si="29"/>
        <v>45015</v>
      </c>
      <c r="F339" s="520" t="s">
        <v>1257</v>
      </c>
      <c r="G339" s="213" t="s">
        <v>1245</v>
      </c>
      <c r="H339" s="214"/>
      <c r="I339" s="214" t="s">
        <v>1253</v>
      </c>
      <c r="J339" s="210" t="s">
        <v>113</v>
      </c>
      <c r="K339" s="215">
        <v>30392.156862745171</v>
      </c>
      <c r="L339" s="215"/>
    </row>
    <row r="340" spans="1:12" ht="11.25" customHeight="1" x14ac:dyDescent="0.2">
      <c r="A340" s="216">
        <v>2023</v>
      </c>
      <c r="B340" s="216">
        <v>3</v>
      </c>
      <c r="C340" s="216">
        <v>30</v>
      </c>
      <c r="D340" s="217">
        <f t="shared" si="28"/>
        <v>45015</v>
      </c>
      <c r="E340" s="239">
        <f t="shared" si="29"/>
        <v>45015</v>
      </c>
      <c r="F340" s="521"/>
      <c r="G340" s="219" t="s">
        <v>1245</v>
      </c>
      <c r="H340" s="220"/>
      <c r="I340" s="220" t="s">
        <v>1253</v>
      </c>
      <c r="J340" s="216" t="s">
        <v>153</v>
      </c>
      <c r="K340" s="221"/>
      <c r="L340" s="221">
        <v>30392.156862745171</v>
      </c>
    </row>
    <row r="341" spans="1:12" ht="11.25" customHeight="1" x14ac:dyDescent="0.2">
      <c r="A341" s="222">
        <v>2023</v>
      </c>
      <c r="B341" s="222">
        <v>3</v>
      </c>
      <c r="C341" s="222">
        <v>30</v>
      </c>
      <c r="D341" s="223">
        <f t="shared" si="28"/>
        <v>45015</v>
      </c>
      <c r="E341" s="240">
        <f t="shared" si="29"/>
        <v>45015</v>
      </c>
      <c r="F341" s="511" t="s">
        <v>1244</v>
      </c>
      <c r="G341" s="225" t="s">
        <v>1245</v>
      </c>
      <c r="H341" s="226"/>
      <c r="I341" s="226" t="s">
        <v>1253</v>
      </c>
      <c r="J341" s="222" t="s">
        <v>72</v>
      </c>
      <c r="K341" s="227">
        <v>747.40809524431825</v>
      </c>
      <c r="L341" s="227"/>
    </row>
    <row r="342" spans="1:12" ht="11.25" customHeight="1" x14ac:dyDescent="0.2">
      <c r="A342" s="228">
        <v>2023</v>
      </c>
      <c r="B342" s="228">
        <v>3</v>
      </c>
      <c r="C342" s="228">
        <v>30</v>
      </c>
      <c r="D342" s="229">
        <f t="shared" si="28"/>
        <v>45015</v>
      </c>
      <c r="E342" s="241">
        <f t="shared" si="29"/>
        <v>45015</v>
      </c>
      <c r="F342" s="512"/>
      <c r="G342" s="231" t="s">
        <v>1245</v>
      </c>
      <c r="H342" s="232"/>
      <c r="I342" s="232" t="s">
        <v>1253</v>
      </c>
      <c r="J342" s="228" t="s">
        <v>87</v>
      </c>
      <c r="K342" s="233"/>
      <c r="L342" s="233">
        <v>747.40809524431825</v>
      </c>
    </row>
    <row r="343" spans="1:12" ht="11.25" customHeight="1" x14ac:dyDescent="0.2">
      <c r="A343" s="222">
        <v>2023</v>
      </c>
      <c r="B343" s="222">
        <v>3</v>
      </c>
      <c r="C343" s="222">
        <v>30</v>
      </c>
      <c r="D343" s="223">
        <f t="shared" si="28"/>
        <v>45015</v>
      </c>
      <c r="E343" s="240">
        <f t="shared" si="29"/>
        <v>45015</v>
      </c>
      <c r="F343" s="511" t="s">
        <v>1246</v>
      </c>
      <c r="G343" s="225" t="s">
        <v>1245</v>
      </c>
      <c r="H343" s="226"/>
      <c r="I343" s="226" t="s">
        <v>1253</v>
      </c>
      <c r="J343" s="222" t="s">
        <v>75</v>
      </c>
      <c r="K343" s="227">
        <v>3846.1538461538462</v>
      </c>
      <c r="L343" s="227"/>
    </row>
    <row r="344" spans="1:12" ht="11.25" customHeight="1" x14ac:dyDescent="0.2">
      <c r="A344" s="228">
        <v>2023</v>
      </c>
      <c r="B344" s="228">
        <v>3</v>
      </c>
      <c r="C344" s="228">
        <v>30</v>
      </c>
      <c r="D344" s="229">
        <f t="shared" si="28"/>
        <v>45015</v>
      </c>
      <c r="E344" s="241">
        <f t="shared" si="29"/>
        <v>45015</v>
      </c>
      <c r="F344" s="512"/>
      <c r="G344" s="231" t="s">
        <v>1245</v>
      </c>
      <c r="H344" s="232"/>
      <c r="I344" s="232" t="s">
        <v>1253</v>
      </c>
      <c r="J344" s="228" t="s">
        <v>55</v>
      </c>
      <c r="K344" s="233"/>
      <c r="L344" s="233">
        <v>3846.1538461538462</v>
      </c>
    </row>
    <row r="345" spans="1:12" ht="11.25" customHeight="1" x14ac:dyDescent="0.2">
      <c r="A345" s="222">
        <v>2023</v>
      </c>
      <c r="B345" s="222">
        <v>3</v>
      </c>
      <c r="C345" s="222">
        <v>30</v>
      </c>
      <c r="D345" s="223">
        <f t="shared" si="28"/>
        <v>45015</v>
      </c>
      <c r="E345" s="240">
        <f t="shared" si="29"/>
        <v>45015</v>
      </c>
      <c r="F345" s="511" t="s">
        <v>1247</v>
      </c>
      <c r="G345" s="225" t="s">
        <v>1245</v>
      </c>
      <c r="H345" s="226"/>
      <c r="I345" s="226" t="s">
        <v>1253</v>
      </c>
      <c r="J345" s="222" t="s">
        <v>77</v>
      </c>
      <c r="K345" s="227">
        <v>20863.78244105171</v>
      </c>
      <c r="L345" s="227"/>
    </row>
    <row r="346" spans="1:12" ht="11.25" customHeight="1" x14ac:dyDescent="0.2">
      <c r="A346" s="228">
        <v>2023</v>
      </c>
      <c r="B346" s="228">
        <v>3</v>
      </c>
      <c r="C346" s="228">
        <v>30</v>
      </c>
      <c r="D346" s="229">
        <f t="shared" si="28"/>
        <v>45015</v>
      </c>
      <c r="E346" s="241">
        <f t="shared" si="29"/>
        <v>45015</v>
      </c>
      <c r="F346" s="512"/>
      <c r="G346" s="231" t="s">
        <v>1245</v>
      </c>
      <c r="H346" s="232"/>
      <c r="I346" s="232" t="s">
        <v>1253</v>
      </c>
      <c r="J346" s="228" t="s">
        <v>41</v>
      </c>
      <c r="K346" s="233"/>
      <c r="L346" s="233">
        <v>20863.78244105171</v>
      </c>
    </row>
    <row r="347" spans="1:12" ht="11.25" customHeight="1" x14ac:dyDescent="0.2">
      <c r="A347" s="222">
        <v>2023</v>
      </c>
      <c r="B347" s="222">
        <v>3</v>
      </c>
      <c r="C347" s="222">
        <v>30</v>
      </c>
      <c r="D347" s="223">
        <f t="shared" si="28"/>
        <v>45015</v>
      </c>
      <c r="E347" s="240">
        <f t="shared" si="29"/>
        <v>45015</v>
      </c>
      <c r="F347" s="511" t="s">
        <v>1248</v>
      </c>
      <c r="G347" s="225" t="s">
        <v>1245</v>
      </c>
      <c r="H347" s="226"/>
      <c r="I347" s="226" t="s">
        <v>1253</v>
      </c>
      <c r="J347" s="222" t="s">
        <v>80</v>
      </c>
      <c r="K347" s="227">
        <v>1043.1891220525854</v>
      </c>
      <c r="L347" s="227"/>
    </row>
    <row r="348" spans="1:12" ht="11.25" customHeight="1" x14ac:dyDescent="0.2">
      <c r="A348" s="228">
        <v>2023</v>
      </c>
      <c r="B348" s="228">
        <v>3</v>
      </c>
      <c r="C348" s="228">
        <v>30</v>
      </c>
      <c r="D348" s="229">
        <f t="shared" si="28"/>
        <v>45015</v>
      </c>
      <c r="E348" s="241">
        <f t="shared" si="29"/>
        <v>45015</v>
      </c>
      <c r="F348" s="512"/>
      <c r="G348" s="231" t="s">
        <v>1245</v>
      </c>
      <c r="H348" s="232"/>
      <c r="I348" s="232" t="s">
        <v>1253</v>
      </c>
      <c r="J348" s="228" t="s">
        <v>42</v>
      </c>
      <c r="K348" s="233"/>
      <c r="L348" s="233">
        <v>1043.1891220525854</v>
      </c>
    </row>
    <row r="349" spans="1:12" ht="11.25" customHeight="1" x14ac:dyDescent="0.2">
      <c r="A349" s="197">
        <v>2023</v>
      </c>
      <c r="B349" s="197">
        <v>4</v>
      </c>
      <c r="C349" s="197">
        <v>2</v>
      </c>
      <c r="D349" s="198">
        <f t="shared" si="28"/>
        <v>45018</v>
      </c>
      <c r="E349" s="199">
        <f t="shared" si="29"/>
        <v>45018</v>
      </c>
      <c r="F349" s="513" t="s">
        <v>1280</v>
      </c>
      <c r="G349" s="200" t="s">
        <v>1209</v>
      </c>
      <c r="H349" s="201"/>
      <c r="I349" s="201" t="s">
        <v>520</v>
      </c>
      <c r="J349" s="197" t="s">
        <v>16</v>
      </c>
      <c r="K349" s="202">
        <v>2600000</v>
      </c>
      <c r="L349" s="202"/>
    </row>
    <row r="350" spans="1:12" ht="11.25" customHeight="1" x14ac:dyDescent="0.2">
      <c r="A350" s="120">
        <v>2023</v>
      </c>
      <c r="B350" s="120">
        <v>4</v>
      </c>
      <c r="C350" s="120">
        <v>2</v>
      </c>
      <c r="D350" s="208">
        <f t="shared" si="28"/>
        <v>45018</v>
      </c>
      <c r="E350" s="209">
        <f t="shared" si="29"/>
        <v>45018</v>
      </c>
      <c r="F350" s="515"/>
      <c r="G350" s="132" t="s">
        <v>1209</v>
      </c>
      <c r="I350" s="128" t="s">
        <v>520</v>
      </c>
      <c r="J350" s="120" t="s">
        <v>47</v>
      </c>
      <c r="K350" s="207">
        <v>20425</v>
      </c>
      <c r="L350" s="207"/>
    </row>
    <row r="351" spans="1:12" ht="11.25" customHeight="1" x14ac:dyDescent="0.2">
      <c r="A351" s="191">
        <v>2023</v>
      </c>
      <c r="B351" s="191">
        <v>4</v>
      </c>
      <c r="C351" s="191">
        <v>2</v>
      </c>
      <c r="D351" s="192">
        <f t="shared" si="28"/>
        <v>45018</v>
      </c>
      <c r="E351" s="193">
        <f t="shared" si="29"/>
        <v>45018</v>
      </c>
      <c r="F351" s="514"/>
      <c r="G351" s="194" t="s">
        <v>1209</v>
      </c>
      <c r="H351" s="195"/>
      <c r="I351" s="195" t="s">
        <v>520</v>
      </c>
      <c r="J351" s="191" t="s">
        <v>46</v>
      </c>
      <c r="K351" s="196"/>
      <c r="L351" s="196">
        <v>2620425</v>
      </c>
    </row>
    <row r="352" spans="1:12" ht="11.25" customHeight="1" x14ac:dyDescent="0.2">
      <c r="A352" s="197">
        <v>2023</v>
      </c>
      <c r="B352" s="197">
        <v>4</v>
      </c>
      <c r="C352" s="197">
        <v>2</v>
      </c>
      <c r="D352" s="198">
        <f t="shared" si="28"/>
        <v>45018</v>
      </c>
      <c r="E352" s="199">
        <f t="shared" si="29"/>
        <v>45018</v>
      </c>
      <c r="F352" s="513" t="s">
        <v>1281</v>
      </c>
      <c r="G352" s="200" t="s">
        <v>1209</v>
      </c>
      <c r="H352" s="201"/>
      <c r="I352" s="201"/>
      <c r="J352" s="197" t="s">
        <v>54</v>
      </c>
      <c r="K352" s="202">
        <v>100</v>
      </c>
      <c r="L352" s="202"/>
    </row>
    <row r="353" spans="1:13" ht="11.25" customHeight="1" x14ac:dyDescent="0.2">
      <c r="A353" s="191">
        <v>2023</v>
      </c>
      <c r="B353" s="191">
        <v>4</v>
      </c>
      <c r="C353" s="191">
        <v>2</v>
      </c>
      <c r="D353" s="192">
        <f t="shared" si="28"/>
        <v>45018</v>
      </c>
      <c r="E353" s="193">
        <f t="shared" si="29"/>
        <v>45018</v>
      </c>
      <c r="F353" s="514"/>
      <c r="G353" s="194" t="s">
        <v>1209</v>
      </c>
      <c r="H353" s="195"/>
      <c r="I353" s="195"/>
      <c r="J353" s="191" t="s">
        <v>46</v>
      </c>
      <c r="K353" s="196"/>
      <c r="L353" s="196">
        <v>100</v>
      </c>
    </row>
    <row r="354" spans="1:13" ht="11.25" customHeight="1" x14ac:dyDescent="0.2">
      <c r="A354" s="197">
        <v>2023</v>
      </c>
      <c r="B354" s="197">
        <v>4</v>
      </c>
      <c r="C354" s="197">
        <v>2</v>
      </c>
      <c r="D354" s="198">
        <f t="shared" si="28"/>
        <v>45018</v>
      </c>
      <c r="E354" s="199">
        <f t="shared" ref="E354:E360" si="30">DATE(A354,B354,C354)</f>
        <v>45018</v>
      </c>
      <c r="F354" s="513" t="s">
        <v>1280</v>
      </c>
      <c r="G354" s="200" t="s">
        <v>1209</v>
      </c>
      <c r="H354" s="201"/>
      <c r="I354" s="201" t="s">
        <v>389</v>
      </c>
      <c r="J354" s="197" t="s">
        <v>16</v>
      </c>
      <c r="K354" s="202">
        <v>1000000</v>
      </c>
      <c r="L354" s="202"/>
    </row>
    <row r="355" spans="1:13" ht="11.25" customHeight="1" x14ac:dyDescent="0.2">
      <c r="A355" s="191">
        <v>2023</v>
      </c>
      <c r="B355" s="191">
        <v>4</v>
      </c>
      <c r="C355" s="191">
        <v>2</v>
      </c>
      <c r="D355" s="192">
        <f t="shared" si="28"/>
        <v>45018</v>
      </c>
      <c r="E355" s="193">
        <f t="shared" si="30"/>
        <v>45018</v>
      </c>
      <c r="F355" s="514"/>
      <c r="G355" s="194" t="s">
        <v>1209</v>
      </c>
      <c r="H355" s="195"/>
      <c r="I355" s="195" t="s">
        <v>389</v>
      </c>
      <c r="J355" s="191" t="s">
        <v>46</v>
      </c>
      <c r="K355" s="196"/>
      <c r="L355" s="196">
        <v>1000000</v>
      </c>
    </row>
    <row r="356" spans="1:13" ht="11.25" customHeight="1" x14ac:dyDescent="0.2">
      <c r="A356" s="197">
        <v>2023</v>
      </c>
      <c r="B356" s="197">
        <v>4</v>
      </c>
      <c r="C356" s="197">
        <v>2</v>
      </c>
      <c r="D356" s="198">
        <f t="shared" si="28"/>
        <v>45018</v>
      </c>
      <c r="E356" s="209">
        <f t="shared" si="30"/>
        <v>45018</v>
      </c>
      <c r="F356" s="513" t="s">
        <v>1210</v>
      </c>
      <c r="G356" s="200" t="s">
        <v>1209</v>
      </c>
      <c r="H356" s="201"/>
      <c r="I356" s="201" t="s">
        <v>299</v>
      </c>
      <c r="J356" s="197" t="s">
        <v>46</v>
      </c>
      <c r="K356" s="202">
        <v>2500</v>
      </c>
      <c r="L356" s="202"/>
      <c r="M356" s="251"/>
    </row>
    <row r="357" spans="1:13" ht="11.25" customHeight="1" x14ac:dyDescent="0.2">
      <c r="A357" s="120">
        <v>2023</v>
      </c>
      <c r="B357" s="120">
        <v>4</v>
      </c>
      <c r="C357" s="120">
        <v>2</v>
      </c>
      <c r="D357" s="208">
        <f t="shared" si="28"/>
        <v>45018</v>
      </c>
      <c r="E357" s="209">
        <f t="shared" si="30"/>
        <v>45018</v>
      </c>
      <c r="F357" s="515"/>
      <c r="G357" s="132" t="s">
        <v>1209</v>
      </c>
      <c r="I357" s="128" t="s">
        <v>299</v>
      </c>
      <c r="J357" s="120" t="s">
        <v>16</v>
      </c>
      <c r="K357" s="207"/>
      <c r="L357" s="207">
        <v>2480</v>
      </c>
    </row>
    <row r="358" spans="1:13" ht="11.25" customHeight="1" x14ac:dyDescent="0.2">
      <c r="A358" s="191">
        <v>2023</v>
      </c>
      <c r="B358" s="191">
        <v>4</v>
      </c>
      <c r="C358" s="191">
        <v>2</v>
      </c>
      <c r="D358" s="192">
        <f t="shared" si="28"/>
        <v>45018</v>
      </c>
      <c r="E358" s="193">
        <f t="shared" si="30"/>
        <v>45018</v>
      </c>
      <c r="F358" s="514"/>
      <c r="G358" s="194" t="s">
        <v>1209</v>
      </c>
      <c r="H358" s="195"/>
      <c r="I358" s="195" t="s">
        <v>299</v>
      </c>
      <c r="J358" s="191" t="s">
        <v>47</v>
      </c>
      <c r="K358" s="196"/>
      <c r="L358" s="196">
        <v>20</v>
      </c>
    </row>
    <row r="359" spans="1:13" ht="11.25" customHeight="1" x14ac:dyDescent="0.2">
      <c r="A359" s="197">
        <v>2023</v>
      </c>
      <c r="B359" s="197">
        <v>4</v>
      </c>
      <c r="C359" s="197">
        <v>3</v>
      </c>
      <c r="D359" s="198">
        <f t="shared" si="28"/>
        <v>45019</v>
      </c>
      <c r="E359" s="199">
        <f t="shared" si="30"/>
        <v>45019</v>
      </c>
      <c r="F359" s="513" t="s">
        <v>1314</v>
      </c>
      <c r="G359" s="200" t="s">
        <v>1209</v>
      </c>
      <c r="H359" s="201"/>
      <c r="I359" s="201"/>
      <c r="J359" s="197" t="s">
        <v>54</v>
      </c>
      <c r="K359" s="202">
        <v>345</v>
      </c>
      <c r="L359" s="202"/>
    </row>
    <row r="360" spans="1:13" ht="11.25" customHeight="1" x14ac:dyDescent="0.2">
      <c r="A360" s="191">
        <v>2023</v>
      </c>
      <c r="B360" s="191">
        <v>4</v>
      </c>
      <c r="C360" s="191">
        <v>3</v>
      </c>
      <c r="D360" s="192">
        <f t="shared" si="28"/>
        <v>45019</v>
      </c>
      <c r="E360" s="193">
        <f t="shared" si="30"/>
        <v>45019</v>
      </c>
      <c r="F360" s="514"/>
      <c r="G360" s="194" t="s">
        <v>1209</v>
      </c>
      <c r="H360" s="195"/>
      <c r="I360" s="195"/>
      <c r="J360" s="191" t="s">
        <v>46</v>
      </c>
      <c r="K360" s="196"/>
      <c r="L360" s="196">
        <v>345</v>
      </c>
    </row>
    <row r="361" spans="1:13" ht="11.25" customHeight="1" x14ac:dyDescent="0.2">
      <c r="A361" s="197">
        <v>2023</v>
      </c>
      <c r="B361" s="197">
        <v>4</v>
      </c>
      <c r="C361" s="197">
        <v>4</v>
      </c>
      <c r="D361" s="198">
        <f t="shared" si="28"/>
        <v>45020</v>
      </c>
      <c r="E361" s="199">
        <f t="shared" si="29"/>
        <v>45020</v>
      </c>
      <c r="F361" s="513" t="s">
        <v>1280</v>
      </c>
      <c r="G361" s="200" t="s">
        <v>1209</v>
      </c>
      <c r="H361" s="201"/>
      <c r="I361" s="201" t="s">
        <v>341</v>
      </c>
      <c r="J361" s="197" t="s">
        <v>16</v>
      </c>
      <c r="K361" s="202">
        <v>4500000</v>
      </c>
      <c r="L361" s="202"/>
    </row>
    <row r="362" spans="1:13" ht="11.25" customHeight="1" x14ac:dyDescent="0.2">
      <c r="A362" s="191">
        <v>2023</v>
      </c>
      <c r="B362" s="191">
        <v>4</v>
      </c>
      <c r="C362" s="191">
        <v>4</v>
      </c>
      <c r="D362" s="192">
        <f t="shared" si="28"/>
        <v>45020</v>
      </c>
      <c r="E362" s="193">
        <f t="shared" si="29"/>
        <v>45020</v>
      </c>
      <c r="F362" s="514"/>
      <c r="G362" s="194" t="s">
        <v>1209</v>
      </c>
      <c r="H362" s="195"/>
      <c r="I362" s="195" t="s">
        <v>341</v>
      </c>
      <c r="J362" s="191" t="s">
        <v>46</v>
      </c>
      <c r="K362" s="196"/>
      <c r="L362" s="196">
        <v>4500000</v>
      </c>
    </row>
    <row r="363" spans="1:13" ht="11.25" customHeight="1" x14ac:dyDescent="0.2">
      <c r="A363" s="197">
        <v>2023</v>
      </c>
      <c r="B363" s="197">
        <v>4</v>
      </c>
      <c r="C363" s="197">
        <v>4</v>
      </c>
      <c r="D363" s="198">
        <f t="shared" si="28"/>
        <v>45020</v>
      </c>
      <c r="E363" s="199">
        <f t="shared" si="29"/>
        <v>45020</v>
      </c>
      <c r="F363" s="535" t="s">
        <v>1289</v>
      </c>
      <c r="G363" s="200" t="s">
        <v>1209</v>
      </c>
      <c r="H363" s="201"/>
      <c r="I363" s="201" t="s">
        <v>1253</v>
      </c>
      <c r="J363" s="197" t="s">
        <v>76</v>
      </c>
      <c r="K363" s="202">
        <v>2000000</v>
      </c>
      <c r="L363" s="202"/>
    </row>
    <row r="364" spans="1:13" ht="11.25" customHeight="1" x14ac:dyDescent="0.2">
      <c r="A364" s="191">
        <v>2023</v>
      </c>
      <c r="B364" s="191">
        <v>4</v>
      </c>
      <c r="C364" s="191">
        <v>4</v>
      </c>
      <c r="D364" s="192">
        <f t="shared" si="28"/>
        <v>45020</v>
      </c>
      <c r="E364" s="193">
        <f t="shared" si="29"/>
        <v>45020</v>
      </c>
      <c r="F364" s="536"/>
      <c r="G364" s="194" t="s">
        <v>1209</v>
      </c>
      <c r="H364" s="195"/>
      <c r="I364" s="195" t="s">
        <v>1253</v>
      </c>
      <c r="J364" s="191" t="s">
        <v>46</v>
      </c>
      <c r="K364" s="196"/>
      <c r="L364" s="196">
        <v>2000000</v>
      </c>
    </row>
    <row r="365" spans="1:13" ht="11.25" customHeight="1" x14ac:dyDescent="0.2">
      <c r="A365" s="197">
        <v>2023</v>
      </c>
      <c r="B365" s="197">
        <v>4</v>
      </c>
      <c r="C365" s="197">
        <v>4</v>
      </c>
      <c r="D365" s="198">
        <f t="shared" si="28"/>
        <v>45020</v>
      </c>
      <c r="E365" s="199">
        <f t="shared" ref="E365:E404" si="31">DATE(A365,B365,C365)</f>
        <v>45020</v>
      </c>
      <c r="F365" s="535" t="s">
        <v>1288</v>
      </c>
      <c r="G365" s="200" t="s">
        <v>1209</v>
      </c>
      <c r="H365" s="201"/>
      <c r="I365" s="201" t="s">
        <v>1253</v>
      </c>
      <c r="J365" s="197" t="s">
        <v>76</v>
      </c>
      <c r="K365" s="202">
        <v>3000000</v>
      </c>
      <c r="L365" s="202"/>
    </row>
    <row r="366" spans="1:13" ht="11.25" customHeight="1" x14ac:dyDescent="0.2">
      <c r="A366" s="191">
        <v>2023</v>
      </c>
      <c r="B366" s="191">
        <v>4</v>
      </c>
      <c r="C366" s="191">
        <v>4</v>
      </c>
      <c r="D366" s="192">
        <f t="shared" si="28"/>
        <v>45020</v>
      </c>
      <c r="E366" s="193">
        <f t="shared" si="31"/>
        <v>45020</v>
      </c>
      <c r="F366" s="536"/>
      <c r="G366" s="194" t="s">
        <v>1209</v>
      </c>
      <c r="H366" s="195"/>
      <c r="I366" s="195" t="s">
        <v>1253</v>
      </c>
      <c r="J366" s="191" t="s">
        <v>46</v>
      </c>
      <c r="K366" s="196"/>
      <c r="L366" s="196">
        <v>3000000</v>
      </c>
    </row>
    <row r="367" spans="1:13" ht="11.25" customHeight="1" x14ac:dyDescent="0.2">
      <c r="A367" s="197">
        <v>2023</v>
      </c>
      <c r="B367" s="120">
        <v>4</v>
      </c>
      <c r="C367" s="120">
        <v>5</v>
      </c>
      <c r="D367" s="198">
        <f t="shared" si="28"/>
        <v>45021</v>
      </c>
      <c r="E367" s="199">
        <f t="shared" si="31"/>
        <v>45021</v>
      </c>
      <c r="F367" s="513" t="s">
        <v>1292</v>
      </c>
      <c r="G367" s="200" t="s">
        <v>1209</v>
      </c>
      <c r="H367" s="200"/>
      <c r="I367" s="201" t="s">
        <v>1253</v>
      </c>
      <c r="J367" s="248" t="s">
        <v>175</v>
      </c>
      <c r="K367" s="202">
        <v>680000</v>
      </c>
      <c r="L367" s="202"/>
    </row>
    <row r="368" spans="1:13" ht="11.25" customHeight="1" x14ac:dyDescent="0.2">
      <c r="A368" s="120">
        <v>2023</v>
      </c>
      <c r="B368" s="120">
        <v>4</v>
      </c>
      <c r="C368" s="120">
        <v>5</v>
      </c>
      <c r="D368" s="198">
        <f t="shared" si="28"/>
        <v>45021</v>
      </c>
      <c r="E368" s="209">
        <f t="shared" si="31"/>
        <v>45021</v>
      </c>
      <c r="F368" s="515"/>
      <c r="G368" s="132" t="s">
        <v>1209</v>
      </c>
      <c r="H368" s="132"/>
      <c r="I368" s="128" t="s">
        <v>1253</v>
      </c>
      <c r="J368" s="129" t="s">
        <v>176</v>
      </c>
      <c r="K368" s="207">
        <v>3000</v>
      </c>
      <c r="L368" s="207"/>
    </row>
    <row r="369" spans="1:13" ht="11.25" customHeight="1" x14ac:dyDescent="0.2">
      <c r="A369" s="120">
        <v>2023</v>
      </c>
      <c r="B369" s="120">
        <v>4</v>
      </c>
      <c r="C369" s="120">
        <v>5</v>
      </c>
      <c r="D369" s="198">
        <f t="shared" si="28"/>
        <v>45021</v>
      </c>
      <c r="E369" s="209">
        <f t="shared" si="31"/>
        <v>45021</v>
      </c>
      <c r="F369" s="515"/>
      <c r="G369" s="132" t="s">
        <v>1209</v>
      </c>
      <c r="H369" s="132"/>
      <c r="J369" s="129" t="s">
        <v>54</v>
      </c>
      <c r="K369" s="207">
        <v>115</v>
      </c>
      <c r="L369" s="207"/>
    </row>
    <row r="370" spans="1:13" ht="11.25" customHeight="1" x14ac:dyDescent="0.2">
      <c r="A370" s="191">
        <v>2023</v>
      </c>
      <c r="B370" s="191">
        <v>4</v>
      </c>
      <c r="C370" s="191">
        <v>5</v>
      </c>
      <c r="D370" s="249">
        <f t="shared" si="28"/>
        <v>45021</v>
      </c>
      <c r="E370" s="209">
        <f t="shared" si="31"/>
        <v>45021</v>
      </c>
      <c r="F370" s="514"/>
      <c r="G370" s="194" t="s">
        <v>1209</v>
      </c>
      <c r="H370" s="194"/>
      <c r="I370" s="195" t="s">
        <v>1253</v>
      </c>
      <c r="J370" s="250" t="s">
        <v>46</v>
      </c>
      <c r="K370" s="196"/>
      <c r="L370" s="196">
        <v>683115</v>
      </c>
      <c r="M370" s="251"/>
    </row>
    <row r="371" spans="1:13" ht="11.25" customHeight="1" x14ac:dyDescent="0.2">
      <c r="A371" s="197">
        <v>2023</v>
      </c>
      <c r="B371" s="197">
        <v>4</v>
      </c>
      <c r="C371" s="197">
        <v>5</v>
      </c>
      <c r="D371" s="198">
        <f t="shared" si="28"/>
        <v>45021</v>
      </c>
      <c r="E371" s="199">
        <f t="shared" si="31"/>
        <v>45021</v>
      </c>
      <c r="F371" s="513" t="s">
        <v>1394</v>
      </c>
      <c r="G371" s="200" t="s">
        <v>1209</v>
      </c>
      <c r="H371" s="200"/>
      <c r="I371" s="201" t="s">
        <v>1253</v>
      </c>
      <c r="J371" s="248" t="s">
        <v>1392</v>
      </c>
      <c r="K371" s="202">
        <v>57987.8</v>
      </c>
      <c r="L371" s="202"/>
      <c r="M371" s="251"/>
    </row>
    <row r="372" spans="1:13" ht="11.25" customHeight="1" x14ac:dyDescent="0.2">
      <c r="A372" s="191">
        <v>2023</v>
      </c>
      <c r="B372" s="191">
        <v>4</v>
      </c>
      <c r="C372" s="191">
        <v>5</v>
      </c>
      <c r="D372" s="198">
        <f t="shared" si="28"/>
        <v>45021</v>
      </c>
      <c r="E372" s="193">
        <f t="shared" si="31"/>
        <v>45021</v>
      </c>
      <c r="F372" s="514"/>
      <c r="G372" s="194" t="s">
        <v>1209</v>
      </c>
      <c r="H372" s="194"/>
      <c r="I372" s="195" t="s">
        <v>1253</v>
      </c>
      <c r="J372" s="250" t="s">
        <v>46</v>
      </c>
      <c r="K372" s="196"/>
      <c r="L372" s="196">
        <v>57987.8</v>
      </c>
      <c r="M372" s="251"/>
    </row>
    <row r="373" spans="1:13" ht="11.25" customHeight="1" x14ac:dyDescent="0.2">
      <c r="A373" s="197">
        <v>2023</v>
      </c>
      <c r="B373" s="197">
        <v>4</v>
      </c>
      <c r="C373" s="197">
        <v>5</v>
      </c>
      <c r="D373" s="198">
        <f t="shared" si="28"/>
        <v>45021</v>
      </c>
      <c r="E373" s="209">
        <f t="shared" si="31"/>
        <v>45021</v>
      </c>
      <c r="F373" s="513" t="s">
        <v>1210</v>
      </c>
      <c r="G373" s="200" t="s">
        <v>1209</v>
      </c>
      <c r="H373" s="201"/>
      <c r="I373" s="201"/>
      <c r="J373" s="197" t="s">
        <v>46</v>
      </c>
      <c r="K373" s="202">
        <v>88000</v>
      </c>
      <c r="L373" s="202"/>
      <c r="M373" s="251"/>
    </row>
    <row r="374" spans="1:13" ht="11.25" customHeight="1" x14ac:dyDescent="0.2">
      <c r="A374" s="120">
        <v>2023</v>
      </c>
      <c r="B374" s="120">
        <v>4</v>
      </c>
      <c r="C374" s="120">
        <v>5</v>
      </c>
      <c r="D374" s="208">
        <f t="shared" si="28"/>
        <v>45021</v>
      </c>
      <c r="E374" s="209">
        <f t="shared" si="31"/>
        <v>45021</v>
      </c>
      <c r="F374" s="515"/>
      <c r="G374" s="132" t="s">
        <v>1209</v>
      </c>
      <c r="J374" s="120" t="s">
        <v>16</v>
      </c>
      <c r="K374" s="207"/>
      <c r="L374" s="207">
        <v>87310</v>
      </c>
    </row>
    <row r="375" spans="1:13" ht="11.25" customHeight="1" x14ac:dyDescent="0.2">
      <c r="A375" s="191">
        <v>2023</v>
      </c>
      <c r="B375" s="191">
        <v>4</v>
      </c>
      <c r="C375" s="191">
        <v>5</v>
      </c>
      <c r="D375" s="192">
        <f t="shared" si="28"/>
        <v>45021</v>
      </c>
      <c r="E375" s="193">
        <f t="shared" si="31"/>
        <v>45021</v>
      </c>
      <c r="F375" s="514"/>
      <c r="G375" s="194" t="s">
        <v>1209</v>
      </c>
      <c r="H375" s="195"/>
      <c r="I375" s="195"/>
      <c r="J375" s="191" t="s">
        <v>47</v>
      </c>
      <c r="K375" s="196"/>
      <c r="L375" s="196">
        <v>690</v>
      </c>
    </row>
    <row r="376" spans="1:13" ht="11.25" customHeight="1" x14ac:dyDescent="0.2">
      <c r="A376" s="210">
        <v>2023</v>
      </c>
      <c r="B376" s="210">
        <v>4</v>
      </c>
      <c r="C376" s="210">
        <v>6</v>
      </c>
      <c r="D376" s="211">
        <f t="shared" si="28"/>
        <v>45022</v>
      </c>
      <c r="E376" s="238">
        <f t="shared" si="31"/>
        <v>45022</v>
      </c>
      <c r="F376" s="520" t="s">
        <v>1278</v>
      </c>
      <c r="G376" s="213" t="s">
        <v>1245</v>
      </c>
      <c r="H376" s="214"/>
      <c r="I376" s="214" t="s">
        <v>1253</v>
      </c>
      <c r="J376" s="210" t="s">
        <v>1529</v>
      </c>
      <c r="K376" s="215">
        <v>7032.2624999999998</v>
      </c>
      <c r="L376" s="215"/>
    </row>
    <row r="377" spans="1:13" ht="11.25" customHeight="1" x14ac:dyDescent="0.2">
      <c r="A377" s="216">
        <v>2023</v>
      </c>
      <c r="B377" s="216">
        <v>4</v>
      </c>
      <c r="C377" s="216">
        <v>6</v>
      </c>
      <c r="D377" s="217">
        <f t="shared" si="28"/>
        <v>45022</v>
      </c>
      <c r="E377" s="239">
        <f t="shared" si="31"/>
        <v>45022</v>
      </c>
      <c r="F377" s="521"/>
      <c r="G377" s="219" t="s">
        <v>1245</v>
      </c>
      <c r="H377" s="220"/>
      <c r="I377" s="220" t="s">
        <v>1253</v>
      </c>
      <c r="J377" s="216" t="s">
        <v>153</v>
      </c>
      <c r="K377" s="221"/>
      <c r="L377" s="221">
        <v>7032.2624999999998</v>
      </c>
    </row>
    <row r="378" spans="1:13" ht="11.25" customHeight="1" x14ac:dyDescent="0.2">
      <c r="A378" s="210">
        <v>2023</v>
      </c>
      <c r="B378" s="210">
        <v>4</v>
      </c>
      <c r="C378" s="210">
        <v>6</v>
      </c>
      <c r="D378" s="211">
        <f t="shared" si="28"/>
        <v>45022</v>
      </c>
      <c r="E378" s="238">
        <f t="shared" si="31"/>
        <v>45022</v>
      </c>
      <c r="F378" s="520" t="s">
        <v>1285</v>
      </c>
      <c r="G378" s="213" t="s">
        <v>1245</v>
      </c>
      <c r="H378" s="214"/>
      <c r="I378" s="214" t="s">
        <v>1253</v>
      </c>
      <c r="J378" s="210" t="s">
        <v>1284</v>
      </c>
      <c r="K378" s="215">
        <v>15398.28</v>
      </c>
      <c r="L378" s="215"/>
    </row>
    <row r="379" spans="1:13" ht="11.25" customHeight="1" x14ac:dyDescent="0.2">
      <c r="A379" s="242">
        <v>2023</v>
      </c>
      <c r="B379" s="216">
        <v>4</v>
      </c>
      <c r="C379" s="216">
        <v>6</v>
      </c>
      <c r="D379" s="243">
        <f t="shared" si="28"/>
        <v>45022</v>
      </c>
      <c r="E379" s="244">
        <f>DATE(A379,B379,C379)</f>
        <v>45022</v>
      </c>
      <c r="F379" s="524"/>
      <c r="G379" s="245" t="s">
        <v>1245</v>
      </c>
      <c r="H379" s="246"/>
      <c r="I379" s="246"/>
      <c r="J379" s="242" t="s">
        <v>1582</v>
      </c>
      <c r="K379" s="247"/>
      <c r="L379" s="247">
        <v>15398.28</v>
      </c>
    </row>
    <row r="380" spans="1:13" ht="11.25" customHeight="1" x14ac:dyDescent="0.2">
      <c r="A380" s="210">
        <v>2023</v>
      </c>
      <c r="B380" s="210">
        <v>4</v>
      </c>
      <c r="C380" s="210">
        <v>6</v>
      </c>
      <c r="D380" s="211">
        <f t="shared" si="28"/>
        <v>45022</v>
      </c>
      <c r="E380" s="238">
        <f t="shared" si="31"/>
        <v>45022</v>
      </c>
      <c r="F380" s="520" t="s">
        <v>1259</v>
      </c>
      <c r="G380" s="213" t="s">
        <v>1245</v>
      </c>
      <c r="H380" s="214"/>
      <c r="I380" s="214" t="s">
        <v>1253</v>
      </c>
      <c r="J380" s="210" t="s">
        <v>58</v>
      </c>
      <c r="K380" s="215">
        <v>9547.7000000000007</v>
      </c>
      <c r="L380" s="215"/>
    </row>
    <row r="381" spans="1:13" ht="11.25" customHeight="1" x14ac:dyDescent="0.2">
      <c r="A381" s="216">
        <v>2023</v>
      </c>
      <c r="B381" s="216">
        <v>4</v>
      </c>
      <c r="C381" s="216">
        <v>6</v>
      </c>
      <c r="D381" s="217">
        <f t="shared" si="28"/>
        <v>45022</v>
      </c>
      <c r="E381" s="239">
        <f t="shared" si="31"/>
        <v>45022</v>
      </c>
      <c r="F381" s="521"/>
      <c r="G381" s="219" t="s">
        <v>1245</v>
      </c>
      <c r="H381" s="220"/>
      <c r="I381" s="220" t="s">
        <v>1253</v>
      </c>
      <c r="J381" s="216" t="s">
        <v>153</v>
      </c>
      <c r="K381" s="221"/>
      <c r="L381" s="221">
        <v>9547.7000000000007</v>
      </c>
    </row>
    <row r="382" spans="1:13" ht="11.25" customHeight="1" x14ac:dyDescent="0.2">
      <c r="A382" s="210">
        <v>2023</v>
      </c>
      <c r="B382" s="210">
        <v>4</v>
      </c>
      <c r="C382" s="210">
        <v>6</v>
      </c>
      <c r="D382" s="211">
        <f t="shared" si="28"/>
        <v>45022</v>
      </c>
      <c r="E382" s="238">
        <f t="shared" si="31"/>
        <v>45022</v>
      </c>
      <c r="F382" s="520" t="s">
        <v>1255</v>
      </c>
      <c r="G382" s="213" t="s">
        <v>1245</v>
      </c>
      <c r="H382" s="214"/>
      <c r="I382" s="214" t="s">
        <v>1253</v>
      </c>
      <c r="J382" s="210" t="s">
        <v>113</v>
      </c>
      <c r="K382" s="215">
        <v>43831.07</v>
      </c>
      <c r="L382" s="215"/>
    </row>
    <row r="383" spans="1:13" ht="11.25" customHeight="1" x14ac:dyDescent="0.2">
      <c r="A383" s="216">
        <v>2023</v>
      </c>
      <c r="B383" s="216">
        <v>4</v>
      </c>
      <c r="C383" s="216">
        <v>6</v>
      </c>
      <c r="D383" s="217">
        <f t="shared" si="28"/>
        <v>45022</v>
      </c>
      <c r="E383" s="239">
        <f t="shared" si="31"/>
        <v>45022</v>
      </c>
      <c r="F383" s="521"/>
      <c r="G383" s="219" t="s">
        <v>1245</v>
      </c>
      <c r="H383" s="220"/>
      <c r="I383" s="220" t="s">
        <v>1253</v>
      </c>
      <c r="J383" s="216" t="s">
        <v>153</v>
      </c>
      <c r="K383" s="221"/>
      <c r="L383" s="221">
        <v>43831.07</v>
      </c>
    </row>
    <row r="384" spans="1:13" ht="11.25" customHeight="1" x14ac:dyDescent="0.2">
      <c r="A384" s="210">
        <v>2023</v>
      </c>
      <c r="B384" s="210">
        <v>4</v>
      </c>
      <c r="C384" s="210">
        <v>6</v>
      </c>
      <c r="D384" s="211">
        <f t="shared" si="28"/>
        <v>45022</v>
      </c>
      <c r="E384" s="238">
        <f t="shared" si="31"/>
        <v>45022</v>
      </c>
      <c r="F384" s="520" t="s">
        <v>1256</v>
      </c>
      <c r="G384" s="213" t="s">
        <v>1245</v>
      </c>
      <c r="H384" s="214"/>
      <c r="I384" s="214" t="s">
        <v>1253</v>
      </c>
      <c r="J384" s="210" t="s">
        <v>113</v>
      </c>
      <c r="K384" s="215">
        <v>29573.91</v>
      </c>
      <c r="L384" s="215"/>
    </row>
    <row r="385" spans="1:13" ht="11.25" customHeight="1" x14ac:dyDescent="0.2">
      <c r="A385" s="216">
        <v>2023</v>
      </c>
      <c r="B385" s="216">
        <v>4</v>
      </c>
      <c r="C385" s="216">
        <v>6</v>
      </c>
      <c r="D385" s="217">
        <f t="shared" ref="D385:D444" si="32">DATE(A385,B385,C385)</f>
        <v>45022</v>
      </c>
      <c r="E385" s="239">
        <f t="shared" si="31"/>
        <v>45022</v>
      </c>
      <c r="F385" s="521"/>
      <c r="G385" s="219" t="s">
        <v>1245</v>
      </c>
      <c r="H385" s="220"/>
      <c r="I385" s="220" t="s">
        <v>1253</v>
      </c>
      <c r="J385" s="216" t="s">
        <v>153</v>
      </c>
      <c r="K385" s="221"/>
      <c r="L385" s="221">
        <v>29573.91</v>
      </c>
    </row>
    <row r="386" spans="1:13" ht="11.25" customHeight="1" x14ac:dyDescent="0.2">
      <c r="A386" s="210">
        <v>2023</v>
      </c>
      <c r="B386" s="210">
        <v>4</v>
      </c>
      <c r="C386" s="210">
        <v>6</v>
      </c>
      <c r="D386" s="211">
        <f t="shared" si="32"/>
        <v>45022</v>
      </c>
      <c r="E386" s="238">
        <f t="shared" si="31"/>
        <v>45022</v>
      </c>
      <c r="F386" s="520" t="s">
        <v>1257</v>
      </c>
      <c r="G386" s="213" t="s">
        <v>1245</v>
      </c>
      <c r="H386" s="214"/>
      <c r="I386" s="214" t="s">
        <v>1253</v>
      </c>
      <c r="J386" s="210" t="s">
        <v>113</v>
      </c>
      <c r="K386" s="215">
        <v>30392.156862745171</v>
      </c>
      <c r="L386" s="215"/>
    </row>
    <row r="387" spans="1:13" ht="11.25" customHeight="1" x14ac:dyDescent="0.2">
      <c r="A387" s="216">
        <v>2023</v>
      </c>
      <c r="B387" s="216">
        <v>4</v>
      </c>
      <c r="C387" s="216">
        <v>6</v>
      </c>
      <c r="D387" s="217">
        <f t="shared" si="32"/>
        <v>45022</v>
      </c>
      <c r="E387" s="239">
        <f t="shared" si="31"/>
        <v>45022</v>
      </c>
      <c r="F387" s="521"/>
      <c r="G387" s="219" t="s">
        <v>1245</v>
      </c>
      <c r="H387" s="220"/>
      <c r="I387" s="220" t="s">
        <v>1253</v>
      </c>
      <c r="J387" s="216" t="s">
        <v>153</v>
      </c>
      <c r="K387" s="221"/>
      <c r="L387" s="221">
        <v>30392.156862745171</v>
      </c>
    </row>
    <row r="388" spans="1:13" ht="11.25" customHeight="1" x14ac:dyDescent="0.2">
      <c r="A388" s="222">
        <v>2023</v>
      </c>
      <c r="B388" s="222">
        <v>4</v>
      </c>
      <c r="C388" s="222">
        <v>6</v>
      </c>
      <c r="D388" s="223">
        <f t="shared" si="32"/>
        <v>45022</v>
      </c>
      <c r="E388" s="240">
        <f t="shared" si="31"/>
        <v>45022</v>
      </c>
      <c r="F388" s="511" t="s">
        <v>1244</v>
      </c>
      <c r="G388" s="225" t="s">
        <v>1245</v>
      </c>
      <c r="H388" s="226"/>
      <c r="I388" s="226" t="s">
        <v>1253</v>
      </c>
      <c r="J388" s="222" t="s">
        <v>87</v>
      </c>
      <c r="K388" s="227">
        <v>12243.071904763579</v>
      </c>
      <c r="L388" s="227"/>
    </row>
    <row r="389" spans="1:13" ht="11.25" customHeight="1" x14ac:dyDescent="0.2">
      <c r="A389" s="228">
        <v>2023</v>
      </c>
      <c r="B389" s="228">
        <v>4</v>
      </c>
      <c r="C389" s="228">
        <v>6</v>
      </c>
      <c r="D389" s="229">
        <f t="shared" si="32"/>
        <v>45022</v>
      </c>
      <c r="E389" s="241">
        <f t="shared" si="31"/>
        <v>45022</v>
      </c>
      <c r="F389" s="512"/>
      <c r="G389" s="231" t="s">
        <v>1245</v>
      </c>
      <c r="H389" s="232"/>
      <c r="I389" s="232" t="s">
        <v>1253</v>
      </c>
      <c r="J389" s="228" t="s">
        <v>72</v>
      </c>
      <c r="K389" s="233"/>
      <c r="L389" s="233">
        <v>12243.071904763579</v>
      </c>
    </row>
    <row r="390" spans="1:13" ht="11.25" customHeight="1" x14ac:dyDescent="0.2">
      <c r="A390" s="222">
        <v>2023</v>
      </c>
      <c r="B390" s="222">
        <v>4</v>
      </c>
      <c r="C390" s="222">
        <v>6</v>
      </c>
      <c r="D390" s="223">
        <f t="shared" si="32"/>
        <v>45022</v>
      </c>
      <c r="E390" s="240">
        <f t="shared" si="31"/>
        <v>45022</v>
      </c>
      <c r="F390" s="511" t="s">
        <v>1246</v>
      </c>
      <c r="G390" s="225" t="s">
        <v>1245</v>
      </c>
      <c r="H390" s="226"/>
      <c r="I390" s="226" t="s">
        <v>1253</v>
      </c>
      <c r="J390" s="222" t="s">
        <v>75</v>
      </c>
      <c r="K390" s="227">
        <v>3846.1538461538462</v>
      </c>
      <c r="L390" s="227"/>
    </row>
    <row r="391" spans="1:13" ht="11.25" customHeight="1" x14ac:dyDescent="0.2">
      <c r="A391" s="228">
        <v>2023</v>
      </c>
      <c r="B391" s="228">
        <v>4</v>
      </c>
      <c r="C391" s="228">
        <v>6</v>
      </c>
      <c r="D391" s="229">
        <f t="shared" si="32"/>
        <v>45022</v>
      </c>
      <c r="E391" s="241">
        <f t="shared" si="31"/>
        <v>45022</v>
      </c>
      <c r="F391" s="512"/>
      <c r="G391" s="231" t="s">
        <v>1245</v>
      </c>
      <c r="H391" s="232"/>
      <c r="I391" s="232" t="s">
        <v>1253</v>
      </c>
      <c r="J391" s="228" t="s">
        <v>55</v>
      </c>
      <c r="K391" s="233"/>
      <c r="L391" s="233">
        <v>3846.1538461538462</v>
      </c>
    </row>
    <row r="392" spans="1:13" ht="11.25" customHeight="1" x14ac:dyDescent="0.2">
      <c r="A392" s="222">
        <v>2023</v>
      </c>
      <c r="B392" s="222">
        <v>4</v>
      </c>
      <c r="C392" s="222">
        <v>6</v>
      </c>
      <c r="D392" s="223">
        <f t="shared" si="32"/>
        <v>45022</v>
      </c>
      <c r="E392" s="240">
        <f t="shared" si="31"/>
        <v>45022</v>
      </c>
      <c r="F392" s="511" t="s">
        <v>1247</v>
      </c>
      <c r="G392" s="225" t="s">
        <v>1245</v>
      </c>
      <c r="H392" s="226"/>
      <c r="I392" s="226" t="s">
        <v>1253</v>
      </c>
      <c r="J392" s="222" t="s">
        <v>77</v>
      </c>
      <c r="K392" s="227">
        <v>19324.646907509046</v>
      </c>
      <c r="L392" s="227"/>
    </row>
    <row r="393" spans="1:13" ht="11.25" customHeight="1" x14ac:dyDescent="0.2">
      <c r="A393" s="228">
        <v>2023</v>
      </c>
      <c r="B393" s="228">
        <v>4</v>
      </c>
      <c r="C393" s="228">
        <v>6</v>
      </c>
      <c r="D393" s="229">
        <f t="shared" si="32"/>
        <v>45022</v>
      </c>
      <c r="E393" s="241">
        <f t="shared" si="31"/>
        <v>45022</v>
      </c>
      <c r="F393" s="512"/>
      <c r="G393" s="231" t="s">
        <v>1245</v>
      </c>
      <c r="H393" s="232"/>
      <c r="I393" s="232" t="s">
        <v>1253</v>
      </c>
      <c r="J393" s="228" t="s">
        <v>41</v>
      </c>
      <c r="K393" s="233"/>
      <c r="L393" s="233">
        <v>19324.646907509046</v>
      </c>
    </row>
    <row r="394" spans="1:13" ht="11.25" customHeight="1" x14ac:dyDescent="0.2">
      <c r="A394" s="222">
        <v>2023</v>
      </c>
      <c r="B394" s="222">
        <v>4</v>
      </c>
      <c r="C394" s="222">
        <v>6</v>
      </c>
      <c r="D394" s="223">
        <f t="shared" si="32"/>
        <v>45022</v>
      </c>
      <c r="E394" s="240">
        <f t="shared" si="31"/>
        <v>45022</v>
      </c>
      <c r="F394" s="511" t="s">
        <v>1248</v>
      </c>
      <c r="G394" s="225" t="s">
        <v>1245</v>
      </c>
      <c r="H394" s="226"/>
      <c r="I394" s="226" t="s">
        <v>1253</v>
      </c>
      <c r="J394" s="222" t="s">
        <v>80</v>
      </c>
      <c r="K394" s="227">
        <v>966.23234537545227</v>
      </c>
      <c r="L394" s="227"/>
    </row>
    <row r="395" spans="1:13" ht="11.25" customHeight="1" x14ac:dyDescent="0.2">
      <c r="A395" s="228">
        <v>2023</v>
      </c>
      <c r="B395" s="228">
        <v>4</v>
      </c>
      <c r="C395" s="228">
        <v>6</v>
      </c>
      <c r="D395" s="229">
        <f t="shared" si="32"/>
        <v>45022</v>
      </c>
      <c r="E395" s="241">
        <f t="shared" si="31"/>
        <v>45022</v>
      </c>
      <c r="F395" s="512"/>
      <c r="G395" s="231" t="s">
        <v>1245</v>
      </c>
      <c r="H395" s="232"/>
      <c r="I395" s="232" t="s">
        <v>1253</v>
      </c>
      <c r="J395" s="228" t="s">
        <v>42</v>
      </c>
      <c r="K395" s="233"/>
      <c r="L395" s="233">
        <v>966.23234537545227</v>
      </c>
    </row>
    <row r="396" spans="1:13" ht="11.25" customHeight="1" x14ac:dyDescent="0.2">
      <c r="A396" s="197">
        <v>2023</v>
      </c>
      <c r="B396" s="197">
        <v>4</v>
      </c>
      <c r="C396" s="197">
        <v>11</v>
      </c>
      <c r="D396" s="198">
        <f t="shared" si="32"/>
        <v>45027</v>
      </c>
      <c r="E396" s="209">
        <f>DATE(A396,B396,C396)</f>
        <v>45027</v>
      </c>
      <c r="F396" s="513" t="s">
        <v>1296</v>
      </c>
      <c r="G396" s="200" t="s">
        <v>1209</v>
      </c>
      <c r="H396" s="201"/>
      <c r="I396" s="201"/>
      <c r="J396" s="197" t="s">
        <v>46</v>
      </c>
      <c r="K396" s="202">
        <v>70000</v>
      </c>
      <c r="L396" s="202"/>
      <c r="M396" s="251"/>
    </row>
    <row r="397" spans="1:13" ht="11.25" customHeight="1" x14ac:dyDescent="0.2">
      <c r="A397" s="120">
        <v>2023</v>
      </c>
      <c r="B397" s="120">
        <v>4</v>
      </c>
      <c r="C397" s="120">
        <v>11</v>
      </c>
      <c r="D397" s="208">
        <f t="shared" si="32"/>
        <v>45027</v>
      </c>
      <c r="E397" s="209">
        <f>DATE(A397,B397,C397)</f>
        <v>45027</v>
      </c>
      <c r="F397" s="515"/>
      <c r="G397" s="132" t="s">
        <v>1209</v>
      </c>
      <c r="J397" s="120" t="s">
        <v>16</v>
      </c>
      <c r="K397" s="207"/>
      <c r="L397" s="207">
        <v>69370</v>
      </c>
    </row>
    <row r="398" spans="1:13" ht="11.25" customHeight="1" x14ac:dyDescent="0.2">
      <c r="A398" s="191">
        <v>2023</v>
      </c>
      <c r="B398" s="191">
        <v>4</v>
      </c>
      <c r="C398" s="191">
        <v>11</v>
      </c>
      <c r="D398" s="192">
        <f t="shared" si="32"/>
        <v>45027</v>
      </c>
      <c r="E398" s="193">
        <f>DATE(A398,B398,C398)</f>
        <v>45027</v>
      </c>
      <c r="F398" s="514"/>
      <c r="G398" s="194" t="s">
        <v>1209</v>
      </c>
      <c r="H398" s="195"/>
      <c r="I398" s="195"/>
      <c r="J398" s="191" t="s">
        <v>47</v>
      </c>
      <c r="K398" s="196"/>
      <c r="L398" s="196">
        <v>630</v>
      </c>
    </row>
    <row r="399" spans="1:13" ht="11.25" customHeight="1" x14ac:dyDescent="0.2">
      <c r="A399" s="197">
        <v>2023</v>
      </c>
      <c r="B399" s="197">
        <v>4</v>
      </c>
      <c r="C399" s="197">
        <v>12</v>
      </c>
      <c r="D399" s="198">
        <f t="shared" si="32"/>
        <v>45028</v>
      </c>
      <c r="E399" s="199">
        <f t="shared" si="31"/>
        <v>45028</v>
      </c>
      <c r="F399" s="513" t="s">
        <v>1280</v>
      </c>
      <c r="G399" s="200" t="s">
        <v>1209</v>
      </c>
      <c r="H399" s="201"/>
      <c r="I399" s="201" t="s">
        <v>387</v>
      </c>
      <c r="J399" s="197" t="s">
        <v>16</v>
      </c>
      <c r="K399" s="202">
        <v>297290</v>
      </c>
      <c r="L399" s="202"/>
    </row>
    <row r="400" spans="1:13" ht="11.25" customHeight="1" x14ac:dyDescent="0.2">
      <c r="A400" s="120">
        <v>2023</v>
      </c>
      <c r="B400" s="120">
        <v>4</v>
      </c>
      <c r="C400" s="120">
        <v>12</v>
      </c>
      <c r="D400" s="208">
        <f t="shared" si="32"/>
        <v>45028</v>
      </c>
      <c r="E400" s="209">
        <f t="shared" si="31"/>
        <v>45028</v>
      </c>
      <c r="F400" s="515"/>
      <c r="G400" s="132" t="s">
        <v>1209</v>
      </c>
      <c r="I400" s="128" t="s">
        <v>387</v>
      </c>
      <c r="J400" s="120" t="s">
        <v>47</v>
      </c>
      <c r="K400" s="207">
        <v>2710</v>
      </c>
      <c r="L400" s="207"/>
    </row>
    <row r="401" spans="1:15" ht="11.25" customHeight="1" x14ac:dyDescent="0.2">
      <c r="A401" s="191">
        <v>2023</v>
      </c>
      <c r="B401" s="191">
        <v>4</v>
      </c>
      <c r="C401" s="191">
        <v>12</v>
      </c>
      <c r="D401" s="192">
        <f t="shared" si="32"/>
        <v>45028</v>
      </c>
      <c r="E401" s="193">
        <f t="shared" si="31"/>
        <v>45028</v>
      </c>
      <c r="F401" s="514"/>
      <c r="G401" s="194" t="s">
        <v>1209</v>
      </c>
      <c r="H401" s="195"/>
      <c r="I401" s="195" t="s">
        <v>387</v>
      </c>
      <c r="J401" s="191" t="s">
        <v>46</v>
      </c>
      <c r="K401" s="196"/>
      <c r="L401" s="196">
        <v>300000</v>
      </c>
    </row>
    <row r="402" spans="1:15" ht="11.25" customHeight="1" x14ac:dyDescent="0.2">
      <c r="A402" s="197">
        <v>2023</v>
      </c>
      <c r="B402" s="197">
        <v>4</v>
      </c>
      <c r="C402" s="197">
        <v>13</v>
      </c>
      <c r="D402" s="198">
        <f t="shared" si="32"/>
        <v>45029</v>
      </c>
      <c r="E402" s="209">
        <f t="shared" si="31"/>
        <v>45029</v>
      </c>
      <c r="F402" s="513" t="s">
        <v>1296</v>
      </c>
      <c r="G402" s="200" t="s">
        <v>1209</v>
      </c>
      <c r="H402" s="201"/>
      <c r="I402" s="201"/>
      <c r="J402" s="197" t="s">
        <v>46</v>
      </c>
      <c r="K402" s="202">
        <v>15000</v>
      </c>
      <c r="L402" s="202"/>
      <c r="M402" s="251"/>
    </row>
    <row r="403" spans="1:15" ht="11.25" customHeight="1" x14ac:dyDescent="0.2">
      <c r="A403" s="120">
        <v>2023</v>
      </c>
      <c r="B403" s="120">
        <v>4</v>
      </c>
      <c r="C403" s="120">
        <v>13</v>
      </c>
      <c r="D403" s="208">
        <f t="shared" si="32"/>
        <v>45029</v>
      </c>
      <c r="E403" s="209">
        <f t="shared" si="31"/>
        <v>45029</v>
      </c>
      <c r="F403" s="515"/>
      <c r="G403" s="132" t="s">
        <v>1209</v>
      </c>
      <c r="J403" s="120" t="s">
        <v>16</v>
      </c>
      <c r="K403" s="207"/>
      <c r="L403" s="207">
        <v>14870</v>
      </c>
    </row>
    <row r="404" spans="1:15" ht="11.25" customHeight="1" x14ac:dyDescent="0.2">
      <c r="A404" s="191">
        <v>2023</v>
      </c>
      <c r="B404" s="191">
        <v>4</v>
      </c>
      <c r="C404" s="191">
        <v>13</v>
      </c>
      <c r="D404" s="192">
        <f t="shared" si="32"/>
        <v>45029</v>
      </c>
      <c r="E404" s="193">
        <f t="shared" si="31"/>
        <v>45029</v>
      </c>
      <c r="F404" s="514"/>
      <c r="G404" s="194" t="s">
        <v>1209</v>
      </c>
      <c r="H404" s="195"/>
      <c r="I404" s="195"/>
      <c r="J404" s="191" t="s">
        <v>47</v>
      </c>
      <c r="K404" s="196"/>
      <c r="L404" s="196">
        <v>130</v>
      </c>
    </row>
    <row r="405" spans="1:15" ht="11.25" customHeight="1" x14ac:dyDescent="0.2">
      <c r="A405" s="210">
        <v>2023</v>
      </c>
      <c r="B405" s="210">
        <v>4</v>
      </c>
      <c r="C405" s="210">
        <v>13</v>
      </c>
      <c r="D405" s="211">
        <f t="shared" si="32"/>
        <v>45029</v>
      </c>
      <c r="E405" s="238">
        <f t="shared" ref="E405:E429" si="33">DATE(A405,B405,C405)</f>
        <v>45029</v>
      </c>
      <c r="F405" s="520" t="s">
        <v>1278</v>
      </c>
      <c r="G405" s="213" t="s">
        <v>1245</v>
      </c>
      <c r="H405" s="214"/>
      <c r="I405" s="214" t="s">
        <v>1253</v>
      </c>
      <c r="J405" s="210" t="s">
        <v>1529</v>
      </c>
      <c r="K405" s="215">
        <v>7032.2624999999998</v>
      </c>
      <c r="L405" s="215"/>
    </row>
    <row r="406" spans="1:15" ht="11.25" customHeight="1" x14ac:dyDescent="0.2">
      <c r="A406" s="216">
        <v>2023</v>
      </c>
      <c r="B406" s="216">
        <v>4</v>
      </c>
      <c r="C406" s="216">
        <v>13</v>
      </c>
      <c r="D406" s="217">
        <f t="shared" si="32"/>
        <v>45029</v>
      </c>
      <c r="E406" s="239">
        <f t="shared" si="33"/>
        <v>45029</v>
      </c>
      <c r="F406" s="521"/>
      <c r="G406" s="219" t="s">
        <v>1245</v>
      </c>
      <c r="H406" s="220"/>
      <c r="I406" s="220" t="s">
        <v>1253</v>
      </c>
      <c r="J406" s="216" t="s">
        <v>153</v>
      </c>
      <c r="K406" s="221"/>
      <c r="L406" s="221">
        <v>7032.2624999999998</v>
      </c>
    </row>
    <row r="407" spans="1:15" ht="11.25" customHeight="1" x14ac:dyDescent="0.2">
      <c r="A407" s="210">
        <v>2023</v>
      </c>
      <c r="B407" s="210">
        <v>4</v>
      </c>
      <c r="C407" s="210">
        <v>13</v>
      </c>
      <c r="D407" s="211">
        <f t="shared" si="32"/>
        <v>45029</v>
      </c>
      <c r="E407" s="238">
        <f t="shared" si="33"/>
        <v>45029</v>
      </c>
      <c r="F407" s="520" t="s">
        <v>1285</v>
      </c>
      <c r="G407" s="213" t="s">
        <v>1245</v>
      </c>
      <c r="H407" s="214"/>
      <c r="I407" s="214" t="s">
        <v>1253</v>
      </c>
      <c r="J407" s="210" t="s">
        <v>1284</v>
      </c>
      <c r="K407" s="215">
        <v>15398.28</v>
      </c>
      <c r="L407" s="215"/>
    </row>
    <row r="408" spans="1:15" ht="11.25" customHeight="1" x14ac:dyDescent="0.2">
      <c r="A408" s="242">
        <v>2023</v>
      </c>
      <c r="B408" s="216">
        <v>4</v>
      </c>
      <c r="C408" s="216">
        <v>13</v>
      </c>
      <c r="D408" s="243">
        <f t="shared" si="32"/>
        <v>45029</v>
      </c>
      <c r="E408" s="244">
        <f>DATE(A408,B408,C408)</f>
        <v>45029</v>
      </c>
      <c r="F408" s="524"/>
      <c r="G408" s="245" t="s">
        <v>1245</v>
      </c>
      <c r="H408" s="246"/>
      <c r="I408" s="246"/>
      <c r="J408" s="242" t="s">
        <v>1582</v>
      </c>
      <c r="K408" s="247"/>
      <c r="L408" s="247">
        <v>15398.28</v>
      </c>
    </row>
    <row r="409" spans="1:15" ht="11.25" customHeight="1" x14ac:dyDescent="0.2">
      <c r="A409" s="210">
        <v>2023</v>
      </c>
      <c r="B409" s="210">
        <v>4</v>
      </c>
      <c r="C409" s="210">
        <v>13</v>
      </c>
      <c r="D409" s="211">
        <f t="shared" si="32"/>
        <v>45029</v>
      </c>
      <c r="E409" s="238">
        <f t="shared" si="33"/>
        <v>45029</v>
      </c>
      <c r="F409" s="520" t="s">
        <v>1259</v>
      </c>
      <c r="G409" s="213" t="s">
        <v>1245</v>
      </c>
      <c r="H409" s="214"/>
      <c r="I409" s="214" t="s">
        <v>1253</v>
      </c>
      <c r="J409" s="210" t="s">
        <v>58</v>
      </c>
      <c r="K409" s="215">
        <v>1391.39</v>
      </c>
      <c r="L409" s="215"/>
    </row>
    <row r="410" spans="1:15" ht="11.25" customHeight="1" x14ac:dyDescent="0.2">
      <c r="A410" s="216">
        <v>2023</v>
      </c>
      <c r="B410" s="216">
        <v>4</v>
      </c>
      <c r="C410" s="216">
        <v>13</v>
      </c>
      <c r="D410" s="217">
        <f t="shared" si="32"/>
        <v>45029</v>
      </c>
      <c r="E410" s="239">
        <f t="shared" si="33"/>
        <v>45029</v>
      </c>
      <c r="F410" s="521"/>
      <c r="G410" s="219" t="s">
        <v>1245</v>
      </c>
      <c r="H410" s="220"/>
      <c r="I410" s="220" t="s">
        <v>1253</v>
      </c>
      <c r="J410" s="216" t="s">
        <v>153</v>
      </c>
      <c r="K410" s="221"/>
      <c r="L410" s="221">
        <v>1391.39</v>
      </c>
    </row>
    <row r="411" spans="1:15" ht="11.25" customHeight="1" x14ac:dyDescent="0.2">
      <c r="A411" s="210">
        <v>2023</v>
      </c>
      <c r="B411" s="210">
        <v>4</v>
      </c>
      <c r="C411" s="210">
        <v>13</v>
      </c>
      <c r="D411" s="211">
        <f t="shared" si="32"/>
        <v>45029</v>
      </c>
      <c r="E411" s="238">
        <f t="shared" si="33"/>
        <v>45029</v>
      </c>
      <c r="F411" s="520" t="s">
        <v>1255</v>
      </c>
      <c r="G411" s="213" t="s">
        <v>1245</v>
      </c>
      <c r="H411" s="214"/>
      <c r="I411" s="214" t="s">
        <v>1253</v>
      </c>
      <c r="J411" s="210" t="s">
        <v>113</v>
      </c>
      <c r="K411" s="215">
        <v>43831.07</v>
      </c>
      <c r="L411" s="215"/>
      <c r="M411" s="251"/>
      <c r="O411" s="130"/>
    </row>
    <row r="412" spans="1:15" ht="11.25" customHeight="1" x14ac:dyDescent="0.2">
      <c r="A412" s="216">
        <v>2023</v>
      </c>
      <c r="B412" s="216">
        <v>4</v>
      </c>
      <c r="C412" s="216">
        <v>13</v>
      </c>
      <c r="D412" s="217">
        <f t="shared" si="32"/>
        <v>45029</v>
      </c>
      <c r="E412" s="239">
        <f t="shared" si="33"/>
        <v>45029</v>
      </c>
      <c r="F412" s="521"/>
      <c r="G412" s="219" t="s">
        <v>1245</v>
      </c>
      <c r="H412" s="220"/>
      <c r="I412" s="220" t="s">
        <v>1253</v>
      </c>
      <c r="J412" s="216" t="s">
        <v>153</v>
      </c>
      <c r="K412" s="221"/>
      <c r="L412" s="221">
        <v>43831.07</v>
      </c>
    </row>
    <row r="413" spans="1:15" ht="11.25" customHeight="1" x14ac:dyDescent="0.2">
      <c r="A413" s="210">
        <v>2023</v>
      </c>
      <c r="B413" s="210">
        <v>4</v>
      </c>
      <c r="C413" s="210">
        <v>13</v>
      </c>
      <c r="D413" s="211">
        <f t="shared" si="32"/>
        <v>45029</v>
      </c>
      <c r="E413" s="238">
        <f t="shared" si="33"/>
        <v>45029</v>
      </c>
      <c r="F413" s="520" t="s">
        <v>1256</v>
      </c>
      <c r="G413" s="213" t="s">
        <v>1245</v>
      </c>
      <c r="H413" s="214"/>
      <c r="I413" s="214" t="s">
        <v>1253</v>
      </c>
      <c r="J413" s="210" t="s">
        <v>113</v>
      </c>
      <c r="K413" s="215">
        <v>29573.91</v>
      </c>
      <c r="L413" s="215"/>
      <c r="M413" s="251"/>
      <c r="O413" s="130"/>
    </row>
    <row r="414" spans="1:15" ht="11.25" customHeight="1" x14ac:dyDescent="0.2">
      <c r="A414" s="216">
        <v>2023</v>
      </c>
      <c r="B414" s="216">
        <v>4</v>
      </c>
      <c r="C414" s="216">
        <v>13</v>
      </c>
      <c r="D414" s="217">
        <f t="shared" si="32"/>
        <v>45029</v>
      </c>
      <c r="E414" s="239">
        <f t="shared" si="33"/>
        <v>45029</v>
      </c>
      <c r="F414" s="521"/>
      <c r="G414" s="219" t="s">
        <v>1245</v>
      </c>
      <c r="H414" s="220"/>
      <c r="I414" s="220" t="s">
        <v>1253</v>
      </c>
      <c r="J414" s="216" t="s">
        <v>153</v>
      </c>
      <c r="K414" s="221"/>
      <c r="L414" s="221">
        <v>29573.91</v>
      </c>
    </row>
    <row r="415" spans="1:15" ht="11.25" customHeight="1" x14ac:dyDescent="0.2">
      <c r="A415" s="210">
        <v>2023</v>
      </c>
      <c r="B415" s="210">
        <v>4</v>
      </c>
      <c r="C415" s="210">
        <v>13</v>
      </c>
      <c r="D415" s="211">
        <f t="shared" si="32"/>
        <v>45029</v>
      </c>
      <c r="E415" s="238">
        <f t="shared" si="33"/>
        <v>45029</v>
      </c>
      <c r="F415" s="520" t="s">
        <v>1257</v>
      </c>
      <c r="G415" s="213" t="s">
        <v>1245</v>
      </c>
      <c r="H415" s="214"/>
      <c r="I415" s="214" t="s">
        <v>1253</v>
      </c>
      <c r="J415" s="210" t="s">
        <v>113</v>
      </c>
      <c r="K415" s="215">
        <v>30392.156862745171</v>
      </c>
      <c r="L415" s="215"/>
    </row>
    <row r="416" spans="1:15" ht="11.25" customHeight="1" x14ac:dyDescent="0.2">
      <c r="A416" s="216">
        <v>2023</v>
      </c>
      <c r="B416" s="216">
        <v>4</v>
      </c>
      <c r="C416" s="216">
        <v>13</v>
      </c>
      <c r="D416" s="217">
        <f t="shared" si="32"/>
        <v>45029</v>
      </c>
      <c r="E416" s="239">
        <f t="shared" si="33"/>
        <v>45029</v>
      </c>
      <c r="F416" s="521"/>
      <c r="G416" s="219" t="s">
        <v>1245</v>
      </c>
      <c r="H416" s="220"/>
      <c r="I416" s="220" t="s">
        <v>1253</v>
      </c>
      <c r="J416" s="216" t="s">
        <v>153</v>
      </c>
      <c r="K416" s="221"/>
      <c r="L416" s="221">
        <v>30392.156862745171</v>
      </c>
    </row>
    <row r="417" spans="1:13" ht="11.25" customHeight="1" x14ac:dyDescent="0.2">
      <c r="A417" s="222">
        <v>2023</v>
      </c>
      <c r="B417" s="222">
        <v>4</v>
      </c>
      <c r="C417" s="222">
        <v>13</v>
      </c>
      <c r="D417" s="223">
        <f t="shared" si="32"/>
        <v>45029</v>
      </c>
      <c r="E417" s="240">
        <f t="shared" si="33"/>
        <v>45029</v>
      </c>
      <c r="F417" s="511" t="s">
        <v>1244</v>
      </c>
      <c r="G417" s="225" t="s">
        <v>1245</v>
      </c>
      <c r="H417" s="226"/>
      <c r="I417" s="226" t="s">
        <v>1253</v>
      </c>
      <c r="J417" s="222" t="s">
        <v>87</v>
      </c>
      <c r="K417" s="227">
        <v>12243.071904763579</v>
      </c>
      <c r="L417" s="227"/>
    </row>
    <row r="418" spans="1:13" ht="11.25" customHeight="1" x14ac:dyDescent="0.2">
      <c r="A418" s="228">
        <v>2023</v>
      </c>
      <c r="B418" s="228">
        <v>4</v>
      </c>
      <c r="C418" s="228">
        <v>13</v>
      </c>
      <c r="D418" s="229">
        <f t="shared" si="32"/>
        <v>45029</v>
      </c>
      <c r="E418" s="241">
        <f t="shared" si="33"/>
        <v>45029</v>
      </c>
      <c r="F418" s="512"/>
      <c r="G418" s="231" t="s">
        <v>1245</v>
      </c>
      <c r="H418" s="232"/>
      <c r="I418" s="232" t="s">
        <v>1253</v>
      </c>
      <c r="J418" s="228" t="s">
        <v>72</v>
      </c>
      <c r="K418" s="233"/>
      <c r="L418" s="233">
        <v>12243.071904763579</v>
      </c>
    </row>
    <row r="419" spans="1:13" ht="11.25" customHeight="1" x14ac:dyDescent="0.2">
      <c r="A419" s="222">
        <v>2023</v>
      </c>
      <c r="B419" s="222">
        <v>4</v>
      </c>
      <c r="C419" s="222">
        <v>13</v>
      </c>
      <c r="D419" s="223">
        <f t="shared" si="32"/>
        <v>45029</v>
      </c>
      <c r="E419" s="240">
        <f t="shared" si="33"/>
        <v>45029</v>
      </c>
      <c r="F419" s="511" t="s">
        <v>1246</v>
      </c>
      <c r="G419" s="225" t="s">
        <v>1245</v>
      </c>
      <c r="H419" s="226"/>
      <c r="I419" s="226" t="s">
        <v>1253</v>
      </c>
      <c r="J419" s="222" t="s">
        <v>75</v>
      </c>
      <c r="K419" s="227">
        <v>3846.1538461538462</v>
      </c>
      <c r="L419" s="227"/>
    </row>
    <row r="420" spans="1:13" ht="11.25" customHeight="1" x14ac:dyDescent="0.2">
      <c r="A420" s="228">
        <v>2023</v>
      </c>
      <c r="B420" s="228">
        <v>4</v>
      </c>
      <c r="C420" s="228">
        <v>13</v>
      </c>
      <c r="D420" s="229">
        <f t="shared" si="32"/>
        <v>45029</v>
      </c>
      <c r="E420" s="241">
        <f t="shared" si="33"/>
        <v>45029</v>
      </c>
      <c r="F420" s="512"/>
      <c r="G420" s="231" t="s">
        <v>1245</v>
      </c>
      <c r="H420" s="232"/>
      <c r="I420" s="232" t="s">
        <v>1253</v>
      </c>
      <c r="J420" s="228" t="s">
        <v>55</v>
      </c>
      <c r="K420" s="233"/>
      <c r="L420" s="233">
        <v>3846.1538461538462</v>
      </c>
    </row>
    <row r="421" spans="1:13" ht="11.25" customHeight="1" x14ac:dyDescent="0.2">
      <c r="A421" s="222">
        <v>2023</v>
      </c>
      <c r="B421" s="222">
        <v>4</v>
      </c>
      <c r="C421" s="222">
        <v>13</v>
      </c>
      <c r="D421" s="223">
        <f t="shared" si="32"/>
        <v>45029</v>
      </c>
      <c r="E421" s="240">
        <f t="shared" si="33"/>
        <v>45029</v>
      </c>
      <c r="F421" s="511" t="s">
        <v>1247</v>
      </c>
      <c r="G421" s="225" t="s">
        <v>1245</v>
      </c>
      <c r="H421" s="226"/>
      <c r="I421" s="226" t="s">
        <v>1253</v>
      </c>
      <c r="J421" s="222" t="s">
        <v>77</v>
      </c>
      <c r="K421" s="227">
        <v>19308.840280261014</v>
      </c>
      <c r="L421" s="227"/>
    </row>
    <row r="422" spans="1:13" ht="11.25" customHeight="1" x14ac:dyDescent="0.2">
      <c r="A422" s="228">
        <v>2023</v>
      </c>
      <c r="B422" s="228">
        <v>4</v>
      </c>
      <c r="C422" s="228">
        <v>13</v>
      </c>
      <c r="D422" s="229">
        <f t="shared" si="32"/>
        <v>45029</v>
      </c>
      <c r="E422" s="241">
        <f t="shared" si="33"/>
        <v>45029</v>
      </c>
      <c r="F422" s="512"/>
      <c r="G422" s="231" t="s">
        <v>1245</v>
      </c>
      <c r="H422" s="232"/>
      <c r="I422" s="232" t="s">
        <v>1253</v>
      </c>
      <c r="J422" s="228" t="s">
        <v>41</v>
      </c>
      <c r="K422" s="233"/>
      <c r="L422" s="233">
        <v>19308.840280261014</v>
      </c>
    </row>
    <row r="423" spans="1:13" ht="11.25" customHeight="1" x14ac:dyDescent="0.2">
      <c r="A423" s="222">
        <v>2023</v>
      </c>
      <c r="B423" s="222">
        <v>4</v>
      </c>
      <c r="C423" s="222">
        <v>13</v>
      </c>
      <c r="D423" s="223">
        <f t="shared" si="32"/>
        <v>45029</v>
      </c>
      <c r="E423" s="240">
        <f t="shared" si="33"/>
        <v>45029</v>
      </c>
      <c r="F423" s="511" t="s">
        <v>1248</v>
      </c>
      <c r="G423" s="225" t="s">
        <v>1245</v>
      </c>
      <c r="H423" s="226"/>
      <c r="I423" s="226" t="s">
        <v>1253</v>
      </c>
      <c r="J423" s="222" t="s">
        <v>80</v>
      </c>
      <c r="K423" s="227">
        <v>965.44201401305088</v>
      </c>
      <c r="L423" s="227"/>
    </row>
    <row r="424" spans="1:13" ht="11.25" customHeight="1" x14ac:dyDescent="0.2">
      <c r="A424" s="228">
        <v>2023</v>
      </c>
      <c r="B424" s="228">
        <v>4</v>
      </c>
      <c r="C424" s="228">
        <v>13</v>
      </c>
      <c r="D424" s="229">
        <f t="shared" si="32"/>
        <v>45029</v>
      </c>
      <c r="E424" s="241">
        <f t="shared" si="33"/>
        <v>45029</v>
      </c>
      <c r="F424" s="512"/>
      <c r="G424" s="231" t="s">
        <v>1245</v>
      </c>
      <c r="H424" s="232"/>
      <c r="I424" s="232" t="s">
        <v>1253</v>
      </c>
      <c r="J424" s="228" t="s">
        <v>42</v>
      </c>
      <c r="K424" s="233"/>
      <c r="L424" s="233">
        <v>965.44201401305088</v>
      </c>
    </row>
    <row r="425" spans="1:13" ht="11.25" customHeight="1" x14ac:dyDescent="0.2">
      <c r="A425" s="197">
        <v>2023</v>
      </c>
      <c r="B425" s="197">
        <v>4</v>
      </c>
      <c r="C425" s="197">
        <v>16</v>
      </c>
      <c r="D425" s="198">
        <f t="shared" si="32"/>
        <v>45032</v>
      </c>
      <c r="E425" s="209">
        <f t="shared" si="33"/>
        <v>45032</v>
      </c>
      <c r="F425" s="513" t="s">
        <v>1210</v>
      </c>
      <c r="G425" s="200" t="s">
        <v>1209</v>
      </c>
      <c r="H425" s="201"/>
      <c r="I425" s="201" t="s">
        <v>1238</v>
      </c>
      <c r="J425" s="197" t="s">
        <v>46</v>
      </c>
      <c r="K425" s="202">
        <v>505150</v>
      </c>
      <c r="L425" s="202"/>
      <c r="M425" s="251"/>
    </row>
    <row r="426" spans="1:13" ht="11.25" customHeight="1" x14ac:dyDescent="0.2">
      <c r="A426" s="120">
        <v>2023</v>
      </c>
      <c r="B426" s="120">
        <v>4</v>
      </c>
      <c r="C426" s="120">
        <v>16</v>
      </c>
      <c r="D426" s="208">
        <f t="shared" si="32"/>
        <v>45032</v>
      </c>
      <c r="E426" s="209">
        <f t="shared" si="33"/>
        <v>45032</v>
      </c>
      <c r="F426" s="515"/>
      <c r="G426" s="132" t="s">
        <v>1209</v>
      </c>
      <c r="I426" s="128" t="s">
        <v>1238</v>
      </c>
      <c r="J426" s="120" t="s">
        <v>16</v>
      </c>
      <c r="K426" s="207"/>
      <c r="L426" s="207">
        <v>500000</v>
      </c>
    </row>
    <row r="427" spans="1:13" ht="11.25" customHeight="1" x14ac:dyDescent="0.2">
      <c r="A427" s="191">
        <v>2023</v>
      </c>
      <c r="B427" s="191">
        <v>4</v>
      </c>
      <c r="C427" s="191">
        <v>16</v>
      </c>
      <c r="D427" s="192">
        <f t="shared" si="32"/>
        <v>45032</v>
      </c>
      <c r="E427" s="193">
        <f t="shared" si="33"/>
        <v>45032</v>
      </c>
      <c r="F427" s="514"/>
      <c r="G427" s="194" t="s">
        <v>1209</v>
      </c>
      <c r="H427" s="195"/>
      <c r="I427" s="195" t="s">
        <v>1238</v>
      </c>
      <c r="J427" s="191" t="s">
        <v>47</v>
      </c>
      <c r="K427" s="196"/>
      <c r="L427" s="196">
        <v>5150</v>
      </c>
    </row>
    <row r="428" spans="1:13" ht="11.25" customHeight="1" x14ac:dyDescent="0.2">
      <c r="A428" s="197">
        <v>2023</v>
      </c>
      <c r="B428" s="197">
        <v>4</v>
      </c>
      <c r="C428" s="197">
        <v>17</v>
      </c>
      <c r="D428" s="198">
        <f t="shared" si="32"/>
        <v>45033</v>
      </c>
      <c r="E428" s="199">
        <f t="shared" si="33"/>
        <v>45033</v>
      </c>
      <c r="F428" s="513" t="s">
        <v>1298</v>
      </c>
      <c r="G428" s="200" t="s">
        <v>1209</v>
      </c>
      <c r="H428" s="200"/>
      <c r="I428" s="201" t="s">
        <v>1253</v>
      </c>
      <c r="J428" s="248" t="s">
        <v>168</v>
      </c>
      <c r="K428" s="202">
        <v>1800</v>
      </c>
      <c r="L428" s="202"/>
      <c r="M428" s="251"/>
    </row>
    <row r="429" spans="1:13" ht="11.25" customHeight="1" x14ac:dyDescent="0.2">
      <c r="A429" s="191">
        <v>2023</v>
      </c>
      <c r="B429" s="191">
        <v>4</v>
      </c>
      <c r="C429" s="191">
        <v>17</v>
      </c>
      <c r="D429" s="198">
        <f t="shared" si="32"/>
        <v>45033</v>
      </c>
      <c r="E429" s="193">
        <f t="shared" si="33"/>
        <v>45033</v>
      </c>
      <c r="F429" s="514"/>
      <c r="G429" s="194" t="s">
        <v>1209</v>
      </c>
      <c r="H429" s="194"/>
      <c r="I429" s="195" t="s">
        <v>1253</v>
      </c>
      <c r="J429" s="250" t="s">
        <v>46</v>
      </c>
      <c r="K429" s="196"/>
      <c r="L429" s="196">
        <v>1800</v>
      </c>
      <c r="M429" s="251"/>
    </row>
    <row r="430" spans="1:13" ht="11.25" customHeight="1" x14ac:dyDescent="0.2">
      <c r="A430" s="197">
        <v>2023</v>
      </c>
      <c r="B430" s="197">
        <v>4</v>
      </c>
      <c r="C430" s="197">
        <v>17</v>
      </c>
      <c r="D430" s="198">
        <f t="shared" si="32"/>
        <v>45033</v>
      </c>
      <c r="E430" s="199">
        <f t="shared" ref="E430:E456" si="34">DATE(A430,B430,C430)</f>
        <v>45033</v>
      </c>
      <c r="F430" s="513" t="s">
        <v>1299</v>
      </c>
      <c r="G430" s="200" t="s">
        <v>1209</v>
      </c>
      <c r="H430" s="200"/>
      <c r="I430" s="201" t="s">
        <v>1253</v>
      </c>
      <c r="J430" s="248" t="s">
        <v>84</v>
      </c>
      <c r="K430" s="202">
        <v>2467.29</v>
      </c>
      <c r="L430" s="202"/>
      <c r="M430" s="251"/>
    </row>
    <row r="431" spans="1:13" ht="11.25" customHeight="1" x14ac:dyDescent="0.2">
      <c r="A431" s="191">
        <v>2023</v>
      </c>
      <c r="B431" s="191">
        <v>4</v>
      </c>
      <c r="C431" s="191">
        <v>17</v>
      </c>
      <c r="D431" s="198">
        <f t="shared" si="32"/>
        <v>45033</v>
      </c>
      <c r="E431" s="193">
        <f t="shared" si="34"/>
        <v>45033</v>
      </c>
      <c r="F431" s="514"/>
      <c r="G431" s="194" t="s">
        <v>1209</v>
      </c>
      <c r="H431" s="194"/>
      <c r="I431" s="195" t="s">
        <v>1253</v>
      </c>
      <c r="J431" s="250" t="s">
        <v>46</v>
      </c>
      <c r="K431" s="196"/>
      <c r="L431" s="196">
        <v>2467.29</v>
      </c>
      <c r="M431" s="251"/>
    </row>
    <row r="432" spans="1:13" ht="11.25" customHeight="1" x14ac:dyDescent="0.2">
      <c r="A432" s="197">
        <v>2023</v>
      </c>
      <c r="B432" s="197">
        <v>4</v>
      </c>
      <c r="C432" s="197">
        <v>18</v>
      </c>
      <c r="D432" s="198">
        <f t="shared" si="32"/>
        <v>45034</v>
      </c>
      <c r="E432" s="209">
        <f t="shared" si="34"/>
        <v>45034</v>
      </c>
      <c r="F432" s="513" t="s">
        <v>1210</v>
      </c>
      <c r="G432" s="200" t="s">
        <v>1209</v>
      </c>
      <c r="H432" s="201"/>
      <c r="I432" s="201" t="s">
        <v>1214</v>
      </c>
      <c r="J432" s="197" t="s">
        <v>46</v>
      </c>
      <c r="K432" s="202">
        <v>500000</v>
      </c>
      <c r="L432" s="202"/>
      <c r="M432" s="251"/>
    </row>
    <row r="433" spans="1:15" ht="11.25" customHeight="1" x14ac:dyDescent="0.2">
      <c r="A433" s="120">
        <v>2023</v>
      </c>
      <c r="B433" s="120">
        <v>4</v>
      </c>
      <c r="C433" s="120">
        <v>18</v>
      </c>
      <c r="D433" s="208">
        <f t="shared" si="32"/>
        <v>45034</v>
      </c>
      <c r="E433" s="209">
        <f t="shared" si="34"/>
        <v>45034</v>
      </c>
      <c r="F433" s="515"/>
      <c r="G433" s="132" t="s">
        <v>1209</v>
      </c>
      <c r="I433" s="128" t="s">
        <v>1214</v>
      </c>
      <c r="J433" s="120" t="s">
        <v>16</v>
      </c>
      <c r="K433" s="207"/>
      <c r="L433" s="207">
        <v>494900</v>
      </c>
    </row>
    <row r="434" spans="1:15" ht="11.25" customHeight="1" x14ac:dyDescent="0.2">
      <c r="A434" s="191">
        <v>2023</v>
      </c>
      <c r="B434" s="191">
        <v>4</v>
      </c>
      <c r="C434" s="191">
        <v>18</v>
      </c>
      <c r="D434" s="192">
        <f t="shared" si="32"/>
        <v>45034</v>
      </c>
      <c r="E434" s="193">
        <f t="shared" si="34"/>
        <v>45034</v>
      </c>
      <c r="F434" s="514"/>
      <c r="G434" s="194" t="s">
        <v>1209</v>
      </c>
      <c r="H434" s="195"/>
      <c r="I434" s="195" t="s">
        <v>1214</v>
      </c>
      <c r="J434" s="191" t="s">
        <v>47</v>
      </c>
      <c r="K434" s="196"/>
      <c r="L434" s="196">
        <v>5100</v>
      </c>
    </row>
    <row r="435" spans="1:15" ht="11.25" customHeight="1" x14ac:dyDescent="0.2">
      <c r="A435" s="197">
        <v>2023</v>
      </c>
      <c r="B435" s="197">
        <v>4</v>
      </c>
      <c r="C435" s="197">
        <v>18</v>
      </c>
      <c r="D435" s="198">
        <f t="shared" si="32"/>
        <v>45034</v>
      </c>
      <c r="E435" s="199">
        <f t="shared" si="34"/>
        <v>45034</v>
      </c>
      <c r="F435" s="513" t="s">
        <v>1300</v>
      </c>
      <c r="G435" s="200" t="s">
        <v>1209</v>
      </c>
      <c r="H435" s="201"/>
      <c r="I435" s="201"/>
      <c r="J435" s="197" t="s">
        <v>54</v>
      </c>
      <c r="K435" s="202">
        <v>60</v>
      </c>
      <c r="L435" s="202"/>
    </row>
    <row r="436" spans="1:15" ht="11.25" customHeight="1" x14ac:dyDescent="0.2">
      <c r="A436" s="191">
        <v>2023</v>
      </c>
      <c r="B436" s="191">
        <v>4</v>
      </c>
      <c r="C436" s="191">
        <v>18</v>
      </c>
      <c r="D436" s="192">
        <f t="shared" si="32"/>
        <v>45034</v>
      </c>
      <c r="E436" s="193">
        <f t="shared" si="34"/>
        <v>45034</v>
      </c>
      <c r="F436" s="514"/>
      <c r="G436" s="194" t="s">
        <v>1209</v>
      </c>
      <c r="H436" s="195"/>
      <c r="I436" s="195"/>
      <c r="J436" s="191" t="s">
        <v>46</v>
      </c>
      <c r="K436" s="196"/>
      <c r="L436" s="196">
        <v>60</v>
      </c>
    </row>
    <row r="437" spans="1:15" ht="11.25" customHeight="1" x14ac:dyDescent="0.2">
      <c r="A437" s="210">
        <v>2023</v>
      </c>
      <c r="B437" s="210">
        <v>4</v>
      </c>
      <c r="C437" s="210">
        <v>18</v>
      </c>
      <c r="D437" s="211">
        <f t="shared" si="32"/>
        <v>45034</v>
      </c>
      <c r="E437" s="238">
        <f t="shared" si="34"/>
        <v>45034</v>
      </c>
      <c r="F437" s="520" t="s">
        <v>1278</v>
      </c>
      <c r="G437" s="213" t="s">
        <v>1245</v>
      </c>
      <c r="H437" s="214"/>
      <c r="I437" s="214" t="s">
        <v>1253</v>
      </c>
      <c r="J437" s="210" t="s">
        <v>1529</v>
      </c>
      <c r="K437" s="215">
        <v>7032.2624999999998</v>
      </c>
      <c r="L437" s="215"/>
    </row>
    <row r="438" spans="1:15" ht="11.25" customHeight="1" x14ac:dyDescent="0.2">
      <c r="A438" s="216">
        <v>2023</v>
      </c>
      <c r="B438" s="216">
        <v>4</v>
      </c>
      <c r="C438" s="216">
        <v>18</v>
      </c>
      <c r="D438" s="217">
        <f t="shared" si="32"/>
        <v>45034</v>
      </c>
      <c r="E438" s="239">
        <f t="shared" si="34"/>
        <v>45034</v>
      </c>
      <c r="F438" s="521"/>
      <c r="G438" s="219" t="s">
        <v>1245</v>
      </c>
      <c r="H438" s="220"/>
      <c r="I438" s="220" t="s">
        <v>1253</v>
      </c>
      <c r="J438" s="216" t="s">
        <v>153</v>
      </c>
      <c r="K438" s="221"/>
      <c r="L438" s="221">
        <v>7032.2624999999998</v>
      </c>
    </row>
    <row r="439" spans="1:15" ht="11.25" customHeight="1" x14ac:dyDescent="0.2">
      <c r="A439" s="210">
        <v>2023</v>
      </c>
      <c r="B439" s="210">
        <v>4</v>
      </c>
      <c r="C439" s="210">
        <v>18</v>
      </c>
      <c r="D439" s="211">
        <f t="shared" si="32"/>
        <v>45034</v>
      </c>
      <c r="E439" s="238">
        <f t="shared" si="34"/>
        <v>45034</v>
      </c>
      <c r="F439" s="520" t="s">
        <v>1285</v>
      </c>
      <c r="G439" s="213" t="s">
        <v>1245</v>
      </c>
      <c r="H439" s="214"/>
      <c r="I439" s="214" t="s">
        <v>1253</v>
      </c>
      <c r="J439" s="210" t="s">
        <v>1284</v>
      </c>
      <c r="K439" s="215">
        <v>15398.28</v>
      </c>
      <c r="L439" s="215"/>
    </row>
    <row r="440" spans="1:15" ht="11.25" customHeight="1" x14ac:dyDescent="0.2">
      <c r="A440" s="242">
        <v>2023</v>
      </c>
      <c r="B440" s="216">
        <v>4</v>
      </c>
      <c r="C440" s="216">
        <v>18</v>
      </c>
      <c r="D440" s="243">
        <f t="shared" si="32"/>
        <v>45034</v>
      </c>
      <c r="E440" s="244">
        <f>DATE(A440,B440,C440)</f>
        <v>45034</v>
      </c>
      <c r="F440" s="524"/>
      <c r="G440" s="245" t="s">
        <v>1245</v>
      </c>
      <c r="H440" s="246"/>
      <c r="I440" s="246"/>
      <c r="J440" s="242" t="s">
        <v>1582</v>
      </c>
      <c r="K440" s="247"/>
      <c r="L440" s="247">
        <v>15398.28</v>
      </c>
    </row>
    <row r="441" spans="1:15" ht="11.25" customHeight="1" x14ac:dyDescent="0.2">
      <c r="A441" s="210">
        <v>2023</v>
      </c>
      <c r="B441" s="210">
        <v>4</v>
      </c>
      <c r="C441" s="210">
        <v>18</v>
      </c>
      <c r="D441" s="211">
        <f t="shared" si="32"/>
        <v>45034</v>
      </c>
      <c r="E441" s="238">
        <f t="shared" si="34"/>
        <v>45034</v>
      </c>
      <c r="F441" s="520" t="s">
        <v>1259</v>
      </c>
      <c r="G441" s="213" t="s">
        <v>1245</v>
      </c>
      <c r="H441" s="214"/>
      <c r="I441" s="214" t="s">
        <v>1253</v>
      </c>
      <c r="J441" s="210" t="s">
        <v>58</v>
      </c>
      <c r="K441" s="215">
        <v>1182.8</v>
      </c>
      <c r="L441" s="215"/>
    </row>
    <row r="442" spans="1:15" ht="11.25" customHeight="1" x14ac:dyDescent="0.2">
      <c r="A442" s="216">
        <v>2023</v>
      </c>
      <c r="B442" s="216">
        <v>4</v>
      </c>
      <c r="C442" s="216">
        <v>18</v>
      </c>
      <c r="D442" s="217">
        <f t="shared" si="32"/>
        <v>45034</v>
      </c>
      <c r="E442" s="239">
        <f t="shared" si="34"/>
        <v>45034</v>
      </c>
      <c r="F442" s="521"/>
      <c r="G442" s="219" t="s">
        <v>1245</v>
      </c>
      <c r="H442" s="220"/>
      <c r="I442" s="220" t="s">
        <v>1253</v>
      </c>
      <c r="J442" s="216" t="s">
        <v>153</v>
      </c>
      <c r="K442" s="221"/>
      <c r="L442" s="221">
        <v>1182.8</v>
      </c>
    </row>
    <row r="443" spans="1:15" ht="11.25" customHeight="1" x14ac:dyDescent="0.2">
      <c r="A443" s="210">
        <v>2023</v>
      </c>
      <c r="B443" s="210">
        <v>4</v>
      </c>
      <c r="C443" s="210">
        <v>18</v>
      </c>
      <c r="D443" s="211">
        <f t="shared" si="32"/>
        <v>45034</v>
      </c>
      <c r="E443" s="238">
        <f t="shared" si="34"/>
        <v>45034</v>
      </c>
      <c r="F443" s="520" t="s">
        <v>1255</v>
      </c>
      <c r="G443" s="213" t="s">
        <v>1245</v>
      </c>
      <c r="H443" s="214"/>
      <c r="I443" s="214" t="s">
        <v>1253</v>
      </c>
      <c r="J443" s="210" t="s">
        <v>113</v>
      </c>
      <c r="K443" s="215">
        <v>43831.07</v>
      </c>
      <c r="L443" s="215"/>
      <c r="M443" s="251"/>
      <c r="O443" s="130"/>
    </row>
    <row r="444" spans="1:15" ht="11.25" customHeight="1" x14ac:dyDescent="0.2">
      <c r="A444" s="216">
        <v>2023</v>
      </c>
      <c r="B444" s="216">
        <v>4</v>
      </c>
      <c r="C444" s="216">
        <v>18</v>
      </c>
      <c r="D444" s="217">
        <f t="shared" si="32"/>
        <v>45034</v>
      </c>
      <c r="E444" s="239">
        <f t="shared" si="34"/>
        <v>45034</v>
      </c>
      <c r="F444" s="521"/>
      <c r="G444" s="219" t="s">
        <v>1245</v>
      </c>
      <c r="H444" s="220"/>
      <c r="I444" s="220" t="s">
        <v>1253</v>
      </c>
      <c r="J444" s="216" t="s">
        <v>153</v>
      </c>
      <c r="K444" s="221"/>
      <c r="L444" s="221">
        <v>43831.07</v>
      </c>
    </row>
    <row r="445" spans="1:15" ht="11.25" customHeight="1" x14ac:dyDescent="0.2">
      <c r="A445" s="210">
        <v>2023</v>
      </c>
      <c r="B445" s="210">
        <v>4</v>
      </c>
      <c r="C445" s="210">
        <v>18</v>
      </c>
      <c r="D445" s="211">
        <f t="shared" ref="D445:D502" si="35">DATE(A445,B445,C445)</f>
        <v>45034</v>
      </c>
      <c r="E445" s="238">
        <f t="shared" si="34"/>
        <v>45034</v>
      </c>
      <c r="F445" s="520" t="s">
        <v>1256</v>
      </c>
      <c r="G445" s="213" t="s">
        <v>1245</v>
      </c>
      <c r="H445" s="214"/>
      <c r="I445" s="214" t="s">
        <v>1253</v>
      </c>
      <c r="J445" s="210" t="s">
        <v>113</v>
      </c>
      <c r="K445" s="215">
        <v>29573.91</v>
      </c>
      <c r="L445" s="215"/>
      <c r="M445" s="251"/>
      <c r="O445" s="130"/>
    </row>
    <row r="446" spans="1:15" ht="11.25" customHeight="1" x14ac:dyDescent="0.2">
      <c r="A446" s="216">
        <v>2023</v>
      </c>
      <c r="B446" s="216">
        <v>4</v>
      </c>
      <c r="C446" s="216">
        <v>18</v>
      </c>
      <c r="D446" s="217">
        <f t="shared" si="35"/>
        <v>45034</v>
      </c>
      <c r="E446" s="239">
        <f t="shared" si="34"/>
        <v>45034</v>
      </c>
      <c r="F446" s="521"/>
      <c r="G446" s="219" t="s">
        <v>1245</v>
      </c>
      <c r="H446" s="220"/>
      <c r="I446" s="220" t="s">
        <v>1253</v>
      </c>
      <c r="J446" s="216" t="s">
        <v>153</v>
      </c>
      <c r="K446" s="221"/>
      <c r="L446" s="221">
        <v>29573.91</v>
      </c>
    </row>
    <row r="447" spans="1:15" ht="11.25" customHeight="1" x14ac:dyDescent="0.2">
      <c r="A447" s="210">
        <v>2023</v>
      </c>
      <c r="B447" s="210">
        <v>4</v>
      </c>
      <c r="C447" s="210">
        <v>18</v>
      </c>
      <c r="D447" s="211">
        <f t="shared" si="35"/>
        <v>45034</v>
      </c>
      <c r="E447" s="238">
        <f t="shared" si="34"/>
        <v>45034</v>
      </c>
      <c r="F447" s="520" t="s">
        <v>1257</v>
      </c>
      <c r="G447" s="213" t="s">
        <v>1245</v>
      </c>
      <c r="H447" s="214"/>
      <c r="I447" s="214" t="s">
        <v>1253</v>
      </c>
      <c r="J447" s="210" t="s">
        <v>113</v>
      </c>
      <c r="K447" s="215">
        <v>30392.156862745171</v>
      </c>
      <c r="L447" s="215"/>
    </row>
    <row r="448" spans="1:15" ht="11.25" customHeight="1" x14ac:dyDescent="0.2">
      <c r="A448" s="216">
        <v>2023</v>
      </c>
      <c r="B448" s="216">
        <v>4</v>
      </c>
      <c r="C448" s="216">
        <v>18</v>
      </c>
      <c r="D448" s="217">
        <f t="shared" si="35"/>
        <v>45034</v>
      </c>
      <c r="E448" s="239">
        <f t="shared" si="34"/>
        <v>45034</v>
      </c>
      <c r="F448" s="521"/>
      <c r="G448" s="219" t="s">
        <v>1245</v>
      </c>
      <c r="H448" s="220"/>
      <c r="I448" s="220" t="s">
        <v>1253</v>
      </c>
      <c r="J448" s="216" t="s">
        <v>153</v>
      </c>
      <c r="K448" s="221"/>
      <c r="L448" s="221">
        <v>30392.156862745171</v>
      </c>
    </row>
    <row r="449" spans="1:13" ht="11.25" customHeight="1" x14ac:dyDescent="0.2">
      <c r="A449" s="222">
        <v>2023</v>
      </c>
      <c r="B449" s="222">
        <v>4</v>
      </c>
      <c r="C449" s="222">
        <v>18</v>
      </c>
      <c r="D449" s="223">
        <f t="shared" si="35"/>
        <v>45034</v>
      </c>
      <c r="E449" s="240">
        <f t="shared" si="34"/>
        <v>45034</v>
      </c>
      <c r="F449" s="511" t="s">
        <v>1244</v>
      </c>
      <c r="G449" s="225" t="s">
        <v>1245</v>
      </c>
      <c r="H449" s="226"/>
      <c r="I449" s="226" t="s">
        <v>1253</v>
      </c>
      <c r="J449" s="222" t="s">
        <v>72</v>
      </c>
      <c r="K449" s="227">
        <v>6495.2380952388048</v>
      </c>
      <c r="L449" s="227"/>
    </row>
    <row r="450" spans="1:13" ht="11.25" customHeight="1" x14ac:dyDescent="0.2">
      <c r="A450" s="228">
        <v>2023</v>
      </c>
      <c r="B450" s="228">
        <v>4</v>
      </c>
      <c r="C450" s="228">
        <v>18</v>
      </c>
      <c r="D450" s="229">
        <f t="shared" si="35"/>
        <v>45034</v>
      </c>
      <c r="E450" s="241">
        <f t="shared" si="34"/>
        <v>45034</v>
      </c>
      <c r="F450" s="512"/>
      <c r="G450" s="231" t="s">
        <v>1245</v>
      </c>
      <c r="H450" s="232"/>
      <c r="I450" s="232" t="s">
        <v>1253</v>
      </c>
      <c r="J450" s="228" t="s">
        <v>87</v>
      </c>
      <c r="K450" s="233"/>
      <c r="L450" s="233">
        <v>6495.2380952388048</v>
      </c>
    </row>
    <row r="451" spans="1:13" ht="11.25" customHeight="1" x14ac:dyDescent="0.2">
      <c r="A451" s="222">
        <v>2023</v>
      </c>
      <c r="B451" s="222">
        <v>4</v>
      </c>
      <c r="C451" s="222">
        <v>18</v>
      </c>
      <c r="D451" s="223">
        <f t="shared" si="35"/>
        <v>45034</v>
      </c>
      <c r="E451" s="240">
        <f t="shared" si="34"/>
        <v>45034</v>
      </c>
      <c r="F451" s="511" t="s">
        <v>1246</v>
      </c>
      <c r="G451" s="225" t="s">
        <v>1245</v>
      </c>
      <c r="H451" s="226"/>
      <c r="I451" s="226" t="s">
        <v>1253</v>
      </c>
      <c r="J451" s="222" t="s">
        <v>75</v>
      </c>
      <c r="K451" s="227">
        <v>3846.1538461538462</v>
      </c>
      <c r="L451" s="227"/>
    </row>
    <row r="452" spans="1:13" ht="11.25" customHeight="1" x14ac:dyDescent="0.2">
      <c r="A452" s="228">
        <v>2023</v>
      </c>
      <c r="B452" s="228">
        <v>4</v>
      </c>
      <c r="C452" s="228">
        <v>18</v>
      </c>
      <c r="D452" s="229">
        <f t="shared" si="35"/>
        <v>45034</v>
      </c>
      <c r="E452" s="241">
        <f t="shared" si="34"/>
        <v>45034</v>
      </c>
      <c r="F452" s="512"/>
      <c r="G452" s="231" t="s">
        <v>1245</v>
      </c>
      <c r="H452" s="232"/>
      <c r="I452" s="232" t="s">
        <v>1253</v>
      </c>
      <c r="J452" s="228" t="s">
        <v>55</v>
      </c>
      <c r="K452" s="233"/>
      <c r="L452" s="233">
        <v>3846.1538461538462</v>
      </c>
    </row>
    <row r="453" spans="1:13" ht="11.25" customHeight="1" x14ac:dyDescent="0.2">
      <c r="A453" s="222">
        <v>2023</v>
      </c>
      <c r="B453" s="222">
        <v>4</v>
      </c>
      <c r="C453" s="222">
        <v>18</v>
      </c>
      <c r="D453" s="223">
        <f t="shared" si="35"/>
        <v>45034</v>
      </c>
      <c r="E453" s="240">
        <f t="shared" si="34"/>
        <v>45034</v>
      </c>
      <c r="F453" s="511" t="s">
        <v>1247</v>
      </c>
      <c r="G453" s="225" t="s">
        <v>1245</v>
      </c>
      <c r="H453" s="226"/>
      <c r="I453" s="226" t="s">
        <v>1253</v>
      </c>
      <c r="J453" s="222" t="s">
        <v>77</v>
      </c>
      <c r="K453" s="227">
        <v>19522.817085119746</v>
      </c>
      <c r="L453" s="227"/>
    </row>
    <row r="454" spans="1:13" ht="11.25" customHeight="1" x14ac:dyDescent="0.2">
      <c r="A454" s="228">
        <v>2023</v>
      </c>
      <c r="B454" s="228">
        <v>4</v>
      </c>
      <c r="C454" s="228">
        <v>18</v>
      </c>
      <c r="D454" s="229">
        <f t="shared" si="35"/>
        <v>45034</v>
      </c>
      <c r="E454" s="241">
        <f t="shared" si="34"/>
        <v>45034</v>
      </c>
      <c r="F454" s="512"/>
      <c r="G454" s="231" t="s">
        <v>1245</v>
      </c>
      <c r="H454" s="232"/>
      <c r="I454" s="232" t="s">
        <v>1253</v>
      </c>
      <c r="J454" s="228" t="s">
        <v>41</v>
      </c>
      <c r="K454" s="233"/>
      <c r="L454" s="233">
        <v>19522.817085119746</v>
      </c>
    </row>
    <row r="455" spans="1:13" ht="11.25" customHeight="1" x14ac:dyDescent="0.2">
      <c r="A455" s="222">
        <v>2023</v>
      </c>
      <c r="B455" s="222">
        <v>4</v>
      </c>
      <c r="C455" s="222">
        <v>18</v>
      </c>
      <c r="D455" s="223">
        <f t="shared" si="35"/>
        <v>45034</v>
      </c>
      <c r="E455" s="240">
        <f t="shared" si="34"/>
        <v>45034</v>
      </c>
      <c r="F455" s="511" t="s">
        <v>1248</v>
      </c>
      <c r="G455" s="225" t="s">
        <v>1245</v>
      </c>
      <c r="H455" s="226"/>
      <c r="I455" s="226" t="s">
        <v>1253</v>
      </c>
      <c r="J455" s="222" t="s">
        <v>80</v>
      </c>
      <c r="K455" s="227">
        <v>976.14085425598739</v>
      </c>
      <c r="L455" s="227"/>
    </row>
    <row r="456" spans="1:13" ht="11.25" customHeight="1" x14ac:dyDescent="0.2">
      <c r="A456" s="228">
        <v>2023</v>
      </c>
      <c r="B456" s="228">
        <v>4</v>
      </c>
      <c r="C456" s="228">
        <v>18</v>
      </c>
      <c r="D456" s="229">
        <f t="shared" si="35"/>
        <v>45034</v>
      </c>
      <c r="E456" s="241">
        <f t="shared" si="34"/>
        <v>45034</v>
      </c>
      <c r="F456" s="512"/>
      <c r="G456" s="231" t="s">
        <v>1245</v>
      </c>
      <c r="H456" s="232"/>
      <c r="I456" s="232" t="s">
        <v>1253</v>
      </c>
      <c r="J456" s="228" t="s">
        <v>42</v>
      </c>
      <c r="K456" s="233"/>
      <c r="L456" s="233">
        <v>976.14085425598739</v>
      </c>
    </row>
    <row r="457" spans="1:13" ht="11.25" customHeight="1" x14ac:dyDescent="0.2">
      <c r="A457" s="197">
        <v>2023</v>
      </c>
      <c r="B457" s="197">
        <v>4</v>
      </c>
      <c r="C457" s="197">
        <v>24</v>
      </c>
      <c r="D457" s="198">
        <f t="shared" si="35"/>
        <v>45040</v>
      </c>
      <c r="E457" s="209">
        <f t="shared" ref="E457:E462" si="36">DATE(A457,B457,C457)</f>
        <v>45040</v>
      </c>
      <c r="F457" s="513" t="s">
        <v>1210</v>
      </c>
      <c r="G457" s="200" t="s">
        <v>1209</v>
      </c>
      <c r="H457" s="201"/>
      <c r="I457" s="201" t="s">
        <v>1301</v>
      </c>
      <c r="J457" s="197" t="s">
        <v>46</v>
      </c>
      <c r="K457" s="202">
        <v>101110</v>
      </c>
      <c r="L457" s="202"/>
      <c r="M457" s="251"/>
    </row>
    <row r="458" spans="1:13" ht="11.25" customHeight="1" x14ac:dyDescent="0.2">
      <c r="A458" s="120">
        <v>2023</v>
      </c>
      <c r="B458" s="120">
        <v>4</v>
      </c>
      <c r="C458" s="120">
        <v>24</v>
      </c>
      <c r="D458" s="208">
        <f t="shared" si="35"/>
        <v>45040</v>
      </c>
      <c r="E458" s="209">
        <f t="shared" si="36"/>
        <v>45040</v>
      </c>
      <c r="F458" s="515"/>
      <c r="G458" s="132" t="s">
        <v>1209</v>
      </c>
      <c r="I458" s="128" t="s">
        <v>1301</v>
      </c>
      <c r="J458" s="120" t="s">
        <v>16</v>
      </c>
      <c r="K458" s="207"/>
      <c r="L458" s="207">
        <v>100000</v>
      </c>
    </row>
    <row r="459" spans="1:13" ht="11.25" customHeight="1" x14ac:dyDescent="0.2">
      <c r="A459" s="191">
        <v>2023</v>
      </c>
      <c r="B459" s="191">
        <v>4</v>
      </c>
      <c r="C459" s="191">
        <v>24</v>
      </c>
      <c r="D459" s="192">
        <f t="shared" si="35"/>
        <v>45040</v>
      </c>
      <c r="E459" s="193">
        <f t="shared" si="36"/>
        <v>45040</v>
      </c>
      <c r="F459" s="514"/>
      <c r="G459" s="194" t="s">
        <v>1209</v>
      </c>
      <c r="H459" s="195"/>
      <c r="I459" s="195" t="s">
        <v>1301</v>
      </c>
      <c r="J459" s="191" t="s">
        <v>47</v>
      </c>
      <c r="K459" s="196"/>
      <c r="L459" s="196">
        <v>1110</v>
      </c>
    </row>
    <row r="460" spans="1:13" ht="11.25" customHeight="1" x14ac:dyDescent="0.2">
      <c r="A460" s="197">
        <v>2023</v>
      </c>
      <c r="B460" s="120">
        <v>4</v>
      </c>
      <c r="C460" s="120">
        <v>24</v>
      </c>
      <c r="D460" s="198">
        <f t="shared" si="35"/>
        <v>45040</v>
      </c>
      <c r="E460" s="199">
        <f t="shared" si="36"/>
        <v>45040</v>
      </c>
      <c r="F460" s="513" t="s">
        <v>1304</v>
      </c>
      <c r="G460" s="200" t="s">
        <v>1209</v>
      </c>
      <c r="H460" s="200"/>
      <c r="I460" s="201" t="s">
        <v>1253</v>
      </c>
      <c r="J460" s="197" t="s">
        <v>70</v>
      </c>
      <c r="K460" s="202">
        <v>61820</v>
      </c>
      <c r="L460" s="202"/>
    </row>
    <row r="461" spans="1:13" ht="11.25" customHeight="1" x14ac:dyDescent="0.2">
      <c r="A461" s="120">
        <v>2023</v>
      </c>
      <c r="B461" s="120">
        <v>4</v>
      </c>
      <c r="C461" s="120">
        <v>24</v>
      </c>
      <c r="D461" s="198">
        <f t="shared" si="35"/>
        <v>45040</v>
      </c>
      <c r="E461" s="209">
        <f t="shared" si="36"/>
        <v>45040</v>
      </c>
      <c r="F461" s="515"/>
      <c r="G461" s="132" t="s">
        <v>1209</v>
      </c>
      <c r="H461" s="132"/>
      <c r="I461" s="128" t="s">
        <v>1253</v>
      </c>
      <c r="J461" s="120" t="s">
        <v>46</v>
      </c>
      <c r="K461" s="207">
        <v>618180</v>
      </c>
      <c r="L461" s="207"/>
    </row>
    <row r="462" spans="1:13" ht="11.25" customHeight="1" x14ac:dyDescent="0.2">
      <c r="A462" s="191">
        <v>2023</v>
      </c>
      <c r="B462" s="191">
        <v>4</v>
      </c>
      <c r="C462" s="191">
        <v>24</v>
      </c>
      <c r="D462" s="249">
        <f t="shared" si="35"/>
        <v>45040</v>
      </c>
      <c r="E462" s="193">
        <f t="shared" si="36"/>
        <v>45040</v>
      </c>
      <c r="F462" s="514"/>
      <c r="G462" s="194" t="s">
        <v>1209</v>
      </c>
      <c r="H462" s="194"/>
      <c r="I462" s="195" t="s">
        <v>1253</v>
      </c>
      <c r="J462" s="191" t="s">
        <v>175</v>
      </c>
      <c r="K462" s="196"/>
      <c r="L462" s="196">
        <v>680000</v>
      </c>
      <c r="M462" s="251"/>
    </row>
    <row r="463" spans="1:13" ht="11.25" customHeight="1" x14ac:dyDescent="0.2">
      <c r="A463" s="197">
        <v>2023</v>
      </c>
      <c r="B463" s="197">
        <v>4</v>
      </c>
      <c r="C463" s="197">
        <v>25</v>
      </c>
      <c r="D463" s="198">
        <f t="shared" si="35"/>
        <v>45041</v>
      </c>
      <c r="E463" s="209">
        <f t="shared" ref="E463:E471" si="37">DATE(A463,B463,C463)</f>
        <v>45041</v>
      </c>
      <c r="F463" s="513" t="s">
        <v>1210</v>
      </c>
      <c r="G463" s="200" t="s">
        <v>1209</v>
      </c>
      <c r="H463" s="201"/>
      <c r="I463" s="201" t="s">
        <v>383</v>
      </c>
      <c r="J463" s="197" t="s">
        <v>46</v>
      </c>
      <c r="K463" s="202">
        <v>100000</v>
      </c>
      <c r="L463" s="202"/>
      <c r="M463" s="251"/>
    </row>
    <row r="464" spans="1:13" ht="11.25" customHeight="1" x14ac:dyDescent="0.2">
      <c r="A464" s="120">
        <v>2023</v>
      </c>
      <c r="B464" s="120">
        <v>4</v>
      </c>
      <c r="C464" s="120">
        <v>25</v>
      </c>
      <c r="D464" s="208">
        <f t="shared" si="35"/>
        <v>45041</v>
      </c>
      <c r="E464" s="209">
        <f t="shared" si="37"/>
        <v>45041</v>
      </c>
      <c r="F464" s="515"/>
      <c r="G464" s="132" t="s">
        <v>1209</v>
      </c>
      <c r="I464" s="128" t="s">
        <v>383</v>
      </c>
      <c r="J464" s="120" t="s">
        <v>16</v>
      </c>
      <c r="K464" s="207"/>
      <c r="L464" s="207">
        <v>98900</v>
      </c>
    </row>
    <row r="465" spans="1:13" ht="11.25" customHeight="1" x14ac:dyDescent="0.2">
      <c r="A465" s="191">
        <v>2023</v>
      </c>
      <c r="B465" s="191">
        <v>4</v>
      </c>
      <c r="C465" s="191">
        <v>25</v>
      </c>
      <c r="D465" s="192">
        <f t="shared" si="35"/>
        <v>45041</v>
      </c>
      <c r="E465" s="193">
        <f t="shared" si="37"/>
        <v>45041</v>
      </c>
      <c r="F465" s="514"/>
      <c r="G465" s="194" t="s">
        <v>1209</v>
      </c>
      <c r="H465" s="195"/>
      <c r="I465" s="195" t="s">
        <v>383</v>
      </c>
      <c r="J465" s="191" t="s">
        <v>47</v>
      </c>
      <c r="K465" s="196"/>
      <c r="L465" s="196">
        <v>1100</v>
      </c>
    </row>
    <row r="466" spans="1:13" ht="11.25" customHeight="1" x14ac:dyDescent="0.2">
      <c r="A466" s="197">
        <v>2023</v>
      </c>
      <c r="B466" s="197">
        <v>4</v>
      </c>
      <c r="C466" s="197">
        <v>26</v>
      </c>
      <c r="D466" s="198">
        <f t="shared" si="35"/>
        <v>45042</v>
      </c>
      <c r="E466" s="209">
        <f t="shared" si="37"/>
        <v>45042</v>
      </c>
      <c r="F466" s="513" t="s">
        <v>1210</v>
      </c>
      <c r="G466" s="200" t="s">
        <v>1209</v>
      </c>
      <c r="H466" s="201"/>
      <c r="I466" s="201" t="s">
        <v>391</v>
      </c>
      <c r="J466" s="197" t="s">
        <v>46</v>
      </c>
      <c r="K466" s="202">
        <v>400000</v>
      </c>
      <c r="L466" s="202"/>
      <c r="M466" s="251"/>
    </row>
    <row r="467" spans="1:13" ht="11.25" customHeight="1" x14ac:dyDescent="0.2">
      <c r="A467" s="120">
        <v>2023</v>
      </c>
      <c r="B467" s="120">
        <v>4</v>
      </c>
      <c r="C467" s="120">
        <v>26</v>
      </c>
      <c r="D467" s="208">
        <f t="shared" si="35"/>
        <v>45042</v>
      </c>
      <c r="E467" s="209">
        <f t="shared" si="37"/>
        <v>45042</v>
      </c>
      <c r="F467" s="515"/>
      <c r="G467" s="132" t="s">
        <v>1209</v>
      </c>
      <c r="I467" s="128" t="s">
        <v>391</v>
      </c>
      <c r="J467" s="120" t="s">
        <v>16</v>
      </c>
      <c r="K467" s="207"/>
      <c r="L467" s="207">
        <v>395610</v>
      </c>
    </row>
    <row r="468" spans="1:13" ht="11.25" customHeight="1" x14ac:dyDescent="0.2">
      <c r="A468" s="191">
        <v>2023</v>
      </c>
      <c r="B468" s="191">
        <v>4</v>
      </c>
      <c r="C468" s="191">
        <v>26</v>
      </c>
      <c r="D468" s="192">
        <f t="shared" si="35"/>
        <v>45042</v>
      </c>
      <c r="E468" s="193">
        <f t="shared" si="37"/>
        <v>45042</v>
      </c>
      <c r="F468" s="514"/>
      <c r="G468" s="194" t="s">
        <v>1209</v>
      </c>
      <c r="H468" s="195"/>
      <c r="I468" s="195" t="s">
        <v>391</v>
      </c>
      <c r="J468" s="191" t="s">
        <v>47</v>
      </c>
      <c r="K468" s="196"/>
      <c r="L468" s="196">
        <v>4390</v>
      </c>
    </row>
    <row r="469" spans="1:13" ht="11.25" customHeight="1" x14ac:dyDescent="0.2">
      <c r="A469" s="197">
        <v>2023</v>
      </c>
      <c r="B469" s="197">
        <v>4</v>
      </c>
      <c r="C469" s="197">
        <v>27</v>
      </c>
      <c r="D469" s="198">
        <f t="shared" si="35"/>
        <v>45043</v>
      </c>
      <c r="E469" s="209">
        <f t="shared" si="37"/>
        <v>45043</v>
      </c>
      <c r="F469" s="513" t="s">
        <v>1210</v>
      </c>
      <c r="G469" s="200" t="s">
        <v>1209</v>
      </c>
      <c r="H469" s="201"/>
      <c r="I469" s="201" t="s">
        <v>1293</v>
      </c>
      <c r="J469" s="197" t="s">
        <v>46</v>
      </c>
      <c r="K469" s="202">
        <v>2500000</v>
      </c>
      <c r="L469" s="202"/>
      <c r="M469" s="251"/>
    </row>
    <row r="470" spans="1:13" ht="11.25" customHeight="1" x14ac:dyDescent="0.2">
      <c r="A470" s="120">
        <v>2023</v>
      </c>
      <c r="B470" s="120">
        <v>4</v>
      </c>
      <c r="C470" s="120">
        <v>27</v>
      </c>
      <c r="D470" s="208">
        <f t="shared" si="35"/>
        <v>45043</v>
      </c>
      <c r="E470" s="209">
        <f t="shared" si="37"/>
        <v>45043</v>
      </c>
      <c r="F470" s="515"/>
      <c r="G470" s="132" t="s">
        <v>1209</v>
      </c>
      <c r="I470" s="128" t="s">
        <v>1293</v>
      </c>
      <c r="J470" s="120" t="s">
        <v>16</v>
      </c>
      <c r="K470" s="207"/>
      <c r="L470" s="207">
        <v>2472550</v>
      </c>
    </row>
    <row r="471" spans="1:13" ht="11.25" customHeight="1" x14ac:dyDescent="0.2">
      <c r="A471" s="191">
        <v>2023</v>
      </c>
      <c r="B471" s="191">
        <v>4</v>
      </c>
      <c r="C471" s="191">
        <v>27</v>
      </c>
      <c r="D471" s="192">
        <f t="shared" si="35"/>
        <v>45043</v>
      </c>
      <c r="E471" s="193">
        <f t="shared" si="37"/>
        <v>45043</v>
      </c>
      <c r="F471" s="514"/>
      <c r="G471" s="194" t="s">
        <v>1209</v>
      </c>
      <c r="H471" s="195"/>
      <c r="I471" s="195" t="s">
        <v>1293</v>
      </c>
      <c r="J471" s="191" t="s">
        <v>47</v>
      </c>
      <c r="K471" s="196"/>
      <c r="L471" s="196">
        <v>27450</v>
      </c>
    </row>
    <row r="472" spans="1:13" ht="11.25" customHeight="1" x14ac:dyDescent="0.2">
      <c r="A472" s="197">
        <v>2023</v>
      </c>
      <c r="B472" s="197">
        <v>4</v>
      </c>
      <c r="C472" s="197">
        <v>27</v>
      </c>
      <c r="D472" s="198">
        <f t="shared" si="35"/>
        <v>45043</v>
      </c>
      <c r="E472" s="209">
        <f t="shared" ref="E472:E502" si="38">DATE(A472,B472,C472)</f>
        <v>45043</v>
      </c>
      <c r="F472" s="513" t="s">
        <v>1210</v>
      </c>
      <c r="G472" s="200" t="s">
        <v>1209</v>
      </c>
      <c r="H472" s="201"/>
      <c r="I472" s="201" t="s">
        <v>1241</v>
      </c>
      <c r="J472" s="197" t="s">
        <v>46</v>
      </c>
      <c r="K472" s="202">
        <v>10111000</v>
      </c>
      <c r="L472" s="202"/>
      <c r="M472" s="251"/>
    </row>
    <row r="473" spans="1:13" ht="11.25" customHeight="1" x14ac:dyDescent="0.2">
      <c r="A473" s="120">
        <v>2023</v>
      </c>
      <c r="B473" s="120">
        <v>4</v>
      </c>
      <c r="C473" s="120">
        <v>27</v>
      </c>
      <c r="D473" s="208">
        <f t="shared" si="35"/>
        <v>45043</v>
      </c>
      <c r="E473" s="209">
        <f t="shared" si="38"/>
        <v>45043</v>
      </c>
      <c r="F473" s="515"/>
      <c r="G473" s="132" t="s">
        <v>1209</v>
      </c>
      <c r="I473" s="128" t="s">
        <v>1241</v>
      </c>
      <c r="J473" s="120" t="s">
        <v>16</v>
      </c>
      <c r="K473" s="207"/>
      <c r="L473" s="207">
        <v>10000000</v>
      </c>
    </row>
    <row r="474" spans="1:13" ht="11.25" customHeight="1" x14ac:dyDescent="0.2">
      <c r="A474" s="191">
        <v>2023</v>
      </c>
      <c r="B474" s="191">
        <v>4</v>
      </c>
      <c r="C474" s="191">
        <v>27</v>
      </c>
      <c r="D474" s="192">
        <f t="shared" si="35"/>
        <v>45043</v>
      </c>
      <c r="E474" s="193">
        <f t="shared" si="38"/>
        <v>45043</v>
      </c>
      <c r="F474" s="514"/>
      <c r="G474" s="194" t="s">
        <v>1209</v>
      </c>
      <c r="H474" s="195"/>
      <c r="I474" s="195" t="s">
        <v>1241</v>
      </c>
      <c r="J474" s="191" t="s">
        <v>47</v>
      </c>
      <c r="K474" s="196"/>
      <c r="L474" s="196">
        <v>111000</v>
      </c>
    </row>
    <row r="475" spans="1:13" ht="11.25" customHeight="1" x14ac:dyDescent="0.2">
      <c r="A475" s="197">
        <v>2023</v>
      </c>
      <c r="B475" s="197">
        <v>4</v>
      </c>
      <c r="C475" s="197">
        <v>27</v>
      </c>
      <c r="D475" s="198">
        <f t="shared" si="35"/>
        <v>45043</v>
      </c>
      <c r="E475" s="209">
        <f t="shared" si="38"/>
        <v>45043</v>
      </c>
      <c r="F475" s="513" t="s">
        <v>1296</v>
      </c>
      <c r="G475" s="200" t="s">
        <v>1209</v>
      </c>
      <c r="H475" s="201"/>
      <c r="I475" s="201"/>
      <c r="J475" s="197" t="s">
        <v>46</v>
      </c>
      <c r="K475" s="202">
        <v>17000</v>
      </c>
      <c r="L475" s="202"/>
      <c r="M475" s="251"/>
    </row>
    <row r="476" spans="1:13" ht="11.25" customHeight="1" x14ac:dyDescent="0.2">
      <c r="A476" s="120">
        <v>2023</v>
      </c>
      <c r="B476" s="120">
        <v>4</v>
      </c>
      <c r="C476" s="120">
        <v>27</v>
      </c>
      <c r="D476" s="208">
        <f t="shared" si="35"/>
        <v>45043</v>
      </c>
      <c r="E476" s="209">
        <f t="shared" si="38"/>
        <v>45043</v>
      </c>
      <c r="F476" s="515"/>
      <c r="G476" s="132" t="s">
        <v>1209</v>
      </c>
      <c r="J476" s="120" t="s">
        <v>16</v>
      </c>
      <c r="K476" s="207"/>
      <c r="L476" s="207">
        <v>16820</v>
      </c>
    </row>
    <row r="477" spans="1:13" ht="11.25" customHeight="1" x14ac:dyDescent="0.2">
      <c r="A477" s="191">
        <v>2023</v>
      </c>
      <c r="B477" s="191">
        <v>4</v>
      </c>
      <c r="C477" s="191">
        <v>27</v>
      </c>
      <c r="D477" s="192">
        <f t="shared" si="35"/>
        <v>45043</v>
      </c>
      <c r="E477" s="193">
        <f t="shared" si="38"/>
        <v>45043</v>
      </c>
      <c r="F477" s="514"/>
      <c r="G477" s="194" t="s">
        <v>1209</v>
      </c>
      <c r="H477" s="195"/>
      <c r="I477" s="195"/>
      <c r="J477" s="191" t="s">
        <v>47</v>
      </c>
      <c r="K477" s="196"/>
      <c r="L477" s="196">
        <v>180</v>
      </c>
    </row>
    <row r="478" spans="1:13" ht="11.25" customHeight="1" x14ac:dyDescent="0.2">
      <c r="A478" s="210">
        <v>2023</v>
      </c>
      <c r="B478" s="210">
        <v>4</v>
      </c>
      <c r="C478" s="210">
        <v>27</v>
      </c>
      <c r="D478" s="211">
        <f t="shared" si="35"/>
        <v>45043</v>
      </c>
      <c r="E478" s="238">
        <f t="shared" si="38"/>
        <v>45043</v>
      </c>
      <c r="F478" s="520" t="s">
        <v>1278</v>
      </c>
      <c r="G478" s="213" t="s">
        <v>1245</v>
      </c>
      <c r="H478" s="214"/>
      <c r="I478" s="214" t="s">
        <v>1253</v>
      </c>
      <c r="J478" s="210" t="s">
        <v>1529</v>
      </c>
      <c r="K478" s="215">
        <v>7032.2624999999998</v>
      </c>
      <c r="L478" s="215"/>
    </row>
    <row r="479" spans="1:13" ht="11.25" customHeight="1" x14ac:dyDescent="0.2">
      <c r="A479" s="216">
        <v>2023</v>
      </c>
      <c r="B479" s="216">
        <v>4</v>
      </c>
      <c r="C479" s="216">
        <v>27</v>
      </c>
      <c r="D479" s="217">
        <f t="shared" si="35"/>
        <v>45043</v>
      </c>
      <c r="E479" s="239">
        <f t="shared" si="38"/>
        <v>45043</v>
      </c>
      <c r="F479" s="521"/>
      <c r="G479" s="219" t="s">
        <v>1245</v>
      </c>
      <c r="H479" s="220"/>
      <c r="I479" s="220" t="s">
        <v>1253</v>
      </c>
      <c r="J479" s="216" t="s">
        <v>153</v>
      </c>
      <c r="K479" s="221"/>
      <c r="L479" s="221">
        <v>7032.2624999999998</v>
      </c>
    </row>
    <row r="480" spans="1:13" ht="11.25" customHeight="1" x14ac:dyDescent="0.2">
      <c r="A480" s="210">
        <v>2023</v>
      </c>
      <c r="B480" s="210">
        <v>4</v>
      </c>
      <c r="C480" s="210">
        <v>27</v>
      </c>
      <c r="D480" s="211">
        <f t="shared" si="35"/>
        <v>45043</v>
      </c>
      <c r="E480" s="238">
        <f t="shared" si="38"/>
        <v>45043</v>
      </c>
      <c r="F480" s="520" t="s">
        <v>1285</v>
      </c>
      <c r="G480" s="213" t="s">
        <v>1245</v>
      </c>
      <c r="H480" s="214"/>
      <c r="I480" s="214" t="s">
        <v>1253</v>
      </c>
      <c r="J480" s="210" t="s">
        <v>1284</v>
      </c>
      <c r="K480" s="215">
        <v>15398.28</v>
      </c>
      <c r="L480" s="215"/>
    </row>
    <row r="481" spans="1:15" ht="11.25" customHeight="1" x14ac:dyDescent="0.2">
      <c r="A481" s="242">
        <v>2023</v>
      </c>
      <c r="B481" s="216">
        <v>4</v>
      </c>
      <c r="C481" s="216">
        <v>27</v>
      </c>
      <c r="D481" s="243">
        <f t="shared" si="35"/>
        <v>45043</v>
      </c>
      <c r="E481" s="244">
        <f>DATE(A481,B481,C481)</f>
        <v>45043</v>
      </c>
      <c r="F481" s="524"/>
      <c r="G481" s="245" t="s">
        <v>1245</v>
      </c>
      <c r="H481" s="246"/>
      <c r="I481" s="246"/>
      <c r="J481" s="242" t="s">
        <v>1582</v>
      </c>
      <c r="K481" s="247"/>
      <c r="L481" s="247">
        <v>15398.28</v>
      </c>
    </row>
    <row r="482" spans="1:15" ht="11.25" customHeight="1" x14ac:dyDescent="0.2">
      <c r="A482" s="210">
        <v>2023</v>
      </c>
      <c r="B482" s="210">
        <v>4</v>
      </c>
      <c r="C482" s="210">
        <v>27</v>
      </c>
      <c r="D482" s="211">
        <f t="shared" si="35"/>
        <v>45043</v>
      </c>
      <c r="E482" s="238">
        <f t="shared" si="38"/>
        <v>45043</v>
      </c>
      <c r="F482" s="520" t="s">
        <v>1259</v>
      </c>
      <c r="G482" s="213" t="s">
        <v>1245</v>
      </c>
      <c r="H482" s="214"/>
      <c r="I482" s="214" t="s">
        <v>1253</v>
      </c>
      <c r="J482" s="210" t="s">
        <v>58</v>
      </c>
      <c r="K482" s="215">
        <v>5778.36</v>
      </c>
      <c r="L482" s="215"/>
    </row>
    <row r="483" spans="1:15" ht="11.25" customHeight="1" x14ac:dyDescent="0.2">
      <c r="A483" s="216">
        <v>2023</v>
      </c>
      <c r="B483" s="216">
        <v>4</v>
      </c>
      <c r="C483" s="216">
        <v>27</v>
      </c>
      <c r="D483" s="217">
        <f t="shared" si="35"/>
        <v>45043</v>
      </c>
      <c r="E483" s="239">
        <f t="shared" si="38"/>
        <v>45043</v>
      </c>
      <c r="F483" s="521"/>
      <c r="G483" s="219" t="s">
        <v>1245</v>
      </c>
      <c r="H483" s="220"/>
      <c r="I483" s="220" t="s">
        <v>1253</v>
      </c>
      <c r="J483" s="216" t="s">
        <v>153</v>
      </c>
      <c r="K483" s="221"/>
      <c r="L483" s="221">
        <v>5778.36</v>
      </c>
    </row>
    <row r="484" spans="1:15" ht="11.25" customHeight="1" x14ac:dyDescent="0.2">
      <c r="A484" s="210">
        <v>2023</v>
      </c>
      <c r="B484" s="210">
        <v>4</v>
      </c>
      <c r="C484" s="210">
        <v>27</v>
      </c>
      <c r="D484" s="211">
        <f t="shared" si="35"/>
        <v>45043</v>
      </c>
      <c r="E484" s="238">
        <f t="shared" si="38"/>
        <v>45043</v>
      </c>
      <c r="F484" s="520" t="s">
        <v>1255</v>
      </c>
      <c r="G484" s="213" t="s">
        <v>1245</v>
      </c>
      <c r="H484" s="214"/>
      <c r="I484" s="214" t="s">
        <v>1253</v>
      </c>
      <c r="J484" s="210" t="s">
        <v>113</v>
      </c>
      <c r="K484" s="215">
        <v>43831.07</v>
      </c>
      <c r="L484" s="215"/>
      <c r="M484" s="251"/>
      <c r="O484" s="130"/>
    </row>
    <row r="485" spans="1:15" ht="11.25" customHeight="1" x14ac:dyDescent="0.2">
      <c r="A485" s="216">
        <v>2023</v>
      </c>
      <c r="B485" s="216">
        <v>4</v>
      </c>
      <c r="C485" s="216">
        <v>27</v>
      </c>
      <c r="D485" s="217">
        <f t="shared" si="35"/>
        <v>45043</v>
      </c>
      <c r="E485" s="239">
        <f t="shared" si="38"/>
        <v>45043</v>
      </c>
      <c r="F485" s="521"/>
      <c r="G485" s="219" t="s">
        <v>1245</v>
      </c>
      <c r="H485" s="220"/>
      <c r="I485" s="220" t="s">
        <v>1253</v>
      </c>
      <c r="J485" s="216" t="s">
        <v>153</v>
      </c>
      <c r="K485" s="221"/>
      <c r="L485" s="221">
        <v>43831.07</v>
      </c>
    </row>
    <row r="486" spans="1:15" ht="11.25" customHeight="1" x14ac:dyDescent="0.2">
      <c r="A486" s="210">
        <v>2023</v>
      </c>
      <c r="B486" s="210">
        <v>4</v>
      </c>
      <c r="C486" s="210">
        <v>27</v>
      </c>
      <c r="D486" s="211">
        <f t="shared" si="35"/>
        <v>45043</v>
      </c>
      <c r="E486" s="238">
        <f t="shared" si="38"/>
        <v>45043</v>
      </c>
      <c r="F486" s="520" t="s">
        <v>1256</v>
      </c>
      <c r="G486" s="213" t="s">
        <v>1245</v>
      </c>
      <c r="H486" s="214"/>
      <c r="I486" s="214" t="s">
        <v>1253</v>
      </c>
      <c r="J486" s="210" t="s">
        <v>113</v>
      </c>
      <c r="K486" s="215">
        <v>29573.91</v>
      </c>
      <c r="L486" s="215"/>
      <c r="M486" s="251"/>
      <c r="O486" s="130"/>
    </row>
    <row r="487" spans="1:15" ht="11.25" customHeight="1" x14ac:dyDescent="0.2">
      <c r="A487" s="216">
        <v>2023</v>
      </c>
      <c r="B487" s="216">
        <v>4</v>
      </c>
      <c r="C487" s="216">
        <v>27</v>
      </c>
      <c r="D487" s="217">
        <f t="shared" si="35"/>
        <v>45043</v>
      </c>
      <c r="E487" s="239">
        <f t="shared" si="38"/>
        <v>45043</v>
      </c>
      <c r="F487" s="521"/>
      <c r="G487" s="219" t="s">
        <v>1245</v>
      </c>
      <c r="H487" s="220"/>
      <c r="I487" s="220" t="s">
        <v>1253</v>
      </c>
      <c r="J487" s="216" t="s">
        <v>153</v>
      </c>
      <c r="K487" s="221"/>
      <c r="L487" s="221">
        <v>29573.91</v>
      </c>
    </row>
    <row r="488" spans="1:15" ht="11.25" customHeight="1" x14ac:dyDescent="0.2">
      <c r="A488" s="210">
        <v>2023</v>
      </c>
      <c r="B488" s="210">
        <v>4</v>
      </c>
      <c r="C488" s="210">
        <v>27</v>
      </c>
      <c r="D488" s="211">
        <f t="shared" si="35"/>
        <v>45043</v>
      </c>
      <c r="E488" s="238">
        <f t="shared" si="38"/>
        <v>45043</v>
      </c>
      <c r="F488" s="520" t="s">
        <v>1257</v>
      </c>
      <c r="G488" s="213" t="s">
        <v>1245</v>
      </c>
      <c r="H488" s="214"/>
      <c r="I488" s="214" t="s">
        <v>1253</v>
      </c>
      <c r="J488" s="210" t="s">
        <v>113</v>
      </c>
      <c r="K488" s="215">
        <v>30392.156862745171</v>
      </c>
      <c r="L488" s="215"/>
    </row>
    <row r="489" spans="1:15" ht="11.25" customHeight="1" x14ac:dyDescent="0.2">
      <c r="A489" s="216">
        <v>2023</v>
      </c>
      <c r="B489" s="216">
        <v>4</v>
      </c>
      <c r="C489" s="216">
        <v>27</v>
      </c>
      <c r="D489" s="217">
        <f t="shared" si="35"/>
        <v>45043</v>
      </c>
      <c r="E489" s="239">
        <f t="shared" si="38"/>
        <v>45043</v>
      </c>
      <c r="F489" s="521"/>
      <c r="G489" s="219" t="s">
        <v>1245</v>
      </c>
      <c r="H489" s="220"/>
      <c r="I489" s="220" t="s">
        <v>1253</v>
      </c>
      <c r="J489" s="216" t="s">
        <v>153</v>
      </c>
      <c r="K489" s="221"/>
      <c r="L489" s="221">
        <v>30392.156862745171</v>
      </c>
    </row>
    <row r="490" spans="1:15" ht="11.25" customHeight="1" x14ac:dyDescent="0.2">
      <c r="A490" s="222">
        <v>2023</v>
      </c>
      <c r="B490" s="222">
        <v>4</v>
      </c>
      <c r="C490" s="222">
        <v>27</v>
      </c>
      <c r="D490" s="223">
        <f t="shared" si="35"/>
        <v>45043</v>
      </c>
      <c r="E490" s="240">
        <f t="shared" si="38"/>
        <v>45043</v>
      </c>
      <c r="F490" s="511" t="s">
        <v>1244</v>
      </c>
      <c r="G490" s="225" t="s">
        <v>1245</v>
      </c>
      <c r="H490" s="226"/>
      <c r="I490" s="226" t="s">
        <v>1253</v>
      </c>
      <c r="J490" s="222" t="s">
        <v>72</v>
      </c>
      <c r="K490" s="227">
        <v>6495.2380952388048</v>
      </c>
      <c r="L490" s="227"/>
    </row>
    <row r="491" spans="1:15" ht="11.25" customHeight="1" x14ac:dyDescent="0.2">
      <c r="A491" s="228">
        <v>2023</v>
      </c>
      <c r="B491" s="228">
        <v>4</v>
      </c>
      <c r="C491" s="228">
        <v>27</v>
      </c>
      <c r="D491" s="229">
        <f t="shared" si="35"/>
        <v>45043</v>
      </c>
      <c r="E491" s="241">
        <f t="shared" si="38"/>
        <v>45043</v>
      </c>
      <c r="F491" s="512"/>
      <c r="G491" s="231" t="s">
        <v>1245</v>
      </c>
      <c r="H491" s="232"/>
      <c r="I491" s="232" t="s">
        <v>1253</v>
      </c>
      <c r="J491" s="228" t="s">
        <v>87</v>
      </c>
      <c r="K491" s="233"/>
      <c r="L491" s="233">
        <v>6495.2380952388048</v>
      </c>
    </row>
    <row r="492" spans="1:15" ht="11.25" customHeight="1" x14ac:dyDescent="0.2">
      <c r="A492" s="222">
        <v>2023</v>
      </c>
      <c r="B492" s="222">
        <v>4</v>
      </c>
      <c r="C492" s="222">
        <v>27</v>
      </c>
      <c r="D492" s="223">
        <f t="shared" si="35"/>
        <v>45043</v>
      </c>
      <c r="E492" s="240">
        <f t="shared" si="38"/>
        <v>45043</v>
      </c>
      <c r="F492" s="511" t="s">
        <v>1246</v>
      </c>
      <c r="G492" s="225" t="s">
        <v>1245</v>
      </c>
      <c r="H492" s="226"/>
      <c r="I492" s="226" t="s">
        <v>1253</v>
      </c>
      <c r="J492" s="222" t="s">
        <v>75</v>
      </c>
      <c r="K492" s="227">
        <v>3846.1538461538462</v>
      </c>
      <c r="L492" s="227"/>
    </row>
    <row r="493" spans="1:15" ht="11.25" customHeight="1" x14ac:dyDescent="0.2">
      <c r="A493" s="228">
        <v>2023</v>
      </c>
      <c r="B493" s="228">
        <v>4</v>
      </c>
      <c r="C493" s="228">
        <v>27</v>
      </c>
      <c r="D493" s="229">
        <f t="shared" si="35"/>
        <v>45043</v>
      </c>
      <c r="E493" s="241">
        <f t="shared" si="38"/>
        <v>45043</v>
      </c>
      <c r="F493" s="512"/>
      <c r="G493" s="231" t="s">
        <v>1245</v>
      </c>
      <c r="H493" s="232"/>
      <c r="I493" s="232" t="s">
        <v>1253</v>
      </c>
      <c r="J493" s="228" t="s">
        <v>55</v>
      </c>
      <c r="K493" s="233"/>
      <c r="L493" s="233">
        <v>3846.1538461538462</v>
      </c>
    </row>
    <row r="494" spans="1:15" ht="11.25" customHeight="1" x14ac:dyDescent="0.2">
      <c r="A494" s="222">
        <v>2023</v>
      </c>
      <c r="B494" s="222">
        <v>4</v>
      </c>
      <c r="C494" s="222">
        <v>27</v>
      </c>
      <c r="D494" s="223">
        <f t="shared" si="35"/>
        <v>45043</v>
      </c>
      <c r="E494" s="240">
        <f t="shared" si="38"/>
        <v>45043</v>
      </c>
      <c r="F494" s="511" t="s">
        <v>1247</v>
      </c>
      <c r="G494" s="225" t="s">
        <v>1245</v>
      </c>
      <c r="H494" s="226"/>
      <c r="I494" s="226" t="s">
        <v>1253</v>
      </c>
      <c r="J494" s="222" t="s">
        <v>77</v>
      </c>
      <c r="K494" s="227">
        <v>22086.32010232782</v>
      </c>
      <c r="L494" s="227"/>
    </row>
    <row r="495" spans="1:15" ht="11.25" customHeight="1" x14ac:dyDescent="0.2">
      <c r="A495" s="228">
        <v>2023</v>
      </c>
      <c r="B495" s="228">
        <v>4</v>
      </c>
      <c r="C495" s="228">
        <v>27</v>
      </c>
      <c r="D495" s="229">
        <f t="shared" si="35"/>
        <v>45043</v>
      </c>
      <c r="E495" s="241">
        <f t="shared" si="38"/>
        <v>45043</v>
      </c>
      <c r="F495" s="512"/>
      <c r="G495" s="231" t="s">
        <v>1245</v>
      </c>
      <c r="H495" s="232"/>
      <c r="I495" s="232" t="s">
        <v>1253</v>
      </c>
      <c r="J495" s="228" t="s">
        <v>41</v>
      </c>
      <c r="K495" s="233"/>
      <c r="L495" s="233">
        <v>22086.32010232782</v>
      </c>
    </row>
    <row r="496" spans="1:15" ht="11.25" customHeight="1" x14ac:dyDescent="0.2">
      <c r="A496" s="222">
        <v>2023</v>
      </c>
      <c r="B496" s="222">
        <v>4</v>
      </c>
      <c r="C496" s="222">
        <v>27</v>
      </c>
      <c r="D496" s="223">
        <f t="shared" si="35"/>
        <v>45043</v>
      </c>
      <c r="E496" s="240">
        <f t="shared" si="38"/>
        <v>45043</v>
      </c>
      <c r="F496" s="511" t="s">
        <v>1248</v>
      </c>
      <c r="G496" s="225" t="s">
        <v>1245</v>
      </c>
      <c r="H496" s="226"/>
      <c r="I496" s="226" t="s">
        <v>1253</v>
      </c>
      <c r="J496" s="222" t="s">
        <v>80</v>
      </c>
      <c r="K496" s="227">
        <v>1104.3160051163909</v>
      </c>
      <c r="L496" s="227"/>
    </row>
    <row r="497" spans="1:13" ht="11.25" customHeight="1" x14ac:dyDescent="0.2">
      <c r="A497" s="228">
        <v>2023</v>
      </c>
      <c r="B497" s="228">
        <v>4</v>
      </c>
      <c r="C497" s="228">
        <v>27</v>
      </c>
      <c r="D497" s="229">
        <f t="shared" si="35"/>
        <v>45043</v>
      </c>
      <c r="E497" s="241">
        <f t="shared" si="38"/>
        <v>45043</v>
      </c>
      <c r="F497" s="512"/>
      <c r="G497" s="231" t="s">
        <v>1245</v>
      </c>
      <c r="H497" s="232"/>
      <c r="I497" s="232" t="s">
        <v>1253</v>
      </c>
      <c r="J497" s="228" t="s">
        <v>42</v>
      </c>
      <c r="K497" s="233"/>
      <c r="L497" s="233">
        <v>1104.3160051163909</v>
      </c>
    </row>
    <row r="498" spans="1:13" ht="11.25" customHeight="1" x14ac:dyDescent="0.2">
      <c r="A498" s="197">
        <v>2023</v>
      </c>
      <c r="B498" s="197">
        <v>5</v>
      </c>
      <c r="C498" s="197">
        <v>2</v>
      </c>
      <c r="D498" s="198">
        <f t="shared" si="35"/>
        <v>45048</v>
      </c>
      <c r="E498" s="199">
        <f t="shared" si="38"/>
        <v>45048</v>
      </c>
      <c r="F498" s="513" t="s">
        <v>1280</v>
      </c>
      <c r="G498" s="200" t="s">
        <v>1209</v>
      </c>
      <c r="H498" s="201"/>
      <c r="I498" s="201" t="s">
        <v>1235</v>
      </c>
      <c r="J498" s="197" t="s">
        <v>16</v>
      </c>
      <c r="K498" s="202">
        <v>100000</v>
      </c>
      <c r="L498" s="202"/>
    </row>
    <row r="499" spans="1:13" ht="11.25" customHeight="1" x14ac:dyDescent="0.2">
      <c r="A499" s="120">
        <v>2023</v>
      </c>
      <c r="B499" s="120">
        <v>5</v>
      </c>
      <c r="C499" s="120">
        <v>2</v>
      </c>
      <c r="D499" s="208">
        <f t="shared" si="35"/>
        <v>45048</v>
      </c>
      <c r="E499" s="209">
        <f t="shared" si="38"/>
        <v>45048</v>
      </c>
      <c r="F499" s="515"/>
      <c r="G499" s="132" t="s">
        <v>1209</v>
      </c>
      <c r="I499" s="128" t="s">
        <v>1235</v>
      </c>
      <c r="J499" s="120" t="s">
        <v>47</v>
      </c>
      <c r="K499" s="207">
        <v>1190</v>
      </c>
      <c r="L499" s="207"/>
    </row>
    <row r="500" spans="1:13" ht="11.25" customHeight="1" x14ac:dyDescent="0.2">
      <c r="A500" s="191">
        <v>2023</v>
      </c>
      <c r="B500" s="191">
        <v>5</v>
      </c>
      <c r="C500" s="191">
        <v>2</v>
      </c>
      <c r="D500" s="192">
        <f t="shared" si="35"/>
        <v>45048</v>
      </c>
      <c r="E500" s="193">
        <f t="shared" si="38"/>
        <v>45048</v>
      </c>
      <c r="F500" s="514"/>
      <c r="G500" s="194" t="s">
        <v>1209</v>
      </c>
      <c r="H500" s="195"/>
      <c r="I500" s="195" t="s">
        <v>1235</v>
      </c>
      <c r="J500" s="191" t="s">
        <v>46</v>
      </c>
      <c r="K500" s="196"/>
      <c r="L500" s="196">
        <v>101190</v>
      </c>
    </row>
    <row r="501" spans="1:13" ht="11.25" customHeight="1" x14ac:dyDescent="0.2">
      <c r="A501" s="197">
        <v>2023</v>
      </c>
      <c r="B501" s="197">
        <v>5</v>
      </c>
      <c r="C501" s="197">
        <v>3</v>
      </c>
      <c r="D501" s="198">
        <f t="shared" si="35"/>
        <v>45049</v>
      </c>
      <c r="E501" s="199">
        <f t="shared" si="38"/>
        <v>45049</v>
      </c>
      <c r="F501" s="513" t="s">
        <v>1279</v>
      </c>
      <c r="G501" s="200" t="s">
        <v>1209</v>
      </c>
      <c r="H501" s="201"/>
      <c r="I501" s="201" t="s">
        <v>1253</v>
      </c>
      <c r="J501" s="197" t="s">
        <v>76</v>
      </c>
      <c r="K501" s="202">
        <v>2000000</v>
      </c>
      <c r="L501" s="202"/>
    </row>
    <row r="502" spans="1:13" ht="11.25" customHeight="1" x14ac:dyDescent="0.2">
      <c r="A502" s="191">
        <v>2023</v>
      </c>
      <c r="B502" s="191">
        <v>5</v>
      </c>
      <c r="C502" s="191">
        <v>3</v>
      </c>
      <c r="D502" s="192">
        <f t="shared" si="35"/>
        <v>45049</v>
      </c>
      <c r="E502" s="193">
        <f t="shared" si="38"/>
        <v>45049</v>
      </c>
      <c r="F502" s="514"/>
      <c r="G502" s="194" t="s">
        <v>1209</v>
      </c>
      <c r="H502" s="195"/>
      <c r="I502" s="195" t="s">
        <v>1253</v>
      </c>
      <c r="J502" s="191" t="s">
        <v>46</v>
      </c>
      <c r="K502" s="196"/>
      <c r="L502" s="196">
        <v>2000000</v>
      </c>
    </row>
    <row r="503" spans="1:13" ht="11.25" customHeight="1" x14ac:dyDescent="0.2">
      <c r="A503" s="197">
        <v>2023</v>
      </c>
      <c r="B503" s="197">
        <v>5</v>
      </c>
      <c r="C503" s="197">
        <v>3</v>
      </c>
      <c r="D503" s="198">
        <f t="shared" ref="D503:D562" si="39">DATE(A503,B503,C503)</f>
        <v>45049</v>
      </c>
      <c r="E503" s="199">
        <f>DATE(A503,B503,C503)</f>
        <v>45049</v>
      </c>
      <c r="F503" s="513" t="s">
        <v>1308</v>
      </c>
      <c r="G503" s="200" t="s">
        <v>1209</v>
      </c>
      <c r="H503" s="201"/>
      <c r="I503" s="201" t="s">
        <v>1253</v>
      </c>
      <c r="J503" s="197" t="s">
        <v>76</v>
      </c>
      <c r="K503" s="202">
        <v>2000000</v>
      </c>
      <c r="L503" s="202"/>
    </row>
    <row r="504" spans="1:13" ht="11.25" customHeight="1" x14ac:dyDescent="0.2">
      <c r="A504" s="191">
        <v>2023</v>
      </c>
      <c r="B504" s="191">
        <v>5</v>
      </c>
      <c r="C504" s="191">
        <v>3</v>
      </c>
      <c r="D504" s="192">
        <f t="shared" si="39"/>
        <v>45049</v>
      </c>
      <c r="E504" s="193">
        <f>DATE(A504,B504,C504)</f>
        <v>45049</v>
      </c>
      <c r="F504" s="514"/>
      <c r="G504" s="194" t="s">
        <v>1209</v>
      </c>
      <c r="H504" s="195"/>
      <c r="I504" s="195" t="s">
        <v>1253</v>
      </c>
      <c r="J504" s="191" t="s">
        <v>46</v>
      </c>
      <c r="K504" s="196"/>
      <c r="L504" s="196">
        <v>2000000</v>
      </c>
    </row>
    <row r="505" spans="1:13" ht="11.25" customHeight="1" x14ac:dyDescent="0.2">
      <c r="A505" s="197">
        <v>2023</v>
      </c>
      <c r="B505" s="197">
        <v>5</v>
      </c>
      <c r="C505" s="197">
        <v>3</v>
      </c>
      <c r="D505" s="198">
        <f t="shared" si="39"/>
        <v>45049</v>
      </c>
      <c r="E505" s="199">
        <f t="shared" ref="E505:E538" si="40">DATE(A505,B505,C505)</f>
        <v>45049</v>
      </c>
      <c r="F505" s="513" t="s">
        <v>1307</v>
      </c>
      <c r="G505" s="200" t="s">
        <v>1209</v>
      </c>
      <c r="H505" s="201"/>
      <c r="I505" s="201" t="s">
        <v>1253</v>
      </c>
      <c r="J505" s="197" t="s">
        <v>76</v>
      </c>
      <c r="K505" s="202">
        <v>2000000</v>
      </c>
      <c r="L505" s="202"/>
    </row>
    <row r="506" spans="1:13" ht="11.25" customHeight="1" x14ac:dyDescent="0.2">
      <c r="A506" s="191">
        <v>2023</v>
      </c>
      <c r="B506" s="191">
        <v>5</v>
      </c>
      <c r="C506" s="191">
        <v>3</v>
      </c>
      <c r="D506" s="192">
        <f t="shared" si="39"/>
        <v>45049</v>
      </c>
      <c r="E506" s="193">
        <f t="shared" si="40"/>
        <v>45049</v>
      </c>
      <c r="F506" s="514"/>
      <c r="G506" s="194" t="s">
        <v>1209</v>
      </c>
      <c r="H506" s="195"/>
      <c r="I506" s="195" t="s">
        <v>1253</v>
      </c>
      <c r="J506" s="191" t="s">
        <v>46</v>
      </c>
      <c r="K506" s="196"/>
      <c r="L506" s="196">
        <v>2000000</v>
      </c>
    </row>
    <row r="507" spans="1:13" ht="11.25" customHeight="1" x14ac:dyDescent="0.2">
      <c r="A507" s="197">
        <v>2023</v>
      </c>
      <c r="B507" s="197">
        <v>5</v>
      </c>
      <c r="C507" s="197">
        <v>3</v>
      </c>
      <c r="D507" s="198">
        <f t="shared" si="39"/>
        <v>45049</v>
      </c>
      <c r="E507" s="209">
        <f t="shared" si="40"/>
        <v>45049</v>
      </c>
      <c r="F507" s="513" t="s">
        <v>1210</v>
      </c>
      <c r="G507" s="200" t="s">
        <v>1209</v>
      </c>
      <c r="H507" s="201"/>
      <c r="I507" s="201" t="s">
        <v>1302</v>
      </c>
      <c r="J507" s="197" t="s">
        <v>46</v>
      </c>
      <c r="K507" s="202">
        <v>8000</v>
      </c>
      <c r="L507" s="202"/>
      <c r="M507" s="251"/>
    </row>
    <row r="508" spans="1:13" ht="11.25" customHeight="1" x14ac:dyDescent="0.2">
      <c r="A508" s="120">
        <v>2023</v>
      </c>
      <c r="B508" s="120">
        <v>5</v>
      </c>
      <c r="C508" s="120">
        <v>3</v>
      </c>
      <c r="D508" s="208">
        <f t="shared" si="39"/>
        <v>45049</v>
      </c>
      <c r="E508" s="209">
        <f t="shared" si="40"/>
        <v>45049</v>
      </c>
      <c r="F508" s="515"/>
      <c r="G508" s="132" t="s">
        <v>1209</v>
      </c>
      <c r="I508" s="128" t="s">
        <v>1302</v>
      </c>
      <c r="J508" s="120" t="s">
        <v>16</v>
      </c>
      <c r="K508" s="207"/>
      <c r="L508" s="207">
        <v>7910</v>
      </c>
    </row>
    <row r="509" spans="1:13" ht="11.25" customHeight="1" x14ac:dyDescent="0.2">
      <c r="A509" s="191">
        <v>2023</v>
      </c>
      <c r="B509" s="191">
        <v>5</v>
      </c>
      <c r="C509" s="191">
        <v>3</v>
      </c>
      <c r="D509" s="192">
        <f t="shared" si="39"/>
        <v>45049</v>
      </c>
      <c r="E509" s="193">
        <f t="shared" si="40"/>
        <v>45049</v>
      </c>
      <c r="F509" s="514"/>
      <c r="G509" s="194" t="s">
        <v>1209</v>
      </c>
      <c r="H509" s="195"/>
      <c r="I509" s="195" t="s">
        <v>1302</v>
      </c>
      <c r="J509" s="191" t="s">
        <v>47</v>
      </c>
      <c r="K509" s="196"/>
      <c r="L509" s="196">
        <v>90</v>
      </c>
    </row>
    <row r="510" spans="1:13" ht="11.25" customHeight="1" x14ac:dyDescent="0.2">
      <c r="A510" s="210">
        <v>2023</v>
      </c>
      <c r="B510" s="210">
        <v>5</v>
      </c>
      <c r="C510" s="210">
        <v>3</v>
      </c>
      <c r="D510" s="211">
        <f t="shared" si="39"/>
        <v>45049</v>
      </c>
      <c r="E510" s="238">
        <f t="shared" si="40"/>
        <v>45049</v>
      </c>
      <c r="F510" s="520" t="s">
        <v>1278</v>
      </c>
      <c r="G510" s="213" t="s">
        <v>1245</v>
      </c>
      <c r="H510" s="214"/>
      <c r="I510" s="214" t="s">
        <v>1253</v>
      </c>
      <c r="J510" s="210" t="s">
        <v>1529</v>
      </c>
      <c r="K510" s="215">
        <v>7032.2624999999998</v>
      </c>
      <c r="L510" s="215"/>
    </row>
    <row r="511" spans="1:13" ht="11.25" customHeight="1" x14ac:dyDescent="0.2">
      <c r="A511" s="216">
        <v>2023</v>
      </c>
      <c r="B511" s="216">
        <v>5</v>
      </c>
      <c r="C511" s="216">
        <v>3</v>
      </c>
      <c r="D511" s="217">
        <f t="shared" si="39"/>
        <v>45049</v>
      </c>
      <c r="E511" s="239">
        <f t="shared" si="40"/>
        <v>45049</v>
      </c>
      <c r="F511" s="521"/>
      <c r="G511" s="219" t="s">
        <v>1245</v>
      </c>
      <c r="H511" s="220"/>
      <c r="I511" s="220" t="s">
        <v>1253</v>
      </c>
      <c r="J511" s="216" t="s">
        <v>153</v>
      </c>
      <c r="K511" s="221"/>
      <c r="L511" s="221">
        <v>7032.2624999999998</v>
      </c>
    </row>
    <row r="512" spans="1:13" ht="11.25" customHeight="1" x14ac:dyDescent="0.2">
      <c r="A512" s="210">
        <v>2023</v>
      </c>
      <c r="B512" s="210">
        <v>5</v>
      </c>
      <c r="C512" s="210">
        <v>3</v>
      </c>
      <c r="D512" s="211">
        <f t="shared" si="39"/>
        <v>45049</v>
      </c>
      <c r="E512" s="238">
        <f t="shared" si="40"/>
        <v>45049</v>
      </c>
      <c r="F512" s="520" t="s">
        <v>1285</v>
      </c>
      <c r="G512" s="213" t="s">
        <v>1245</v>
      </c>
      <c r="H512" s="214"/>
      <c r="I512" s="214" t="s">
        <v>1253</v>
      </c>
      <c r="J512" s="210" t="s">
        <v>1284</v>
      </c>
      <c r="K512" s="215">
        <v>15398.28</v>
      </c>
      <c r="L512" s="215"/>
    </row>
    <row r="513" spans="1:15" ht="11.25" customHeight="1" x14ac:dyDescent="0.2">
      <c r="A513" s="242">
        <v>2023</v>
      </c>
      <c r="B513" s="216">
        <v>5</v>
      </c>
      <c r="C513" s="216">
        <v>3</v>
      </c>
      <c r="D513" s="243">
        <f t="shared" si="39"/>
        <v>45049</v>
      </c>
      <c r="E513" s="244">
        <f>DATE(A513,B513,C513)</f>
        <v>45049</v>
      </c>
      <c r="F513" s="524"/>
      <c r="G513" s="245" t="s">
        <v>1245</v>
      </c>
      <c r="H513" s="246"/>
      <c r="I513" s="246"/>
      <c r="J513" s="242" t="s">
        <v>1582</v>
      </c>
      <c r="K513" s="247"/>
      <c r="L513" s="247">
        <v>15398.28</v>
      </c>
    </row>
    <row r="514" spans="1:15" ht="11.25" customHeight="1" x14ac:dyDescent="0.2">
      <c r="A514" s="210">
        <v>2023</v>
      </c>
      <c r="B514" s="210">
        <v>5</v>
      </c>
      <c r="C514" s="210">
        <v>3</v>
      </c>
      <c r="D514" s="211">
        <f t="shared" si="39"/>
        <v>45049</v>
      </c>
      <c r="E514" s="238">
        <f t="shared" si="40"/>
        <v>45049</v>
      </c>
      <c r="F514" s="520" t="s">
        <v>1259</v>
      </c>
      <c r="G514" s="213" t="s">
        <v>1245</v>
      </c>
      <c r="H514" s="214"/>
      <c r="I514" s="214" t="s">
        <v>1253</v>
      </c>
      <c r="J514" s="210" t="s">
        <v>58</v>
      </c>
      <c r="K514" s="215">
        <v>14829.45</v>
      </c>
      <c r="L514" s="215"/>
    </row>
    <row r="515" spans="1:15" ht="11.25" customHeight="1" x14ac:dyDescent="0.2">
      <c r="A515" s="216">
        <v>2023</v>
      </c>
      <c r="B515" s="216">
        <v>5</v>
      </c>
      <c r="C515" s="216">
        <v>3</v>
      </c>
      <c r="D515" s="217">
        <f t="shared" si="39"/>
        <v>45049</v>
      </c>
      <c r="E515" s="239">
        <f t="shared" si="40"/>
        <v>45049</v>
      </c>
      <c r="F515" s="521"/>
      <c r="G515" s="219" t="s">
        <v>1245</v>
      </c>
      <c r="H515" s="220"/>
      <c r="I515" s="220" t="s">
        <v>1253</v>
      </c>
      <c r="J515" s="216" t="s">
        <v>153</v>
      </c>
      <c r="K515" s="221"/>
      <c r="L515" s="221">
        <v>14829.45</v>
      </c>
    </row>
    <row r="516" spans="1:15" ht="11.25" customHeight="1" x14ac:dyDescent="0.2">
      <c r="A516" s="210">
        <v>2023</v>
      </c>
      <c r="B516" s="210">
        <v>5</v>
      </c>
      <c r="C516" s="210">
        <v>3</v>
      </c>
      <c r="D516" s="211">
        <f t="shared" si="39"/>
        <v>45049</v>
      </c>
      <c r="E516" s="238">
        <f t="shared" si="40"/>
        <v>45049</v>
      </c>
      <c r="F516" s="520" t="s">
        <v>1255</v>
      </c>
      <c r="G516" s="213" t="s">
        <v>1245</v>
      </c>
      <c r="H516" s="214"/>
      <c r="I516" s="214" t="s">
        <v>1253</v>
      </c>
      <c r="J516" s="210" t="s">
        <v>113</v>
      </c>
      <c r="K516" s="215">
        <v>46927.22</v>
      </c>
      <c r="L516" s="215"/>
      <c r="M516" s="251"/>
      <c r="O516" s="130"/>
    </row>
    <row r="517" spans="1:15" ht="11.25" customHeight="1" x14ac:dyDescent="0.2">
      <c r="A517" s="216">
        <v>2023</v>
      </c>
      <c r="B517" s="216">
        <v>5</v>
      </c>
      <c r="C517" s="216">
        <v>3</v>
      </c>
      <c r="D517" s="217">
        <f t="shared" si="39"/>
        <v>45049</v>
      </c>
      <c r="E517" s="239">
        <f t="shared" si="40"/>
        <v>45049</v>
      </c>
      <c r="F517" s="521"/>
      <c r="G517" s="219" t="s">
        <v>1245</v>
      </c>
      <c r="H517" s="220"/>
      <c r="I517" s="220" t="s">
        <v>1253</v>
      </c>
      <c r="J517" s="216" t="s">
        <v>153</v>
      </c>
      <c r="K517" s="221"/>
      <c r="L517" s="221">
        <v>46927.22</v>
      </c>
    </row>
    <row r="518" spans="1:15" ht="11.25" customHeight="1" x14ac:dyDescent="0.2">
      <c r="A518" s="210">
        <v>2023</v>
      </c>
      <c r="B518" s="210">
        <v>5</v>
      </c>
      <c r="C518" s="210">
        <v>3</v>
      </c>
      <c r="D518" s="211">
        <f t="shared" si="39"/>
        <v>45049</v>
      </c>
      <c r="E518" s="238">
        <f t="shared" si="40"/>
        <v>45049</v>
      </c>
      <c r="F518" s="520" t="s">
        <v>1256</v>
      </c>
      <c r="G518" s="213" t="s">
        <v>1245</v>
      </c>
      <c r="H518" s="214"/>
      <c r="I518" s="214" t="s">
        <v>1253</v>
      </c>
      <c r="J518" s="210" t="s">
        <v>113</v>
      </c>
      <c r="K518" s="215">
        <v>32554.68</v>
      </c>
      <c r="L518" s="215"/>
      <c r="M518" s="251"/>
      <c r="O518" s="130"/>
    </row>
    <row r="519" spans="1:15" ht="11.25" customHeight="1" x14ac:dyDescent="0.2">
      <c r="A519" s="216">
        <v>2023</v>
      </c>
      <c r="B519" s="216">
        <v>5</v>
      </c>
      <c r="C519" s="216">
        <v>3</v>
      </c>
      <c r="D519" s="217">
        <f t="shared" si="39"/>
        <v>45049</v>
      </c>
      <c r="E519" s="239">
        <f t="shared" si="40"/>
        <v>45049</v>
      </c>
      <c r="F519" s="521"/>
      <c r="G519" s="219" t="s">
        <v>1245</v>
      </c>
      <c r="H519" s="220"/>
      <c r="I519" s="220" t="s">
        <v>1253</v>
      </c>
      <c r="J519" s="216" t="s">
        <v>153</v>
      </c>
      <c r="K519" s="221"/>
      <c r="L519" s="221">
        <v>32554.68</v>
      </c>
    </row>
    <row r="520" spans="1:15" ht="11.25" customHeight="1" x14ac:dyDescent="0.2">
      <c r="A520" s="210">
        <v>2023</v>
      </c>
      <c r="B520" s="210">
        <v>5</v>
      </c>
      <c r="C520" s="210">
        <v>3</v>
      </c>
      <c r="D520" s="211">
        <f t="shared" si="39"/>
        <v>45049</v>
      </c>
      <c r="E520" s="238">
        <f t="shared" si="40"/>
        <v>45049</v>
      </c>
      <c r="F520" s="520" t="s">
        <v>1257</v>
      </c>
      <c r="G520" s="213" t="s">
        <v>1245</v>
      </c>
      <c r="H520" s="214"/>
      <c r="I520" s="214" t="s">
        <v>1253</v>
      </c>
      <c r="J520" s="210" t="s">
        <v>113</v>
      </c>
      <c r="K520" s="215">
        <v>33372.93</v>
      </c>
      <c r="L520" s="215"/>
    </row>
    <row r="521" spans="1:15" ht="11.25" customHeight="1" x14ac:dyDescent="0.2">
      <c r="A521" s="216">
        <v>2023</v>
      </c>
      <c r="B521" s="216">
        <v>5</v>
      </c>
      <c r="C521" s="216">
        <v>3</v>
      </c>
      <c r="D521" s="217">
        <f t="shared" si="39"/>
        <v>45049</v>
      </c>
      <c r="E521" s="239">
        <f t="shared" si="40"/>
        <v>45049</v>
      </c>
      <c r="F521" s="521"/>
      <c r="G521" s="219" t="s">
        <v>1245</v>
      </c>
      <c r="H521" s="220"/>
      <c r="I521" s="220" t="s">
        <v>1253</v>
      </c>
      <c r="J521" s="216" t="s">
        <v>153</v>
      </c>
      <c r="K521" s="221"/>
      <c r="L521" s="221">
        <v>33372.93</v>
      </c>
    </row>
    <row r="522" spans="1:15" ht="11.25" customHeight="1" x14ac:dyDescent="0.2">
      <c r="A522" s="222">
        <v>2023</v>
      </c>
      <c r="B522" s="222">
        <v>5</v>
      </c>
      <c r="C522" s="222">
        <v>3</v>
      </c>
      <c r="D522" s="223">
        <f t="shared" si="39"/>
        <v>45049</v>
      </c>
      <c r="E522" s="240">
        <f t="shared" si="40"/>
        <v>45049</v>
      </c>
      <c r="F522" s="511" t="s">
        <v>1244</v>
      </c>
      <c r="G522" s="225" t="s">
        <v>1245</v>
      </c>
      <c r="H522" s="226"/>
      <c r="I522" s="226" t="s">
        <v>1253</v>
      </c>
      <c r="J522" s="222" t="s">
        <v>87</v>
      </c>
      <c r="K522" s="227">
        <v>12243.071904759854</v>
      </c>
      <c r="L522" s="227"/>
    </row>
    <row r="523" spans="1:15" ht="11.25" customHeight="1" x14ac:dyDescent="0.2">
      <c r="A523" s="228">
        <v>2023</v>
      </c>
      <c r="B523" s="228">
        <v>5</v>
      </c>
      <c r="C523" s="228">
        <v>3</v>
      </c>
      <c r="D523" s="229">
        <f t="shared" si="39"/>
        <v>45049</v>
      </c>
      <c r="E523" s="241">
        <f t="shared" si="40"/>
        <v>45049</v>
      </c>
      <c r="F523" s="512"/>
      <c r="G523" s="231" t="s">
        <v>1245</v>
      </c>
      <c r="H523" s="232"/>
      <c r="I523" s="232" t="s">
        <v>1253</v>
      </c>
      <c r="J523" s="228" t="s">
        <v>72</v>
      </c>
      <c r="K523" s="233"/>
      <c r="L523" s="233">
        <v>12243.071904759854</v>
      </c>
    </row>
    <row r="524" spans="1:15" ht="11.25" customHeight="1" x14ac:dyDescent="0.2">
      <c r="A524" s="222">
        <v>2023</v>
      </c>
      <c r="B524" s="222">
        <v>5</v>
      </c>
      <c r="C524" s="222">
        <v>3</v>
      </c>
      <c r="D524" s="223">
        <f t="shared" si="39"/>
        <v>45049</v>
      </c>
      <c r="E524" s="240">
        <f t="shared" si="40"/>
        <v>45049</v>
      </c>
      <c r="F524" s="511" t="s">
        <v>1246</v>
      </c>
      <c r="G524" s="225" t="s">
        <v>1245</v>
      </c>
      <c r="H524" s="226"/>
      <c r="I524" s="226" t="s">
        <v>1253</v>
      </c>
      <c r="J524" s="222" t="s">
        <v>75</v>
      </c>
      <c r="K524" s="227">
        <v>3846.1538461538462</v>
      </c>
      <c r="L524" s="227"/>
    </row>
    <row r="525" spans="1:15" ht="11.25" customHeight="1" x14ac:dyDescent="0.2">
      <c r="A525" s="228">
        <v>2023</v>
      </c>
      <c r="B525" s="228">
        <v>5</v>
      </c>
      <c r="C525" s="228">
        <v>3</v>
      </c>
      <c r="D525" s="229">
        <f t="shared" si="39"/>
        <v>45049</v>
      </c>
      <c r="E525" s="241">
        <f t="shared" si="40"/>
        <v>45049</v>
      </c>
      <c r="F525" s="512"/>
      <c r="G525" s="231" t="s">
        <v>1245</v>
      </c>
      <c r="H525" s="232"/>
      <c r="I525" s="232" t="s">
        <v>1253</v>
      </c>
      <c r="J525" s="228" t="s">
        <v>55</v>
      </c>
      <c r="K525" s="233"/>
      <c r="L525" s="233">
        <v>3846.1538461538462</v>
      </c>
    </row>
    <row r="526" spans="1:15" ht="11.25" customHeight="1" x14ac:dyDescent="0.2">
      <c r="A526" s="222">
        <v>2023</v>
      </c>
      <c r="B526" s="222">
        <v>5</v>
      </c>
      <c r="C526" s="222">
        <v>3</v>
      </c>
      <c r="D526" s="223">
        <f t="shared" si="39"/>
        <v>45049</v>
      </c>
      <c r="E526" s="240">
        <f t="shared" si="40"/>
        <v>45049</v>
      </c>
      <c r="F526" s="511" t="s">
        <v>1247</v>
      </c>
      <c r="G526" s="225" t="s">
        <v>1245</v>
      </c>
      <c r="H526" s="226"/>
      <c r="I526" s="226" t="s">
        <v>1253</v>
      </c>
      <c r="J526" s="222" t="s">
        <v>77</v>
      </c>
      <c r="K526" s="227">
        <v>22092.883518568429</v>
      </c>
      <c r="L526" s="227"/>
    </row>
    <row r="527" spans="1:15" ht="11.25" customHeight="1" x14ac:dyDescent="0.2">
      <c r="A527" s="228">
        <v>2023</v>
      </c>
      <c r="B527" s="228">
        <v>5</v>
      </c>
      <c r="C527" s="228">
        <v>3</v>
      </c>
      <c r="D527" s="229">
        <f t="shared" si="39"/>
        <v>45049</v>
      </c>
      <c r="E527" s="241">
        <f t="shared" si="40"/>
        <v>45049</v>
      </c>
      <c r="F527" s="512"/>
      <c r="G527" s="231" t="s">
        <v>1245</v>
      </c>
      <c r="H527" s="232"/>
      <c r="I527" s="232" t="s">
        <v>1253</v>
      </c>
      <c r="J527" s="228" t="s">
        <v>41</v>
      </c>
      <c r="K527" s="233"/>
      <c r="L527" s="233">
        <v>22092.883518568429</v>
      </c>
    </row>
    <row r="528" spans="1:15" ht="11.25" customHeight="1" x14ac:dyDescent="0.2">
      <c r="A528" s="222">
        <v>2023</v>
      </c>
      <c r="B528" s="222">
        <v>5</v>
      </c>
      <c r="C528" s="222">
        <v>3</v>
      </c>
      <c r="D528" s="223">
        <f t="shared" si="39"/>
        <v>45049</v>
      </c>
      <c r="E528" s="240">
        <f t="shared" si="40"/>
        <v>45049</v>
      </c>
      <c r="F528" s="511" t="s">
        <v>1248</v>
      </c>
      <c r="G528" s="225" t="s">
        <v>1245</v>
      </c>
      <c r="H528" s="226"/>
      <c r="I528" s="226" t="s">
        <v>1253</v>
      </c>
      <c r="J528" s="222" t="s">
        <v>80</v>
      </c>
      <c r="K528" s="227">
        <v>1104.6441759284212</v>
      </c>
      <c r="L528" s="227"/>
    </row>
    <row r="529" spans="1:13" ht="11.25" customHeight="1" x14ac:dyDescent="0.2">
      <c r="A529" s="228">
        <v>2023</v>
      </c>
      <c r="B529" s="228">
        <v>5</v>
      </c>
      <c r="C529" s="228">
        <v>3</v>
      </c>
      <c r="D529" s="229">
        <f t="shared" si="39"/>
        <v>45049</v>
      </c>
      <c r="E529" s="241">
        <f t="shared" si="40"/>
        <v>45049</v>
      </c>
      <c r="F529" s="512"/>
      <c r="G529" s="231" t="s">
        <v>1245</v>
      </c>
      <c r="H529" s="232"/>
      <c r="I529" s="232" t="s">
        <v>1253</v>
      </c>
      <c r="J529" s="228" t="s">
        <v>42</v>
      </c>
      <c r="K529" s="233"/>
      <c r="L529" s="233">
        <v>1104.6441759284212</v>
      </c>
    </row>
    <row r="530" spans="1:13" ht="11.25" customHeight="1" x14ac:dyDescent="0.2">
      <c r="A530" s="197">
        <v>2023</v>
      </c>
      <c r="B530" s="197">
        <v>5</v>
      </c>
      <c r="C530" s="197">
        <v>7</v>
      </c>
      <c r="D530" s="198">
        <f t="shared" si="39"/>
        <v>45053</v>
      </c>
      <c r="E530" s="209">
        <f>DATE(A530,B530,C530)</f>
        <v>45053</v>
      </c>
      <c r="F530" s="513" t="s">
        <v>1296</v>
      </c>
      <c r="G530" s="200" t="s">
        <v>1209</v>
      </c>
      <c r="H530" s="201"/>
      <c r="I530" s="201"/>
      <c r="J530" s="197" t="s">
        <v>46</v>
      </c>
      <c r="K530" s="202">
        <v>70000</v>
      </c>
      <c r="L530" s="202"/>
      <c r="M530" s="251"/>
    </row>
    <row r="531" spans="1:13" ht="11.25" customHeight="1" x14ac:dyDescent="0.2">
      <c r="A531" s="120">
        <v>2023</v>
      </c>
      <c r="B531" s="120">
        <v>5</v>
      </c>
      <c r="C531" s="120">
        <v>7</v>
      </c>
      <c r="D531" s="208">
        <f t="shared" si="39"/>
        <v>45053</v>
      </c>
      <c r="E531" s="209">
        <f>DATE(A531,B531,C531)</f>
        <v>45053</v>
      </c>
      <c r="F531" s="515"/>
      <c r="G531" s="132" t="s">
        <v>1209</v>
      </c>
      <c r="J531" s="120" t="s">
        <v>16</v>
      </c>
      <c r="K531" s="207"/>
      <c r="L531" s="207">
        <v>69130</v>
      </c>
    </row>
    <row r="532" spans="1:13" ht="11.25" customHeight="1" x14ac:dyDescent="0.2">
      <c r="A532" s="191">
        <v>2023</v>
      </c>
      <c r="B532" s="191">
        <v>5</v>
      </c>
      <c r="C532" s="191">
        <v>7</v>
      </c>
      <c r="D532" s="192">
        <f t="shared" si="39"/>
        <v>45053</v>
      </c>
      <c r="E532" s="193">
        <f>DATE(A532,B532,C532)</f>
        <v>45053</v>
      </c>
      <c r="F532" s="514"/>
      <c r="G532" s="194" t="s">
        <v>1209</v>
      </c>
      <c r="H532" s="195"/>
      <c r="I532" s="195"/>
      <c r="J532" s="191" t="s">
        <v>47</v>
      </c>
      <c r="K532" s="196"/>
      <c r="L532" s="196">
        <v>870</v>
      </c>
    </row>
    <row r="533" spans="1:13" ht="11.25" customHeight="1" x14ac:dyDescent="0.2">
      <c r="A533" s="197">
        <v>2023</v>
      </c>
      <c r="B533" s="197">
        <v>5</v>
      </c>
      <c r="C533" s="197">
        <v>8</v>
      </c>
      <c r="D533" s="198">
        <f t="shared" si="39"/>
        <v>45054</v>
      </c>
      <c r="E533" s="199">
        <f t="shared" si="40"/>
        <v>45054</v>
      </c>
      <c r="F533" s="513" t="s">
        <v>1280</v>
      </c>
      <c r="G533" s="200" t="s">
        <v>1209</v>
      </c>
      <c r="H533" s="201"/>
      <c r="I533" s="201" t="s">
        <v>1230</v>
      </c>
      <c r="J533" s="197" t="s">
        <v>16</v>
      </c>
      <c r="K533" s="202">
        <v>2468890</v>
      </c>
      <c r="L533" s="202"/>
    </row>
    <row r="534" spans="1:13" ht="11.25" customHeight="1" x14ac:dyDescent="0.2">
      <c r="A534" s="120">
        <v>2023</v>
      </c>
      <c r="B534" s="120">
        <v>5</v>
      </c>
      <c r="C534" s="120">
        <v>8</v>
      </c>
      <c r="D534" s="208">
        <f t="shared" si="39"/>
        <v>45054</v>
      </c>
      <c r="E534" s="209">
        <f t="shared" si="40"/>
        <v>45054</v>
      </c>
      <c r="F534" s="515"/>
      <c r="G534" s="132" t="s">
        <v>1209</v>
      </c>
      <c r="I534" s="128" t="s">
        <v>1230</v>
      </c>
      <c r="J534" s="120" t="s">
        <v>47</v>
      </c>
      <c r="K534" s="207">
        <v>31110</v>
      </c>
      <c r="L534" s="207"/>
    </row>
    <row r="535" spans="1:13" ht="11.25" customHeight="1" x14ac:dyDescent="0.2">
      <c r="A535" s="191">
        <v>2023</v>
      </c>
      <c r="B535" s="191">
        <v>5</v>
      </c>
      <c r="C535" s="191">
        <v>8</v>
      </c>
      <c r="D535" s="192">
        <f t="shared" si="39"/>
        <v>45054</v>
      </c>
      <c r="E535" s="193">
        <f t="shared" si="40"/>
        <v>45054</v>
      </c>
      <c r="F535" s="514"/>
      <c r="G535" s="194" t="s">
        <v>1209</v>
      </c>
      <c r="H535" s="195"/>
      <c r="I535" s="195" t="s">
        <v>1230</v>
      </c>
      <c r="J535" s="191" t="s">
        <v>46</v>
      </c>
      <c r="K535" s="196"/>
      <c r="L535" s="196">
        <v>2500000</v>
      </c>
    </row>
    <row r="536" spans="1:13" ht="11.25" customHeight="1" x14ac:dyDescent="0.2">
      <c r="A536" s="197">
        <v>2023</v>
      </c>
      <c r="B536" s="197">
        <v>5</v>
      </c>
      <c r="C536" s="197">
        <v>8</v>
      </c>
      <c r="D536" s="198">
        <f t="shared" si="39"/>
        <v>45054</v>
      </c>
      <c r="E536" s="209">
        <f t="shared" si="40"/>
        <v>45054</v>
      </c>
      <c r="F536" s="513" t="s">
        <v>1296</v>
      </c>
      <c r="G536" s="200" t="s">
        <v>1209</v>
      </c>
      <c r="H536" s="201"/>
      <c r="I536" s="201"/>
      <c r="J536" s="197" t="s">
        <v>46</v>
      </c>
      <c r="K536" s="202">
        <v>110000</v>
      </c>
      <c r="L536" s="202"/>
      <c r="M536" s="251"/>
    </row>
    <row r="537" spans="1:13" ht="11.25" customHeight="1" x14ac:dyDescent="0.2">
      <c r="A537" s="120">
        <v>2023</v>
      </c>
      <c r="B537" s="120">
        <v>5</v>
      </c>
      <c r="C537" s="120">
        <v>8</v>
      </c>
      <c r="D537" s="208">
        <f t="shared" si="39"/>
        <v>45054</v>
      </c>
      <c r="E537" s="209">
        <f t="shared" si="40"/>
        <v>45054</v>
      </c>
      <c r="F537" s="515"/>
      <c r="G537" s="132" t="s">
        <v>1209</v>
      </c>
      <c r="J537" s="120" t="s">
        <v>16</v>
      </c>
      <c r="K537" s="207"/>
      <c r="L537" s="207">
        <v>108640</v>
      </c>
    </row>
    <row r="538" spans="1:13" ht="11.25" customHeight="1" x14ac:dyDescent="0.2">
      <c r="A538" s="191">
        <v>2023</v>
      </c>
      <c r="B538" s="191">
        <v>5</v>
      </c>
      <c r="C538" s="191">
        <v>8</v>
      </c>
      <c r="D538" s="192">
        <f t="shared" si="39"/>
        <v>45054</v>
      </c>
      <c r="E538" s="193">
        <f t="shared" si="40"/>
        <v>45054</v>
      </c>
      <c r="F538" s="514"/>
      <c r="G538" s="194" t="s">
        <v>1209</v>
      </c>
      <c r="H538" s="195"/>
      <c r="I538" s="195"/>
      <c r="J538" s="191" t="s">
        <v>47</v>
      </c>
      <c r="K538" s="196"/>
      <c r="L538" s="196">
        <v>1360</v>
      </c>
    </row>
    <row r="539" spans="1:13" ht="11.25" customHeight="1" x14ac:dyDescent="0.2">
      <c r="A539" s="197">
        <v>2023</v>
      </c>
      <c r="B539" s="197">
        <v>5</v>
      </c>
      <c r="C539" s="197">
        <v>9</v>
      </c>
      <c r="D539" s="198">
        <f t="shared" si="39"/>
        <v>45055</v>
      </c>
      <c r="E539" s="209">
        <f t="shared" ref="E539:E567" si="41">DATE(A539,B539,C539)</f>
        <v>45055</v>
      </c>
      <c r="F539" s="513" t="s">
        <v>1210</v>
      </c>
      <c r="G539" s="200" t="s">
        <v>1209</v>
      </c>
      <c r="H539" s="201"/>
      <c r="I539" s="201" t="s">
        <v>1214</v>
      </c>
      <c r="J539" s="197" t="s">
        <v>46</v>
      </c>
      <c r="K539" s="202">
        <v>200000</v>
      </c>
      <c r="L539" s="202"/>
      <c r="M539" s="251"/>
    </row>
    <row r="540" spans="1:13" ht="11.25" customHeight="1" x14ac:dyDescent="0.2">
      <c r="A540" s="120">
        <v>2023</v>
      </c>
      <c r="B540" s="120">
        <v>5</v>
      </c>
      <c r="C540" s="120">
        <v>9</v>
      </c>
      <c r="D540" s="208">
        <f t="shared" si="39"/>
        <v>45055</v>
      </c>
      <c r="E540" s="209">
        <f t="shared" si="41"/>
        <v>45055</v>
      </c>
      <c r="F540" s="515"/>
      <c r="G540" s="132" t="s">
        <v>1209</v>
      </c>
      <c r="I540" s="128" t="s">
        <v>1214</v>
      </c>
      <c r="J540" s="120" t="s">
        <v>16</v>
      </c>
      <c r="K540" s="207"/>
      <c r="L540" s="207">
        <v>197510</v>
      </c>
    </row>
    <row r="541" spans="1:13" ht="11.25" customHeight="1" x14ac:dyDescent="0.2">
      <c r="A541" s="191">
        <v>2023</v>
      </c>
      <c r="B541" s="191">
        <v>5</v>
      </c>
      <c r="C541" s="191">
        <v>9</v>
      </c>
      <c r="D541" s="192">
        <f t="shared" si="39"/>
        <v>45055</v>
      </c>
      <c r="E541" s="193">
        <f t="shared" si="41"/>
        <v>45055</v>
      </c>
      <c r="F541" s="514"/>
      <c r="G541" s="194" t="s">
        <v>1209</v>
      </c>
      <c r="H541" s="195"/>
      <c r="I541" s="195" t="s">
        <v>1214</v>
      </c>
      <c r="J541" s="191" t="s">
        <v>47</v>
      </c>
      <c r="K541" s="196"/>
      <c r="L541" s="196">
        <v>2490</v>
      </c>
    </row>
    <row r="542" spans="1:13" ht="11.25" customHeight="1" x14ac:dyDescent="0.2">
      <c r="A542" s="197">
        <v>2023</v>
      </c>
      <c r="B542" s="197">
        <v>5</v>
      </c>
      <c r="C542" s="197">
        <v>9</v>
      </c>
      <c r="D542" s="198">
        <f t="shared" si="39"/>
        <v>45055</v>
      </c>
      <c r="E542" s="209">
        <f t="shared" si="41"/>
        <v>45055</v>
      </c>
      <c r="F542" s="513" t="s">
        <v>1296</v>
      </c>
      <c r="G542" s="200" t="s">
        <v>1209</v>
      </c>
      <c r="H542" s="201"/>
      <c r="I542" s="201"/>
      <c r="J542" s="197" t="s">
        <v>46</v>
      </c>
      <c r="K542" s="202">
        <v>100000</v>
      </c>
      <c r="L542" s="202"/>
      <c r="M542" s="251"/>
    </row>
    <row r="543" spans="1:13" ht="11.25" customHeight="1" x14ac:dyDescent="0.2">
      <c r="A543" s="120">
        <v>2023</v>
      </c>
      <c r="B543" s="120">
        <v>5</v>
      </c>
      <c r="C543" s="120">
        <v>9</v>
      </c>
      <c r="D543" s="208">
        <f t="shared" si="39"/>
        <v>45055</v>
      </c>
      <c r="E543" s="209">
        <f t="shared" si="41"/>
        <v>45055</v>
      </c>
      <c r="F543" s="515"/>
      <c r="G543" s="132" t="s">
        <v>1209</v>
      </c>
      <c r="J543" s="120" t="s">
        <v>16</v>
      </c>
      <c r="K543" s="207"/>
      <c r="L543" s="207">
        <v>98760</v>
      </c>
    </row>
    <row r="544" spans="1:13" ht="11.25" customHeight="1" x14ac:dyDescent="0.2">
      <c r="A544" s="191">
        <v>2023</v>
      </c>
      <c r="B544" s="191">
        <v>5</v>
      </c>
      <c r="C544" s="191">
        <v>9</v>
      </c>
      <c r="D544" s="192">
        <f t="shared" si="39"/>
        <v>45055</v>
      </c>
      <c r="E544" s="193">
        <f t="shared" si="41"/>
        <v>45055</v>
      </c>
      <c r="F544" s="514"/>
      <c r="G544" s="194" t="s">
        <v>1209</v>
      </c>
      <c r="H544" s="195"/>
      <c r="I544" s="195"/>
      <c r="J544" s="191" t="s">
        <v>47</v>
      </c>
      <c r="K544" s="196"/>
      <c r="L544" s="196">
        <v>1240</v>
      </c>
    </row>
    <row r="545" spans="1:15" ht="11.25" customHeight="1" x14ac:dyDescent="0.2">
      <c r="A545" s="197">
        <v>2023</v>
      </c>
      <c r="B545" s="120">
        <v>5</v>
      </c>
      <c r="C545" s="120">
        <v>10</v>
      </c>
      <c r="D545" s="198">
        <f t="shared" si="39"/>
        <v>45056</v>
      </c>
      <c r="E545" s="199">
        <f t="shared" si="41"/>
        <v>45056</v>
      </c>
      <c r="F545" s="513" t="s">
        <v>1305</v>
      </c>
      <c r="G545" s="200" t="s">
        <v>1209</v>
      </c>
      <c r="H545" s="200"/>
      <c r="I545" s="201" t="s">
        <v>1253</v>
      </c>
      <c r="J545" s="248" t="s">
        <v>175</v>
      </c>
      <c r="K545" s="202">
        <v>2400000</v>
      </c>
      <c r="L545" s="202"/>
    </row>
    <row r="546" spans="1:15" ht="11.25" customHeight="1" x14ac:dyDescent="0.2">
      <c r="A546" s="120">
        <v>2023</v>
      </c>
      <c r="B546" s="120">
        <v>5</v>
      </c>
      <c r="C546" s="120">
        <v>10</v>
      </c>
      <c r="D546" s="198">
        <f t="shared" si="39"/>
        <v>45056</v>
      </c>
      <c r="E546" s="209">
        <f t="shared" si="41"/>
        <v>45056</v>
      </c>
      <c r="F546" s="515"/>
      <c r="G546" s="132" t="s">
        <v>1209</v>
      </c>
      <c r="H546" s="132"/>
      <c r="J546" s="129" t="s">
        <v>54</v>
      </c>
      <c r="K546" s="207">
        <v>115</v>
      </c>
      <c r="L546" s="207"/>
    </row>
    <row r="547" spans="1:15" ht="11.25" customHeight="1" x14ac:dyDescent="0.2">
      <c r="A547" s="191">
        <v>2023</v>
      </c>
      <c r="B547" s="191">
        <v>5</v>
      </c>
      <c r="C547" s="191">
        <v>10</v>
      </c>
      <c r="D547" s="249">
        <f t="shared" si="39"/>
        <v>45056</v>
      </c>
      <c r="E547" s="209">
        <f t="shared" si="41"/>
        <v>45056</v>
      </c>
      <c r="F547" s="514"/>
      <c r="G547" s="194" t="s">
        <v>1209</v>
      </c>
      <c r="H547" s="194"/>
      <c r="I547" s="195" t="s">
        <v>1253</v>
      </c>
      <c r="J547" s="250" t="s">
        <v>46</v>
      </c>
      <c r="K547" s="196"/>
      <c r="L547" s="196">
        <v>2400115</v>
      </c>
      <c r="M547" s="251"/>
    </row>
    <row r="548" spans="1:15" ht="11.25" customHeight="1" x14ac:dyDescent="0.2">
      <c r="A548" s="210">
        <v>2023</v>
      </c>
      <c r="B548" s="210">
        <v>5</v>
      </c>
      <c r="C548" s="210">
        <v>11</v>
      </c>
      <c r="D548" s="211">
        <f t="shared" si="39"/>
        <v>45057</v>
      </c>
      <c r="E548" s="238">
        <f t="shared" si="41"/>
        <v>45057</v>
      </c>
      <c r="F548" s="520" t="s">
        <v>1278</v>
      </c>
      <c r="G548" s="213" t="s">
        <v>1245</v>
      </c>
      <c r="H548" s="214"/>
      <c r="I548" s="214" t="s">
        <v>1253</v>
      </c>
      <c r="J548" s="210" t="s">
        <v>1529</v>
      </c>
      <c r="K548" s="215">
        <v>7032.2624999999998</v>
      </c>
      <c r="L548" s="215"/>
    </row>
    <row r="549" spans="1:15" ht="11.25" customHeight="1" x14ac:dyDescent="0.2">
      <c r="A549" s="216">
        <v>2023</v>
      </c>
      <c r="B549" s="216">
        <v>5</v>
      </c>
      <c r="C549" s="216">
        <v>11</v>
      </c>
      <c r="D549" s="217">
        <f t="shared" si="39"/>
        <v>45057</v>
      </c>
      <c r="E549" s="239">
        <f t="shared" si="41"/>
        <v>45057</v>
      </c>
      <c r="F549" s="521"/>
      <c r="G549" s="219" t="s">
        <v>1245</v>
      </c>
      <c r="H549" s="220"/>
      <c r="I549" s="220" t="s">
        <v>1253</v>
      </c>
      <c r="J549" s="216" t="s">
        <v>153</v>
      </c>
      <c r="K549" s="221"/>
      <c r="L549" s="221">
        <v>7032.2624999999998</v>
      </c>
    </row>
    <row r="550" spans="1:15" ht="11.25" customHeight="1" x14ac:dyDescent="0.2">
      <c r="A550" s="210">
        <v>2023</v>
      </c>
      <c r="B550" s="210">
        <v>5</v>
      </c>
      <c r="C550" s="210">
        <v>11</v>
      </c>
      <c r="D550" s="211">
        <f t="shared" si="39"/>
        <v>45057</v>
      </c>
      <c r="E550" s="238">
        <f t="shared" si="41"/>
        <v>45057</v>
      </c>
      <c r="F550" s="520" t="s">
        <v>1285</v>
      </c>
      <c r="G550" s="213" t="s">
        <v>1245</v>
      </c>
      <c r="H550" s="214"/>
      <c r="I550" s="214" t="s">
        <v>1253</v>
      </c>
      <c r="J550" s="210" t="s">
        <v>1284</v>
      </c>
      <c r="K550" s="215">
        <v>15398.28</v>
      </c>
      <c r="L550" s="215"/>
    </row>
    <row r="551" spans="1:15" ht="11.25" customHeight="1" x14ac:dyDescent="0.2">
      <c r="A551" s="242">
        <v>2023</v>
      </c>
      <c r="B551" s="216">
        <v>5</v>
      </c>
      <c r="C551" s="216">
        <v>11</v>
      </c>
      <c r="D551" s="243">
        <f t="shared" si="39"/>
        <v>45057</v>
      </c>
      <c r="E551" s="244">
        <f>DATE(A551,B551,C551)</f>
        <v>45057</v>
      </c>
      <c r="F551" s="524"/>
      <c r="G551" s="245" t="s">
        <v>1245</v>
      </c>
      <c r="H551" s="246"/>
      <c r="I551" s="246"/>
      <c r="J551" s="242" t="s">
        <v>1582</v>
      </c>
      <c r="K551" s="247"/>
      <c r="L551" s="247">
        <v>15398.28</v>
      </c>
    </row>
    <row r="552" spans="1:15" ht="11.25" customHeight="1" x14ac:dyDescent="0.2">
      <c r="A552" s="210">
        <v>2023</v>
      </c>
      <c r="B552" s="210">
        <v>5</v>
      </c>
      <c r="C552" s="210">
        <v>11</v>
      </c>
      <c r="D552" s="211">
        <f t="shared" si="39"/>
        <v>45057</v>
      </c>
      <c r="E552" s="238">
        <f t="shared" si="41"/>
        <v>45057</v>
      </c>
      <c r="F552" s="520" t="s">
        <v>1259</v>
      </c>
      <c r="G552" s="213" t="s">
        <v>1245</v>
      </c>
      <c r="H552" s="214"/>
      <c r="I552" s="214" t="s">
        <v>1253</v>
      </c>
      <c r="J552" s="210" t="s">
        <v>58</v>
      </c>
      <c r="K552" s="215">
        <v>10784.42</v>
      </c>
      <c r="L552" s="215"/>
    </row>
    <row r="553" spans="1:15" ht="11.25" customHeight="1" x14ac:dyDescent="0.2">
      <c r="A553" s="216">
        <v>2023</v>
      </c>
      <c r="B553" s="216">
        <v>5</v>
      </c>
      <c r="C553" s="216">
        <v>11</v>
      </c>
      <c r="D553" s="217">
        <f t="shared" si="39"/>
        <v>45057</v>
      </c>
      <c r="E553" s="239">
        <f t="shared" si="41"/>
        <v>45057</v>
      </c>
      <c r="F553" s="521"/>
      <c r="G553" s="219" t="s">
        <v>1245</v>
      </c>
      <c r="H553" s="220"/>
      <c r="I553" s="220" t="s">
        <v>1253</v>
      </c>
      <c r="J553" s="216" t="s">
        <v>153</v>
      </c>
      <c r="K553" s="221"/>
      <c r="L553" s="221">
        <v>10784.42</v>
      </c>
    </row>
    <row r="554" spans="1:15" ht="11.25" customHeight="1" x14ac:dyDescent="0.2">
      <c r="A554" s="210">
        <v>2023</v>
      </c>
      <c r="B554" s="210">
        <v>5</v>
      </c>
      <c r="C554" s="210">
        <v>11</v>
      </c>
      <c r="D554" s="211">
        <f t="shared" si="39"/>
        <v>45057</v>
      </c>
      <c r="E554" s="238">
        <f t="shared" si="41"/>
        <v>45057</v>
      </c>
      <c r="F554" s="520" t="s">
        <v>1255</v>
      </c>
      <c r="G554" s="213" t="s">
        <v>1245</v>
      </c>
      <c r="H554" s="214"/>
      <c r="I554" s="214" t="s">
        <v>1253</v>
      </c>
      <c r="J554" s="210" t="s">
        <v>113</v>
      </c>
      <c r="K554" s="215">
        <v>46927.22</v>
      </c>
      <c r="L554" s="215"/>
      <c r="M554" s="251"/>
      <c r="O554" s="130"/>
    </row>
    <row r="555" spans="1:15" ht="11.25" customHeight="1" x14ac:dyDescent="0.2">
      <c r="A555" s="216">
        <v>2023</v>
      </c>
      <c r="B555" s="216">
        <v>5</v>
      </c>
      <c r="C555" s="216">
        <v>11</v>
      </c>
      <c r="D555" s="217">
        <f t="shared" si="39"/>
        <v>45057</v>
      </c>
      <c r="E555" s="239">
        <f t="shared" si="41"/>
        <v>45057</v>
      </c>
      <c r="F555" s="521"/>
      <c r="G555" s="219" t="s">
        <v>1245</v>
      </c>
      <c r="H555" s="220"/>
      <c r="I555" s="220" t="s">
        <v>1253</v>
      </c>
      <c r="J555" s="216" t="s">
        <v>153</v>
      </c>
      <c r="K555" s="221"/>
      <c r="L555" s="221">
        <v>46927.22</v>
      </c>
    </row>
    <row r="556" spans="1:15" ht="11.25" customHeight="1" x14ac:dyDescent="0.2">
      <c r="A556" s="210">
        <v>2023</v>
      </c>
      <c r="B556" s="210">
        <v>5</v>
      </c>
      <c r="C556" s="210">
        <v>11</v>
      </c>
      <c r="D556" s="211">
        <f t="shared" si="39"/>
        <v>45057</v>
      </c>
      <c r="E556" s="238">
        <f t="shared" si="41"/>
        <v>45057</v>
      </c>
      <c r="F556" s="520" t="s">
        <v>1256</v>
      </c>
      <c r="G556" s="213" t="s">
        <v>1245</v>
      </c>
      <c r="H556" s="214"/>
      <c r="I556" s="214" t="s">
        <v>1253</v>
      </c>
      <c r="J556" s="210" t="s">
        <v>113</v>
      </c>
      <c r="K556" s="215">
        <v>32554.68</v>
      </c>
      <c r="L556" s="215"/>
      <c r="M556" s="251"/>
      <c r="O556" s="130"/>
    </row>
    <row r="557" spans="1:15" ht="11.25" customHeight="1" x14ac:dyDescent="0.2">
      <c r="A557" s="216">
        <v>2023</v>
      </c>
      <c r="B557" s="216">
        <v>5</v>
      </c>
      <c r="C557" s="216">
        <v>11</v>
      </c>
      <c r="D557" s="217">
        <f t="shared" si="39"/>
        <v>45057</v>
      </c>
      <c r="E557" s="239">
        <f t="shared" si="41"/>
        <v>45057</v>
      </c>
      <c r="F557" s="521"/>
      <c r="G557" s="219" t="s">
        <v>1245</v>
      </c>
      <c r="H557" s="220"/>
      <c r="I557" s="220" t="s">
        <v>1253</v>
      </c>
      <c r="J557" s="216" t="s">
        <v>153</v>
      </c>
      <c r="K557" s="221"/>
      <c r="L557" s="221">
        <v>32554.68</v>
      </c>
    </row>
    <row r="558" spans="1:15" ht="11.25" customHeight="1" x14ac:dyDescent="0.2">
      <c r="A558" s="210">
        <v>2023</v>
      </c>
      <c r="B558" s="210">
        <v>5</v>
      </c>
      <c r="C558" s="210">
        <v>11</v>
      </c>
      <c r="D558" s="211">
        <f t="shared" si="39"/>
        <v>45057</v>
      </c>
      <c r="E558" s="238">
        <f t="shared" si="41"/>
        <v>45057</v>
      </c>
      <c r="F558" s="520" t="s">
        <v>1257</v>
      </c>
      <c r="G558" s="213" t="s">
        <v>1245</v>
      </c>
      <c r="H558" s="214"/>
      <c r="I558" s="214" t="s">
        <v>1253</v>
      </c>
      <c r="J558" s="210" t="s">
        <v>113</v>
      </c>
      <c r="K558" s="215">
        <v>33372.93</v>
      </c>
      <c r="L558" s="215"/>
    </row>
    <row r="559" spans="1:15" ht="11.25" customHeight="1" x14ac:dyDescent="0.2">
      <c r="A559" s="216">
        <v>2023</v>
      </c>
      <c r="B559" s="216">
        <v>5</v>
      </c>
      <c r="C559" s="216">
        <v>11</v>
      </c>
      <c r="D559" s="217">
        <f t="shared" si="39"/>
        <v>45057</v>
      </c>
      <c r="E559" s="239">
        <f t="shared" si="41"/>
        <v>45057</v>
      </c>
      <c r="F559" s="521"/>
      <c r="G559" s="219" t="s">
        <v>1245</v>
      </c>
      <c r="H559" s="220"/>
      <c r="I559" s="220" t="s">
        <v>1253</v>
      </c>
      <c r="J559" s="216" t="s">
        <v>153</v>
      </c>
      <c r="K559" s="221"/>
      <c r="L559" s="221">
        <v>33372.93</v>
      </c>
    </row>
    <row r="560" spans="1:15" ht="11.25" customHeight="1" x14ac:dyDescent="0.2">
      <c r="A560" s="222">
        <v>2023</v>
      </c>
      <c r="B560" s="222">
        <v>5</v>
      </c>
      <c r="C560" s="222">
        <v>11</v>
      </c>
      <c r="D560" s="223">
        <f t="shared" si="39"/>
        <v>45057</v>
      </c>
      <c r="E560" s="240">
        <f t="shared" si="41"/>
        <v>45057</v>
      </c>
      <c r="F560" s="511" t="s">
        <v>1244</v>
      </c>
      <c r="G560" s="225" t="s">
        <v>1245</v>
      </c>
      <c r="H560" s="226"/>
      <c r="I560" s="226" t="s">
        <v>1253</v>
      </c>
      <c r="J560" s="222" t="s">
        <v>87</v>
      </c>
      <c r="K560" s="227">
        <v>55901.691904764622</v>
      </c>
      <c r="L560" s="227"/>
    </row>
    <row r="561" spans="1:13" ht="11.25" customHeight="1" x14ac:dyDescent="0.2">
      <c r="A561" s="228">
        <v>2023</v>
      </c>
      <c r="B561" s="228">
        <v>5</v>
      </c>
      <c r="C561" s="228">
        <v>11</v>
      </c>
      <c r="D561" s="229">
        <f t="shared" si="39"/>
        <v>45057</v>
      </c>
      <c r="E561" s="241">
        <f t="shared" si="41"/>
        <v>45057</v>
      </c>
      <c r="F561" s="512"/>
      <c r="G561" s="231" t="s">
        <v>1245</v>
      </c>
      <c r="H561" s="232"/>
      <c r="I561" s="232" t="s">
        <v>1253</v>
      </c>
      <c r="J561" s="228" t="s">
        <v>72</v>
      </c>
      <c r="K561" s="233"/>
      <c r="L561" s="233">
        <v>55901.691904764622</v>
      </c>
    </row>
    <row r="562" spans="1:13" ht="11.25" customHeight="1" x14ac:dyDescent="0.2">
      <c r="A562" s="222">
        <v>2023</v>
      </c>
      <c r="B562" s="222">
        <v>5</v>
      </c>
      <c r="C562" s="222">
        <v>11</v>
      </c>
      <c r="D562" s="223">
        <f t="shared" si="39"/>
        <v>45057</v>
      </c>
      <c r="E562" s="240">
        <f t="shared" si="41"/>
        <v>45057</v>
      </c>
      <c r="F562" s="511" t="s">
        <v>1246</v>
      </c>
      <c r="G562" s="225" t="s">
        <v>1245</v>
      </c>
      <c r="H562" s="226"/>
      <c r="I562" s="226" t="s">
        <v>1253</v>
      </c>
      <c r="J562" s="222" t="s">
        <v>75</v>
      </c>
      <c r="K562" s="227">
        <v>3846.1538461538462</v>
      </c>
      <c r="L562" s="227"/>
    </row>
    <row r="563" spans="1:13" ht="11.25" customHeight="1" x14ac:dyDescent="0.2">
      <c r="A563" s="228">
        <v>2023</v>
      </c>
      <c r="B563" s="228">
        <v>5</v>
      </c>
      <c r="C563" s="228">
        <v>11</v>
      </c>
      <c r="D563" s="229">
        <f t="shared" ref="D563:D624" si="42">DATE(A563,B563,C563)</f>
        <v>45057</v>
      </c>
      <c r="E563" s="241">
        <f t="shared" si="41"/>
        <v>45057</v>
      </c>
      <c r="F563" s="512"/>
      <c r="G563" s="231" t="s">
        <v>1245</v>
      </c>
      <c r="H563" s="232"/>
      <c r="I563" s="232" t="s">
        <v>1253</v>
      </c>
      <c r="J563" s="228" t="s">
        <v>55</v>
      </c>
      <c r="K563" s="233"/>
      <c r="L563" s="233">
        <v>3846.1538461538462</v>
      </c>
    </row>
    <row r="564" spans="1:13" ht="11.25" customHeight="1" x14ac:dyDescent="0.2">
      <c r="A564" s="222">
        <v>2023</v>
      </c>
      <c r="B564" s="222">
        <v>5</v>
      </c>
      <c r="C564" s="222">
        <v>11</v>
      </c>
      <c r="D564" s="223">
        <f t="shared" si="42"/>
        <v>45057</v>
      </c>
      <c r="E564" s="240">
        <f t="shared" si="41"/>
        <v>45057</v>
      </c>
      <c r="F564" s="511" t="s">
        <v>1247</v>
      </c>
      <c r="G564" s="225" t="s">
        <v>1245</v>
      </c>
      <c r="H564" s="226"/>
      <c r="I564" s="226" t="s">
        <v>1253</v>
      </c>
      <c r="J564" s="222" t="s">
        <v>77</v>
      </c>
      <c r="K564" s="227">
        <v>21738.838901071882</v>
      </c>
      <c r="L564" s="227"/>
    </row>
    <row r="565" spans="1:13" ht="11.25" customHeight="1" x14ac:dyDescent="0.2">
      <c r="A565" s="228">
        <v>2023</v>
      </c>
      <c r="B565" s="228">
        <v>5</v>
      </c>
      <c r="C565" s="228">
        <v>11</v>
      </c>
      <c r="D565" s="229">
        <f t="shared" si="42"/>
        <v>45057</v>
      </c>
      <c r="E565" s="241">
        <f t="shared" si="41"/>
        <v>45057</v>
      </c>
      <c r="F565" s="512"/>
      <c r="G565" s="231" t="s">
        <v>1245</v>
      </c>
      <c r="H565" s="232"/>
      <c r="I565" s="232" t="s">
        <v>1253</v>
      </c>
      <c r="J565" s="228" t="s">
        <v>41</v>
      </c>
      <c r="K565" s="233"/>
      <c r="L565" s="233">
        <v>21738.838901071882</v>
      </c>
    </row>
    <row r="566" spans="1:13" ht="11.25" customHeight="1" x14ac:dyDescent="0.2">
      <c r="A566" s="222">
        <v>2023</v>
      </c>
      <c r="B566" s="222">
        <v>5</v>
      </c>
      <c r="C566" s="222">
        <v>11</v>
      </c>
      <c r="D566" s="223">
        <f t="shared" si="42"/>
        <v>45057</v>
      </c>
      <c r="E566" s="240">
        <f t="shared" si="41"/>
        <v>45057</v>
      </c>
      <c r="F566" s="511" t="s">
        <v>1248</v>
      </c>
      <c r="G566" s="225" t="s">
        <v>1245</v>
      </c>
      <c r="H566" s="226"/>
      <c r="I566" s="226" t="s">
        <v>1253</v>
      </c>
      <c r="J566" s="222" t="s">
        <v>80</v>
      </c>
      <c r="K566" s="227">
        <v>1086.72246840149</v>
      </c>
      <c r="L566" s="227"/>
    </row>
    <row r="567" spans="1:13" ht="11.25" customHeight="1" x14ac:dyDescent="0.2">
      <c r="A567" s="228">
        <v>2023</v>
      </c>
      <c r="B567" s="228">
        <v>5</v>
      </c>
      <c r="C567" s="228">
        <v>11</v>
      </c>
      <c r="D567" s="229">
        <f t="shared" si="42"/>
        <v>45057</v>
      </c>
      <c r="E567" s="241">
        <f t="shared" si="41"/>
        <v>45057</v>
      </c>
      <c r="F567" s="512"/>
      <c r="G567" s="231" t="s">
        <v>1245</v>
      </c>
      <c r="H567" s="232"/>
      <c r="I567" s="232" t="s">
        <v>1253</v>
      </c>
      <c r="J567" s="228" t="s">
        <v>42</v>
      </c>
      <c r="K567" s="233"/>
      <c r="L567" s="233">
        <v>1086.72246840149</v>
      </c>
    </row>
    <row r="568" spans="1:13" ht="11.25" customHeight="1" x14ac:dyDescent="0.2">
      <c r="A568" s="197">
        <v>2023</v>
      </c>
      <c r="B568" s="197">
        <v>5</v>
      </c>
      <c r="C568" s="197">
        <v>14</v>
      </c>
      <c r="D568" s="198">
        <f t="shared" si="42"/>
        <v>45060</v>
      </c>
      <c r="E568" s="209">
        <f>DATE(A568,B568,C568)</f>
        <v>45060</v>
      </c>
      <c r="F568" s="513" t="s">
        <v>1210</v>
      </c>
      <c r="G568" s="200" t="s">
        <v>1209</v>
      </c>
      <c r="H568" s="201"/>
      <c r="I568" s="201" t="s">
        <v>1303</v>
      </c>
      <c r="J568" s="197" t="s">
        <v>46</v>
      </c>
      <c r="K568" s="202">
        <v>1000000</v>
      </c>
      <c r="L568" s="202"/>
      <c r="M568" s="251"/>
    </row>
    <row r="569" spans="1:13" ht="11.25" customHeight="1" x14ac:dyDescent="0.2">
      <c r="A569" s="120">
        <v>2023</v>
      </c>
      <c r="B569" s="120">
        <v>5</v>
      </c>
      <c r="C569" s="120">
        <v>14</v>
      </c>
      <c r="D569" s="208">
        <f t="shared" si="42"/>
        <v>45060</v>
      </c>
      <c r="E569" s="209">
        <f>DATE(A569,B569,C569)</f>
        <v>45060</v>
      </c>
      <c r="F569" s="515"/>
      <c r="G569" s="132" t="s">
        <v>1209</v>
      </c>
      <c r="I569" s="128" t="s">
        <v>1303</v>
      </c>
      <c r="J569" s="120" t="s">
        <v>16</v>
      </c>
      <c r="K569" s="207"/>
      <c r="L569" s="207">
        <v>987560</v>
      </c>
    </row>
    <row r="570" spans="1:13" ht="11.25" customHeight="1" x14ac:dyDescent="0.2">
      <c r="A570" s="191">
        <v>2023</v>
      </c>
      <c r="B570" s="191">
        <v>5</v>
      </c>
      <c r="C570" s="191">
        <v>14</v>
      </c>
      <c r="D570" s="192">
        <f t="shared" si="42"/>
        <v>45060</v>
      </c>
      <c r="E570" s="193">
        <f>DATE(A570,B570,C570)</f>
        <v>45060</v>
      </c>
      <c r="F570" s="514"/>
      <c r="G570" s="194" t="s">
        <v>1209</v>
      </c>
      <c r="H570" s="195"/>
      <c r="I570" s="195" t="s">
        <v>1303</v>
      </c>
      <c r="J570" s="191" t="s">
        <v>47</v>
      </c>
      <c r="K570" s="196"/>
      <c r="L570" s="196">
        <v>12440</v>
      </c>
    </row>
    <row r="571" spans="1:13" ht="11.25" customHeight="1" x14ac:dyDescent="0.2">
      <c r="A571" s="197">
        <v>2023</v>
      </c>
      <c r="B571" s="197">
        <v>5</v>
      </c>
      <c r="C571" s="197">
        <v>14</v>
      </c>
      <c r="D571" s="198">
        <f t="shared" si="42"/>
        <v>45060</v>
      </c>
      <c r="E571" s="199">
        <f>DATE(A571,B571,C571)</f>
        <v>45060</v>
      </c>
      <c r="F571" s="513" t="s">
        <v>1306</v>
      </c>
      <c r="G571" s="200" t="s">
        <v>1209</v>
      </c>
      <c r="H571" s="201"/>
      <c r="I571" s="201"/>
      <c r="J571" s="197" t="s">
        <v>54</v>
      </c>
      <c r="K571" s="202">
        <v>60</v>
      </c>
      <c r="L571" s="202"/>
    </row>
    <row r="572" spans="1:13" ht="11.25" customHeight="1" x14ac:dyDescent="0.2">
      <c r="A572" s="191">
        <v>2023</v>
      </c>
      <c r="B572" s="191">
        <v>5</v>
      </c>
      <c r="C572" s="191">
        <v>14</v>
      </c>
      <c r="D572" s="192">
        <f t="shared" si="42"/>
        <v>45060</v>
      </c>
      <c r="E572" s="193">
        <f>DATE(A572,B572,C572)</f>
        <v>45060</v>
      </c>
      <c r="F572" s="514"/>
      <c r="G572" s="194" t="s">
        <v>1209</v>
      </c>
      <c r="H572" s="195"/>
      <c r="I572" s="195"/>
      <c r="J572" s="191" t="s">
        <v>46</v>
      </c>
      <c r="K572" s="196"/>
      <c r="L572" s="196">
        <v>60</v>
      </c>
    </row>
    <row r="573" spans="1:13" ht="11.25" customHeight="1" x14ac:dyDescent="0.2">
      <c r="A573" s="197">
        <v>2023</v>
      </c>
      <c r="B573" s="197">
        <v>5</v>
      </c>
      <c r="C573" s="197">
        <v>15</v>
      </c>
      <c r="D573" s="198">
        <f t="shared" si="42"/>
        <v>45061</v>
      </c>
      <c r="E573" s="209">
        <f t="shared" ref="E573:E580" si="43">DATE(A573,B573,C573)</f>
        <v>45061</v>
      </c>
      <c r="F573" s="513" t="s">
        <v>1210</v>
      </c>
      <c r="G573" s="200" t="s">
        <v>1209</v>
      </c>
      <c r="H573" s="201"/>
      <c r="I573" s="201" t="s">
        <v>720</v>
      </c>
      <c r="J573" s="197" t="s">
        <v>46</v>
      </c>
      <c r="K573" s="202">
        <v>800000</v>
      </c>
      <c r="L573" s="202"/>
      <c r="M573" s="251"/>
    </row>
    <row r="574" spans="1:13" ht="11.25" customHeight="1" x14ac:dyDescent="0.2">
      <c r="A574" s="120">
        <v>2023</v>
      </c>
      <c r="B574" s="120">
        <v>5</v>
      </c>
      <c r="C574" s="120">
        <v>15</v>
      </c>
      <c r="D574" s="208">
        <f t="shared" si="42"/>
        <v>45061</v>
      </c>
      <c r="E574" s="209">
        <f t="shared" si="43"/>
        <v>45061</v>
      </c>
      <c r="F574" s="515"/>
      <c r="G574" s="132" t="s">
        <v>1209</v>
      </c>
      <c r="I574" s="128" t="s">
        <v>720</v>
      </c>
      <c r="J574" s="120" t="s">
        <v>16</v>
      </c>
      <c r="K574" s="207"/>
      <c r="L574" s="207">
        <v>788880</v>
      </c>
    </row>
    <row r="575" spans="1:13" ht="11.25" customHeight="1" x14ac:dyDescent="0.2">
      <c r="A575" s="191">
        <v>2023</v>
      </c>
      <c r="B575" s="191">
        <v>5</v>
      </c>
      <c r="C575" s="191">
        <v>15</v>
      </c>
      <c r="D575" s="192">
        <f t="shared" si="42"/>
        <v>45061</v>
      </c>
      <c r="E575" s="193">
        <f t="shared" si="43"/>
        <v>45061</v>
      </c>
      <c r="F575" s="514"/>
      <c r="G575" s="194" t="s">
        <v>1209</v>
      </c>
      <c r="H575" s="195"/>
      <c r="I575" s="195" t="s">
        <v>720</v>
      </c>
      <c r="J575" s="191" t="s">
        <v>47</v>
      </c>
      <c r="K575" s="196"/>
      <c r="L575" s="196">
        <v>11120</v>
      </c>
    </row>
    <row r="576" spans="1:13" ht="11.25" customHeight="1" x14ac:dyDescent="0.2">
      <c r="A576" s="197">
        <v>2023</v>
      </c>
      <c r="B576" s="197">
        <v>5</v>
      </c>
      <c r="C576" s="197">
        <v>15</v>
      </c>
      <c r="D576" s="198">
        <f t="shared" si="42"/>
        <v>45061</v>
      </c>
      <c r="E576" s="199">
        <f t="shared" si="43"/>
        <v>45061</v>
      </c>
      <c r="F576" s="513" t="s">
        <v>1306</v>
      </c>
      <c r="G576" s="200" t="s">
        <v>1209</v>
      </c>
      <c r="H576" s="201"/>
      <c r="I576" s="201"/>
      <c r="J576" s="197" t="s">
        <v>54</v>
      </c>
      <c r="K576" s="202">
        <v>25</v>
      </c>
      <c r="L576" s="202"/>
    </row>
    <row r="577" spans="1:15" ht="11.25" customHeight="1" x14ac:dyDescent="0.2">
      <c r="A577" s="191">
        <v>2023</v>
      </c>
      <c r="B577" s="191">
        <v>5</v>
      </c>
      <c r="C577" s="191">
        <v>15</v>
      </c>
      <c r="D577" s="192">
        <f t="shared" si="42"/>
        <v>45061</v>
      </c>
      <c r="E577" s="193">
        <f t="shared" si="43"/>
        <v>45061</v>
      </c>
      <c r="F577" s="514"/>
      <c r="G577" s="194" t="s">
        <v>1209</v>
      </c>
      <c r="H577" s="195"/>
      <c r="I577" s="195"/>
      <c r="J577" s="191" t="s">
        <v>46</v>
      </c>
      <c r="K577" s="196"/>
      <c r="L577" s="196">
        <v>25</v>
      </c>
    </row>
    <row r="578" spans="1:15" ht="11.25" customHeight="1" x14ac:dyDescent="0.2">
      <c r="A578" s="197">
        <v>2023</v>
      </c>
      <c r="B578" s="197">
        <v>5</v>
      </c>
      <c r="C578" s="197">
        <v>18</v>
      </c>
      <c r="D578" s="198">
        <f t="shared" si="42"/>
        <v>45064</v>
      </c>
      <c r="E578" s="209">
        <f t="shared" si="43"/>
        <v>45064</v>
      </c>
      <c r="F578" s="513" t="s">
        <v>1210</v>
      </c>
      <c r="G578" s="200" t="s">
        <v>1209</v>
      </c>
      <c r="H578" s="201"/>
      <c r="I578" s="201" t="s">
        <v>481</v>
      </c>
      <c r="J578" s="197" t="s">
        <v>46</v>
      </c>
      <c r="K578" s="202">
        <v>100000</v>
      </c>
      <c r="L578" s="202"/>
      <c r="M578" s="251"/>
    </row>
    <row r="579" spans="1:15" ht="11.25" customHeight="1" x14ac:dyDescent="0.2">
      <c r="A579" s="120">
        <v>2023</v>
      </c>
      <c r="B579" s="120">
        <v>5</v>
      </c>
      <c r="C579" s="120">
        <v>18</v>
      </c>
      <c r="D579" s="208">
        <f t="shared" si="42"/>
        <v>45064</v>
      </c>
      <c r="E579" s="209">
        <f t="shared" si="43"/>
        <v>45064</v>
      </c>
      <c r="F579" s="515"/>
      <c r="G579" s="132" t="s">
        <v>1209</v>
      </c>
      <c r="I579" s="128" t="s">
        <v>481</v>
      </c>
      <c r="J579" s="120" t="s">
        <v>16</v>
      </c>
      <c r="K579" s="207"/>
      <c r="L579" s="207">
        <v>98610</v>
      </c>
    </row>
    <row r="580" spans="1:15" ht="11.25" customHeight="1" x14ac:dyDescent="0.2">
      <c r="A580" s="191">
        <v>2023</v>
      </c>
      <c r="B580" s="191">
        <v>5</v>
      </c>
      <c r="C580" s="191">
        <v>18</v>
      </c>
      <c r="D580" s="192">
        <f t="shared" si="42"/>
        <v>45064</v>
      </c>
      <c r="E580" s="193">
        <f t="shared" si="43"/>
        <v>45064</v>
      </c>
      <c r="F580" s="514"/>
      <c r="G580" s="194" t="s">
        <v>1209</v>
      </c>
      <c r="H580" s="195"/>
      <c r="I580" s="195" t="s">
        <v>481</v>
      </c>
      <c r="J580" s="191" t="s">
        <v>47</v>
      </c>
      <c r="K580" s="196"/>
      <c r="L580" s="196">
        <v>1390</v>
      </c>
    </row>
    <row r="581" spans="1:15" ht="11.25" customHeight="1" x14ac:dyDescent="0.2">
      <c r="A581" s="197">
        <v>2023</v>
      </c>
      <c r="B581" s="197">
        <v>5</v>
      </c>
      <c r="C581" s="197">
        <v>18</v>
      </c>
      <c r="D581" s="198">
        <f t="shared" si="42"/>
        <v>45064</v>
      </c>
      <c r="E581" s="209">
        <f t="shared" ref="E581:E610" si="44">DATE(A581,B581,C581)</f>
        <v>45064</v>
      </c>
      <c r="F581" s="513" t="s">
        <v>1210</v>
      </c>
      <c r="G581" s="200" t="s">
        <v>1209</v>
      </c>
      <c r="H581" s="201"/>
      <c r="I581" s="201" t="s">
        <v>1115</v>
      </c>
      <c r="J581" s="197" t="s">
        <v>46</v>
      </c>
      <c r="K581" s="202">
        <v>500000</v>
      </c>
      <c r="L581" s="202"/>
      <c r="M581" s="251"/>
    </row>
    <row r="582" spans="1:15" ht="11.25" customHeight="1" x14ac:dyDescent="0.2">
      <c r="A582" s="120">
        <v>2023</v>
      </c>
      <c r="B582" s="120">
        <v>5</v>
      </c>
      <c r="C582" s="120">
        <v>18</v>
      </c>
      <c r="D582" s="208">
        <f t="shared" si="42"/>
        <v>45064</v>
      </c>
      <c r="E582" s="209">
        <f t="shared" si="44"/>
        <v>45064</v>
      </c>
      <c r="F582" s="515"/>
      <c r="G582" s="132" t="s">
        <v>1209</v>
      </c>
      <c r="I582" s="128" t="s">
        <v>1115</v>
      </c>
      <c r="J582" s="120" t="s">
        <v>16</v>
      </c>
      <c r="K582" s="207"/>
      <c r="L582" s="207">
        <v>493050</v>
      </c>
    </row>
    <row r="583" spans="1:15" ht="11.25" customHeight="1" x14ac:dyDescent="0.2">
      <c r="A583" s="191">
        <v>2023</v>
      </c>
      <c r="B583" s="191">
        <v>5</v>
      </c>
      <c r="C583" s="191">
        <v>18</v>
      </c>
      <c r="D583" s="192">
        <f t="shared" si="42"/>
        <v>45064</v>
      </c>
      <c r="E583" s="193">
        <f t="shared" si="44"/>
        <v>45064</v>
      </c>
      <c r="F583" s="514"/>
      <c r="G583" s="194" t="s">
        <v>1209</v>
      </c>
      <c r="H583" s="195"/>
      <c r="I583" s="195" t="s">
        <v>1115</v>
      </c>
      <c r="J583" s="191" t="s">
        <v>47</v>
      </c>
      <c r="K583" s="196"/>
      <c r="L583" s="196">
        <v>6950</v>
      </c>
    </row>
    <row r="584" spans="1:15" ht="11.25" customHeight="1" x14ac:dyDescent="0.2">
      <c r="A584" s="197">
        <v>2023</v>
      </c>
      <c r="B584" s="197">
        <v>5</v>
      </c>
      <c r="C584" s="197">
        <v>15</v>
      </c>
      <c r="D584" s="198">
        <f t="shared" si="42"/>
        <v>45061</v>
      </c>
      <c r="E584" s="199">
        <f t="shared" si="44"/>
        <v>45061</v>
      </c>
      <c r="F584" s="513" t="s">
        <v>1306</v>
      </c>
      <c r="G584" s="200" t="s">
        <v>1209</v>
      </c>
      <c r="H584" s="201"/>
      <c r="I584" s="201"/>
      <c r="J584" s="197" t="s">
        <v>54</v>
      </c>
      <c r="K584" s="202">
        <v>35</v>
      </c>
      <c r="L584" s="202"/>
    </row>
    <row r="585" spans="1:15" ht="11.25" customHeight="1" x14ac:dyDescent="0.2">
      <c r="A585" s="191">
        <v>2023</v>
      </c>
      <c r="B585" s="191">
        <v>5</v>
      </c>
      <c r="C585" s="191">
        <v>15</v>
      </c>
      <c r="D585" s="192">
        <f t="shared" si="42"/>
        <v>45061</v>
      </c>
      <c r="E585" s="193">
        <f t="shared" si="44"/>
        <v>45061</v>
      </c>
      <c r="F585" s="514"/>
      <c r="G585" s="194" t="s">
        <v>1209</v>
      </c>
      <c r="H585" s="195"/>
      <c r="I585" s="195"/>
      <c r="J585" s="191" t="s">
        <v>46</v>
      </c>
      <c r="K585" s="196"/>
      <c r="L585" s="196">
        <v>35</v>
      </c>
    </row>
    <row r="586" spans="1:15" ht="11.25" customHeight="1" x14ac:dyDescent="0.2">
      <c r="A586" s="210">
        <v>2023</v>
      </c>
      <c r="B586" s="210">
        <v>5</v>
      </c>
      <c r="C586" s="210">
        <v>18</v>
      </c>
      <c r="D586" s="211">
        <f t="shared" si="42"/>
        <v>45064</v>
      </c>
      <c r="E586" s="238">
        <f t="shared" si="44"/>
        <v>45064</v>
      </c>
      <c r="F586" s="520" t="s">
        <v>1278</v>
      </c>
      <c r="G586" s="213" t="s">
        <v>1245</v>
      </c>
      <c r="H586" s="214"/>
      <c r="I586" s="214" t="s">
        <v>1253</v>
      </c>
      <c r="J586" s="210" t="s">
        <v>1529</v>
      </c>
      <c r="K586" s="215">
        <v>7032.2624999999998</v>
      </c>
      <c r="L586" s="215"/>
    </row>
    <row r="587" spans="1:15" ht="11.25" customHeight="1" x14ac:dyDescent="0.2">
      <c r="A587" s="216">
        <v>2023</v>
      </c>
      <c r="B587" s="216">
        <v>5</v>
      </c>
      <c r="C587" s="216">
        <v>18</v>
      </c>
      <c r="D587" s="217">
        <f t="shared" si="42"/>
        <v>45064</v>
      </c>
      <c r="E587" s="239">
        <f t="shared" si="44"/>
        <v>45064</v>
      </c>
      <c r="F587" s="521"/>
      <c r="G587" s="219" t="s">
        <v>1245</v>
      </c>
      <c r="H587" s="220"/>
      <c r="I587" s="220" t="s">
        <v>1253</v>
      </c>
      <c r="J587" s="216" t="s">
        <v>153</v>
      </c>
      <c r="K587" s="221"/>
      <c r="L587" s="221">
        <v>7032.2624999999998</v>
      </c>
    </row>
    <row r="588" spans="1:15" ht="11.25" customHeight="1" x14ac:dyDescent="0.2">
      <c r="A588" s="210">
        <v>2023</v>
      </c>
      <c r="B588" s="210">
        <v>5</v>
      </c>
      <c r="C588" s="210">
        <v>18</v>
      </c>
      <c r="D588" s="211">
        <f t="shared" si="42"/>
        <v>45064</v>
      </c>
      <c r="E588" s="238">
        <f t="shared" si="44"/>
        <v>45064</v>
      </c>
      <c r="F588" s="520" t="s">
        <v>1285</v>
      </c>
      <c r="G588" s="213" t="s">
        <v>1245</v>
      </c>
      <c r="H588" s="214"/>
      <c r="I588" s="214" t="s">
        <v>1253</v>
      </c>
      <c r="J588" s="210" t="s">
        <v>1284</v>
      </c>
      <c r="K588" s="215">
        <v>15398.28</v>
      </c>
      <c r="L588" s="215"/>
    </row>
    <row r="589" spans="1:15" ht="11.25" customHeight="1" x14ac:dyDescent="0.2">
      <c r="A589" s="242">
        <v>2023</v>
      </c>
      <c r="B589" s="216">
        <v>5</v>
      </c>
      <c r="C589" s="216">
        <v>18</v>
      </c>
      <c r="D589" s="243">
        <f t="shared" si="42"/>
        <v>45064</v>
      </c>
      <c r="E589" s="244">
        <f>DATE(A589,B589,C589)</f>
        <v>45064</v>
      </c>
      <c r="F589" s="524"/>
      <c r="G589" s="245" t="s">
        <v>1245</v>
      </c>
      <c r="H589" s="246"/>
      <c r="I589" s="246"/>
      <c r="J589" s="242" t="s">
        <v>1582</v>
      </c>
      <c r="K589" s="247"/>
      <c r="L589" s="247">
        <v>15398.28</v>
      </c>
    </row>
    <row r="590" spans="1:15" ht="11.25" customHeight="1" x14ac:dyDescent="0.2">
      <c r="A590" s="210">
        <v>2023</v>
      </c>
      <c r="B590" s="210">
        <v>5</v>
      </c>
      <c r="C590" s="210">
        <v>18</v>
      </c>
      <c r="D590" s="211">
        <f t="shared" si="42"/>
        <v>45064</v>
      </c>
      <c r="E590" s="238">
        <f t="shared" si="44"/>
        <v>45064</v>
      </c>
      <c r="F590" s="520" t="s">
        <v>1259</v>
      </c>
      <c r="G590" s="213" t="s">
        <v>1245</v>
      </c>
      <c r="H590" s="214"/>
      <c r="I590" s="214" t="s">
        <v>1253</v>
      </c>
      <c r="J590" s="210" t="s">
        <v>58</v>
      </c>
      <c r="K590" s="215">
        <v>7640.81</v>
      </c>
      <c r="L590" s="215"/>
    </row>
    <row r="591" spans="1:15" ht="11.25" customHeight="1" x14ac:dyDescent="0.2">
      <c r="A591" s="216">
        <v>2023</v>
      </c>
      <c r="B591" s="216">
        <v>5</v>
      </c>
      <c r="C591" s="216">
        <v>18</v>
      </c>
      <c r="D591" s="217">
        <f t="shared" si="42"/>
        <v>45064</v>
      </c>
      <c r="E591" s="239">
        <f t="shared" si="44"/>
        <v>45064</v>
      </c>
      <c r="F591" s="521"/>
      <c r="G591" s="219" t="s">
        <v>1245</v>
      </c>
      <c r="H591" s="220"/>
      <c r="I591" s="220" t="s">
        <v>1253</v>
      </c>
      <c r="J591" s="216" t="s">
        <v>153</v>
      </c>
      <c r="K591" s="221"/>
      <c r="L591" s="221">
        <v>7640.81</v>
      </c>
    </row>
    <row r="592" spans="1:15" ht="11.25" customHeight="1" x14ac:dyDescent="0.2">
      <c r="A592" s="210">
        <v>2023</v>
      </c>
      <c r="B592" s="210">
        <v>5</v>
      </c>
      <c r="C592" s="210">
        <v>18</v>
      </c>
      <c r="D592" s="211">
        <f t="shared" si="42"/>
        <v>45064</v>
      </c>
      <c r="E592" s="238">
        <f t="shared" si="44"/>
        <v>45064</v>
      </c>
      <c r="F592" s="520" t="s">
        <v>1255</v>
      </c>
      <c r="G592" s="213" t="s">
        <v>1245</v>
      </c>
      <c r="H592" s="214"/>
      <c r="I592" s="214" t="s">
        <v>1253</v>
      </c>
      <c r="J592" s="210" t="s">
        <v>113</v>
      </c>
      <c r="K592" s="215">
        <v>46927.22</v>
      </c>
      <c r="L592" s="215"/>
      <c r="M592" s="251"/>
      <c r="O592" s="130"/>
    </row>
    <row r="593" spans="1:15" ht="11.25" customHeight="1" x14ac:dyDescent="0.2">
      <c r="A593" s="216">
        <v>2023</v>
      </c>
      <c r="B593" s="216">
        <v>5</v>
      </c>
      <c r="C593" s="216">
        <v>18</v>
      </c>
      <c r="D593" s="217">
        <f t="shared" si="42"/>
        <v>45064</v>
      </c>
      <c r="E593" s="239">
        <f t="shared" si="44"/>
        <v>45064</v>
      </c>
      <c r="F593" s="521"/>
      <c r="G593" s="219" t="s">
        <v>1245</v>
      </c>
      <c r="H593" s="220"/>
      <c r="I593" s="220" t="s">
        <v>1253</v>
      </c>
      <c r="J593" s="216" t="s">
        <v>153</v>
      </c>
      <c r="K593" s="221"/>
      <c r="L593" s="221">
        <v>46927.22</v>
      </c>
    </row>
    <row r="594" spans="1:15" ht="11.25" customHeight="1" x14ac:dyDescent="0.2">
      <c r="A594" s="210">
        <v>2023</v>
      </c>
      <c r="B594" s="210">
        <v>5</v>
      </c>
      <c r="C594" s="210">
        <v>18</v>
      </c>
      <c r="D594" s="211">
        <f t="shared" si="42"/>
        <v>45064</v>
      </c>
      <c r="E594" s="238">
        <f t="shared" si="44"/>
        <v>45064</v>
      </c>
      <c r="F594" s="520" t="s">
        <v>1256</v>
      </c>
      <c r="G594" s="213" t="s">
        <v>1245</v>
      </c>
      <c r="H594" s="214"/>
      <c r="I594" s="214" t="s">
        <v>1253</v>
      </c>
      <c r="J594" s="210" t="s">
        <v>113</v>
      </c>
      <c r="K594" s="215">
        <v>32554.68</v>
      </c>
      <c r="L594" s="215"/>
      <c r="M594" s="251"/>
      <c r="O594" s="130"/>
    </row>
    <row r="595" spans="1:15" ht="11.25" customHeight="1" x14ac:dyDescent="0.2">
      <c r="A595" s="216">
        <v>2023</v>
      </c>
      <c r="B595" s="216">
        <v>5</v>
      </c>
      <c r="C595" s="216">
        <v>18</v>
      </c>
      <c r="D595" s="217">
        <f t="shared" si="42"/>
        <v>45064</v>
      </c>
      <c r="E595" s="239">
        <f t="shared" si="44"/>
        <v>45064</v>
      </c>
      <c r="F595" s="521"/>
      <c r="G595" s="219" t="s">
        <v>1245</v>
      </c>
      <c r="H595" s="220"/>
      <c r="I595" s="220" t="s">
        <v>1253</v>
      </c>
      <c r="J595" s="216" t="s">
        <v>153</v>
      </c>
      <c r="K595" s="221"/>
      <c r="L595" s="221">
        <v>32554.68</v>
      </c>
    </row>
    <row r="596" spans="1:15" ht="11.25" customHeight="1" x14ac:dyDescent="0.2">
      <c r="A596" s="210">
        <v>2023</v>
      </c>
      <c r="B596" s="210">
        <v>5</v>
      </c>
      <c r="C596" s="210">
        <v>18</v>
      </c>
      <c r="D596" s="211">
        <f t="shared" si="42"/>
        <v>45064</v>
      </c>
      <c r="E596" s="238">
        <f t="shared" si="44"/>
        <v>45064</v>
      </c>
      <c r="F596" s="520" t="s">
        <v>1257</v>
      </c>
      <c r="G596" s="213" t="s">
        <v>1245</v>
      </c>
      <c r="H596" s="214"/>
      <c r="I596" s="214" t="s">
        <v>1253</v>
      </c>
      <c r="J596" s="210" t="s">
        <v>113</v>
      </c>
      <c r="K596" s="215">
        <v>33372.93</v>
      </c>
      <c r="L596" s="215"/>
    </row>
    <row r="597" spans="1:15" ht="11.25" customHeight="1" x14ac:dyDescent="0.2">
      <c r="A597" s="216">
        <v>2023</v>
      </c>
      <c r="B597" s="216">
        <v>5</v>
      </c>
      <c r="C597" s="216">
        <v>18</v>
      </c>
      <c r="D597" s="217">
        <f t="shared" si="42"/>
        <v>45064</v>
      </c>
      <c r="E597" s="239">
        <f t="shared" si="44"/>
        <v>45064</v>
      </c>
      <c r="F597" s="521"/>
      <c r="G597" s="219" t="s">
        <v>1245</v>
      </c>
      <c r="H597" s="220"/>
      <c r="I597" s="220" t="s">
        <v>1253</v>
      </c>
      <c r="J597" s="216" t="s">
        <v>153</v>
      </c>
      <c r="K597" s="221"/>
      <c r="L597" s="221">
        <v>33372.93</v>
      </c>
    </row>
    <row r="598" spans="1:15" ht="11.25" customHeight="1" x14ac:dyDescent="0.2">
      <c r="A598" s="222">
        <v>2023</v>
      </c>
      <c r="B598" s="222">
        <v>5</v>
      </c>
      <c r="C598" s="222">
        <v>18</v>
      </c>
      <c r="D598" s="223">
        <f t="shared" si="42"/>
        <v>45064</v>
      </c>
      <c r="E598" s="240">
        <f t="shared" si="44"/>
        <v>45064</v>
      </c>
      <c r="F598" s="511" t="s">
        <v>1244</v>
      </c>
      <c r="G598" s="225" t="s">
        <v>1245</v>
      </c>
      <c r="H598" s="226"/>
      <c r="I598" s="226" t="s">
        <v>1253</v>
      </c>
      <c r="J598" s="222" t="s">
        <v>87</v>
      </c>
      <c r="K598" s="227">
        <v>7723.3619047626853</v>
      </c>
      <c r="L598" s="227"/>
    </row>
    <row r="599" spans="1:15" ht="11.25" customHeight="1" x14ac:dyDescent="0.2">
      <c r="A599" s="228">
        <v>2023</v>
      </c>
      <c r="B599" s="228">
        <v>5</v>
      </c>
      <c r="C599" s="228">
        <v>18</v>
      </c>
      <c r="D599" s="229">
        <f t="shared" si="42"/>
        <v>45064</v>
      </c>
      <c r="E599" s="241">
        <f t="shared" si="44"/>
        <v>45064</v>
      </c>
      <c r="F599" s="512"/>
      <c r="G599" s="231" t="s">
        <v>1245</v>
      </c>
      <c r="H599" s="232"/>
      <c r="I599" s="232" t="s">
        <v>1253</v>
      </c>
      <c r="J599" s="228" t="s">
        <v>72</v>
      </c>
      <c r="K599" s="233"/>
      <c r="L599" s="233">
        <v>7723.3619047626853</v>
      </c>
    </row>
    <row r="600" spans="1:15" ht="11.25" customHeight="1" x14ac:dyDescent="0.2">
      <c r="A600" s="222">
        <v>2023</v>
      </c>
      <c r="B600" s="222">
        <v>5</v>
      </c>
      <c r="C600" s="222">
        <v>18</v>
      </c>
      <c r="D600" s="223">
        <f t="shared" si="42"/>
        <v>45064</v>
      </c>
      <c r="E600" s="240">
        <f t="shared" si="44"/>
        <v>45064</v>
      </c>
      <c r="F600" s="511" t="s">
        <v>1246</v>
      </c>
      <c r="G600" s="225" t="s">
        <v>1245</v>
      </c>
      <c r="H600" s="226"/>
      <c r="I600" s="226" t="s">
        <v>1253</v>
      </c>
      <c r="J600" s="222" t="s">
        <v>75</v>
      </c>
      <c r="K600" s="227">
        <v>3846.1538461538462</v>
      </c>
      <c r="L600" s="227"/>
    </row>
    <row r="601" spans="1:15" ht="11.25" customHeight="1" x14ac:dyDescent="0.2">
      <c r="A601" s="228">
        <v>2023</v>
      </c>
      <c r="B601" s="228">
        <v>5</v>
      </c>
      <c r="C601" s="228">
        <v>18</v>
      </c>
      <c r="D601" s="229">
        <f t="shared" si="42"/>
        <v>45064</v>
      </c>
      <c r="E601" s="241">
        <f t="shared" si="44"/>
        <v>45064</v>
      </c>
      <c r="F601" s="512"/>
      <c r="G601" s="231" t="s">
        <v>1245</v>
      </c>
      <c r="H601" s="232"/>
      <c r="I601" s="232" t="s">
        <v>1253</v>
      </c>
      <c r="J601" s="228" t="s">
        <v>55</v>
      </c>
      <c r="K601" s="233"/>
      <c r="L601" s="233">
        <v>3846.1538461538462</v>
      </c>
    </row>
    <row r="602" spans="1:15" ht="11.25" customHeight="1" x14ac:dyDescent="0.2">
      <c r="A602" s="222">
        <v>2023</v>
      </c>
      <c r="B602" s="222">
        <v>5</v>
      </c>
      <c r="C602" s="222">
        <v>18</v>
      </c>
      <c r="D602" s="223">
        <f t="shared" si="42"/>
        <v>45064</v>
      </c>
      <c r="E602" s="240">
        <f t="shared" si="44"/>
        <v>45064</v>
      </c>
      <c r="F602" s="511" t="s">
        <v>1247</v>
      </c>
      <c r="G602" s="225" t="s">
        <v>1245</v>
      </c>
      <c r="H602" s="226"/>
      <c r="I602" s="226" t="s">
        <v>1253</v>
      </c>
      <c r="J602" s="222" t="s">
        <v>77</v>
      </c>
      <c r="K602" s="227">
        <v>22224.942551655586</v>
      </c>
      <c r="L602" s="227"/>
    </row>
    <row r="603" spans="1:15" ht="11.25" customHeight="1" x14ac:dyDescent="0.2">
      <c r="A603" s="228">
        <v>2023</v>
      </c>
      <c r="B603" s="228">
        <v>5</v>
      </c>
      <c r="C603" s="228">
        <v>18</v>
      </c>
      <c r="D603" s="229">
        <f t="shared" si="42"/>
        <v>45064</v>
      </c>
      <c r="E603" s="241">
        <f t="shared" si="44"/>
        <v>45064</v>
      </c>
      <c r="F603" s="512"/>
      <c r="G603" s="231" t="s">
        <v>1245</v>
      </c>
      <c r="H603" s="232"/>
      <c r="I603" s="232" t="s">
        <v>1253</v>
      </c>
      <c r="J603" s="228" t="s">
        <v>41</v>
      </c>
      <c r="K603" s="233"/>
      <c r="L603" s="233">
        <v>22224.942551655586</v>
      </c>
    </row>
    <row r="604" spans="1:15" ht="11.25" customHeight="1" x14ac:dyDescent="0.2">
      <c r="A604" s="222">
        <v>2023</v>
      </c>
      <c r="B604" s="222">
        <v>5</v>
      </c>
      <c r="C604" s="222">
        <v>18</v>
      </c>
      <c r="D604" s="223">
        <f t="shared" si="42"/>
        <v>45064</v>
      </c>
      <c r="E604" s="240">
        <f t="shared" si="44"/>
        <v>45064</v>
      </c>
      <c r="F604" s="511" t="s">
        <v>1248</v>
      </c>
      <c r="G604" s="225" t="s">
        <v>1245</v>
      </c>
      <c r="H604" s="226"/>
      <c r="I604" s="226" t="s">
        <v>1253</v>
      </c>
      <c r="J604" s="222" t="s">
        <v>80</v>
      </c>
      <c r="K604" s="227">
        <v>1111.2471275827795</v>
      </c>
      <c r="L604" s="227"/>
    </row>
    <row r="605" spans="1:15" ht="11.25" customHeight="1" x14ac:dyDescent="0.2">
      <c r="A605" s="228">
        <v>2023</v>
      </c>
      <c r="B605" s="228">
        <v>5</v>
      </c>
      <c r="C605" s="228">
        <v>18</v>
      </c>
      <c r="D605" s="229">
        <f t="shared" si="42"/>
        <v>45064</v>
      </c>
      <c r="E605" s="241">
        <f t="shared" si="44"/>
        <v>45064</v>
      </c>
      <c r="F605" s="512"/>
      <c r="G605" s="231" t="s">
        <v>1245</v>
      </c>
      <c r="H605" s="232"/>
      <c r="I605" s="232" t="s">
        <v>1253</v>
      </c>
      <c r="J605" s="228" t="s">
        <v>42</v>
      </c>
      <c r="K605" s="233"/>
      <c r="L605" s="233">
        <v>1111.2471275827795</v>
      </c>
    </row>
    <row r="606" spans="1:15" ht="11.25" customHeight="1" x14ac:dyDescent="0.2">
      <c r="A606" s="197">
        <v>2023</v>
      </c>
      <c r="B606" s="120">
        <v>5</v>
      </c>
      <c r="C606" s="120">
        <v>21</v>
      </c>
      <c r="D606" s="198">
        <f t="shared" si="42"/>
        <v>45067</v>
      </c>
      <c r="E606" s="199">
        <f t="shared" si="44"/>
        <v>45067</v>
      </c>
      <c r="F606" s="513" t="s">
        <v>1309</v>
      </c>
      <c r="G606" s="200" t="s">
        <v>1209</v>
      </c>
      <c r="H606" s="200"/>
      <c r="I606" s="201" t="s">
        <v>1253</v>
      </c>
      <c r="J606" s="197" t="s">
        <v>70</v>
      </c>
      <c r="K606" s="202">
        <v>48030</v>
      </c>
      <c r="L606" s="202"/>
    </row>
    <row r="607" spans="1:15" ht="11.25" customHeight="1" x14ac:dyDescent="0.2">
      <c r="A607" s="120">
        <v>2023</v>
      </c>
      <c r="B607" s="120">
        <v>5</v>
      </c>
      <c r="C607" s="120">
        <v>21</v>
      </c>
      <c r="D607" s="198">
        <f t="shared" si="42"/>
        <v>45067</v>
      </c>
      <c r="E607" s="209">
        <f t="shared" si="44"/>
        <v>45067</v>
      </c>
      <c r="F607" s="515"/>
      <c r="G607" s="132" t="s">
        <v>1209</v>
      </c>
      <c r="H607" s="132"/>
      <c r="I607" s="128" t="s">
        <v>1253</v>
      </c>
      <c r="J607" s="120" t="s">
        <v>46</v>
      </c>
      <c r="K607" s="207">
        <v>2351970</v>
      </c>
      <c r="L607" s="207"/>
    </row>
    <row r="608" spans="1:15" ht="11.25" customHeight="1" x14ac:dyDescent="0.2">
      <c r="A608" s="191">
        <v>2023</v>
      </c>
      <c r="B608" s="191">
        <v>5</v>
      </c>
      <c r="C608" s="191">
        <v>21</v>
      </c>
      <c r="D608" s="249">
        <f t="shared" si="42"/>
        <v>45067</v>
      </c>
      <c r="E608" s="193">
        <f t="shared" si="44"/>
        <v>45067</v>
      </c>
      <c r="F608" s="514"/>
      <c r="G608" s="194" t="s">
        <v>1209</v>
      </c>
      <c r="H608" s="194"/>
      <c r="I608" s="195"/>
      <c r="J608" s="191" t="s">
        <v>175</v>
      </c>
      <c r="K608" s="196"/>
      <c r="L608" s="196">
        <v>2400000</v>
      </c>
      <c r="M608" s="251"/>
    </row>
    <row r="609" spans="1:14" ht="11.25" customHeight="1" x14ac:dyDescent="0.2">
      <c r="A609" s="197">
        <v>2023</v>
      </c>
      <c r="B609" s="197">
        <v>5</v>
      </c>
      <c r="C609" s="197">
        <v>22</v>
      </c>
      <c r="D609" s="198">
        <f t="shared" si="42"/>
        <v>45068</v>
      </c>
      <c r="E609" s="199">
        <f t="shared" si="44"/>
        <v>45068</v>
      </c>
      <c r="F609" s="513" t="s">
        <v>1315</v>
      </c>
      <c r="G609" s="200" t="s">
        <v>1209</v>
      </c>
      <c r="H609" s="201"/>
      <c r="I609" s="201"/>
      <c r="J609" s="197" t="s">
        <v>54</v>
      </c>
      <c r="K609" s="202">
        <v>23</v>
      </c>
      <c r="L609" s="202"/>
    </row>
    <row r="610" spans="1:14" ht="11.25" customHeight="1" x14ac:dyDescent="0.2">
      <c r="A610" s="191">
        <v>2023</v>
      </c>
      <c r="B610" s="191">
        <v>5</v>
      </c>
      <c r="C610" s="191">
        <v>22</v>
      </c>
      <c r="D610" s="192">
        <f t="shared" si="42"/>
        <v>45068</v>
      </c>
      <c r="E610" s="193">
        <f t="shared" si="44"/>
        <v>45068</v>
      </c>
      <c r="F610" s="514"/>
      <c r="G610" s="194" t="s">
        <v>1209</v>
      </c>
      <c r="H610" s="195"/>
      <c r="I610" s="195"/>
      <c r="J610" s="191" t="s">
        <v>46</v>
      </c>
      <c r="K610" s="196"/>
      <c r="L610" s="196">
        <v>23</v>
      </c>
    </row>
    <row r="611" spans="1:14" ht="11.25" customHeight="1" x14ac:dyDescent="0.2">
      <c r="A611" s="197">
        <v>2023</v>
      </c>
      <c r="B611" s="197">
        <v>5</v>
      </c>
      <c r="C611" s="197">
        <v>23</v>
      </c>
      <c r="D611" s="198">
        <f t="shared" si="42"/>
        <v>45069</v>
      </c>
      <c r="E611" s="199">
        <f t="shared" ref="E611:E616" si="45">DATE(A611,B611,C611)</f>
        <v>45069</v>
      </c>
      <c r="F611" s="513" t="s">
        <v>1280</v>
      </c>
      <c r="G611" s="200" t="s">
        <v>1209</v>
      </c>
      <c r="H611" s="201"/>
      <c r="I611" s="201" t="s">
        <v>395</v>
      </c>
      <c r="J611" s="197" t="s">
        <v>16</v>
      </c>
      <c r="K611" s="202">
        <v>2600000</v>
      </c>
      <c r="L611" s="202"/>
      <c r="M611" s="251"/>
    </row>
    <row r="612" spans="1:14" ht="11.25" customHeight="1" x14ac:dyDescent="0.2">
      <c r="A612" s="191">
        <v>2023</v>
      </c>
      <c r="B612" s="191">
        <v>5</v>
      </c>
      <c r="C612" s="191">
        <v>23</v>
      </c>
      <c r="D612" s="192">
        <f t="shared" si="42"/>
        <v>45069</v>
      </c>
      <c r="E612" s="193">
        <f t="shared" si="45"/>
        <v>45069</v>
      </c>
      <c r="F612" s="514"/>
      <c r="G612" s="194" t="s">
        <v>1209</v>
      </c>
      <c r="H612" s="195"/>
      <c r="I612" s="195" t="s">
        <v>395</v>
      </c>
      <c r="J612" s="191" t="s">
        <v>46</v>
      </c>
      <c r="K612" s="196"/>
      <c r="L612" s="196">
        <v>2600000</v>
      </c>
    </row>
    <row r="613" spans="1:14" ht="11.25" customHeight="1" x14ac:dyDescent="0.2">
      <c r="A613" s="197">
        <v>2023</v>
      </c>
      <c r="B613" s="197">
        <v>5</v>
      </c>
      <c r="C613" s="197">
        <v>23</v>
      </c>
      <c r="D613" s="198">
        <f t="shared" si="42"/>
        <v>45069</v>
      </c>
      <c r="E613" s="199">
        <f t="shared" si="45"/>
        <v>45069</v>
      </c>
      <c r="F613" s="513" t="s">
        <v>1311</v>
      </c>
      <c r="G613" s="200" t="s">
        <v>1209</v>
      </c>
      <c r="H613" s="201"/>
      <c r="I613" s="201" t="s">
        <v>1253</v>
      </c>
      <c r="J613" s="197" t="s">
        <v>1475</v>
      </c>
      <c r="K613" s="202">
        <v>5289260</v>
      </c>
      <c r="L613" s="202"/>
    </row>
    <row r="614" spans="1:14" ht="11.25" customHeight="1" x14ac:dyDescent="0.2">
      <c r="A614" s="191">
        <v>2023</v>
      </c>
      <c r="B614" s="191">
        <v>5</v>
      </c>
      <c r="C614" s="191">
        <v>23</v>
      </c>
      <c r="D614" s="192">
        <f t="shared" si="42"/>
        <v>45069</v>
      </c>
      <c r="E614" s="193">
        <f t="shared" si="45"/>
        <v>45069</v>
      </c>
      <c r="F614" s="514"/>
      <c r="G614" s="194" t="s">
        <v>1209</v>
      </c>
      <c r="H614" s="195"/>
      <c r="I614" s="195" t="s">
        <v>1253</v>
      </c>
      <c r="J614" s="191" t="s">
        <v>46</v>
      </c>
      <c r="K614" s="196"/>
      <c r="L614" s="196">
        <v>5289260</v>
      </c>
      <c r="N614" s="130"/>
    </row>
    <row r="615" spans="1:14" ht="11.25" customHeight="1" x14ac:dyDescent="0.2">
      <c r="A615" s="197">
        <v>2023</v>
      </c>
      <c r="B615" s="197">
        <v>5</v>
      </c>
      <c r="C615" s="197">
        <v>23</v>
      </c>
      <c r="D615" s="198">
        <f t="shared" si="42"/>
        <v>45069</v>
      </c>
      <c r="E615" s="199">
        <f t="shared" si="45"/>
        <v>45069</v>
      </c>
      <c r="F615" s="513" t="s">
        <v>1306</v>
      </c>
      <c r="G615" s="200" t="s">
        <v>1209</v>
      </c>
      <c r="H615" s="201"/>
      <c r="I615" s="201"/>
      <c r="J615" s="197" t="s">
        <v>54</v>
      </c>
      <c r="K615" s="202">
        <v>100</v>
      </c>
      <c r="L615" s="202"/>
    </row>
    <row r="616" spans="1:14" ht="11.25" customHeight="1" x14ac:dyDescent="0.2">
      <c r="A616" s="191">
        <v>2023</v>
      </c>
      <c r="B616" s="191">
        <v>5</v>
      </c>
      <c r="C616" s="191">
        <v>23</v>
      </c>
      <c r="D616" s="192">
        <f t="shared" si="42"/>
        <v>45069</v>
      </c>
      <c r="E616" s="193">
        <f t="shared" si="45"/>
        <v>45069</v>
      </c>
      <c r="F616" s="514"/>
      <c r="G616" s="194" t="s">
        <v>1209</v>
      </c>
      <c r="H616" s="195"/>
      <c r="I616" s="195"/>
      <c r="J616" s="191" t="s">
        <v>46</v>
      </c>
      <c r="K616" s="196"/>
      <c r="L616" s="196">
        <v>100</v>
      </c>
    </row>
    <row r="617" spans="1:14" ht="11.25" customHeight="1" x14ac:dyDescent="0.2">
      <c r="A617" s="197">
        <v>2023</v>
      </c>
      <c r="B617" s="197">
        <v>5</v>
      </c>
      <c r="C617" s="197">
        <v>24</v>
      </c>
      <c r="D617" s="198">
        <f t="shared" si="42"/>
        <v>45070</v>
      </c>
      <c r="E617" s="209">
        <f>DATE(A617,B617,C617)</f>
        <v>45070</v>
      </c>
      <c r="F617" s="513" t="s">
        <v>1210</v>
      </c>
      <c r="G617" s="200" t="s">
        <v>1209</v>
      </c>
      <c r="H617" s="201"/>
      <c r="I617" s="201" t="s">
        <v>1310</v>
      </c>
      <c r="J617" s="197" t="s">
        <v>46</v>
      </c>
      <c r="K617" s="202">
        <v>500000</v>
      </c>
      <c r="L617" s="202"/>
      <c r="M617" s="251"/>
    </row>
    <row r="618" spans="1:14" ht="11.25" customHeight="1" x14ac:dyDescent="0.2">
      <c r="A618" s="120">
        <v>2023</v>
      </c>
      <c r="B618" s="120">
        <v>5</v>
      </c>
      <c r="C618" s="120">
        <v>24</v>
      </c>
      <c r="D618" s="208">
        <f t="shared" si="42"/>
        <v>45070</v>
      </c>
      <c r="E618" s="209">
        <f>DATE(A618,B618,C618)</f>
        <v>45070</v>
      </c>
      <c r="F618" s="515"/>
      <c r="G618" s="132" t="s">
        <v>1209</v>
      </c>
      <c r="I618" s="128" t="s">
        <v>1310</v>
      </c>
      <c r="J618" s="120" t="s">
        <v>16</v>
      </c>
      <c r="K618" s="207"/>
      <c r="L618" s="207">
        <v>492420</v>
      </c>
    </row>
    <row r="619" spans="1:14" ht="11.25" customHeight="1" x14ac:dyDescent="0.2">
      <c r="A619" s="191">
        <v>2023</v>
      </c>
      <c r="B619" s="191">
        <v>5</v>
      </c>
      <c r="C619" s="191">
        <v>24</v>
      </c>
      <c r="D619" s="192">
        <f t="shared" si="42"/>
        <v>45070</v>
      </c>
      <c r="E619" s="193">
        <f>DATE(A619,B619,C619)</f>
        <v>45070</v>
      </c>
      <c r="F619" s="514"/>
      <c r="G619" s="194" t="s">
        <v>1209</v>
      </c>
      <c r="H619" s="195"/>
      <c r="I619" s="195" t="s">
        <v>1310</v>
      </c>
      <c r="J619" s="191" t="s">
        <v>47</v>
      </c>
      <c r="K619" s="196"/>
      <c r="L619" s="196">
        <v>7580</v>
      </c>
    </row>
    <row r="620" spans="1:14" ht="11.25" customHeight="1" x14ac:dyDescent="0.2">
      <c r="A620" s="197">
        <v>2023</v>
      </c>
      <c r="B620" s="197">
        <v>5</v>
      </c>
      <c r="C620" s="197">
        <v>25</v>
      </c>
      <c r="D620" s="198">
        <f t="shared" si="42"/>
        <v>45071</v>
      </c>
      <c r="E620" s="199">
        <f>DATE(A620,B620,C620)</f>
        <v>45071</v>
      </c>
      <c r="F620" s="513" t="s">
        <v>1306</v>
      </c>
      <c r="G620" s="200" t="s">
        <v>1209</v>
      </c>
      <c r="H620" s="201"/>
      <c r="I620" s="201"/>
      <c r="J620" s="197" t="s">
        <v>54</v>
      </c>
      <c r="K620" s="202">
        <v>60</v>
      </c>
      <c r="L620" s="202"/>
    </row>
    <row r="621" spans="1:14" ht="11.25" customHeight="1" x14ac:dyDescent="0.2">
      <c r="A621" s="191">
        <v>2023</v>
      </c>
      <c r="B621" s="191">
        <v>5</v>
      </c>
      <c r="C621" s="191">
        <v>25</v>
      </c>
      <c r="D621" s="192">
        <f t="shared" si="42"/>
        <v>45071</v>
      </c>
      <c r="E621" s="193">
        <f>DATE(A621,B621,C621)</f>
        <v>45071</v>
      </c>
      <c r="F621" s="514"/>
      <c r="G621" s="194" t="s">
        <v>1209</v>
      </c>
      <c r="H621" s="195"/>
      <c r="I621" s="195"/>
      <c r="J621" s="191" t="s">
        <v>46</v>
      </c>
      <c r="K621" s="196"/>
      <c r="L621" s="196">
        <v>60</v>
      </c>
    </row>
    <row r="622" spans="1:14" ht="11.25" customHeight="1" x14ac:dyDescent="0.2">
      <c r="A622" s="210">
        <v>2023</v>
      </c>
      <c r="B622" s="210">
        <v>5</v>
      </c>
      <c r="C622" s="210">
        <v>25</v>
      </c>
      <c r="D622" s="211">
        <f t="shared" si="42"/>
        <v>45071</v>
      </c>
      <c r="E622" s="238">
        <f t="shared" ref="E622:E645" si="46">DATE(A622,B622,C622)</f>
        <v>45071</v>
      </c>
      <c r="F622" s="520" t="s">
        <v>1278</v>
      </c>
      <c r="G622" s="213" t="s">
        <v>1245</v>
      </c>
      <c r="H622" s="214"/>
      <c r="I622" s="214" t="s">
        <v>1253</v>
      </c>
      <c r="J622" s="210" t="s">
        <v>1529</v>
      </c>
      <c r="K622" s="215">
        <v>7032.2624999999998</v>
      </c>
      <c r="L622" s="215"/>
    </row>
    <row r="623" spans="1:14" ht="11.25" customHeight="1" x14ac:dyDescent="0.2">
      <c r="A623" s="216">
        <v>2023</v>
      </c>
      <c r="B623" s="216">
        <v>5</v>
      </c>
      <c r="C623" s="216">
        <v>25</v>
      </c>
      <c r="D623" s="217">
        <f t="shared" si="42"/>
        <v>45071</v>
      </c>
      <c r="E623" s="239">
        <f t="shared" si="46"/>
        <v>45071</v>
      </c>
      <c r="F623" s="521"/>
      <c r="G623" s="219" t="s">
        <v>1245</v>
      </c>
      <c r="H623" s="220"/>
      <c r="I623" s="220" t="s">
        <v>1253</v>
      </c>
      <c r="J623" s="216" t="s">
        <v>153</v>
      </c>
      <c r="K623" s="221"/>
      <c r="L623" s="221">
        <v>7032.2624999999998</v>
      </c>
    </row>
    <row r="624" spans="1:14" ht="11.25" customHeight="1" x14ac:dyDescent="0.2">
      <c r="A624" s="210">
        <v>2023</v>
      </c>
      <c r="B624" s="210">
        <v>5</v>
      </c>
      <c r="C624" s="210">
        <v>25</v>
      </c>
      <c r="D624" s="211">
        <f t="shared" si="42"/>
        <v>45071</v>
      </c>
      <c r="E624" s="238">
        <f t="shared" si="46"/>
        <v>45071</v>
      </c>
      <c r="F624" s="520" t="s">
        <v>1285</v>
      </c>
      <c r="G624" s="213" t="s">
        <v>1245</v>
      </c>
      <c r="H624" s="214"/>
      <c r="I624" s="214" t="s">
        <v>1253</v>
      </c>
      <c r="J624" s="210" t="s">
        <v>1284</v>
      </c>
      <c r="K624" s="215">
        <v>15398.28</v>
      </c>
      <c r="L624" s="215"/>
    </row>
    <row r="625" spans="1:15" ht="11.25" customHeight="1" x14ac:dyDescent="0.2">
      <c r="A625" s="242">
        <v>2023</v>
      </c>
      <c r="B625" s="216">
        <v>5</v>
      </c>
      <c r="C625" s="216">
        <v>25</v>
      </c>
      <c r="D625" s="243">
        <f t="shared" ref="D625:D684" si="47">DATE(A625,B625,C625)</f>
        <v>45071</v>
      </c>
      <c r="E625" s="244">
        <f>DATE(A625,B625,C625)</f>
        <v>45071</v>
      </c>
      <c r="F625" s="524"/>
      <c r="G625" s="245" t="s">
        <v>1245</v>
      </c>
      <c r="H625" s="246"/>
      <c r="I625" s="246"/>
      <c r="J625" s="242" t="s">
        <v>1582</v>
      </c>
      <c r="K625" s="247"/>
      <c r="L625" s="247">
        <v>15398.28</v>
      </c>
    </row>
    <row r="626" spans="1:15" ht="11.25" customHeight="1" x14ac:dyDescent="0.2">
      <c r="A626" s="210">
        <v>2023</v>
      </c>
      <c r="B626" s="210">
        <v>5</v>
      </c>
      <c r="C626" s="210">
        <v>25</v>
      </c>
      <c r="D626" s="211">
        <f t="shared" si="47"/>
        <v>45071</v>
      </c>
      <c r="E626" s="238">
        <f t="shared" si="46"/>
        <v>45071</v>
      </c>
      <c r="F626" s="520" t="s">
        <v>1259</v>
      </c>
      <c r="G626" s="213" t="s">
        <v>1245</v>
      </c>
      <c r="H626" s="214"/>
      <c r="I626" s="214" t="s">
        <v>1253</v>
      </c>
      <c r="J626" s="210" t="s">
        <v>58</v>
      </c>
      <c r="K626" s="215">
        <v>7162.82</v>
      </c>
      <c r="L626" s="215"/>
    </row>
    <row r="627" spans="1:15" ht="11.25" customHeight="1" x14ac:dyDescent="0.2">
      <c r="A627" s="216">
        <v>2023</v>
      </c>
      <c r="B627" s="216">
        <v>5</v>
      </c>
      <c r="C627" s="216">
        <v>25</v>
      </c>
      <c r="D627" s="217">
        <f t="shared" si="47"/>
        <v>45071</v>
      </c>
      <c r="E627" s="239">
        <f t="shared" si="46"/>
        <v>45071</v>
      </c>
      <c r="F627" s="521"/>
      <c r="G627" s="219" t="s">
        <v>1245</v>
      </c>
      <c r="H627" s="220"/>
      <c r="I627" s="220" t="s">
        <v>1253</v>
      </c>
      <c r="J627" s="216" t="s">
        <v>153</v>
      </c>
      <c r="K627" s="221"/>
      <c r="L627" s="221">
        <v>7162.82</v>
      </c>
    </row>
    <row r="628" spans="1:15" ht="11.25" customHeight="1" x14ac:dyDescent="0.2">
      <c r="A628" s="210">
        <v>2023</v>
      </c>
      <c r="B628" s="210">
        <v>5</v>
      </c>
      <c r="C628" s="210">
        <v>25</v>
      </c>
      <c r="D628" s="211">
        <f t="shared" si="47"/>
        <v>45071</v>
      </c>
      <c r="E628" s="238">
        <f t="shared" si="46"/>
        <v>45071</v>
      </c>
      <c r="F628" s="520" t="s">
        <v>1255</v>
      </c>
      <c r="G628" s="213" t="s">
        <v>1245</v>
      </c>
      <c r="H628" s="214"/>
      <c r="I628" s="214" t="s">
        <v>1253</v>
      </c>
      <c r="J628" s="210" t="s">
        <v>113</v>
      </c>
      <c r="K628" s="215">
        <v>46927.22</v>
      </c>
      <c r="L628" s="215"/>
      <c r="M628" s="251"/>
      <c r="O628" s="130"/>
    </row>
    <row r="629" spans="1:15" ht="11.25" customHeight="1" x14ac:dyDescent="0.2">
      <c r="A629" s="216">
        <v>2023</v>
      </c>
      <c r="B629" s="216">
        <v>5</v>
      </c>
      <c r="C629" s="216">
        <v>25</v>
      </c>
      <c r="D629" s="217">
        <f t="shared" si="47"/>
        <v>45071</v>
      </c>
      <c r="E629" s="239">
        <f t="shared" si="46"/>
        <v>45071</v>
      </c>
      <c r="F629" s="521"/>
      <c r="G629" s="219" t="s">
        <v>1245</v>
      </c>
      <c r="H629" s="220"/>
      <c r="I629" s="220" t="s">
        <v>1253</v>
      </c>
      <c r="J629" s="216" t="s">
        <v>153</v>
      </c>
      <c r="K629" s="221"/>
      <c r="L629" s="221">
        <v>46927.22</v>
      </c>
    </row>
    <row r="630" spans="1:15" ht="11.25" customHeight="1" x14ac:dyDescent="0.2">
      <c r="A630" s="210">
        <v>2023</v>
      </c>
      <c r="B630" s="210">
        <v>5</v>
      </c>
      <c r="C630" s="210">
        <v>25</v>
      </c>
      <c r="D630" s="211">
        <f t="shared" si="47"/>
        <v>45071</v>
      </c>
      <c r="E630" s="238">
        <f t="shared" si="46"/>
        <v>45071</v>
      </c>
      <c r="F630" s="520" t="s">
        <v>1256</v>
      </c>
      <c r="G630" s="213" t="s">
        <v>1245</v>
      </c>
      <c r="H630" s="214"/>
      <c r="I630" s="214" t="s">
        <v>1253</v>
      </c>
      <c r="J630" s="210" t="s">
        <v>113</v>
      </c>
      <c r="K630" s="215">
        <v>32554.68</v>
      </c>
      <c r="L630" s="215"/>
      <c r="M630" s="251"/>
      <c r="O630" s="130"/>
    </row>
    <row r="631" spans="1:15" ht="11.25" customHeight="1" x14ac:dyDescent="0.2">
      <c r="A631" s="216">
        <v>2023</v>
      </c>
      <c r="B631" s="216">
        <v>5</v>
      </c>
      <c r="C631" s="216">
        <v>25</v>
      </c>
      <c r="D631" s="217">
        <f t="shared" si="47"/>
        <v>45071</v>
      </c>
      <c r="E631" s="239">
        <f t="shared" si="46"/>
        <v>45071</v>
      </c>
      <c r="F631" s="521"/>
      <c r="G631" s="219" t="s">
        <v>1245</v>
      </c>
      <c r="H631" s="220"/>
      <c r="I631" s="220" t="s">
        <v>1253</v>
      </c>
      <c r="J631" s="216" t="s">
        <v>153</v>
      </c>
      <c r="K631" s="221"/>
      <c r="L631" s="221">
        <v>32554.68</v>
      </c>
    </row>
    <row r="632" spans="1:15" ht="11.25" customHeight="1" x14ac:dyDescent="0.2">
      <c r="A632" s="210">
        <v>2023</v>
      </c>
      <c r="B632" s="210">
        <v>5</v>
      </c>
      <c r="C632" s="210">
        <v>25</v>
      </c>
      <c r="D632" s="211">
        <f t="shared" si="47"/>
        <v>45071</v>
      </c>
      <c r="E632" s="238">
        <f t="shared" si="46"/>
        <v>45071</v>
      </c>
      <c r="F632" s="520" t="s">
        <v>1257</v>
      </c>
      <c r="G632" s="213" t="s">
        <v>1245</v>
      </c>
      <c r="H632" s="214"/>
      <c r="I632" s="214" t="s">
        <v>1253</v>
      </c>
      <c r="J632" s="210" t="s">
        <v>113</v>
      </c>
      <c r="K632" s="215">
        <v>33372.93</v>
      </c>
      <c r="L632" s="215"/>
    </row>
    <row r="633" spans="1:15" ht="11.25" customHeight="1" x14ac:dyDescent="0.2">
      <c r="A633" s="216">
        <v>2023</v>
      </c>
      <c r="B633" s="216">
        <v>5</v>
      </c>
      <c r="C633" s="216">
        <v>25</v>
      </c>
      <c r="D633" s="217">
        <f t="shared" si="47"/>
        <v>45071</v>
      </c>
      <c r="E633" s="239">
        <f t="shared" si="46"/>
        <v>45071</v>
      </c>
      <c r="F633" s="521"/>
      <c r="G633" s="219" t="s">
        <v>1245</v>
      </c>
      <c r="H633" s="220"/>
      <c r="I633" s="220" t="s">
        <v>1253</v>
      </c>
      <c r="J633" s="216" t="s">
        <v>153</v>
      </c>
      <c r="K633" s="221"/>
      <c r="L633" s="221">
        <v>33372.93</v>
      </c>
    </row>
    <row r="634" spans="1:15" ht="11.25" customHeight="1" x14ac:dyDescent="0.2">
      <c r="A634" s="259">
        <v>2023</v>
      </c>
      <c r="B634" s="259">
        <v>5</v>
      </c>
      <c r="C634" s="259">
        <v>25</v>
      </c>
      <c r="D634" s="260">
        <f t="shared" si="47"/>
        <v>45071</v>
      </c>
      <c r="E634" s="261">
        <f>DATE(A634,B634,C634)</f>
        <v>45071</v>
      </c>
      <c r="F634" s="531" t="s">
        <v>1313</v>
      </c>
      <c r="G634" s="262" t="s">
        <v>1245</v>
      </c>
      <c r="H634" s="263"/>
      <c r="I634" s="263" t="s">
        <v>1253</v>
      </c>
      <c r="J634" s="259" t="s">
        <v>1476</v>
      </c>
      <c r="K634" s="264">
        <v>7857.7777777777774</v>
      </c>
      <c r="L634" s="264"/>
    </row>
    <row r="635" spans="1:15" ht="11.25" customHeight="1" x14ac:dyDescent="0.2">
      <c r="A635" s="265">
        <v>2023</v>
      </c>
      <c r="B635" s="265">
        <v>5</v>
      </c>
      <c r="C635" s="265">
        <v>25</v>
      </c>
      <c r="D635" s="266">
        <f t="shared" si="47"/>
        <v>45071</v>
      </c>
      <c r="E635" s="267">
        <f>DATE(A635,B635,C635)</f>
        <v>45071</v>
      </c>
      <c r="F635" s="532"/>
      <c r="G635" s="268" t="s">
        <v>1245</v>
      </c>
      <c r="H635" s="269"/>
      <c r="I635" s="269" t="s">
        <v>1253</v>
      </c>
      <c r="J635" s="265" t="s">
        <v>153</v>
      </c>
      <c r="K635" s="270"/>
      <c r="L635" s="270">
        <v>7857.7777777777774</v>
      </c>
    </row>
    <row r="636" spans="1:15" ht="11.25" customHeight="1" x14ac:dyDescent="0.2">
      <c r="A636" s="222">
        <v>2023</v>
      </c>
      <c r="B636" s="222">
        <v>5</v>
      </c>
      <c r="C636" s="222">
        <v>25</v>
      </c>
      <c r="D636" s="223">
        <f t="shared" si="47"/>
        <v>45071</v>
      </c>
      <c r="E636" s="240">
        <f t="shared" si="46"/>
        <v>45071</v>
      </c>
      <c r="F636" s="511" t="s">
        <v>1244</v>
      </c>
      <c r="G636" s="225" t="s">
        <v>1245</v>
      </c>
      <c r="H636" s="226"/>
      <c r="I636" s="226" t="s">
        <v>1253</v>
      </c>
      <c r="J636" s="222" t="s">
        <v>87</v>
      </c>
      <c r="K636" s="227">
        <v>88281.671904757619</v>
      </c>
      <c r="L636" s="227"/>
    </row>
    <row r="637" spans="1:15" ht="11.25" customHeight="1" x14ac:dyDescent="0.2">
      <c r="A637" s="228">
        <v>2023</v>
      </c>
      <c r="B637" s="228">
        <v>5</v>
      </c>
      <c r="C637" s="228">
        <v>25</v>
      </c>
      <c r="D637" s="229">
        <f t="shared" si="47"/>
        <v>45071</v>
      </c>
      <c r="E637" s="241">
        <f t="shared" si="46"/>
        <v>45071</v>
      </c>
      <c r="F637" s="512"/>
      <c r="G637" s="231" t="s">
        <v>1245</v>
      </c>
      <c r="H637" s="232"/>
      <c r="I637" s="232" t="s">
        <v>1253</v>
      </c>
      <c r="J637" s="228" t="s">
        <v>72</v>
      </c>
      <c r="K637" s="233"/>
      <c r="L637" s="233">
        <v>88281.671904757619</v>
      </c>
    </row>
    <row r="638" spans="1:15" ht="11.25" customHeight="1" x14ac:dyDescent="0.2">
      <c r="A638" s="222">
        <v>2023</v>
      </c>
      <c r="B638" s="222">
        <v>5</v>
      </c>
      <c r="C638" s="222">
        <v>25</v>
      </c>
      <c r="D638" s="223">
        <f t="shared" si="47"/>
        <v>45071</v>
      </c>
      <c r="E638" s="240">
        <f t="shared" si="46"/>
        <v>45071</v>
      </c>
      <c r="F638" s="511" t="s">
        <v>1246</v>
      </c>
      <c r="G638" s="225" t="s">
        <v>1245</v>
      </c>
      <c r="H638" s="226"/>
      <c r="I638" s="226" t="s">
        <v>1253</v>
      </c>
      <c r="J638" s="222" t="s">
        <v>75</v>
      </c>
      <c r="K638" s="227">
        <v>3846.1538461538462</v>
      </c>
      <c r="L638" s="227"/>
    </row>
    <row r="639" spans="1:15" ht="11.25" customHeight="1" x14ac:dyDescent="0.2">
      <c r="A639" s="228">
        <v>2023</v>
      </c>
      <c r="B639" s="228">
        <v>5</v>
      </c>
      <c r="C639" s="228">
        <v>25</v>
      </c>
      <c r="D639" s="229">
        <f t="shared" si="47"/>
        <v>45071</v>
      </c>
      <c r="E639" s="241">
        <f t="shared" si="46"/>
        <v>45071</v>
      </c>
      <c r="F639" s="512"/>
      <c r="G639" s="231" t="s">
        <v>1245</v>
      </c>
      <c r="H639" s="232"/>
      <c r="I639" s="232" t="s">
        <v>1253</v>
      </c>
      <c r="J639" s="228" t="s">
        <v>55</v>
      </c>
      <c r="K639" s="233"/>
      <c r="L639" s="233">
        <v>3846.1538461538462</v>
      </c>
    </row>
    <row r="640" spans="1:15" ht="11.25" customHeight="1" x14ac:dyDescent="0.2">
      <c r="A640" s="222">
        <v>2023</v>
      </c>
      <c r="B640" s="222">
        <v>5</v>
      </c>
      <c r="C640" s="222">
        <v>25</v>
      </c>
      <c r="D640" s="223">
        <f t="shared" si="47"/>
        <v>45071</v>
      </c>
      <c r="E640" s="240">
        <f t="shared" si="46"/>
        <v>45071</v>
      </c>
      <c r="F640" s="511" t="s">
        <v>1247</v>
      </c>
      <c r="G640" s="225" t="s">
        <v>1245</v>
      </c>
      <c r="H640" s="226"/>
      <c r="I640" s="226" t="s">
        <v>1253</v>
      </c>
      <c r="J640" s="222" t="s">
        <v>77</v>
      </c>
      <c r="K640" s="227">
        <v>21861.72530139735</v>
      </c>
      <c r="L640" s="227"/>
    </row>
    <row r="641" spans="1:13" ht="11.25" customHeight="1" x14ac:dyDescent="0.2">
      <c r="A641" s="228">
        <v>2023</v>
      </c>
      <c r="B641" s="228">
        <v>5</v>
      </c>
      <c r="C641" s="228">
        <v>25</v>
      </c>
      <c r="D641" s="229">
        <f t="shared" si="47"/>
        <v>45071</v>
      </c>
      <c r="E641" s="241">
        <f t="shared" si="46"/>
        <v>45071</v>
      </c>
      <c r="F641" s="512"/>
      <c r="G641" s="231" t="s">
        <v>1245</v>
      </c>
      <c r="H641" s="232"/>
      <c r="I641" s="232" t="s">
        <v>1253</v>
      </c>
      <c r="J641" s="228" t="s">
        <v>41</v>
      </c>
      <c r="K641" s="233"/>
      <c r="L641" s="233">
        <v>21861.72530139735</v>
      </c>
    </row>
    <row r="642" spans="1:13" ht="11.25" customHeight="1" x14ac:dyDescent="0.2">
      <c r="A642" s="222">
        <v>2023</v>
      </c>
      <c r="B642" s="222">
        <v>5</v>
      </c>
      <c r="C642" s="222">
        <v>25</v>
      </c>
      <c r="D642" s="223">
        <f t="shared" si="47"/>
        <v>45071</v>
      </c>
      <c r="E642" s="240">
        <f t="shared" si="46"/>
        <v>45071</v>
      </c>
      <c r="F642" s="511" t="s">
        <v>1248</v>
      </c>
      <c r="G642" s="225" t="s">
        <v>1245</v>
      </c>
      <c r="H642" s="226"/>
      <c r="I642" s="226" t="s">
        <v>1253</v>
      </c>
      <c r="J642" s="222" t="s">
        <v>80</v>
      </c>
      <c r="K642" s="227">
        <v>1093.0862650698675</v>
      </c>
      <c r="L642" s="227"/>
    </row>
    <row r="643" spans="1:13" ht="11.25" customHeight="1" x14ac:dyDescent="0.2">
      <c r="A643" s="228">
        <v>2023</v>
      </c>
      <c r="B643" s="228">
        <v>5</v>
      </c>
      <c r="C643" s="228">
        <v>25</v>
      </c>
      <c r="D643" s="229">
        <f t="shared" si="47"/>
        <v>45071</v>
      </c>
      <c r="E643" s="241">
        <f t="shared" si="46"/>
        <v>45071</v>
      </c>
      <c r="F643" s="512"/>
      <c r="G643" s="231" t="s">
        <v>1245</v>
      </c>
      <c r="H643" s="232"/>
      <c r="I643" s="232" t="s">
        <v>1253</v>
      </c>
      <c r="J643" s="228" t="s">
        <v>42</v>
      </c>
      <c r="K643" s="233"/>
      <c r="L643" s="233">
        <v>1093.0862650698675</v>
      </c>
    </row>
    <row r="644" spans="1:13" ht="11.25" customHeight="1" x14ac:dyDescent="0.2">
      <c r="A644" s="197">
        <v>2023</v>
      </c>
      <c r="B644" s="197">
        <v>5</v>
      </c>
      <c r="C644" s="197">
        <v>28</v>
      </c>
      <c r="D644" s="198">
        <f t="shared" si="47"/>
        <v>45074</v>
      </c>
      <c r="E644" s="199">
        <f t="shared" si="46"/>
        <v>45074</v>
      </c>
      <c r="F644" s="513" t="s">
        <v>1306</v>
      </c>
      <c r="G644" s="200" t="s">
        <v>1209</v>
      </c>
      <c r="H644" s="201"/>
      <c r="I644" s="201"/>
      <c r="J644" s="197" t="s">
        <v>54</v>
      </c>
      <c r="K644" s="202">
        <v>60</v>
      </c>
      <c r="L644" s="202"/>
    </row>
    <row r="645" spans="1:13" ht="11.25" customHeight="1" x14ac:dyDescent="0.2">
      <c r="A645" s="191">
        <v>2023</v>
      </c>
      <c r="B645" s="191">
        <v>5</v>
      </c>
      <c r="C645" s="191">
        <v>28</v>
      </c>
      <c r="D645" s="192">
        <f t="shared" si="47"/>
        <v>45074</v>
      </c>
      <c r="E645" s="193">
        <f t="shared" si="46"/>
        <v>45074</v>
      </c>
      <c r="F645" s="514"/>
      <c r="G645" s="194" t="s">
        <v>1209</v>
      </c>
      <c r="H645" s="195"/>
      <c r="I645" s="195"/>
      <c r="J645" s="191" t="s">
        <v>46</v>
      </c>
      <c r="K645" s="196"/>
      <c r="L645" s="196">
        <v>60</v>
      </c>
    </row>
    <row r="646" spans="1:13" ht="11.25" customHeight="1" x14ac:dyDescent="0.2">
      <c r="A646" s="197">
        <v>2023</v>
      </c>
      <c r="B646" s="197">
        <v>5</v>
      </c>
      <c r="C646" s="197">
        <v>28</v>
      </c>
      <c r="D646" s="198">
        <f t="shared" si="47"/>
        <v>45074</v>
      </c>
      <c r="E646" s="209">
        <f t="shared" ref="E646:E651" si="48">DATE(A646,B646,C646)</f>
        <v>45074</v>
      </c>
      <c r="F646" s="513" t="s">
        <v>1210</v>
      </c>
      <c r="G646" s="200" t="s">
        <v>1209</v>
      </c>
      <c r="H646" s="201"/>
      <c r="I646" s="201" t="s">
        <v>1310</v>
      </c>
      <c r="J646" s="197" t="s">
        <v>46</v>
      </c>
      <c r="K646" s="202">
        <v>1500000</v>
      </c>
      <c r="L646" s="202"/>
      <c r="M646" s="251"/>
    </row>
    <row r="647" spans="1:13" ht="11.25" customHeight="1" x14ac:dyDescent="0.2">
      <c r="A647" s="120">
        <v>2023</v>
      </c>
      <c r="B647" s="120">
        <v>5</v>
      </c>
      <c r="C647" s="120">
        <v>28</v>
      </c>
      <c r="D647" s="208">
        <f t="shared" si="47"/>
        <v>45074</v>
      </c>
      <c r="E647" s="209">
        <f t="shared" si="48"/>
        <v>45074</v>
      </c>
      <c r="F647" s="515"/>
      <c r="G647" s="132" t="s">
        <v>1209</v>
      </c>
      <c r="I647" s="128" t="s">
        <v>1310</v>
      </c>
      <c r="J647" s="120" t="s">
        <v>16</v>
      </c>
      <c r="K647" s="207"/>
      <c r="L647" s="207">
        <v>1474780</v>
      </c>
    </row>
    <row r="648" spans="1:13" ht="11.25" customHeight="1" x14ac:dyDescent="0.2">
      <c r="A648" s="191">
        <v>2023</v>
      </c>
      <c r="B648" s="191">
        <v>5</v>
      </c>
      <c r="C648" s="191">
        <v>28</v>
      </c>
      <c r="D648" s="192">
        <f t="shared" si="47"/>
        <v>45074</v>
      </c>
      <c r="E648" s="193">
        <f t="shared" si="48"/>
        <v>45074</v>
      </c>
      <c r="F648" s="514"/>
      <c r="G648" s="194" t="s">
        <v>1209</v>
      </c>
      <c r="H648" s="195"/>
      <c r="I648" s="195" t="s">
        <v>1310</v>
      </c>
      <c r="J648" s="191" t="s">
        <v>47</v>
      </c>
      <c r="K648" s="196"/>
      <c r="L648" s="196">
        <v>25220</v>
      </c>
    </row>
    <row r="649" spans="1:13" ht="11.25" customHeight="1" x14ac:dyDescent="0.2">
      <c r="A649" s="197">
        <v>2023</v>
      </c>
      <c r="B649" s="197">
        <v>5</v>
      </c>
      <c r="C649" s="197">
        <v>28</v>
      </c>
      <c r="D649" s="198">
        <f t="shared" si="47"/>
        <v>45074</v>
      </c>
      <c r="E649" s="209">
        <f t="shared" si="48"/>
        <v>45074</v>
      </c>
      <c r="F649" s="513" t="s">
        <v>1296</v>
      </c>
      <c r="G649" s="200" t="s">
        <v>1209</v>
      </c>
      <c r="H649" s="201"/>
      <c r="I649" s="201"/>
      <c r="J649" s="197" t="s">
        <v>46</v>
      </c>
      <c r="K649" s="202">
        <v>11000</v>
      </c>
      <c r="L649" s="202"/>
      <c r="M649" s="251"/>
    </row>
    <row r="650" spans="1:13" ht="11.25" customHeight="1" x14ac:dyDescent="0.2">
      <c r="A650" s="120">
        <v>2023</v>
      </c>
      <c r="B650" s="120">
        <v>5</v>
      </c>
      <c r="C650" s="120">
        <v>28</v>
      </c>
      <c r="D650" s="208">
        <f t="shared" si="47"/>
        <v>45074</v>
      </c>
      <c r="E650" s="209">
        <f t="shared" si="48"/>
        <v>45074</v>
      </c>
      <c r="F650" s="515"/>
      <c r="G650" s="132" t="s">
        <v>1209</v>
      </c>
      <c r="J650" s="120" t="s">
        <v>16</v>
      </c>
      <c r="K650" s="207"/>
      <c r="L650" s="207">
        <v>10810</v>
      </c>
    </row>
    <row r="651" spans="1:13" ht="11.25" customHeight="1" x14ac:dyDescent="0.2">
      <c r="A651" s="191">
        <v>2023</v>
      </c>
      <c r="B651" s="191">
        <v>5</v>
      </c>
      <c r="C651" s="191">
        <v>28</v>
      </c>
      <c r="D651" s="192">
        <f t="shared" si="47"/>
        <v>45074</v>
      </c>
      <c r="E651" s="193">
        <f t="shared" si="48"/>
        <v>45074</v>
      </c>
      <c r="F651" s="514"/>
      <c r="G651" s="194" t="s">
        <v>1209</v>
      </c>
      <c r="H651" s="195"/>
      <c r="I651" s="195"/>
      <c r="J651" s="191" t="s">
        <v>47</v>
      </c>
      <c r="K651" s="196"/>
      <c r="L651" s="196">
        <v>190</v>
      </c>
    </row>
    <row r="652" spans="1:13" ht="11.25" customHeight="1" x14ac:dyDescent="0.2">
      <c r="A652" s="197">
        <v>2023</v>
      </c>
      <c r="B652" s="197">
        <v>5</v>
      </c>
      <c r="C652" s="197">
        <v>29</v>
      </c>
      <c r="D652" s="198">
        <f t="shared" si="47"/>
        <v>45075</v>
      </c>
      <c r="E652" s="209">
        <f t="shared" ref="E652:E657" si="49">DATE(A652,B652,C652)</f>
        <v>45075</v>
      </c>
      <c r="F652" s="513" t="s">
        <v>1296</v>
      </c>
      <c r="G652" s="200" t="s">
        <v>1209</v>
      </c>
      <c r="H652" s="201"/>
      <c r="I652" s="201"/>
      <c r="J652" s="197" t="s">
        <v>46</v>
      </c>
      <c r="K652" s="202">
        <v>56540</v>
      </c>
      <c r="L652" s="202"/>
      <c r="M652" s="251"/>
    </row>
    <row r="653" spans="1:13" ht="11.25" customHeight="1" x14ac:dyDescent="0.2">
      <c r="A653" s="120">
        <v>2023</v>
      </c>
      <c r="B653" s="120">
        <v>5</v>
      </c>
      <c r="C653" s="120">
        <v>29</v>
      </c>
      <c r="D653" s="208">
        <f t="shared" si="47"/>
        <v>45075</v>
      </c>
      <c r="E653" s="209">
        <f t="shared" si="49"/>
        <v>45075</v>
      </c>
      <c r="F653" s="515"/>
      <c r="G653" s="132" t="s">
        <v>1209</v>
      </c>
      <c r="J653" s="120" t="s">
        <v>16</v>
      </c>
      <c r="K653" s="207"/>
      <c r="L653" s="207">
        <v>55580</v>
      </c>
    </row>
    <row r="654" spans="1:13" ht="11.25" customHeight="1" x14ac:dyDescent="0.2">
      <c r="A654" s="191">
        <v>2023</v>
      </c>
      <c r="B654" s="191">
        <v>5</v>
      </c>
      <c r="C654" s="191">
        <v>29</v>
      </c>
      <c r="D654" s="192">
        <f t="shared" si="47"/>
        <v>45075</v>
      </c>
      <c r="E654" s="193">
        <f t="shared" si="49"/>
        <v>45075</v>
      </c>
      <c r="F654" s="514"/>
      <c r="G654" s="194" t="s">
        <v>1209</v>
      </c>
      <c r="H654" s="195"/>
      <c r="I654" s="195"/>
      <c r="J654" s="191" t="s">
        <v>47</v>
      </c>
      <c r="K654" s="196"/>
      <c r="L654" s="196">
        <v>960</v>
      </c>
    </row>
    <row r="655" spans="1:13" ht="11.25" customHeight="1" x14ac:dyDescent="0.2">
      <c r="A655" s="197">
        <v>2023</v>
      </c>
      <c r="B655" s="197">
        <v>6</v>
      </c>
      <c r="C655" s="197">
        <v>1</v>
      </c>
      <c r="D655" s="198">
        <f t="shared" si="47"/>
        <v>45078</v>
      </c>
      <c r="E655" s="209">
        <f t="shared" si="49"/>
        <v>45078</v>
      </c>
      <c r="F655" s="513" t="s">
        <v>1296</v>
      </c>
      <c r="G655" s="200" t="s">
        <v>1209</v>
      </c>
      <c r="H655" s="201"/>
      <c r="I655" s="201"/>
      <c r="J655" s="197" t="s">
        <v>46</v>
      </c>
      <c r="K655" s="202">
        <v>55000</v>
      </c>
      <c r="L655" s="202"/>
      <c r="M655" s="251"/>
    </row>
    <row r="656" spans="1:13" ht="11.25" customHeight="1" x14ac:dyDescent="0.2">
      <c r="A656" s="120">
        <v>2023</v>
      </c>
      <c r="B656" s="120">
        <v>6</v>
      </c>
      <c r="C656" s="120">
        <v>1</v>
      </c>
      <c r="D656" s="208">
        <f t="shared" si="47"/>
        <v>45078</v>
      </c>
      <c r="E656" s="209">
        <f t="shared" si="49"/>
        <v>45078</v>
      </c>
      <c r="F656" s="515"/>
      <c r="G656" s="132" t="s">
        <v>1209</v>
      </c>
      <c r="J656" s="120" t="s">
        <v>16</v>
      </c>
      <c r="K656" s="207"/>
      <c r="L656" s="207">
        <v>54080</v>
      </c>
    </row>
    <row r="657" spans="1:15" ht="11.25" customHeight="1" x14ac:dyDescent="0.2">
      <c r="A657" s="191">
        <v>2023</v>
      </c>
      <c r="B657" s="191">
        <v>6</v>
      </c>
      <c r="C657" s="191">
        <v>1</v>
      </c>
      <c r="D657" s="192">
        <f t="shared" si="47"/>
        <v>45078</v>
      </c>
      <c r="E657" s="193">
        <f t="shared" si="49"/>
        <v>45078</v>
      </c>
      <c r="F657" s="514"/>
      <c r="G657" s="194" t="s">
        <v>1209</v>
      </c>
      <c r="H657" s="195"/>
      <c r="I657" s="195"/>
      <c r="J657" s="191" t="s">
        <v>47</v>
      </c>
      <c r="K657" s="196"/>
      <c r="L657" s="196">
        <v>920</v>
      </c>
    </row>
    <row r="658" spans="1:15" ht="11.25" customHeight="1" x14ac:dyDescent="0.2">
      <c r="A658" s="210">
        <v>2023</v>
      </c>
      <c r="B658" s="210">
        <v>6</v>
      </c>
      <c r="C658" s="210">
        <v>1</v>
      </c>
      <c r="D658" s="211">
        <f t="shared" si="47"/>
        <v>45078</v>
      </c>
      <c r="E658" s="238">
        <f t="shared" ref="E658:E690" si="50">DATE(A658,B658,C658)</f>
        <v>45078</v>
      </c>
      <c r="F658" s="520" t="s">
        <v>1278</v>
      </c>
      <c r="G658" s="213" t="s">
        <v>1245</v>
      </c>
      <c r="H658" s="214"/>
      <c r="I658" s="214" t="s">
        <v>1253</v>
      </c>
      <c r="J658" s="210" t="s">
        <v>1529</v>
      </c>
      <c r="K658" s="215">
        <v>7032.2624999999998</v>
      </c>
      <c r="L658" s="215"/>
    </row>
    <row r="659" spans="1:15" ht="11.25" customHeight="1" x14ac:dyDescent="0.2">
      <c r="A659" s="216">
        <v>2023</v>
      </c>
      <c r="B659" s="216">
        <v>6</v>
      </c>
      <c r="C659" s="216">
        <v>1</v>
      </c>
      <c r="D659" s="217">
        <f t="shared" si="47"/>
        <v>45078</v>
      </c>
      <c r="E659" s="239">
        <f t="shared" si="50"/>
        <v>45078</v>
      </c>
      <c r="F659" s="521"/>
      <c r="G659" s="219" t="s">
        <v>1245</v>
      </c>
      <c r="H659" s="220"/>
      <c r="I659" s="220" t="s">
        <v>1253</v>
      </c>
      <c r="J659" s="216" t="s">
        <v>153</v>
      </c>
      <c r="K659" s="221"/>
      <c r="L659" s="221">
        <v>7032.2624999999998</v>
      </c>
    </row>
    <row r="660" spans="1:15" ht="11.25" customHeight="1" x14ac:dyDescent="0.2">
      <c r="A660" s="210">
        <v>2023</v>
      </c>
      <c r="B660" s="210">
        <v>6</v>
      </c>
      <c r="C660" s="210">
        <v>1</v>
      </c>
      <c r="D660" s="211">
        <f t="shared" si="47"/>
        <v>45078</v>
      </c>
      <c r="E660" s="238">
        <f t="shared" si="50"/>
        <v>45078</v>
      </c>
      <c r="F660" s="520" t="s">
        <v>1285</v>
      </c>
      <c r="G660" s="213" t="s">
        <v>1245</v>
      </c>
      <c r="H660" s="214"/>
      <c r="I660" s="214" t="s">
        <v>1253</v>
      </c>
      <c r="J660" s="210" t="s">
        <v>1284</v>
      </c>
      <c r="K660" s="215">
        <v>15398.28</v>
      </c>
      <c r="L660" s="215"/>
    </row>
    <row r="661" spans="1:15" ht="11.25" customHeight="1" x14ac:dyDescent="0.2">
      <c r="A661" s="242">
        <v>2023</v>
      </c>
      <c r="B661" s="216">
        <v>6</v>
      </c>
      <c r="C661" s="216">
        <v>1</v>
      </c>
      <c r="D661" s="243">
        <f t="shared" si="47"/>
        <v>45078</v>
      </c>
      <c r="E661" s="244">
        <f>DATE(A661,B661,C661)</f>
        <v>45078</v>
      </c>
      <c r="F661" s="524"/>
      <c r="G661" s="245" t="s">
        <v>1245</v>
      </c>
      <c r="H661" s="246"/>
      <c r="I661" s="246"/>
      <c r="J661" s="242" t="s">
        <v>1582</v>
      </c>
      <c r="K661" s="247"/>
      <c r="L661" s="247">
        <v>15398.28</v>
      </c>
    </row>
    <row r="662" spans="1:15" ht="11.25" customHeight="1" x14ac:dyDescent="0.2">
      <c r="A662" s="210">
        <v>2023</v>
      </c>
      <c r="B662" s="210">
        <v>6</v>
      </c>
      <c r="C662" s="210">
        <v>1</v>
      </c>
      <c r="D662" s="211">
        <f t="shared" si="47"/>
        <v>45078</v>
      </c>
      <c r="E662" s="238">
        <f t="shared" si="50"/>
        <v>45078</v>
      </c>
      <c r="F662" s="520" t="s">
        <v>1259</v>
      </c>
      <c r="G662" s="213" t="s">
        <v>1245</v>
      </c>
      <c r="H662" s="214"/>
      <c r="I662" s="214" t="s">
        <v>1253</v>
      </c>
      <c r="J662" s="210" t="s">
        <v>58</v>
      </c>
      <c r="K662" s="215">
        <v>3473.69</v>
      </c>
      <c r="L662" s="215"/>
    </row>
    <row r="663" spans="1:15" ht="11.25" customHeight="1" x14ac:dyDescent="0.2">
      <c r="A663" s="216">
        <v>2023</v>
      </c>
      <c r="B663" s="216">
        <v>6</v>
      </c>
      <c r="C663" s="216">
        <v>1</v>
      </c>
      <c r="D663" s="217">
        <f t="shared" si="47"/>
        <v>45078</v>
      </c>
      <c r="E663" s="239">
        <f t="shared" si="50"/>
        <v>45078</v>
      </c>
      <c r="F663" s="521"/>
      <c r="G663" s="219" t="s">
        <v>1245</v>
      </c>
      <c r="H663" s="220"/>
      <c r="I663" s="220" t="s">
        <v>1253</v>
      </c>
      <c r="J663" s="216" t="s">
        <v>153</v>
      </c>
      <c r="K663" s="221"/>
      <c r="L663" s="221">
        <v>3473.69</v>
      </c>
    </row>
    <row r="664" spans="1:15" ht="11.25" customHeight="1" x14ac:dyDescent="0.2">
      <c r="A664" s="210">
        <v>2023</v>
      </c>
      <c r="B664" s="210">
        <v>6</v>
      </c>
      <c r="C664" s="210">
        <v>1</v>
      </c>
      <c r="D664" s="211">
        <f t="shared" si="47"/>
        <v>45078</v>
      </c>
      <c r="E664" s="238">
        <f t="shared" si="50"/>
        <v>45078</v>
      </c>
      <c r="F664" s="520" t="s">
        <v>1255</v>
      </c>
      <c r="G664" s="213" t="s">
        <v>1245</v>
      </c>
      <c r="H664" s="214"/>
      <c r="I664" s="214" t="s">
        <v>1253</v>
      </c>
      <c r="J664" s="210" t="s">
        <v>113</v>
      </c>
      <c r="K664" s="215">
        <v>46927.22</v>
      </c>
      <c r="L664" s="215"/>
      <c r="M664" s="251"/>
      <c r="O664" s="130"/>
    </row>
    <row r="665" spans="1:15" ht="11.25" customHeight="1" x14ac:dyDescent="0.2">
      <c r="A665" s="216">
        <v>2023</v>
      </c>
      <c r="B665" s="216">
        <v>6</v>
      </c>
      <c r="C665" s="216">
        <v>1</v>
      </c>
      <c r="D665" s="217">
        <f t="shared" si="47"/>
        <v>45078</v>
      </c>
      <c r="E665" s="239">
        <f t="shared" si="50"/>
        <v>45078</v>
      </c>
      <c r="F665" s="521"/>
      <c r="G665" s="219" t="s">
        <v>1245</v>
      </c>
      <c r="H665" s="220"/>
      <c r="I665" s="220" t="s">
        <v>1253</v>
      </c>
      <c r="J665" s="216" t="s">
        <v>153</v>
      </c>
      <c r="K665" s="221"/>
      <c r="L665" s="221">
        <v>46927.22</v>
      </c>
    </row>
    <row r="666" spans="1:15" ht="11.25" customHeight="1" x14ac:dyDescent="0.2">
      <c r="A666" s="210">
        <v>2023</v>
      </c>
      <c r="B666" s="210">
        <v>6</v>
      </c>
      <c r="C666" s="210">
        <v>1</v>
      </c>
      <c r="D666" s="211">
        <f t="shared" si="47"/>
        <v>45078</v>
      </c>
      <c r="E666" s="238">
        <f t="shared" si="50"/>
        <v>45078</v>
      </c>
      <c r="F666" s="520" t="s">
        <v>1256</v>
      </c>
      <c r="G666" s="213" t="s">
        <v>1245</v>
      </c>
      <c r="H666" s="214"/>
      <c r="I666" s="214" t="s">
        <v>1253</v>
      </c>
      <c r="J666" s="210" t="s">
        <v>113</v>
      </c>
      <c r="K666" s="215">
        <v>32554.68</v>
      </c>
      <c r="L666" s="215"/>
      <c r="M666" s="251"/>
      <c r="O666" s="130"/>
    </row>
    <row r="667" spans="1:15" ht="11.25" customHeight="1" x14ac:dyDescent="0.2">
      <c r="A667" s="216">
        <v>2023</v>
      </c>
      <c r="B667" s="216">
        <v>6</v>
      </c>
      <c r="C667" s="216">
        <v>1</v>
      </c>
      <c r="D667" s="217">
        <f t="shared" si="47"/>
        <v>45078</v>
      </c>
      <c r="E667" s="239">
        <f t="shared" si="50"/>
        <v>45078</v>
      </c>
      <c r="F667" s="521"/>
      <c r="G667" s="219" t="s">
        <v>1245</v>
      </c>
      <c r="H667" s="220"/>
      <c r="I667" s="220" t="s">
        <v>1253</v>
      </c>
      <c r="J667" s="216" t="s">
        <v>153</v>
      </c>
      <c r="K667" s="221"/>
      <c r="L667" s="221">
        <v>32554.68</v>
      </c>
    </row>
    <row r="668" spans="1:15" ht="11.25" customHeight="1" x14ac:dyDescent="0.2">
      <c r="A668" s="210">
        <v>2023</v>
      </c>
      <c r="B668" s="210">
        <v>6</v>
      </c>
      <c r="C668" s="210">
        <v>1</v>
      </c>
      <c r="D668" s="211">
        <f t="shared" si="47"/>
        <v>45078</v>
      </c>
      <c r="E668" s="238">
        <f t="shared" si="50"/>
        <v>45078</v>
      </c>
      <c r="F668" s="520" t="s">
        <v>1257</v>
      </c>
      <c r="G668" s="213" t="s">
        <v>1245</v>
      </c>
      <c r="H668" s="214"/>
      <c r="I668" s="214" t="s">
        <v>1253</v>
      </c>
      <c r="J668" s="210" t="s">
        <v>113</v>
      </c>
      <c r="K668" s="215">
        <v>33372.93</v>
      </c>
      <c r="L668" s="215"/>
    </row>
    <row r="669" spans="1:15" ht="11.25" customHeight="1" x14ac:dyDescent="0.2">
      <c r="A669" s="216">
        <v>2023</v>
      </c>
      <c r="B669" s="216">
        <v>6</v>
      </c>
      <c r="C669" s="216">
        <v>1</v>
      </c>
      <c r="D669" s="217">
        <f t="shared" si="47"/>
        <v>45078</v>
      </c>
      <c r="E669" s="239">
        <f t="shared" si="50"/>
        <v>45078</v>
      </c>
      <c r="F669" s="521"/>
      <c r="G669" s="219" t="s">
        <v>1245</v>
      </c>
      <c r="H669" s="220"/>
      <c r="I669" s="220" t="s">
        <v>1253</v>
      </c>
      <c r="J669" s="216" t="s">
        <v>153</v>
      </c>
      <c r="K669" s="221"/>
      <c r="L669" s="221">
        <v>33372.93</v>
      </c>
    </row>
    <row r="670" spans="1:15" ht="11.25" customHeight="1" x14ac:dyDescent="0.2">
      <c r="A670" s="259">
        <v>2023</v>
      </c>
      <c r="B670" s="259">
        <v>6</v>
      </c>
      <c r="C670" s="259">
        <v>1</v>
      </c>
      <c r="D670" s="260">
        <f t="shared" si="47"/>
        <v>45078</v>
      </c>
      <c r="E670" s="261">
        <f t="shared" si="50"/>
        <v>45078</v>
      </c>
      <c r="F670" s="531" t="s">
        <v>1313</v>
      </c>
      <c r="G670" s="262" t="s">
        <v>1245</v>
      </c>
      <c r="H670" s="263"/>
      <c r="I670" s="263" t="s">
        <v>1253</v>
      </c>
      <c r="J670" s="259" t="s">
        <v>1476</v>
      </c>
      <c r="K670" s="264">
        <v>7857.7777777777774</v>
      </c>
      <c r="L670" s="264"/>
    </row>
    <row r="671" spans="1:15" ht="11.25" customHeight="1" x14ac:dyDescent="0.2">
      <c r="A671" s="265">
        <v>2023</v>
      </c>
      <c r="B671" s="265">
        <v>6</v>
      </c>
      <c r="C671" s="265">
        <v>1</v>
      </c>
      <c r="D671" s="266">
        <f t="shared" si="47"/>
        <v>45078</v>
      </c>
      <c r="E671" s="267">
        <f t="shared" si="50"/>
        <v>45078</v>
      </c>
      <c r="F671" s="532"/>
      <c r="G671" s="268" t="s">
        <v>1245</v>
      </c>
      <c r="H671" s="269"/>
      <c r="I671" s="269" t="s">
        <v>1253</v>
      </c>
      <c r="J671" s="265" t="s">
        <v>153</v>
      </c>
      <c r="K671" s="270"/>
      <c r="L671" s="270">
        <v>7857.7777777777774</v>
      </c>
    </row>
    <row r="672" spans="1:15" ht="11.25" customHeight="1" x14ac:dyDescent="0.2">
      <c r="A672" s="222">
        <v>2023</v>
      </c>
      <c r="B672" s="222">
        <v>6</v>
      </c>
      <c r="C672" s="222">
        <v>1</v>
      </c>
      <c r="D672" s="223">
        <f t="shared" si="47"/>
        <v>45078</v>
      </c>
      <c r="E672" s="240">
        <f t="shared" si="50"/>
        <v>45078</v>
      </c>
      <c r="F672" s="511" t="s">
        <v>1244</v>
      </c>
      <c r="G672" s="225" t="s">
        <v>1245</v>
      </c>
      <c r="H672" s="226"/>
      <c r="I672" s="226" t="s">
        <v>1253</v>
      </c>
      <c r="J672" s="222" t="s">
        <v>87</v>
      </c>
      <c r="K672" s="227">
        <v>191126.09190476686</v>
      </c>
      <c r="L672" s="227"/>
    </row>
    <row r="673" spans="1:13" ht="11.25" customHeight="1" x14ac:dyDescent="0.2">
      <c r="A673" s="228">
        <v>2023</v>
      </c>
      <c r="B673" s="228">
        <v>6</v>
      </c>
      <c r="C673" s="228">
        <v>1</v>
      </c>
      <c r="D673" s="229">
        <f t="shared" si="47"/>
        <v>45078</v>
      </c>
      <c r="E673" s="241">
        <f t="shared" si="50"/>
        <v>45078</v>
      </c>
      <c r="F673" s="512"/>
      <c r="G673" s="231" t="s">
        <v>1245</v>
      </c>
      <c r="H673" s="232"/>
      <c r="I673" s="232" t="s">
        <v>1253</v>
      </c>
      <c r="J673" s="228" t="s">
        <v>72</v>
      </c>
      <c r="K673" s="233"/>
      <c r="L673" s="233">
        <v>191126.09190476686</v>
      </c>
    </row>
    <row r="674" spans="1:13" ht="11.25" customHeight="1" x14ac:dyDescent="0.2">
      <c r="A674" s="222">
        <v>2023</v>
      </c>
      <c r="B674" s="222">
        <v>6</v>
      </c>
      <c r="C674" s="222">
        <v>1</v>
      </c>
      <c r="D674" s="223">
        <f t="shared" si="47"/>
        <v>45078</v>
      </c>
      <c r="E674" s="240">
        <f t="shared" si="50"/>
        <v>45078</v>
      </c>
      <c r="F674" s="511" t="s">
        <v>1246</v>
      </c>
      <c r="G674" s="225" t="s">
        <v>1245</v>
      </c>
      <c r="H674" s="226"/>
      <c r="I674" s="226" t="s">
        <v>1253</v>
      </c>
      <c r="J674" s="222" t="s">
        <v>75</v>
      </c>
      <c r="K674" s="227">
        <v>3846.1538461538462</v>
      </c>
      <c r="L674" s="227"/>
    </row>
    <row r="675" spans="1:13" ht="11.25" customHeight="1" x14ac:dyDescent="0.2">
      <c r="A675" s="228">
        <v>2023</v>
      </c>
      <c r="B675" s="228">
        <v>6</v>
      </c>
      <c r="C675" s="228">
        <v>1</v>
      </c>
      <c r="D675" s="229">
        <f t="shared" si="47"/>
        <v>45078</v>
      </c>
      <c r="E675" s="241">
        <f t="shared" si="50"/>
        <v>45078</v>
      </c>
      <c r="F675" s="512"/>
      <c r="G675" s="231" t="s">
        <v>1245</v>
      </c>
      <c r="H675" s="232"/>
      <c r="I675" s="232" t="s">
        <v>1253</v>
      </c>
      <c r="J675" s="228" t="s">
        <v>55</v>
      </c>
      <c r="K675" s="233"/>
      <c r="L675" s="233">
        <v>3846.1538461538462</v>
      </c>
    </row>
    <row r="676" spans="1:13" ht="11.25" customHeight="1" x14ac:dyDescent="0.2">
      <c r="A676" s="222">
        <v>2023</v>
      </c>
      <c r="B676" s="222">
        <v>6</v>
      </c>
      <c r="C676" s="222">
        <v>1</v>
      </c>
      <c r="D676" s="223">
        <f t="shared" si="47"/>
        <v>45078</v>
      </c>
      <c r="E676" s="240">
        <f t="shared" si="50"/>
        <v>45078</v>
      </c>
      <c r="F676" s="511" t="s">
        <v>1247</v>
      </c>
      <c r="G676" s="225" t="s">
        <v>1245</v>
      </c>
      <c r="H676" s="226"/>
      <c r="I676" s="226" t="s">
        <v>1253</v>
      </c>
      <c r="J676" s="222" t="s">
        <v>77</v>
      </c>
      <c r="K676" s="227">
        <v>22233.935679622336</v>
      </c>
      <c r="L676" s="227"/>
    </row>
    <row r="677" spans="1:13" ht="11.25" customHeight="1" x14ac:dyDescent="0.2">
      <c r="A677" s="228">
        <v>2023</v>
      </c>
      <c r="B677" s="228">
        <v>6</v>
      </c>
      <c r="C677" s="228">
        <v>1</v>
      </c>
      <c r="D677" s="229">
        <f t="shared" si="47"/>
        <v>45078</v>
      </c>
      <c r="E677" s="241">
        <f t="shared" si="50"/>
        <v>45078</v>
      </c>
      <c r="F677" s="512"/>
      <c r="G677" s="231" t="s">
        <v>1245</v>
      </c>
      <c r="H677" s="232"/>
      <c r="I677" s="232" t="s">
        <v>1253</v>
      </c>
      <c r="J677" s="228" t="s">
        <v>41</v>
      </c>
      <c r="K677" s="233"/>
      <c r="L677" s="233">
        <v>22233.935679622336</v>
      </c>
    </row>
    <row r="678" spans="1:13" ht="11.25" customHeight="1" x14ac:dyDescent="0.2">
      <c r="A678" s="222">
        <v>2023</v>
      </c>
      <c r="B678" s="222">
        <v>6</v>
      </c>
      <c r="C678" s="222">
        <v>1</v>
      </c>
      <c r="D678" s="223">
        <f t="shared" si="47"/>
        <v>45078</v>
      </c>
      <c r="E678" s="240">
        <f t="shared" si="50"/>
        <v>45078</v>
      </c>
      <c r="F678" s="511" t="s">
        <v>1248</v>
      </c>
      <c r="G678" s="225" t="s">
        <v>1245</v>
      </c>
      <c r="H678" s="226"/>
      <c r="I678" s="226" t="s">
        <v>1253</v>
      </c>
      <c r="J678" s="222" t="s">
        <v>80</v>
      </c>
      <c r="K678" s="227">
        <v>1111.6967839811168</v>
      </c>
      <c r="L678" s="227"/>
    </row>
    <row r="679" spans="1:13" ht="11.25" customHeight="1" x14ac:dyDescent="0.2">
      <c r="A679" s="228">
        <v>2023</v>
      </c>
      <c r="B679" s="228">
        <v>6</v>
      </c>
      <c r="C679" s="228">
        <v>1</v>
      </c>
      <c r="D679" s="229">
        <f t="shared" si="47"/>
        <v>45078</v>
      </c>
      <c r="E679" s="241">
        <f t="shared" si="50"/>
        <v>45078</v>
      </c>
      <c r="F679" s="512"/>
      <c r="G679" s="231" t="s">
        <v>1245</v>
      </c>
      <c r="H679" s="232"/>
      <c r="I679" s="232" t="s">
        <v>1253</v>
      </c>
      <c r="J679" s="228" t="s">
        <v>42</v>
      </c>
      <c r="K679" s="233"/>
      <c r="L679" s="233">
        <v>1111.6967839811168</v>
      </c>
    </row>
    <row r="680" spans="1:13" ht="11.25" customHeight="1" x14ac:dyDescent="0.2">
      <c r="A680" s="197">
        <v>2023</v>
      </c>
      <c r="B680" s="197">
        <v>6</v>
      </c>
      <c r="C680" s="197">
        <v>5</v>
      </c>
      <c r="D680" s="198">
        <f t="shared" si="47"/>
        <v>45082</v>
      </c>
      <c r="E680" s="199">
        <f t="shared" si="50"/>
        <v>45082</v>
      </c>
      <c r="F680" s="513" t="s">
        <v>1306</v>
      </c>
      <c r="G680" s="200" t="s">
        <v>1209</v>
      </c>
      <c r="H680" s="201"/>
      <c r="I680" s="201"/>
      <c r="J680" s="197" t="s">
        <v>54</v>
      </c>
      <c r="K680" s="202">
        <v>100</v>
      </c>
      <c r="L680" s="202"/>
    </row>
    <row r="681" spans="1:13" ht="11.25" customHeight="1" x14ac:dyDescent="0.2">
      <c r="A681" s="191">
        <v>2023</v>
      </c>
      <c r="B681" s="191">
        <v>6</v>
      </c>
      <c r="C681" s="191">
        <v>5</v>
      </c>
      <c r="D681" s="192">
        <f t="shared" si="47"/>
        <v>45082</v>
      </c>
      <c r="E681" s="193">
        <f t="shared" si="50"/>
        <v>45082</v>
      </c>
      <c r="F681" s="514"/>
      <c r="G681" s="194" t="s">
        <v>1209</v>
      </c>
      <c r="H681" s="195"/>
      <c r="I681" s="195"/>
      <c r="J681" s="191" t="s">
        <v>46</v>
      </c>
      <c r="K681" s="196"/>
      <c r="L681" s="196">
        <v>100</v>
      </c>
    </row>
    <row r="682" spans="1:13" ht="11.25" customHeight="1" x14ac:dyDescent="0.2">
      <c r="A682" s="197">
        <v>2023</v>
      </c>
      <c r="B682" s="197">
        <v>6</v>
      </c>
      <c r="C682" s="197">
        <v>5</v>
      </c>
      <c r="D682" s="198">
        <f t="shared" si="47"/>
        <v>45082</v>
      </c>
      <c r="E682" s="209">
        <f t="shared" si="50"/>
        <v>45082</v>
      </c>
      <c r="F682" s="513" t="s">
        <v>1296</v>
      </c>
      <c r="G682" s="200" t="s">
        <v>1209</v>
      </c>
      <c r="H682" s="201"/>
      <c r="I682" s="201"/>
      <c r="J682" s="197" t="s">
        <v>46</v>
      </c>
      <c r="K682" s="202">
        <v>135000</v>
      </c>
      <c r="L682" s="202"/>
      <c r="M682" s="251"/>
    </row>
    <row r="683" spans="1:13" ht="11.25" customHeight="1" x14ac:dyDescent="0.2">
      <c r="A683" s="120">
        <v>2023</v>
      </c>
      <c r="B683" s="120">
        <v>6</v>
      </c>
      <c r="C683" s="120">
        <v>5</v>
      </c>
      <c r="D683" s="208">
        <f t="shared" si="47"/>
        <v>45082</v>
      </c>
      <c r="E683" s="209">
        <f t="shared" si="50"/>
        <v>45082</v>
      </c>
      <c r="F683" s="515"/>
      <c r="G683" s="132" t="s">
        <v>1209</v>
      </c>
      <c r="J683" s="120" t="s">
        <v>16</v>
      </c>
      <c r="K683" s="207"/>
      <c r="L683" s="207">
        <v>132440</v>
      </c>
    </row>
    <row r="684" spans="1:13" ht="11.25" customHeight="1" x14ac:dyDescent="0.2">
      <c r="A684" s="191">
        <v>2023</v>
      </c>
      <c r="B684" s="191">
        <v>6</v>
      </c>
      <c r="C684" s="191">
        <v>5</v>
      </c>
      <c r="D684" s="192">
        <f t="shared" si="47"/>
        <v>45082</v>
      </c>
      <c r="E684" s="193">
        <f t="shared" si="50"/>
        <v>45082</v>
      </c>
      <c r="F684" s="514"/>
      <c r="G684" s="194" t="s">
        <v>1209</v>
      </c>
      <c r="H684" s="195"/>
      <c r="I684" s="195"/>
      <c r="J684" s="191" t="s">
        <v>47</v>
      </c>
      <c r="K684" s="196"/>
      <c r="L684" s="196">
        <v>2560</v>
      </c>
    </row>
    <row r="685" spans="1:13" ht="11.25" customHeight="1" x14ac:dyDescent="0.2">
      <c r="A685" s="197">
        <v>2023</v>
      </c>
      <c r="B685" s="197">
        <v>6</v>
      </c>
      <c r="C685" s="197">
        <v>6</v>
      </c>
      <c r="D685" s="198">
        <f t="shared" ref="D685:D746" si="51">DATE(A685,B685,C685)</f>
        <v>45083</v>
      </c>
      <c r="E685" s="209">
        <f t="shared" si="50"/>
        <v>45083</v>
      </c>
      <c r="F685" s="513" t="s">
        <v>1296</v>
      </c>
      <c r="G685" s="200" t="s">
        <v>1209</v>
      </c>
      <c r="H685" s="201"/>
      <c r="I685" s="201"/>
      <c r="J685" s="197" t="s">
        <v>46</v>
      </c>
      <c r="K685" s="202">
        <v>140000</v>
      </c>
      <c r="L685" s="202"/>
      <c r="M685" s="251"/>
    </row>
    <row r="686" spans="1:13" ht="11.25" customHeight="1" x14ac:dyDescent="0.2">
      <c r="A686" s="120">
        <v>2023</v>
      </c>
      <c r="B686" s="120">
        <v>6</v>
      </c>
      <c r="C686" s="120">
        <v>6</v>
      </c>
      <c r="D686" s="208">
        <f t="shared" si="51"/>
        <v>45083</v>
      </c>
      <c r="E686" s="209">
        <f t="shared" si="50"/>
        <v>45083</v>
      </c>
      <c r="F686" s="515"/>
      <c r="G686" s="132" t="s">
        <v>1209</v>
      </c>
      <c r="J686" s="120" t="s">
        <v>16</v>
      </c>
      <c r="K686" s="207"/>
      <c r="L686" s="207">
        <v>137350</v>
      </c>
    </row>
    <row r="687" spans="1:13" ht="11.25" customHeight="1" x14ac:dyDescent="0.2">
      <c r="A687" s="191">
        <v>2023</v>
      </c>
      <c r="B687" s="191">
        <v>6</v>
      </c>
      <c r="C687" s="191">
        <v>6</v>
      </c>
      <c r="D687" s="192">
        <f t="shared" si="51"/>
        <v>45083</v>
      </c>
      <c r="E687" s="193">
        <f t="shared" si="50"/>
        <v>45083</v>
      </c>
      <c r="F687" s="514"/>
      <c r="G687" s="194" t="s">
        <v>1209</v>
      </c>
      <c r="H687" s="195"/>
      <c r="I687" s="195"/>
      <c r="J687" s="191" t="s">
        <v>47</v>
      </c>
      <c r="K687" s="196"/>
      <c r="L687" s="196">
        <v>2650</v>
      </c>
    </row>
    <row r="688" spans="1:13" ht="11.25" customHeight="1" x14ac:dyDescent="0.2">
      <c r="A688" s="197">
        <v>2023</v>
      </c>
      <c r="B688" s="197">
        <v>6</v>
      </c>
      <c r="C688" s="197">
        <v>6</v>
      </c>
      <c r="D688" s="198">
        <f t="shared" si="51"/>
        <v>45083</v>
      </c>
      <c r="E688" s="209">
        <f t="shared" si="50"/>
        <v>45083</v>
      </c>
      <c r="F688" s="513" t="s">
        <v>1210</v>
      </c>
      <c r="G688" s="200" t="s">
        <v>1209</v>
      </c>
      <c r="H688" s="201"/>
      <c r="I688" s="201" t="s">
        <v>644</v>
      </c>
      <c r="J688" s="197" t="s">
        <v>46</v>
      </c>
      <c r="K688" s="202">
        <v>250000</v>
      </c>
      <c r="L688" s="202"/>
      <c r="M688" s="251"/>
    </row>
    <row r="689" spans="1:13" ht="11.25" customHeight="1" x14ac:dyDescent="0.2">
      <c r="A689" s="120">
        <v>2023</v>
      </c>
      <c r="B689" s="120">
        <v>6</v>
      </c>
      <c r="C689" s="120">
        <v>6</v>
      </c>
      <c r="D689" s="208">
        <f t="shared" si="51"/>
        <v>45083</v>
      </c>
      <c r="E689" s="209">
        <f t="shared" si="50"/>
        <v>45083</v>
      </c>
      <c r="F689" s="515"/>
      <c r="G689" s="132" t="s">
        <v>1209</v>
      </c>
      <c r="I689" s="128" t="s">
        <v>644</v>
      </c>
      <c r="J689" s="120" t="s">
        <v>16</v>
      </c>
      <c r="K689" s="207"/>
      <c r="L689" s="207">
        <v>245270</v>
      </c>
    </row>
    <row r="690" spans="1:13" ht="11.25" customHeight="1" x14ac:dyDescent="0.2">
      <c r="A690" s="191">
        <v>2023</v>
      </c>
      <c r="B690" s="191">
        <v>6</v>
      </c>
      <c r="C690" s="191">
        <v>6</v>
      </c>
      <c r="D690" s="192">
        <f t="shared" si="51"/>
        <v>45083</v>
      </c>
      <c r="E690" s="193">
        <f t="shared" si="50"/>
        <v>45083</v>
      </c>
      <c r="F690" s="514"/>
      <c r="G690" s="194" t="s">
        <v>1209</v>
      </c>
      <c r="H690" s="195"/>
      <c r="I690" s="195" t="s">
        <v>644</v>
      </c>
      <c r="J690" s="191" t="s">
        <v>47</v>
      </c>
      <c r="K690" s="196"/>
      <c r="L690" s="196">
        <v>4730</v>
      </c>
    </row>
    <row r="691" spans="1:13" ht="11.25" customHeight="1" x14ac:dyDescent="0.2">
      <c r="A691" s="197">
        <v>2023</v>
      </c>
      <c r="B691" s="197">
        <v>6</v>
      </c>
      <c r="C691" s="197">
        <v>6</v>
      </c>
      <c r="D691" s="198">
        <f t="shared" si="51"/>
        <v>45083</v>
      </c>
      <c r="E691" s="209">
        <f t="shared" ref="E691:E697" si="52">DATE(A691,B691,C691)</f>
        <v>45083</v>
      </c>
      <c r="F691" s="513" t="s">
        <v>1210</v>
      </c>
      <c r="G691" s="200" t="s">
        <v>1209</v>
      </c>
      <c r="H691" s="201"/>
      <c r="I691" s="201" t="s">
        <v>1318</v>
      </c>
      <c r="J691" s="197" t="s">
        <v>46</v>
      </c>
      <c r="K691" s="202">
        <v>400000</v>
      </c>
      <c r="L691" s="202"/>
      <c r="M691" s="251"/>
    </row>
    <row r="692" spans="1:13" ht="11.25" customHeight="1" x14ac:dyDescent="0.2">
      <c r="A692" s="120">
        <v>2023</v>
      </c>
      <c r="B692" s="120">
        <v>6</v>
      </c>
      <c r="C692" s="120">
        <v>6</v>
      </c>
      <c r="D692" s="208">
        <f t="shared" si="51"/>
        <v>45083</v>
      </c>
      <c r="E692" s="209">
        <f t="shared" si="52"/>
        <v>45083</v>
      </c>
      <c r="F692" s="515"/>
      <c r="G692" s="132" t="s">
        <v>1209</v>
      </c>
      <c r="I692" s="128" t="s">
        <v>1318</v>
      </c>
      <c r="J692" s="120" t="s">
        <v>16</v>
      </c>
      <c r="K692" s="207"/>
      <c r="L692" s="207">
        <v>392430</v>
      </c>
    </row>
    <row r="693" spans="1:13" ht="11.25" customHeight="1" x14ac:dyDescent="0.2">
      <c r="A693" s="191">
        <v>2023</v>
      </c>
      <c r="B693" s="191">
        <v>6</v>
      </c>
      <c r="C693" s="191">
        <v>6</v>
      </c>
      <c r="D693" s="192">
        <f t="shared" si="51"/>
        <v>45083</v>
      </c>
      <c r="E693" s="193">
        <f t="shared" si="52"/>
        <v>45083</v>
      </c>
      <c r="F693" s="514"/>
      <c r="G693" s="194" t="s">
        <v>1209</v>
      </c>
      <c r="H693" s="195"/>
      <c r="I693" s="195" t="s">
        <v>1318</v>
      </c>
      <c r="J693" s="191" t="s">
        <v>47</v>
      </c>
      <c r="K693" s="196"/>
      <c r="L693" s="196">
        <v>7570</v>
      </c>
    </row>
    <row r="694" spans="1:13" ht="11.25" customHeight="1" x14ac:dyDescent="0.2">
      <c r="A694" s="197">
        <v>2023</v>
      </c>
      <c r="B694" s="197">
        <v>6</v>
      </c>
      <c r="C694" s="197">
        <v>6</v>
      </c>
      <c r="D694" s="198">
        <f t="shared" si="51"/>
        <v>45083</v>
      </c>
      <c r="E694" s="199">
        <f t="shared" si="52"/>
        <v>45083</v>
      </c>
      <c r="F694" s="513" t="s">
        <v>1306</v>
      </c>
      <c r="G694" s="200" t="s">
        <v>1209</v>
      </c>
      <c r="H694" s="201"/>
      <c r="I694" s="201"/>
      <c r="J694" s="197" t="s">
        <v>54</v>
      </c>
      <c r="K694" s="202">
        <v>20</v>
      </c>
      <c r="L694" s="202"/>
    </row>
    <row r="695" spans="1:13" ht="11.25" customHeight="1" x14ac:dyDescent="0.2">
      <c r="A695" s="191">
        <v>2023</v>
      </c>
      <c r="B695" s="191">
        <v>6</v>
      </c>
      <c r="C695" s="191">
        <v>6</v>
      </c>
      <c r="D695" s="192">
        <f t="shared" si="51"/>
        <v>45083</v>
      </c>
      <c r="E695" s="193">
        <f t="shared" si="52"/>
        <v>45083</v>
      </c>
      <c r="F695" s="514"/>
      <c r="G695" s="194" t="s">
        <v>1209</v>
      </c>
      <c r="H695" s="195"/>
      <c r="I695" s="195"/>
      <c r="J695" s="191" t="s">
        <v>46</v>
      </c>
      <c r="K695" s="196"/>
      <c r="L695" s="196">
        <v>20</v>
      </c>
    </row>
    <row r="696" spans="1:13" ht="11.25" customHeight="1" x14ac:dyDescent="0.2">
      <c r="A696" s="197">
        <v>2023</v>
      </c>
      <c r="B696" s="197">
        <v>6</v>
      </c>
      <c r="C696" s="197">
        <v>8</v>
      </c>
      <c r="D696" s="198">
        <f t="shared" si="51"/>
        <v>45085</v>
      </c>
      <c r="E696" s="199">
        <f t="shared" si="52"/>
        <v>45085</v>
      </c>
      <c r="F696" s="513" t="s">
        <v>1281</v>
      </c>
      <c r="G696" s="200" t="s">
        <v>1209</v>
      </c>
      <c r="H696" s="201"/>
      <c r="I696" s="201"/>
      <c r="J696" s="197" t="s">
        <v>54</v>
      </c>
      <c r="K696" s="202">
        <v>100</v>
      </c>
      <c r="L696" s="202"/>
    </row>
    <row r="697" spans="1:13" ht="11.25" customHeight="1" x14ac:dyDescent="0.2">
      <c r="A697" s="191">
        <v>2023</v>
      </c>
      <c r="B697" s="191">
        <v>6</v>
      </c>
      <c r="C697" s="191">
        <v>8</v>
      </c>
      <c r="D697" s="192">
        <f t="shared" si="51"/>
        <v>45085</v>
      </c>
      <c r="E697" s="193">
        <f t="shared" si="52"/>
        <v>45085</v>
      </c>
      <c r="F697" s="514"/>
      <c r="G697" s="194" t="s">
        <v>1209</v>
      </c>
      <c r="H697" s="195"/>
      <c r="I697" s="195"/>
      <c r="J697" s="191" t="s">
        <v>46</v>
      </c>
      <c r="K697" s="196"/>
      <c r="L697" s="196">
        <v>100</v>
      </c>
    </row>
    <row r="698" spans="1:13" ht="11.25" customHeight="1" x14ac:dyDescent="0.2">
      <c r="A698" s="197">
        <v>2023</v>
      </c>
      <c r="B698" s="197">
        <v>6</v>
      </c>
      <c r="C698" s="197">
        <v>8</v>
      </c>
      <c r="D698" s="198">
        <f t="shared" si="51"/>
        <v>45085</v>
      </c>
      <c r="E698" s="199">
        <f>DATE(A698,B698,C698)</f>
        <v>45085</v>
      </c>
      <c r="F698" s="513" t="s">
        <v>1211</v>
      </c>
      <c r="G698" s="200" t="s">
        <v>1209</v>
      </c>
      <c r="H698" s="201"/>
      <c r="I698" s="201"/>
      <c r="J698" s="197" t="s">
        <v>54</v>
      </c>
      <c r="K698" s="202">
        <v>172.5</v>
      </c>
      <c r="L698" s="202"/>
    </row>
    <row r="699" spans="1:13" ht="11.25" customHeight="1" x14ac:dyDescent="0.2">
      <c r="A699" s="191">
        <v>2023</v>
      </c>
      <c r="B699" s="191">
        <v>6</v>
      </c>
      <c r="C699" s="191">
        <v>8</v>
      </c>
      <c r="D699" s="192">
        <f t="shared" si="51"/>
        <v>45085</v>
      </c>
      <c r="E699" s="193">
        <f>DATE(A699,B699,C699)</f>
        <v>45085</v>
      </c>
      <c r="F699" s="514"/>
      <c r="G699" s="194" t="s">
        <v>1209</v>
      </c>
      <c r="H699" s="195"/>
      <c r="I699" s="195"/>
      <c r="J699" s="191" t="s">
        <v>46</v>
      </c>
      <c r="K699" s="196"/>
      <c r="L699" s="196">
        <v>172.5</v>
      </c>
    </row>
    <row r="700" spans="1:13" ht="11.25" customHeight="1" x14ac:dyDescent="0.2">
      <c r="A700" s="197">
        <v>2023</v>
      </c>
      <c r="B700" s="197">
        <v>6</v>
      </c>
      <c r="C700" s="197">
        <v>8</v>
      </c>
      <c r="D700" s="198">
        <f t="shared" si="51"/>
        <v>45085</v>
      </c>
      <c r="E700" s="199">
        <f t="shared" ref="E700:E709" si="53">DATE(A700,B700,C700)</f>
        <v>45085</v>
      </c>
      <c r="F700" s="513" t="s">
        <v>1317</v>
      </c>
      <c r="G700" s="200" t="s">
        <v>1209</v>
      </c>
      <c r="H700" s="201"/>
      <c r="I700" s="201"/>
      <c r="J700" s="197" t="s">
        <v>54</v>
      </c>
      <c r="K700" s="202">
        <v>28.75</v>
      </c>
      <c r="L700" s="202"/>
    </row>
    <row r="701" spans="1:13" ht="11.25" customHeight="1" x14ac:dyDescent="0.2">
      <c r="A701" s="191">
        <v>2023</v>
      </c>
      <c r="B701" s="191">
        <v>6</v>
      </c>
      <c r="C701" s="191">
        <v>8</v>
      </c>
      <c r="D701" s="192">
        <f t="shared" si="51"/>
        <v>45085</v>
      </c>
      <c r="E701" s="193">
        <f t="shared" si="53"/>
        <v>45085</v>
      </c>
      <c r="F701" s="514"/>
      <c r="G701" s="194" t="s">
        <v>1209</v>
      </c>
      <c r="H701" s="195"/>
      <c r="I701" s="195"/>
      <c r="J701" s="191" t="s">
        <v>46</v>
      </c>
      <c r="K701" s="196"/>
      <c r="L701" s="196">
        <v>28.75</v>
      </c>
    </row>
    <row r="702" spans="1:13" ht="11.25" customHeight="1" x14ac:dyDescent="0.2">
      <c r="A702" s="197">
        <v>2023</v>
      </c>
      <c r="B702" s="197">
        <v>6</v>
      </c>
      <c r="C702" s="197">
        <v>8</v>
      </c>
      <c r="D702" s="198">
        <f t="shared" si="51"/>
        <v>45085</v>
      </c>
      <c r="E702" s="209">
        <f t="shared" si="53"/>
        <v>45085</v>
      </c>
      <c r="F702" s="513" t="s">
        <v>1296</v>
      </c>
      <c r="G702" s="200" t="s">
        <v>1209</v>
      </c>
      <c r="H702" s="201"/>
      <c r="I702" s="201"/>
      <c r="J702" s="197" t="s">
        <v>46</v>
      </c>
      <c r="K702" s="202">
        <v>10000</v>
      </c>
      <c r="L702" s="202"/>
      <c r="M702" s="251"/>
    </row>
    <row r="703" spans="1:13" ht="11.25" customHeight="1" x14ac:dyDescent="0.2">
      <c r="A703" s="120">
        <v>2023</v>
      </c>
      <c r="B703" s="120">
        <v>6</v>
      </c>
      <c r="C703" s="120">
        <v>8</v>
      </c>
      <c r="D703" s="208">
        <f t="shared" si="51"/>
        <v>45085</v>
      </c>
      <c r="E703" s="209">
        <f t="shared" si="53"/>
        <v>45085</v>
      </c>
      <c r="F703" s="515"/>
      <c r="G703" s="132" t="s">
        <v>1209</v>
      </c>
      <c r="J703" s="120" t="s">
        <v>16</v>
      </c>
      <c r="K703" s="207"/>
      <c r="L703" s="207">
        <v>9810</v>
      </c>
    </row>
    <row r="704" spans="1:13" ht="11.25" customHeight="1" x14ac:dyDescent="0.2">
      <c r="A704" s="191">
        <v>2023</v>
      </c>
      <c r="B704" s="191">
        <v>6</v>
      </c>
      <c r="C704" s="191">
        <v>8</v>
      </c>
      <c r="D704" s="192">
        <f t="shared" si="51"/>
        <v>45085</v>
      </c>
      <c r="E704" s="193">
        <f t="shared" si="53"/>
        <v>45085</v>
      </c>
      <c r="F704" s="514"/>
      <c r="G704" s="194" t="s">
        <v>1209</v>
      </c>
      <c r="H704" s="195"/>
      <c r="I704" s="195"/>
      <c r="J704" s="191" t="s">
        <v>47</v>
      </c>
      <c r="K704" s="196"/>
      <c r="L704" s="196">
        <v>190</v>
      </c>
    </row>
    <row r="705" spans="1:13" ht="11.25" customHeight="1" x14ac:dyDescent="0.2">
      <c r="A705" s="197">
        <v>2023</v>
      </c>
      <c r="B705" s="197">
        <v>6</v>
      </c>
      <c r="C705" s="197">
        <v>8</v>
      </c>
      <c r="D705" s="198">
        <f t="shared" si="51"/>
        <v>45085</v>
      </c>
      <c r="E705" s="209">
        <f>DATE(A705,B705,C705)</f>
        <v>45085</v>
      </c>
      <c r="F705" s="513" t="s">
        <v>1210</v>
      </c>
      <c r="G705" s="200" t="s">
        <v>1209</v>
      </c>
      <c r="H705" s="201"/>
      <c r="I705" s="201"/>
      <c r="J705" s="197" t="s">
        <v>46</v>
      </c>
      <c r="K705" s="202">
        <v>70000</v>
      </c>
      <c r="L705" s="202"/>
      <c r="M705" s="251"/>
    </row>
    <row r="706" spans="1:13" ht="11.25" customHeight="1" x14ac:dyDescent="0.2">
      <c r="A706" s="120">
        <v>2023</v>
      </c>
      <c r="B706" s="120">
        <v>6</v>
      </c>
      <c r="C706" s="120">
        <v>8</v>
      </c>
      <c r="D706" s="208">
        <f t="shared" si="51"/>
        <v>45085</v>
      </c>
      <c r="E706" s="209">
        <f>DATE(A706,B706,C706)</f>
        <v>45085</v>
      </c>
      <c r="F706" s="515"/>
      <c r="G706" s="132" t="s">
        <v>1209</v>
      </c>
      <c r="J706" s="120" t="s">
        <v>16</v>
      </c>
      <c r="K706" s="207"/>
      <c r="L706" s="207">
        <v>68670</v>
      </c>
    </row>
    <row r="707" spans="1:13" ht="11.25" customHeight="1" x14ac:dyDescent="0.2">
      <c r="A707" s="191">
        <v>2023</v>
      </c>
      <c r="B707" s="191">
        <v>6</v>
      </c>
      <c r="C707" s="191">
        <v>8</v>
      </c>
      <c r="D707" s="192">
        <f t="shared" si="51"/>
        <v>45085</v>
      </c>
      <c r="E707" s="193">
        <f>DATE(A707,B707,C707)</f>
        <v>45085</v>
      </c>
      <c r="F707" s="514"/>
      <c r="G707" s="194" t="s">
        <v>1209</v>
      </c>
      <c r="H707" s="195"/>
      <c r="I707" s="195"/>
      <c r="J707" s="191" t="s">
        <v>47</v>
      </c>
      <c r="K707" s="196"/>
      <c r="L707" s="196">
        <v>1330</v>
      </c>
    </row>
    <row r="708" spans="1:13" ht="11.25" customHeight="1" x14ac:dyDescent="0.2">
      <c r="A708" s="197">
        <v>2023</v>
      </c>
      <c r="B708" s="197">
        <v>6</v>
      </c>
      <c r="C708" s="197">
        <v>8</v>
      </c>
      <c r="D708" s="198">
        <f t="shared" si="51"/>
        <v>45085</v>
      </c>
      <c r="E708" s="199">
        <f t="shared" si="53"/>
        <v>45085</v>
      </c>
      <c r="F708" s="513" t="s">
        <v>1280</v>
      </c>
      <c r="G708" s="200" t="s">
        <v>1209</v>
      </c>
      <c r="H708" s="201"/>
      <c r="I708" s="201" t="s">
        <v>620</v>
      </c>
      <c r="J708" s="197" t="s">
        <v>16</v>
      </c>
      <c r="K708" s="202">
        <v>3000000</v>
      </c>
      <c r="L708" s="202"/>
      <c r="M708" s="251"/>
    </row>
    <row r="709" spans="1:13" ht="11.25" customHeight="1" x14ac:dyDescent="0.2">
      <c r="A709" s="191">
        <v>2023</v>
      </c>
      <c r="B709" s="191">
        <v>6</v>
      </c>
      <c r="C709" s="191">
        <v>8</v>
      </c>
      <c r="D709" s="192">
        <f t="shared" si="51"/>
        <v>45085</v>
      </c>
      <c r="E709" s="193">
        <f t="shared" si="53"/>
        <v>45085</v>
      </c>
      <c r="F709" s="514"/>
      <c r="G709" s="194" t="s">
        <v>1209</v>
      </c>
      <c r="H709" s="195"/>
      <c r="I709" s="195" t="s">
        <v>620</v>
      </c>
      <c r="J709" s="191" t="s">
        <v>46</v>
      </c>
      <c r="K709" s="196"/>
      <c r="L709" s="196">
        <v>3000000</v>
      </c>
    </row>
    <row r="710" spans="1:13" ht="11.25" customHeight="1" x14ac:dyDescent="0.2">
      <c r="A710" s="197">
        <v>2023</v>
      </c>
      <c r="B710" s="197">
        <v>6</v>
      </c>
      <c r="C710" s="197">
        <v>8</v>
      </c>
      <c r="D710" s="198">
        <f t="shared" si="51"/>
        <v>45085</v>
      </c>
      <c r="E710" s="199">
        <f>DATE(A710,B710,C710)</f>
        <v>45085</v>
      </c>
      <c r="F710" s="513" t="s">
        <v>1280</v>
      </c>
      <c r="G710" s="200" t="s">
        <v>1209</v>
      </c>
      <c r="H710" s="201"/>
      <c r="I710" s="201" t="s">
        <v>342</v>
      </c>
      <c r="J710" s="197" t="s">
        <v>16</v>
      </c>
      <c r="K710" s="202">
        <v>2000000</v>
      </c>
      <c r="L710" s="202"/>
      <c r="M710" s="251"/>
    </row>
    <row r="711" spans="1:13" ht="11.25" customHeight="1" x14ac:dyDescent="0.2">
      <c r="A711" s="191">
        <v>2023</v>
      </c>
      <c r="B711" s="191">
        <v>6</v>
      </c>
      <c r="C711" s="191">
        <v>8</v>
      </c>
      <c r="D711" s="192">
        <f t="shared" si="51"/>
        <v>45085</v>
      </c>
      <c r="E711" s="193">
        <f>DATE(A711,B711,C711)</f>
        <v>45085</v>
      </c>
      <c r="F711" s="514"/>
      <c r="G711" s="194" t="s">
        <v>1209</v>
      </c>
      <c r="H711" s="195"/>
      <c r="I711" s="195" t="s">
        <v>342</v>
      </c>
      <c r="J711" s="191" t="s">
        <v>46</v>
      </c>
      <c r="K711" s="196"/>
      <c r="L711" s="196">
        <v>2000000</v>
      </c>
    </row>
    <row r="712" spans="1:13" ht="11.25" customHeight="1" x14ac:dyDescent="0.2">
      <c r="A712" s="197">
        <v>2023</v>
      </c>
      <c r="B712" s="197">
        <v>6</v>
      </c>
      <c r="C712" s="197">
        <v>8</v>
      </c>
      <c r="D712" s="198">
        <f t="shared" si="51"/>
        <v>45085</v>
      </c>
      <c r="E712" s="199">
        <f>DATE(A712,B712,C712)</f>
        <v>45085</v>
      </c>
      <c r="F712" s="513" t="s">
        <v>1319</v>
      </c>
      <c r="G712" s="200" t="s">
        <v>1209</v>
      </c>
      <c r="H712" s="201"/>
      <c r="I712" s="201"/>
      <c r="J712" s="197" t="s">
        <v>54</v>
      </c>
      <c r="K712" s="202">
        <v>100</v>
      </c>
      <c r="L712" s="202"/>
    </row>
    <row r="713" spans="1:13" ht="11.25" customHeight="1" x14ac:dyDescent="0.2">
      <c r="A713" s="191">
        <v>2023</v>
      </c>
      <c r="B713" s="191">
        <v>6</v>
      </c>
      <c r="C713" s="191">
        <v>8</v>
      </c>
      <c r="D713" s="192">
        <f t="shared" si="51"/>
        <v>45085</v>
      </c>
      <c r="E713" s="193">
        <f>DATE(A713,B713,C713)</f>
        <v>45085</v>
      </c>
      <c r="F713" s="514"/>
      <c r="G713" s="194" t="s">
        <v>1209</v>
      </c>
      <c r="H713" s="195"/>
      <c r="I713" s="195"/>
      <c r="J713" s="191" t="s">
        <v>46</v>
      </c>
      <c r="K713" s="196"/>
      <c r="L713" s="196">
        <v>100</v>
      </c>
    </row>
    <row r="714" spans="1:13" ht="11.25" customHeight="1" x14ac:dyDescent="0.2">
      <c r="A714" s="197">
        <v>2023</v>
      </c>
      <c r="B714" s="197">
        <v>6</v>
      </c>
      <c r="C714" s="197">
        <v>8</v>
      </c>
      <c r="D714" s="198">
        <f t="shared" si="51"/>
        <v>45085</v>
      </c>
      <c r="E714" s="199">
        <f t="shared" ref="E714:E748" si="54">DATE(A714,B714,C714)</f>
        <v>45085</v>
      </c>
      <c r="F714" s="513" t="s">
        <v>1319</v>
      </c>
      <c r="G714" s="200" t="s">
        <v>1209</v>
      </c>
      <c r="H714" s="201"/>
      <c r="I714" s="201"/>
      <c r="J714" s="197" t="s">
        <v>54</v>
      </c>
      <c r="K714" s="202">
        <v>100</v>
      </c>
      <c r="L714" s="202"/>
    </row>
    <row r="715" spans="1:13" ht="11.25" customHeight="1" x14ac:dyDescent="0.2">
      <c r="A715" s="191">
        <v>2023</v>
      </c>
      <c r="B715" s="191">
        <v>6</v>
      </c>
      <c r="C715" s="191">
        <v>8</v>
      </c>
      <c r="D715" s="192">
        <f t="shared" si="51"/>
        <v>45085</v>
      </c>
      <c r="E715" s="193">
        <f t="shared" si="54"/>
        <v>45085</v>
      </c>
      <c r="F715" s="514"/>
      <c r="G715" s="194" t="s">
        <v>1209</v>
      </c>
      <c r="H715" s="195"/>
      <c r="I715" s="195"/>
      <c r="J715" s="191" t="s">
        <v>46</v>
      </c>
      <c r="K715" s="196"/>
      <c r="L715" s="196">
        <v>100</v>
      </c>
    </row>
    <row r="716" spans="1:13" ht="11.25" customHeight="1" x14ac:dyDescent="0.2">
      <c r="A716" s="197">
        <v>2023</v>
      </c>
      <c r="B716" s="197">
        <v>6</v>
      </c>
      <c r="C716" s="197">
        <v>8</v>
      </c>
      <c r="D716" s="198">
        <f t="shared" si="51"/>
        <v>45085</v>
      </c>
      <c r="E716" s="209">
        <f t="shared" si="54"/>
        <v>45085</v>
      </c>
      <c r="F716" s="513" t="s">
        <v>1210</v>
      </c>
      <c r="G716" s="200" t="s">
        <v>1209</v>
      </c>
      <c r="H716" s="201"/>
      <c r="I716" s="201" t="s">
        <v>422</v>
      </c>
      <c r="J716" s="197" t="s">
        <v>46</v>
      </c>
      <c r="K716" s="202">
        <v>100000</v>
      </c>
      <c r="L716" s="202"/>
      <c r="M716" s="251"/>
    </row>
    <row r="717" spans="1:13" ht="11.25" customHeight="1" x14ac:dyDescent="0.2">
      <c r="A717" s="120">
        <v>2023</v>
      </c>
      <c r="B717" s="120">
        <v>6</v>
      </c>
      <c r="C717" s="120">
        <v>8</v>
      </c>
      <c r="D717" s="208">
        <f t="shared" si="51"/>
        <v>45085</v>
      </c>
      <c r="E717" s="209">
        <f t="shared" si="54"/>
        <v>45085</v>
      </c>
      <c r="F717" s="515"/>
      <c r="G717" s="132" t="s">
        <v>1209</v>
      </c>
      <c r="I717" s="128" t="s">
        <v>422</v>
      </c>
      <c r="J717" s="120" t="s">
        <v>16</v>
      </c>
      <c r="K717" s="207"/>
      <c r="L717" s="207">
        <v>98110</v>
      </c>
    </row>
    <row r="718" spans="1:13" ht="11.25" customHeight="1" x14ac:dyDescent="0.2">
      <c r="A718" s="191">
        <v>2023</v>
      </c>
      <c r="B718" s="191">
        <v>6</v>
      </c>
      <c r="C718" s="191">
        <v>8</v>
      </c>
      <c r="D718" s="192">
        <f t="shared" si="51"/>
        <v>45085</v>
      </c>
      <c r="E718" s="193">
        <f t="shared" si="54"/>
        <v>45085</v>
      </c>
      <c r="F718" s="514"/>
      <c r="G718" s="194" t="s">
        <v>1209</v>
      </c>
      <c r="H718" s="195"/>
      <c r="I718" s="195" t="s">
        <v>422</v>
      </c>
      <c r="J718" s="191" t="s">
        <v>47</v>
      </c>
      <c r="K718" s="196"/>
      <c r="L718" s="196">
        <v>1890</v>
      </c>
    </row>
    <row r="719" spans="1:13" ht="11.25" customHeight="1" x14ac:dyDescent="0.2">
      <c r="A719" s="197">
        <v>2023</v>
      </c>
      <c r="B719" s="120">
        <v>6</v>
      </c>
      <c r="C719" s="120">
        <v>8</v>
      </c>
      <c r="D719" s="198">
        <f t="shared" si="51"/>
        <v>45085</v>
      </c>
      <c r="E719" s="199">
        <f t="shared" si="54"/>
        <v>45085</v>
      </c>
      <c r="F719" s="513" t="s">
        <v>1322</v>
      </c>
      <c r="G719" s="200" t="s">
        <v>1209</v>
      </c>
      <c r="H719" s="200"/>
      <c r="I719" s="201" t="s">
        <v>1253</v>
      </c>
      <c r="J719" s="197" t="s">
        <v>178</v>
      </c>
      <c r="K719" s="202">
        <v>444302.81</v>
      </c>
      <c r="L719" s="202"/>
    </row>
    <row r="720" spans="1:13" ht="11.25" customHeight="1" x14ac:dyDescent="0.2">
      <c r="A720" s="120">
        <v>2023</v>
      </c>
      <c r="B720" s="120">
        <v>6</v>
      </c>
      <c r="C720" s="120">
        <v>8</v>
      </c>
      <c r="D720" s="198">
        <f t="shared" si="51"/>
        <v>45085</v>
      </c>
      <c r="E720" s="209">
        <f t="shared" si="54"/>
        <v>45085</v>
      </c>
      <c r="F720" s="515"/>
      <c r="G720" s="132" t="s">
        <v>1209</v>
      </c>
      <c r="H720" s="132"/>
      <c r="J720" s="120" t="s">
        <v>71</v>
      </c>
      <c r="K720" s="207">
        <v>801.19</v>
      </c>
      <c r="L720" s="207"/>
    </row>
    <row r="721" spans="1:15" ht="11.25" customHeight="1" x14ac:dyDescent="0.2">
      <c r="A721" s="120">
        <v>2023</v>
      </c>
      <c r="B721" s="120">
        <v>6</v>
      </c>
      <c r="C721" s="120">
        <v>8</v>
      </c>
      <c r="D721" s="198">
        <f t="shared" si="51"/>
        <v>45085</v>
      </c>
      <c r="E721" s="209">
        <f t="shared" si="54"/>
        <v>45085</v>
      </c>
      <c r="F721" s="515"/>
      <c r="G721" s="132" t="s">
        <v>1209</v>
      </c>
      <c r="H721" s="132"/>
      <c r="I721" s="128" t="s">
        <v>1253</v>
      </c>
      <c r="J721" s="120" t="s">
        <v>179</v>
      </c>
      <c r="K721" s="207"/>
      <c r="L721" s="207">
        <v>383284</v>
      </c>
    </row>
    <row r="722" spans="1:15" ht="11.25" customHeight="1" x14ac:dyDescent="0.2">
      <c r="A722" s="191">
        <v>2023</v>
      </c>
      <c r="B722" s="191">
        <v>6</v>
      </c>
      <c r="C722" s="191">
        <v>8</v>
      </c>
      <c r="D722" s="249">
        <f t="shared" si="51"/>
        <v>45085</v>
      </c>
      <c r="E722" s="209">
        <f t="shared" si="54"/>
        <v>45085</v>
      </c>
      <c r="F722" s="514"/>
      <c r="G722" s="194" t="s">
        <v>1209</v>
      </c>
      <c r="H722" s="194"/>
      <c r="I722" s="195"/>
      <c r="J722" s="191" t="s">
        <v>70</v>
      </c>
      <c r="K722" s="196"/>
      <c r="L722" s="196">
        <v>61820</v>
      </c>
      <c r="M722" s="251"/>
    </row>
    <row r="723" spans="1:15" ht="11.25" customHeight="1" x14ac:dyDescent="0.2">
      <c r="A723" s="197">
        <v>2023</v>
      </c>
      <c r="B723" s="197">
        <v>6</v>
      </c>
      <c r="C723" s="197">
        <v>8</v>
      </c>
      <c r="D723" s="198">
        <f t="shared" si="51"/>
        <v>45085</v>
      </c>
      <c r="E723" s="199">
        <f>DATE(A723,B723,C723)</f>
        <v>45085</v>
      </c>
      <c r="F723" s="513" t="s">
        <v>1323</v>
      </c>
      <c r="G723" s="200" t="s">
        <v>1209</v>
      </c>
      <c r="H723" s="201"/>
      <c r="I723" s="201"/>
      <c r="J723" s="197" t="s">
        <v>54</v>
      </c>
      <c r="K723" s="202">
        <v>70</v>
      </c>
      <c r="L723" s="202"/>
    </row>
    <row r="724" spans="1:15" ht="11.25" customHeight="1" x14ac:dyDescent="0.2">
      <c r="A724" s="191">
        <v>2023</v>
      </c>
      <c r="B724" s="191">
        <v>6</v>
      </c>
      <c r="C724" s="191">
        <v>8</v>
      </c>
      <c r="D724" s="192">
        <f t="shared" si="51"/>
        <v>45085</v>
      </c>
      <c r="E724" s="193">
        <f>DATE(A724,B724,C724)</f>
        <v>45085</v>
      </c>
      <c r="F724" s="514"/>
      <c r="G724" s="194" t="s">
        <v>1209</v>
      </c>
      <c r="H724" s="195"/>
      <c r="I724" s="195"/>
      <c r="J724" s="191" t="s">
        <v>46</v>
      </c>
      <c r="K724" s="196"/>
      <c r="L724" s="196">
        <v>70</v>
      </c>
    </row>
    <row r="725" spans="1:15" ht="11.25" customHeight="1" x14ac:dyDescent="0.2">
      <c r="A725" s="271">
        <v>2023</v>
      </c>
      <c r="B725" s="271">
        <v>6</v>
      </c>
      <c r="C725" s="271">
        <v>8</v>
      </c>
      <c r="D725" s="272">
        <f t="shared" si="51"/>
        <v>45085</v>
      </c>
      <c r="E725" s="273">
        <f t="shared" si="54"/>
        <v>45085</v>
      </c>
      <c r="F725" s="533" t="s">
        <v>1364</v>
      </c>
      <c r="G725" s="274" t="s">
        <v>1245</v>
      </c>
      <c r="H725" s="275"/>
      <c r="I725" s="275" t="s">
        <v>1253</v>
      </c>
      <c r="J725" s="271" t="s">
        <v>153</v>
      </c>
      <c r="K725" s="276">
        <v>203947.35576923072</v>
      </c>
      <c r="L725" s="276"/>
    </row>
    <row r="726" spans="1:15" ht="11.25" customHeight="1" x14ac:dyDescent="0.2">
      <c r="A726" s="277">
        <v>2023</v>
      </c>
      <c r="B726" s="277">
        <v>6</v>
      </c>
      <c r="C726" s="277">
        <v>8</v>
      </c>
      <c r="D726" s="278">
        <f t="shared" si="51"/>
        <v>45085</v>
      </c>
      <c r="E726" s="279">
        <f t="shared" si="54"/>
        <v>45085</v>
      </c>
      <c r="F726" s="534"/>
      <c r="G726" s="280" t="s">
        <v>1245</v>
      </c>
      <c r="H726" s="281"/>
      <c r="I726" s="281" t="s">
        <v>1253</v>
      </c>
      <c r="J726" s="277" t="s">
        <v>113</v>
      </c>
      <c r="K726" s="282"/>
      <c r="L726" s="282">
        <v>203947.35576923072</v>
      </c>
    </row>
    <row r="727" spans="1:15" ht="11.25" customHeight="1" x14ac:dyDescent="0.2">
      <c r="A727" s="210">
        <v>2023</v>
      </c>
      <c r="B727" s="210">
        <v>6</v>
      </c>
      <c r="C727" s="210">
        <v>8</v>
      </c>
      <c r="D727" s="211">
        <f t="shared" si="51"/>
        <v>45085</v>
      </c>
      <c r="E727" s="238">
        <f t="shared" si="54"/>
        <v>45085</v>
      </c>
      <c r="F727" s="520" t="s">
        <v>1278</v>
      </c>
      <c r="G727" s="213" t="s">
        <v>1245</v>
      </c>
      <c r="H727" s="214"/>
      <c r="I727" s="214" t="s">
        <v>1253</v>
      </c>
      <c r="J727" s="210" t="s">
        <v>1529</v>
      </c>
      <c r="K727" s="215">
        <v>7032.2624999999998</v>
      </c>
      <c r="L727" s="215"/>
    </row>
    <row r="728" spans="1:15" ht="11.25" customHeight="1" x14ac:dyDescent="0.2">
      <c r="A728" s="216">
        <v>2023</v>
      </c>
      <c r="B728" s="216">
        <v>6</v>
      </c>
      <c r="C728" s="216">
        <v>8</v>
      </c>
      <c r="D728" s="217">
        <f t="shared" si="51"/>
        <v>45085</v>
      </c>
      <c r="E728" s="239">
        <f t="shared" si="54"/>
        <v>45085</v>
      </c>
      <c r="F728" s="521"/>
      <c r="G728" s="219" t="s">
        <v>1245</v>
      </c>
      <c r="H728" s="220"/>
      <c r="I728" s="220" t="s">
        <v>1253</v>
      </c>
      <c r="J728" s="216" t="s">
        <v>153</v>
      </c>
      <c r="K728" s="221"/>
      <c r="L728" s="221">
        <v>7032.2624999999998</v>
      </c>
    </row>
    <row r="729" spans="1:15" ht="11.25" customHeight="1" x14ac:dyDescent="0.2">
      <c r="A729" s="210">
        <v>2023</v>
      </c>
      <c r="B729" s="210">
        <v>6</v>
      </c>
      <c r="C729" s="210">
        <v>8</v>
      </c>
      <c r="D729" s="211">
        <f t="shared" si="51"/>
        <v>45085</v>
      </c>
      <c r="E729" s="238">
        <f t="shared" si="54"/>
        <v>45085</v>
      </c>
      <c r="F729" s="520" t="s">
        <v>1285</v>
      </c>
      <c r="G729" s="213" t="s">
        <v>1245</v>
      </c>
      <c r="H729" s="214"/>
      <c r="I729" s="214" t="s">
        <v>1253</v>
      </c>
      <c r="J729" s="210" t="s">
        <v>1284</v>
      </c>
      <c r="K729" s="215">
        <v>15398.28</v>
      </c>
      <c r="L729" s="215"/>
    </row>
    <row r="730" spans="1:15" ht="11.25" customHeight="1" x14ac:dyDescent="0.2">
      <c r="A730" s="242">
        <v>2023</v>
      </c>
      <c r="B730" s="216">
        <v>6</v>
      </c>
      <c r="C730" s="216">
        <v>8</v>
      </c>
      <c r="D730" s="243">
        <f t="shared" si="51"/>
        <v>45085</v>
      </c>
      <c r="E730" s="244">
        <f>DATE(A730,B730,C730)</f>
        <v>45085</v>
      </c>
      <c r="F730" s="524"/>
      <c r="G730" s="245" t="s">
        <v>1245</v>
      </c>
      <c r="H730" s="246"/>
      <c r="I730" s="246"/>
      <c r="J730" s="242" t="s">
        <v>1582</v>
      </c>
      <c r="K730" s="247"/>
      <c r="L730" s="247">
        <v>15398.28</v>
      </c>
    </row>
    <row r="731" spans="1:15" ht="11.25" customHeight="1" x14ac:dyDescent="0.2">
      <c r="A731" s="210">
        <v>2023</v>
      </c>
      <c r="B731" s="210">
        <v>6</v>
      </c>
      <c r="C731" s="210">
        <v>8</v>
      </c>
      <c r="D731" s="211">
        <f t="shared" si="51"/>
        <v>45085</v>
      </c>
      <c r="E731" s="238">
        <f t="shared" si="54"/>
        <v>45085</v>
      </c>
      <c r="F731" s="520" t="s">
        <v>1259</v>
      </c>
      <c r="G731" s="213" t="s">
        <v>1245</v>
      </c>
      <c r="H731" s="214"/>
      <c r="I731" s="214" t="s">
        <v>1253</v>
      </c>
      <c r="J731" s="210" t="s">
        <v>58</v>
      </c>
      <c r="K731" s="215">
        <v>3113.17</v>
      </c>
      <c r="L731" s="215"/>
    </row>
    <row r="732" spans="1:15" ht="11.25" customHeight="1" x14ac:dyDescent="0.2">
      <c r="A732" s="216">
        <v>2023</v>
      </c>
      <c r="B732" s="216">
        <v>6</v>
      </c>
      <c r="C732" s="216">
        <v>8</v>
      </c>
      <c r="D732" s="217">
        <f t="shared" si="51"/>
        <v>45085</v>
      </c>
      <c r="E732" s="239">
        <f t="shared" si="54"/>
        <v>45085</v>
      </c>
      <c r="F732" s="521"/>
      <c r="G732" s="219" t="s">
        <v>1245</v>
      </c>
      <c r="H732" s="220"/>
      <c r="I732" s="220" t="s">
        <v>1253</v>
      </c>
      <c r="J732" s="216" t="s">
        <v>153</v>
      </c>
      <c r="K732" s="221"/>
      <c r="L732" s="221">
        <v>3113.17</v>
      </c>
    </row>
    <row r="733" spans="1:15" ht="11.25" customHeight="1" x14ac:dyDescent="0.2">
      <c r="A733" s="210">
        <v>2023</v>
      </c>
      <c r="B733" s="210">
        <v>6</v>
      </c>
      <c r="C733" s="210">
        <v>8</v>
      </c>
      <c r="D733" s="211">
        <f t="shared" si="51"/>
        <v>45085</v>
      </c>
      <c r="E733" s="238">
        <f t="shared" si="54"/>
        <v>45085</v>
      </c>
      <c r="F733" s="520" t="s">
        <v>1255</v>
      </c>
      <c r="G733" s="213" t="s">
        <v>1245</v>
      </c>
      <c r="H733" s="214"/>
      <c r="I733" s="214" t="s">
        <v>1253</v>
      </c>
      <c r="J733" s="210" t="s">
        <v>113</v>
      </c>
      <c r="K733" s="215">
        <v>46927.22</v>
      </c>
      <c r="L733" s="215"/>
      <c r="M733" s="251"/>
      <c r="O733" s="130"/>
    </row>
    <row r="734" spans="1:15" ht="11.25" customHeight="1" x14ac:dyDescent="0.2">
      <c r="A734" s="216">
        <v>2023</v>
      </c>
      <c r="B734" s="216">
        <v>6</v>
      </c>
      <c r="C734" s="216">
        <v>8</v>
      </c>
      <c r="D734" s="217">
        <f t="shared" si="51"/>
        <v>45085</v>
      </c>
      <c r="E734" s="239">
        <f t="shared" si="54"/>
        <v>45085</v>
      </c>
      <c r="F734" s="521"/>
      <c r="G734" s="219" t="s">
        <v>1245</v>
      </c>
      <c r="H734" s="220"/>
      <c r="I734" s="220" t="s">
        <v>1253</v>
      </c>
      <c r="J734" s="216" t="s">
        <v>153</v>
      </c>
      <c r="K734" s="221"/>
      <c r="L734" s="221">
        <v>46927.22</v>
      </c>
    </row>
    <row r="735" spans="1:15" ht="11.25" customHeight="1" x14ac:dyDescent="0.2">
      <c r="A735" s="210">
        <v>2023</v>
      </c>
      <c r="B735" s="210">
        <v>6</v>
      </c>
      <c r="C735" s="210">
        <v>8</v>
      </c>
      <c r="D735" s="211">
        <f t="shared" si="51"/>
        <v>45085</v>
      </c>
      <c r="E735" s="238">
        <f t="shared" si="54"/>
        <v>45085</v>
      </c>
      <c r="F735" s="520" t="s">
        <v>1256</v>
      </c>
      <c r="G735" s="213" t="s">
        <v>1245</v>
      </c>
      <c r="H735" s="214"/>
      <c r="I735" s="214" t="s">
        <v>1253</v>
      </c>
      <c r="J735" s="210" t="s">
        <v>113</v>
      </c>
      <c r="K735" s="215">
        <v>32554.68</v>
      </c>
      <c r="L735" s="215"/>
      <c r="M735" s="251"/>
      <c r="O735" s="130"/>
    </row>
    <row r="736" spans="1:15" ht="11.25" customHeight="1" x14ac:dyDescent="0.2">
      <c r="A736" s="216">
        <v>2023</v>
      </c>
      <c r="B736" s="216">
        <v>6</v>
      </c>
      <c r="C736" s="216">
        <v>8</v>
      </c>
      <c r="D736" s="217">
        <f t="shared" si="51"/>
        <v>45085</v>
      </c>
      <c r="E736" s="239">
        <f t="shared" si="54"/>
        <v>45085</v>
      </c>
      <c r="F736" s="521"/>
      <c r="G736" s="219" t="s">
        <v>1245</v>
      </c>
      <c r="H736" s="220"/>
      <c r="I736" s="220" t="s">
        <v>1253</v>
      </c>
      <c r="J736" s="216" t="s">
        <v>153</v>
      </c>
      <c r="K736" s="221"/>
      <c r="L736" s="221">
        <v>32554.68</v>
      </c>
    </row>
    <row r="737" spans="1:13" ht="11.25" customHeight="1" x14ac:dyDescent="0.2">
      <c r="A737" s="210">
        <v>2023</v>
      </c>
      <c r="B737" s="210">
        <v>6</v>
      </c>
      <c r="C737" s="210">
        <v>8</v>
      </c>
      <c r="D737" s="211">
        <f t="shared" si="51"/>
        <v>45085</v>
      </c>
      <c r="E737" s="238">
        <f t="shared" si="54"/>
        <v>45085</v>
      </c>
      <c r="F737" s="520" t="s">
        <v>1257</v>
      </c>
      <c r="G737" s="213" t="s">
        <v>1245</v>
      </c>
      <c r="H737" s="214"/>
      <c r="I737" s="214" t="s">
        <v>1253</v>
      </c>
      <c r="J737" s="210" t="s">
        <v>113</v>
      </c>
      <c r="K737" s="215">
        <v>33372.93</v>
      </c>
      <c r="L737" s="215"/>
    </row>
    <row r="738" spans="1:13" ht="11.25" customHeight="1" x14ac:dyDescent="0.2">
      <c r="A738" s="216">
        <v>2023</v>
      </c>
      <c r="B738" s="216">
        <v>6</v>
      </c>
      <c r="C738" s="216">
        <v>8</v>
      </c>
      <c r="D738" s="217">
        <f t="shared" si="51"/>
        <v>45085</v>
      </c>
      <c r="E738" s="239">
        <f t="shared" si="54"/>
        <v>45085</v>
      </c>
      <c r="F738" s="521"/>
      <c r="G738" s="219" t="s">
        <v>1245</v>
      </c>
      <c r="H738" s="220"/>
      <c r="I738" s="220" t="s">
        <v>1253</v>
      </c>
      <c r="J738" s="216" t="s">
        <v>153</v>
      </c>
      <c r="K738" s="221"/>
      <c r="L738" s="221">
        <v>33372.93</v>
      </c>
    </row>
    <row r="739" spans="1:13" ht="11.25" customHeight="1" x14ac:dyDescent="0.2">
      <c r="A739" s="259">
        <v>2023</v>
      </c>
      <c r="B739" s="259">
        <v>6</v>
      </c>
      <c r="C739" s="259">
        <v>8</v>
      </c>
      <c r="D739" s="260">
        <f t="shared" si="51"/>
        <v>45085</v>
      </c>
      <c r="E739" s="261">
        <f t="shared" si="54"/>
        <v>45085</v>
      </c>
      <c r="F739" s="531" t="s">
        <v>1313</v>
      </c>
      <c r="G739" s="262" t="s">
        <v>1245</v>
      </c>
      <c r="H739" s="263"/>
      <c r="I739" s="263" t="s">
        <v>1253</v>
      </c>
      <c r="J739" s="259" t="s">
        <v>1476</v>
      </c>
      <c r="K739" s="264">
        <v>7857.7777777777774</v>
      </c>
      <c r="L739" s="264"/>
    </row>
    <row r="740" spans="1:13" ht="11.25" customHeight="1" x14ac:dyDescent="0.2">
      <c r="A740" s="265">
        <v>2023</v>
      </c>
      <c r="B740" s="265">
        <v>6</v>
      </c>
      <c r="C740" s="265">
        <v>8</v>
      </c>
      <c r="D740" s="266">
        <f t="shared" si="51"/>
        <v>45085</v>
      </c>
      <c r="E740" s="267">
        <f t="shared" si="54"/>
        <v>45085</v>
      </c>
      <c r="F740" s="532"/>
      <c r="G740" s="268" t="s">
        <v>1245</v>
      </c>
      <c r="H740" s="269"/>
      <c r="I740" s="269" t="s">
        <v>1253</v>
      </c>
      <c r="J740" s="265" t="s">
        <v>153</v>
      </c>
      <c r="K740" s="270"/>
      <c r="L740" s="270">
        <v>7857.7777777777774</v>
      </c>
    </row>
    <row r="741" spans="1:13" ht="11.25" customHeight="1" x14ac:dyDescent="0.2">
      <c r="A741" s="222">
        <v>2023</v>
      </c>
      <c r="B741" s="222">
        <v>6</v>
      </c>
      <c r="C741" s="222">
        <v>8</v>
      </c>
      <c r="D741" s="223">
        <f t="shared" si="51"/>
        <v>45085</v>
      </c>
      <c r="E741" s="240">
        <f t="shared" si="54"/>
        <v>45085</v>
      </c>
      <c r="F741" s="511" t="s">
        <v>1244</v>
      </c>
      <c r="G741" s="225" t="s">
        <v>1245</v>
      </c>
      <c r="H741" s="226"/>
      <c r="I741" s="226" t="s">
        <v>1253</v>
      </c>
      <c r="J741" s="222" t="s">
        <v>72</v>
      </c>
      <c r="K741" s="227">
        <v>180460.93809523806</v>
      </c>
      <c r="L741" s="227"/>
    </row>
    <row r="742" spans="1:13" ht="11.25" customHeight="1" x14ac:dyDescent="0.2">
      <c r="A742" s="228">
        <v>2023</v>
      </c>
      <c r="B742" s="228">
        <v>6</v>
      </c>
      <c r="C742" s="228">
        <v>8</v>
      </c>
      <c r="D742" s="229">
        <f t="shared" si="51"/>
        <v>45085</v>
      </c>
      <c r="E742" s="241">
        <f t="shared" si="54"/>
        <v>45085</v>
      </c>
      <c r="F742" s="512"/>
      <c r="G742" s="231" t="s">
        <v>1245</v>
      </c>
      <c r="H742" s="232"/>
      <c r="I742" s="232" t="s">
        <v>1253</v>
      </c>
      <c r="J742" s="228" t="s">
        <v>87</v>
      </c>
      <c r="K742" s="233"/>
      <c r="L742" s="233">
        <v>180460.93809523806</v>
      </c>
    </row>
    <row r="743" spans="1:13" ht="11.25" customHeight="1" x14ac:dyDescent="0.2">
      <c r="A743" s="222">
        <v>2023</v>
      </c>
      <c r="B743" s="222">
        <v>6</v>
      </c>
      <c r="C743" s="222">
        <v>8</v>
      </c>
      <c r="D743" s="223">
        <f t="shared" si="51"/>
        <v>45085</v>
      </c>
      <c r="E743" s="240">
        <f t="shared" si="54"/>
        <v>45085</v>
      </c>
      <c r="F743" s="511" t="s">
        <v>1246</v>
      </c>
      <c r="G743" s="225" t="s">
        <v>1245</v>
      </c>
      <c r="H743" s="226"/>
      <c r="I743" s="226" t="s">
        <v>1253</v>
      </c>
      <c r="J743" s="222" t="s">
        <v>75</v>
      </c>
      <c r="K743" s="227">
        <v>3846.1538461538462</v>
      </c>
      <c r="L743" s="227"/>
    </row>
    <row r="744" spans="1:13" ht="11.25" customHeight="1" x14ac:dyDescent="0.2">
      <c r="A744" s="228">
        <v>2023</v>
      </c>
      <c r="B744" s="228">
        <v>6</v>
      </c>
      <c r="C744" s="228">
        <v>8</v>
      </c>
      <c r="D744" s="229">
        <f t="shared" si="51"/>
        <v>45085</v>
      </c>
      <c r="E744" s="241">
        <f t="shared" si="54"/>
        <v>45085</v>
      </c>
      <c r="F744" s="512"/>
      <c r="G744" s="231" t="s">
        <v>1245</v>
      </c>
      <c r="H744" s="232"/>
      <c r="I744" s="232" t="s">
        <v>1253</v>
      </c>
      <c r="J744" s="228" t="s">
        <v>55</v>
      </c>
      <c r="K744" s="233"/>
      <c r="L744" s="233">
        <v>3846.1538461538462</v>
      </c>
    </row>
    <row r="745" spans="1:13" ht="11.25" customHeight="1" x14ac:dyDescent="0.2">
      <c r="A745" s="222">
        <v>2023</v>
      </c>
      <c r="B745" s="222">
        <v>6</v>
      </c>
      <c r="C745" s="222">
        <v>8</v>
      </c>
      <c r="D745" s="223">
        <f t="shared" si="51"/>
        <v>45085</v>
      </c>
      <c r="E745" s="240">
        <f t="shared" si="54"/>
        <v>45085</v>
      </c>
      <c r="F745" s="511" t="s">
        <v>1247</v>
      </c>
      <c r="G745" s="225" t="s">
        <v>1245</v>
      </c>
      <c r="H745" s="226"/>
      <c r="I745" s="226" t="s">
        <v>1253</v>
      </c>
      <c r="J745" s="222" t="s">
        <v>77</v>
      </c>
      <c r="K745" s="227">
        <v>21699.598718103785</v>
      </c>
      <c r="L745" s="227"/>
    </row>
    <row r="746" spans="1:13" ht="11.25" customHeight="1" x14ac:dyDescent="0.2">
      <c r="A746" s="228">
        <v>2023</v>
      </c>
      <c r="B746" s="228">
        <v>6</v>
      </c>
      <c r="C746" s="228">
        <v>8</v>
      </c>
      <c r="D746" s="229">
        <f t="shared" si="51"/>
        <v>45085</v>
      </c>
      <c r="E746" s="241">
        <f t="shared" si="54"/>
        <v>45085</v>
      </c>
      <c r="F746" s="512"/>
      <c r="G746" s="231" t="s">
        <v>1245</v>
      </c>
      <c r="H746" s="232"/>
      <c r="I746" s="232" t="s">
        <v>1253</v>
      </c>
      <c r="J746" s="228" t="s">
        <v>41</v>
      </c>
      <c r="K746" s="233"/>
      <c r="L746" s="233">
        <v>21699.598718103785</v>
      </c>
    </row>
    <row r="747" spans="1:13" ht="11.25" customHeight="1" x14ac:dyDescent="0.2">
      <c r="A747" s="222">
        <v>2023</v>
      </c>
      <c r="B747" s="222">
        <v>6</v>
      </c>
      <c r="C747" s="222">
        <v>8</v>
      </c>
      <c r="D747" s="223">
        <f t="shared" ref="D747:D808" si="55">DATE(A747,B747,C747)</f>
        <v>45085</v>
      </c>
      <c r="E747" s="240">
        <f t="shared" si="54"/>
        <v>45085</v>
      </c>
      <c r="F747" s="511" t="s">
        <v>1248</v>
      </c>
      <c r="G747" s="225" t="s">
        <v>1245</v>
      </c>
      <c r="H747" s="226"/>
      <c r="I747" s="226" t="s">
        <v>1253</v>
      </c>
      <c r="J747" s="222" t="s">
        <v>80</v>
      </c>
      <c r="K747" s="227">
        <v>1084.9799359051894</v>
      </c>
      <c r="L747" s="227"/>
    </row>
    <row r="748" spans="1:13" ht="11.25" customHeight="1" x14ac:dyDescent="0.2">
      <c r="A748" s="228">
        <v>2023</v>
      </c>
      <c r="B748" s="228">
        <v>6</v>
      </c>
      <c r="C748" s="228">
        <v>8</v>
      </c>
      <c r="D748" s="229">
        <f t="shared" si="55"/>
        <v>45085</v>
      </c>
      <c r="E748" s="241">
        <f t="shared" si="54"/>
        <v>45085</v>
      </c>
      <c r="F748" s="512"/>
      <c r="G748" s="231" t="s">
        <v>1245</v>
      </c>
      <c r="H748" s="232"/>
      <c r="I748" s="232" t="s">
        <v>1253</v>
      </c>
      <c r="J748" s="228" t="s">
        <v>42</v>
      </c>
      <c r="K748" s="233"/>
      <c r="L748" s="233">
        <v>1084.9799359051894</v>
      </c>
    </row>
    <row r="749" spans="1:13" ht="11.25" customHeight="1" x14ac:dyDescent="0.2">
      <c r="A749" s="197">
        <v>2023</v>
      </c>
      <c r="B749" s="197">
        <v>6</v>
      </c>
      <c r="C749" s="197">
        <v>11</v>
      </c>
      <c r="D749" s="198">
        <f t="shared" si="55"/>
        <v>45088</v>
      </c>
      <c r="E749" s="209">
        <f t="shared" ref="E749:E762" si="56">DATE(A749,B749,C749)</f>
        <v>45088</v>
      </c>
      <c r="F749" s="513" t="s">
        <v>1210</v>
      </c>
      <c r="G749" s="200" t="s">
        <v>1209</v>
      </c>
      <c r="H749" s="201"/>
      <c r="I749" s="201" t="s">
        <v>1321</v>
      </c>
      <c r="J749" s="197" t="s">
        <v>46</v>
      </c>
      <c r="K749" s="202">
        <v>1000000</v>
      </c>
      <c r="L749" s="202"/>
      <c r="M749" s="251"/>
    </row>
    <row r="750" spans="1:13" ht="11.25" customHeight="1" x14ac:dyDescent="0.2">
      <c r="A750" s="120">
        <v>2023</v>
      </c>
      <c r="B750" s="120">
        <v>6</v>
      </c>
      <c r="C750" s="120">
        <v>11</v>
      </c>
      <c r="D750" s="208">
        <f t="shared" si="55"/>
        <v>45088</v>
      </c>
      <c r="E750" s="209">
        <f t="shared" si="56"/>
        <v>45088</v>
      </c>
      <c r="F750" s="515"/>
      <c r="G750" s="132" t="s">
        <v>1209</v>
      </c>
      <c r="I750" s="128" t="s">
        <v>1321</v>
      </c>
      <c r="J750" s="120" t="s">
        <v>16</v>
      </c>
      <c r="K750" s="207"/>
      <c r="L750" s="207">
        <v>981070</v>
      </c>
    </row>
    <row r="751" spans="1:13" ht="11.25" customHeight="1" x14ac:dyDescent="0.2">
      <c r="A751" s="191">
        <v>2023</v>
      </c>
      <c r="B751" s="191">
        <v>6</v>
      </c>
      <c r="C751" s="191">
        <v>11</v>
      </c>
      <c r="D751" s="192">
        <f t="shared" si="55"/>
        <v>45088</v>
      </c>
      <c r="E751" s="193">
        <f t="shared" si="56"/>
        <v>45088</v>
      </c>
      <c r="F751" s="514"/>
      <c r="G751" s="194" t="s">
        <v>1209</v>
      </c>
      <c r="H751" s="195"/>
      <c r="I751" s="195" t="s">
        <v>1321</v>
      </c>
      <c r="J751" s="191" t="s">
        <v>47</v>
      </c>
      <c r="K751" s="196"/>
      <c r="L751" s="196">
        <v>18930</v>
      </c>
    </row>
    <row r="752" spans="1:13" ht="11.25" customHeight="1" x14ac:dyDescent="0.2">
      <c r="A752" s="197">
        <v>2023</v>
      </c>
      <c r="B752" s="197">
        <v>6</v>
      </c>
      <c r="C752" s="197">
        <v>11</v>
      </c>
      <c r="D752" s="198">
        <f t="shared" si="55"/>
        <v>45088</v>
      </c>
      <c r="E752" s="209">
        <f t="shared" si="56"/>
        <v>45088</v>
      </c>
      <c r="F752" s="513" t="s">
        <v>1210</v>
      </c>
      <c r="G752" s="200" t="s">
        <v>1209</v>
      </c>
      <c r="H752" s="201"/>
      <c r="I752" s="201" t="s">
        <v>384</v>
      </c>
      <c r="J752" s="197" t="s">
        <v>46</v>
      </c>
      <c r="K752" s="202">
        <v>1000000</v>
      </c>
      <c r="L752" s="202"/>
      <c r="M752" s="251"/>
    </row>
    <row r="753" spans="1:13" ht="11.25" customHeight="1" x14ac:dyDescent="0.2">
      <c r="A753" s="120">
        <v>2023</v>
      </c>
      <c r="B753" s="120">
        <v>6</v>
      </c>
      <c r="C753" s="120">
        <v>11</v>
      </c>
      <c r="D753" s="208">
        <f t="shared" si="55"/>
        <v>45088</v>
      </c>
      <c r="E753" s="209">
        <f t="shared" si="56"/>
        <v>45088</v>
      </c>
      <c r="F753" s="515"/>
      <c r="G753" s="132" t="s">
        <v>1209</v>
      </c>
      <c r="I753" s="128" t="s">
        <v>384</v>
      </c>
      <c r="J753" s="120" t="s">
        <v>16</v>
      </c>
      <c r="K753" s="207"/>
      <c r="L753" s="207">
        <v>978670</v>
      </c>
    </row>
    <row r="754" spans="1:13" ht="11.25" customHeight="1" x14ac:dyDescent="0.2">
      <c r="A754" s="191">
        <v>2023</v>
      </c>
      <c r="B754" s="191">
        <v>6</v>
      </c>
      <c r="C754" s="191">
        <v>11</v>
      </c>
      <c r="D754" s="192">
        <f t="shared" si="55"/>
        <v>45088</v>
      </c>
      <c r="E754" s="193">
        <f t="shared" si="56"/>
        <v>45088</v>
      </c>
      <c r="F754" s="514"/>
      <c r="G754" s="194" t="s">
        <v>1209</v>
      </c>
      <c r="H754" s="195"/>
      <c r="I754" s="195" t="s">
        <v>384</v>
      </c>
      <c r="J754" s="191" t="s">
        <v>47</v>
      </c>
      <c r="K754" s="196"/>
      <c r="L754" s="196">
        <v>21330</v>
      </c>
    </row>
    <row r="755" spans="1:13" ht="11.25" customHeight="1" x14ac:dyDescent="0.2">
      <c r="A755" s="197">
        <v>2023</v>
      </c>
      <c r="B755" s="197">
        <v>6</v>
      </c>
      <c r="C755" s="197">
        <v>11</v>
      </c>
      <c r="D755" s="198">
        <f t="shared" si="55"/>
        <v>45088</v>
      </c>
      <c r="E755" s="209">
        <f t="shared" si="56"/>
        <v>45088</v>
      </c>
      <c r="F755" s="513" t="s">
        <v>1210</v>
      </c>
      <c r="G755" s="200" t="s">
        <v>1209</v>
      </c>
      <c r="H755" s="201"/>
      <c r="I755" s="201" t="s">
        <v>389</v>
      </c>
      <c r="J755" s="197" t="s">
        <v>46</v>
      </c>
      <c r="K755" s="202">
        <v>1000000</v>
      </c>
      <c r="L755" s="202"/>
      <c r="M755" s="251"/>
    </row>
    <row r="756" spans="1:13" ht="11.25" customHeight="1" x14ac:dyDescent="0.2">
      <c r="A756" s="120">
        <v>2023</v>
      </c>
      <c r="B756" s="120">
        <v>6</v>
      </c>
      <c r="C756" s="120">
        <v>11</v>
      </c>
      <c r="D756" s="208">
        <f t="shared" si="55"/>
        <v>45088</v>
      </c>
      <c r="E756" s="209">
        <f t="shared" si="56"/>
        <v>45088</v>
      </c>
      <c r="F756" s="515"/>
      <c r="G756" s="132" t="s">
        <v>1209</v>
      </c>
      <c r="I756" s="128" t="s">
        <v>389</v>
      </c>
      <c r="J756" s="120" t="s">
        <v>16</v>
      </c>
      <c r="K756" s="207"/>
      <c r="L756" s="207">
        <v>978670</v>
      </c>
    </row>
    <row r="757" spans="1:13" ht="11.25" customHeight="1" x14ac:dyDescent="0.2">
      <c r="A757" s="191">
        <v>2023</v>
      </c>
      <c r="B757" s="191">
        <v>6</v>
      </c>
      <c r="C757" s="191">
        <v>11</v>
      </c>
      <c r="D757" s="192">
        <f t="shared" si="55"/>
        <v>45088</v>
      </c>
      <c r="E757" s="193">
        <f t="shared" si="56"/>
        <v>45088</v>
      </c>
      <c r="F757" s="514"/>
      <c r="G757" s="194" t="s">
        <v>1209</v>
      </c>
      <c r="H757" s="195"/>
      <c r="I757" s="195" t="s">
        <v>389</v>
      </c>
      <c r="J757" s="191" t="s">
        <v>47</v>
      </c>
      <c r="K757" s="196"/>
      <c r="L757" s="196">
        <v>21330</v>
      </c>
    </row>
    <row r="758" spans="1:13" ht="11.25" customHeight="1" x14ac:dyDescent="0.2">
      <c r="A758" s="197">
        <v>2023</v>
      </c>
      <c r="B758" s="197">
        <v>6</v>
      </c>
      <c r="C758" s="197">
        <v>11</v>
      </c>
      <c r="D758" s="198">
        <f t="shared" si="55"/>
        <v>45088</v>
      </c>
      <c r="E758" s="199">
        <f t="shared" si="56"/>
        <v>45088</v>
      </c>
      <c r="F758" s="513" t="s">
        <v>1323</v>
      </c>
      <c r="G758" s="200" t="s">
        <v>1209</v>
      </c>
      <c r="H758" s="201"/>
      <c r="I758" s="201"/>
      <c r="J758" s="197" t="s">
        <v>54</v>
      </c>
      <c r="K758" s="202">
        <v>180</v>
      </c>
      <c r="L758" s="202"/>
    </row>
    <row r="759" spans="1:13" ht="11.25" customHeight="1" x14ac:dyDescent="0.2">
      <c r="A759" s="191">
        <v>2023</v>
      </c>
      <c r="B759" s="191">
        <v>6</v>
      </c>
      <c r="C759" s="191">
        <v>11</v>
      </c>
      <c r="D759" s="192">
        <f t="shared" si="55"/>
        <v>45088</v>
      </c>
      <c r="E759" s="193">
        <f t="shared" si="56"/>
        <v>45088</v>
      </c>
      <c r="F759" s="514"/>
      <c r="G759" s="194" t="s">
        <v>1209</v>
      </c>
      <c r="H759" s="195"/>
      <c r="I759" s="195"/>
      <c r="J759" s="191" t="s">
        <v>46</v>
      </c>
      <c r="K759" s="196"/>
      <c r="L759" s="196">
        <v>180</v>
      </c>
    </row>
    <row r="760" spans="1:13" ht="11.25" customHeight="1" x14ac:dyDescent="0.2">
      <c r="A760" s="197">
        <v>2023</v>
      </c>
      <c r="B760" s="197">
        <v>6</v>
      </c>
      <c r="C760" s="197">
        <v>11</v>
      </c>
      <c r="D760" s="198">
        <f t="shared" si="55"/>
        <v>45088</v>
      </c>
      <c r="E760" s="209">
        <f t="shared" si="56"/>
        <v>45088</v>
      </c>
      <c r="F760" s="513" t="s">
        <v>1296</v>
      </c>
      <c r="G760" s="200" t="s">
        <v>1209</v>
      </c>
      <c r="H760" s="201"/>
      <c r="I760" s="201"/>
      <c r="J760" s="197" t="s">
        <v>46</v>
      </c>
      <c r="K760" s="202">
        <v>5000</v>
      </c>
      <c r="L760" s="202"/>
      <c r="M760" s="251"/>
    </row>
    <row r="761" spans="1:13" ht="11.25" customHeight="1" x14ac:dyDescent="0.2">
      <c r="A761" s="120">
        <v>2023</v>
      </c>
      <c r="B761" s="120">
        <v>6</v>
      </c>
      <c r="C761" s="120">
        <v>11</v>
      </c>
      <c r="D761" s="208">
        <f t="shared" si="55"/>
        <v>45088</v>
      </c>
      <c r="E761" s="209">
        <f t="shared" si="56"/>
        <v>45088</v>
      </c>
      <c r="F761" s="515"/>
      <c r="G761" s="132" t="s">
        <v>1209</v>
      </c>
      <c r="J761" s="120" t="s">
        <v>16</v>
      </c>
      <c r="K761" s="207"/>
      <c r="L761" s="207">
        <v>4890</v>
      </c>
    </row>
    <row r="762" spans="1:13" ht="11.25" customHeight="1" x14ac:dyDescent="0.2">
      <c r="A762" s="191">
        <v>2023</v>
      </c>
      <c r="B762" s="191">
        <v>6</v>
      </c>
      <c r="C762" s="191">
        <v>11</v>
      </c>
      <c r="D762" s="192">
        <f t="shared" si="55"/>
        <v>45088</v>
      </c>
      <c r="E762" s="193">
        <f t="shared" si="56"/>
        <v>45088</v>
      </c>
      <c r="F762" s="514"/>
      <c r="G762" s="194" t="s">
        <v>1209</v>
      </c>
      <c r="H762" s="195"/>
      <c r="I762" s="195"/>
      <c r="J762" s="191" t="s">
        <v>47</v>
      </c>
      <c r="K762" s="196"/>
      <c r="L762" s="196">
        <v>110</v>
      </c>
    </row>
    <row r="763" spans="1:13" ht="11.25" customHeight="1" x14ac:dyDescent="0.2">
      <c r="A763" s="197">
        <v>2023</v>
      </c>
      <c r="B763" s="197">
        <v>6</v>
      </c>
      <c r="C763" s="197">
        <v>12</v>
      </c>
      <c r="D763" s="198">
        <f t="shared" si="55"/>
        <v>45089</v>
      </c>
      <c r="E763" s="209">
        <f t="shared" ref="E763:E770" si="57">DATE(A763,B763,C763)</f>
        <v>45089</v>
      </c>
      <c r="F763" s="513" t="s">
        <v>1210</v>
      </c>
      <c r="G763" s="200" t="s">
        <v>1209</v>
      </c>
      <c r="H763" s="201"/>
      <c r="I763" s="201" t="s">
        <v>880</v>
      </c>
      <c r="J763" s="197" t="s">
        <v>46</v>
      </c>
      <c r="K763" s="202">
        <v>20000</v>
      </c>
      <c r="L763" s="202"/>
      <c r="M763" s="251"/>
    </row>
    <row r="764" spans="1:13" ht="11.25" customHeight="1" x14ac:dyDescent="0.2">
      <c r="A764" s="120">
        <v>2023</v>
      </c>
      <c r="B764" s="120">
        <v>6</v>
      </c>
      <c r="C764" s="120">
        <v>12</v>
      </c>
      <c r="D764" s="208">
        <f t="shared" si="55"/>
        <v>45089</v>
      </c>
      <c r="E764" s="209">
        <f t="shared" si="57"/>
        <v>45089</v>
      </c>
      <c r="F764" s="515"/>
      <c r="G764" s="132" t="s">
        <v>1209</v>
      </c>
      <c r="I764" s="128" t="s">
        <v>880</v>
      </c>
      <c r="J764" s="120" t="s">
        <v>16</v>
      </c>
      <c r="K764" s="207"/>
      <c r="L764" s="207">
        <v>19570</v>
      </c>
    </row>
    <row r="765" spans="1:13" ht="11.25" customHeight="1" x14ac:dyDescent="0.2">
      <c r="A765" s="191">
        <v>2023</v>
      </c>
      <c r="B765" s="191">
        <v>6</v>
      </c>
      <c r="C765" s="191">
        <v>12</v>
      </c>
      <c r="D765" s="192">
        <f t="shared" si="55"/>
        <v>45089</v>
      </c>
      <c r="E765" s="193">
        <f t="shared" si="57"/>
        <v>45089</v>
      </c>
      <c r="F765" s="514"/>
      <c r="G765" s="194" t="s">
        <v>1209</v>
      </c>
      <c r="H765" s="195"/>
      <c r="I765" s="195" t="s">
        <v>880</v>
      </c>
      <c r="J765" s="191" t="s">
        <v>47</v>
      </c>
      <c r="K765" s="196"/>
      <c r="L765" s="196">
        <v>430</v>
      </c>
    </row>
    <row r="766" spans="1:13" ht="11.25" customHeight="1" x14ac:dyDescent="0.2">
      <c r="A766" s="197">
        <v>2023</v>
      </c>
      <c r="B766" s="197">
        <v>6</v>
      </c>
      <c r="C766" s="197">
        <v>12</v>
      </c>
      <c r="D766" s="198">
        <f t="shared" si="55"/>
        <v>45089</v>
      </c>
      <c r="E766" s="199">
        <f t="shared" si="57"/>
        <v>45089</v>
      </c>
      <c r="F766" s="513" t="s">
        <v>1280</v>
      </c>
      <c r="G766" s="200" t="s">
        <v>1209</v>
      </c>
      <c r="H766" s="201"/>
      <c r="I766" s="201" t="s">
        <v>1230</v>
      </c>
      <c r="J766" s="197" t="s">
        <v>16</v>
      </c>
      <c r="K766" s="202">
        <v>1031110</v>
      </c>
      <c r="L766" s="202"/>
    </row>
    <row r="767" spans="1:13" ht="11.25" customHeight="1" x14ac:dyDescent="0.2">
      <c r="A767" s="120">
        <v>2023</v>
      </c>
      <c r="B767" s="120">
        <v>6</v>
      </c>
      <c r="C767" s="120">
        <v>12</v>
      </c>
      <c r="D767" s="208">
        <f t="shared" si="55"/>
        <v>45089</v>
      </c>
      <c r="E767" s="209">
        <f t="shared" si="57"/>
        <v>45089</v>
      </c>
      <c r="F767" s="515"/>
      <c r="G767" s="132" t="s">
        <v>1209</v>
      </c>
      <c r="I767" s="128" t="s">
        <v>1230</v>
      </c>
      <c r="J767" s="120" t="s">
        <v>47</v>
      </c>
      <c r="K767" s="207">
        <v>22478.199999999953</v>
      </c>
      <c r="L767" s="207"/>
    </row>
    <row r="768" spans="1:13" ht="11.25" customHeight="1" x14ac:dyDescent="0.2">
      <c r="A768" s="191">
        <v>2023</v>
      </c>
      <c r="B768" s="191">
        <v>6</v>
      </c>
      <c r="C768" s="191">
        <v>12</v>
      </c>
      <c r="D768" s="192">
        <f t="shared" si="55"/>
        <v>45089</v>
      </c>
      <c r="E768" s="193">
        <f t="shared" si="57"/>
        <v>45089</v>
      </c>
      <c r="F768" s="514"/>
      <c r="G768" s="194" t="s">
        <v>1209</v>
      </c>
      <c r="H768" s="195"/>
      <c r="I768" s="195" t="s">
        <v>1230</v>
      </c>
      <c r="J768" s="191" t="s">
        <v>46</v>
      </c>
      <c r="K768" s="196"/>
      <c r="L768" s="196">
        <v>1053588.2</v>
      </c>
    </row>
    <row r="769" spans="1:13" ht="11.25" customHeight="1" x14ac:dyDescent="0.2">
      <c r="A769" s="197">
        <v>2023</v>
      </c>
      <c r="B769" s="197">
        <v>6</v>
      </c>
      <c r="C769" s="197">
        <v>12</v>
      </c>
      <c r="D769" s="198">
        <f t="shared" si="55"/>
        <v>45089</v>
      </c>
      <c r="E769" s="199">
        <f t="shared" si="57"/>
        <v>45089</v>
      </c>
      <c r="F769" s="513" t="s">
        <v>1325</v>
      </c>
      <c r="G769" s="200" t="s">
        <v>1209</v>
      </c>
      <c r="H769" s="201"/>
      <c r="I769" s="201"/>
      <c r="J769" s="197" t="s">
        <v>46</v>
      </c>
      <c r="K769" s="202">
        <v>444302.81</v>
      </c>
      <c r="L769" s="202"/>
    </row>
    <row r="770" spans="1:13" ht="11.25" customHeight="1" x14ac:dyDescent="0.2">
      <c r="A770" s="191">
        <v>2023</v>
      </c>
      <c r="B770" s="191">
        <v>6</v>
      </c>
      <c r="C770" s="191">
        <v>12</v>
      </c>
      <c r="D770" s="192">
        <f t="shared" si="55"/>
        <v>45089</v>
      </c>
      <c r="E770" s="193">
        <f t="shared" si="57"/>
        <v>45089</v>
      </c>
      <c r="F770" s="514"/>
      <c r="G770" s="194" t="s">
        <v>1209</v>
      </c>
      <c r="H770" s="195"/>
      <c r="I770" s="195"/>
      <c r="J770" s="191" t="s">
        <v>178</v>
      </c>
      <c r="K770" s="196"/>
      <c r="L770" s="196">
        <v>444302.81</v>
      </c>
    </row>
    <row r="771" spans="1:13" ht="11.25" customHeight="1" x14ac:dyDescent="0.2">
      <c r="A771" s="197">
        <v>2023</v>
      </c>
      <c r="B771" s="197">
        <v>6</v>
      </c>
      <c r="C771" s="197">
        <v>13</v>
      </c>
      <c r="D771" s="198">
        <f t="shared" si="55"/>
        <v>45090</v>
      </c>
      <c r="E771" s="199">
        <f t="shared" ref="E771:E784" si="58">DATE(A771,B771,C771)</f>
        <v>45090</v>
      </c>
      <c r="F771" s="513" t="s">
        <v>1280</v>
      </c>
      <c r="G771" s="200" t="s">
        <v>1209</v>
      </c>
      <c r="H771" s="201"/>
      <c r="I771" s="201" t="s">
        <v>369</v>
      </c>
      <c r="J771" s="197" t="s">
        <v>16</v>
      </c>
      <c r="K771" s="202">
        <v>137010</v>
      </c>
      <c r="L771" s="202"/>
    </row>
    <row r="772" spans="1:13" ht="11.25" customHeight="1" x14ac:dyDescent="0.2">
      <c r="A772" s="120">
        <v>2023</v>
      </c>
      <c r="B772" s="120">
        <v>6</v>
      </c>
      <c r="C772" s="120">
        <v>13</v>
      </c>
      <c r="D772" s="208">
        <f t="shared" si="55"/>
        <v>45090</v>
      </c>
      <c r="E772" s="209">
        <f t="shared" si="58"/>
        <v>45090</v>
      </c>
      <c r="F772" s="515"/>
      <c r="G772" s="132" t="s">
        <v>1209</v>
      </c>
      <c r="I772" s="128" t="s">
        <v>369</v>
      </c>
      <c r="J772" s="120" t="s">
        <v>47</v>
      </c>
      <c r="K772" s="207">
        <v>2990</v>
      </c>
      <c r="L772" s="207"/>
    </row>
    <row r="773" spans="1:13" ht="11.25" customHeight="1" x14ac:dyDescent="0.2">
      <c r="A773" s="191">
        <v>2023</v>
      </c>
      <c r="B773" s="191">
        <v>6</v>
      </c>
      <c r="C773" s="191">
        <v>13</v>
      </c>
      <c r="D773" s="192">
        <f t="shared" si="55"/>
        <v>45090</v>
      </c>
      <c r="E773" s="193">
        <f t="shared" si="58"/>
        <v>45090</v>
      </c>
      <c r="F773" s="514"/>
      <c r="G773" s="194" t="s">
        <v>1209</v>
      </c>
      <c r="H773" s="195"/>
      <c r="I773" s="195" t="s">
        <v>369</v>
      </c>
      <c r="J773" s="191" t="s">
        <v>46</v>
      </c>
      <c r="K773" s="196"/>
      <c r="L773" s="196">
        <v>140000</v>
      </c>
    </row>
    <row r="774" spans="1:13" ht="11.25" customHeight="1" x14ac:dyDescent="0.2">
      <c r="A774" s="197">
        <v>2023</v>
      </c>
      <c r="B774" s="197">
        <v>6</v>
      </c>
      <c r="C774" s="197">
        <v>13</v>
      </c>
      <c r="D774" s="198">
        <f t="shared" si="55"/>
        <v>45090</v>
      </c>
      <c r="E774" s="209">
        <f t="shared" si="58"/>
        <v>45090</v>
      </c>
      <c r="F774" s="513" t="s">
        <v>1210</v>
      </c>
      <c r="G774" s="200" t="s">
        <v>1209</v>
      </c>
      <c r="H774" s="201"/>
      <c r="I774" s="201" t="s">
        <v>1324</v>
      </c>
      <c r="J774" s="197" t="s">
        <v>46</v>
      </c>
      <c r="K774" s="202">
        <v>500000</v>
      </c>
      <c r="L774" s="202"/>
      <c r="M774" s="251"/>
    </row>
    <row r="775" spans="1:13" ht="11.25" customHeight="1" x14ac:dyDescent="0.2">
      <c r="A775" s="120">
        <v>2023</v>
      </c>
      <c r="B775" s="120">
        <v>6</v>
      </c>
      <c r="C775" s="120">
        <v>13</v>
      </c>
      <c r="D775" s="208">
        <f t="shared" si="55"/>
        <v>45090</v>
      </c>
      <c r="E775" s="209">
        <f t="shared" si="58"/>
        <v>45090</v>
      </c>
      <c r="F775" s="515"/>
      <c r="G775" s="132" t="s">
        <v>1209</v>
      </c>
      <c r="I775" s="128" t="s">
        <v>1324</v>
      </c>
      <c r="J775" s="120" t="s">
        <v>16</v>
      </c>
      <c r="K775" s="207"/>
      <c r="L775" s="207">
        <v>489330</v>
      </c>
    </row>
    <row r="776" spans="1:13" ht="11.25" customHeight="1" x14ac:dyDescent="0.2">
      <c r="A776" s="191">
        <v>2023</v>
      </c>
      <c r="B776" s="191">
        <v>6</v>
      </c>
      <c r="C776" s="191">
        <v>13</v>
      </c>
      <c r="D776" s="192">
        <f t="shared" si="55"/>
        <v>45090</v>
      </c>
      <c r="E776" s="193">
        <f t="shared" si="58"/>
        <v>45090</v>
      </c>
      <c r="F776" s="514"/>
      <c r="G776" s="194" t="s">
        <v>1209</v>
      </c>
      <c r="H776" s="195"/>
      <c r="I776" s="195" t="s">
        <v>1324</v>
      </c>
      <c r="J776" s="191" t="s">
        <v>47</v>
      </c>
      <c r="K776" s="196"/>
      <c r="L776" s="196">
        <v>10670</v>
      </c>
    </row>
    <row r="777" spans="1:13" ht="11.25" customHeight="1" x14ac:dyDescent="0.2">
      <c r="A777" s="197">
        <v>2023</v>
      </c>
      <c r="B777" s="197">
        <v>6</v>
      </c>
      <c r="C777" s="197">
        <v>13</v>
      </c>
      <c r="D777" s="198">
        <f t="shared" si="55"/>
        <v>45090</v>
      </c>
      <c r="E777" s="199">
        <f t="shared" si="58"/>
        <v>45090</v>
      </c>
      <c r="F777" s="513" t="s">
        <v>1323</v>
      </c>
      <c r="G777" s="200" t="s">
        <v>1209</v>
      </c>
      <c r="H777" s="201"/>
      <c r="I777" s="201"/>
      <c r="J777" s="197" t="s">
        <v>54</v>
      </c>
      <c r="K777" s="202">
        <v>60</v>
      </c>
      <c r="L777" s="202"/>
    </row>
    <row r="778" spans="1:13" ht="11.25" customHeight="1" x14ac:dyDescent="0.2">
      <c r="A778" s="191">
        <v>2023</v>
      </c>
      <c r="B778" s="191">
        <v>6</v>
      </c>
      <c r="C778" s="191">
        <v>13</v>
      </c>
      <c r="D778" s="192">
        <f t="shared" si="55"/>
        <v>45090</v>
      </c>
      <c r="E778" s="193">
        <f t="shared" si="58"/>
        <v>45090</v>
      </c>
      <c r="F778" s="514"/>
      <c r="G778" s="194" t="s">
        <v>1209</v>
      </c>
      <c r="H778" s="195"/>
      <c r="I778" s="195"/>
      <c r="J778" s="191" t="s">
        <v>46</v>
      </c>
      <c r="K778" s="196"/>
      <c r="L778" s="196">
        <v>60</v>
      </c>
    </row>
    <row r="779" spans="1:13" ht="11.25" customHeight="1" x14ac:dyDescent="0.2">
      <c r="A779" s="197">
        <v>2023</v>
      </c>
      <c r="B779" s="197">
        <v>6</v>
      </c>
      <c r="C779" s="197">
        <v>14</v>
      </c>
      <c r="D779" s="198">
        <f t="shared" si="55"/>
        <v>45091</v>
      </c>
      <c r="E779" s="209">
        <f t="shared" si="58"/>
        <v>45091</v>
      </c>
      <c r="F779" s="513" t="s">
        <v>1210</v>
      </c>
      <c r="G779" s="200" t="s">
        <v>1209</v>
      </c>
      <c r="H779" s="201"/>
      <c r="I779" s="201" t="s">
        <v>299</v>
      </c>
      <c r="J779" s="197" t="s">
        <v>46</v>
      </c>
      <c r="K779" s="202">
        <v>1800000</v>
      </c>
      <c r="L779" s="202"/>
      <c r="M779" s="251"/>
    </row>
    <row r="780" spans="1:13" ht="11.25" customHeight="1" x14ac:dyDescent="0.2">
      <c r="A780" s="120">
        <v>2023</v>
      </c>
      <c r="B780" s="120">
        <v>6</v>
      </c>
      <c r="C780" s="120">
        <v>14</v>
      </c>
      <c r="D780" s="208">
        <f t="shared" si="55"/>
        <v>45091</v>
      </c>
      <c r="E780" s="209">
        <f t="shared" si="58"/>
        <v>45091</v>
      </c>
      <c r="F780" s="515"/>
      <c r="G780" s="132" t="s">
        <v>1209</v>
      </c>
      <c r="I780" s="128" t="s">
        <v>299</v>
      </c>
      <c r="J780" s="120" t="s">
        <v>16</v>
      </c>
      <c r="K780" s="207"/>
      <c r="L780" s="207">
        <v>1761600</v>
      </c>
    </row>
    <row r="781" spans="1:13" ht="11.25" customHeight="1" x14ac:dyDescent="0.2">
      <c r="A781" s="191">
        <v>2023</v>
      </c>
      <c r="B781" s="191">
        <v>6</v>
      </c>
      <c r="C781" s="191">
        <v>14</v>
      </c>
      <c r="D781" s="192">
        <f t="shared" si="55"/>
        <v>45091</v>
      </c>
      <c r="E781" s="193">
        <f t="shared" si="58"/>
        <v>45091</v>
      </c>
      <c r="F781" s="514"/>
      <c r="G781" s="194" t="s">
        <v>1209</v>
      </c>
      <c r="H781" s="195"/>
      <c r="I781" s="195" t="s">
        <v>299</v>
      </c>
      <c r="J781" s="191" t="s">
        <v>47</v>
      </c>
      <c r="K781" s="196"/>
      <c r="L781" s="196">
        <v>38400</v>
      </c>
    </row>
    <row r="782" spans="1:13" ht="11.25" customHeight="1" x14ac:dyDescent="0.2">
      <c r="A782" s="197">
        <v>2023</v>
      </c>
      <c r="B782" s="120">
        <v>6</v>
      </c>
      <c r="C782" s="120">
        <v>14</v>
      </c>
      <c r="D782" s="198">
        <f t="shared" si="55"/>
        <v>45091</v>
      </c>
      <c r="E782" s="199">
        <f t="shared" si="58"/>
        <v>45091</v>
      </c>
      <c r="F782" s="513" t="s">
        <v>1326</v>
      </c>
      <c r="G782" s="200" t="s">
        <v>1209</v>
      </c>
      <c r="H782" s="200"/>
      <c r="I782" s="201" t="s">
        <v>1253</v>
      </c>
      <c r="J782" s="248" t="s">
        <v>175</v>
      </c>
      <c r="K782" s="202">
        <v>5000000</v>
      </c>
      <c r="L782" s="202"/>
    </row>
    <row r="783" spans="1:13" ht="11.25" customHeight="1" x14ac:dyDescent="0.2">
      <c r="A783" s="120">
        <v>2023</v>
      </c>
      <c r="B783" s="120">
        <v>6</v>
      </c>
      <c r="C783" s="120">
        <v>14</v>
      </c>
      <c r="D783" s="198">
        <f t="shared" si="55"/>
        <v>45091</v>
      </c>
      <c r="E783" s="209">
        <f t="shared" si="58"/>
        <v>45091</v>
      </c>
      <c r="F783" s="515"/>
      <c r="G783" s="132" t="s">
        <v>1209</v>
      </c>
      <c r="H783" s="132"/>
      <c r="J783" s="129" t="s">
        <v>54</v>
      </c>
      <c r="K783" s="207">
        <v>115</v>
      </c>
      <c r="L783" s="207"/>
    </row>
    <row r="784" spans="1:13" ht="11.25" customHeight="1" x14ac:dyDescent="0.2">
      <c r="A784" s="191">
        <v>2023</v>
      </c>
      <c r="B784" s="191">
        <v>6</v>
      </c>
      <c r="C784" s="191">
        <v>14</v>
      </c>
      <c r="D784" s="249">
        <f t="shared" si="55"/>
        <v>45091</v>
      </c>
      <c r="E784" s="193">
        <f t="shared" si="58"/>
        <v>45091</v>
      </c>
      <c r="F784" s="514"/>
      <c r="G784" s="194" t="s">
        <v>1209</v>
      </c>
      <c r="H784" s="194"/>
      <c r="I784" s="195" t="s">
        <v>1253</v>
      </c>
      <c r="J784" s="250" t="s">
        <v>46</v>
      </c>
      <c r="K784" s="196"/>
      <c r="L784" s="196">
        <v>5000115</v>
      </c>
      <c r="M784" s="251"/>
    </row>
    <row r="785" spans="1:14" ht="11.25" customHeight="1" x14ac:dyDescent="0.2">
      <c r="A785" s="197">
        <v>2023</v>
      </c>
      <c r="B785" s="197">
        <v>6</v>
      </c>
      <c r="C785" s="197">
        <v>15</v>
      </c>
      <c r="D785" s="198">
        <f t="shared" si="55"/>
        <v>45092</v>
      </c>
      <c r="E785" s="209">
        <f>DATE(A785,B785,C785)</f>
        <v>45092</v>
      </c>
      <c r="F785" s="513" t="s">
        <v>1210</v>
      </c>
      <c r="G785" s="200" t="s">
        <v>1209</v>
      </c>
      <c r="H785" s="201"/>
      <c r="I785" s="201" t="s">
        <v>787</v>
      </c>
      <c r="J785" s="197" t="s">
        <v>46</v>
      </c>
      <c r="K785" s="202">
        <v>150000</v>
      </c>
      <c r="L785" s="202"/>
      <c r="M785" s="251"/>
    </row>
    <row r="786" spans="1:14" ht="11.25" customHeight="1" x14ac:dyDescent="0.2">
      <c r="A786" s="120">
        <v>2023</v>
      </c>
      <c r="B786" s="120">
        <v>6</v>
      </c>
      <c r="C786" s="120">
        <v>15</v>
      </c>
      <c r="D786" s="208">
        <f t="shared" si="55"/>
        <v>45092</v>
      </c>
      <c r="E786" s="209">
        <f>DATE(A786,B786,C786)</f>
        <v>45092</v>
      </c>
      <c r="F786" s="515"/>
      <c r="G786" s="132" t="s">
        <v>1209</v>
      </c>
      <c r="I786" s="128" t="s">
        <v>787</v>
      </c>
      <c r="J786" s="120" t="s">
        <v>16</v>
      </c>
      <c r="K786" s="207"/>
      <c r="L786" s="207">
        <v>146800</v>
      </c>
    </row>
    <row r="787" spans="1:14" ht="11.25" customHeight="1" x14ac:dyDescent="0.2">
      <c r="A787" s="191">
        <v>2023</v>
      </c>
      <c r="B787" s="191">
        <v>6</v>
      </c>
      <c r="C787" s="191">
        <v>15</v>
      </c>
      <c r="D787" s="192">
        <f t="shared" si="55"/>
        <v>45092</v>
      </c>
      <c r="E787" s="193">
        <f>DATE(A787,B787,C787)</f>
        <v>45092</v>
      </c>
      <c r="F787" s="514"/>
      <c r="G787" s="194" t="s">
        <v>1209</v>
      </c>
      <c r="H787" s="195"/>
      <c r="I787" s="195" t="s">
        <v>787</v>
      </c>
      <c r="J787" s="191" t="s">
        <v>47</v>
      </c>
      <c r="K787" s="196"/>
      <c r="L787" s="196">
        <v>3200</v>
      </c>
    </row>
    <row r="788" spans="1:14" ht="11.25" customHeight="1" x14ac:dyDescent="0.2">
      <c r="A788" s="197">
        <v>2023</v>
      </c>
      <c r="B788" s="197">
        <v>6</v>
      </c>
      <c r="C788" s="197">
        <v>15</v>
      </c>
      <c r="D788" s="198">
        <f t="shared" si="55"/>
        <v>45092</v>
      </c>
      <c r="E788" s="209">
        <f t="shared" ref="E788:E823" si="59">DATE(A788,B788,C788)</f>
        <v>45092</v>
      </c>
      <c r="F788" s="513" t="s">
        <v>1210</v>
      </c>
      <c r="G788" s="200" t="s">
        <v>1209</v>
      </c>
      <c r="H788" s="201"/>
      <c r="I788" s="201" t="s">
        <v>742</v>
      </c>
      <c r="J788" s="197" t="s">
        <v>46</v>
      </c>
      <c r="K788" s="202">
        <v>400000</v>
      </c>
      <c r="L788" s="202"/>
      <c r="M788" s="251"/>
    </row>
    <row r="789" spans="1:14" ht="11.25" customHeight="1" x14ac:dyDescent="0.2">
      <c r="A789" s="120">
        <v>2023</v>
      </c>
      <c r="B789" s="120">
        <v>6</v>
      </c>
      <c r="C789" s="120">
        <v>15</v>
      </c>
      <c r="D789" s="208">
        <f t="shared" si="55"/>
        <v>45092</v>
      </c>
      <c r="E789" s="209">
        <f t="shared" si="59"/>
        <v>45092</v>
      </c>
      <c r="F789" s="515"/>
      <c r="G789" s="132" t="s">
        <v>1209</v>
      </c>
      <c r="I789" s="128" t="s">
        <v>742</v>
      </c>
      <c r="J789" s="120" t="s">
        <v>16</v>
      </c>
      <c r="K789" s="207"/>
      <c r="L789" s="207">
        <v>391470</v>
      </c>
    </row>
    <row r="790" spans="1:14" ht="11.25" customHeight="1" x14ac:dyDescent="0.2">
      <c r="A790" s="191">
        <v>2023</v>
      </c>
      <c r="B790" s="191">
        <v>6</v>
      </c>
      <c r="C790" s="191">
        <v>15</v>
      </c>
      <c r="D790" s="192">
        <f t="shared" si="55"/>
        <v>45092</v>
      </c>
      <c r="E790" s="193">
        <f t="shared" si="59"/>
        <v>45092</v>
      </c>
      <c r="F790" s="514"/>
      <c r="G790" s="194" t="s">
        <v>1209</v>
      </c>
      <c r="H790" s="195"/>
      <c r="I790" s="195" t="s">
        <v>742</v>
      </c>
      <c r="J790" s="191" t="s">
        <v>47</v>
      </c>
      <c r="K790" s="196"/>
      <c r="L790" s="196">
        <v>8530</v>
      </c>
    </row>
    <row r="791" spans="1:14" ht="11.25" customHeight="1" x14ac:dyDescent="0.2">
      <c r="A791" s="197">
        <v>2023</v>
      </c>
      <c r="B791" s="120">
        <v>6</v>
      </c>
      <c r="C791" s="120">
        <v>15</v>
      </c>
      <c r="D791" s="198">
        <f t="shared" si="55"/>
        <v>45092</v>
      </c>
      <c r="E791" s="199">
        <f t="shared" si="59"/>
        <v>45092</v>
      </c>
      <c r="F791" s="513" t="s">
        <v>1322</v>
      </c>
      <c r="G791" s="200" t="s">
        <v>1209</v>
      </c>
      <c r="H791" s="200"/>
      <c r="I791" s="201" t="s">
        <v>1253</v>
      </c>
      <c r="J791" s="197" t="s">
        <v>178</v>
      </c>
      <c r="K791" s="202">
        <v>158693.14000000001</v>
      </c>
      <c r="L791" s="202"/>
    </row>
    <row r="792" spans="1:14" ht="11.25" customHeight="1" x14ac:dyDescent="0.2">
      <c r="A792" s="120">
        <v>2023</v>
      </c>
      <c r="B792" s="120">
        <v>6</v>
      </c>
      <c r="C792" s="120">
        <v>15</v>
      </c>
      <c r="D792" s="198">
        <f t="shared" si="55"/>
        <v>45092</v>
      </c>
      <c r="E792" s="209">
        <f t="shared" si="59"/>
        <v>45092</v>
      </c>
      <c r="F792" s="515"/>
      <c r="G792" s="132" t="s">
        <v>1209</v>
      </c>
      <c r="H792" s="132"/>
      <c r="J792" s="120" t="s">
        <v>71</v>
      </c>
      <c r="K792" s="207">
        <v>286.16000000000003</v>
      </c>
      <c r="L792" s="207"/>
    </row>
    <row r="793" spans="1:14" ht="11.25" customHeight="1" x14ac:dyDescent="0.2">
      <c r="A793" s="120">
        <v>2023</v>
      </c>
      <c r="B793" s="120">
        <v>6</v>
      </c>
      <c r="C793" s="120">
        <v>15</v>
      </c>
      <c r="D793" s="198">
        <f t="shared" si="55"/>
        <v>45092</v>
      </c>
      <c r="E793" s="209">
        <f t="shared" si="59"/>
        <v>45092</v>
      </c>
      <c r="F793" s="515"/>
      <c r="G793" s="132" t="s">
        <v>1209</v>
      </c>
      <c r="H793" s="132"/>
      <c r="I793" s="128" t="s">
        <v>1253</v>
      </c>
      <c r="J793" s="120" t="s">
        <v>179</v>
      </c>
      <c r="K793" s="207"/>
      <c r="L793" s="207">
        <v>110949.3</v>
      </c>
    </row>
    <row r="794" spans="1:14" ht="11.25" customHeight="1" x14ac:dyDescent="0.2">
      <c r="A794" s="191">
        <v>2023</v>
      </c>
      <c r="B794" s="191">
        <v>6</v>
      </c>
      <c r="C794" s="191">
        <v>15</v>
      </c>
      <c r="D794" s="249">
        <f t="shared" si="55"/>
        <v>45092</v>
      </c>
      <c r="E794" s="209">
        <f t="shared" si="59"/>
        <v>45092</v>
      </c>
      <c r="F794" s="514"/>
      <c r="G794" s="194" t="s">
        <v>1209</v>
      </c>
      <c r="H794" s="194"/>
      <c r="I794" s="195"/>
      <c r="J794" s="191" t="s">
        <v>70</v>
      </c>
      <c r="K794" s="196"/>
      <c r="L794" s="196">
        <v>48030</v>
      </c>
      <c r="M794" s="251"/>
    </row>
    <row r="795" spans="1:14" ht="11.25" customHeight="1" x14ac:dyDescent="0.2">
      <c r="A795" s="197">
        <v>2023</v>
      </c>
      <c r="B795" s="197">
        <v>6</v>
      </c>
      <c r="C795" s="197">
        <v>15</v>
      </c>
      <c r="D795" s="198">
        <f t="shared" si="55"/>
        <v>45092</v>
      </c>
      <c r="E795" s="199">
        <f t="shared" si="59"/>
        <v>45092</v>
      </c>
      <c r="F795" s="513" t="s">
        <v>1323</v>
      </c>
      <c r="G795" s="200" t="s">
        <v>1209</v>
      </c>
      <c r="H795" s="201"/>
      <c r="I795" s="201"/>
      <c r="J795" s="197" t="s">
        <v>54</v>
      </c>
      <c r="K795" s="202">
        <v>10</v>
      </c>
      <c r="L795" s="202"/>
    </row>
    <row r="796" spans="1:14" ht="11.25" customHeight="1" x14ac:dyDescent="0.2">
      <c r="A796" s="191">
        <v>2023</v>
      </c>
      <c r="B796" s="191">
        <v>6</v>
      </c>
      <c r="C796" s="191">
        <v>15</v>
      </c>
      <c r="D796" s="192">
        <f t="shared" si="55"/>
        <v>45092</v>
      </c>
      <c r="E796" s="193">
        <f t="shared" si="59"/>
        <v>45092</v>
      </c>
      <c r="F796" s="514"/>
      <c r="G796" s="194" t="s">
        <v>1209</v>
      </c>
      <c r="H796" s="195"/>
      <c r="I796" s="195"/>
      <c r="J796" s="191" t="s">
        <v>46</v>
      </c>
      <c r="K796" s="196"/>
      <c r="L796" s="196">
        <v>10</v>
      </c>
    </row>
    <row r="797" spans="1:14" ht="11.25" customHeight="1" x14ac:dyDescent="0.2">
      <c r="A797" s="271">
        <v>2023</v>
      </c>
      <c r="B797" s="271">
        <v>6</v>
      </c>
      <c r="C797" s="271">
        <v>15</v>
      </c>
      <c r="D797" s="272">
        <f t="shared" si="55"/>
        <v>45092</v>
      </c>
      <c r="E797" s="273">
        <f t="shared" si="59"/>
        <v>45092</v>
      </c>
      <c r="F797" s="533" t="s">
        <v>1364</v>
      </c>
      <c r="G797" s="274" t="s">
        <v>1245</v>
      </c>
      <c r="H797" s="275"/>
      <c r="I797" s="275" t="s">
        <v>1253</v>
      </c>
      <c r="J797" s="271" t="s">
        <v>153</v>
      </c>
      <c r="K797" s="276">
        <v>16650.721153846214</v>
      </c>
      <c r="L797" s="276"/>
      <c r="M797" s="130">
        <f>K797+K725</f>
        <v>220598.07692307694</v>
      </c>
    </row>
    <row r="798" spans="1:14" ht="11.25" customHeight="1" x14ac:dyDescent="0.2">
      <c r="A798" s="277">
        <v>2023</v>
      </c>
      <c r="B798" s="277">
        <v>6</v>
      </c>
      <c r="C798" s="277">
        <v>15</v>
      </c>
      <c r="D798" s="278">
        <f t="shared" si="55"/>
        <v>45092</v>
      </c>
      <c r="E798" s="279">
        <f t="shared" si="59"/>
        <v>45092</v>
      </c>
      <c r="F798" s="534"/>
      <c r="G798" s="280" t="s">
        <v>1245</v>
      </c>
      <c r="H798" s="281"/>
      <c r="I798" s="281" t="s">
        <v>1253</v>
      </c>
      <c r="J798" s="277" t="s">
        <v>113</v>
      </c>
      <c r="K798" s="282"/>
      <c r="L798" s="282">
        <v>16650.721153846214</v>
      </c>
      <c r="N798" s="130"/>
    </row>
    <row r="799" spans="1:14" ht="11.25" customHeight="1" x14ac:dyDescent="0.2">
      <c r="A799" s="210">
        <v>2023</v>
      </c>
      <c r="B799" s="210">
        <v>6</v>
      </c>
      <c r="C799" s="210">
        <v>15</v>
      </c>
      <c r="D799" s="211">
        <f t="shared" si="55"/>
        <v>45092</v>
      </c>
      <c r="E799" s="238">
        <f t="shared" si="59"/>
        <v>45092</v>
      </c>
      <c r="F799" s="520" t="s">
        <v>1278</v>
      </c>
      <c r="G799" s="213" t="s">
        <v>1245</v>
      </c>
      <c r="H799" s="214"/>
      <c r="I799" s="214" t="s">
        <v>1253</v>
      </c>
      <c r="J799" s="210" t="s">
        <v>1529</v>
      </c>
      <c r="K799" s="215">
        <v>7032.2624999999998</v>
      </c>
      <c r="L799" s="215"/>
    </row>
    <row r="800" spans="1:14" ht="11.25" customHeight="1" x14ac:dyDescent="0.2">
      <c r="A800" s="216">
        <v>2023</v>
      </c>
      <c r="B800" s="216">
        <v>6</v>
      </c>
      <c r="C800" s="216">
        <v>15</v>
      </c>
      <c r="D800" s="217">
        <f t="shared" si="55"/>
        <v>45092</v>
      </c>
      <c r="E800" s="239">
        <f t="shared" si="59"/>
        <v>45092</v>
      </c>
      <c r="F800" s="521"/>
      <c r="G800" s="219" t="s">
        <v>1245</v>
      </c>
      <c r="H800" s="220"/>
      <c r="I800" s="220" t="s">
        <v>1253</v>
      </c>
      <c r="J800" s="216" t="s">
        <v>153</v>
      </c>
      <c r="K800" s="221"/>
      <c r="L800" s="221">
        <v>7032.2624999999998</v>
      </c>
    </row>
    <row r="801" spans="1:15" ht="11.25" customHeight="1" x14ac:dyDescent="0.2">
      <c r="A801" s="210">
        <v>2023</v>
      </c>
      <c r="B801" s="210">
        <v>6</v>
      </c>
      <c r="C801" s="210">
        <v>15</v>
      </c>
      <c r="D801" s="211">
        <f t="shared" si="55"/>
        <v>45092</v>
      </c>
      <c r="E801" s="238">
        <f t="shared" si="59"/>
        <v>45092</v>
      </c>
      <c r="F801" s="520" t="s">
        <v>1285</v>
      </c>
      <c r="G801" s="213" t="s">
        <v>1245</v>
      </c>
      <c r="H801" s="214"/>
      <c r="I801" s="214" t="s">
        <v>1253</v>
      </c>
      <c r="J801" s="210" t="s">
        <v>1284</v>
      </c>
      <c r="K801" s="215">
        <v>15398.28</v>
      </c>
      <c r="L801" s="215"/>
    </row>
    <row r="802" spans="1:15" ht="11.25" customHeight="1" x14ac:dyDescent="0.2">
      <c r="A802" s="242">
        <v>2023</v>
      </c>
      <c r="B802" s="216">
        <v>6</v>
      </c>
      <c r="C802" s="216">
        <v>15</v>
      </c>
      <c r="D802" s="243">
        <f t="shared" si="55"/>
        <v>45092</v>
      </c>
      <c r="E802" s="244">
        <f>DATE(A802,B802,C802)</f>
        <v>45092</v>
      </c>
      <c r="F802" s="524"/>
      <c r="G802" s="245" t="s">
        <v>1245</v>
      </c>
      <c r="H802" s="246"/>
      <c r="I802" s="246"/>
      <c r="J802" s="242" t="s">
        <v>1582</v>
      </c>
      <c r="K802" s="247"/>
      <c r="L802" s="247">
        <v>15398.28</v>
      </c>
    </row>
    <row r="803" spans="1:15" ht="11.25" customHeight="1" x14ac:dyDescent="0.2">
      <c r="A803" s="210">
        <v>2023</v>
      </c>
      <c r="B803" s="210">
        <v>6</v>
      </c>
      <c r="C803" s="210">
        <v>15</v>
      </c>
      <c r="D803" s="211">
        <f t="shared" si="55"/>
        <v>45092</v>
      </c>
      <c r="E803" s="238">
        <f t="shared" si="59"/>
        <v>45092</v>
      </c>
      <c r="F803" s="520" t="s">
        <v>1259</v>
      </c>
      <c r="G803" s="213" t="s">
        <v>1245</v>
      </c>
      <c r="H803" s="214"/>
      <c r="I803" s="214" t="s">
        <v>1253</v>
      </c>
      <c r="J803" s="210" t="s">
        <v>58</v>
      </c>
      <c r="K803" s="215">
        <v>1827.95</v>
      </c>
      <c r="L803" s="215"/>
    </row>
    <row r="804" spans="1:15" ht="11.25" customHeight="1" x14ac:dyDescent="0.2">
      <c r="A804" s="216">
        <v>2023</v>
      </c>
      <c r="B804" s="216">
        <v>6</v>
      </c>
      <c r="C804" s="216">
        <v>15</v>
      </c>
      <c r="D804" s="217">
        <f t="shared" si="55"/>
        <v>45092</v>
      </c>
      <c r="E804" s="239">
        <f t="shared" si="59"/>
        <v>45092</v>
      </c>
      <c r="F804" s="521"/>
      <c r="G804" s="219" t="s">
        <v>1245</v>
      </c>
      <c r="H804" s="220"/>
      <c r="I804" s="220" t="s">
        <v>1253</v>
      </c>
      <c r="J804" s="216" t="s">
        <v>153</v>
      </c>
      <c r="K804" s="221"/>
      <c r="L804" s="221">
        <v>1827.95</v>
      </c>
    </row>
    <row r="805" spans="1:15" ht="11.25" customHeight="1" x14ac:dyDescent="0.2">
      <c r="A805" s="210">
        <v>2023</v>
      </c>
      <c r="B805" s="210">
        <v>6</v>
      </c>
      <c r="C805" s="210">
        <v>15</v>
      </c>
      <c r="D805" s="211">
        <f t="shared" si="55"/>
        <v>45092</v>
      </c>
      <c r="E805" s="238">
        <f t="shared" si="59"/>
        <v>45092</v>
      </c>
      <c r="F805" s="520" t="s">
        <v>1255</v>
      </c>
      <c r="G805" s="213" t="s">
        <v>1245</v>
      </c>
      <c r="H805" s="214"/>
      <c r="I805" s="214" t="s">
        <v>1253</v>
      </c>
      <c r="J805" s="210" t="s">
        <v>113</v>
      </c>
      <c r="K805" s="215">
        <v>46927.22</v>
      </c>
      <c r="L805" s="215"/>
      <c r="M805" s="251"/>
      <c r="O805" s="130"/>
    </row>
    <row r="806" spans="1:15" ht="11.25" customHeight="1" x14ac:dyDescent="0.2">
      <c r="A806" s="216">
        <v>2023</v>
      </c>
      <c r="B806" s="216">
        <v>6</v>
      </c>
      <c r="C806" s="216">
        <v>15</v>
      </c>
      <c r="D806" s="217">
        <f t="shared" si="55"/>
        <v>45092</v>
      </c>
      <c r="E806" s="239">
        <f t="shared" si="59"/>
        <v>45092</v>
      </c>
      <c r="F806" s="521"/>
      <c r="G806" s="219" t="s">
        <v>1245</v>
      </c>
      <c r="H806" s="220"/>
      <c r="I806" s="220" t="s">
        <v>1253</v>
      </c>
      <c r="J806" s="216" t="s">
        <v>153</v>
      </c>
      <c r="K806" s="221"/>
      <c r="L806" s="221">
        <v>46927.22</v>
      </c>
    </row>
    <row r="807" spans="1:15" ht="11.25" customHeight="1" x14ac:dyDescent="0.2">
      <c r="A807" s="210">
        <v>2023</v>
      </c>
      <c r="B807" s="210">
        <v>6</v>
      </c>
      <c r="C807" s="210">
        <v>15</v>
      </c>
      <c r="D807" s="211">
        <f t="shared" si="55"/>
        <v>45092</v>
      </c>
      <c r="E807" s="238">
        <f t="shared" si="59"/>
        <v>45092</v>
      </c>
      <c r="F807" s="520" t="s">
        <v>1256</v>
      </c>
      <c r="G807" s="213" t="s">
        <v>1245</v>
      </c>
      <c r="H807" s="214"/>
      <c r="I807" s="214" t="s">
        <v>1253</v>
      </c>
      <c r="J807" s="210" t="s">
        <v>113</v>
      </c>
      <c r="K807" s="215">
        <v>32554.68</v>
      </c>
      <c r="L807" s="215"/>
      <c r="M807" s="251"/>
      <c r="O807" s="130"/>
    </row>
    <row r="808" spans="1:15" ht="11.25" customHeight="1" x14ac:dyDescent="0.2">
      <c r="A808" s="216">
        <v>2023</v>
      </c>
      <c r="B808" s="216">
        <v>6</v>
      </c>
      <c r="C808" s="216">
        <v>15</v>
      </c>
      <c r="D808" s="217">
        <f t="shared" si="55"/>
        <v>45092</v>
      </c>
      <c r="E808" s="239">
        <f t="shared" si="59"/>
        <v>45092</v>
      </c>
      <c r="F808" s="521"/>
      <c r="G808" s="219" t="s">
        <v>1245</v>
      </c>
      <c r="H808" s="220"/>
      <c r="I808" s="220" t="s">
        <v>1253</v>
      </c>
      <c r="J808" s="216" t="s">
        <v>153</v>
      </c>
      <c r="K808" s="221"/>
      <c r="L808" s="221">
        <v>32554.68</v>
      </c>
    </row>
    <row r="809" spans="1:15" ht="11.25" customHeight="1" x14ac:dyDescent="0.2">
      <c r="A809" s="210">
        <v>2023</v>
      </c>
      <c r="B809" s="210">
        <v>6</v>
      </c>
      <c r="C809" s="210">
        <v>15</v>
      </c>
      <c r="D809" s="211">
        <f t="shared" ref="D809:D872" si="60">DATE(A809,B809,C809)</f>
        <v>45092</v>
      </c>
      <c r="E809" s="238">
        <f t="shared" si="59"/>
        <v>45092</v>
      </c>
      <c r="F809" s="520" t="s">
        <v>1257</v>
      </c>
      <c r="G809" s="213" t="s">
        <v>1245</v>
      </c>
      <c r="H809" s="214"/>
      <c r="I809" s="214" t="s">
        <v>1253</v>
      </c>
      <c r="J809" s="210" t="s">
        <v>113</v>
      </c>
      <c r="K809" s="215">
        <v>33372.93</v>
      </c>
      <c r="L809" s="215"/>
    </row>
    <row r="810" spans="1:15" ht="11.25" customHeight="1" x14ac:dyDescent="0.2">
      <c r="A810" s="216">
        <v>2023</v>
      </c>
      <c r="B810" s="216">
        <v>6</v>
      </c>
      <c r="C810" s="216">
        <v>15</v>
      </c>
      <c r="D810" s="217">
        <f t="shared" si="60"/>
        <v>45092</v>
      </c>
      <c r="E810" s="239">
        <f t="shared" si="59"/>
        <v>45092</v>
      </c>
      <c r="F810" s="521"/>
      <c r="G810" s="219" t="s">
        <v>1245</v>
      </c>
      <c r="H810" s="220"/>
      <c r="I810" s="220" t="s">
        <v>1253</v>
      </c>
      <c r="J810" s="216" t="s">
        <v>153</v>
      </c>
      <c r="K810" s="221"/>
      <c r="L810" s="221">
        <v>33372.93</v>
      </c>
    </row>
    <row r="811" spans="1:15" ht="11.25" customHeight="1" x14ac:dyDescent="0.2">
      <c r="A811" s="259">
        <v>2023</v>
      </c>
      <c r="B811" s="259">
        <v>6</v>
      </c>
      <c r="C811" s="259">
        <v>15</v>
      </c>
      <c r="D811" s="260">
        <f t="shared" si="60"/>
        <v>45092</v>
      </c>
      <c r="E811" s="261">
        <f t="shared" si="59"/>
        <v>45092</v>
      </c>
      <c r="F811" s="531" t="s">
        <v>1313</v>
      </c>
      <c r="G811" s="262" t="s">
        <v>1245</v>
      </c>
      <c r="H811" s="263"/>
      <c r="I811" s="263" t="s">
        <v>1253</v>
      </c>
      <c r="J811" s="259" t="s">
        <v>1476</v>
      </c>
      <c r="K811" s="264">
        <v>7857.7777777777774</v>
      </c>
      <c r="L811" s="264"/>
    </row>
    <row r="812" spans="1:15" ht="11.25" customHeight="1" x14ac:dyDescent="0.2">
      <c r="A812" s="265">
        <v>2023</v>
      </c>
      <c r="B812" s="265">
        <v>6</v>
      </c>
      <c r="C812" s="265">
        <v>15</v>
      </c>
      <c r="D812" s="266">
        <f t="shared" si="60"/>
        <v>45092</v>
      </c>
      <c r="E812" s="267">
        <f t="shared" si="59"/>
        <v>45092</v>
      </c>
      <c r="F812" s="532"/>
      <c r="G812" s="268" t="s">
        <v>1245</v>
      </c>
      <c r="H812" s="269"/>
      <c r="I812" s="269" t="s">
        <v>1253</v>
      </c>
      <c r="J812" s="265" t="s">
        <v>153</v>
      </c>
      <c r="K812" s="270"/>
      <c r="L812" s="270">
        <v>7857.7777777777774</v>
      </c>
    </row>
    <row r="813" spans="1:15" ht="11.25" customHeight="1" x14ac:dyDescent="0.2">
      <c r="A813" s="222">
        <v>2023</v>
      </c>
      <c r="B813" s="222">
        <v>6</v>
      </c>
      <c r="C813" s="222">
        <v>15</v>
      </c>
      <c r="D813" s="223">
        <f t="shared" si="60"/>
        <v>45092</v>
      </c>
      <c r="E813" s="240">
        <f t="shared" si="59"/>
        <v>45092</v>
      </c>
      <c r="F813" s="511" t="s">
        <v>1244</v>
      </c>
      <c r="G813" s="225" t="s">
        <v>1245</v>
      </c>
      <c r="H813" s="226"/>
      <c r="I813" s="226" t="s">
        <v>1253</v>
      </c>
      <c r="J813" s="222" t="s">
        <v>72</v>
      </c>
      <c r="K813" s="227">
        <v>51636.828095238656</v>
      </c>
      <c r="L813" s="227"/>
    </row>
    <row r="814" spans="1:15" ht="11.25" customHeight="1" x14ac:dyDescent="0.2">
      <c r="A814" s="228">
        <v>2023</v>
      </c>
      <c r="B814" s="228">
        <v>6</v>
      </c>
      <c r="C814" s="228">
        <v>15</v>
      </c>
      <c r="D814" s="229">
        <f t="shared" si="60"/>
        <v>45092</v>
      </c>
      <c r="E814" s="241">
        <f t="shared" si="59"/>
        <v>45092</v>
      </c>
      <c r="F814" s="512"/>
      <c r="G814" s="231" t="s">
        <v>1245</v>
      </c>
      <c r="H814" s="232"/>
      <c r="I814" s="232" t="s">
        <v>1253</v>
      </c>
      <c r="J814" s="228" t="s">
        <v>87</v>
      </c>
      <c r="K814" s="233"/>
      <c r="L814" s="233">
        <v>51636.828095238656</v>
      </c>
    </row>
    <row r="815" spans="1:15" ht="11.25" customHeight="1" x14ac:dyDescent="0.2">
      <c r="A815" s="222">
        <v>2023</v>
      </c>
      <c r="B815" s="222">
        <v>6</v>
      </c>
      <c r="C815" s="222">
        <v>15</v>
      </c>
      <c r="D815" s="223">
        <f t="shared" si="60"/>
        <v>45092</v>
      </c>
      <c r="E815" s="240">
        <f t="shared" si="59"/>
        <v>45092</v>
      </c>
      <c r="F815" s="511" t="s">
        <v>1246</v>
      </c>
      <c r="G815" s="225" t="s">
        <v>1245</v>
      </c>
      <c r="H815" s="226"/>
      <c r="I815" s="226" t="s">
        <v>1253</v>
      </c>
      <c r="J815" s="222" t="s">
        <v>75</v>
      </c>
      <c r="K815" s="227">
        <v>3846.1538461538462</v>
      </c>
      <c r="L815" s="227"/>
    </row>
    <row r="816" spans="1:15" ht="11.25" customHeight="1" x14ac:dyDescent="0.2">
      <c r="A816" s="228">
        <v>2023</v>
      </c>
      <c r="B816" s="228">
        <v>6</v>
      </c>
      <c r="C816" s="228">
        <v>15</v>
      </c>
      <c r="D816" s="229">
        <f t="shared" si="60"/>
        <v>45092</v>
      </c>
      <c r="E816" s="241">
        <f t="shared" si="59"/>
        <v>45092</v>
      </c>
      <c r="F816" s="512"/>
      <c r="G816" s="231" t="s">
        <v>1245</v>
      </c>
      <c r="H816" s="232"/>
      <c r="I816" s="232" t="s">
        <v>1253</v>
      </c>
      <c r="J816" s="228" t="s">
        <v>55</v>
      </c>
      <c r="K816" s="233"/>
      <c r="L816" s="233">
        <v>3846.1538461538462</v>
      </c>
    </row>
    <row r="817" spans="1:13" ht="11.25" customHeight="1" x14ac:dyDescent="0.2">
      <c r="A817" s="222">
        <v>2023</v>
      </c>
      <c r="B817" s="222">
        <v>6</v>
      </c>
      <c r="C817" s="222">
        <v>15</v>
      </c>
      <c r="D817" s="223">
        <f t="shared" si="60"/>
        <v>45092</v>
      </c>
      <c r="E817" s="240">
        <f t="shared" si="59"/>
        <v>45092</v>
      </c>
      <c r="F817" s="511" t="s">
        <v>1247</v>
      </c>
      <c r="G817" s="225" t="s">
        <v>1245</v>
      </c>
      <c r="H817" s="226"/>
      <c r="I817" s="226" t="s">
        <v>1253</v>
      </c>
      <c r="J817" s="222" t="s">
        <v>77</v>
      </c>
      <c r="K817" s="227">
        <v>22438.399248590045</v>
      </c>
      <c r="L817" s="227"/>
    </row>
    <row r="818" spans="1:13" ht="11.25" customHeight="1" x14ac:dyDescent="0.2">
      <c r="A818" s="228">
        <v>2023</v>
      </c>
      <c r="B818" s="228">
        <v>6</v>
      </c>
      <c r="C818" s="228">
        <v>15</v>
      </c>
      <c r="D818" s="229">
        <f t="shared" si="60"/>
        <v>45092</v>
      </c>
      <c r="E818" s="241">
        <f t="shared" si="59"/>
        <v>45092</v>
      </c>
      <c r="F818" s="512"/>
      <c r="G818" s="231" t="s">
        <v>1245</v>
      </c>
      <c r="H818" s="232"/>
      <c r="I818" s="232" t="s">
        <v>1253</v>
      </c>
      <c r="J818" s="228" t="s">
        <v>41</v>
      </c>
      <c r="K818" s="233"/>
      <c r="L818" s="233">
        <v>22438.399248590045</v>
      </c>
    </row>
    <row r="819" spans="1:13" ht="11.25" customHeight="1" x14ac:dyDescent="0.2">
      <c r="A819" s="222">
        <v>2023</v>
      </c>
      <c r="B819" s="222">
        <v>6</v>
      </c>
      <c r="C819" s="222">
        <v>15</v>
      </c>
      <c r="D819" s="223">
        <f t="shared" si="60"/>
        <v>45092</v>
      </c>
      <c r="E819" s="240">
        <f t="shared" si="59"/>
        <v>45092</v>
      </c>
      <c r="F819" s="511" t="s">
        <v>1248</v>
      </c>
      <c r="G819" s="225" t="s">
        <v>1245</v>
      </c>
      <c r="H819" s="226"/>
      <c r="I819" s="226" t="s">
        <v>1253</v>
      </c>
      <c r="J819" s="222" t="s">
        <v>80</v>
      </c>
      <c r="K819" s="227">
        <v>1121.919962429502</v>
      </c>
      <c r="L819" s="227"/>
    </row>
    <row r="820" spans="1:13" ht="11.25" customHeight="1" x14ac:dyDescent="0.2">
      <c r="A820" s="228">
        <v>2023</v>
      </c>
      <c r="B820" s="228">
        <v>6</v>
      </c>
      <c r="C820" s="228">
        <v>15</v>
      </c>
      <c r="D820" s="229">
        <f t="shared" si="60"/>
        <v>45092</v>
      </c>
      <c r="E820" s="241">
        <f t="shared" si="59"/>
        <v>45092</v>
      </c>
      <c r="F820" s="512"/>
      <c r="G820" s="231" t="s">
        <v>1245</v>
      </c>
      <c r="H820" s="232"/>
      <c r="I820" s="232" t="s">
        <v>1253</v>
      </c>
      <c r="J820" s="228" t="s">
        <v>42</v>
      </c>
      <c r="K820" s="233"/>
      <c r="L820" s="233">
        <v>1121.919962429502</v>
      </c>
    </row>
    <row r="821" spans="1:13" ht="11.25" customHeight="1" x14ac:dyDescent="0.2">
      <c r="A821" s="197">
        <v>2023</v>
      </c>
      <c r="B821" s="197">
        <v>6</v>
      </c>
      <c r="C821" s="197">
        <v>18</v>
      </c>
      <c r="D821" s="198">
        <f t="shared" si="60"/>
        <v>45095</v>
      </c>
      <c r="E821" s="209">
        <f t="shared" si="59"/>
        <v>45095</v>
      </c>
      <c r="F821" s="513" t="s">
        <v>1296</v>
      </c>
      <c r="G821" s="200" t="s">
        <v>1209</v>
      </c>
      <c r="H821" s="201"/>
      <c r="I821" s="201"/>
      <c r="J821" s="197" t="s">
        <v>46</v>
      </c>
      <c r="K821" s="202">
        <v>10000</v>
      </c>
      <c r="L821" s="202"/>
      <c r="M821" s="251"/>
    </row>
    <row r="822" spans="1:13" ht="11.25" customHeight="1" x14ac:dyDescent="0.2">
      <c r="A822" s="120">
        <v>2023</v>
      </c>
      <c r="B822" s="120">
        <v>6</v>
      </c>
      <c r="C822" s="120">
        <v>18</v>
      </c>
      <c r="D822" s="208">
        <f t="shared" si="60"/>
        <v>45095</v>
      </c>
      <c r="E822" s="209">
        <f t="shared" si="59"/>
        <v>45095</v>
      </c>
      <c r="F822" s="515"/>
      <c r="G822" s="132" t="s">
        <v>1209</v>
      </c>
      <c r="J822" s="120" t="s">
        <v>16</v>
      </c>
      <c r="K822" s="207"/>
      <c r="L822" s="207">
        <v>9770</v>
      </c>
    </row>
    <row r="823" spans="1:13" ht="11.25" customHeight="1" x14ac:dyDescent="0.2">
      <c r="A823" s="191">
        <v>2023</v>
      </c>
      <c r="B823" s="191">
        <v>6</v>
      </c>
      <c r="C823" s="191">
        <v>18</v>
      </c>
      <c r="D823" s="192">
        <f t="shared" si="60"/>
        <v>45095</v>
      </c>
      <c r="E823" s="193">
        <f t="shared" si="59"/>
        <v>45095</v>
      </c>
      <c r="F823" s="514"/>
      <c r="G823" s="194" t="s">
        <v>1209</v>
      </c>
      <c r="H823" s="195"/>
      <c r="I823" s="195"/>
      <c r="J823" s="191" t="s">
        <v>47</v>
      </c>
      <c r="K823" s="196"/>
      <c r="L823" s="196">
        <v>230</v>
      </c>
    </row>
    <row r="824" spans="1:13" ht="11.25" customHeight="1" x14ac:dyDescent="0.2">
      <c r="A824" s="197">
        <v>2023</v>
      </c>
      <c r="B824" s="197">
        <v>6</v>
      </c>
      <c r="C824" s="197">
        <v>18</v>
      </c>
      <c r="D824" s="198">
        <f t="shared" si="60"/>
        <v>45095</v>
      </c>
      <c r="E824" s="209">
        <f t="shared" ref="E824:E834" si="61">DATE(A824,B824,C824)</f>
        <v>45095</v>
      </c>
      <c r="F824" s="513" t="s">
        <v>1210</v>
      </c>
      <c r="G824" s="200" t="s">
        <v>1209</v>
      </c>
      <c r="H824" s="201"/>
      <c r="I824" s="201" t="s">
        <v>424</v>
      </c>
      <c r="J824" s="197" t="s">
        <v>46</v>
      </c>
      <c r="K824" s="202">
        <v>100000</v>
      </c>
      <c r="L824" s="202"/>
      <c r="M824" s="251"/>
    </row>
    <row r="825" spans="1:13" ht="11.25" customHeight="1" x14ac:dyDescent="0.2">
      <c r="A825" s="120">
        <v>2023</v>
      </c>
      <c r="B825" s="120">
        <v>6</v>
      </c>
      <c r="C825" s="120">
        <v>18</v>
      </c>
      <c r="D825" s="208">
        <f t="shared" si="60"/>
        <v>45095</v>
      </c>
      <c r="E825" s="209">
        <f t="shared" si="61"/>
        <v>45095</v>
      </c>
      <c r="F825" s="515"/>
      <c r="G825" s="132" t="s">
        <v>1209</v>
      </c>
      <c r="I825" s="128" t="s">
        <v>424</v>
      </c>
      <c r="J825" s="120" t="s">
        <v>16</v>
      </c>
      <c r="K825" s="207"/>
      <c r="L825" s="207">
        <v>97710</v>
      </c>
    </row>
    <row r="826" spans="1:13" ht="11.25" customHeight="1" x14ac:dyDescent="0.2">
      <c r="A826" s="191">
        <v>2023</v>
      </c>
      <c r="B826" s="191">
        <v>6</v>
      </c>
      <c r="C826" s="191">
        <v>18</v>
      </c>
      <c r="D826" s="192">
        <f t="shared" si="60"/>
        <v>45095</v>
      </c>
      <c r="E826" s="193">
        <f t="shared" si="61"/>
        <v>45095</v>
      </c>
      <c r="F826" s="514"/>
      <c r="G826" s="194" t="s">
        <v>1209</v>
      </c>
      <c r="H826" s="195"/>
      <c r="I826" s="195" t="s">
        <v>424</v>
      </c>
      <c r="J826" s="191" t="s">
        <v>47</v>
      </c>
      <c r="K826" s="196"/>
      <c r="L826" s="196">
        <v>2290</v>
      </c>
    </row>
    <row r="827" spans="1:13" ht="11.25" customHeight="1" x14ac:dyDescent="0.2">
      <c r="A827" s="197">
        <v>2023</v>
      </c>
      <c r="B827" s="197">
        <v>6</v>
      </c>
      <c r="C827" s="197">
        <v>19</v>
      </c>
      <c r="D827" s="198">
        <f t="shared" si="60"/>
        <v>45096</v>
      </c>
      <c r="E827" s="209">
        <f t="shared" si="61"/>
        <v>45096</v>
      </c>
      <c r="F827" s="513" t="s">
        <v>1296</v>
      </c>
      <c r="G827" s="200" t="s">
        <v>1209</v>
      </c>
      <c r="H827" s="201"/>
      <c r="I827" s="201"/>
      <c r="J827" s="197" t="s">
        <v>46</v>
      </c>
      <c r="K827" s="202">
        <v>5000</v>
      </c>
      <c r="L827" s="202"/>
      <c r="M827" s="251"/>
    </row>
    <row r="828" spans="1:13" ht="11.25" customHeight="1" x14ac:dyDescent="0.2">
      <c r="A828" s="120">
        <v>2023</v>
      </c>
      <c r="B828" s="120">
        <v>6</v>
      </c>
      <c r="C828" s="120">
        <v>19</v>
      </c>
      <c r="D828" s="208">
        <f t="shared" si="60"/>
        <v>45096</v>
      </c>
      <c r="E828" s="209">
        <f t="shared" si="61"/>
        <v>45096</v>
      </c>
      <c r="F828" s="515"/>
      <c r="G828" s="132" t="s">
        <v>1209</v>
      </c>
      <c r="J828" s="120" t="s">
        <v>16</v>
      </c>
      <c r="K828" s="207"/>
      <c r="L828" s="207">
        <v>4890</v>
      </c>
    </row>
    <row r="829" spans="1:13" ht="11.25" customHeight="1" x14ac:dyDescent="0.2">
      <c r="A829" s="191">
        <v>2023</v>
      </c>
      <c r="B829" s="191">
        <v>6</v>
      </c>
      <c r="C829" s="191">
        <v>19</v>
      </c>
      <c r="D829" s="192">
        <f t="shared" si="60"/>
        <v>45096</v>
      </c>
      <c r="E829" s="193">
        <f t="shared" si="61"/>
        <v>45096</v>
      </c>
      <c r="F829" s="514"/>
      <c r="G829" s="194" t="s">
        <v>1209</v>
      </c>
      <c r="H829" s="195"/>
      <c r="I829" s="195"/>
      <c r="J829" s="191" t="s">
        <v>47</v>
      </c>
      <c r="K829" s="196"/>
      <c r="L829" s="196">
        <v>110</v>
      </c>
    </row>
    <row r="830" spans="1:13" ht="11.25" customHeight="1" x14ac:dyDescent="0.2">
      <c r="A830" s="197">
        <v>2023</v>
      </c>
      <c r="B830" s="197">
        <v>6</v>
      </c>
      <c r="C830" s="197">
        <v>19</v>
      </c>
      <c r="D830" s="198">
        <f t="shared" si="60"/>
        <v>45096</v>
      </c>
      <c r="E830" s="199">
        <f t="shared" si="61"/>
        <v>45096</v>
      </c>
      <c r="F830" s="513" t="s">
        <v>1325</v>
      </c>
      <c r="G830" s="200" t="s">
        <v>1209</v>
      </c>
      <c r="H830" s="201"/>
      <c r="I830" s="201"/>
      <c r="J830" s="197" t="s">
        <v>46</v>
      </c>
      <c r="K830" s="202">
        <v>158693.14000000001</v>
      </c>
      <c r="L830" s="202"/>
    </row>
    <row r="831" spans="1:13" ht="11.25" customHeight="1" x14ac:dyDescent="0.2">
      <c r="A831" s="191">
        <v>2023</v>
      </c>
      <c r="B831" s="191">
        <v>6</v>
      </c>
      <c r="C831" s="191">
        <v>19</v>
      </c>
      <c r="D831" s="192">
        <f t="shared" si="60"/>
        <v>45096</v>
      </c>
      <c r="E831" s="193">
        <f t="shared" si="61"/>
        <v>45096</v>
      </c>
      <c r="F831" s="514"/>
      <c r="G831" s="194" t="s">
        <v>1209</v>
      </c>
      <c r="H831" s="195"/>
      <c r="I831" s="195"/>
      <c r="J831" s="191" t="s">
        <v>178</v>
      </c>
      <c r="K831" s="196"/>
      <c r="L831" s="196">
        <v>158693.14000000001</v>
      </c>
    </row>
    <row r="832" spans="1:13" ht="11.25" customHeight="1" x14ac:dyDescent="0.2">
      <c r="A832" s="197">
        <v>2023</v>
      </c>
      <c r="B832" s="197">
        <v>6</v>
      </c>
      <c r="C832" s="197">
        <v>19</v>
      </c>
      <c r="D832" s="198">
        <f t="shared" si="60"/>
        <v>45096</v>
      </c>
      <c r="E832" s="199">
        <f t="shared" si="61"/>
        <v>45096</v>
      </c>
      <c r="F832" s="513" t="s">
        <v>1280</v>
      </c>
      <c r="G832" s="200" t="s">
        <v>1209</v>
      </c>
      <c r="H832" s="201"/>
      <c r="I832" s="201" t="s">
        <v>636</v>
      </c>
      <c r="J832" s="197" t="s">
        <v>16</v>
      </c>
      <c r="K832" s="202">
        <v>586280</v>
      </c>
      <c r="L832" s="202"/>
    </row>
    <row r="833" spans="1:13" ht="11.25" customHeight="1" x14ac:dyDescent="0.2">
      <c r="A833" s="120">
        <v>2023</v>
      </c>
      <c r="B833" s="120">
        <v>6</v>
      </c>
      <c r="C833" s="120">
        <v>19</v>
      </c>
      <c r="D833" s="208">
        <f t="shared" si="60"/>
        <v>45096</v>
      </c>
      <c r="E833" s="209">
        <f t="shared" si="61"/>
        <v>45096</v>
      </c>
      <c r="F833" s="515"/>
      <c r="G833" s="132" t="s">
        <v>1209</v>
      </c>
      <c r="I833" s="128" t="s">
        <v>636</v>
      </c>
      <c r="J833" s="120" t="s">
        <v>47</v>
      </c>
      <c r="K833" s="207">
        <v>13720</v>
      </c>
      <c r="L833" s="207"/>
    </row>
    <row r="834" spans="1:13" ht="11.25" customHeight="1" x14ac:dyDescent="0.2">
      <c r="A834" s="191">
        <v>2023</v>
      </c>
      <c r="B834" s="191">
        <v>6</v>
      </c>
      <c r="C834" s="191">
        <v>19</v>
      </c>
      <c r="D834" s="192">
        <f t="shared" si="60"/>
        <v>45096</v>
      </c>
      <c r="E834" s="193">
        <f t="shared" si="61"/>
        <v>45096</v>
      </c>
      <c r="F834" s="514"/>
      <c r="G834" s="194" t="s">
        <v>1209</v>
      </c>
      <c r="H834" s="195"/>
      <c r="I834" s="195" t="s">
        <v>636</v>
      </c>
      <c r="J834" s="191" t="s">
        <v>46</v>
      </c>
      <c r="K834" s="196"/>
      <c r="L834" s="196">
        <v>600000</v>
      </c>
    </row>
    <row r="835" spans="1:13" ht="11.25" customHeight="1" x14ac:dyDescent="0.2">
      <c r="A835" s="197">
        <v>2023</v>
      </c>
      <c r="B835" s="197">
        <v>6</v>
      </c>
      <c r="C835" s="197">
        <v>20</v>
      </c>
      <c r="D835" s="198">
        <f t="shared" si="60"/>
        <v>45097</v>
      </c>
      <c r="E835" s="209">
        <f t="shared" ref="E835:E843" si="62">DATE(A835,B835,C835)</f>
        <v>45097</v>
      </c>
      <c r="F835" s="513" t="s">
        <v>1210</v>
      </c>
      <c r="G835" s="200" t="s">
        <v>1209</v>
      </c>
      <c r="H835" s="201"/>
      <c r="I835" s="201" t="s">
        <v>1332</v>
      </c>
      <c r="J835" s="197" t="s">
        <v>46</v>
      </c>
      <c r="K835" s="202">
        <v>500000</v>
      </c>
      <c r="L835" s="202"/>
      <c r="M835" s="251"/>
    </row>
    <row r="836" spans="1:13" ht="11.25" customHeight="1" x14ac:dyDescent="0.2">
      <c r="A836" s="120">
        <v>2023</v>
      </c>
      <c r="B836" s="120">
        <v>6</v>
      </c>
      <c r="C836" s="120">
        <v>20</v>
      </c>
      <c r="D836" s="208">
        <f t="shared" si="60"/>
        <v>45097</v>
      </c>
      <c r="E836" s="209">
        <f t="shared" si="62"/>
        <v>45097</v>
      </c>
      <c r="F836" s="515"/>
      <c r="G836" s="132" t="s">
        <v>1209</v>
      </c>
      <c r="I836" s="128" t="s">
        <v>1332</v>
      </c>
      <c r="J836" s="120" t="s">
        <v>16</v>
      </c>
      <c r="K836" s="207"/>
      <c r="L836" s="207">
        <v>488570</v>
      </c>
    </row>
    <row r="837" spans="1:13" ht="11.25" customHeight="1" x14ac:dyDescent="0.2">
      <c r="A837" s="191">
        <v>2023</v>
      </c>
      <c r="B837" s="191">
        <v>6</v>
      </c>
      <c r="C837" s="191">
        <v>20</v>
      </c>
      <c r="D837" s="192">
        <f t="shared" si="60"/>
        <v>45097</v>
      </c>
      <c r="E837" s="193">
        <f t="shared" si="62"/>
        <v>45097</v>
      </c>
      <c r="F837" s="514"/>
      <c r="G837" s="194" t="s">
        <v>1209</v>
      </c>
      <c r="H837" s="195"/>
      <c r="I837" s="195" t="s">
        <v>1332</v>
      </c>
      <c r="J837" s="191" t="s">
        <v>47</v>
      </c>
      <c r="K837" s="196"/>
      <c r="L837" s="196">
        <v>11430</v>
      </c>
    </row>
    <row r="838" spans="1:13" ht="11.25" customHeight="1" x14ac:dyDescent="0.2">
      <c r="A838" s="197">
        <v>2023</v>
      </c>
      <c r="B838" s="197">
        <v>6</v>
      </c>
      <c r="C838" s="197">
        <v>20</v>
      </c>
      <c r="D838" s="198">
        <f t="shared" si="60"/>
        <v>45097</v>
      </c>
      <c r="E838" s="209">
        <f t="shared" si="62"/>
        <v>45097</v>
      </c>
      <c r="F838" s="513" t="s">
        <v>1210</v>
      </c>
      <c r="G838" s="200" t="s">
        <v>1209</v>
      </c>
      <c r="H838" s="201"/>
      <c r="I838" s="201" t="s">
        <v>384</v>
      </c>
      <c r="J838" s="197" t="s">
        <v>46</v>
      </c>
      <c r="K838" s="202">
        <v>2000000</v>
      </c>
      <c r="L838" s="202"/>
      <c r="M838" s="251"/>
    </row>
    <row r="839" spans="1:13" ht="11.25" customHeight="1" x14ac:dyDescent="0.2">
      <c r="A839" s="120">
        <v>2023</v>
      </c>
      <c r="B839" s="120">
        <v>6</v>
      </c>
      <c r="C839" s="120">
        <v>20</v>
      </c>
      <c r="D839" s="208">
        <f t="shared" si="60"/>
        <v>45097</v>
      </c>
      <c r="E839" s="209">
        <f t="shared" si="62"/>
        <v>45097</v>
      </c>
      <c r="F839" s="515"/>
      <c r="G839" s="132" t="s">
        <v>1209</v>
      </c>
      <c r="I839" s="128" t="s">
        <v>384</v>
      </c>
      <c r="J839" s="120" t="s">
        <v>16</v>
      </c>
      <c r="K839" s="207"/>
      <c r="L839" s="207">
        <v>1954270</v>
      </c>
    </row>
    <row r="840" spans="1:13" ht="11.25" customHeight="1" x14ac:dyDescent="0.2">
      <c r="A840" s="191">
        <v>2023</v>
      </c>
      <c r="B840" s="191">
        <v>6</v>
      </c>
      <c r="C840" s="191">
        <v>20</v>
      </c>
      <c r="D840" s="192">
        <f t="shared" si="60"/>
        <v>45097</v>
      </c>
      <c r="E840" s="193">
        <f t="shared" si="62"/>
        <v>45097</v>
      </c>
      <c r="F840" s="514"/>
      <c r="G840" s="194" t="s">
        <v>1209</v>
      </c>
      <c r="H840" s="195"/>
      <c r="I840" s="195" t="s">
        <v>384</v>
      </c>
      <c r="J840" s="191" t="s">
        <v>47</v>
      </c>
      <c r="K840" s="196"/>
      <c r="L840" s="196">
        <v>45730</v>
      </c>
    </row>
    <row r="841" spans="1:13" ht="11.25" customHeight="1" x14ac:dyDescent="0.2">
      <c r="A841" s="197">
        <v>2023</v>
      </c>
      <c r="B841" s="197">
        <v>6</v>
      </c>
      <c r="C841" s="197">
        <v>20</v>
      </c>
      <c r="D841" s="198">
        <f t="shared" si="60"/>
        <v>45097</v>
      </c>
      <c r="E841" s="209">
        <f t="shared" si="62"/>
        <v>45097</v>
      </c>
      <c r="F841" s="513" t="s">
        <v>1210</v>
      </c>
      <c r="G841" s="200" t="s">
        <v>1209</v>
      </c>
      <c r="H841" s="201"/>
      <c r="I841" s="201" t="s">
        <v>389</v>
      </c>
      <c r="J841" s="197" t="s">
        <v>46</v>
      </c>
      <c r="K841" s="202">
        <v>200000</v>
      </c>
      <c r="L841" s="202"/>
      <c r="M841" s="251"/>
    </row>
    <row r="842" spans="1:13" ht="11.25" customHeight="1" x14ac:dyDescent="0.2">
      <c r="A842" s="120">
        <v>2023</v>
      </c>
      <c r="B842" s="120">
        <v>6</v>
      </c>
      <c r="C842" s="120">
        <v>20</v>
      </c>
      <c r="D842" s="208">
        <f t="shared" si="60"/>
        <v>45097</v>
      </c>
      <c r="E842" s="209">
        <f t="shared" si="62"/>
        <v>45097</v>
      </c>
      <c r="F842" s="515"/>
      <c r="G842" s="132" t="s">
        <v>1209</v>
      </c>
      <c r="I842" s="128" t="s">
        <v>389</v>
      </c>
      <c r="J842" s="120" t="s">
        <v>16</v>
      </c>
      <c r="K842" s="207"/>
      <c r="L842" s="207">
        <v>195430</v>
      </c>
    </row>
    <row r="843" spans="1:13" ht="11.25" customHeight="1" x14ac:dyDescent="0.2">
      <c r="A843" s="191">
        <v>2023</v>
      </c>
      <c r="B843" s="191">
        <v>6</v>
      </c>
      <c r="C843" s="191">
        <v>20</v>
      </c>
      <c r="D843" s="192">
        <f t="shared" si="60"/>
        <v>45097</v>
      </c>
      <c r="E843" s="193">
        <f t="shared" si="62"/>
        <v>45097</v>
      </c>
      <c r="F843" s="514"/>
      <c r="G843" s="194" t="s">
        <v>1209</v>
      </c>
      <c r="H843" s="195"/>
      <c r="I843" s="195" t="s">
        <v>389</v>
      </c>
      <c r="J843" s="191" t="s">
        <v>47</v>
      </c>
      <c r="K843" s="196"/>
      <c r="L843" s="196">
        <v>4570</v>
      </c>
    </row>
    <row r="844" spans="1:13" ht="11.25" customHeight="1" x14ac:dyDescent="0.2">
      <c r="A844" s="197">
        <v>2023</v>
      </c>
      <c r="B844" s="197">
        <v>6</v>
      </c>
      <c r="C844" s="197">
        <v>20</v>
      </c>
      <c r="D844" s="198">
        <f t="shared" si="60"/>
        <v>45097</v>
      </c>
      <c r="E844" s="209">
        <f t="shared" ref="E844:E856" si="63">DATE(A844,B844,C844)</f>
        <v>45097</v>
      </c>
      <c r="F844" s="513" t="s">
        <v>1210</v>
      </c>
      <c r="G844" s="200" t="s">
        <v>1209</v>
      </c>
      <c r="H844" s="201"/>
      <c r="I844" s="201" t="s">
        <v>532</v>
      </c>
      <c r="J844" s="197" t="s">
        <v>46</v>
      </c>
      <c r="K844" s="202">
        <v>140000</v>
      </c>
      <c r="L844" s="202"/>
      <c r="M844" s="251"/>
    </row>
    <row r="845" spans="1:13" ht="11.25" customHeight="1" x14ac:dyDescent="0.2">
      <c r="A845" s="120">
        <v>2023</v>
      </c>
      <c r="B845" s="120">
        <v>6</v>
      </c>
      <c r="C845" s="120">
        <v>20</v>
      </c>
      <c r="D845" s="208">
        <f t="shared" si="60"/>
        <v>45097</v>
      </c>
      <c r="E845" s="209">
        <f t="shared" si="63"/>
        <v>45097</v>
      </c>
      <c r="F845" s="515"/>
      <c r="G845" s="132" t="s">
        <v>1209</v>
      </c>
      <c r="I845" s="128" t="s">
        <v>532</v>
      </c>
      <c r="J845" s="120" t="s">
        <v>16</v>
      </c>
      <c r="K845" s="207"/>
      <c r="L845" s="207">
        <v>136800</v>
      </c>
    </row>
    <row r="846" spans="1:13" ht="11.25" customHeight="1" x14ac:dyDescent="0.2">
      <c r="A846" s="191">
        <v>2023</v>
      </c>
      <c r="B846" s="191">
        <v>6</v>
      </c>
      <c r="C846" s="191">
        <v>20</v>
      </c>
      <c r="D846" s="192">
        <f t="shared" si="60"/>
        <v>45097</v>
      </c>
      <c r="E846" s="193">
        <f t="shared" si="63"/>
        <v>45097</v>
      </c>
      <c r="F846" s="514"/>
      <c r="G846" s="194" t="s">
        <v>1209</v>
      </c>
      <c r="H846" s="195"/>
      <c r="I846" s="195" t="s">
        <v>532</v>
      </c>
      <c r="J846" s="191" t="s">
        <v>47</v>
      </c>
      <c r="K846" s="196"/>
      <c r="L846" s="196">
        <v>3200</v>
      </c>
    </row>
    <row r="847" spans="1:13" ht="11.25" customHeight="1" x14ac:dyDescent="0.2">
      <c r="A847" s="197">
        <v>2023</v>
      </c>
      <c r="B847" s="197">
        <v>6</v>
      </c>
      <c r="C847" s="197">
        <v>20</v>
      </c>
      <c r="D847" s="198">
        <f t="shared" si="60"/>
        <v>45097</v>
      </c>
      <c r="E847" s="199">
        <f t="shared" si="63"/>
        <v>45097</v>
      </c>
      <c r="F847" s="513" t="s">
        <v>1323</v>
      </c>
      <c r="G847" s="200" t="s">
        <v>1209</v>
      </c>
      <c r="H847" s="201"/>
      <c r="I847" s="201"/>
      <c r="J847" s="197" t="s">
        <v>54</v>
      </c>
      <c r="K847" s="202">
        <v>95</v>
      </c>
      <c r="L847" s="202"/>
    </row>
    <row r="848" spans="1:13" ht="11.25" customHeight="1" x14ac:dyDescent="0.2">
      <c r="A848" s="191">
        <v>2023</v>
      </c>
      <c r="B848" s="191">
        <v>6</v>
      </c>
      <c r="C848" s="191">
        <v>20</v>
      </c>
      <c r="D848" s="192">
        <f t="shared" si="60"/>
        <v>45097</v>
      </c>
      <c r="E848" s="193">
        <f t="shared" si="63"/>
        <v>45097</v>
      </c>
      <c r="F848" s="514"/>
      <c r="G848" s="194" t="s">
        <v>1209</v>
      </c>
      <c r="H848" s="195"/>
      <c r="I848" s="195"/>
      <c r="J848" s="191" t="s">
        <v>46</v>
      </c>
      <c r="K848" s="196"/>
      <c r="L848" s="196">
        <v>95</v>
      </c>
    </row>
    <row r="849" spans="1:13" ht="11.25" customHeight="1" x14ac:dyDescent="0.2">
      <c r="A849" s="197">
        <v>2023</v>
      </c>
      <c r="B849" s="197">
        <v>6</v>
      </c>
      <c r="C849" s="197">
        <v>21</v>
      </c>
      <c r="D849" s="198">
        <f t="shared" si="60"/>
        <v>45098</v>
      </c>
      <c r="E849" s="199">
        <f>DATE(A849,B849,C849)</f>
        <v>45098</v>
      </c>
      <c r="F849" s="513" t="s">
        <v>1323</v>
      </c>
      <c r="G849" s="200" t="s">
        <v>1209</v>
      </c>
      <c r="H849" s="201"/>
      <c r="I849" s="201"/>
      <c r="J849" s="197" t="s">
        <v>54</v>
      </c>
      <c r="K849" s="202">
        <v>45</v>
      </c>
      <c r="L849" s="202"/>
    </row>
    <row r="850" spans="1:13" ht="11.25" customHeight="1" x14ac:dyDescent="0.2">
      <c r="A850" s="191">
        <v>2023</v>
      </c>
      <c r="B850" s="191">
        <v>6</v>
      </c>
      <c r="C850" s="191">
        <v>21</v>
      </c>
      <c r="D850" s="192">
        <f t="shared" si="60"/>
        <v>45098</v>
      </c>
      <c r="E850" s="193">
        <f>DATE(A850,B850,C850)</f>
        <v>45098</v>
      </c>
      <c r="F850" s="514"/>
      <c r="G850" s="194" t="s">
        <v>1209</v>
      </c>
      <c r="H850" s="195"/>
      <c r="I850" s="195"/>
      <c r="J850" s="191" t="s">
        <v>46</v>
      </c>
      <c r="K850" s="196"/>
      <c r="L850" s="196">
        <v>45</v>
      </c>
    </row>
    <row r="851" spans="1:13" ht="11.25" customHeight="1" x14ac:dyDescent="0.2">
      <c r="A851" s="197">
        <v>2023</v>
      </c>
      <c r="B851" s="197">
        <v>6</v>
      </c>
      <c r="C851" s="197">
        <v>21</v>
      </c>
      <c r="D851" s="198">
        <f t="shared" si="60"/>
        <v>45098</v>
      </c>
      <c r="E851" s="209">
        <f t="shared" si="63"/>
        <v>45098</v>
      </c>
      <c r="F851" s="513" t="s">
        <v>1210</v>
      </c>
      <c r="G851" s="200" t="s">
        <v>1209</v>
      </c>
      <c r="H851" s="201"/>
      <c r="I851" s="201" t="s">
        <v>1335</v>
      </c>
      <c r="J851" s="197" t="s">
        <v>46</v>
      </c>
      <c r="K851" s="202">
        <v>250000</v>
      </c>
      <c r="L851" s="202"/>
      <c r="M851" s="251"/>
    </row>
    <row r="852" spans="1:13" ht="11.25" customHeight="1" x14ac:dyDescent="0.2">
      <c r="A852" s="120">
        <v>2023</v>
      </c>
      <c r="B852" s="120">
        <v>6</v>
      </c>
      <c r="C852" s="120">
        <v>21</v>
      </c>
      <c r="D852" s="208">
        <f t="shared" si="60"/>
        <v>45098</v>
      </c>
      <c r="E852" s="209">
        <f t="shared" si="63"/>
        <v>45098</v>
      </c>
      <c r="F852" s="515"/>
      <c r="G852" s="132" t="s">
        <v>1209</v>
      </c>
      <c r="I852" s="128" t="s">
        <v>1335</v>
      </c>
      <c r="J852" s="120" t="s">
        <v>16</v>
      </c>
      <c r="K852" s="207"/>
      <c r="L852" s="207">
        <v>244280</v>
      </c>
    </row>
    <row r="853" spans="1:13" ht="11.25" customHeight="1" x14ac:dyDescent="0.2">
      <c r="A853" s="191">
        <v>2023</v>
      </c>
      <c r="B853" s="191">
        <v>6</v>
      </c>
      <c r="C853" s="191">
        <v>21</v>
      </c>
      <c r="D853" s="192">
        <f t="shared" si="60"/>
        <v>45098</v>
      </c>
      <c r="E853" s="193">
        <f t="shared" si="63"/>
        <v>45098</v>
      </c>
      <c r="F853" s="514"/>
      <c r="G853" s="194" t="s">
        <v>1209</v>
      </c>
      <c r="H853" s="195"/>
      <c r="I853" s="195" t="s">
        <v>1335</v>
      </c>
      <c r="J853" s="191" t="s">
        <v>47</v>
      </c>
      <c r="K853" s="196"/>
      <c r="L853" s="196">
        <v>5720</v>
      </c>
    </row>
    <row r="854" spans="1:13" ht="11.25" customHeight="1" x14ac:dyDescent="0.2">
      <c r="A854" s="197">
        <v>2023</v>
      </c>
      <c r="B854" s="197">
        <v>6</v>
      </c>
      <c r="C854" s="197">
        <v>21</v>
      </c>
      <c r="D854" s="198">
        <f t="shared" si="60"/>
        <v>45098</v>
      </c>
      <c r="E854" s="209">
        <f t="shared" si="63"/>
        <v>45098</v>
      </c>
      <c r="F854" s="513" t="s">
        <v>1210</v>
      </c>
      <c r="G854" s="200" t="s">
        <v>1209</v>
      </c>
      <c r="H854" s="201"/>
      <c r="I854" s="201" t="s">
        <v>1141</v>
      </c>
      <c r="J854" s="197" t="s">
        <v>46</v>
      </c>
      <c r="K854" s="202">
        <v>50000</v>
      </c>
      <c r="L854" s="202"/>
      <c r="M854" s="251"/>
    </row>
    <row r="855" spans="1:13" ht="11.25" customHeight="1" x14ac:dyDescent="0.2">
      <c r="A855" s="120">
        <v>2023</v>
      </c>
      <c r="B855" s="120">
        <v>6</v>
      </c>
      <c r="C855" s="120">
        <v>21</v>
      </c>
      <c r="D855" s="208">
        <f t="shared" si="60"/>
        <v>45098</v>
      </c>
      <c r="E855" s="209">
        <f t="shared" si="63"/>
        <v>45098</v>
      </c>
      <c r="F855" s="515"/>
      <c r="G855" s="132" t="s">
        <v>1209</v>
      </c>
      <c r="I855" s="128" t="s">
        <v>1141</v>
      </c>
      <c r="J855" s="120" t="s">
        <v>16</v>
      </c>
      <c r="K855" s="207"/>
      <c r="L855" s="207">
        <v>48860</v>
      </c>
    </row>
    <row r="856" spans="1:13" ht="11.25" customHeight="1" x14ac:dyDescent="0.2">
      <c r="A856" s="191">
        <v>2023</v>
      </c>
      <c r="B856" s="191">
        <v>6</v>
      </c>
      <c r="C856" s="191">
        <v>21</v>
      </c>
      <c r="D856" s="192">
        <f t="shared" si="60"/>
        <v>45098</v>
      </c>
      <c r="E856" s="193">
        <f t="shared" si="63"/>
        <v>45098</v>
      </c>
      <c r="F856" s="514"/>
      <c r="G856" s="194" t="s">
        <v>1209</v>
      </c>
      <c r="H856" s="195"/>
      <c r="I856" s="195" t="s">
        <v>1141</v>
      </c>
      <c r="J856" s="191" t="s">
        <v>47</v>
      </c>
      <c r="K856" s="196"/>
      <c r="L856" s="196">
        <v>1140</v>
      </c>
    </row>
    <row r="857" spans="1:13" ht="11.25" customHeight="1" x14ac:dyDescent="0.2">
      <c r="A857" s="197">
        <v>2023</v>
      </c>
      <c r="B857" s="197">
        <v>6</v>
      </c>
      <c r="C857" s="197">
        <v>21</v>
      </c>
      <c r="D857" s="198">
        <f t="shared" si="60"/>
        <v>45098</v>
      </c>
      <c r="E857" s="209">
        <f t="shared" ref="E857:E862" si="64">DATE(A857,B857,C857)</f>
        <v>45098</v>
      </c>
      <c r="F857" s="513" t="s">
        <v>1210</v>
      </c>
      <c r="G857" s="200" t="s">
        <v>1209</v>
      </c>
      <c r="H857" s="201"/>
      <c r="I857" s="201" t="s">
        <v>880</v>
      </c>
      <c r="J857" s="197" t="s">
        <v>46</v>
      </c>
      <c r="K857" s="202">
        <v>50000</v>
      </c>
      <c r="L857" s="202"/>
      <c r="M857" s="251"/>
    </row>
    <row r="858" spans="1:13" ht="11.25" customHeight="1" x14ac:dyDescent="0.2">
      <c r="A858" s="120">
        <v>2023</v>
      </c>
      <c r="B858" s="120">
        <v>6</v>
      </c>
      <c r="C858" s="120">
        <v>21</v>
      </c>
      <c r="D858" s="208">
        <f t="shared" si="60"/>
        <v>45098</v>
      </c>
      <c r="E858" s="209">
        <f t="shared" si="64"/>
        <v>45098</v>
      </c>
      <c r="F858" s="515"/>
      <c r="G858" s="132" t="s">
        <v>1209</v>
      </c>
      <c r="I858" s="128" t="s">
        <v>880</v>
      </c>
      <c r="J858" s="120" t="s">
        <v>16</v>
      </c>
      <c r="K858" s="207"/>
      <c r="L858" s="207">
        <v>48860</v>
      </c>
    </row>
    <row r="859" spans="1:13" ht="11.25" customHeight="1" x14ac:dyDescent="0.2">
      <c r="A859" s="191">
        <v>2023</v>
      </c>
      <c r="B859" s="191">
        <v>6</v>
      </c>
      <c r="C859" s="191">
        <v>21</v>
      </c>
      <c r="D859" s="192">
        <f t="shared" si="60"/>
        <v>45098</v>
      </c>
      <c r="E859" s="193">
        <f t="shared" si="64"/>
        <v>45098</v>
      </c>
      <c r="F859" s="514"/>
      <c r="G859" s="194" t="s">
        <v>1209</v>
      </c>
      <c r="H859" s="195"/>
      <c r="I859" s="195" t="s">
        <v>880</v>
      </c>
      <c r="J859" s="191" t="s">
        <v>47</v>
      </c>
      <c r="K859" s="196"/>
      <c r="L859" s="196">
        <v>1140</v>
      </c>
    </row>
    <row r="860" spans="1:13" ht="11.25" customHeight="1" x14ac:dyDescent="0.2">
      <c r="A860" s="197">
        <v>2023</v>
      </c>
      <c r="B860" s="197">
        <v>6</v>
      </c>
      <c r="C860" s="197">
        <v>21</v>
      </c>
      <c r="D860" s="198">
        <f t="shared" si="60"/>
        <v>45098</v>
      </c>
      <c r="E860" s="209">
        <f t="shared" si="64"/>
        <v>45098</v>
      </c>
      <c r="F860" s="513" t="s">
        <v>1210</v>
      </c>
      <c r="G860" s="200" t="s">
        <v>1209</v>
      </c>
      <c r="H860" s="201"/>
      <c r="I860" s="201" t="s">
        <v>1334</v>
      </c>
      <c r="J860" s="197" t="s">
        <v>46</v>
      </c>
      <c r="K860" s="202">
        <v>1000000</v>
      </c>
      <c r="L860" s="202"/>
      <c r="M860" s="251"/>
    </row>
    <row r="861" spans="1:13" ht="11.25" customHeight="1" x14ac:dyDescent="0.2">
      <c r="A861" s="120">
        <v>2023</v>
      </c>
      <c r="B861" s="120">
        <v>6</v>
      </c>
      <c r="C861" s="120">
        <v>21</v>
      </c>
      <c r="D861" s="208">
        <f t="shared" si="60"/>
        <v>45098</v>
      </c>
      <c r="E861" s="209">
        <f t="shared" si="64"/>
        <v>45098</v>
      </c>
      <c r="F861" s="515"/>
      <c r="G861" s="132" t="s">
        <v>1209</v>
      </c>
      <c r="I861" s="128" t="s">
        <v>1334</v>
      </c>
      <c r="J861" s="120" t="s">
        <v>16</v>
      </c>
      <c r="K861" s="207"/>
      <c r="L861" s="207">
        <v>977140</v>
      </c>
    </row>
    <row r="862" spans="1:13" ht="11.25" customHeight="1" x14ac:dyDescent="0.2">
      <c r="A862" s="191">
        <v>2023</v>
      </c>
      <c r="B862" s="191">
        <v>6</v>
      </c>
      <c r="C862" s="191">
        <v>21</v>
      </c>
      <c r="D862" s="192">
        <f t="shared" si="60"/>
        <v>45098</v>
      </c>
      <c r="E862" s="193">
        <f t="shared" si="64"/>
        <v>45098</v>
      </c>
      <c r="F862" s="514"/>
      <c r="G862" s="194" t="s">
        <v>1209</v>
      </c>
      <c r="H862" s="195"/>
      <c r="I862" s="195" t="s">
        <v>1334</v>
      </c>
      <c r="J862" s="191" t="s">
        <v>47</v>
      </c>
      <c r="K862" s="196"/>
      <c r="L862" s="196">
        <v>22860</v>
      </c>
    </row>
    <row r="863" spans="1:13" ht="11.25" customHeight="1" x14ac:dyDescent="0.2">
      <c r="A863" s="197">
        <v>2023</v>
      </c>
      <c r="B863" s="197">
        <v>6</v>
      </c>
      <c r="C863" s="197">
        <v>21</v>
      </c>
      <c r="D863" s="198">
        <f t="shared" si="60"/>
        <v>45098</v>
      </c>
      <c r="E863" s="209">
        <f t="shared" ref="E863:E868" si="65">DATE(A863,B863,C863)</f>
        <v>45098</v>
      </c>
      <c r="F863" s="513" t="s">
        <v>1210</v>
      </c>
      <c r="G863" s="200" t="s">
        <v>1209</v>
      </c>
      <c r="H863" s="201"/>
      <c r="I863" s="201" t="s">
        <v>1336</v>
      </c>
      <c r="J863" s="197" t="s">
        <v>46</v>
      </c>
      <c r="K863" s="202">
        <v>300000</v>
      </c>
      <c r="L863" s="202"/>
      <c r="M863" s="251"/>
    </row>
    <row r="864" spans="1:13" ht="11.25" customHeight="1" x14ac:dyDescent="0.2">
      <c r="A864" s="120">
        <v>2023</v>
      </c>
      <c r="B864" s="120">
        <v>6</v>
      </c>
      <c r="C864" s="120">
        <v>21</v>
      </c>
      <c r="D864" s="208">
        <f t="shared" si="60"/>
        <v>45098</v>
      </c>
      <c r="E864" s="209">
        <f t="shared" si="65"/>
        <v>45098</v>
      </c>
      <c r="F864" s="515"/>
      <c r="G864" s="132" t="s">
        <v>1209</v>
      </c>
      <c r="I864" s="128" t="s">
        <v>1336</v>
      </c>
      <c r="J864" s="120" t="s">
        <v>16</v>
      </c>
      <c r="K864" s="207"/>
      <c r="L864" s="207">
        <v>293140</v>
      </c>
    </row>
    <row r="865" spans="1:13" ht="11.25" customHeight="1" x14ac:dyDescent="0.2">
      <c r="A865" s="191">
        <v>2023</v>
      </c>
      <c r="B865" s="191">
        <v>6</v>
      </c>
      <c r="C865" s="191">
        <v>21</v>
      </c>
      <c r="D865" s="192">
        <f t="shared" si="60"/>
        <v>45098</v>
      </c>
      <c r="E865" s="193">
        <f t="shared" si="65"/>
        <v>45098</v>
      </c>
      <c r="F865" s="514"/>
      <c r="G865" s="194" t="s">
        <v>1209</v>
      </c>
      <c r="H865" s="195"/>
      <c r="I865" s="195" t="s">
        <v>1336</v>
      </c>
      <c r="J865" s="191" t="s">
        <v>47</v>
      </c>
      <c r="K865" s="196"/>
      <c r="L865" s="196">
        <v>6860</v>
      </c>
    </row>
    <row r="866" spans="1:13" ht="11.25" customHeight="1" x14ac:dyDescent="0.2">
      <c r="A866" s="197">
        <v>2023</v>
      </c>
      <c r="B866" s="197">
        <v>6</v>
      </c>
      <c r="C866" s="197">
        <v>21</v>
      </c>
      <c r="D866" s="198">
        <f t="shared" si="60"/>
        <v>45098</v>
      </c>
      <c r="E866" s="209">
        <f t="shared" si="65"/>
        <v>45098</v>
      </c>
      <c r="F866" s="513" t="s">
        <v>1210</v>
      </c>
      <c r="G866" s="200" t="s">
        <v>1209</v>
      </c>
      <c r="H866" s="201"/>
      <c r="I866" s="201" t="s">
        <v>569</v>
      </c>
      <c r="J866" s="197" t="s">
        <v>46</v>
      </c>
      <c r="K866" s="202">
        <v>190000</v>
      </c>
      <c r="L866" s="202"/>
      <c r="M866" s="251"/>
    </row>
    <row r="867" spans="1:13" ht="11.25" customHeight="1" x14ac:dyDescent="0.2">
      <c r="A867" s="120">
        <v>2023</v>
      </c>
      <c r="B867" s="120">
        <v>6</v>
      </c>
      <c r="C867" s="120">
        <v>21</v>
      </c>
      <c r="D867" s="208">
        <f t="shared" si="60"/>
        <v>45098</v>
      </c>
      <c r="E867" s="209">
        <f t="shared" si="65"/>
        <v>45098</v>
      </c>
      <c r="F867" s="515"/>
      <c r="G867" s="132" t="s">
        <v>1209</v>
      </c>
      <c r="I867" s="128" t="s">
        <v>569</v>
      </c>
      <c r="J867" s="120" t="s">
        <v>16</v>
      </c>
      <c r="K867" s="207"/>
      <c r="L867" s="207">
        <v>185660</v>
      </c>
    </row>
    <row r="868" spans="1:13" ht="11.25" customHeight="1" x14ac:dyDescent="0.2">
      <c r="A868" s="191">
        <v>2023</v>
      </c>
      <c r="B868" s="191">
        <v>6</v>
      </c>
      <c r="C868" s="191">
        <v>21</v>
      </c>
      <c r="D868" s="192">
        <f t="shared" si="60"/>
        <v>45098</v>
      </c>
      <c r="E868" s="193">
        <f t="shared" si="65"/>
        <v>45098</v>
      </c>
      <c r="F868" s="514"/>
      <c r="G868" s="194" t="s">
        <v>1209</v>
      </c>
      <c r="H868" s="195"/>
      <c r="I868" s="195" t="s">
        <v>569</v>
      </c>
      <c r="J868" s="191" t="s">
        <v>47</v>
      </c>
      <c r="K868" s="196"/>
      <c r="L868" s="196">
        <v>4340</v>
      </c>
    </row>
    <row r="869" spans="1:13" ht="11.25" customHeight="1" x14ac:dyDescent="0.2">
      <c r="A869" s="197">
        <v>2023</v>
      </c>
      <c r="B869" s="197">
        <v>6</v>
      </c>
      <c r="C869" s="197">
        <v>21</v>
      </c>
      <c r="D869" s="198">
        <f t="shared" si="60"/>
        <v>45098</v>
      </c>
      <c r="E869" s="209">
        <f t="shared" ref="E869:E877" si="66">DATE(A869,B869,C869)</f>
        <v>45098</v>
      </c>
      <c r="F869" s="513" t="s">
        <v>1210</v>
      </c>
      <c r="G869" s="200" t="s">
        <v>1209</v>
      </c>
      <c r="H869" s="201"/>
      <c r="I869" s="201" t="s">
        <v>567</v>
      </c>
      <c r="J869" s="197" t="s">
        <v>46</v>
      </c>
      <c r="K869" s="202">
        <v>300000</v>
      </c>
      <c r="L869" s="202"/>
      <c r="M869" s="251"/>
    </row>
    <row r="870" spans="1:13" ht="11.25" customHeight="1" x14ac:dyDescent="0.2">
      <c r="A870" s="120">
        <v>2023</v>
      </c>
      <c r="B870" s="120">
        <v>6</v>
      </c>
      <c r="C870" s="120">
        <v>21</v>
      </c>
      <c r="D870" s="208">
        <f t="shared" si="60"/>
        <v>45098</v>
      </c>
      <c r="E870" s="209">
        <f t="shared" si="66"/>
        <v>45098</v>
      </c>
      <c r="F870" s="515"/>
      <c r="G870" s="132" t="s">
        <v>1209</v>
      </c>
      <c r="I870" s="128" t="s">
        <v>567</v>
      </c>
      <c r="J870" s="120" t="s">
        <v>16</v>
      </c>
      <c r="K870" s="207"/>
      <c r="L870" s="207">
        <v>293140</v>
      </c>
    </row>
    <row r="871" spans="1:13" ht="11.25" customHeight="1" x14ac:dyDescent="0.2">
      <c r="A871" s="191">
        <v>2023</v>
      </c>
      <c r="B871" s="191">
        <v>6</v>
      </c>
      <c r="C871" s="191">
        <v>21</v>
      </c>
      <c r="D871" s="192">
        <f t="shared" si="60"/>
        <v>45098</v>
      </c>
      <c r="E871" s="193">
        <f t="shared" si="66"/>
        <v>45098</v>
      </c>
      <c r="F871" s="514"/>
      <c r="G871" s="194" t="s">
        <v>1209</v>
      </c>
      <c r="H871" s="195"/>
      <c r="I871" s="195" t="s">
        <v>567</v>
      </c>
      <c r="J871" s="191" t="s">
        <v>47</v>
      </c>
      <c r="K871" s="196"/>
      <c r="L871" s="196">
        <v>6860</v>
      </c>
    </row>
    <row r="872" spans="1:13" ht="11.25" customHeight="1" x14ac:dyDescent="0.2">
      <c r="A872" s="197">
        <v>2023</v>
      </c>
      <c r="B872" s="197">
        <v>6</v>
      </c>
      <c r="C872" s="197">
        <v>22</v>
      </c>
      <c r="D872" s="198">
        <f t="shared" si="60"/>
        <v>45099</v>
      </c>
      <c r="E872" s="209">
        <f t="shared" si="66"/>
        <v>45099</v>
      </c>
      <c r="F872" s="513" t="s">
        <v>1210</v>
      </c>
      <c r="G872" s="200" t="s">
        <v>1209</v>
      </c>
      <c r="H872" s="201"/>
      <c r="I872" s="201" t="s">
        <v>671</v>
      </c>
      <c r="J872" s="197" t="s">
        <v>46</v>
      </c>
      <c r="K872" s="202">
        <v>500000</v>
      </c>
      <c r="L872" s="202"/>
      <c r="M872" s="251"/>
    </row>
    <row r="873" spans="1:13" ht="11.25" customHeight="1" x14ac:dyDescent="0.2">
      <c r="A873" s="120">
        <v>2023</v>
      </c>
      <c r="B873" s="120">
        <v>6</v>
      </c>
      <c r="C873" s="120">
        <v>22</v>
      </c>
      <c r="D873" s="208">
        <f t="shared" ref="D873:D934" si="67">DATE(A873,B873,C873)</f>
        <v>45099</v>
      </c>
      <c r="E873" s="209">
        <f t="shared" si="66"/>
        <v>45099</v>
      </c>
      <c r="F873" s="515"/>
      <c r="G873" s="132" t="s">
        <v>1209</v>
      </c>
      <c r="I873" s="128" t="s">
        <v>671</v>
      </c>
      <c r="J873" s="120" t="s">
        <v>16</v>
      </c>
      <c r="K873" s="207"/>
      <c r="L873" s="207">
        <v>488570</v>
      </c>
    </row>
    <row r="874" spans="1:13" ht="11.25" customHeight="1" x14ac:dyDescent="0.2">
      <c r="A874" s="191">
        <v>2023</v>
      </c>
      <c r="B874" s="191">
        <v>6</v>
      </c>
      <c r="C874" s="191">
        <v>22</v>
      </c>
      <c r="D874" s="192">
        <f t="shared" si="67"/>
        <v>45099</v>
      </c>
      <c r="E874" s="193">
        <f t="shared" si="66"/>
        <v>45099</v>
      </c>
      <c r="F874" s="514"/>
      <c r="G874" s="194" t="s">
        <v>1209</v>
      </c>
      <c r="H874" s="195"/>
      <c r="I874" s="195" t="s">
        <v>671</v>
      </c>
      <c r="J874" s="191" t="s">
        <v>47</v>
      </c>
      <c r="K874" s="196"/>
      <c r="L874" s="196">
        <v>11430</v>
      </c>
    </row>
    <row r="875" spans="1:13" ht="11.25" customHeight="1" x14ac:dyDescent="0.2">
      <c r="A875" s="197">
        <v>2023</v>
      </c>
      <c r="B875" s="197">
        <v>6</v>
      </c>
      <c r="C875" s="197">
        <v>22</v>
      </c>
      <c r="D875" s="198">
        <f t="shared" si="67"/>
        <v>45099</v>
      </c>
      <c r="E875" s="209">
        <f t="shared" si="66"/>
        <v>45099</v>
      </c>
      <c r="F875" s="513" t="s">
        <v>1210</v>
      </c>
      <c r="G875" s="200" t="s">
        <v>1209</v>
      </c>
      <c r="H875" s="201"/>
      <c r="I875" s="201" t="s">
        <v>670</v>
      </c>
      <c r="J875" s="197" t="s">
        <v>46</v>
      </c>
      <c r="K875" s="202">
        <v>300000</v>
      </c>
      <c r="L875" s="202"/>
      <c r="M875" s="251"/>
    </row>
    <row r="876" spans="1:13" ht="11.25" customHeight="1" x14ac:dyDescent="0.2">
      <c r="A876" s="120">
        <v>2023</v>
      </c>
      <c r="B876" s="120">
        <v>6</v>
      </c>
      <c r="C876" s="120">
        <v>22</v>
      </c>
      <c r="D876" s="208">
        <f t="shared" si="67"/>
        <v>45099</v>
      </c>
      <c r="E876" s="209">
        <f t="shared" si="66"/>
        <v>45099</v>
      </c>
      <c r="F876" s="515"/>
      <c r="G876" s="132" t="s">
        <v>1209</v>
      </c>
      <c r="I876" s="128" t="s">
        <v>670</v>
      </c>
      <c r="J876" s="120" t="s">
        <v>16</v>
      </c>
      <c r="K876" s="207"/>
      <c r="L876" s="207">
        <v>293140</v>
      </c>
    </row>
    <row r="877" spans="1:13" ht="11.25" customHeight="1" x14ac:dyDescent="0.2">
      <c r="A877" s="191">
        <v>2023</v>
      </c>
      <c r="B877" s="191">
        <v>6</v>
      </c>
      <c r="C877" s="191">
        <v>22</v>
      </c>
      <c r="D877" s="192">
        <f t="shared" si="67"/>
        <v>45099</v>
      </c>
      <c r="E877" s="193">
        <f t="shared" si="66"/>
        <v>45099</v>
      </c>
      <c r="F877" s="514"/>
      <c r="G877" s="194" t="s">
        <v>1209</v>
      </c>
      <c r="H877" s="195"/>
      <c r="I877" s="195" t="s">
        <v>670</v>
      </c>
      <c r="J877" s="191" t="s">
        <v>47</v>
      </c>
      <c r="K877" s="196"/>
      <c r="L877" s="196">
        <v>6860</v>
      </c>
    </row>
    <row r="878" spans="1:13" ht="11.25" customHeight="1" x14ac:dyDescent="0.2">
      <c r="A878" s="197">
        <v>2023</v>
      </c>
      <c r="B878" s="197">
        <v>6</v>
      </c>
      <c r="C878" s="197">
        <v>22</v>
      </c>
      <c r="D878" s="198">
        <f t="shared" si="67"/>
        <v>45099</v>
      </c>
      <c r="E878" s="209">
        <f t="shared" ref="E878:E913" si="68">DATE(A878,B878,C878)</f>
        <v>45099</v>
      </c>
      <c r="F878" s="513" t="s">
        <v>1210</v>
      </c>
      <c r="G878" s="200" t="s">
        <v>1209</v>
      </c>
      <c r="H878" s="201"/>
      <c r="I878" s="201" t="s">
        <v>666</v>
      </c>
      <c r="J878" s="197" t="s">
        <v>46</v>
      </c>
      <c r="K878" s="202">
        <v>250000</v>
      </c>
      <c r="L878" s="202"/>
      <c r="M878" s="251"/>
    </row>
    <row r="879" spans="1:13" ht="11.25" customHeight="1" x14ac:dyDescent="0.2">
      <c r="A879" s="120">
        <v>2023</v>
      </c>
      <c r="B879" s="120">
        <v>6</v>
      </c>
      <c r="C879" s="120">
        <v>22</v>
      </c>
      <c r="D879" s="208">
        <f t="shared" si="67"/>
        <v>45099</v>
      </c>
      <c r="E879" s="209">
        <f t="shared" si="68"/>
        <v>45099</v>
      </c>
      <c r="F879" s="515"/>
      <c r="G879" s="132" t="s">
        <v>1209</v>
      </c>
      <c r="I879" s="128" t="s">
        <v>666</v>
      </c>
      <c r="J879" s="120" t="s">
        <v>16</v>
      </c>
      <c r="K879" s="207"/>
      <c r="L879" s="207">
        <v>244280</v>
      </c>
    </row>
    <row r="880" spans="1:13" ht="11.25" customHeight="1" x14ac:dyDescent="0.2">
      <c r="A880" s="191">
        <v>2023</v>
      </c>
      <c r="B880" s="191">
        <v>6</v>
      </c>
      <c r="C880" s="191">
        <v>22</v>
      </c>
      <c r="D880" s="192">
        <f t="shared" si="67"/>
        <v>45099</v>
      </c>
      <c r="E880" s="193">
        <f t="shared" si="68"/>
        <v>45099</v>
      </c>
      <c r="F880" s="514"/>
      <c r="G880" s="194" t="s">
        <v>1209</v>
      </c>
      <c r="H880" s="195"/>
      <c r="I880" s="195" t="s">
        <v>666</v>
      </c>
      <c r="J880" s="191" t="s">
        <v>47</v>
      </c>
      <c r="K880" s="196"/>
      <c r="L880" s="196">
        <v>5720</v>
      </c>
    </row>
    <row r="881" spans="1:15" ht="11.25" customHeight="1" x14ac:dyDescent="0.2">
      <c r="A881" s="197">
        <v>2023</v>
      </c>
      <c r="B881" s="197">
        <v>6</v>
      </c>
      <c r="C881" s="197">
        <v>22</v>
      </c>
      <c r="D881" s="198">
        <f t="shared" si="67"/>
        <v>45099</v>
      </c>
      <c r="E881" s="199">
        <f t="shared" si="68"/>
        <v>45099</v>
      </c>
      <c r="F881" s="513" t="s">
        <v>1323</v>
      </c>
      <c r="G881" s="200" t="s">
        <v>1209</v>
      </c>
      <c r="H881" s="201"/>
      <c r="I881" s="201"/>
      <c r="J881" s="197" t="s">
        <v>54</v>
      </c>
      <c r="K881" s="202">
        <v>35</v>
      </c>
      <c r="L881" s="202"/>
    </row>
    <row r="882" spans="1:15" ht="11.25" customHeight="1" x14ac:dyDescent="0.2">
      <c r="A882" s="191">
        <v>2023</v>
      </c>
      <c r="B882" s="191">
        <v>6</v>
      </c>
      <c r="C882" s="191">
        <v>22</v>
      </c>
      <c r="D882" s="192">
        <f t="shared" si="67"/>
        <v>45099</v>
      </c>
      <c r="E882" s="193">
        <f t="shared" si="68"/>
        <v>45099</v>
      </c>
      <c r="F882" s="514"/>
      <c r="G882" s="194" t="s">
        <v>1209</v>
      </c>
      <c r="H882" s="195"/>
      <c r="I882" s="195"/>
      <c r="J882" s="191" t="s">
        <v>46</v>
      </c>
      <c r="K882" s="196"/>
      <c r="L882" s="196">
        <v>35</v>
      </c>
    </row>
    <row r="883" spans="1:15" ht="11.25" customHeight="1" x14ac:dyDescent="0.2">
      <c r="A883" s="197">
        <v>2023</v>
      </c>
      <c r="B883" s="197">
        <v>6</v>
      </c>
      <c r="C883" s="197">
        <v>22</v>
      </c>
      <c r="D883" s="198">
        <f t="shared" si="67"/>
        <v>45099</v>
      </c>
      <c r="E883" s="199">
        <f>DATE(A883,B883,C883)</f>
        <v>45099</v>
      </c>
      <c r="F883" s="513" t="s">
        <v>1350</v>
      </c>
      <c r="G883" s="200" t="s">
        <v>1209</v>
      </c>
      <c r="H883" s="201"/>
      <c r="I883" s="201"/>
      <c r="J883" s="197" t="s">
        <v>168</v>
      </c>
      <c r="K883" s="202">
        <v>20000</v>
      </c>
      <c r="L883" s="202"/>
    </row>
    <row r="884" spans="1:15" ht="11.25" customHeight="1" x14ac:dyDescent="0.2">
      <c r="A884" s="191">
        <v>2023</v>
      </c>
      <c r="B884" s="191">
        <v>6</v>
      </c>
      <c r="C884" s="191">
        <v>22</v>
      </c>
      <c r="D884" s="192">
        <f t="shared" si="67"/>
        <v>45099</v>
      </c>
      <c r="E884" s="193">
        <f>DATE(A884,B884,C884)</f>
        <v>45099</v>
      </c>
      <c r="F884" s="514"/>
      <c r="G884" s="194" t="s">
        <v>1209</v>
      </c>
      <c r="H884" s="195"/>
      <c r="I884" s="195"/>
      <c r="J884" s="191" t="s">
        <v>46</v>
      </c>
      <c r="K884" s="196"/>
      <c r="L884" s="196">
        <v>20000</v>
      </c>
    </row>
    <row r="885" spans="1:15" ht="11.25" customHeight="1" x14ac:dyDescent="0.2">
      <c r="A885" s="197">
        <v>2023</v>
      </c>
      <c r="B885" s="197">
        <v>6</v>
      </c>
      <c r="C885" s="197">
        <v>22</v>
      </c>
      <c r="D885" s="198">
        <f t="shared" si="67"/>
        <v>45099</v>
      </c>
      <c r="E885" s="290">
        <f>DATE(A885,B885,C885)</f>
        <v>45099</v>
      </c>
      <c r="F885" s="513" t="s">
        <v>1355</v>
      </c>
      <c r="G885" s="200" t="s">
        <v>1245</v>
      </c>
      <c r="H885" s="201"/>
      <c r="I885" s="201" t="s">
        <v>1253</v>
      </c>
      <c r="J885" s="197" t="s">
        <v>1530</v>
      </c>
      <c r="K885" s="202">
        <v>25003.599999999991</v>
      </c>
      <c r="L885" s="202"/>
    </row>
    <row r="886" spans="1:15" ht="11.25" customHeight="1" x14ac:dyDescent="0.2">
      <c r="A886" s="191">
        <v>2023</v>
      </c>
      <c r="B886" s="191">
        <v>6</v>
      </c>
      <c r="C886" s="191">
        <v>22</v>
      </c>
      <c r="D886" s="192">
        <f t="shared" si="67"/>
        <v>45099</v>
      </c>
      <c r="E886" s="291">
        <f>DATE(A886,B886,C886)</f>
        <v>45099</v>
      </c>
      <c r="F886" s="514"/>
      <c r="G886" s="194" t="s">
        <v>1245</v>
      </c>
      <c r="H886" s="195"/>
      <c r="I886" s="195" t="s">
        <v>1253</v>
      </c>
      <c r="J886" s="191" t="s">
        <v>153</v>
      </c>
      <c r="K886" s="196"/>
      <c r="L886" s="196">
        <v>25003.599999999991</v>
      </c>
    </row>
    <row r="887" spans="1:15" ht="11.25" customHeight="1" x14ac:dyDescent="0.2">
      <c r="A887" s="271">
        <v>2023</v>
      </c>
      <c r="B887" s="271">
        <v>6</v>
      </c>
      <c r="C887" s="271">
        <v>22</v>
      </c>
      <c r="D887" s="272">
        <f t="shared" si="67"/>
        <v>45099</v>
      </c>
      <c r="E887" s="273">
        <f t="shared" si="68"/>
        <v>45099</v>
      </c>
      <c r="F887" s="533" t="s">
        <v>1364</v>
      </c>
      <c r="G887" s="274" t="s">
        <v>1245</v>
      </c>
      <c r="H887" s="275"/>
      <c r="I887" s="275" t="s">
        <v>1253</v>
      </c>
      <c r="J887" s="271" t="s">
        <v>153</v>
      </c>
      <c r="K887" s="276">
        <v>16650.721153846127</v>
      </c>
      <c r="L887" s="276"/>
    </row>
    <row r="888" spans="1:15" ht="11.25" customHeight="1" x14ac:dyDescent="0.2">
      <c r="A888" s="277">
        <v>2023</v>
      </c>
      <c r="B888" s="277">
        <v>6</v>
      </c>
      <c r="C888" s="277">
        <v>22</v>
      </c>
      <c r="D888" s="278">
        <f t="shared" si="67"/>
        <v>45099</v>
      </c>
      <c r="E888" s="279">
        <f t="shared" si="68"/>
        <v>45099</v>
      </c>
      <c r="F888" s="534"/>
      <c r="G888" s="280" t="s">
        <v>1245</v>
      </c>
      <c r="H888" s="281"/>
      <c r="I888" s="281" t="s">
        <v>1253</v>
      </c>
      <c r="J888" s="277" t="s">
        <v>113</v>
      </c>
      <c r="K888" s="282"/>
      <c r="L888" s="282">
        <v>16650.721153846127</v>
      </c>
      <c r="N888" s="130"/>
    </row>
    <row r="889" spans="1:15" ht="11.25" customHeight="1" x14ac:dyDescent="0.2">
      <c r="A889" s="210">
        <v>2023</v>
      </c>
      <c r="B889" s="210">
        <v>6</v>
      </c>
      <c r="C889" s="210">
        <v>22</v>
      </c>
      <c r="D889" s="211">
        <f t="shared" si="67"/>
        <v>45099</v>
      </c>
      <c r="E889" s="238">
        <f t="shared" si="68"/>
        <v>45099</v>
      </c>
      <c r="F889" s="520" t="s">
        <v>1278</v>
      </c>
      <c r="G889" s="213" t="s">
        <v>1245</v>
      </c>
      <c r="H889" s="214"/>
      <c r="I889" s="214" t="s">
        <v>1253</v>
      </c>
      <c r="J889" s="210" t="s">
        <v>1529</v>
      </c>
      <c r="K889" s="215">
        <v>7032.2624999999998</v>
      </c>
      <c r="L889" s="215"/>
    </row>
    <row r="890" spans="1:15" ht="11.25" customHeight="1" x14ac:dyDescent="0.2">
      <c r="A890" s="216">
        <v>2023</v>
      </c>
      <c r="B890" s="216">
        <v>6</v>
      </c>
      <c r="C890" s="216">
        <v>22</v>
      </c>
      <c r="D890" s="217">
        <f t="shared" si="67"/>
        <v>45099</v>
      </c>
      <c r="E890" s="239">
        <f t="shared" si="68"/>
        <v>45099</v>
      </c>
      <c r="F890" s="521"/>
      <c r="G890" s="219" t="s">
        <v>1245</v>
      </c>
      <c r="H890" s="220"/>
      <c r="I890" s="220" t="s">
        <v>1253</v>
      </c>
      <c r="J890" s="216" t="s">
        <v>153</v>
      </c>
      <c r="K890" s="221"/>
      <c r="L890" s="221">
        <v>7032.2624999999998</v>
      </c>
    </row>
    <row r="891" spans="1:15" ht="11.25" customHeight="1" x14ac:dyDescent="0.2">
      <c r="A891" s="210">
        <v>2023</v>
      </c>
      <c r="B891" s="210">
        <v>6</v>
      </c>
      <c r="C891" s="210">
        <v>22</v>
      </c>
      <c r="D891" s="211">
        <f t="shared" si="67"/>
        <v>45099</v>
      </c>
      <c r="E891" s="238">
        <f t="shared" si="68"/>
        <v>45099</v>
      </c>
      <c r="F891" s="520" t="s">
        <v>1285</v>
      </c>
      <c r="G891" s="213" t="s">
        <v>1245</v>
      </c>
      <c r="H891" s="214"/>
      <c r="I891" s="214" t="s">
        <v>1253</v>
      </c>
      <c r="J891" s="210" t="s">
        <v>1284</v>
      </c>
      <c r="K891" s="215">
        <v>15398.28</v>
      </c>
      <c r="L891" s="215"/>
    </row>
    <row r="892" spans="1:15" ht="11.25" customHeight="1" x14ac:dyDescent="0.2">
      <c r="A892" s="242">
        <v>2023</v>
      </c>
      <c r="B892" s="216">
        <v>6</v>
      </c>
      <c r="C892" s="216">
        <v>22</v>
      </c>
      <c r="D892" s="243">
        <f t="shared" si="67"/>
        <v>45099</v>
      </c>
      <c r="E892" s="244">
        <f>DATE(A892,B892,C892)</f>
        <v>45099</v>
      </c>
      <c r="F892" s="524"/>
      <c r="G892" s="245" t="s">
        <v>1245</v>
      </c>
      <c r="H892" s="246"/>
      <c r="I892" s="246"/>
      <c r="J892" s="242" t="s">
        <v>1582</v>
      </c>
      <c r="K892" s="247"/>
      <c r="L892" s="247">
        <v>15398.28</v>
      </c>
    </row>
    <row r="893" spans="1:15" ht="11.25" customHeight="1" x14ac:dyDescent="0.2">
      <c r="A893" s="210">
        <v>2023</v>
      </c>
      <c r="B893" s="210">
        <v>6</v>
      </c>
      <c r="C893" s="210">
        <v>22</v>
      </c>
      <c r="D893" s="211">
        <f t="shared" si="67"/>
        <v>45099</v>
      </c>
      <c r="E893" s="238">
        <f t="shared" si="68"/>
        <v>45099</v>
      </c>
      <c r="F893" s="520" t="s">
        <v>1259</v>
      </c>
      <c r="G893" s="213" t="s">
        <v>1245</v>
      </c>
      <c r="H893" s="214"/>
      <c r="I893" s="214" t="s">
        <v>1253</v>
      </c>
      <c r="J893" s="210" t="s">
        <v>58</v>
      </c>
      <c r="K893" s="215">
        <v>2715.67</v>
      </c>
      <c r="L893" s="215"/>
    </row>
    <row r="894" spans="1:15" ht="11.25" customHeight="1" x14ac:dyDescent="0.2">
      <c r="A894" s="216">
        <v>2023</v>
      </c>
      <c r="B894" s="216">
        <v>6</v>
      </c>
      <c r="C894" s="216">
        <v>22</v>
      </c>
      <c r="D894" s="217">
        <f t="shared" si="67"/>
        <v>45099</v>
      </c>
      <c r="E894" s="239">
        <f t="shared" si="68"/>
        <v>45099</v>
      </c>
      <c r="F894" s="521"/>
      <c r="G894" s="219" t="s">
        <v>1245</v>
      </c>
      <c r="H894" s="220"/>
      <c r="I894" s="220" t="s">
        <v>1253</v>
      </c>
      <c r="J894" s="216" t="s">
        <v>153</v>
      </c>
      <c r="K894" s="221"/>
      <c r="L894" s="221">
        <v>2715.67</v>
      </c>
    </row>
    <row r="895" spans="1:15" ht="11.25" customHeight="1" x14ac:dyDescent="0.2">
      <c r="A895" s="210">
        <v>2023</v>
      </c>
      <c r="B895" s="210">
        <v>6</v>
      </c>
      <c r="C895" s="210">
        <v>22</v>
      </c>
      <c r="D895" s="211">
        <f t="shared" si="67"/>
        <v>45099</v>
      </c>
      <c r="E895" s="238">
        <f t="shared" si="68"/>
        <v>45099</v>
      </c>
      <c r="F895" s="520" t="s">
        <v>1255</v>
      </c>
      <c r="G895" s="213" t="s">
        <v>1245</v>
      </c>
      <c r="H895" s="214"/>
      <c r="I895" s="214" t="s">
        <v>1253</v>
      </c>
      <c r="J895" s="210" t="s">
        <v>113</v>
      </c>
      <c r="K895" s="215">
        <v>46927.22</v>
      </c>
      <c r="L895" s="215"/>
      <c r="M895" s="251"/>
      <c r="O895" s="130"/>
    </row>
    <row r="896" spans="1:15" ht="11.25" customHeight="1" x14ac:dyDescent="0.2">
      <c r="A896" s="216">
        <v>2023</v>
      </c>
      <c r="B896" s="216">
        <v>6</v>
      </c>
      <c r="C896" s="216">
        <v>22</v>
      </c>
      <c r="D896" s="217">
        <f t="shared" si="67"/>
        <v>45099</v>
      </c>
      <c r="E896" s="239">
        <f t="shared" si="68"/>
        <v>45099</v>
      </c>
      <c r="F896" s="521"/>
      <c r="G896" s="219" t="s">
        <v>1245</v>
      </c>
      <c r="H896" s="220"/>
      <c r="I896" s="220" t="s">
        <v>1253</v>
      </c>
      <c r="J896" s="216" t="s">
        <v>153</v>
      </c>
      <c r="K896" s="221"/>
      <c r="L896" s="221">
        <v>46927.22</v>
      </c>
    </row>
    <row r="897" spans="1:15" ht="11.25" customHeight="1" x14ac:dyDescent="0.2">
      <c r="A897" s="210">
        <v>2023</v>
      </c>
      <c r="B897" s="210">
        <v>6</v>
      </c>
      <c r="C897" s="210">
        <v>22</v>
      </c>
      <c r="D897" s="211">
        <f t="shared" si="67"/>
        <v>45099</v>
      </c>
      <c r="E897" s="238">
        <f t="shared" si="68"/>
        <v>45099</v>
      </c>
      <c r="F897" s="520" t="s">
        <v>1256</v>
      </c>
      <c r="G897" s="213" t="s">
        <v>1245</v>
      </c>
      <c r="H897" s="214"/>
      <c r="I897" s="214" t="s">
        <v>1253</v>
      </c>
      <c r="J897" s="210" t="s">
        <v>113</v>
      </c>
      <c r="K897" s="215">
        <v>32554.68</v>
      </c>
      <c r="L897" s="215"/>
      <c r="M897" s="251"/>
      <c r="O897" s="130"/>
    </row>
    <row r="898" spans="1:15" ht="11.25" customHeight="1" x14ac:dyDescent="0.2">
      <c r="A898" s="216">
        <v>2023</v>
      </c>
      <c r="B898" s="216">
        <v>6</v>
      </c>
      <c r="C898" s="216">
        <v>22</v>
      </c>
      <c r="D898" s="217">
        <f t="shared" si="67"/>
        <v>45099</v>
      </c>
      <c r="E898" s="239">
        <f t="shared" si="68"/>
        <v>45099</v>
      </c>
      <c r="F898" s="521"/>
      <c r="G898" s="219" t="s">
        <v>1245</v>
      </c>
      <c r="H898" s="220"/>
      <c r="I898" s="220" t="s">
        <v>1253</v>
      </c>
      <c r="J898" s="216" t="s">
        <v>153</v>
      </c>
      <c r="K898" s="221"/>
      <c r="L898" s="221">
        <v>32554.68</v>
      </c>
    </row>
    <row r="899" spans="1:15" ht="11.25" customHeight="1" x14ac:dyDescent="0.2">
      <c r="A899" s="210">
        <v>2023</v>
      </c>
      <c r="B899" s="210">
        <v>6</v>
      </c>
      <c r="C899" s="210">
        <v>22</v>
      </c>
      <c r="D899" s="211">
        <f t="shared" si="67"/>
        <v>45099</v>
      </c>
      <c r="E899" s="238">
        <f t="shared" si="68"/>
        <v>45099</v>
      </c>
      <c r="F899" s="520" t="s">
        <v>1257</v>
      </c>
      <c r="G899" s="213" t="s">
        <v>1245</v>
      </c>
      <c r="H899" s="214"/>
      <c r="I899" s="214" t="s">
        <v>1253</v>
      </c>
      <c r="J899" s="210" t="s">
        <v>113</v>
      </c>
      <c r="K899" s="215">
        <v>33372.93</v>
      </c>
      <c r="L899" s="215"/>
    </row>
    <row r="900" spans="1:15" ht="11.25" customHeight="1" x14ac:dyDescent="0.2">
      <c r="A900" s="216">
        <v>2023</v>
      </c>
      <c r="B900" s="216">
        <v>6</v>
      </c>
      <c r="C900" s="216">
        <v>22</v>
      </c>
      <c r="D900" s="217">
        <f t="shared" si="67"/>
        <v>45099</v>
      </c>
      <c r="E900" s="239">
        <f t="shared" si="68"/>
        <v>45099</v>
      </c>
      <c r="F900" s="521"/>
      <c r="G900" s="219" t="s">
        <v>1245</v>
      </c>
      <c r="H900" s="220"/>
      <c r="I900" s="220" t="s">
        <v>1253</v>
      </c>
      <c r="J900" s="216" t="s">
        <v>153</v>
      </c>
      <c r="K900" s="221"/>
      <c r="L900" s="221">
        <v>33372.93</v>
      </c>
    </row>
    <row r="901" spans="1:15" ht="11.25" customHeight="1" x14ac:dyDescent="0.2">
      <c r="A901" s="259">
        <v>2023</v>
      </c>
      <c r="B901" s="259">
        <v>6</v>
      </c>
      <c r="C901" s="259">
        <v>22</v>
      </c>
      <c r="D901" s="260">
        <f t="shared" si="67"/>
        <v>45099</v>
      </c>
      <c r="E901" s="261">
        <f t="shared" si="68"/>
        <v>45099</v>
      </c>
      <c r="F901" s="531" t="s">
        <v>1313</v>
      </c>
      <c r="G901" s="262" t="s">
        <v>1245</v>
      </c>
      <c r="H901" s="263"/>
      <c r="I901" s="263" t="s">
        <v>1253</v>
      </c>
      <c r="J901" s="259" t="s">
        <v>1476</v>
      </c>
      <c r="K901" s="264">
        <v>7857.7777777777774</v>
      </c>
      <c r="L901" s="264"/>
    </row>
    <row r="902" spans="1:15" ht="11.25" customHeight="1" x14ac:dyDescent="0.2">
      <c r="A902" s="265">
        <v>2023</v>
      </c>
      <c r="B902" s="265">
        <v>6</v>
      </c>
      <c r="C902" s="265">
        <v>22</v>
      </c>
      <c r="D902" s="266">
        <f t="shared" si="67"/>
        <v>45099</v>
      </c>
      <c r="E902" s="267">
        <f t="shared" si="68"/>
        <v>45099</v>
      </c>
      <c r="F902" s="532"/>
      <c r="G902" s="268" t="s">
        <v>1245</v>
      </c>
      <c r="H902" s="269"/>
      <c r="I902" s="269" t="s">
        <v>1253</v>
      </c>
      <c r="J902" s="265" t="s">
        <v>153</v>
      </c>
      <c r="K902" s="270"/>
      <c r="L902" s="270">
        <v>7857.7777777777774</v>
      </c>
    </row>
    <row r="903" spans="1:15" ht="11.25" customHeight="1" x14ac:dyDescent="0.2">
      <c r="A903" s="222">
        <v>2023</v>
      </c>
      <c r="B903" s="222">
        <v>6</v>
      </c>
      <c r="C903" s="222">
        <v>22</v>
      </c>
      <c r="D903" s="223">
        <f t="shared" si="67"/>
        <v>45099</v>
      </c>
      <c r="E903" s="240">
        <f t="shared" si="68"/>
        <v>45099</v>
      </c>
      <c r="F903" s="511" t="s">
        <v>1244</v>
      </c>
      <c r="G903" s="225" t="s">
        <v>1245</v>
      </c>
      <c r="H903" s="226"/>
      <c r="I903" s="226" t="s">
        <v>1253</v>
      </c>
      <c r="J903" s="222" t="s">
        <v>87</v>
      </c>
      <c r="K903" s="227">
        <v>49719.691904760897</v>
      </c>
      <c r="L903" s="227"/>
    </row>
    <row r="904" spans="1:15" ht="11.25" customHeight="1" x14ac:dyDescent="0.2">
      <c r="A904" s="228">
        <v>2023</v>
      </c>
      <c r="B904" s="228">
        <v>6</v>
      </c>
      <c r="C904" s="228">
        <v>22</v>
      </c>
      <c r="D904" s="229">
        <f t="shared" si="67"/>
        <v>45099</v>
      </c>
      <c r="E904" s="241">
        <f t="shared" si="68"/>
        <v>45099</v>
      </c>
      <c r="F904" s="512"/>
      <c r="G904" s="231" t="s">
        <v>1245</v>
      </c>
      <c r="H904" s="232"/>
      <c r="I904" s="232" t="s">
        <v>1253</v>
      </c>
      <c r="J904" s="228" t="s">
        <v>72</v>
      </c>
      <c r="K904" s="233"/>
      <c r="L904" s="233">
        <v>49719.691904760897</v>
      </c>
    </row>
    <row r="905" spans="1:15" ht="11.25" customHeight="1" x14ac:dyDescent="0.2">
      <c r="A905" s="222">
        <v>2023</v>
      </c>
      <c r="B905" s="222">
        <v>6</v>
      </c>
      <c r="C905" s="222">
        <v>22</v>
      </c>
      <c r="D905" s="223">
        <f t="shared" si="67"/>
        <v>45099</v>
      </c>
      <c r="E905" s="240">
        <f t="shared" si="68"/>
        <v>45099</v>
      </c>
      <c r="F905" s="511" t="s">
        <v>1246</v>
      </c>
      <c r="G905" s="225" t="s">
        <v>1245</v>
      </c>
      <c r="H905" s="226"/>
      <c r="I905" s="226" t="s">
        <v>1253</v>
      </c>
      <c r="J905" s="222" t="s">
        <v>75</v>
      </c>
      <c r="K905" s="227">
        <v>3846.1538461538462</v>
      </c>
      <c r="L905" s="227"/>
    </row>
    <row r="906" spans="1:15" ht="11.25" customHeight="1" x14ac:dyDescent="0.2">
      <c r="A906" s="228">
        <v>2023</v>
      </c>
      <c r="B906" s="228">
        <v>6</v>
      </c>
      <c r="C906" s="228">
        <v>22</v>
      </c>
      <c r="D906" s="229">
        <f t="shared" si="67"/>
        <v>45099</v>
      </c>
      <c r="E906" s="241">
        <f t="shared" si="68"/>
        <v>45099</v>
      </c>
      <c r="F906" s="512"/>
      <c r="G906" s="231" t="s">
        <v>1245</v>
      </c>
      <c r="H906" s="232"/>
      <c r="I906" s="232" t="s">
        <v>1253</v>
      </c>
      <c r="J906" s="228" t="s">
        <v>55</v>
      </c>
      <c r="K906" s="233"/>
      <c r="L906" s="233">
        <v>3846.1538461538462</v>
      </c>
    </row>
    <row r="907" spans="1:15" ht="11.25" customHeight="1" x14ac:dyDescent="0.2">
      <c r="A907" s="222">
        <v>2023</v>
      </c>
      <c r="B907" s="222">
        <v>6</v>
      </c>
      <c r="C907" s="222">
        <v>22</v>
      </c>
      <c r="D907" s="223">
        <f t="shared" si="67"/>
        <v>45099</v>
      </c>
      <c r="E907" s="240">
        <f t="shared" si="68"/>
        <v>45099</v>
      </c>
      <c r="F907" s="511" t="s">
        <v>1247</v>
      </c>
      <c r="G907" s="225" t="s">
        <v>1245</v>
      </c>
      <c r="H907" s="226"/>
      <c r="I907" s="226" t="s">
        <v>1253</v>
      </c>
      <c r="J907" s="222" t="s">
        <v>77</v>
      </c>
      <c r="K907" s="227">
        <v>23530.476103969184</v>
      </c>
      <c r="L907" s="227"/>
    </row>
    <row r="908" spans="1:15" ht="11.25" customHeight="1" x14ac:dyDescent="0.2">
      <c r="A908" s="228">
        <v>2023</v>
      </c>
      <c r="B908" s="228">
        <v>6</v>
      </c>
      <c r="C908" s="228">
        <v>22</v>
      </c>
      <c r="D908" s="229">
        <f t="shared" si="67"/>
        <v>45099</v>
      </c>
      <c r="E908" s="241">
        <f t="shared" si="68"/>
        <v>45099</v>
      </c>
      <c r="F908" s="512"/>
      <c r="G908" s="231" t="s">
        <v>1245</v>
      </c>
      <c r="H908" s="232"/>
      <c r="I908" s="232" t="s">
        <v>1253</v>
      </c>
      <c r="J908" s="228" t="s">
        <v>41</v>
      </c>
      <c r="K908" s="233"/>
      <c r="L908" s="233">
        <v>23530.476103969184</v>
      </c>
    </row>
    <row r="909" spans="1:15" ht="11.25" customHeight="1" x14ac:dyDescent="0.2">
      <c r="A909" s="222">
        <v>2023</v>
      </c>
      <c r="B909" s="222">
        <v>6</v>
      </c>
      <c r="C909" s="222">
        <v>22</v>
      </c>
      <c r="D909" s="223">
        <f t="shared" si="67"/>
        <v>45099</v>
      </c>
      <c r="E909" s="240">
        <f t="shared" si="68"/>
        <v>45099</v>
      </c>
      <c r="F909" s="511" t="s">
        <v>1248</v>
      </c>
      <c r="G909" s="225" t="s">
        <v>1245</v>
      </c>
      <c r="H909" s="226"/>
      <c r="I909" s="226" t="s">
        <v>1253</v>
      </c>
      <c r="J909" s="222" t="s">
        <v>80</v>
      </c>
      <c r="K909" s="227">
        <v>1176.5238051984593</v>
      </c>
      <c r="L909" s="227"/>
    </row>
    <row r="910" spans="1:15" ht="11.25" customHeight="1" x14ac:dyDescent="0.2">
      <c r="A910" s="228">
        <v>2023</v>
      </c>
      <c r="B910" s="228">
        <v>6</v>
      </c>
      <c r="C910" s="228">
        <v>22</v>
      </c>
      <c r="D910" s="229">
        <f t="shared" si="67"/>
        <v>45099</v>
      </c>
      <c r="E910" s="241">
        <f t="shared" si="68"/>
        <v>45099</v>
      </c>
      <c r="F910" s="512"/>
      <c r="G910" s="231" t="s">
        <v>1245</v>
      </c>
      <c r="H910" s="232"/>
      <c r="I910" s="232" t="s">
        <v>1253</v>
      </c>
      <c r="J910" s="228" t="s">
        <v>42</v>
      </c>
      <c r="K910" s="233"/>
      <c r="L910" s="233">
        <v>1176.5238051984593</v>
      </c>
    </row>
    <row r="911" spans="1:15" ht="11.25" customHeight="1" x14ac:dyDescent="0.2">
      <c r="A911" s="197">
        <v>2023</v>
      </c>
      <c r="B911" s="197">
        <v>6</v>
      </c>
      <c r="C911" s="197">
        <v>24</v>
      </c>
      <c r="D911" s="198">
        <f t="shared" si="67"/>
        <v>45101</v>
      </c>
      <c r="E911" s="209">
        <f t="shared" si="68"/>
        <v>45101</v>
      </c>
      <c r="F911" s="513" t="s">
        <v>1210</v>
      </c>
      <c r="G911" s="200" t="s">
        <v>1209</v>
      </c>
      <c r="H911" s="201"/>
      <c r="I911" s="201" t="s">
        <v>1352</v>
      </c>
      <c r="J911" s="197" t="s">
        <v>46</v>
      </c>
      <c r="K911" s="202">
        <v>100000</v>
      </c>
      <c r="L911" s="202"/>
      <c r="M911" s="251"/>
    </row>
    <row r="912" spans="1:15" ht="11.25" customHeight="1" x14ac:dyDescent="0.2">
      <c r="A912" s="120">
        <v>2023</v>
      </c>
      <c r="B912" s="120">
        <v>6</v>
      </c>
      <c r="C912" s="120">
        <v>24</v>
      </c>
      <c r="D912" s="208">
        <f t="shared" si="67"/>
        <v>45101</v>
      </c>
      <c r="E912" s="209">
        <f t="shared" si="68"/>
        <v>45101</v>
      </c>
      <c r="F912" s="515"/>
      <c r="G912" s="132" t="s">
        <v>1209</v>
      </c>
      <c r="I912" s="128" t="s">
        <v>1352</v>
      </c>
      <c r="J912" s="120" t="s">
        <v>16</v>
      </c>
      <c r="K912" s="207"/>
      <c r="L912" s="207">
        <v>97520</v>
      </c>
    </row>
    <row r="913" spans="1:13" ht="11.25" customHeight="1" x14ac:dyDescent="0.2">
      <c r="A913" s="191">
        <v>2023</v>
      </c>
      <c r="B913" s="191">
        <v>6</v>
      </c>
      <c r="C913" s="191">
        <v>24</v>
      </c>
      <c r="D913" s="192">
        <f t="shared" si="67"/>
        <v>45101</v>
      </c>
      <c r="E913" s="193">
        <f t="shared" si="68"/>
        <v>45101</v>
      </c>
      <c r="F913" s="514"/>
      <c r="G913" s="194" t="s">
        <v>1209</v>
      </c>
      <c r="H913" s="195"/>
      <c r="I913" s="195" t="s">
        <v>1352</v>
      </c>
      <c r="J913" s="191" t="s">
        <v>47</v>
      </c>
      <c r="K913" s="196"/>
      <c r="L913" s="196">
        <v>2480</v>
      </c>
    </row>
    <row r="914" spans="1:13" ht="11.25" customHeight="1" x14ac:dyDescent="0.2">
      <c r="A914" s="197">
        <v>2023</v>
      </c>
      <c r="B914" s="197">
        <v>6</v>
      </c>
      <c r="C914" s="197">
        <v>24</v>
      </c>
      <c r="D914" s="198">
        <f t="shared" si="67"/>
        <v>45101</v>
      </c>
      <c r="E914" s="209">
        <f t="shared" ref="E914:E919" si="69">DATE(A914,B914,C914)</f>
        <v>45101</v>
      </c>
      <c r="F914" s="513" t="s">
        <v>1210</v>
      </c>
      <c r="G914" s="200" t="s">
        <v>1209</v>
      </c>
      <c r="H914" s="201"/>
      <c r="I914" s="201" t="s">
        <v>1352</v>
      </c>
      <c r="J914" s="197" t="s">
        <v>46</v>
      </c>
      <c r="K914" s="202">
        <v>150000</v>
      </c>
      <c r="L914" s="202"/>
      <c r="M914" s="251"/>
    </row>
    <row r="915" spans="1:13" ht="11.25" customHeight="1" x14ac:dyDescent="0.2">
      <c r="A915" s="120">
        <v>2023</v>
      </c>
      <c r="B915" s="120">
        <v>6</v>
      </c>
      <c r="C915" s="120">
        <v>24</v>
      </c>
      <c r="D915" s="208">
        <f t="shared" si="67"/>
        <v>45101</v>
      </c>
      <c r="E915" s="209">
        <f t="shared" si="69"/>
        <v>45101</v>
      </c>
      <c r="F915" s="515"/>
      <c r="G915" s="132" t="s">
        <v>1209</v>
      </c>
      <c r="I915" s="128" t="s">
        <v>1352</v>
      </c>
      <c r="J915" s="120" t="s">
        <v>16</v>
      </c>
      <c r="K915" s="207"/>
      <c r="L915" s="207">
        <v>146280</v>
      </c>
    </row>
    <row r="916" spans="1:13" ht="11.25" customHeight="1" x14ac:dyDescent="0.2">
      <c r="A916" s="191">
        <v>2023</v>
      </c>
      <c r="B916" s="191">
        <v>6</v>
      </c>
      <c r="C916" s="191">
        <v>24</v>
      </c>
      <c r="D916" s="192">
        <f t="shared" si="67"/>
        <v>45101</v>
      </c>
      <c r="E916" s="193">
        <f t="shared" si="69"/>
        <v>45101</v>
      </c>
      <c r="F916" s="514"/>
      <c r="G916" s="194" t="s">
        <v>1209</v>
      </c>
      <c r="H916" s="195"/>
      <c r="I916" s="195" t="s">
        <v>1352</v>
      </c>
      <c r="J916" s="191" t="s">
        <v>47</v>
      </c>
      <c r="K916" s="196"/>
      <c r="L916" s="196">
        <v>3720</v>
      </c>
    </row>
    <row r="917" spans="1:13" ht="11.25" customHeight="1" x14ac:dyDescent="0.2">
      <c r="A917" s="197">
        <v>2023</v>
      </c>
      <c r="B917" s="197">
        <v>6</v>
      </c>
      <c r="C917" s="197">
        <v>25</v>
      </c>
      <c r="D917" s="198">
        <f t="shared" si="67"/>
        <v>45102</v>
      </c>
      <c r="E917" s="209">
        <f t="shared" si="69"/>
        <v>45102</v>
      </c>
      <c r="F917" s="513" t="s">
        <v>1210</v>
      </c>
      <c r="G917" s="200" t="s">
        <v>1209</v>
      </c>
      <c r="H917" s="201"/>
      <c r="I917" s="201" t="s">
        <v>880</v>
      </c>
      <c r="J917" s="197" t="s">
        <v>46</v>
      </c>
      <c r="K917" s="202">
        <v>30000</v>
      </c>
      <c r="L917" s="202"/>
      <c r="M917" s="251"/>
    </row>
    <row r="918" spans="1:13" ht="11.25" customHeight="1" x14ac:dyDescent="0.2">
      <c r="A918" s="120">
        <v>2023</v>
      </c>
      <c r="B918" s="120">
        <v>6</v>
      </c>
      <c r="C918" s="120">
        <v>25</v>
      </c>
      <c r="D918" s="208">
        <f t="shared" si="67"/>
        <v>45102</v>
      </c>
      <c r="E918" s="209">
        <f t="shared" si="69"/>
        <v>45102</v>
      </c>
      <c r="F918" s="515"/>
      <c r="G918" s="132" t="s">
        <v>1209</v>
      </c>
      <c r="I918" s="128" t="s">
        <v>880</v>
      </c>
      <c r="J918" s="120" t="s">
        <v>16</v>
      </c>
      <c r="K918" s="207"/>
      <c r="L918" s="207">
        <v>29260</v>
      </c>
    </row>
    <row r="919" spans="1:13" ht="11.25" customHeight="1" x14ac:dyDescent="0.2">
      <c r="A919" s="191">
        <v>2023</v>
      </c>
      <c r="B919" s="191">
        <v>6</v>
      </c>
      <c r="C919" s="191">
        <v>25</v>
      </c>
      <c r="D919" s="192">
        <f t="shared" si="67"/>
        <v>45102</v>
      </c>
      <c r="E919" s="193">
        <f t="shared" si="69"/>
        <v>45102</v>
      </c>
      <c r="F919" s="514"/>
      <c r="G919" s="194" t="s">
        <v>1209</v>
      </c>
      <c r="H919" s="195"/>
      <c r="I919" s="195" t="s">
        <v>880</v>
      </c>
      <c r="J919" s="191" t="s">
        <v>47</v>
      </c>
      <c r="K919" s="196"/>
      <c r="L919" s="196">
        <v>740</v>
      </c>
    </row>
    <row r="920" spans="1:13" ht="11.25" customHeight="1" x14ac:dyDescent="0.2">
      <c r="A920" s="197">
        <v>2023</v>
      </c>
      <c r="B920" s="197">
        <v>6</v>
      </c>
      <c r="C920" s="197">
        <v>25</v>
      </c>
      <c r="D920" s="198">
        <f t="shared" si="67"/>
        <v>45102</v>
      </c>
      <c r="E920" s="209">
        <f t="shared" ref="E920:E933" si="70">DATE(A920,B920,C920)</f>
        <v>45102</v>
      </c>
      <c r="F920" s="513" t="s">
        <v>1280</v>
      </c>
      <c r="G920" s="200" t="s">
        <v>1209</v>
      </c>
      <c r="H920" s="201"/>
      <c r="I920" s="201" t="s">
        <v>1293</v>
      </c>
      <c r="J920" s="197" t="s">
        <v>16</v>
      </c>
      <c r="K920" s="202">
        <v>1755410</v>
      </c>
      <c r="L920" s="202"/>
      <c r="M920" s="251"/>
    </row>
    <row r="921" spans="1:13" ht="11.25" customHeight="1" x14ac:dyDescent="0.2">
      <c r="A921" s="120">
        <v>2023</v>
      </c>
      <c r="B921" s="120">
        <v>6</v>
      </c>
      <c r="C921" s="120">
        <v>25</v>
      </c>
      <c r="D921" s="208">
        <f t="shared" si="67"/>
        <v>45102</v>
      </c>
      <c r="E921" s="209">
        <f t="shared" si="70"/>
        <v>45102</v>
      </c>
      <c r="F921" s="515"/>
      <c r="G921" s="132" t="s">
        <v>1209</v>
      </c>
      <c r="I921" s="128" t="s">
        <v>1293</v>
      </c>
      <c r="J921" s="120" t="s">
        <v>47</v>
      </c>
      <c r="K921" s="207">
        <v>44590</v>
      </c>
      <c r="L921" s="207"/>
    </row>
    <row r="922" spans="1:13" ht="11.25" customHeight="1" x14ac:dyDescent="0.2">
      <c r="A922" s="191">
        <v>2023</v>
      </c>
      <c r="B922" s="191">
        <v>6</v>
      </c>
      <c r="C922" s="191">
        <v>25</v>
      </c>
      <c r="D922" s="192">
        <f t="shared" si="67"/>
        <v>45102</v>
      </c>
      <c r="E922" s="193">
        <f t="shared" si="70"/>
        <v>45102</v>
      </c>
      <c r="F922" s="514"/>
      <c r="G922" s="194" t="s">
        <v>1209</v>
      </c>
      <c r="H922" s="195"/>
      <c r="I922" s="195" t="s">
        <v>1293</v>
      </c>
      <c r="J922" s="191" t="s">
        <v>46</v>
      </c>
      <c r="K922" s="196"/>
      <c r="L922" s="196">
        <v>1800000</v>
      </c>
    </row>
    <row r="923" spans="1:13" ht="11.25" customHeight="1" x14ac:dyDescent="0.2">
      <c r="A923" s="197">
        <v>2023</v>
      </c>
      <c r="B923" s="197">
        <v>6</v>
      </c>
      <c r="C923" s="197">
        <v>25</v>
      </c>
      <c r="D923" s="198">
        <f t="shared" si="67"/>
        <v>45102</v>
      </c>
      <c r="E923" s="199">
        <f t="shared" si="70"/>
        <v>45102</v>
      </c>
      <c r="F923" s="513" t="s">
        <v>1323</v>
      </c>
      <c r="G923" s="200" t="s">
        <v>1209</v>
      </c>
      <c r="H923" s="201"/>
      <c r="I923" s="201"/>
      <c r="J923" s="197" t="s">
        <v>54</v>
      </c>
      <c r="K923" s="202">
        <v>100</v>
      </c>
      <c r="L923" s="202"/>
    </row>
    <row r="924" spans="1:13" ht="11.25" customHeight="1" x14ac:dyDescent="0.2">
      <c r="A924" s="191">
        <v>2023</v>
      </c>
      <c r="B924" s="191">
        <v>6</v>
      </c>
      <c r="C924" s="191">
        <v>25</v>
      </c>
      <c r="D924" s="192">
        <f t="shared" si="67"/>
        <v>45102</v>
      </c>
      <c r="E924" s="193">
        <f t="shared" si="70"/>
        <v>45102</v>
      </c>
      <c r="F924" s="514"/>
      <c r="G924" s="194" t="s">
        <v>1209</v>
      </c>
      <c r="H924" s="195"/>
      <c r="I924" s="195"/>
      <c r="J924" s="191" t="s">
        <v>46</v>
      </c>
      <c r="K924" s="196"/>
      <c r="L924" s="196">
        <v>100</v>
      </c>
    </row>
    <row r="925" spans="1:13" ht="11.25" customHeight="1" x14ac:dyDescent="0.2">
      <c r="A925" s="197">
        <v>2023</v>
      </c>
      <c r="B925" s="197">
        <v>6</v>
      </c>
      <c r="C925" s="197">
        <v>25</v>
      </c>
      <c r="D925" s="198">
        <f t="shared" si="67"/>
        <v>45102</v>
      </c>
      <c r="E925" s="209">
        <f t="shared" si="70"/>
        <v>45102</v>
      </c>
      <c r="F925" s="513" t="s">
        <v>1210</v>
      </c>
      <c r="G925" s="200" t="s">
        <v>1209</v>
      </c>
      <c r="H925" s="201"/>
      <c r="I925" s="201" t="s">
        <v>926</v>
      </c>
      <c r="J925" s="197" t="s">
        <v>46</v>
      </c>
      <c r="K925" s="202">
        <v>160000</v>
      </c>
      <c r="L925" s="202"/>
      <c r="M925" s="251"/>
    </row>
    <row r="926" spans="1:13" ht="11.25" customHeight="1" x14ac:dyDescent="0.2">
      <c r="A926" s="120">
        <v>2023</v>
      </c>
      <c r="B926" s="120">
        <v>6</v>
      </c>
      <c r="C926" s="120">
        <v>25</v>
      </c>
      <c r="D926" s="208">
        <f t="shared" si="67"/>
        <v>45102</v>
      </c>
      <c r="E926" s="209">
        <f t="shared" si="70"/>
        <v>45102</v>
      </c>
      <c r="F926" s="515"/>
      <c r="G926" s="132" t="s">
        <v>1209</v>
      </c>
      <c r="I926" s="128" t="s">
        <v>926</v>
      </c>
      <c r="J926" s="120" t="s">
        <v>16</v>
      </c>
      <c r="K926" s="207"/>
      <c r="L926" s="207">
        <v>156040</v>
      </c>
    </row>
    <row r="927" spans="1:13" ht="11.25" customHeight="1" x14ac:dyDescent="0.2">
      <c r="A927" s="191">
        <v>2023</v>
      </c>
      <c r="B927" s="191">
        <v>6</v>
      </c>
      <c r="C927" s="191">
        <v>25</v>
      </c>
      <c r="D927" s="192">
        <f t="shared" si="67"/>
        <v>45102</v>
      </c>
      <c r="E927" s="193">
        <f t="shared" si="70"/>
        <v>45102</v>
      </c>
      <c r="F927" s="514"/>
      <c r="G927" s="194" t="s">
        <v>1209</v>
      </c>
      <c r="H927" s="195"/>
      <c r="I927" s="195" t="s">
        <v>926</v>
      </c>
      <c r="J927" s="191" t="s">
        <v>47</v>
      </c>
      <c r="K927" s="196"/>
      <c r="L927" s="196">
        <v>3960</v>
      </c>
    </row>
    <row r="928" spans="1:13" ht="11.25" customHeight="1" x14ac:dyDescent="0.2">
      <c r="A928" s="197">
        <v>2023</v>
      </c>
      <c r="B928" s="197">
        <v>6</v>
      </c>
      <c r="C928" s="197">
        <v>25</v>
      </c>
      <c r="D928" s="198">
        <f t="shared" si="67"/>
        <v>45102</v>
      </c>
      <c r="E928" s="209">
        <f t="shared" si="70"/>
        <v>45102</v>
      </c>
      <c r="F928" s="513" t="s">
        <v>1210</v>
      </c>
      <c r="G928" s="200" t="s">
        <v>1209</v>
      </c>
      <c r="H928" s="201"/>
      <c r="I928" s="201" t="s">
        <v>716</v>
      </c>
      <c r="J928" s="197" t="s">
        <v>46</v>
      </c>
      <c r="K928" s="202">
        <v>200000</v>
      </c>
      <c r="L928" s="202"/>
      <c r="M928" s="251"/>
    </row>
    <row r="929" spans="1:13" ht="11.25" customHeight="1" x14ac:dyDescent="0.2">
      <c r="A929" s="120">
        <v>2023</v>
      </c>
      <c r="B929" s="120">
        <v>6</v>
      </c>
      <c r="C929" s="120">
        <v>25</v>
      </c>
      <c r="D929" s="208">
        <f t="shared" si="67"/>
        <v>45102</v>
      </c>
      <c r="E929" s="209">
        <f t="shared" si="70"/>
        <v>45102</v>
      </c>
      <c r="F929" s="515"/>
      <c r="G929" s="132" t="s">
        <v>1209</v>
      </c>
      <c r="I929" s="128" t="s">
        <v>716</v>
      </c>
      <c r="J929" s="120" t="s">
        <v>16</v>
      </c>
      <c r="K929" s="207"/>
      <c r="L929" s="207">
        <v>195050</v>
      </c>
    </row>
    <row r="930" spans="1:13" ht="11.25" customHeight="1" x14ac:dyDescent="0.2">
      <c r="A930" s="191">
        <v>2023</v>
      </c>
      <c r="B930" s="191">
        <v>6</v>
      </c>
      <c r="C930" s="191">
        <v>25</v>
      </c>
      <c r="D930" s="192">
        <f t="shared" si="67"/>
        <v>45102</v>
      </c>
      <c r="E930" s="193">
        <f t="shared" si="70"/>
        <v>45102</v>
      </c>
      <c r="F930" s="514"/>
      <c r="G930" s="194" t="s">
        <v>1209</v>
      </c>
      <c r="H930" s="195"/>
      <c r="I930" s="195" t="s">
        <v>716</v>
      </c>
      <c r="J930" s="191" t="s">
        <v>47</v>
      </c>
      <c r="K930" s="196"/>
      <c r="L930" s="196">
        <v>4950</v>
      </c>
    </row>
    <row r="931" spans="1:13" ht="11.25" customHeight="1" x14ac:dyDescent="0.2">
      <c r="A931" s="197">
        <v>2023</v>
      </c>
      <c r="B931" s="197">
        <v>6</v>
      </c>
      <c r="C931" s="197">
        <v>25</v>
      </c>
      <c r="D931" s="198">
        <f t="shared" si="67"/>
        <v>45102</v>
      </c>
      <c r="E931" s="209">
        <f t="shared" si="70"/>
        <v>45102</v>
      </c>
      <c r="F931" s="513" t="s">
        <v>1210</v>
      </c>
      <c r="G931" s="200" t="s">
        <v>1209</v>
      </c>
      <c r="H931" s="201"/>
      <c r="I931" s="201" t="s">
        <v>569</v>
      </c>
      <c r="J931" s="197" t="s">
        <v>46</v>
      </c>
      <c r="K931" s="202">
        <v>60000</v>
      </c>
      <c r="L931" s="202"/>
      <c r="M931" s="251"/>
    </row>
    <row r="932" spans="1:13" ht="11.25" customHeight="1" x14ac:dyDescent="0.2">
      <c r="A932" s="120">
        <v>2023</v>
      </c>
      <c r="B932" s="120">
        <v>6</v>
      </c>
      <c r="C932" s="120">
        <v>25</v>
      </c>
      <c r="D932" s="208">
        <f t="shared" si="67"/>
        <v>45102</v>
      </c>
      <c r="E932" s="209">
        <f t="shared" si="70"/>
        <v>45102</v>
      </c>
      <c r="F932" s="515"/>
      <c r="G932" s="132" t="s">
        <v>1209</v>
      </c>
      <c r="I932" s="128" t="s">
        <v>569</v>
      </c>
      <c r="J932" s="120" t="s">
        <v>16</v>
      </c>
      <c r="K932" s="207"/>
      <c r="L932" s="207">
        <v>58510</v>
      </c>
    </row>
    <row r="933" spans="1:13" ht="11.25" customHeight="1" x14ac:dyDescent="0.2">
      <c r="A933" s="191">
        <v>2023</v>
      </c>
      <c r="B933" s="191">
        <v>6</v>
      </c>
      <c r="C933" s="191">
        <v>25</v>
      </c>
      <c r="D933" s="192">
        <f t="shared" si="67"/>
        <v>45102</v>
      </c>
      <c r="E933" s="193">
        <f t="shared" si="70"/>
        <v>45102</v>
      </c>
      <c r="F933" s="514"/>
      <c r="G933" s="194" t="s">
        <v>1209</v>
      </c>
      <c r="H933" s="195"/>
      <c r="I933" s="195" t="s">
        <v>569</v>
      </c>
      <c r="J933" s="191" t="s">
        <v>47</v>
      </c>
      <c r="K933" s="196"/>
      <c r="L933" s="196">
        <v>1490</v>
      </c>
    </row>
    <row r="934" spans="1:13" ht="11.25" customHeight="1" x14ac:dyDescent="0.2">
      <c r="A934" s="197">
        <v>2023</v>
      </c>
      <c r="B934" s="197">
        <v>6</v>
      </c>
      <c r="C934" s="197">
        <v>25</v>
      </c>
      <c r="D934" s="198">
        <f t="shared" si="67"/>
        <v>45102</v>
      </c>
      <c r="E934" s="209">
        <f t="shared" ref="E934:E945" si="71">DATE(A934,B934,C934)</f>
        <v>45102</v>
      </c>
      <c r="F934" s="513" t="s">
        <v>1210</v>
      </c>
      <c r="G934" s="200" t="s">
        <v>1209</v>
      </c>
      <c r="H934" s="201"/>
      <c r="I934" s="201" t="s">
        <v>1351</v>
      </c>
      <c r="J934" s="197" t="s">
        <v>46</v>
      </c>
      <c r="K934" s="202">
        <v>100000</v>
      </c>
      <c r="L934" s="202"/>
      <c r="M934" s="251"/>
    </row>
    <row r="935" spans="1:13" ht="11.25" customHeight="1" x14ac:dyDescent="0.2">
      <c r="A935" s="120">
        <v>2023</v>
      </c>
      <c r="B935" s="120">
        <v>6</v>
      </c>
      <c r="C935" s="120">
        <v>25</v>
      </c>
      <c r="D935" s="208">
        <f t="shared" ref="D935:D998" si="72">DATE(A935,B935,C935)</f>
        <v>45102</v>
      </c>
      <c r="E935" s="209">
        <f t="shared" si="71"/>
        <v>45102</v>
      </c>
      <c r="F935" s="515"/>
      <c r="G935" s="132" t="s">
        <v>1209</v>
      </c>
      <c r="I935" s="128" t="s">
        <v>1351</v>
      </c>
      <c r="J935" s="120" t="s">
        <v>16</v>
      </c>
      <c r="K935" s="207"/>
      <c r="L935" s="207">
        <v>97520</v>
      </c>
    </row>
    <row r="936" spans="1:13" ht="11.25" customHeight="1" x14ac:dyDescent="0.2">
      <c r="A936" s="191">
        <v>2023</v>
      </c>
      <c r="B936" s="191">
        <v>6</v>
      </c>
      <c r="C936" s="191">
        <v>25</v>
      </c>
      <c r="D936" s="192">
        <f t="shared" si="72"/>
        <v>45102</v>
      </c>
      <c r="E936" s="193">
        <f t="shared" si="71"/>
        <v>45102</v>
      </c>
      <c r="F936" s="514"/>
      <c r="G936" s="194" t="s">
        <v>1209</v>
      </c>
      <c r="H936" s="195"/>
      <c r="I936" s="195" t="s">
        <v>1351</v>
      </c>
      <c r="J936" s="191" t="s">
        <v>47</v>
      </c>
      <c r="K936" s="196"/>
      <c r="L936" s="196">
        <v>2480</v>
      </c>
    </row>
    <row r="937" spans="1:13" ht="11.25" customHeight="1" x14ac:dyDescent="0.2">
      <c r="A937" s="197">
        <v>2023</v>
      </c>
      <c r="B937" s="197">
        <v>6</v>
      </c>
      <c r="C937" s="197">
        <v>25</v>
      </c>
      <c r="D937" s="198">
        <f t="shared" si="72"/>
        <v>45102</v>
      </c>
      <c r="E937" s="209">
        <f t="shared" si="71"/>
        <v>45102</v>
      </c>
      <c r="F937" s="513" t="s">
        <v>1210</v>
      </c>
      <c r="G937" s="200" t="s">
        <v>1209</v>
      </c>
      <c r="H937" s="201"/>
      <c r="I937" s="201" t="s">
        <v>1333</v>
      </c>
      <c r="J937" s="197" t="s">
        <v>46</v>
      </c>
      <c r="K937" s="202">
        <v>200000</v>
      </c>
      <c r="L937" s="202"/>
      <c r="M937" s="251"/>
    </row>
    <row r="938" spans="1:13" ht="11.25" customHeight="1" x14ac:dyDescent="0.2">
      <c r="A938" s="120">
        <v>2023</v>
      </c>
      <c r="B938" s="120">
        <v>6</v>
      </c>
      <c r="C938" s="120">
        <v>25</v>
      </c>
      <c r="D938" s="208">
        <f t="shared" si="72"/>
        <v>45102</v>
      </c>
      <c r="E938" s="209">
        <f t="shared" si="71"/>
        <v>45102</v>
      </c>
      <c r="F938" s="515"/>
      <c r="G938" s="132" t="s">
        <v>1209</v>
      </c>
      <c r="I938" s="128" t="s">
        <v>1333</v>
      </c>
      <c r="J938" s="120" t="s">
        <v>16</v>
      </c>
      <c r="K938" s="207"/>
      <c r="L938" s="207">
        <v>195050</v>
      </c>
    </row>
    <row r="939" spans="1:13" ht="11.25" customHeight="1" x14ac:dyDescent="0.2">
      <c r="A939" s="191">
        <v>2023</v>
      </c>
      <c r="B939" s="191">
        <v>6</v>
      </c>
      <c r="C939" s="191">
        <v>25</v>
      </c>
      <c r="D939" s="192">
        <f t="shared" si="72"/>
        <v>45102</v>
      </c>
      <c r="E939" s="193">
        <f t="shared" si="71"/>
        <v>45102</v>
      </c>
      <c r="F939" s="514"/>
      <c r="G939" s="194" t="s">
        <v>1209</v>
      </c>
      <c r="H939" s="195"/>
      <c r="I939" s="195" t="s">
        <v>1333</v>
      </c>
      <c r="J939" s="191" t="s">
        <v>47</v>
      </c>
      <c r="K939" s="196"/>
      <c r="L939" s="196">
        <v>4950</v>
      </c>
    </row>
    <row r="940" spans="1:13" ht="11.25" customHeight="1" x14ac:dyDescent="0.2">
      <c r="A940" s="197">
        <v>2023</v>
      </c>
      <c r="B940" s="197">
        <v>6</v>
      </c>
      <c r="C940" s="197">
        <v>25</v>
      </c>
      <c r="D940" s="198">
        <f t="shared" si="72"/>
        <v>45102</v>
      </c>
      <c r="E940" s="209">
        <f t="shared" si="71"/>
        <v>45102</v>
      </c>
      <c r="F940" s="513" t="s">
        <v>1210</v>
      </c>
      <c r="G940" s="200" t="s">
        <v>1209</v>
      </c>
      <c r="H940" s="201"/>
      <c r="I940" s="201" t="s">
        <v>1351</v>
      </c>
      <c r="J940" s="197" t="s">
        <v>46</v>
      </c>
      <c r="K940" s="202">
        <v>150000</v>
      </c>
      <c r="L940" s="202"/>
      <c r="M940" s="251"/>
    </row>
    <row r="941" spans="1:13" ht="11.25" customHeight="1" x14ac:dyDescent="0.2">
      <c r="A941" s="120">
        <v>2023</v>
      </c>
      <c r="B941" s="120">
        <v>6</v>
      </c>
      <c r="C941" s="120">
        <v>25</v>
      </c>
      <c r="D941" s="208">
        <f t="shared" si="72"/>
        <v>45102</v>
      </c>
      <c r="E941" s="209">
        <f t="shared" si="71"/>
        <v>45102</v>
      </c>
      <c r="F941" s="515"/>
      <c r="G941" s="132" t="s">
        <v>1209</v>
      </c>
      <c r="I941" s="128" t="s">
        <v>1351</v>
      </c>
      <c r="J941" s="120" t="s">
        <v>16</v>
      </c>
      <c r="K941" s="207"/>
      <c r="L941" s="207">
        <v>146280</v>
      </c>
    </row>
    <row r="942" spans="1:13" ht="11.25" customHeight="1" x14ac:dyDescent="0.2">
      <c r="A942" s="191">
        <v>2023</v>
      </c>
      <c r="B942" s="191">
        <v>6</v>
      </c>
      <c r="C942" s="191">
        <v>25</v>
      </c>
      <c r="D942" s="192">
        <f t="shared" si="72"/>
        <v>45102</v>
      </c>
      <c r="E942" s="193">
        <f t="shared" si="71"/>
        <v>45102</v>
      </c>
      <c r="F942" s="514"/>
      <c r="G942" s="194" t="s">
        <v>1209</v>
      </c>
      <c r="H942" s="195"/>
      <c r="I942" s="195" t="s">
        <v>1351</v>
      </c>
      <c r="J942" s="191" t="s">
        <v>47</v>
      </c>
      <c r="K942" s="196"/>
      <c r="L942" s="196">
        <v>3720</v>
      </c>
    </row>
    <row r="943" spans="1:13" ht="11.25" customHeight="1" x14ac:dyDescent="0.2">
      <c r="A943" s="197">
        <v>2023</v>
      </c>
      <c r="B943" s="120">
        <v>6</v>
      </c>
      <c r="C943" s="120">
        <v>25</v>
      </c>
      <c r="D943" s="198">
        <f t="shared" si="72"/>
        <v>45102</v>
      </c>
      <c r="E943" s="199">
        <f t="shared" si="71"/>
        <v>45102</v>
      </c>
      <c r="F943" s="513" t="s">
        <v>1354</v>
      </c>
      <c r="G943" s="200" t="s">
        <v>1209</v>
      </c>
      <c r="H943" s="200"/>
      <c r="I943" s="201" t="s">
        <v>1253</v>
      </c>
      <c r="J943" s="197" t="s">
        <v>70</v>
      </c>
      <c r="K943" s="202">
        <v>90310</v>
      </c>
      <c r="L943" s="202"/>
    </row>
    <row r="944" spans="1:13" ht="11.25" customHeight="1" x14ac:dyDescent="0.2">
      <c r="A944" s="120">
        <v>2023</v>
      </c>
      <c r="B944" s="120">
        <v>6</v>
      </c>
      <c r="C944" s="120">
        <v>25</v>
      </c>
      <c r="D944" s="198">
        <f t="shared" si="72"/>
        <v>45102</v>
      </c>
      <c r="E944" s="209">
        <f t="shared" si="71"/>
        <v>45102</v>
      </c>
      <c r="F944" s="515"/>
      <c r="G944" s="132" t="s">
        <v>1209</v>
      </c>
      <c r="H944" s="132"/>
      <c r="I944" s="128" t="s">
        <v>1253</v>
      </c>
      <c r="J944" s="120" t="s">
        <v>46</v>
      </c>
      <c r="K944" s="207">
        <v>4909690</v>
      </c>
      <c r="L944" s="207"/>
    </row>
    <row r="945" spans="1:13" ht="11.25" customHeight="1" x14ac:dyDescent="0.2">
      <c r="A945" s="191">
        <v>2023</v>
      </c>
      <c r="B945" s="191">
        <v>6</v>
      </c>
      <c r="C945" s="191">
        <v>25</v>
      </c>
      <c r="D945" s="249">
        <f t="shared" si="72"/>
        <v>45102</v>
      </c>
      <c r="E945" s="193">
        <f t="shared" si="71"/>
        <v>45102</v>
      </c>
      <c r="F945" s="514"/>
      <c r="G945" s="194" t="s">
        <v>1209</v>
      </c>
      <c r="H945" s="194"/>
      <c r="I945" s="195"/>
      <c r="J945" s="191" t="s">
        <v>175</v>
      </c>
      <c r="K945" s="196"/>
      <c r="L945" s="196">
        <v>5000000</v>
      </c>
      <c r="M945" s="251"/>
    </row>
    <row r="946" spans="1:13" ht="11.25" customHeight="1" x14ac:dyDescent="0.2">
      <c r="A946" s="197">
        <v>2023</v>
      </c>
      <c r="B946" s="197">
        <v>6</v>
      </c>
      <c r="C946" s="197">
        <v>25</v>
      </c>
      <c r="D946" s="198">
        <f t="shared" si="72"/>
        <v>45102</v>
      </c>
      <c r="E946" s="209">
        <f t="shared" ref="E946:E959" si="73">DATE(A946,B946,C946)</f>
        <v>45102</v>
      </c>
      <c r="F946" s="513" t="s">
        <v>1210</v>
      </c>
      <c r="G946" s="200" t="s">
        <v>1209</v>
      </c>
      <c r="H946" s="201"/>
      <c r="I946" s="201" t="s">
        <v>724</v>
      </c>
      <c r="J946" s="197" t="s">
        <v>46</v>
      </c>
      <c r="K946" s="202">
        <v>200000</v>
      </c>
      <c r="L946" s="202"/>
      <c r="M946" s="251"/>
    </row>
    <row r="947" spans="1:13" ht="11.25" customHeight="1" x14ac:dyDescent="0.2">
      <c r="A947" s="120">
        <v>2023</v>
      </c>
      <c r="B947" s="120">
        <v>6</v>
      </c>
      <c r="C947" s="120">
        <v>25</v>
      </c>
      <c r="D947" s="208">
        <f t="shared" si="72"/>
        <v>45102</v>
      </c>
      <c r="E947" s="209">
        <f t="shared" si="73"/>
        <v>45102</v>
      </c>
      <c r="F947" s="515"/>
      <c r="G947" s="132" t="s">
        <v>1209</v>
      </c>
      <c r="I947" s="128" t="s">
        <v>724</v>
      </c>
      <c r="J947" s="120" t="s">
        <v>16</v>
      </c>
      <c r="K947" s="207"/>
      <c r="L947" s="207">
        <v>195050</v>
      </c>
    </row>
    <row r="948" spans="1:13" ht="11.25" customHeight="1" x14ac:dyDescent="0.2">
      <c r="A948" s="191">
        <v>2023</v>
      </c>
      <c r="B948" s="191">
        <v>6</v>
      </c>
      <c r="C948" s="191">
        <v>25</v>
      </c>
      <c r="D948" s="192">
        <f t="shared" si="72"/>
        <v>45102</v>
      </c>
      <c r="E948" s="193">
        <f t="shared" si="73"/>
        <v>45102</v>
      </c>
      <c r="F948" s="514"/>
      <c r="G948" s="194" t="s">
        <v>1209</v>
      </c>
      <c r="H948" s="195"/>
      <c r="I948" s="195" t="s">
        <v>724</v>
      </c>
      <c r="J948" s="191" t="s">
        <v>47</v>
      </c>
      <c r="K948" s="196"/>
      <c r="L948" s="196">
        <v>4950</v>
      </c>
    </row>
    <row r="949" spans="1:13" ht="11.25" customHeight="1" x14ac:dyDescent="0.2">
      <c r="A949" s="197">
        <v>2023</v>
      </c>
      <c r="B949" s="197">
        <v>6</v>
      </c>
      <c r="C949" s="197">
        <v>25</v>
      </c>
      <c r="D949" s="198">
        <f t="shared" si="72"/>
        <v>45102</v>
      </c>
      <c r="E949" s="209">
        <f t="shared" si="73"/>
        <v>45102</v>
      </c>
      <c r="F949" s="513" t="s">
        <v>1210</v>
      </c>
      <c r="G949" s="200" t="s">
        <v>1209</v>
      </c>
      <c r="H949" s="201"/>
      <c r="I949" s="201" t="s">
        <v>1230</v>
      </c>
      <c r="J949" s="197" t="s">
        <v>46</v>
      </c>
      <c r="K949" s="202">
        <v>3400000</v>
      </c>
      <c r="L949" s="202"/>
      <c r="M949" s="251"/>
    </row>
    <row r="950" spans="1:13" ht="11.25" customHeight="1" x14ac:dyDescent="0.2">
      <c r="A950" s="120">
        <v>2023</v>
      </c>
      <c r="B950" s="120">
        <v>6</v>
      </c>
      <c r="C950" s="120">
        <v>25</v>
      </c>
      <c r="D950" s="208">
        <f t="shared" si="72"/>
        <v>45102</v>
      </c>
      <c r="E950" s="209">
        <f t="shared" si="73"/>
        <v>45102</v>
      </c>
      <c r="F950" s="515"/>
      <c r="G950" s="132" t="s">
        <v>1209</v>
      </c>
      <c r="I950" s="128" t="s">
        <v>1230</v>
      </c>
      <c r="J950" s="120" t="s">
        <v>16</v>
      </c>
      <c r="K950" s="207"/>
      <c r="L950" s="207">
        <v>3315780</v>
      </c>
    </row>
    <row r="951" spans="1:13" ht="11.25" customHeight="1" x14ac:dyDescent="0.2">
      <c r="A951" s="191">
        <v>2023</v>
      </c>
      <c r="B951" s="191">
        <v>6</v>
      </c>
      <c r="C951" s="191">
        <v>25</v>
      </c>
      <c r="D951" s="192">
        <f t="shared" si="72"/>
        <v>45102</v>
      </c>
      <c r="E951" s="193">
        <f t="shared" si="73"/>
        <v>45102</v>
      </c>
      <c r="F951" s="514"/>
      <c r="G951" s="194" t="s">
        <v>1209</v>
      </c>
      <c r="H951" s="195"/>
      <c r="I951" s="195" t="s">
        <v>1230</v>
      </c>
      <c r="J951" s="191" t="s">
        <v>47</v>
      </c>
      <c r="K951" s="196"/>
      <c r="L951" s="196">
        <v>84220</v>
      </c>
    </row>
    <row r="952" spans="1:13" ht="11.25" customHeight="1" x14ac:dyDescent="0.2">
      <c r="A952" s="197">
        <v>2023</v>
      </c>
      <c r="B952" s="197">
        <v>6</v>
      </c>
      <c r="C952" s="197">
        <v>25</v>
      </c>
      <c r="D952" s="198">
        <f t="shared" si="72"/>
        <v>45102</v>
      </c>
      <c r="E952" s="209">
        <f>DATE(A952,B952,C952)</f>
        <v>45102</v>
      </c>
      <c r="F952" s="513" t="s">
        <v>1210</v>
      </c>
      <c r="G952" s="200" t="s">
        <v>1209</v>
      </c>
      <c r="H952" s="201"/>
      <c r="I952" s="201" t="s">
        <v>335</v>
      </c>
      <c r="J952" s="197" t="s">
        <v>46</v>
      </c>
      <c r="K952" s="202">
        <v>150000</v>
      </c>
      <c r="L952" s="202"/>
      <c r="M952" s="251"/>
    </row>
    <row r="953" spans="1:13" ht="11.25" customHeight="1" x14ac:dyDescent="0.2">
      <c r="A953" s="120">
        <v>2023</v>
      </c>
      <c r="B953" s="120">
        <v>6</v>
      </c>
      <c r="C953" s="120">
        <v>25</v>
      </c>
      <c r="D953" s="208">
        <f t="shared" si="72"/>
        <v>45102</v>
      </c>
      <c r="E953" s="209">
        <f>DATE(A953,B953,C953)</f>
        <v>45102</v>
      </c>
      <c r="F953" s="515"/>
      <c r="G953" s="132" t="s">
        <v>1209</v>
      </c>
      <c r="I953" s="128" t="s">
        <v>335</v>
      </c>
      <c r="J953" s="120" t="s">
        <v>16</v>
      </c>
      <c r="K953" s="207"/>
      <c r="L953" s="207">
        <v>146280</v>
      </c>
    </row>
    <row r="954" spans="1:13" ht="11.25" customHeight="1" x14ac:dyDescent="0.2">
      <c r="A954" s="191">
        <v>2023</v>
      </c>
      <c r="B954" s="191">
        <v>6</v>
      </c>
      <c r="C954" s="191">
        <v>25</v>
      </c>
      <c r="D954" s="192">
        <f t="shared" si="72"/>
        <v>45102</v>
      </c>
      <c r="E954" s="193">
        <f>DATE(A954,B954,C954)</f>
        <v>45102</v>
      </c>
      <c r="F954" s="514"/>
      <c r="G954" s="194" t="s">
        <v>1209</v>
      </c>
      <c r="H954" s="195"/>
      <c r="I954" s="195" t="s">
        <v>335</v>
      </c>
      <c r="J954" s="191" t="s">
        <v>47</v>
      </c>
      <c r="K954" s="196"/>
      <c r="L954" s="196">
        <v>3720</v>
      </c>
    </row>
    <row r="955" spans="1:13" ht="11.25" customHeight="1" x14ac:dyDescent="0.2">
      <c r="A955" s="197">
        <v>2023</v>
      </c>
      <c r="B955" s="197">
        <v>6</v>
      </c>
      <c r="C955" s="197">
        <v>25</v>
      </c>
      <c r="D955" s="198">
        <f t="shared" si="72"/>
        <v>45102</v>
      </c>
      <c r="E955" s="199">
        <f t="shared" si="73"/>
        <v>45102</v>
      </c>
      <c r="F955" s="513" t="s">
        <v>1323</v>
      </c>
      <c r="G955" s="200" t="s">
        <v>1209</v>
      </c>
      <c r="H955" s="201"/>
      <c r="I955" s="201"/>
      <c r="J955" s="197" t="s">
        <v>54</v>
      </c>
      <c r="K955" s="202">
        <v>30</v>
      </c>
      <c r="L955" s="202"/>
    </row>
    <row r="956" spans="1:13" ht="11.25" customHeight="1" x14ac:dyDescent="0.2">
      <c r="A956" s="191">
        <v>2023</v>
      </c>
      <c r="B956" s="191">
        <v>6</v>
      </c>
      <c r="C956" s="191">
        <v>25</v>
      </c>
      <c r="D956" s="192">
        <f t="shared" si="72"/>
        <v>45102</v>
      </c>
      <c r="E956" s="193">
        <f t="shared" si="73"/>
        <v>45102</v>
      </c>
      <c r="F956" s="514"/>
      <c r="G956" s="194" t="s">
        <v>1209</v>
      </c>
      <c r="H956" s="195"/>
      <c r="I956" s="195"/>
      <c r="J956" s="191" t="s">
        <v>46</v>
      </c>
      <c r="K956" s="196"/>
      <c r="L956" s="196">
        <v>30</v>
      </c>
    </row>
    <row r="957" spans="1:13" ht="11.25" customHeight="1" x14ac:dyDescent="0.2">
      <c r="A957" s="197">
        <v>2023</v>
      </c>
      <c r="B957" s="197">
        <v>6</v>
      </c>
      <c r="C957" s="197">
        <v>26</v>
      </c>
      <c r="D957" s="198">
        <f t="shared" si="72"/>
        <v>45103</v>
      </c>
      <c r="E957" s="209">
        <f t="shared" si="73"/>
        <v>45103</v>
      </c>
      <c r="F957" s="513" t="s">
        <v>1280</v>
      </c>
      <c r="G957" s="200" t="s">
        <v>1209</v>
      </c>
      <c r="H957" s="201"/>
      <c r="I957" s="201" t="s">
        <v>1321</v>
      </c>
      <c r="J957" s="197" t="s">
        <v>16</v>
      </c>
      <c r="K957" s="202">
        <v>487610</v>
      </c>
      <c r="L957" s="202"/>
      <c r="M957" s="251"/>
    </row>
    <row r="958" spans="1:13" ht="11.25" customHeight="1" x14ac:dyDescent="0.2">
      <c r="A958" s="120">
        <v>2023</v>
      </c>
      <c r="B958" s="120">
        <v>6</v>
      </c>
      <c r="C958" s="120">
        <v>26</v>
      </c>
      <c r="D958" s="208">
        <f t="shared" si="72"/>
        <v>45103</v>
      </c>
      <c r="E958" s="209">
        <f t="shared" si="73"/>
        <v>45103</v>
      </c>
      <c r="F958" s="515"/>
      <c r="G958" s="132" t="s">
        <v>1209</v>
      </c>
      <c r="I958" s="128" t="s">
        <v>1321</v>
      </c>
      <c r="J958" s="120" t="s">
        <v>47</v>
      </c>
      <c r="K958" s="207">
        <v>12390</v>
      </c>
      <c r="L958" s="207"/>
    </row>
    <row r="959" spans="1:13" ht="11.25" customHeight="1" x14ac:dyDescent="0.2">
      <c r="A959" s="191">
        <v>2023</v>
      </c>
      <c r="B959" s="191">
        <v>6</v>
      </c>
      <c r="C959" s="191">
        <v>26</v>
      </c>
      <c r="D959" s="192">
        <f t="shared" si="72"/>
        <v>45103</v>
      </c>
      <c r="E959" s="193">
        <f t="shared" si="73"/>
        <v>45103</v>
      </c>
      <c r="F959" s="514"/>
      <c r="G959" s="194" t="s">
        <v>1209</v>
      </c>
      <c r="H959" s="195"/>
      <c r="I959" s="195" t="s">
        <v>1321</v>
      </c>
      <c r="J959" s="191" t="s">
        <v>46</v>
      </c>
      <c r="K959" s="196"/>
      <c r="L959" s="196">
        <v>500000</v>
      </c>
    </row>
    <row r="960" spans="1:13" ht="11.25" customHeight="1" x14ac:dyDescent="0.2">
      <c r="A960" s="197">
        <v>2023</v>
      </c>
      <c r="B960" s="197">
        <v>6</v>
      </c>
      <c r="C960" s="197">
        <v>26</v>
      </c>
      <c r="D960" s="198">
        <f t="shared" si="72"/>
        <v>45103</v>
      </c>
      <c r="E960" s="199">
        <f t="shared" ref="E960:E966" si="74">DATE(A960,B960,C960)</f>
        <v>45103</v>
      </c>
      <c r="F960" s="513" t="s">
        <v>1323</v>
      </c>
      <c r="G960" s="200" t="s">
        <v>1209</v>
      </c>
      <c r="H960" s="201"/>
      <c r="I960" s="201"/>
      <c r="J960" s="197" t="s">
        <v>54</v>
      </c>
      <c r="K960" s="202">
        <v>58</v>
      </c>
      <c r="L960" s="202"/>
    </row>
    <row r="961" spans="1:13" ht="11.25" customHeight="1" x14ac:dyDescent="0.2">
      <c r="A961" s="191">
        <v>2023</v>
      </c>
      <c r="B961" s="191">
        <v>6</v>
      </c>
      <c r="C961" s="191">
        <v>26</v>
      </c>
      <c r="D961" s="192">
        <f t="shared" si="72"/>
        <v>45103</v>
      </c>
      <c r="E961" s="193">
        <f t="shared" si="74"/>
        <v>45103</v>
      </c>
      <c r="F961" s="514"/>
      <c r="G961" s="194" t="s">
        <v>1209</v>
      </c>
      <c r="H961" s="195"/>
      <c r="I961" s="195"/>
      <c r="J961" s="191" t="s">
        <v>46</v>
      </c>
      <c r="K961" s="196"/>
      <c r="L961" s="196">
        <v>58</v>
      </c>
    </row>
    <row r="962" spans="1:13" ht="11.25" customHeight="1" x14ac:dyDescent="0.2">
      <c r="A962" s="197">
        <v>2023</v>
      </c>
      <c r="B962" s="197">
        <v>6</v>
      </c>
      <c r="C962" s="197">
        <v>26</v>
      </c>
      <c r="D962" s="198">
        <f t="shared" si="72"/>
        <v>45103</v>
      </c>
      <c r="E962" s="199">
        <f>DATE(A962,B962,C962)</f>
        <v>45103</v>
      </c>
      <c r="F962" s="513" t="s">
        <v>1323</v>
      </c>
      <c r="G962" s="200" t="s">
        <v>1209</v>
      </c>
      <c r="H962" s="201"/>
      <c r="I962" s="201"/>
      <c r="J962" s="197" t="s">
        <v>54</v>
      </c>
      <c r="K962" s="202">
        <v>100</v>
      </c>
      <c r="L962" s="202"/>
    </row>
    <row r="963" spans="1:13" ht="11.25" customHeight="1" x14ac:dyDescent="0.2">
      <c r="A963" s="191">
        <v>2023</v>
      </c>
      <c r="B963" s="191">
        <v>6</v>
      </c>
      <c r="C963" s="191">
        <v>26</v>
      </c>
      <c r="D963" s="192">
        <f t="shared" si="72"/>
        <v>45103</v>
      </c>
      <c r="E963" s="193">
        <f>DATE(A963,B963,C963)</f>
        <v>45103</v>
      </c>
      <c r="F963" s="514"/>
      <c r="G963" s="194" t="s">
        <v>1209</v>
      </c>
      <c r="H963" s="195"/>
      <c r="I963" s="195"/>
      <c r="J963" s="191" t="s">
        <v>46</v>
      </c>
      <c r="K963" s="196"/>
      <c r="L963" s="196">
        <v>100</v>
      </c>
    </row>
    <row r="964" spans="1:13" ht="11.25" customHeight="1" x14ac:dyDescent="0.2">
      <c r="A964" s="197">
        <v>2023</v>
      </c>
      <c r="B964" s="197">
        <v>6</v>
      </c>
      <c r="C964" s="197">
        <v>26</v>
      </c>
      <c r="D964" s="198">
        <f t="shared" si="72"/>
        <v>45103</v>
      </c>
      <c r="E964" s="209">
        <f t="shared" si="74"/>
        <v>45103</v>
      </c>
      <c r="F964" s="513" t="s">
        <v>1210</v>
      </c>
      <c r="G964" s="200" t="s">
        <v>1209</v>
      </c>
      <c r="H964" s="201"/>
      <c r="I964" s="201" t="s">
        <v>1333</v>
      </c>
      <c r="J964" s="197" t="s">
        <v>46</v>
      </c>
      <c r="K964" s="202">
        <v>100000</v>
      </c>
      <c r="L964" s="202"/>
      <c r="M964" s="251"/>
    </row>
    <row r="965" spans="1:13" ht="11.25" customHeight="1" x14ac:dyDescent="0.2">
      <c r="A965" s="120">
        <v>2023</v>
      </c>
      <c r="B965" s="120">
        <v>6</v>
      </c>
      <c r="C965" s="120">
        <v>26</v>
      </c>
      <c r="D965" s="208">
        <f t="shared" si="72"/>
        <v>45103</v>
      </c>
      <c r="E965" s="209">
        <f t="shared" si="74"/>
        <v>45103</v>
      </c>
      <c r="F965" s="515"/>
      <c r="G965" s="132" t="s">
        <v>1209</v>
      </c>
      <c r="I965" s="128" t="s">
        <v>1333</v>
      </c>
      <c r="J965" s="120" t="s">
        <v>16</v>
      </c>
      <c r="K965" s="207"/>
      <c r="L965" s="207">
        <v>97520</v>
      </c>
    </row>
    <row r="966" spans="1:13" ht="11.25" customHeight="1" x14ac:dyDescent="0.2">
      <c r="A966" s="191">
        <v>2023</v>
      </c>
      <c r="B966" s="191">
        <v>6</v>
      </c>
      <c r="C966" s="191">
        <v>26</v>
      </c>
      <c r="D966" s="192">
        <f t="shared" si="72"/>
        <v>45103</v>
      </c>
      <c r="E966" s="193">
        <f t="shared" si="74"/>
        <v>45103</v>
      </c>
      <c r="F966" s="514"/>
      <c r="G966" s="194" t="s">
        <v>1209</v>
      </c>
      <c r="H966" s="195"/>
      <c r="I966" s="195" t="s">
        <v>1333</v>
      </c>
      <c r="J966" s="191" t="s">
        <v>47</v>
      </c>
      <c r="K966" s="196"/>
      <c r="L966" s="196">
        <v>2480</v>
      </c>
    </row>
    <row r="967" spans="1:13" ht="11.25" customHeight="1" x14ac:dyDescent="0.2">
      <c r="A967" s="197">
        <v>2023</v>
      </c>
      <c r="B967" s="197">
        <v>6</v>
      </c>
      <c r="C967" s="197">
        <v>26</v>
      </c>
      <c r="D967" s="198">
        <f t="shared" si="72"/>
        <v>45103</v>
      </c>
      <c r="E967" s="209">
        <f t="shared" ref="E967:E982" si="75">DATE(A967,B967,C967)</f>
        <v>45103</v>
      </c>
      <c r="F967" s="513" t="s">
        <v>1296</v>
      </c>
      <c r="G967" s="200" t="s">
        <v>1209</v>
      </c>
      <c r="H967" s="201"/>
      <c r="I967" s="201"/>
      <c r="J967" s="197" t="s">
        <v>46</v>
      </c>
      <c r="K967" s="202">
        <v>60000</v>
      </c>
      <c r="L967" s="202"/>
      <c r="M967" s="251"/>
    </row>
    <row r="968" spans="1:13" ht="11.25" customHeight="1" x14ac:dyDescent="0.2">
      <c r="A968" s="120">
        <v>2023</v>
      </c>
      <c r="B968" s="120">
        <v>6</v>
      </c>
      <c r="C968" s="120">
        <v>26</v>
      </c>
      <c r="D968" s="208">
        <f t="shared" si="72"/>
        <v>45103</v>
      </c>
      <c r="E968" s="209">
        <f t="shared" si="75"/>
        <v>45103</v>
      </c>
      <c r="F968" s="515"/>
      <c r="G968" s="132" t="s">
        <v>1209</v>
      </c>
      <c r="J968" s="120" t="s">
        <v>16</v>
      </c>
      <c r="K968" s="207"/>
      <c r="L968" s="207">
        <v>58510</v>
      </c>
    </row>
    <row r="969" spans="1:13" ht="11.25" customHeight="1" x14ac:dyDescent="0.2">
      <c r="A969" s="191">
        <v>2023</v>
      </c>
      <c r="B969" s="191">
        <v>6</v>
      </c>
      <c r="C969" s="191">
        <v>26</v>
      </c>
      <c r="D969" s="192">
        <f t="shared" si="72"/>
        <v>45103</v>
      </c>
      <c r="E969" s="193">
        <f t="shared" si="75"/>
        <v>45103</v>
      </c>
      <c r="F969" s="514"/>
      <c r="G969" s="194" t="s">
        <v>1209</v>
      </c>
      <c r="H969" s="195"/>
      <c r="I969" s="195"/>
      <c r="J969" s="191" t="s">
        <v>47</v>
      </c>
      <c r="K969" s="196"/>
      <c r="L969" s="196">
        <v>1490</v>
      </c>
    </row>
    <row r="970" spans="1:13" ht="11.25" customHeight="1" x14ac:dyDescent="0.2">
      <c r="A970" s="197">
        <v>2023</v>
      </c>
      <c r="B970" s="197">
        <v>6</v>
      </c>
      <c r="C970" s="197">
        <v>26</v>
      </c>
      <c r="D970" s="198">
        <f t="shared" si="72"/>
        <v>45103</v>
      </c>
      <c r="E970" s="209">
        <f t="shared" si="75"/>
        <v>45103</v>
      </c>
      <c r="F970" s="513" t="s">
        <v>1210</v>
      </c>
      <c r="G970" s="200" t="s">
        <v>1209</v>
      </c>
      <c r="H970" s="201"/>
      <c r="I970" s="201" t="s">
        <v>1356</v>
      </c>
      <c r="J970" s="197" t="s">
        <v>46</v>
      </c>
      <c r="K970" s="202">
        <v>100000</v>
      </c>
      <c r="L970" s="202"/>
      <c r="M970" s="251"/>
    </row>
    <row r="971" spans="1:13" ht="11.25" customHeight="1" x14ac:dyDescent="0.2">
      <c r="A971" s="120">
        <v>2023</v>
      </c>
      <c r="B971" s="120">
        <v>6</v>
      </c>
      <c r="C971" s="120">
        <v>26</v>
      </c>
      <c r="D971" s="208">
        <f t="shared" si="72"/>
        <v>45103</v>
      </c>
      <c r="E971" s="209">
        <f t="shared" si="75"/>
        <v>45103</v>
      </c>
      <c r="F971" s="515"/>
      <c r="G971" s="132" t="s">
        <v>1209</v>
      </c>
      <c r="I971" s="128" t="s">
        <v>1356</v>
      </c>
      <c r="J971" s="120" t="s">
        <v>16</v>
      </c>
      <c r="K971" s="207"/>
      <c r="L971" s="207">
        <v>97520</v>
      </c>
    </row>
    <row r="972" spans="1:13" ht="11.25" customHeight="1" x14ac:dyDescent="0.2">
      <c r="A972" s="191">
        <v>2023</v>
      </c>
      <c r="B972" s="191">
        <v>6</v>
      </c>
      <c r="C972" s="191">
        <v>26</v>
      </c>
      <c r="D972" s="192">
        <f t="shared" si="72"/>
        <v>45103</v>
      </c>
      <c r="E972" s="193">
        <f t="shared" si="75"/>
        <v>45103</v>
      </c>
      <c r="F972" s="514"/>
      <c r="G972" s="194" t="s">
        <v>1209</v>
      </c>
      <c r="H972" s="195"/>
      <c r="I972" s="195" t="s">
        <v>1356</v>
      </c>
      <c r="J972" s="191" t="s">
        <v>47</v>
      </c>
      <c r="K972" s="196"/>
      <c r="L972" s="196">
        <v>2480</v>
      </c>
    </row>
    <row r="973" spans="1:13" ht="11.25" customHeight="1" x14ac:dyDescent="0.2">
      <c r="A973" s="197">
        <v>2023</v>
      </c>
      <c r="B973" s="197">
        <v>6</v>
      </c>
      <c r="C973" s="197">
        <v>26</v>
      </c>
      <c r="D973" s="198">
        <f t="shared" si="72"/>
        <v>45103</v>
      </c>
      <c r="E973" s="209">
        <f t="shared" si="75"/>
        <v>45103</v>
      </c>
      <c r="F973" s="513" t="s">
        <v>1210</v>
      </c>
      <c r="G973" s="200" t="s">
        <v>1209</v>
      </c>
      <c r="H973" s="201"/>
      <c r="I973" s="201" t="s">
        <v>394</v>
      </c>
      <c r="J973" s="197" t="s">
        <v>46</v>
      </c>
      <c r="K973" s="202">
        <v>150000</v>
      </c>
      <c r="L973" s="202"/>
      <c r="M973" s="251"/>
    </row>
    <row r="974" spans="1:13" ht="11.25" customHeight="1" x14ac:dyDescent="0.2">
      <c r="A974" s="120">
        <v>2023</v>
      </c>
      <c r="B974" s="120">
        <v>6</v>
      </c>
      <c r="C974" s="120">
        <v>26</v>
      </c>
      <c r="D974" s="208">
        <f t="shared" si="72"/>
        <v>45103</v>
      </c>
      <c r="E974" s="209">
        <f t="shared" si="75"/>
        <v>45103</v>
      </c>
      <c r="F974" s="515"/>
      <c r="G974" s="132" t="s">
        <v>1209</v>
      </c>
      <c r="I974" s="128" t="s">
        <v>394</v>
      </c>
      <c r="J974" s="120" t="s">
        <v>16</v>
      </c>
      <c r="K974" s="207"/>
      <c r="L974" s="207">
        <v>146280</v>
      </c>
    </row>
    <row r="975" spans="1:13" ht="11.25" customHeight="1" x14ac:dyDescent="0.2">
      <c r="A975" s="191">
        <v>2023</v>
      </c>
      <c r="B975" s="191">
        <v>6</v>
      </c>
      <c r="C975" s="191">
        <v>26</v>
      </c>
      <c r="D975" s="192">
        <f t="shared" si="72"/>
        <v>45103</v>
      </c>
      <c r="E975" s="193">
        <f t="shared" si="75"/>
        <v>45103</v>
      </c>
      <c r="F975" s="514"/>
      <c r="G975" s="194" t="s">
        <v>1209</v>
      </c>
      <c r="H975" s="195"/>
      <c r="I975" s="195" t="s">
        <v>394</v>
      </c>
      <c r="J975" s="191" t="s">
        <v>47</v>
      </c>
      <c r="K975" s="196"/>
      <c r="L975" s="196">
        <v>3720</v>
      </c>
    </row>
    <row r="976" spans="1:13" ht="11.25" customHeight="1" x14ac:dyDescent="0.2">
      <c r="A976" s="197">
        <v>2023</v>
      </c>
      <c r="B976" s="197">
        <v>6</v>
      </c>
      <c r="C976" s="197">
        <v>26</v>
      </c>
      <c r="D976" s="198">
        <f t="shared" si="72"/>
        <v>45103</v>
      </c>
      <c r="E976" s="209">
        <f t="shared" si="75"/>
        <v>45103</v>
      </c>
      <c r="F976" s="513" t="s">
        <v>1210</v>
      </c>
      <c r="G976" s="200" t="s">
        <v>1209</v>
      </c>
      <c r="H976" s="201"/>
      <c r="I976" s="201" t="s">
        <v>1357</v>
      </c>
      <c r="J976" s="197" t="s">
        <v>46</v>
      </c>
      <c r="K976" s="202">
        <v>75000</v>
      </c>
      <c r="L976" s="202"/>
      <c r="M976" s="251"/>
    </row>
    <row r="977" spans="1:14" ht="11.25" customHeight="1" x14ac:dyDescent="0.2">
      <c r="A977" s="120">
        <v>2023</v>
      </c>
      <c r="B977" s="120">
        <v>6</v>
      </c>
      <c r="C977" s="120">
        <v>26</v>
      </c>
      <c r="D977" s="208">
        <f t="shared" si="72"/>
        <v>45103</v>
      </c>
      <c r="E977" s="209">
        <f t="shared" si="75"/>
        <v>45103</v>
      </c>
      <c r="F977" s="515"/>
      <c r="G977" s="132" t="s">
        <v>1209</v>
      </c>
      <c r="I977" s="128" t="s">
        <v>1357</v>
      </c>
      <c r="J977" s="120" t="s">
        <v>16</v>
      </c>
      <c r="K977" s="207"/>
      <c r="L977" s="207">
        <v>73140</v>
      </c>
    </row>
    <row r="978" spans="1:14" ht="11.25" customHeight="1" x14ac:dyDescent="0.2">
      <c r="A978" s="191">
        <v>2023</v>
      </c>
      <c r="B978" s="191">
        <v>6</v>
      </c>
      <c r="C978" s="191">
        <v>26</v>
      </c>
      <c r="D978" s="192">
        <f t="shared" si="72"/>
        <v>45103</v>
      </c>
      <c r="E978" s="193">
        <f t="shared" si="75"/>
        <v>45103</v>
      </c>
      <c r="F978" s="514"/>
      <c r="G978" s="194" t="s">
        <v>1209</v>
      </c>
      <c r="H978" s="195"/>
      <c r="I978" s="195" t="s">
        <v>1357</v>
      </c>
      <c r="J978" s="191" t="s">
        <v>47</v>
      </c>
      <c r="K978" s="196"/>
      <c r="L978" s="196">
        <v>1860</v>
      </c>
    </row>
    <row r="979" spans="1:14" ht="11.25" customHeight="1" x14ac:dyDescent="0.2">
      <c r="A979" s="197">
        <v>2023</v>
      </c>
      <c r="B979" s="197">
        <v>6</v>
      </c>
      <c r="C979" s="197">
        <v>26</v>
      </c>
      <c r="D979" s="198">
        <f t="shared" si="72"/>
        <v>45103</v>
      </c>
      <c r="E979" s="199">
        <f t="shared" si="75"/>
        <v>45103</v>
      </c>
      <c r="F979" s="513" t="s">
        <v>1323</v>
      </c>
      <c r="G979" s="200" t="s">
        <v>1209</v>
      </c>
      <c r="H979" s="201"/>
      <c r="I979" s="201"/>
      <c r="J979" s="197" t="s">
        <v>54</v>
      </c>
      <c r="K979" s="202">
        <v>100</v>
      </c>
      <c r="L979" s="202"/>
    </row>
    <row r="980" spans="1:14" ht="11.25" customHeight="1" x14ac:dyDescent="0.2">
      <c r="A980" s="191">
        <v>2023</v>
      </c>
      <c r="B980" s="191">
        <v>6</v>
      </c>
      <c r="C980" s="191">
        <v>26</v>
      </c>
      <c r="D980" s="192">
        <f t="shared" si="72"/>
        <v>45103</v>
      </c>
      <c r="E980" s="193">
        <f t="shared" si="75"/>
        <v>45103</v>
      </c>
      <c r="F980" s="514"/>
      <c r="G980" s="194" t="s">
        <v>1209</v>
      </c>
      <c r="H980" s="195"/>
      <c r="I980" s="195"/>
      <c r="J980" s="191" t="s">
        <v>46</v>
      </c>
      <c r="K980" s="196"/>
      <c r="L980" s="196">
        <v>100</v>
      </c>
    </row>
    <row r="981" spans="1:14" ht="11.25" customHeight="1" x14ac:dyDescent="0.2">
      <c r="A981" s="197">
        <v>2023</v>
      </c>
      <c r="B981" s="197">
        <v>6</v>
      </c>
      <c r="C981" s="197">
        <v>26</v>
      </c>
      <c r="D981" s="198">
        <f t="shared" si="72"/>
        <v>45103</v>
      </c>
      <c r="E981" s="199">
        <f t="shared" si="75"/>
        <v>45103</v>
      </c>
      <c r="F981" s="513" t="s">
        <v>1358</v>
      </c>
      <c r="G981" s="200" t="s">
        <v>1209</v>
      </c>
      <c r="H981" s="201"/>
      <c r="I981" s="201" t="s">
        <v>1253</v>
      </c>
      <c r="J981" s="197" t="s">
        <v>1475</v>
      </c>
      <c r="K981" s="202">
        <v>5561778.2599999998</v>
      </c>
      <c r="L981" s="202"/>
    </row>
    <row r="982" spans="1:14" ht="11.25" customHeight="1" x14ac:dyDescent="0.2">
      <c r="A982" s="191">
        <v>2023</v>
      </c>
      <c r="B982" s="191">
        <v>6</v>
      </c>
      <c r="C982" s="191">
        <v>26</v>
      </c>
      <c r="D982" s="192">
        <f t="shared" si="72"/>
        <v>45103</v>
      </c>
      <c r="E982" s="193">
        <f t="shared" si="75"/>
        <v>45103</v>
      </c>
      <c r="F982" s="514"/>
      <c r="G982" s="194" t="s">
        <v>1209</v>
      </c>
      <c r="H982" s="195"/>
      <c r="I982" s="195" t="s">
        <v>1253</v>
      </c>
      <c r="J982" s="191" t="s">
        <v>46</v>
      </c>
      <c r="K982" s="196"/>
      <c r="L982" s="196">
        <v>5561778.2599999998</v>
      </c>
      <c r="N982" s="130"/>
    </row>
    <row r="983" spans="1:14" ht="11.25" customHeight="1" x14ac:dyDescent="0.2">
      <c r="A983" s="197">
        <v>2023</v>
      </c>
      <c r="B983" s="197">
        <v>6</v>
      </c>
      <c r="C983" s="197">
        <v>26</v>
      </c>
      <c r="D983" s="198">
        <f t="shared" si="72"/>
        <v>45103</v>
      </c>
      <c r="E983" s="290">
        <f t="shared" ref="E983:E989" si="76">DATE(A983,B983,C983)</f>
        <v>45103</v>
      </c>
      <c r="F983" s="513" t="s">
        <v>1360</v>
      </c>
      <c r="G983" s="200" t="s">
        <v>1209</v>
      </c>
      <c r="H983" s="201"/>
      <c r="I983" s="201" t="s">
        <v>1253</v>
      </c>
      <c r="J983" s="197" t="s">
        <v>46</v>
      </c>
      <c r="K983" s="202">
        <v>563172</v>
      </c>
      <c r="L983" s="202"/>
    </row>
    <row r="984" spans="1:14" ht="11.25" customHeight="1" x14ac:dyDescent="0.2">
      <c r="A984" s="191">
        <v>2023</v>
      </c>
      <c r="B984" s="191">
        <v>6</v>
      </c>
      <c r="C984" s="191">
        <v>26</v>
      </c>
      <c r="D984" s="192">
        <f t="shared" si="72"/>
        <v>45103</v>
      </c>
      <c r="E984" s="291">
        <f t="shared" si="76"/>
        <v>45103</v>
      </c>
      <c r="F984" s="514"/>
      <c r="G984" s="194" t="s">
        <v>1209</v>
      </c>
      <c r="H984" s="195"/>
      <c r="I984" s="195" t="s">
        <v>1253</v>
      </c>
      <c r="J984" s="191" t="s">
        <v>58</v>
      </c>
      <c r="K984" s="196"/>
      <c r="L984" s="196">
        <v>563172</v>
      </c>
    </row>
    <row r="985" spans="1:14" ht="11.25" customHeight="1" x14ac:dyDescent="0.2">
      <c r="A985" s="197">
        <v>2023</v>
      </c>
      <c r="B985" s="197">
        <v>6</v>
      </c>
      <c r="C985" s="197">
        <v>28</v>
      </c>
      <c r="D985" s="198">
        <f t="shared" si="72"/>
        <v>45105</v>
      </c>
      <c r="E985" s="199">
        <f t="shared" si="76"/>
        <v>45105</v>
      </c>
      <c r="F985" s="513" t="s">
        <v>1323</v>
      </c>
      <c r="G985" s="200" t="s">
        <v>1209</v>
      </c>
      <c r="H985" s="201"/>
      <c r="I985" s="201"/>
      <c r="J985" s="197" t="s">
        <v>54</v>
      </c>
      <c r="K985" s="202">
        <v>575</v>
      </c>
      <c r="L985" s="202"/>
    </row>
    <row r="986" spans="1:14" ht="11.25" customHeight="1" x14ac:dyDescent="0.2">
      <c r="A986" s="191">
        <v>2023</v>
      </c>
      <c r="B986" s="191">
        <v>6</v>
      </c>
      <c r="C986" s="191">
        <v>28</v>
      </c>
      <c r="D986" s="192">
        <f t="shared" si="72"/>
        <v>45105</v>
      </c>
      <c r="E986" s="193">
        <f t="shared" si="76"/>
        <v>45105</v>
      </c>
      <c r="F986" s="514"/>
      <c r="G986" s="194" t="s">
        <v>1209</v>
      </c>
      <c r="H986" s="195"/>
      <c r="I986" s="195"/>
      <c r="J986" s="191" t="s">
        <v>46</v>
      </c>
      <c r="K986" s="196"/>
      <c r="L986" s="196">
        <v>575</v>
      </c>
    </row>
    <row r="987" spans="1:14" ht="11.25" customHeight="1" x14ac:dyDescent="0.2">
      <c r="A987" s="197">
        <v>2023</v>
      </c>
      <c r="B987" s="197">
        <v>6</v>
      </c>
      <c r="C987" s="197">
        <v>26</v>
      </c>
      <c r="D987" s="198">
        <f t="shared" si="72"/>
        <v>45103</v>
      </c>
      <c r="E987" s="209">
        <f t="shared" si="76"/>
        <v>45103</v>
      </c>
      <c r="F987" s="513" t="s">
        <v>1296</v>
      </c>
      <c r="G987" s="200" t="s">
        <v>1209</v>
      </c>
      <c r="H987" s="201"/>
      <c r="I987" s="201"/>
      <c r="J987" s="197" t="s">
        <v>46</v>
      </c>
      <c r="K987" s="202">
        <v>21000</v>
      </c>
      <c r="L987" s="202"/>
      <c r="M987" s="251"/>
    </row>
    <row r="988" spans="1:14" ht="11.25" customHeight="1" x14ac:dyDescent="0.2">
      <c r="A988" s="120">
        <v>2023</v>
      </c>
      <c r="B988" s="120">
        <v>6</v>
      </c>
      <c r="C988" s="120">
        <v>26</v>
      </c>
      <c r="D988" s="208">
        <f t="shared" si="72"/>
        <v>45103</v>
      </c>
      <c r="E988" s="209">
        <f t="shared" si="76"/>
        <v>45103</v>
      </c>
      <c r="F988" s="515"/>
      <c r="G988" s="132" t="s">
        <v>1209</v>
      </c>
      <c r="J988" s="120" t="s">
        <v>16</v>
      </c>
      <c r="K988" s="207"/>
      <c r="L988" s="207">
        <v>20450</v>
      </c>
    </row>
    <row r="989" spans="1:14" ht="11.25" customHeight="1" x14ac:dyDescent="0.2">
      <c r="A989" s="191">
        <v>2023</v>
      </c>
      <c r="B989" s="191">
        <v>6</v>
      </c>
      <c r="C989" s="191">
        <v>26</v>
      </c>
      <c r="D989" s="192">
        <f t="shared" si="72"/>
        <v>45103</v>
      </c>
      <c r="E989" s="193">
        <f t="shared" si="76"/>
        <v>45103</v>
      </c>
      <c r="F989" s="514"/>
      <c r="G989" s="194" t="s">
        <v>1209</v>
      </c>
      <c r="H989" s="195"/>
      <c r="I989" s="195"/>
      <c r="J989" s="191" t="s">
        <v>47</v>
      </c>
      <c r="K989" s="196"/>
      <c r="L989" s="196">
        <v>550</v>
      </c>
    </row>
    <row r="990" spans="1:14" ht="11.25" customHeight="1" x14ac:dyDescent="0.2">
      <c r="A990" s="197">
        <v>2023</v>
      </c>
      <c r="B990" s="197">
        <v>6</v>
      </c>
      <c r="C990" s="197">
        <v>27</v>
      </c>
      <c r="D990" s="198">
        <f t="shared" si="72"/>
        <v>45104</v>
      </c>
      <c r="E990" s="209">
        <f t="shared" ref="E990:E1004" si="77">DATE(A990,B990,C990)</f>
        <v>45104</v>
      </c>
      <c r="F990" s="513" t="s">
        <v>1296</v>
      </c>
      <c r="G990" s="200" t="s">
        <v>1209</v>
      </c>
      <c r="H990" s="201"/>
      <c r="I990" s="201"/>
      <c r="J990" s="197" t="s">
        <v>46</v>
      </c>
      <c r="K990" s="202">
        <v>106540</v>
      </c>
      <c r="L990" s="202"/>
      <c r="M990" s="251"/>
    </row>
    <row r="991" spans="1:14" ht="11.25" customHeight="1" x14ac:dyDescent="0.2">
      <c r="A991" s="120">
        <v>2023</v>
      </c>
      <c r="B991" s="120">
        <v>6</v>
      </c>
      <c r="C991" s="120">
        <v>27</v>
      </c>
      <c r="D991" s="208">
        <f t="shared" si="72"/>
        <v>45104</v>
      </c>
      <c r="E991" s="209">
        <f t="shared" si="77"/>
        <v>45104</v>
      </c>
      <c r="F991" s="515"/>
      <c r="G991" s="132" t="s">
        <v>1209</v>
      </c>
      <c r="J991" s="120" t="s">
        <v>16</v>
      </c>
      <c r="K991" s="207"/>
      <c r="L991" s="207">
        <v>103740</v>
      </c>
    </row>
    <row r="992" spans="1:14" ht="11.25" customHeight="1" x14ac:dyDescent="0.2">
      <c r="A992" s="191">
        <v>2023</v>
      </c>
      <c r="B992" s="191">
        <v>6</v>
      </c>
      <c r="C992" s="191">
        <v>27</v>
      </c>
      <c r="D992" s="192">
        <f t="shared" si="72"/>
        <v>45104</v>
      </c>
      <c r="E992" s="193">
        <f t="shared" si="77"/>
        <v>45104</v>
      </c>
      <c r="F992" s="514"/>
      <c r="G992" s="194" t="s">
        <v>1209</v>
      </c>
      <c r="H992" s="195"/>
      <c r="I992" s="195"/>
      <c r="J992" s="191" t="s">
        <v>47</v>
      </c>
      <c r="K992" s="196"/>
      <c r="L992" s="196">
        <v>2800</v>
      </c>
    </row>
    <row r="993" spans="1:15" ht="11.25" customHeight="1" x14ac:dyDescent="0.2">
      <c r="A993" s="197">
        <v>2023</v>
      </c>
      <c r="B993" s="197">
        <v>6</v>
      </c>
      <c r="C993" s="197">
        <v>26</v>
      </c>
      <c r="D993" s="198">
        <f t="shared" si="72"/>
        <v>45103</v>
      </c>
      <c r="E993" s="290">
        <f t="shared" si="77"/>
        <v>45103</v>
      </c>
      <c r="F993" s="513" t="s">
        <v>1360</v>
      </c>
      <c r="G993" s="200" t="s">
        <v>1209</v>
      </c>
      <c r="H993" s="201"/>
      <c r="I993" s="201" t="s">
        <v>1253</v>
      </c>
      <c r="J993" s="197" t="s">
        <v>46</v>
      </c>
      <c r="K993" s="202">
        <v>26952</v>
      </c>
      <c r="L993" s="202"/>
    </row>
    <row r="994" spans="1:15" ht="11.25" customHeight="1" x14ac:dyDescent="0.2">
      <c r="A994" s="191">
        <v>2023</v>
      </c>
      <c r="B994" s="191">
        <v>6</v>
      </c>
      <c r="C994" s="191">
        <v>26</v>
      </c>
      <c r="D994" s="192">
        <f t="shared" si="72"/>
        <v>45103</v>
      </c>
      <c r="E994" s="291">
        <f t="shared" si="77"/>
        <v>45103</v>
      </c>
      <c r="F994" s="514"/>
      <c r="G994" s="194" t="s">
        <v>1209</v>
      </c>
      <c r="H994" s="195"/>
      <c r="I994" s="195" t="s">
        <v>1253</v>
      </c>
      <c r="J994" s="191" t="s">
        <v>58</v>
      </c>
      <c r="K994" s="196"/>
      <c r="L994" s="196">
        <v>26952</v>
      </c>
    </row>
    <row r="995" spans="1:15" ht="11.25" customHeight="1" x14ac:dyDescent="0.2">
      <c r="A995" s="197">
        <v>2023</v>
      </c>
      <c r="B995" s="197">
        <v>6</v>
      </c>
      <c r="C995" s="197">
        <v>28</v>
      </c>
      <c r="D995" s="198">
        <f t="shared" si="72"/>
        <v>45105</v>
      </c>
      <c r="E995" s="199">
        <f t="shared" si="77"/>
        <v>45105</v>
      </c>
      <c r="F995" s="513" t="s">
        <v>1323</v>
      </c>
      <c r="G995" s="200" t="s">
        <v>1209</v>
      </c>
      <c r="H995" s="201"/>
      <c r="I995" s="201"/>
      <c r="J995" s="197" t="s">
        <v>54</v>
      </c>
      <c r="K995" s="202">
        <v>345</v>
      </c>
      <c r="L995" s="202"/>
    </row>
    <row r="996" spans="1:15" ht="11.25" customHeight="1" x14ac:dyDescent="0.2">
      <c r="A996" s="191">
        <v>2023</v>
      </c>
      <c r="B996" s="191">
        <v>6</v>
      </c>
      <c r="C996" s="191">
        <v>28</v>
      </c>
      <c r="D996" s="192">
        <f t="shared" si="72"/>
        <v>45105</v>
      </c>
      <c r="E996" s="193">
        <f t="shared" si="77"/>
        <v>45105</v>
      </c>
      <c r="F996" s="514"/>
      <c r="G996" s="194" t="s">
        <v>1209</v>
      </c>
      <c r="H996" s="195"/>
      <c r="I996" s="195"/>
      <c r="J996" s="191" t="s">
        <v>46</v>
      </c>
      <c r="K996" s="196"/>
      <c r="L996" s="196">
        <v>345</v>
      </c>
    </row>
    <row r="997" spans="1:15" ht="11.25" customHeight="1" x14ac:dyDescent="0.2">
      <c r="A997" s="197">
        <v>2023</v>
      </c>
      <c r="B997" s="197">
        <v>6</v>
      </c>
      <c r="C997" s="197">
        <v>30</v>
      </c>
      <c r="D997" s="198">
        <f t="shared" si="72"/>
        <v>45107</v>
      </c>
      <c r="E997" s="290">
        <f t="shared" si="77"/>
        <v>45107</v>
      </c>
      <c r="F997" s="513" t="s">
        <v>1361</v>
      </c>
      <c r="G997" s="200" t="s">
        <v>1209</v>
      </c>
      <c r="H997" s="201"/>
      <c r="I997" s="201" t="s">
        <v>1253</v>
      </c>
      <c r="J997" s="197" t="s">
        <v>46</v>
      </c>
      <c r="K997" s="202">
        <v>1225.53</v>
      </c>
      <c r="L997" s="202"/>
      <c r="M997" s="251">
        <v>155915141.88</v>
      </c>
      <c r="N997" s="251">
        <v>146490736.09</v>
      </c>
      <c r="O997" s="251">
        <f>M997-N997</f>
        <v>9424405.7899999917</v>
      </c>
    </row>
    <row r="998" spans="1:15" ht="11.25" customHeight="1" x14ac:dyDescent="0.2">
      <c r="A998" s="191">
        <v>2023</v>
      </c>
      <c r="B998" s="191">
        <v>6</v>
      </c>
      <c r="C998" s="191">
        <v>30</v>
      </c>
      <c r="D998" s="192">
        <f t="shared" si="72"/>
        <v>45107</v>
      </c>
      <c r="E998" s="291">
        <f t="shared" si="77"/>
        <v>45107</v>
      </c>
      <c r="F998" s="514"/>
      <c r="G998" s="194" t="s">
        <v>1209</v>
      </c>
      <c r="H998" s="195"/>
      <c r="I998" s="195" t="s">
        <v>1253</v>
      </c>
      <c r="J998" s="191" t="s">
        <v>58</v>
      </c>
      <c r="K998" s="196"/>
      <c r="L998" s="196">
        <v>1225.53</v>
      </c>
    </row>
    <row r="999" spans="1:15" ht="11.25" customHeight="1" x14ac:dyDescent="0.2">
      <c r="A999" s="197">
        <v>2023</v>
      </c>
      <c r="B999" s="197">
        <v>6</v>
      </c>
      <c r="C999" s="197">
        <v>28</v>
      </c>
      <c r="D999" s="198">
        <f t="shared" ref="D999:D1060" si="78">DATE(A999,B999,C999)</f>
        <v>45105</v>
      </c>
      <c r="E999" s="199">
        <f t="shared" si="77"/>
        <v>45105</v>
      </c>
      <c r="F999" s="513" t="s">
        <v>1363</v>
      </c>
      <c r="G999" s="200" t="s">
        <v>1209</v>
      </c>
      <c r="H999" s="201"/>
      <c r="I999" s="201"/>
      <c r="J999" s="197" t="s">
        <v>54</v>
      </c>
      <c r="K999" s="202">
        <v>345</v>
      </c>
      <c r="L999" s="202"/>
    </row>
    <row r="1000" spans="1:15" ht="11.25" customHeight="1" x14ac:dyDescent="0.2">
      <c r="A1000" s="191">
        <v>2023</v>
      </c>
      <c r="B1000" s="191">
        <v>6</v>
      </c>
      <c r="C1000" s="191">
        <v>28</v>
      </c>
      <c r="D1000" s="192">
        <f t="shared" si="78"/>
        <v>45105</v>
      </c>
      <c r="E1000" s="193">
        <f t="shared" si="77"/>
        <v>45105</v>
      </c>
      <c r="F1000" s="514"/>
      <c r="G1000" s="194" t="s">
        <v>1209</v>
      </c>
      <c r="H1000" s="195"/>
      <c r="I1000" s="195"/>
      <c r="J1000" s="191" t="s">
        <v>46</v>
      </c>
      <c r="K1000" s="196"/>
      <c r="L1000" s="196">
        <v>345</v>
      </c>
    </row>
    <row r="1001" spans="1:15" ht="11.25" customHeight="1" x14ac:dyDescent="0.2">
      <c r="A1001" s="197">
        <v>2023</v>
      </c>
      <c r="B1001" s="197">
        <v>6</v>
      </c>
      <c r="C1001" s="197">
        <v>28</v>
      </c>
      <c r="D1001" s="198">
        <f t="shared" si="78"/>
        <v>45105</v>
      </c>
      <c r="E1001" s="199">
        <f t="shared" si="77"/>
        <v>45105</v>
      </c>
      <c r="F1001" s="513" t="s">
        <v>1363</v>
      </c>
      <c r="G1001" s="200" t="s">
        <v>1209</v>
      </c>
      <c r="H1001" s="201"/>
      <c r="I1001" s="201"/>
      <c r="J1001" s="197" t="s">
        <v>54</v>
      </c>
      <c r="K1001" s="202">
        <v>287.5</v>
      </c>
      <c r="L1001" s="202"/>
    </row>
    <row r="1002" spans="1:15" ht="11.25" customHeight="1" x14ac:dyDescent="0.2">
      <c r="A1002" s="191">
        <v>2023</v>
      </c>
      <c r="B1002" s="191">
        <v>6</v>
      </c>
      <c r="C1002" s="191">
        <v>28</v>
      </c>
      <c r="D1002" s="192">
        <f t="shared" si="78"/>
        <v>45105</v>
      </c>
      <c r="E1002" s="193">
        <f t="shared" si="77"/>
        <v>45105</v>
      </c>
      <c r="F1002" s="514"/>
      <c r="G1002" s="194" t="s">
        <v>1209</v>
      </c>
      <c r="H1002" s="195"/>
      <c r="I1002" s="195"/>
      <c r="J1002" s="191" t="s">
        <v>46</v>
      </c>
      <c r="K1002" s="196"/>
      <c r="L1002" s="196">
        <v>287.5</v>
      </c>
    </row>
    <row r="1003" spans="1:15" ht="11.25" customHeight="1" x14ac:dyDescent="0.2">
      <c r="A1003" s="197">
        <v>2023</v>
      </c>
      <c r="B1003" s="197">
        <v>6</v>
      </c>
      <c r="C1003" s="197">
        <v>30</v>
      </c>
      <c r="D1003" s="198">
        <f t="shared" si="78"/>
        <v>45107</v>
      </c>
      <c r="E1003" s="199">
        <f t="shared" si="77"/>
        <v>45107</v>
      </c>
      <c r="F1003" s="513" t="s">
        <v>1370</v>
      </c>
      <c r="G1003" s="200" t="s">
        <v>1245</v>
      </c>
      <c r="H1003" s="201"/>
      <c r="I1003" s="201"/>
      <c r="J1003" s="197" t="s">
        <v>83</v>
      </c>
      <c r="K1003" s="202">
        <v>20000</v>
      </c>
      <c r="L1003" s="202"/>
    </row>
    <row r="1004" spans="1:15" ht="11.25" customHeight="1" x14ac:dyDescent="0.2">
      <c r="A1004" s="191">
        <v>2023</v>
      </c>
      <c r="B1004" s="191">
        <v>6</v>
      </c>
      <c r="C1004" s="191">
        <v>30</v>
      </c>
      <c r="D1004" s="192">
        <f t="shared" si="78"/>
        <v>45107</v>
      </c>
      <c r="E1004" s="193">
        <f t="shared" si="77"/>
        <v>45107</v>
      </c>
      <c r="F1004" s="514"/>
      <c r="G1004" s="194" t="s">
        <v>1245</v>
      </c>
      <c r="H1004" s="195"/>
      <c r="I1004" s="195"/>
      <c r="J1004" s="191" t="s">
        <v>44</v>
      </c>
      <c r="K1004" s="196"/>
      <c r="L1004" s="196">
        <v>20000</v>
      </c>
    </row>
    <row r="1005" spans="1:15" ht="11.25" customHeight="1" x14ac:dyDescent="0.2">
      <c r="A1005" s="271">
        <v>2023</v>
      </c>
      <c r="B1005" s="271">
        <v>6</v>
      </c>
      <c r="C1005" s="271">
        <v>30</v>
      </c>
      <c r="D1005" s="272">
        <f t="shared" si="78"/>
        <v>45107</v>
      </c>
      <c r="E1005" s="273">
        <f t="shared" ref="E1005:E1012" si="79">DATE(A1005,B1005,C1005)</f>
        <v>45107</v>
      </c>
      <c r="F1005" s="533" t="s">
        <v>1364</v>
      </c>
      <c r="G1005" s="274" t="s">
        <v>1245</v>
      </c>
      <c r="H1005" s="275"/>
      <c r="I1005" s="275" t="s">
        <v>1253</v>
      </c>
      <c r="J1005" s="271" t="s">
        <v>153</v>
      </c>
      <c r="K1005" s="276">
        <v>16650.721153846127</v>
      </c>
      <c r="L1005" s="276"/>
    </row>
    <row r="1006" spans="1:15" ht="11.25" customHeight="1" x14ac:dyDescent="0.2">
      <c r="A1006" s="277">
        <v>2023</v>
      </c>
      <c r="B1006" s="277">
        <v>6</v>
      </c>
      <c r="C1006" s="277">
        <v>30</v>
      </c>
      <c r="D1006" s="278">
        <f t="shared" si="78"/>
        <v>45107</v>
      </c>
      <c r="E1006" s="279">
        <f t="shared" si="79"/>
        <v>45107</v>
      </c>
      <c r="F1006" s="534"/>
      <c r="G1006" s="280" t="s">
        <v>1245</v>
      </c>
      <c r="H1006" s="281"/>
      <c r="I1006" s="281" t="s">
        <v>1253</v>
      </c>
      <c r="J1006" s="277" t="s">
        <v>113</v>
      </c>
      <c r="K1006" s="282"/>
      <c r="L1006" s="282">
        <v>16650.721153846127</v>
      </c>
      <c r="N1006" s="130"/>
    </row>
    <row r="1007" spans="1:15" ht="11.25" customHeight="1" x14ac:dyDescent="0.2">
      <c r="A1007" s="210">
        <v>2023</v>
      </c>
      <c r="B1007" s="210">
        <v>6</v>
      </c>
      <c r="C1007" s="210">
        <v>30</v>
      </c>
      <c r="D1007" s="211">
        <f t="shared" si="78"/>
        <v>45107</v>
      </c>
      <c r="E1007" s="238">
        <f t="shared" si="79"/>
        <v>45107</v>
      </c>
      <c r="F1007" s="520" t="s">
        <v>1278</v>
      </c>
      <c r="G1007" s="213" t="s">
        <v>1245</v>
      </c>
      <c r="H1007" s="214"/>
      <c r="I1007" s="214" t="s">
        <v>1253</v>
      </c>
      <c r="J1007" s="210" t="s">
        <v>1529</v>
      </c>
      <c r="K1007" s="215">
        <v>2163.773076923077</v>
      </c>
      <c r="L1007" s="215"/>
      <c r="N1007" s="130"/>
    </row>
    <row r="1008" spans="1:15" ht="11.25" customHeight="1" x14ac:dyDescent="0.2">
      <c r="A1008" s="216">
        <v>2023</v>
      </c>
      <c r="B1008" s="216">
        <v>6</v>
      </c>
      <c r="C1008" s="216">
        <v>30</v>
      </c>
      <c r="D1008" s="217">
        <f t="shared" si="78"/>
        <v>45107</v>
      </c>
      <c r="E1008" s="239">
        <f t="shared" si="79"/>
        <v>45107</v>
      </c>
      <c r="F1008" s="521"/>
      <c r="G1008" s="219" t="s">
        <v>1245</v>
      </c>
      <c r="H1008" s="220"/>
      <c r="I1008" s="220" t="s">
        <v>1253</v>
      </c>
      <c r="J1008" s="216" t="s">
        <v>153</v>
      </c>
      <c r="K1008" s="221"/>
      <c r="L1008" s="221">
        <v>2163.773076923077</v>
      </c>
    </row>
    <row r="1009" spans="1:15" ht="11.25" customHeight="1" x14ac:dyDescent="0.2">
      <c r="A1009" s="210">
        <v>2023</v>
      </c>
      <c r="B1009" s="210">
        <v>6</v>
      </c>
      <c r="C1009" s="210">
        <v>30</v>
      </c>
      <c r="D1009" s="211">
        <f t="shared" si="78"/>
        <v>45107</v>
      </c>
      <c r="E1009" s="238">
        <f t="shared" si="79"/>
        <v>45107</v>
      </c>
      <c r="F1009" s="520" t="s">
        <v>1285</v>
      </c>
      <c r="G1009" s="213" t="s">
        <v>1245</v>
      </c>
      <c r="H1009" s="214"/>
      <c r="I1009" s="214" t="s">
        <v>1253</v>
      </c>
      <c r="J1009" s="210" t="s">
        <v>1284</v>
      </c>
      <c r="K1009" s="215">
        <v>15398.28</v>
      </c>
      <c r="L1009" s="215"/>
    </row>
    <row r="1010" spans="1:15" ht="11.25" customHeight="1" x14ac:dyDescent="0.2">
      <c r="A1010" s="242">
        <v>2023</v>
      </c>
      <c r="B1010" s="216">
        <v>6</v>
      </c>
      <c r="C1010" s="216">
        <v>30</v>
      </c>
      <c r="D1010" s="243">
        <f t="shared" si="78"/>
        <v>45107</v>
      </c>
      <c r="E1010" s="244">
        <f>DATE(A1010,B1010,C1010)</f>
        <v>45107</v>
      </c>
      <c r="F1010" s="524"/>
      <c r="G1010" s="245" t="s">
        <v>1245</v>
      </c>
      <c r="H1010" s="246"/>
      <c r="I1010" s="246"/>
      <c r="J1010" s="242" t="s">
        <v>1582</v>
      </c>
      <c r="K1010" s="247"/>
      <c r="L1010" s="247">
        <v>15398.28</v>
      </c>
    </row>
    <row r="1011" spans="1:15" ht="11.25" customHeight="1" x14ac:dyDescent="0.2">
      <c r="A1011" s="210">
        <v>2023</v>
      </c>
      <c r="B1011" s="210">
        <v>6</v>
      </c>
      <c r="C1011" s="210">
        <v>30</v>
      </c>
      <c r="D1011" s="211">
        <f t="shared" si="78"/>
        <v>45107</v>
      </c>
      <c r="E1011" s="238">
        <f t="shared" si="79"/>
        <v>45107</v>
      </c>
      <c r="F1011" s="520" t="s">
        <v>1259</v>
      </c>
      <c r="G1011" s="213" t="s">
        <v>1245</v>
      </c>
      <c r="H1011" s="214"/>
      <c r="I1011" s="214" t="s">
        <v>1253</v>
      </c>
      <c r="J1011" s="210" t="s">
        <v>58</v>
      </c>
      <c r="K1011" s="215">
        <v>5221.18</v>
      </c>
      <c r="L1011" s="215"/>
    </row>
    <row r="1012" spans="1:15" ht="11.25" customHeight="1" x14ac:dyDescent="0.2">
      <c r="A1012" s="216">
        <v>2023</v>
      </c>
      <c r="B1012" s="216">
        <v>6</v>
      </c>
      <c r="C1012" s="216">
        <v>30</v>
      </c>
      <c r="D1012" s="217">
        <f t="shared" si="78"/>
        <v>45107</v>
      </c>
      <c r="E1012" s="239">
        <f t="shared" si="79"/>
        <v>45107</v>
      </c>
      <c r="F1012" s="521"/>
      <c r="G1012" s="219" t="s">
        <v>1245</v>
      </c>
      <c r="H1012" s="220"/>
      <c r="I1012" s="220" t="s">
        <v>1253</v>
      </c>
      <c r="J1012" s="216" t="s">
        <v>153</v>
      </c>
      <c r="K1012" s="221"/>
      <c r="L1012" s="221">
        <v>5221.18</v>
      </c>
    </row>
    <row r="1013" spans="1:15" ht="11.25" customHeight="1" x14ac:dyDescent="0.2">
      <c r="A1013" s="210">
        <v>2023</v>
      </c>
      <c r="B1013" s="210">
        <v>6</v>
      </c>
      <c r="C1013" s="210">
        <v>30</v>
      </c>
      <c r="D1013" s="211">
        <f t="shared" si="78"/>
        <v>45107</v>
      </c>
      <c r="E1013" s="238">
        <f>DATE(A1013,B1013,C1013)</f>
        <v>45107</v>
      </c>
      <c r="F1013" s="520" t="s">
        <v>1362</v>
      </c>
      <c r="G1013" s="213" t="s">
        <v>1245</v>
      </c>
      <c r="H1013" s="214"/>
      <c r="I1013" s="214" t="s">
        <v>1253</v>
      </c>
      <c r="J1013" s="210" t="s">
        <v>58</v>
      </c>
      <c r="K1013" s="215">
        <v>1114.2303933330113</v>
      </c>
      <c r="L1013" s="215"/>
    </row>
    <row r="1014" spans="1:15" ht="11.25" customHeight="1" x14ac:dyDescent="0.2">
      <c r="A1014" s="216">
        <v>2023</v>
      </c>
      <c r="B1014" s="216">
        <v>6</v>
      </c>
      <c r="C1014" s="216">
        <v>30</v>
      </c>
      <c r="D1014" s="217">
        <f t="shared" si="78"/>
        <v>45107</v>
      </c>
      <c r="E1014" s="239">
        <f>DATE(A1014,B1014,C1014)</f>
        <v>45107</v>
      </c>
      <c r="F1014" s="521"/>
      <c r="G1014" s="219" t="s">
        <v>1245</v>
      </c>
      <c r="H1014" s="220"/>
      <c r="I1014" s="220" t="s">
        <v>1253</v>
      </c>
      <c r="J1014" s="216" t="s">
        <v>153</v>
      </c>
      <c r="K1014" s="221"/>
      <c r="L1014" s="221">
        <v>1114.2303933330113</v>
      </c>
    </row>
    <row r="1015" spans="1:15" ht="11.25" customHeight="1" x14ac:dyDescent="0.2">
      <c r="A1015" s="210">
        <v>2023</v>
      </c>
      <c r="B1015" s="210">
        <v>6</v>
      </c>
      <c r="C1015" s="210">
        <v>30</v>
      </c>
      <c r="D1015" s="211">
        <f t="shared" si="78"/>
        <v>45107</v>
      </c>
      <c r="E1015" s="238">
        <f t="shared" ref="E1015:E1022" si="80">DATE(A1015,B1015,C1015)</f>
        <v>45107</v>
      </c>
      <c r="F1015" s="520" t="s">
        <v>1255</v>
      </c>
      <c r="G1015" s="213" t="s">
        <v>1245</v>
      </c>
      <c r="H1015" s="214"/>
      <c r="I1015" s="214" t="s">
        <v>1253</v>
      </c>
      <c r="J1015" s="210" t="s">
        <v>113</v>
      </c>
      <c r="K1015" s="215">
        <v>46927.22</v>
      </c>
      <c r="L1015" s="215"/>
      <c r="M1015" s="251"/>
      <c r="O1015" s="130"/>
    </row>
    <row r="1016" spans="1:15" ht="11.25" customHeight="1" x14ac:dyDescent="0.2">
      <c r="A1016" s="216">
        <v>2023</v>
      </c>
      <c r="B1016" s="216">
        <v>6</v>
      </c>
      <c r="C1016" s="216">
        <v>30</v>
      </c>
      <c r="D1016" s="217">
        <f t="shared" si="78"/>
        <v>45107</v>
      </c>
      <c r="E1016" s="239">
        <f t="shared" si="80"/>
        <v>45107</v>
      </c>
      <c r="F1016" s="521"/>
      <c r="G1016" s="219" t="s">
        <v>1245</v>
      </c>
      <c r="H1016" s="220"/>
      <c r="I1016" s="220" t="s">
        <v>1253</v>
      </c>
      <c r="J1016" s="216" t="s">
        <v>153</v>
      </c>
      <c r="K1016" s="221"/>
      <c r="L1016" s="221">
        <v>46927.22</v>
      </c>
    </row>
    <row r="1017" spans="1:15" ht="11.25" customHeight="1" x14ac:dyDescent="0.2">
      <c r="A1017" s="210">
        <v>2023</v>
      </c>
      <c r="B1017" s="210">
        <v>6</v>
      </c>
      <c r="C1017" s="210">
        <v>30</v>
      </c>
      <c r="D1017" s="211">
        <f t="shared" si="78"/>
        <v>45107</v>
      </c>
      <c r="E1017" s="238">
        <f t="shared" si="80"/>
        <v>45107</v>
      </c>
      <c r="F1017" s="520" t="s">
        <v>1256</v>
      </c>
      <c r="G1017" s="213" t="s">
        <v>1245</v>
      </c>
      <c r="H1017" s="214"/>
      <c r="I1017" s="214" t="s">
        <v>1253</v>
      </c>
      <c r="J1017" s="210" t="s">
        <v>113</v>
      </c>
      <c r="K1017" s="215">
        <v>32554.68</v>
      </c>
      <c r="L1017" s="215"/>
      <c r="M1017" s="251"/>
      <c r="O1017" s="130"/>
    </row>
    <row r="1018" spans="1:15" ht="11.25" customHeight="1" x14ac:dyDescent="0.2">
      <c r="A1018" s="216">
        <v>2023</v>
      </c>
      <c r="B1018" s="216">
        <v>6</v>
      </c>
      <c r="C1018" s="216">
        <v>30</v>
      </c>
      <c r="D1018" s="217">
        <f t="shared" si="78"/>
        <v>45107</v>
      </c>
      <c r="E1018" s="239">
        <f t="shared" si="80"/>
        <v>45107</v>
      </c>
      <c r="F1018" s="521"/>
      <c r="G1018" s="219" t="s">
        <v>1245</v>
      </c>
      <c r="H1018" s="220"/>
      <c r="I1018" s="220" t="s">
        <v>1253</v>
      </c>
      <c r="J1018" s="216" t="s">
        <v>153</v>
      </c>
      <c r="K1018" s="221"/>
      <c r="L1018" s="221">
        <v>32554.68</v>
      </c>
    </row>
    <row r="1019" spans="1:15" ht="11.25" customHeight="1" x14ac:dyDescent="0.2">
      <c r="A1019" s="210">
        <v>2023</v>
      </c>
      <c r="B1019" s="210">
        <v>6</v>
      </c>
      <c r="C1019" s="210">
        <v>30</v>
      </c>
      <c r="D1019" s="211">
        <f t="shared" si="78"/>
        <v>45107</v>
      </c>
      <c r="E1019" s="238">
        <f t="shared" si="80"/>
        <v>45107</v>
      </c>
      <c r="F1019" s="520" t="s">
        <v>1257</v>
      </c>
      <c r="G1019" s="213" t="s">
        <v>1245</v>
      </c>
      <c r="H1019" s="214"/>
      <c r="I1019" s="214" t="s">
        <v>1253</v>
      </c>
      <c r="J1019" s="210" t="s">
        <v>113</v>
      </c>
      <c r="K1019" s="215">
        <v>33372.93</v>
      </c>
      <c r="L1019" s="215"/>
    </row>
    <row r="1020" spans="1:15" ht="11.25" customHeight="1" x14ac:dyDescent="0.2">
      <c r="A1020" s="216">
        <v>2023</v>
      </c>
      <c r="B1020" s="216">
        <v>6</v>
      </c>
      <c r="C1020" s="216">
        <v>30</v>
      </c>
      <c r="D1020" s="217">
        <f t="shared" si="78"/>
        <v>45107</v>
      </c>
      <c r="E1020" s="239">
        <f t="shared" si="80"/>
        <v>45107</v>
      </c>
      <c r="F1020" s="521"/>
      <c r="G1020" s="219" t="s">
        <v>1245</v>
      </c>
      <c r="H1020" s="220"/>
      <c r="I1020" s="220" t="s">
        <v>1253</v>
      </c>
      <c r="J1020" s="216" t="s">
        <v>153</v>
      </c>
      <c r="K1020" s="221"/>
      <c r="L1020" s="221">
        <v>33372.93</v>
      </c>
    </row>
    <row r="1021" spans="1:15" ht="11.25" customHeight="1" x14ac:dyDescent="0.2">
      <c r="A1021" s="259">
        <v>2023</v>
      </c>
      <c r="B1021" s="259">
        <v>6</v>
      </c>
      <c r="C1021" s="259">
        <v>30</v>
      </c>
      <c r="D1021" s="260">
        <f t="shared" si="78"/>
        <v>45107</v>
      </c>
      <c r="E1021" s="261">
        <f t="shared" si="80"/>
        <v>45107</v>
      </c>
      <c r="F1021" s="531" t="s">
        <v>1313</v>
      </c>
      <c r="G1021" s="262" t="s">
        <v>1245</v>
      </c>
      <c r="H1021" s="263"/>
      <c r="I1021" s="263" t="s">
        <v>1253</v>
      </c>
      <c r="J1021" s="259" t="s">
        <v>1476</v>
      </c>
      <c r="K1021" s="264">
        <v>7857.7777777777774</v>
      </c>
      <c r="L1021" s="264"/>
    </row>
    <row r="1022" spans="1:15" ht="11.25" customHeight="1" x14ac:dyDescent="0.2">
      <c r="A1022" s="265">
        <v>2023</v>
      </c>
      <c r="B1022" s="265">
        <v>6</v>
      </c>
      <c r="C1022" s="265">
        <v>30</v>
      </c>
      <c r="D1022" s="266">
        <f t="shared" si="78"/>
        <v>45107</v>
      </c>
      <c r="E1022" s="267">
        <f t="shared" si="80"/>
        <v>45107</v>
      </c>
      <c r="F1022" s="532"/>
      <c r="G1022" s="268" t="s">
        <v>1245</v>
      </c>
      <c r="H1022" s="269"/>
      <c r="I1022" s="269" t="s">
        <v>1253</v>
      </c>
      <c r="J1022" s="265" t="s">
        <v>153</v>
      </c>
      <c r="K1022" s="270"/>
      <c r="L1022" s="270">
        <v>7857.7777777777774</v>
      </c>
    </row>
    <row r="1023" spans="1:15" ht="11.25" customHeight="1" x14ac:dyDescent="0.2">
      <c r="A1023" s="259">
        <v>2023</v>
      </c>
      <c r="B1023" s="259">
        <v>6</v>
      </c>
      <c r="C1023" s="259">
        <v>30</v>
      </c>
      <c r="D1023" s="260">
        <f t="shared" si="78"/>
        <v>45107</v>
      </c>
      <c r="E1023" s="261">
        <f>DATE(A1023,B1023,C1023)</f>
        <v>45107</v>
      </c>
      <c r="F1023" s="531" t="s">
        <v>1359</v>
      </c>
      <c r="G1023" s="262" t="s">
        <v>1245</v>
      </c>
      <c r="H1023" s="263"/>
      <c r="I1023" s="263" t="s">
        <v>1253</v>
      </c>
      <c r="J1023" s="259" t="s">
        <v>1476</v>
      </c>
      <c r="K1023" s="264">
        <v>8502.8166666667294</v>
      </c>
      <c r="L1023" s="264"/>
    </row>
    <row r="1024" spans="1:15" ht="11.25" customHeight="1" x14ac:dyDescent="0.2">
      <c r="A1024" s="265">
        <v>2023</v>
      </c>
      <c r="B1024" s="265">
        <v>6</v>
      </c>
      <c r="C1024" s="265">
        <v>30</v>
      </c>
      <c r="D1024" s="266">
        <f t="shared" si="78"/>
        <v>45107</v>
      </c>
      <c r="E1024" s="267">
        <f>DATE(A1024,B1024,C1024)</f>
        <v>45107</v>
      </c>
      <c r="F1024" s="532"/>
      <c r="G1024" s="268" t="s">
        <v>1245</v>
      </c>
      <c r="H1024" s="269"/>
      <c r="I1024" s="269" t="s">
        <v>1253</v>
      </c>
      <c r="J1024" s="265" t="s">
        <v>153</v>
      </c>
      <c r="K1024" s="270"/>
      <c r="L1024" s="270">
        <v>8502.8166666667294</v>
      </c>
    </row>
    <row r="1025" spans="1:13" ht="11.25" customHeight="1" x14ac:dyDescent="0.2">
      <c r="A1025" s="222">
        <v>2023</v>
      </c>
      <c r="B1025" s="222">
        <v>6</v>
      </c>
      <c r="C1025" s="222">
        <v>30</v>
      </c>
      <c r="D1025" s="223">
        <f t="shared" si="78"/>
        <v>45107</v>
      </c>
      <c r="E1025" s="240">
        <f t="shared" ref="E1025:E1056" si="81">DATE(A1025,B1025,C1025)</f>
        <v>45107</v>
      </c>
      <c r="F1025" s="511" t="s">
        <v>1244</v>
      </c>
      <c r="G1025" s="225" t="s">
        <v>1245</v>
      </c>
      <c r="H1025" s="226"/>
      <c r="I1025" s="226" t="s">
        <v>1253</v>
      </c>
      <c r="J1025" s="222" t="s">
        <v>72</v>
      </c>
      <c r="K1025" s="227">
        <v>6495.2380952388048</v>
      </c>
      <c r="L1025" s="227"/>
    </row>
    <row r="1026" spans="1:13" ht="11.25" customHeight="1" x14ac:dyDescent="0.2">
      <c r="A1026" s="228">
        <v>2023</v>
      </c>
      <c r="B1026" s="228">
        <v>6</v>
      </c>
      <c r="C1026" s="228">
        <v>30</v>
      </c>
      <c r="D1026" s="229">
        <f t="shared" si="78"/>
        <v>45107</v>
      </c>
      <c r="E1026" s="241">
        <f t="shared" si="81"/>
        <v>45107</v>
      </c>
      <c r="F1026" s="512"/>
      <c r="G1026" s="231" t="s">
        <v>1245</v>
      </c>
      <c r="H1026" s="232"/>
      <c r="I1026" s="232" t="s">
        <v>1253</v>
      </c>
      <c r="J1026" s="228" t="s">
        <v>87</v>
      </c>
      <c r="K1026" s="233"/>
      <c r="L1026" s="233">
        <v>6495.2380952388048</v>
      </c>
    </row>
    <row r="1027" spans="1:13" ht="11.25" customHeight="1" x14ac:dyDescent="0.2">
      <c r="A1027" s="222">
        <v>2023</v>
      </c>
      <c r="B1027" s="222">
        <v>6</v>
      </c>
      <c r="C1027" s="222">
        <v>30</v>
      </c>
      <c r="D1027" s="223">
        <f t="shared" si="78"/>
        <v>45107</v>
      </c>
      <c r="E1027" s="240">
        <f t="shared" si="81"/>
        <v>45107</v>
      </c>
      <c r="F1027" s="511" t="s">
        <v>1246</v>
      </c>
      <c r="G1027" s="225" t="s">
        <v>1245</v>
      </c>
      <c r="H1027" s="226"/>
      <c r="I1027" s="226" t="s">
        <v>1253</v>
      </c>
      <c r="J1027" s="222" t="s">
        <v>75</v>
      </c>
      <c r="K1027" s="227">
        <v>3846.1538461538462</v>
      </c>
      <c r="L1027" s="227"/>
    </row>
    <row r="1028" spans="1:13" ht="11.25" customHeight="1" x14ac:dyDescent="0.2">
      <c r="A1028" s="228">
        <v>2023</v>
      </c>
      <c r="B1028" s="228">
        <v>6</v>
      </c>
      <c r="C1028" s="228">
        <v>30</v>
      </c>
      <c r="D1028" s="229">
        <f t="shared" si="78"/>
        <v>45107</v>
      </c>
      <c r="E1028" s="241">
        <f t="shared" si="81"/>
        <v>45107</v>
      </c>
      <c r="F1028" s="512"/>
      <c r="G1028" s="231" t="s">
        <v>1245</v>
      </c>
      <c r="H1028" s="232"/>
      <c r="I1028" s="232" t="s">
        <v>1253</v>
      </c>
      <c r="J1028" s="228" t="s">
        <v>55</v>
      </c>
      <c r="K1028" s="233"/>
      <c r="L1028" s="233">
        <v>3846.1538461538462</v>
      </c>
    </row>
    <row r="1029" spans="1:13" ht="11.25" customHeight="1" x14ac:dyDescent="0.2">
      <c r="A1029" s="222">
        <v>2023</v>
      </c>
      <c r="B1029" s="222">
        <v>6</v>
      </c>
      <c r="C1029" s="222">
        <v>30</v>
      </c>
      <c r="D1029" s="223">
        <f t="shared" si="78"/>
        <v>45107</v>
      </c>
      <c r="E1029" s="240">
        <f t="shared" si="81"/>
        <v>45107</v>
      </c>
      <c r="F1029" s="511" t="s">
        <v>1247</v>
      </c>
      <c r="G1029" s="225" t="s">
        <v>1245</v>
      </c>
      <c r="H1029" s="226"/>
      <c r="I1029" s="226" t="s">
        <v>1253</v>
      </c>
      <c r="J1029" s="222" t="s">
        <v>77</v>
      </c>
      <c r="K1029" s="227">
        <v>24147.810368299368</v>
      </c>
      <c r="L1029" s="227"/>
    </row>
    <row r="1030" spans="1:13" ht="11.25" customHeight="1" x14ac:dyDescent="0.2">
      <c r="A1030" s="228">
        <v>2023</v>
      </c>
      <c r="B1030" s="228">
        <v>6</v>
      </c>
      <c r="C1030" s="228">
        <v>30</v>
      </c>
      <c r="D1030" s="229">
        <f t="shared" si="78"/>
        <v>45107</v>
      </c>
      <c r="E1030" s="241">
        <f t="shared" si="81"/>
        <v>45107</v>
      </c>
      <c r="F1030" s="512"/>
      <c r="G1030" s="231" t="s">
        <v>1245</v>
      </c>
      <c r="H1030" s="232"/>
      <c r="I1030" s="232" t="s">
        <v>1253</v>
      </c>
      <c r="J1030" s="228" t="s">
        <v>41</v>
      </c>
      <c r="K1030" s="233"/>
      <c r="L1030" s="233">
        <v>24147.810368299368</v>
      </c>
    </row>
    <row r="1031" spans="1:13" ht="11.25" customHeight="1" x14ac:dyDescent="0.2">
      <c r="A1031" s="222">
        <v>2023</v>
      </c>
      <c r="B1031" s="222">
        <v>6</v>
      </c>
      <c r="C1031" s="222">
        <v>30</v>
      </c>
      <c r="D1031" s="223">
        <f t="shared" si="78"/>
        <v>45107</v>
      </c>
      <c r="E1031" s="240">
        <f t="shared" si="81"/>
        <v>45107</v>
      </c>
      <c r="F1031" s="511" t="s">
        <v>1248</v>
      </c>
      <c r="G1031" s="225" t="s">
        <v>1245</v>
      </c>
      <c r="H1031" s="226"/>
      <c r="I1031" s="226" t="s">
        <v>1253</v>
      </c>
      <c r="J1031" s="222" t="s">
        <v>80</v>
      </c>
      <c r="K1031" s="227">
        <v>1207.3905184149683</v>
      </c>
      <c r="L1031" s="227"/>
    </row>
    <row r="1032" spans="1:13" ht="11.25" customHeight="1" x14ac:dyDescent="0.2">
      <c r="A1032" s="228">
        <v>2023</v>
      </c>
      <c r="B1032" s="228">
        <v>6</v>
      </c>
      <c r="C1032" s="228">
        <v>30</v>
      </c>
      <c r="D1032" s="229">
        <f t="shared" si="78"/>
        <v>45107</v>
      </c>
      <c r="E1032" s="241">
        <f t="shared" si="81"/>
        <v>45107</v>
      </c>
      <c r="F1032" s="512"/>
      <c r="G1032" s="231" t="s">
        <v>1245</v>
      </c>
      <c r="H1032" s="232"/>
      <c r="I1032" s="232" t="s">
        <v>1253</v>
      </c>
      <c r="J1032" s="228" t="s">
        <v>42</v>
      </c>
      <c r="K1032" s="233"/>
      <c r="L1032" s="233">
        <v>1207.3905184149683</v>
      </c>
    </row>
    <row r="1033" spans="1:13" ht="11.25" customHeight="1" x14ac:dyDescent="0.2">
      <c r="A1033" s="197">
        <v>2023</v>
      </c>
      <c r="B1033" s="197">
        <v>7</v>
      </c>
      <c r="C1033" s="197">
        <v>1</v>
      </c>
      <c r="D1033" s="198">
        <f t="shared" si="78"/>
        <v>45108</v>
      </c>
      <c r="E1033" s="199">
        <f t="shared" si="81"/>
        <v>45108</v>
      </c>
      <c r="F1033" s="513" t="s">
        <v>1365</v>
      </c>
      <c r="G1033" s="200" t="s">
        <v>1209</v>
      </c>
      <c r="H1033" s="201"/>
      <c r="I1033" s="201"/>
      <c r="J1033" s="197" t="s">
        <v>54</v>
      </c>
      <c r="K1033" s="202">
        <v>345</v>
      </c>
      <c r="L1033" s="202"/>
    </row>
    <row r="1034" spans="1:13" ht="11.25" customHeight="1" x14ac:dyDescent="0.2">
      <c r="A1034" s="191">
        <v>2023</v>
      </c>
      <c r="B1034" s="191">
        <v>7</v>
      </c>
      <c r="C1034" s="191">
        <v>1</v>
      </c>
      <c r="D1034" s="192">
        <f t="shared" si="78"/>
        <v>45108</v>
      </c>
      <c r="E1034" s="193">
        <f t="shared" si="81"/>
        <v>45108</v>
      </c>
      <c r="F1034" s="514"/>
      <c r="G1034" s="194" t="s">
        <v>1209</v>
      </c>
      <c r="H1034" s="195"/>
      <c r="I1034" s="195"/>
      <c r="J1034" s="191" t="s">
        <v>46</v>
      </c>
      <c r="K1034" s="196"/>
      <c r="L1034" s="196">
        <v>345</v>
      </c>
    </row>
    <row r="1035" spans="1:13" ht="11.25" customHeight="1" x14ac:dyDescent="0.2">
      <c r="A1035" s="197">
        <v>2023</v>
      </c>
      <c r="B1035" s="197">
        <v>7</v>
      </c>
      <c r="C1035" s="197">
        <v>4</v>
      </c>
      <c r="D1035" s="198">
        <f t="shared" si="78"/>
        <v>45111</v>
      </c>
      <c r="E1035" s="209">
        <f t="shared" si="81"/>
        <v>45111</v>
      </c>
      <c r="F1035" s="513" t="s">
        <v>1280</v>
      </c>
      <c r="G1035" s="200" t="s">
        <v>1209</v>
      </c>
      <c r="H1035" s="201"/>
      <c r="I1035" s="201" t="s">
        <v>369</v>
      </c>
      <c r="J1035" s="197" t="s">
        <v>16</v>
      </c>
      <c r="K1035" s="202">
        <v>447860</v>
      </c>
      <c r="L1035" s="202"/>
      <c r="M1035" s="251"/>
    </row>
    <row r="1036" spans="1:13" ht="11.25" customHeight="1" x14ac:dyDescent="0.2">
      <c r="A1036" s="120">
        <v>2023</v>
      </c>
      <c r="B1036" s="120">
        <v>7</v>
      </c>
      <c r="C1036" s="120">
        <v>4</v>
      </c>
      <c r="D1036" s="208">
        <f t="shared" si="78"/>
        <v>45111</v>
      </c>
      <c r="E1036" s="209">
        <f t="shared" si="81"/>
        <v>45111</v>
      </c>
      <c r="F1036" s="515"/>
      <c r="G1036" s="132" t="s">
        <v>1209</v>
      </c>
      <c r="I1036" s="128" t="s">
        <v>369</v>
      </c>
      <c r="J1036" s="120" t="s">
        <v>47</v>
      </c>
      <c r="K1036" s="207">
        <v>12140</v>
      </c>
      <c r="L1036" s="207"/>
    </row>
    <row r="1037" spans="1:13" ht="11.25" customHeight="1" x14ac:dyDescent="0.2">
      <c r="A1037" s="191">
        <v>2023</v>
      </c>
      <c r="B1037" s="191">
        <v>7</v>
      </c>
      <c r="C1037" s="191">
        <v>4</v>
      </c>
      <c r="D1037" s="192">
        <f t="shared" si="78"/>
        <v>45111</v>
      </c>
      <c r="E1037" s="193">
        <f t="shared" si="81"/>
        <v>45111</v>
      </c>
      <c r="F1037" s="514"/>
      <c r="G1037" s="194" t="s">
        <v>1209</v>
      </c>
      <c r="H1037" s="195"/>
      <c r="I1037" s="195" t="s">
        <v>369</v>
      </c>
      <c r="J1037" s="191" t="s">
        <v>46</v>
      </c>
      <c r="K1037" s="196"/>
      <c r="L1037" s="196">
        <v>460000</v>
      </c>
    </row>
    <row r="1038" spans="1:13" ht="11.25" customHeight="1" x14ac:dyDescent="0.2">
      <c r="A1038" s="197">
        <v>2023</v>
      </c>
      <c r="B1038" s="197">
        <v>7</v>
      </c>
      <c r="C1038" s="197">
        <v>4</v>
      </c>
      <c r="D1038" s="198">
        <f t="shared" si="78"/>
        <v>45111</v>
      </c>
      <c r="E1038" s="209">
        <f t="shared" si="81"/>
        <v>45111</v>
      </c>
      <c r="F1038" s="513" t="s">
        <v>1296</v>
      </c>
      <c r="G1038" s="200" t="s">
        <v>1209</v>
      </c>
      <c r="H1038" s="201"/>
      <c r="I1038" s="201"/>
      <c r="J1038" s="197" t="s">
        <v>46</v>
      </c>
      <c r="K1038" s="202">
        <v>50000</v>
      </c>
      <c r="L1038" s="202"/>
      <c r="M1038" s="251"/>
    </row>
    <row r="1039" spans="1:13" ht="11.25" customHeight="1" x14ac:dyDescent="0.2">
      <c r="A1039" s="120">
        <v>2023</v>
      </c>
      <c r="B1039" s="120">
        <v>7</v>
      </c>
      <c r="C1039" s="120">
        <v>4</v>
      </c>
      <c r="D1039" s="208">
        <f t="shared" si="78"/>
        <v>45111</v>
      </c>
      <c r="E1039" s="209">
        <f t="shared" si="81"/>
        <v>45111</v>
      </c>
      <c r="F1039" s="515"/>
      <c r="G1039" s="132" t="s">
        <v>1209</v>
      </c>
      <c r="J1039" s="120" t="s">
        <v>16</v>
      </c>
      <c r="K1039" s="207"/>
      <c r="L1039" s="207">
        <v>48680</v>
      </c>
    </row>
    <row r="1040" spans="1:13" ht="11.25" customHeight="1" x14ac:dyDescent="0.2">
      <c r="A1040" s="191">
        <v>2023</v>
      </c>
      <c r="B1040" s="191">
        <v>7</v>
      </c>
      <c r="C1040" s="191">
        <v>4</v>
      </c>
      <c r="D1040" s="192">
        <f t="shared" si="78"/>
        <v>45111</v>
      </c>
      <c r="E1040" s="193">
        <f t="shared" si="81"/>
        <v>45111</v>
      </c>
      <c r="F1040" s="514"/>
      <c r="G1040" s="194" t="s">
        <v>1209</v>
      </c>
      <c r="H1040" s="195"/>
      <c r="I1040" s="195"/>
      <c r="J1040" s="191" t="s">
        <v>47</v>
      </c>
      <c r="K1040" s="196"/>
      <c r="L1040" s="196">
        <v>1320</v>
      </c>
    </row>
    <row r="1041" spans="1:13" ht="11.25" customHeight="1" x14ac:dyDescent="0.2">
      <c r="A1041" s="197">
        <v>2023</v>
      </c>
      <c r="B1041" s="197">
        <v>7</v>
      </c>
      <c r="C1041" s="197">
        <v>4</v>
      </c>
      <c r="D1041" s="198">
        <f t="shared" si="78"/>
        <v>45111</v>
      </c>
      <c r="E1041" s="209">
        <f t="shared" ref="E1041:E1047" si="82">DATE(A1041,B1041,C1041)</f>
        <v>45111</v>
      </c>
      <c r="F1041" s="513" t="s">
        <v>1366</v>
      </c>
      <c r="G1041" s="200" t="s">
        <v>1209</v>
      </c>
      <c r="H1041" s="201"/>
      <c r="I1041" s="201"/>
      <c r="J1041" s="248" t="s">
        <v>81</v>
      </c>
      <c r="K1041" s="202">
        <v>125666.74</v>
      </c>
      <c r="L1041" s="202"/>
      <c r="M1041" s="251"/>
    </row>
    <row r="1042" spans="1:13" ht="11.25" customHeight="1" x14ac:dyDescent="0.2">
      <c r="A1042" s="120">
        <v>2023</v>
      </c>
      <c r="B1042" s="120">
        <v>7</v>
      </c>
      <c r="C1042" s="120">
        <v>4</v>
      </c>
      <c r="D1042" s="208">
        <f t="shared" si="78"/>
        <v>45111</v>
      </c>
      <c r="E1042" s="209">
        <f t="shared" si="82"/>
        <v>45111</v>
      </c>
      <c r="F1042" s="515"/>
      <c r="G1042" s="132" t="s">
        <v>1209</v>
      </c>
      <c r="J1042" s="129" t="s">
        <v>54</v>
      </c>
      <c r="K1042" s="207">
        <v>115</v>
      </c>
      <c r="L1042" s="207"/>
    </row>
    <row r="1043" spans="1:13" ht="11.25" customHeight="1" x14ac:dyDescent="0.2">
      <c r="A1043" s="191">
        <v>2023</v>
      </c>
      <c r="B1043" s="191">
        <v>7</v>
      </c>
      <c r="C1043" s="191">
        <v>4</v>
      </c>
      <c r="D1043" s="192">
        <f t="shared" si="78"/>
        <v>45111</v>
      </c>
      <c r="E1043" s="193">
        <f t="shared" si="82"/>
        <v>45111</v>
      </c>
      <c r="F1043" s="514"/>
      <c r="G1043" s="194" t="s">
        <v>1209</v>
      </c>
      <c r="H1043" s="195"/>
      <c r="I1043" s="195"/>
      <c r="J1043" s="250" t="s">
        <v>46</v>
      </c>
      <c r="K1043" s="196"/>
      <c r="L1043" s="196">
        <v>125781.74</v>
      </c>
    </row>
    <row r="1044" spans="1:13" ht="11.25" customHeight="1" x14ac:dyDescent="0.2">
      <c r="A1044" s="197">
        <v>2023</v>
      </c>
      <c r="B1044" s="197">
        <v>7</v>
      </c>
      <c r="C1044" s="197">
        <v>4</v>
      </c>
      <c r="D1044" s="198">
        <f t="shared" si="78"/>
        <v>45111</v>
      </c>
      <c r="E1044" s="209">
        <f t="shared" si="82"/>
        <v>45111</v>
      </c>
      <c r="F1044" s="513" t="s">
        <v>1367</v>
      </c>
      <c r="G1044" s="200" t="s">
        <v>1209</v>
      </c>
      <c r="H1044" s="201"/>
      <c r="I1044" s="201"/>
      <c r="J1044" s="248" t="s">
        <v>76</v>
      </c>
      <c r="K1044" s="202">
        <v>1000000</v>
      </c>
      <c r="L1044" s="202"/>
      <c r="M1044" s="251"/>
    </row>
    <row r="1045" spans="1:13" ht="11.25" customHeight="1" x14ac:dyDescent="0.2">
      <c r="A1045" s="120">
        <v>2023</v>
      </c>
      <c r="B1045" s="120">
        <v>7</v>
      </c>
      <c r="C1045" s="120">
        <v>4</v>
      </c>
      <c r="D1045" s="198">
        <f t="shared" si="78"/>
        <v>45111</v>
      </c>
      <c r="E1045" s="209">
        <f t="shared" si="82"/>
        <v>45111</v>
      </c>
      <c r="F1045" s="515"/>
      <c r="G1045" s="132" t="s">
        <v>1209</v>
      </c>
      <c r="J1045" s="129" t="s">
        <v>46</v>
      </c>
      <c r="K1045" s="207">
        <v>19375</v>
      </c>
      <c r="L1045" s="207"/>
      <c r="M1045" s="251"/>
    </row>
    <row r="1046" spans="1:13" ht="11.25" customHeight="1" x14ac:dyDescent="0.2">
      <c r="A1046" s="120">
        <v>2023</v>
      </c>
      <c r="B1046" s="120">
        <v>7</v>
      </c>
      <c r="C1046" s="120">
        <v>4</v>
      </c>
      <c r="D1046" s="208">
        <f t="shared" si="78"/>
        <v>45111</v>
      </c>
      <c r="E1046" s="209">
        <f t="shared" si="82"/>
        <v>45111</v>
      </c>
      <c r="F1046" s="515"/>
      <c r="G1046" s="132" t="s">
        <v>1209</v>
      </c>
      <c r="J1046" s="129" t="s">
        <v>113</v>
      </c>
      <c r="K1046" s="207"/>
      <c r="L1046" s="207">
        <v>19375</v>
      </c>
    </row>
    <row r="1047" spans="1:13" ht="11.25" customHeight="1" x14ac:dyDescent="0.2">
      <c r="A1047" s="191">
        <v>2023</v>
      </c>
      <c r="B1047" s="191">
        <v>7</v>
      </c>
      <c r="C1047" s="191">
        <v>4</v>
      </c>
      <c r="D1047" s="192">
        <f t="shared" si="78"/>
        <v>45111</v>
      </c>
      <c r="E1047" s="193">
        <f t="shared" si="82"/>
        <v>45111</v>
      </c>
      <c r="F1047" s="514"/>
      <c r="G1047" s="194" t="s">
        <v>1209</v>
      </c>
      <c r="H1047" s="195"/>
      <c r="I1047" s="195"/>
      <c r="J1047" s="250" t="s">
        <v>76</v>
      </c>
      <c r="K1047" s="196"/>
      <c r="L1047" s="196">
        <v>1000000</v>
      </c>
    </row>
    <row r="1048" spans="1:13" ht="11.25" customHeight="1" x14ac:dyDescent="0.2">
      <c r="A1048" s="197">
        <v>2023</v>
      </c>
      <c r="B1048" s="197">
        <v>7</v>
      </c>
      <c r="C1048" s="197">
        <v>4</v>
      </c>
      <c r="D1048" s="198">
        <f t="shared" si="78"/>
        <v>45111</v>
      </c>
      <c r="E1048" s="209">
        <f t="shared" ref="E1048:E1053" si="83">DATE(A1048,B1048,C1048)</f>
        <v>45111</v>
      </c>
      <c r="F1048" s="513" t="s">
        <v>1368</v>
      </c>
      <c r="G1048" s="200" t="s">
        <v>1209</v>
      </c>
      <c r="H1048" s="201"/>
      <c r="I1048" s="201"/>
      <c r="J1048" s="248" t="s">
        <v>76</v>
      </c>
      <c r="K1048" s="202">
        <v>1000000</v>
      </c>
      <c r="L1048" s="202"/>
      <c r="M1048" s="251"/>
    </row>
    <row r="1049" spans="1:13" ht="11.25" customHeight="1" x14ac:dyDescent="0.2">
      <c r="A1049" s="120">
        <v>2023</v>
      </c>
      <c r="B1049" s="120">
        <v>7</v>
      </c>
      <c r="C1049" s="120">
        <v>4</v>
      </c>
      <c r="D1049" s="198">
        <f t="shared" si="78"/>
        <v>45111</v>
      </c>
      <c r="E1049" s="209">
        <f t="shared" si="83"/>
        <v>45111</v>
      </c>
      <c r="F1049" s="515"/>
      <c r="G1049" s="132" t="s">
        <v>1209</v>
      </c>
      <c r="J1049" s="129" t="s">
        <v>46</v>
      </c>
      <c r="K1049" s="207">
        <v>19375</v>
      </c>
      <c r="L1049" s="207"/>
      <c r="M1049" s="251"/>
    </row>
    <row r="1050" spans="1:13" ht="11.25" customHeight="1" x14ac:dyDescent="0.2">
      <c r="A1050" s="120">
        <v>2023</v>
      </c>
      <c r="B1050" s="120">
        <v>7</v>
      </c>
      <c r="C1050" s="120">
        <v>4</v>
      </c>
      <c r="D1050" s="208">
        <f t="shared" si="78"/>
        <v>45111</v>
      </c>
      <c r="E1050" s="209">
        <f t="shared" si="83"/>
        <v>45111</v>
      </c>
      <c r="F1050" s="515"/>
      <c r="G1050" s="132" t="s">
        <v>1209</v>
      </c>
      <c r="J1050" s="129" t="s">
        <v>113</v>
      </c>
      <c r="K1050" s="207"/>
      <c r="L1050" s="207">
        <v>19375</v>
      </c>
    </row>
    <row r="1051" spans="1:13" ht="11.25" customHeight="1" x14ac:dyDescent="0.2">
      <c r="A1051" s="191">
        <v>2023</v>
      </c>
      <c r="B1051" s="191">
        <v>7</v>
      </c>
      <c r="C1051" s="191">
        <v>4</v>
      </c>
      <c r="D1051" s="192">
        <f t="shared" si="78"/>
        <v>45111</v>
      </c>
      <c r="E1051" s="193">
        <f t="shared" si="83"/>
        <v>45111</v>
      </c>
      <c r="F1051" s="514"/>
      <c r="G1051" s="194" t="s">
        <v>1209</v>
      </c>
      <c r="H1051" s="195"/>
      <c r="I1051" s="195"/>
      <c r="J1051" s="250" t="s">
        <v>76</v>
      </c>
      <c r="K1051" s="196"/>
      <c r="L1051" s="196">
        <v>1000000</v>
      </c>
    </row>
    <row r="1052" spans="1:13" ht="11.25" customHeight="1" x14ac:dyDescent="0.2">
      <c r="A1052" s="197">
        <v>2023</v>
      </c>
      <c r="B1052" s="197">
        <v>7</v>
      </c>
      <c r="C1052" s="197">
        <v>4</v>
      </c>
      <c r="D1052" s="198">
        <f t="shared" si="78"/>
        <v>45111</v>
      </c>
      <c r="E1052" s="290">
        <f t="shared" si="83"/>
        <v>45111</v>
      </c>
      <c r="F1052" s="513" t="s">
        <v>1385</v>
      </c>
      <c r="G1052" s="200" t="s">
        <v>1245</v>
      </c>
      <c r="H1052" s="201"/>
      <c r="I1052" s="201" t="s">
        <v>1253</v>
      </c>
      <c r="J1052" s="197" t="s">
        <v>1284</v>
      </c>
      <c r="K1052" s="202">
        <v>111677.51999999999</v>
      </c>
      <c r="L1052" s="202"/>
    </row>
    <row r="1053" spans="1:13" ht="11.25" customHeight="1" x14ac:dyDescent="0.2">
      <c r="A1053" s="191">
        <v>2023</v>
      </c>
      <c r="B1053" s="191">
        <v>7</v>
      </c>
      <c r="C1053" s="191">
        <v>4</v>
      </c>
      <c r="D1053" s="192">
        <f t="shared" si="78"/>
        <v>45111</v>
      </c>
      <c r="E1053" s="291">
        <f t="shared" si="83"/>
        <v>45111</v>
      </c>
      <c r="F1053" s="514"/>
      <c r="G1053" s="194" t="s">
        <v>1245</v>
      </c>
      <c r="H1053" s="195"/>
      <c r="I1053" s="195" t="s">
        <v>1253</v>
      </c>
      <c r="J1053" s="191" t="s">
        <v>1582</v>
      </c>
      <c r="K1053" s="196"/>
      <c r="L1053" s="196">
        <v>111677.51999999999</v>
      </c>
    </row>
    <row r="1054" spans="1:13" ht="11.25" customHeight="1" x14ac:dyDescent="0.2">
      <c r="A1054" s="197">
        <v>2023</v>
      </c>
      <c r="B1054" s="197">
        <v>7</v>
      </c>
      <c r="C1054" s="197">
        <v>5</v>
      </c>
      <c r="D1054" s="198">
        <f t="shared" si="78"/>
        <v>45112</v>
      </c>
      <c r="E1054" s="209">
        <f t="shared" si="81"/>
        <v>45112</v>
      </c>
      <c r="F1054" s="513" t="s">
        <v>1210</v>
      </c>
      <c r="G1054" s="200" t="s">
        <v>1209</v>
      </c>
      <c r="H1054" s="201"/>
      <c r="I1054" s="201" t="s">
        <v>464</v>
      </c>
      <c r="J1054" s="197" t="s">
        <v>46</v>
      </c>
      <c r="K1054" s="202">
        <v>200000</v>
      </c>
      <c r="L1054" s="202"/>
      <c r="M1054" s="251"/>
    </row>
    <row r="1055" spans="1:13" ht="11.25" customHeight="1" x14ac:dyDescent="0.2">
      <c r="A1055" s="120">
        <v>2023</v>
      </c>
      <c r="B1055" s="120">
        <v>7</v>
      </c>
      <c r="C1055" s="120">
        <v>5</v>
      </c>
      <c r="D1055" s="208">
        <f t="shared" si="78"/>
        <v>45112</v>
      </c>
      <c r="E1055" s="209">
        <f t="shared" si="81"/>
        <v>45112</v>
      </c>
      <c r="F1055" s="515"/>
      <c r="G1055" s="132" t="s">
        <v>1209</v>
      </c>
      <c r="I1055" s="128" t="s">
        <v>464</v>
      </c>
      <c r="J1055" s="120" t="s">
        <v>16</v>
      </c>
      <c r="K1055" s="207"/>
      <c r="L1055" s="207">
        <v>194720</v>
      </c>
    </row>
    <row r="1056" spans="1:13" ht="11.25" customHeight="1" x14ac:dyDescent="0.2">
      <c r="A1056" s="191">
        <v>2023</v>
      </c>
      <c r="B1056" s="191">
        <v>7</v>
      </c>
      <c r="C1056" s="191">
        <v>5</v>
      </c>
      <c r="D1056" s="192">
        <f t="shared" si="78"/>
        <v>45112</v>
      </c>
      <c r="E1056" s="193">
        <f t="shared" si="81"/>
        <v>45112</v>
      </c>
      <c r="F1056" s="514"/>
      <c r="G1056" s="194" t="s">
        <v>1209</v>
      </c>
      <c r="H1056" s="195"/>
      <c r="I1056" s="195" t="s">
        <v>464</v>
      </c>
      <c r="J1056" s="191" t="s">
        <v>47</v>
      </c>
      <c r="K1056" s="196"/>
      <c r="L1056" s="196">
        <v>5280</v>
      </c>
    </row>
    <row r="1057" spans="1:14" ht="11.25" customHeight="1" x14ac:dyDescent="0.2">
      <c r="A1057" s="197">
        <v>2023</v>
      </c>
      <c r="B1057" s="197">
        <v>7</v>
      </c>
      <c r="C1057" s="197">
        <v>5</v>
      </c>
      <c r="D1057" s="198">
        <f t="shared" si="78"/>
        <v>45112</v>
      </c>
      <c r="E1057" s="209">
        <f t="shared" ref="E1057:E1062" si="84">DATE(A1057,B1057,C1057)</f>
        <v>45112</v>
      </c>
      <c r="F1057" s="513" t="s">
        <v>1296</v>
      </c>
      <c r="G1057" s="200" t="s">
        <v>1209</v>
      </c>
      <c r="H1057" s="201"/>
      <c r="I1057" s="201"/>
      <c r="J1057" s="197" t="s">
        <v>46</v>
      </c>
      <c r="K1057" s="202">
        <v>85000</v>
      </c>
      <c r="L1057" s="202"/>
      <c r="M1057" s="251"/>
    </row>
    <row r="1058" spans="1:14" ht="11.25" customHeight="1" x14ac:dyDescent="0.2">
      <c r="A1058" s="120">
        <v>2023</v>
      </c>
      <c r="B1058" s="120">
        <v>7</v>
      </c>
      <c r="C1058" s="120">
        <v>5</v>
      </c>
      <c r="D1058" s="208">
        <f t="shared" si="78"/>
        <v>45112</v>
      </c>
      <c r="E1058" s="209">
        <f t="shared" si="84"/>
        <v>45112</v>
      </c>
      <c r="F1058" s="515"/>
      <c r="G1058" s="132" t="s">
        <v>1209</v>
      </c>
      <c r="J1058" s="120" t="s">
        <v>16</v>
      </c>
      <c r="K1058" s="207"/>
      <c r="L1058" s="207">
        <v>82750</v>
      </c>
    </row>
    <row r="1059" spans="1:14" ht="11.25" customHeight="1" x14ac:dyDescent="0.2">
      <c r="A1059" s="191">
        <v>2023</v>
      </c>
      <c r="B1059" s="191">
        <v>7</v>
      </c>
      <c r="C1059" s="191">
        <v>5</v>
      </c>
      <c r="D1059" s="192">
        <f t="shared" si="78"/>
        <v>45112</v>
      </c>
      <c r="E1059" s="193">
        <f t="shared" si="84"/>
        <v>45112</v>
      </c>
      <c r="F1059" s="514"/>
      <c r="G1059" s="194" t="s">
        <v>1209</v>
      </c>
      <c r="H1059" s="195"/>
      <c r="I1059" s="195"/>
      <c r="J1059" s="191" t="s">
        <v>47</v>
      </c>
      <c r="K1059" s="196"/>
      <c r="L1059" s="196">
        <v>2250</v>
      </c>
    </row>
    <row r="1060" spans="1:14" ht="11.25" customHeight="1" x14ac:dyDescent="0.2">
      <c r="A1060" s="197">
        <v>2023</v>
      </c>
      <c r="B1060" s="197">
        <v>7</v>
      </c>
      <c r="C1060" s="197">
        <v>6</v>
      </c>
      <c r="D1060" s="198">
        <f t="shared" si="78"/>
        <v>45113</v>
      </c>
      <c r="E1060" s="209">
        <f t="shared" si="84"/>
        <v>45113</v>
      </c>
      <c r="F1060" s="513" t="s">
        <v>1210</v>
      </c>
      <c r="G1060" s="200" t="s">
        <v>1209</v>
      </c>
      <c r="H1060" s="201"/>
      <c r="I1060" s="201" t="s">
        <v>391</v>
      </c>
      <c r="J1060" s="197" t="s">
        <v>46</v>
      </c>
      <c r="K1060" s="202">
        <v>80000</v>
      </c>
      <c r="L1060" s="202"/>
      <c r="M1060" s="251"/>
    </row>
    <row r="1061" spans="1:14" ht="11.25" customHeight="1" x14ac:dyDescent="0.2">
      <c r="A1061" s="120">
        <v>2023</v>
      </c>
      <c r="B1061" s="120">
        <v>7</v>
      </c>
      <c r="C1061" s="120">
        <v>6</v>
      </c>
      <c r="D1061" s="208">
        <f t="shared" ref="D1061:D1122" si="85">DATE(A1061,B1061,C1061)</f>
        <v>45113</v>
      </c>
      <c r="E1061" s="209">
        <f t="shared" si="84"/>
        <v>45113</v>
      </c>
      <c r="F1061" s="515"/>
      <c r="G1061" s="132" t="s">
        <v>1209</v>
      </c>
      <c r="I1061" s="128" t="s">
        <v>391</v>
      </c>
      <c r="J1061" s="120" t="s">
        <v>16</v>
      </c>
      <c r="K1061" s="207"/>
      <c r="L1061" s="207">
        <v>77890</v>
      </c>
    </row>
    <row r="1062" spans="1:14" ht="11.25" customHeight="1" x14ac:dyDescent="0.2">
      <c r="A1062" s="191">
        <v>2023</v>
      </c>
      <c r="B1062" s="191">
        <v>7</v>
      </c>
      <c r="C1062" s="191">
        <v>6</v>
      </c>
      <c r="D1062" s="192">
        <f t="shared" si="85"/>
        <v>45113</v>
      </c>
      <c r="E1062" s="193">
        <f t="shared" si="84"/>
        <v>45113</v>
      </c>
      <c r="F1062" s="514"/>
      <c r="G1062" s="194" t="s">
        <v>1209</v>
      </c>
      <c r="H1062" s="195"/>
      <c r="I1062" s="195" t="s">
        <v>391</v>
      </c>
      <c r="J1062" s="191" t="s">
        <v>47</v>
      </c>
      <c r="K1062" s="196"/>
      <c r="L1062" s="196">
        <v>2110</v>
      </c>
    </row>
    <row r="1063" spans="1:14" ht="11.25" customHeight="1" x14ac:dyDescent="0.2">
      <c r="A1063" s="197">
        <v>2023</v>
      </c>
      <c r="B1063" s="197">
        <v>7</v>
      </c>
      <c r="C1063" s="197">
        <v>6</v>
      </c>
      <c r="D1063" s="198">
        <f t="shared" si="85"/>
        <v>45113</v>
      </c>
      <c r="E1063" s="209">
        <f t="shared" ref="E1063:E1097" si="86">DATE(A1063,B1063,C1063)</f>
        <v>45113</v>
      </c>
      <c r="F1063" s="513" t="s">
        <v>1296</v>
      </c>
      <c r="G1063" s="200" t="s">
        <v>1209</v>
      </c>
      <c r="H1063" s="201"/>
      <c r="I1063" s="201"/>
      <c r="J1063" s="197" t="s">
        <v>46</v>
      </c>
      <c r="K1063" s="202">
        <v>145000</v>
      </c>
      <c r="L1063" s="202"/>
      <c r="M1063" s="251"/>
    </row>
    <row r="1064" spans="1:14" ht="11.25" customHeight="1" x14ac:dyDescent="0.2">
      <c r="A1064" s="120">
        <v>2023</v>
      </c>
      <c r="B1064" s="120">
        <v>7</v>
      </c>
      <c r="C1064" s="120">
        <v>6</v>
      </c>
      <c r="D1064" s="208">
        <f t="shared" si="85"/>
        <v>45113</v>
      </c>
      <c r="E1064" s="209">
        <f t="shared" si="86"/>
        <v>45113</v>
      </c>
      <c r="F1064" s="515"/>
      <c r="G1064" s="132" t="s">
        <v>1209</v>
      </c>
      <c r="J1064" s="120" t="s">
        <v>16</v>
      </c>
      <c r="K1064" s="207"/>
      <c r="L1064" s="207">
        <v>141180</v>
      </c>
    </row>
    <row r="1065" spans="1:14" ht="11.25" customHeight="1" x14ac:dyDescent="0.2">
      <c r="A1065" s="191">
        <v>2023</v>
      </c>
      <c r="B1065" s="191">
        <v>7</v>
      </c>
      <c r="C1065" s="191">
        <v>6</v>
      </c>
      <c r="D1065" s="192">
        <f t="shared" si="85"/>
        <v>45113</v>
      </c>
      <c r="E1065" s="193">
        <f t="shared" si="86"/>
        <v>45113</v>
      </c>
      <c r="F1065" s="514"/>
      <c r="G1065" s="194" t="s">
        <v>1209</v>
      </c>
      <c r="H1065" s="195"/>
      <c r="I1065" s="195"/>
      <c r="J1065" s="191" t="s">
        <v>47</v>
      </c>
      <c r="K1065" s="196"/>
      <c r="L1065" s="196">
        <v>3820</v>
      </c>
    </row>
    <row r="1066" spans="1:14" ht="11.25" customHeight="1" x14ac:dyDescent="0.2">
      <c r="A1066" s="271">
        <v>2023</v>
      </c>
      <c r="B1066" s="271">
        <v>7</v>
      </c>
      <c r="C1066" s="271">
        <v>6</v>
      </c>
      <c r="D1066" s="272">
        <f t="shared" si="85"/>
        <v>45113</v>
      </c>
      <c r="E1066" s="273">
        <f t="shared" si="86"/>
        <v>45113</v>
      </c>
      <c r="F1066" s="533" t="s">
        <v>1369</v>
      </c>
      <c r="G1066" s="274" t="s">
        <v>1245</v>
      </c>
      <c r="H1066" s="275"/>
      <c r="I1066" s="275" t="s">
        <v>1253</v>
      </c>
      <c r="J1066" s="271" t="s">
        <v>113</v>
      </c>
      <c r="K1066" s="276">
        <v>253899.51999999999</v>
      </c>
      <c r="L1066" s="276"/>
    </row>
    <row r="1067" spans="1:14" ht="11.25" customHeight="1" x14ac:dyDescent="0.2">
      <c r="A1067" s="277">
        <v>2023</v>
      </c>
      <c r="B1067" s="277">
        <v>7</v>
      </c>
      <c r="C1067" s="277">
        <v>6</v>
      </c>
      <c r="D1067" s="278">
        <f t="shared" si="85"/>
        <v>45113</v>
      </c>
      <c r="E1067" s="279">
        <f t="shared" si="86"/>
        <v>45113</v>
      </c>
      <c r="F1067" s="534"/>
      <c r="G1067" s="280" t="s">
        <v>1245</v>
      </c>
      <c r="H1067" s="281"/>
      <c r="I1067" s="281" t="s">
        <v>1253</v>
      </c>
      <c r="J1067" s="277" t="s">
        <v>153</v>
      </c>
      <c r="K1067" s="282"/>
      <c r="L1067" s="282">
        <v>253899.51999999999</v>
      </c>
      <c r="N1067" s="130"/>
    </row>
    <row r="1068" spans="1:14" ht="11.25" customHeight="1" x14ac:dyDescent="0.2">
      <c r="A1068" s="210">
        <v>2023</v>
      </c>
      <c r="B1068" s="210">
        <v>7</v>
      </c>
      <c r="C1068" s="210">
        <v>6</v>
      </c>
      <c r="D1068" s="211">
        <f t="shared" si="85"/>
        <v>45113</v>
      </c>
      <c r="E1068" s="238">
        <f t="shared" si="86"/>
        <v>45113</v>
      </c>
      <c r="F1068" s="520" t="s">
        <v>1278</v>
      </c>
      <c r="G1068" s="213" t="s">
        <v>1245</v>
      </c>
      <c r="H1068" s="214"/>
      <c r="I1068" s="214" t="s">
        <v>1253</v>
      </c>
      <c r="J1068" s="210" t="s">
        <v>1529</v>
      </c>
      <c r="K1068" s="215">
        <v>5091.2307692307695</v>
      </c>
      <c r="L1068" s="215"/>
    </row>
    <row r="1069" spans="1:14" ht="11.25" customHeight="1" x14ac:dyDescent="0.2">
      <c r="A1069" s="216">
        <v>2023</v>
      </c>
      <c r="B1069" s="216">
        <v>7</v>
      </c>
      <c r="C1069" s="216">
        <v>6</v>
      </c>
      <c r="D1069" s="217">
        <f t="shared" si="85"/>
        <v>45113</v>
      </c>
      <c r="E1069" s="239">
        <f t="shared" si="86"/>
        <v>45113</v>
      </c>
      <c r="F1069" s="521"/>
      <c r="G1069" s="219" t="s">
        <v>1245</v>
      </c>
      <c r="H1069" s="220"/>
      <c r="I1069" s="220" t="s">
        <v>1253</v>
      </c>
      <c r="J1069" s="216" t="s">
        <v>1581</v>
      </c>
      <c r="K1069" s="221"/>
      <c r="L1069" s="221">
        <v>5091.2307692307695</v>
      </c>
    </row>
    <row r="1070" spans="1:14" ht="11.25" customHeight="1" x14ac:dyDescent="0.2">
      <c r="A1070" s="210">
        <v>2023</v>
      </c>
      <c r="B1070" s="210">
        <v>7</v>
      </c>
      <c r="C1070" s="210">
        <v>6</v>
      </c>
      <c r="D1070" s="211">
        <f t="shared" si="85"/>
        <v>45113</v>
      </c>
      <c r="E1070" s="238">
        <f t="shared" si="86"/>
        <v>45113</v>
      </c>
      <c r="F1070" s="520" t="s">
        <v>1285</v>
      </c>
      <c r="G1070" s="213" t="s">
        <v>1245</v>
      </c>
      <c r="H1070" s="214"/>
      <c r="I1070" s="214" t="s">
        <v>1253</v>
      </c>
      <c r="J1070" s="210" t="s">
        <v>1284</v>
      </c>
      <c r="K1070" s="215">
        <v>11148.08</v>
      </c>
      <c r="L1070" s="215"/>
    </row>
    <row r="1071" spans="1:14" ht="11.25" customHeight="1" x14ac:dyDescent="0.2">
      <c r="A1071" s="242">
        <v>2023</v>
      </c>
      <c r="B1071" s="216">
        <v>7</v>
      </c>
      <c r="C1071" s="216">
        <v>6</v>
      </c>
      <c r="D1071" s="243">
        <f t="shared" si="85"/>
        <v>45113</v>
      </c>
      <c r="E1071" s="244">
        <f>DATE(A1071,B1071,C1071)</f>
        <v>45113</v>
      </c>
      <c r="F1071" s="524"/>
      <c r="G1071" s="245" t="s">
        <v>1245</v>
      </c>
      <c r="H1071" s="246"/>
      <c r="I1071" s="246"/>
      <c r="J1071" s="242" t="s">
        <v>1582</v>
      </c>
      <c r="K1071" s="247"/>
      <c r="L1071" s="247">
        <v>11148.08</v>
      </c>
    </row>
    <row r="1072" spans="1:14" ht="11.25" customHeight="1" x14ac:dyDescent="0.2">
      <c r="A1072" s="210">
        <v>2023</v>
      </c>
      <c r="B1072" s="210">
        <v>7</v>
      </c>
      <c r="C1072" s="210">
        <v>6</v>
      </c>
      <c r="D1072" s="211">
        <f t="shared" si="85"/>
        <v>45113</v>
      </c>
      <c r="E1072" s="238">
        <f t="shared" si="86"/>
        <v>45113</v>
      </c>
      <c r="F1072" s="520" t="s">
        <v>1259</v>
      </c>
      <c r="G1072" s="213" t="s">
        <v>1245</v>
      </c>
      <c r="H1072" s="214"/>
      <c r="I1072" s="214" t="s">
        <v>1253</v>
      </c>
      <c r="J1072" s="210" t="s">
        <v>58</v>
      </c>
      <c r="K1072" s="215">
        <v>2142.37</v>
      </c>
      <c r="L1072" s="215"/>
    </row>
    <row r="1073" spans="1:15" ht="11.25" customHeight="1" x14ac:dyDescent="0.2">
      <c r="A1073" s="216">
        <v>2023</v>
      </c>
      <c r="B1073" s="216">
        <v>7</v>
      </c>
      <c r="C1073" s="216">
        <v>6</v>
      </c>
      <c r="D1073" s="217">
        <f t="shared" si="85"/>
        <v>45113</v>
      </c>
      <c r="E1073" s="239">
        <f t="shared" si="86"/>
        <v>45113</v>
      </c>
      <c r="F1073" s="521"/>
      <c r="G1073" s="219" t="s">
        <v>1245</v>
      </c>
      <c r="H1073" s="220"/>
      <c r="I1073" s="220" t="s">
        <v>1253</v>
      </c>
      <c r="J1073" s="216" t="s">
        <v>153</v>
      </c>
      <c r="K1073" s="221"/>
      <c r="L1073" s="221">
        <v>2142.37</v>
      </c>
    </row>
    <row r="1074" spans="1:15" ht="11.25" customHeight="1" x14ac:dyDescent="0.2">
      <c r="A1074" s="210">
        <v>2023</v>
      </c>
      <c r="B1074" s="210">
        <v>7</v>
      </c>
      <c r="C1074" s="210">
        <v>6</v>
      </c>
      <c r="D1074" s="211">
        <f t="shared" si="85"/>
        <v>45113</v>
      </c>
      <c r="E1074" s="238">
        <f t="shared" si="86"/>
        <v>45113</v>
      </c>
      <c r="F1074" s="520" t="s">
        <v>1255</v>
      </c>
      <c r="G1074" s="213" t="s">
        <v>1245</v>
      </c>
      <c r="H1074" s="214"/>
      <c r="I1074" s="214" t="s">
        <v>1253</v>
      </c>
      <c r="J1074" s="210" t="s">
        <v>113</v>
      </c>
      <c r="K1074" s="215">
        <v>47129.15</v>
      </c>
      <c r="L1074" s="215"/>
      <c r="M1074" s="251"/>
      <c r="O1074" s="130"/>
    </row>
    <row r="1075" spans="1:15" ht="11.25" customHeight="1" x14ac:dyDescent="0.2">
      <c r="A1075" s="216">
        <v>2023</v>
      </c>
      <c r="B1075" s="216">
        <v>7</v>
      </c>
      <c r="C1075" s="216">
        <v>6</v>
      </c>
      <c r="D1075" s="217">
        <f t="shared" si="85"/>
        <v>45113</v>
      </c>
      <c r="E1075" s="239">
        <f t="shared" si="86"/>
        <v>45113</v>
      </c>
      <c r="F1075" s="521"/>
      <c r="G1075" s="219" t="s">
        <v>1245</v>
      </c>
      <c r="H1075" s="220"/>
      <c r="I1075" s="220" t="s">
        <v>1253</v>
      </c>
      <c r="J1075" s="216" t="s">
        <v>153</v>
      </c>
      <c r="K1075" s="221"/>
      <c r="L1075" s="221">
        <v>47129.15</v>
      </c>
    </row>
    <row r="1076" spans="1:15" ht="11.25" customHeight="1" x14ac:dyDescent="0.2">
      <c r="A1076" s="210">
        <v>2023</v>
      </c>
      <c r="B1076" s="210">
        <v>7</v>
      </c>
      <c r="C1076" s="210">
        <v>6</v>
      </c>
      <c r="D1076" s="211">
        <f t="shared" si="85"/>
        <v>45113</v>
      </c>
      <c r="E1076" s="238">
        <f t="shared" si="86"/>
        <v>45113</v>
      </c>
      <c r="F1076" s="520" t="s">
        <v>1256</v>
      </c>
      <c r="G1076" s="213" t="s">
        <v>1245</v>
      </c>
      <c r="H1076" s="214"/>
      <c r="I1076" s="214" t="s">
        <v>1253</v>
      </c>
      <c r="J1076" s="210" t="s">
        <v>113</v>
      </c>
      <c r="K1076" s="215">
        <v>29573.9</v>
      </c>
      <c r="L1076" s="215"/>
      <c r="M1076" s="251"/>
      <c r="O1076" s="130"/>
    </row>
    <row r="1077" spans="1:15" ht="11.25" customHeight="1" x14ac:dyDescent="0.2">
      <c r="A1077" s="216">
        <v>2023</v>
      </c>
      <c r="B1077" s="216">
        <v>7</v>
      </c>
      <c r="C1077" s="216">
        <v>6</v>
      </c>
      <c r="D1077" s="217">
        <f t="shared" si="85"/>
        <v>45113</v>
      </c>
      <c r="E1077" s="239">
        <f t="shared" si="86"/>
        <v>45113</v>
      </c>
      <c r="F1077" s="521"/>
      <c r="G1077" s="219" t="s">
        <v>1245</v>
      </c>
      <c r="H1077" s="220"/>
      <c r="I1077" s="220" t="s">
        <v>1253</v>
      </c>
      <c r="J1077" s="216" t="s">
        <v>153</v>
      </c>
      <c r="K1077" s="221"/>
      <c r="L1077" s="221">
        <v>29573.9</v>
      </c>
    </row>
    <row r="1078" spans="1:15" ht="11.25" customHeight="1" x14ac:dyDescent="0.2">
      <c r="A1078" s="210">
        <v>2023</v>
      </c>
      <c r="B1078" s="210">
        <v>7</v>
      </c>
      <c r="C1078" s="210">
        <v>6</v>
      </c>
      <c r="D1078" s="211">
        <f t="shared" si="85"/>
        <v>45113</v>
      </c>
      <c r="E1078" s="238">
        <f t="shared" si="86"/>
        <v>45113</v>
      </c>
      <c r="F1078" s="520" t="s">
        <v>1257</v>
      </c>
      <c r="G1078" s="213" t="s">
        <v>1245</v>
      </c>
      <c r="H1078" s="214"/>
      <c r="I1078" s="214" t="s">
        <v>1253</v>
      </c>
      <c r="J1078" s="210" t="s">
        <v>113</v>
      </c>
      <c r="K1078" s="215">
        <v>33372.26</v>
      </c>
      <c r="L1078" s="215"/>
    </row>
    <row r="1079" spans="1:15" ht="11.25" customHeight="1" x14ac:dyDescent="0.2">
      <c r="A1079" s="216">
        <v>2023</v>
      </c>
      <c r="B1079" s="216">
        <v>7</v>
      </c>
      <c r="C1079" s="216">
        <v>6</v>
      </c>
      <c r="D1079" s="217">
        <f t="shared" si="85"/>
        <v>45113</v>
      </c>
      <c r="E1079" s="239">
        <f t="shared" si="86"/>
        <v>45113</v>
      </c>
      <c r="F1079" s="521"/>
      <c r="G1079" s="219" t="s">
        <v>1245</v>
      </c>
      <c r="H1079" s="220"/>
      <c r="I1079" s="220" t="s">
        <v>1253</v>
      </c>
      <c r="J1079" s="216" t="s">
        <v>153</v>
      </c>
      <c r="K1079" s="221"/>
      <c r="L1079" s="221">
        <v>33372.26</v>
      </c>
    </row>
    <row r="1080" spans="1:15" ht="11.25" customHeight="1" x14ac:dyDescent="0.2">
      <c r="A1080" s="259">
        <v>2023</v>
      </c>
      <c r="B1080" s="259">
        <v>7</v>
      </c>
      <c r="C1080" s="259">
        <v>6</v>
      </c>
      <c r="D1080" s="260">
        <f t="shared" si="85"/>
        <v>45113</v>
      </c>
      <c r="E1080" s="261">
        <f t="shared" si="86"/>
        <v>45113</v>
      </c>
      <c r="F1080" s="531" t="s">
        <v>1313</v>
      </c>
      <c r="G1080" s="262" t="s">
        <v>1245</v>
      </c>
      <c r="H1080" s="263"/>
      <c r="I1080" s="263" t="s">
        <v>1253</v>
      </c>
      <c r="J1080" s="259" t="s">
        <v>1476</v>
      </c>
      <c r="K1080" s="264">
        <v>7857.7777777777774</v>
      </c>
      <c r="L1080" s="264"/>
    </row>
    <row r="1081" spans="1:15" ht="11.25" customHeight="1" x14ac:dyDescent="0.2">
      <c r="A1081" s="265">
        <v>2023</v>
      </c>
      <c r="B1081" s="265">
        <v>7</v>
      </c>
      <c r="C1081" s="265">
        <v>6</v>
      </c>
      <c r="D1081" s="266">
        <f t="shared" si="85"/>
        <v>45113</v>
      </c>
      <c r="E1081" s="267">
        <f t="shared" si="86"/>
        <v>45113</v>
      </c>
      <c r="F1081" s="532"/>
      <c r="G1081" s="268" t="s">
        <v>1245</v>
      </c>
      <c r="H1081" s="269"/>
      <c r="I1081" s="269" t="s">
        <v>1253</v>
      </c>
      <c r="J1081" s="265" t="s">
        <v>153</v>
      </c>
      <c r="K1081" s="270"/>
      <c r="L1081" s="270">
        <v>7857.7777777777774</v>
      </c>
    </row>
    <row r="1082" spans="1:15" ht="11.25" customHeight="1" x14ac:dyDescent="0.2">
      <c r="A1082" s="259">
        <v>2023</v>
      </c>
      <c r="B1082" s="259">
        <v>7</v>
      </c>
      <c r="C1082" s="259">
        <v>6</v>
      </c>
      <c r="D1082" s="260">
        <f t="shared" si="85"/>
        <v>45113</v>
      </c>
      <c r="E1082" s="261">
        <f t="shared" si="86"/>
        <v>45113</v>
      </c>
      <c r="F1082" s="531" t="s">
        <v>1359</v>
      </c>
      <c r="G1082" s="262" t="s">
        <v>1245</v>
      </c>
      <c r="H1082" s="263"/>
      <c r="I1082" s="263" t="s">
        <v>1253</v>
      </c>
      <c r="J1082" s="259" t="s">
        <v>1476</v>
      </c>
      <c r="K1082" s="264">
        <v>8502.8166666667294</v>
      </c>
      <c r="L1082" s="264"/>
    </row>
    <row r="1083" spans="1:15" ht="11.25" customHeight="1" x14ac:dyDescent="0.2">
      <c r="A1083" s="265">
        <v>2023</v>
      </c>
      <c r="B1083" s="265">
        <v>7</v>
      </c>
      <c r="C1083" s="265">
        <v>6</v>
      </c>
      <c r="D1083" s="266">
        <f t="shared" si="85"/>
        <v>45113</v>
      </c>
      <c r="E1083" s="267">
        <f t="shared" si="86"/>
        <v>45113</v>
      </c>
      <c r="F1083" s="532"/>
      <c r="G1083" s="268" t="s">
        <v>1245</v>
      </c>
      <c r="H1083" s="269"/>
      <c r="I1083" s="269" t="s">
        <v>1253</v>
      </c>
      <c r="J1083" s="265" t="s">
        <v>153</v>
      </c>
      <c r="K1083" s="270"/>
      <c r="L1083" s="270">
        <v>8502.8166666667294</v>
      </c>
    </row>
    <row r="1084" spans="1:15" ht="11.25" customHeight="1" x14ac:dyDescent="0.2">
      <c r="A1084" s="222">
        <v>2023</v>
      </c>
      <c r="B1084" s="222">
        <v>7</v>
      </c>
      <c r="C1084" s="222">
        <v>6</v>
      </c>
      <c r="D1084" s="223">
        <f t="shared" si="85"/>
        <v>45113</v>
      </c>
      <c r="E1084" s="240">
        <f t="shared" si="86"/>
        <v>45113</v>
      </c>
      <c r="F1084" s="511" t="s">
        <v>1244</v>
      </c>
      <c r="G1084" s="225" t="s">
        <v>1245</v>
      </c>
      <c r="H1084" s="226"/>
      <c r="I1084" s="226" t="s">
        <v>1253</v>
      </c>
      <c r="J1084" s="222" t="s">
        <v>87</v>
      </c>
      <c r="K1084" s="227">
        <v>87373.910000000149</v>
      </c>
      <c r="L1084" s="227"/>
    </row>
    <row r="1085" spans="1:15" ht="11.25" customHeight="1" x14ac:dyDescent="0.2">
      <c r="A1085" s="228">
        <v>2023</v>
      </c>
      <c r="B1085" s="228">
        <v>7</v>
      </c>
      <c r="C1085" s="228">
        <v>6</v>
      </c>
      <c r="D1085" s="229">
        <f t="shared" si="85"/>
        <v>45113</v>
      </c>
      <c r="E1085" s="241">
        <f t="shared" si="86"/>
        <v>45113</v>
      </c>
      <c r="F1085" s="512"/>
      <c r="G1085" s="231" t="s">
        <v>1245</v>
      </c>
      <c r="H1085" s="232"/>
      <c r="I1085" s="232" t="s">
        <v>1253</v>
      </c>
      <c r="J1085" s="228" t="s">
        <v>72</v>
      </c>
      <c r="K1085" s="233"/>
      <c r="L1085" s="233">
        <v>87373.910000000149</v>
      </c>
    </row>
    <row r="1086" spans="1:15" ht="11.25" customHeight="1" x14ac:dyDescent="0.2">
      <c r="A1086" s="222">
        <v>2023</v>
      </c>
      <c r="B1086" s="222">
        <v>7</v>
      </c>
      <c r="C1086" s="222">
        <v>6</v>
      </c>
      <c r="D1086" s="223">
        <f t="shared" si="85"/>
        <v>45113</v>
      </c>
      <c r="E1086" s="240">
        <f t="shared" si="86"/>
        <v>45113</v>
      </c>
      <c r="F1086" s="511" t="s">
        <v>1246</v>
      </c>
      <c r="G1086" s="225" t="s">
        <v>1245</v>
      </c>
      <c r="H1086" s="226"/>
      <c r="I1086" s="226" t="s">
        <v>1253</v>
      </c>
      <c r="J1086" s="222" t="s">
        <v>75</v>
      </c>
      <c r="K1086" s="227">
        <v>3846.1538461538462</v>
      </c>
      <c r="L1086" s="227"/>
    </row>
    <row r="1087" spans="1:15" ht="11.25" customHeight="1" x14ac:dyDescent="0.2">
      <c r="A1087" s="228">
        <v>2023</v>
      </c>
      <c r="B1087" s="228">
        <v>7</v>
      </c>
      <c r="C1087" s="228">
        <v>6</v>
      </c>
      <c r="D1087" s="229">
        <f t="shared" si="85"/>
        <v>45113</v>
      </c>
      <c r="E1087" s="241">
        <f t="shared" si="86"/>
        <v>45113</v>
      </c>
      <c r="F1087" s="512"/>
      <c r="G1087" s="231" t="s">
        <v>1245</v>
      </c>
      <c r="H1087" s="232"/>
      <c r="I1087" s="232" t="s">
        <v>1253</v>
      </c>
      <c r="J1087" s="228" t="s">
        <v>55</v>
      </c>
      <c r="K1087" s="233"/>
      <c r="L1087" s="233">
        <v>3846.1538461538462</v>
      </c>
    </row>
    <row r="1088" spans="1:15" ht="11.25" customHeight="1" x14ac:dyDescent="0.2">
      <c r="A1088" s="222">
        <v>2023</v>
      </c>
      <c r="B1088" s="222">
        <v>7</v>
      </c>
      <c r="C1088" s="222">
        <v>6</v>
      </c>
      <c r="D1088" s="223">
        <f t="shared" si="85"/>
        <v>45113</v>
      </c>
      <c r="E1088" s="240">
        <f t="shared" si="86"/>
        <v>45113</v>
      </c>
      <c r="F1088" s="511" t="s">
        <v>1247</v>
      </c>
      <c r="G1088" s="225" t="s">
        <v>1245</v>
      </c>
      <c r="H1088" s="226"/>
      <c r="I1088" s="226" t="s">
        <v>1253</v>
      </c>
      <c r="J1088" s="222" t="s">
        <v>77</v>
      </c>
      <c r="K1088" s="227">
        <v>24202.64840338039</v>
      </c>
      <c r="L1088" s="227"/>
    </row>
    <row r="1089" spans="1:14" ht="11.25" customHeight="1" x14ac:dyDescent="0.2">
      <c r="A1089" s="228">
        <v>2023</v>
      </c>
      <c r="B1089" s="228">
        <v>7</v>
      </c>
      <c r="C1089" s="228">
        <v>6</v>
      </c>
      <c r="D1089" s="229">
        <f t="shared" si="85"/>
        <v>45113</v>
      </c>
      <c r="E1089" s="241">
        <f t="shared" si="86"/>
        <v>45113</v>
      </c>
      <c r="F1089" s="512"/>
      <c r="G1089" s="231" t="s">
        <v>1245</v>
      </c>
      <c r="H1089" s="232"/>
      <c r="I1089" s="232" t="s">
        <v>1253</v>
      </c>
      <c r="J1089" s="228" t="s">
        <v>41</v>
      </c>
      <c r="K1089" s="233"/>
      <c r="L1089" s="233">
        <v>24202.64840338039</v>
      </c>
    </row>
    <row r="1090" spans="1:14" ht="11.25" customHeight="1" x14ac:dyDescent="0.2">
      <c r="A1090" s="222">
        <v>2023</v>
      </c>
      <c r="B1090" s="222">
        <v>7</v>
      </c>
      <c r="C1090" s="222">
        <v>6</v>
      </c>
      <c r="D1090" s="223">
        <f t="shared" si="85"/>
        <v>45113</v>
      </c>
      <c r="E1090" s="240">
        <f t="shared" si="86"/>
        <v>45113</v>
      </c>
      <c r="F1090" s="511" t="s">
        <v>1248</v>
      </c>
      <c r="G1090" s="225" t="s">
        <v>1245</v>
      </c>
      <c r="H1090" s="226"/>
      <c r="I1090" s="226" t="s">
        <v>1253</v>
      </c>
      <c r="J1090" s="222" t="s">
        <v>80</v>
      </c>
      <c r="K1090" s="227">
        <v>1210.1324201690195</v>
      </c>
      <c r="L1090" s="227"/>
    </row>
    <row r="1091" spans="1:14" ht="11.25" customHeight="1" x14ac:dyDescent="0.2">
      <c r="A1091" s="228">
        <v>2023</v>
      </c>
      <c r="B1091" s="228">
        <v>7</v>
      </c>
      <c r="C1091" s="228">
        <v>6</v>
      </c>
      <c r="D1091" s="229">
        <f t="shared" si="85"/>
        <v>45113</v>
      </c>
      <c r="E1091" s="241">
        <f t="shared" si="86"/>
        <v>45113</v>
      </c>
      <c r="F1091" s="512"/>
      <c r="G1091" s="231" t="s">
        <v>1245</v>
      </c>
      <c r="H1091" s="232"/>
      <c r="I1091" s="232" t="s">
        <v>1253</v>
      </c>
      <c r="J1091" s="228" t="s">
        <v>42</v>
      </c>
      <c r="K1091" s="233"/>
      <c r="L1091" s="233">
        <v>1210.1324201690195</v>
      </c>
    </row>
    <row r="1092" spans="1:14" ht="11.25" customHeight="1" x14ac:dyDescent="0.2">
      <c r="A1092" s="197">
        <v>2023</v>
      </c>
      <c r="B1092" s="197">
        <v>7</v>
      </c>
      <c r="C1092" s="197">
        <v>9</v>
      </c>
      <c r="D1092" s="198">
        <f t="shared" si="85"/>
        <v>45116</v>
      </c>
      <c r="E1092" s="199">
        <f t="shared" si="86"/>
        <v>45116</v>
      </c>
      <c r="F1092" s="513" t="s">
        <v>1323</v>
      </c>
      <c r="G1092" s="200" t="s">
        <v>1209</v>
      </c>
      <c r="H1092" s="201"/>
      <c r="I1092" s="201"/>
      <c r="J1092" s="197" t="s">
        <v>54</v>
      </c>
      <c r="K1092" s="202">
        <v>60</v>
      </c>
      <c r="L1092" s="202"/>
    </row>
    <row r="1093" spans="1:14" ht="11.25" customHeight="1" x14ac:dyDescent="0.2">
      <c r="A1093" s="191">
        <v>2023</v>
      </c>
      <c r="B1093" s="191">
        <v>7</v>
      </c>
      <c r="C1093" s="191">
        <v>9</v>
      </c>
      <c r="D1093" s="192">
        <f t="shared" si="85"/>
        <v>45116</v>
      </c>
      <c r="E1093" s="193">
        <f t="shared" si="86"/>
        <v>45116</v>
      </c>
      <c r="F1093" s="514"/>
      <c r="G1093" s="194" t="s">
        <v>1209</v>
      </c>
      <c r="H1093" s="195"/>
      <c r="I1093" s="195"/>
      <c r="J1093" s="191" t="s">
        <v>46</v>
      </c>
      <c r="K1093" s="196"/>
      <c r="L1093" s="196">
        <v>60</v>
      </c>
    </row>
    <row r="1094" spans="1:14" ht="11.25" customHeight="1" x14ac:dyDescent="0.2">
      <c r="A1094" s="197">
        <v>2023</v>
      </c>
      <c r="B1094" s="197">
        <v>7</v>
      </c>
      <c r="C1094" s="197">
        <v>9</v>
      </c>
      <c r="D1094" s="198">
        <f t="shared" si="85"/>
        <v>45116</v>
      </c>
      <c r="E1094" s="209">
        <f t="shared" si="86"/>
        <v>45116</v>
      </c>
      <c r="F1094" s="513" t="s">
        <v>1372</v>
      </c>
      <c r="G1094" s="200" t="s">
        <v>1209</v>
      </c>
      <c r="H1094" s="201"/>
      <c r="I1094" s="201"/>
      <c r="J1094" s="248" t="s">
        <v>76</v>
      </c>
      <c r="K1094" s="202">
        <v>1500000</v>
      </c>
      <c r="L1094" s="202"/>
      <c r="M1094" s="251"/>
    </row>
    <row r="1095" spans="1:14" ht="11.25" customHeight="1" x14ac:dyDescent="0.2">
      <c r="A1095" s="120">
        <v>2023</v>
      </c>
      <c r="B1095" s="120">
        <v>7</v>
      </c>
      <c r="C1095" s="120">
        <v>9</v>
      </c>
      <c r="D1095" s="198">
        <f t="shared" si="85"/>
        <v>45116</v>
      </c>
      <c r="E1095" s="209">
        <f t="shared" si="86"/>
        <v>45116</v>
      </c>
      <c r="F1095" s="515"/>
      <c r="G1095" s="132" t="s">
        <v>1209</v>
      </c>
      <c r="J1095" s="129" t="s">
        <v>46</v>
      </c>
      <c r="K1095" s="207">
        <v>38749.949999999997</v>
      </c>
      <c r="L1095" s="207"/>
      <c r="M1095" s="251"/>
    </row>
    <row r="1096" spans="1:14" ht="11.25" customHeight="1" x14ac:dyDescent="0.2">
      <c r="A1096" s="120">
        <v>2023</v>
      </c>
      <c r="B1096" s="120">
        <v>7</v>
      </c>
      <c r="C1096" s="120">
        <v>9</v>
      </c>
      <c r="D1096" s="208">
        <f t="shared" si="85"/>
        <v>45116</v>
      </c>
      <c r="E1096" s="209">
        <f t="shared" si="86"/>
        <v>45116</v>
      </c>
      <c r="F1096" s="515"/>
      <c r="G1096" s="132" t="s">
        <v>1209</v>
      </c>
      <c r="J1096" s="129" t="s">
        <v>113</v>
      </c>
      <c r="K1096" s="207"/>
      <c r="L1096" s="207">
        <v>38749.949999999997</v>
      </c>
    </row>
    <row r="1097" spans="1:14" ht="11.25" customHeight="1" x14ac:dyDescent="0.2">
      <c r="A1097" s="191">
        <v>2023</v>
      </c>
      <c r="B1097" s="191">
        <v>7</v>
      </c>
      <c r="C1097" s="191">
        <v>9</v>
      </c>
      <c r="D1097" s="192">
        <f t="shared" si="85"/>
        <v>45116</v>
      </c>
      <c r="E1097" s="193">
        <f t="shared" si="86"/>
        <v>45116</v>
      </c>
      <c r="F1097" s="514"/>
      <c r="G1097" s="194" t="s">
        <v>1209</v>
      </c>
      <c r="H1097" s="195"/>
      <c r="I1097" s="195"/>
      <c r="J1097" s="250" t="s">
        <v>76</v>
      </c>
      <c r="K1097" s="196"/>
      <c r="L1097" s="196">
        <v>1500000</v>
      </c>
    </row>
    <row r="1098" spans="1:14" ht="11.25" customHeight="1" x14ac:dyDescent="0.2">
      <c r="A1098" s="197">
        <v>2023</v>
      </c>
      <c r="B1098" s="197">
        <v>7</v>
      </c>
      <c r="C1098" s="197">
        <v>9</v>
      </c>
      <c r="D1098" s="198">
        <f t="shared" si="85"/>
        <v>45116</v>
      </c>
      <c r="E1098" s="209">
        <f t="shared" ref="E1098:E1116" si="87">DATE(A1098,B1098,C1098)</f>
        <v>45116</v>
      </c>
      <c r="F1098" s="513" t="s">
        <v>1373</v>
      </c>
      <c r="G1098" s="200" t="s">
        <v>1209</v>
      </c>
      <c r="H1098" s="201"/>
      <c r="I1098" s="201"/>
      <c r="J1098" s="248" t="s">
        <v>76</v>
      </c>
      <c r="K1098" s="202">
        <v>2500000</v>
      </c>
      <c r="L1098" s="202"/>
      <c r="M1098" s="251"/>
      <c r="N1098" s="130"/>
    </row>
    <row r="1099" spans="1:14" ht="11.25" customHeight="1" x14ac:dyDescent="0.2">
      <c r="A1099" s="120">
        <v>2023</v>
      </c>
      <c r="B1099" s="120">
        <v>7</v>
      </c>
      <c r="C1099" s="120">
        <v>9</v>
      </c>
      <c r="D1099" s="198">
        <f t="shared" si="85"/>
        <v>45116</v>
      </c>
      <c r="E1099" s="209">
        <f t="shared" si="87"/>
        <v>45116</v>
      </c>
      <c r="F1099" s="515"/>
      <c r="G1099" s="132" t="s">
        <v>1209</v>
      </c>
      <c r="J1099" s="129" t="s">
        <v>46</v>
      </c>
      <c r="K1099" s="207">
        <v>64583.35</v>
      </c>
      <c r="L1099" s="207"/>
      <c r="M1099" s="251"/>
      <c r="N1099" s="130"/>
    </row>
    <row r="1100" spans="1:14" ht="11.25" customHeight="1" x14ac:dyDescent="0.2">
      <c r="A1100" s="120">
        <v>2023</v>
      </c>
      <c r="B1100" s="120">
        <v>7</v>
      </c>
      <c r="C1100" s="120">
        <v>9</v>
      </c>
      <c r="D1100" s="208">
        <f t="shared" si="85"/>
        <v>45116</v>
      </c>
      <c r="E1100" s="209">
        <f t="shared" si="87"/>
        <v>45116</v>
      </c>
      <c r="F1100" s="515"/>
      <c r="G1100" s="132" t="s">
        <v>1209</v>
      </c>
      <c r="J1100" s="129" t="s">
        <v>113</v>
      </c>
      <c r="K1100" s="207"/>
      <c r="L1100" s="207">
        <v>64583.35</v>
      </c>
    </row>
    <row r="1101" spans="1:14" ht="11.25" customHeight="1" x14ac:dyDescent="0.2">
      <c r="A1101" s="191">
        <v>2023</v>
      </c>
      <c r="B1101" s="191">
        <v>7</v>
      </c>
      <c r="C1101" s="191">
        <v>9</v>
      </c>
      <c r="D1101" s="192">
        <f t="shared" si="85"/>
        <v>45116</v>
      </c>
      <c r="E1101" s="193">
        <f t="shared" si="87"/>
        <v>45116</v>
      </c>
      <c r="F1101" s="514"/>
      <c r="G1101" s="194" t="s">
        <v>1209</v>
      </c>
      <c r="H1101" s="195"/>
      <c r="I1101" s="195"/>
      <c r="J1101" s="250" t="s">
        <v>76</v>
      </c>
      <c r="K1101" s="196"/>
      <c r="L1101" s="196">
        <v>2500000</v>
      </c>
    </row>
    <row r="1102" spans="1:14" ht="11.25" customHeight="1" x14ac:dyDescent="0.2">
      <c r="A1102" s="197">
        <v>2023</v>
      </c>
      <c r="B1102" s="197">
        <v>7</v>
      </c>
      <c r="C1102" s="197">
        <v>9</v>
      </c>
      <c r="D1102" s="198">
        <f t="shared" si="85"/>
        <v>45116</v>
      </c>
      <c r="E1102" s="209">
        <f t="shared" si="87"/>
        <v>45116</v>
      </c>
      <c r="F1102" s="513" t="s">
        <v>1374</v>
      </c>
      <c r="G1102" s="200" t="s">
        <v>1209</v>
      </c>
      <c r="H1102" s="201"/>
      <c r="I1102" s="201"/>
      <c r="J1102" s="248" t="s">
        <v>46</v>
      </c>
      <c r="K1102" s="202">
        <v>2563833.35</v>
      </c>
      <c r="L1102" s="202"/>
      <c r="M1102" s="251"/>
    </row>
    <row r="1103" spans="1:14" ht="11.25" customHeight="1" x14ac:dyDescent="0.2">
      <c r="A1103" s="120">
        <v>2023</v>
      </c>
      <c r="B1103" s="120">
        <v>7</v>
      </c>
      <c r="C1103" s="120">
        <v>9</v>
      </c>
      <c r="D1103" s="198">
        <f t="shared" si="85"/>
        <v>45116</v>
      </c>
      <c r="E1103" s="209">
        <f t="shared" si="87"/>
        <v>45116</v>
      </c>
      <c r="F1103" s="515"/>
      <c r="G1103" s="132" t="s">
        <v>1209</v>
      </c>
      <c r="J1103" s="129" t="s">
        <v>54</v>
      </c>
      <c r="K1103" s="207">
        <v>750</v>
      </c>
      <c r="L1103" s="207"/>
      <c r="M1103" s="251"/>
    </row>
    <row r="1104" spans="1:14" ht="11.25" customHeight="1" x14ac:dyDescent="0.2">
      <c r="A1104" s="120">
        <v>2023</v>
      </c>
      <c r="B1104" s="120">
        <v>7</v>
      </c>
      <c r="C1104" s="120">
        <v>9</v>
      </c>
      <c r="D1104" s="208">
        <f t="shared" si="85"/>
        <v>45116</v>
      </c>
      <c r="E1104" s="209">
        <f t="shared" si="87"/>
        <v>45116</v>
      </c>
      <c r="F1104" s="515"/>
      <c r="G1104" s="132" t="s">
        <v>1209</v>
      </c>
      <c r="J1104" s="129" t="s">
        <v>113</v>
      </c>
      <c r="K1104" s="207"/>
      <c r="L1104" s="207">
        <v>64583.35</v>
      </c>
    </row>
    <row r="1105" spans="1:13" ht="11.25" customHeight="1" x14ac:dyDescent="0.2">
      <c r="A1105" s="191">
        <v>2023</v>
      </c>
      <c r="B1105" s="191">
        <v>7</v>
      </c>
      <c r="C1105" s="191">
        <v>9</v>
      </c>
      <c r="D1105" s="192">
        <f t="shared" si="85"/>
        <v>45116</v>
      </c>
      <c r="E1105" s="193">
        <f t="shared" si="87"/>
        <v>45116</v>
      </c>
      <c r="F1105" s="514"/>
      <c r="G1105" s="194" t="s">
        <v>1209</v>
      </c>
      <c r="H1105" s="195"/>
      <c r="I1105" s="195"/>
      <c r="J1105" s="250" t="s">
        <v>76</v>
      </c>
      <c r="K1105" s="196"/>
      <c r="L1105" s="196">
        <v>2500000</v>
      </c>
    </row>
    <row r="1106" spans="1:13" ht="11.25" customHeight="1" x14ac:dyDescent="0.2">
      <c r="A1106" s="197">
        <v>2023</v>
      </c>
      <c r="B1106" s="197">
        <v>7</v>
      </c>
      <c r="C1106" s="197">
        <v>9</v>
      </c>
      <c r="D1106" s="198">
        <f t="shared" si="85"/>
        <v>45116</v>
      </c>
      <c r="E1106" s="209">
        <f t="shared" si="87"/>
        <v>45116</v>
      </c>
      <c r="F1106" s="513" t="s">
        <v>1380</v>
      </c>
      <c r="G1106" s="200" t="s">
        <v>1209</v>
      </c>
      <c r="H1106" s="201"/>
      <c r="I1106" s="201"/>
      <c r="J1106" s="248" t="s">
        <v>46</v>
      </c>
      <c r="K1106" s="202">
        <v>11280666.66</v>
      </c>
      <c r="L1106" s="202"/>
      <c r="M1106" s="251"/>
    </row>
    <row r="1107" spans="1:13" ht="11.25" customHeight="1" x14ac:dyDescent="0.2">
      <c r="A1107" s="120">
        <v>2023</v>
      </c>
      <c r="B1107" s="120">
        <v>7</v>
      </c>
      <c r="C1107" s="120">
        <v>9</v>
      </c>
      <c r="D1107" s="198">
        <f t="shared" si="85"/>
        <v>45116</v>
      </c>
      <c r="E1107" s="209">
        <f t="shared" si="87"/>
        <v>45116</v>
      </c>
      <c r="F1107" s="515"/>
      <c r="G1107" s="132" t="s">
        <v>1209</v>
      </c>
      <c r="J1107" s="129" t="s">
        <v>54</v>
      </c>
      <c r="K1107" s="207">
        <v>3500</v>
      </c>
      <c r="L1107" s="207"/>
      <c r="M1107" s="251"/>
    </row>
    <row r="1108" spans="1:13" ht="11.25" customHeight="1" x14ac:dyDescent="0.2">
      <c r="A1108" s="120">
        <v>2023</v>
      </c>
      <c r="B1108" s="120">
        <v>7</v>
      </c>
      <c r="C1108" s="120">
        <v>9</v>
      </c>
      <c r="D1108" s="208">
        <f t="shared" si="85"/>
        <v>45116</v>
      </c>
      <c r="E1108" s="209">
        <f t="shared" si="87"/>
        <v>45116</v>
      </c>
      <c r="F1108" s="515"/>
      <c r="G1108" s="132" t="s">
        <v>1209</v>
      </c>
      <c r="J1108" s="129" t="s">
        <v>113</v>
      </c>
      <c r="K1108" s="207"/>
      <c r="L1108" s="207">
        <v>284166.65999999997</v>
      </c>
    </row>
    <row r="1109" spans="1:13" ht="11.25" customHeight="1" x14ac:dyDescent="0.2">
      <c r="A1109" s="191">
        <v>2023</v>
      </c>
      <c r="B1109" s="191">
        <v>7</v>
      </c>
      <c r="C1109" s="191">
        <v>9</v>
      </c>
      <c r="D1109" s="192">
        <f t="shared" si="85"/>
        <v>45116</v>
      </c>
      <c r="E1109" s="193">
        <f t="shared" si="87"/>
        <v>45116</v>
      </c>
      <c r="F1109" s="514"/>
      <c r="G1109" s="194" t="s">
        <v>1209</v>
      </c>
      <c r="H1109" s="195"/>
      <c r="I1109" s="195"/>
      <c r="J1109" s="250" t="s">
        <v>76</v>
      </c>
      <c r="K1109" s="196"/>
      <c r="L1109" s="196">
        <v>11000000</v>
      </c>
    </row>
    <row r="1110" spans="1:13" ht="11.25" customHeight="1" x14ac:dyDescent="0.2">
      <c r="A1110" s="197">
        <v>2023</v>
      </c>
      <c r="B1110" s="197">
        <v>7</v>
      </c>
      <c r="C1110" s="197">
        <v>9</v>
      </c>
      <c r="D1110" s="198">
        <f t="shared" si="85"/>
        <v>45116</v>
      </c>
      <c r="E1110" s="209">
        <f t="shared" si="87"/>
        <v>45116</v>
      </c>
      <c r="F1110" s="513" t="s">
        <v>1379</v>
      </c>
      <c r="G1110" s="200" t="s">
        <v>1209</v>
      </c>
      <c r="H1110" s="201"/>
      <c r="I1110" s="201"/>
      <c r="J1110" s="248" t="s">
        <v>46</v>
      </c>
      <c r="K1110" s="202">
        <v>1999000</v>
      </c>
      <c r="L1110" s="202"/>
      <c r="M1110" s="251"/>
    </row>
    <row r="1111" spans="1:13" ht="11.25" customHeight="1" x14ac:dyDescent="0.2">
      <c r="A1111" s="120">
        <v>2023</v>
      </c>
      <c r="B1111" s="120">
        <v>7</v>
      </c>
      <c r="C1111" s="120">
        <v>9</v>
      </c>
      <c r="D1111" s="198">
        <f t="shared" si="85"/>
        <v>45116</v>
      </c>
      <c r="E1111" s="209">
        <f t="shared" si="87"/>
        <v>45116</v>
      </c>
      <c r="F1111" s="515"/>
      <c r="G1111" s="132" t="s">
        <v>1209</v>
      </c>
      <c r="J1111" s="129" t="s">
        <v>54</v>
      </c>
      <c r="K1111" s="207">
        <v>1000</v>
      </c>
      <c r="L1111" s="207"/>
      <c r="M1111" s="251"/>
    </row>
    <row r="1112" spans="1:13" ht="11.25" customHeight="1" x14ac:dyDescent="0.2">
      <c r="A1112" s="191">
        <v>2023</v>
      </c>
      <c r="B1112" s="191">
        <v>7</v>
      </c>
      <c r="C1112" s="191">
        <v>9</v>
      </c>
      <c r="D1112" s="192">
        <f t="shared" si="85"/>
        <v>45116</v>
      </c>
      <c r="E1112" s="193">
        <f t="shared" si="87"/>
        <v>45116</v>
      </c>
      <c r="F1112" s="514"/>
      <c r="G1112" s="194" t="s">
        <v>1209</v>
      </c>
      <c r="H1112" s="195"/>
      <c r="I1112" s="195"/>
      <c r="J1112" s="250" t="s">
        <v>76</v>
      </c>
      <c r="K1112" s="196"/>
      <c r="L1112" s="196">
        <v>2000000</v>
      </c>
    </row>
    <row r="1113" spans="1:13" ht="11.25" customHeight="1" x14ac:dyDescent="0.2">
      <c r="A1113" s="197">
        <v>2023</v>
      </c>
      <c r="B1113" s="197">
        <v>7</v>
      </c>
      <c r="C1113" s="197">
        <v>10</v>
      </c>
      <c r="D1113" s="198">
        <f t="shared" si="85"/>
        <v>45117</v>
      </c>
      <c r="E1113" s="209">
        <f t="shared" si="87"/>
        <v>45117</v>
      </c>
      <c r="F1113" s="513" t="s">
        <v>1375</v>
      </c>
      <c r="G1113" s="200" t="s">
        <v>1209</v>
      </c>
      <c r="H1113" s="201"/>
      <c r="I1113" s="201"/>
      <c r="J1113" s="248" t="s">
        <v>46</v>
      </c>
      <c r="K1113" s="202">
        <v>2050666</v>
      </c>
      <c r="L1113" s="202"/>
      <c r="M1113" s="251"/>
    </row>
    <row r="1114" spans="1:13" ht="11.25" customHeight="1" x14ac:dyDescent="0.2">
      <c r="A1114" s="120">
        <v>2023</v>
      </c>
      <c r="B1114" s="120">
        <v>7</v>
      </c>
      <c r="C1114" s="120">
        <v>10</v>
      </c>
      <c r="D1114" s="198">
        <f t="shared" si="85"/>
        <v>45117</v>
      </c>
      <c r="E1114" s="209">
        <f t="shared" si="87"/>
        <v>45117</v>
      </c>
      <c r="F1114" s="515"/>
      <c r="G1114" s="132" t="s">
        <v>1209</v>
      </c>
      <c r="J1114" s="129" t="s">
        <v>54</v>
      </c>
      <c r="K1114" s="207">
        <v>1000</v>
      </c>
      <c r="L1114" s="207"/>
      <c r="M1114" s="251"/>
    </row>
    <row r="1115" spans="1:13" ht="11.25" customHeight="1" x14ac:dyDescent="0.2">
      <c r="A1115" s="120">
        <v>2023</v>
      </c>
      <c r="B1115" s="120">
        <v>7</v>
      </c>
      <c r="C1115" s="120">
        <v>10</v>
      </c>
      <c r="D1115" s="208">
        <f t="shared" si="85"/>
        <v>45117</v>
      </c>
      <c r="E1115" s="209">
        <f t="shared" si="87"/>
        <v>45117</v>
      </c>
      <c r="F1115" s="515"/>
      <c r="G1115" s="132" t="s">
        <v>1209</v>
      </c>
      <c r="J1115" s="129" t="s">
        <v>113</v>
      </c>
      <c r="K1115" s="207"/>
      <c r="L1115" s="207">
        <v>51666</v>
      </c>
    </row>
    <row r="1116" spans="1:13" ht="11.25" customHeight="1" x14ac:dyDescent="0.2">
      <c r="A1116" s="191">
        <v>2023</v>
      </c>
      <c r="B1116" s="191">
        <v>7</v>
      </c>
      <c r="C1116" s="191">
        <v>10</v>
      </c>
      <c r="D1116" s="192">
        <f t="shared" si="85"/>
        <v>45117</v>
      </c>
      <c r="E1116" s="193">
        <f t="shared" si="87"/>
        <v>45117</v>
      </c>
      <c r="F1116" s="514"/>
      <c r="G1116" s="194" t="s">
        <v>1209</v>
      </c>
      <c r="H1116" s="195"/>
      <c r="I1116" s="195"/>
      <c r="J1116" s="250" t="s">
        <v>76</v>
      </c>
      <c r="K1116" s="196"/>
      <c r="L1116" s="196">
        <v>2000000</v>
      </c>
    </row>
    <row r="1117" spans="1:13" ht="11.25" customHeight="1" x14ac:dyDescent="0.2">
      <c r="A1117" s="197">
        <v>2023</v>
      </c>
      <c r="B1117" s="197">
        <v>7</v>
      </c>
      <c r="C1117" s="197">
        <v>10</v>
      </c>
      <c r="D1117" s="198">
        <f t="shared" si="85"/>
        <v>45117</v>
      </c>
      <c r="E1117" s="199">
        <f t="shared" ref="E1117:E1123" si="88">DATE(A1117,B1117,C1117)</f>
        <v>45117</v>
      </c>
      <c r="F1117" s="513" t="s">
        <v>1323</v>
      </c>
      <c r="G1117" s="200" t="s">
        <v>1209</v>
      </c>
      <c r="H1117" s="201"/>
      <c r="I1117" s="201"/>
      <c r="J1117" s="197" t="s">
        <v>54</v>
      </c>
      <c r="K1117" s="202">
        <v>60</v>
      </c>
      <c r="L1117" s="202"/>
    </row>
    <row r="1118" spans="1:13" ht="11.25" customHeight="1" x14ac:dyDescent="0.2">
      <c r="A1118" s="191">
        <v>2023</v>
      </c>
      <c r="B1118" s="191">
        <v>7</v>
      </c>
      <c r="C1118" s="191">
        <v>10</v>
      </c>
      <c r="D1118" s="192">
        <f t="shared" si="85"/>
        <v>45117</v>
      </c>
      <c r="E1118" s="193">
        <f t="shared" si="88"/>
        <v>45117</v>
      </c>
      <c r="F1118" s="514"/>
      <c r="G1118" s="194" t="s">
        <v>1209</v>
      </c>
      <c r="H1118" s="195"/>
      <c r="I1118" s="195"/>
      <c r="J1118" s="191" t="s">
        <v>46</v>
      </c>
      <c r="K1118" s="196"/>
      <c r="L1118" s="196">
        <v>60</v>
      </c>
    </row>
    <row r="1119" spans="1:13" ht="11.25" customHeight="1" x14ac:dyDescent="0.2">
      <c r="A1119" s="197">
        <v>2023</v>
      </c>
      <c r="B1119" s="197">
        <v>7</v>
      </c>
      <c r="C1119" s="197">
        <v>11</v>
      </c>
      <c r="D1119" s="198">
        <f t="shared" si="85"/>
        <v>45118</v>
      </c>
      <c r="E1119" s="209">
        <f t="shared" si="88"/>
        <v>45118</v>
      </c>
      <c r="F1119" s="513" t="s">
        <v>1382</v>
      </c>
      <c r="G1119" s="200" t="s">
        <v>1209</v>
      </c>
      <c r="H1119" s="201"/>
      <c r="I1119" s="201"/>
      <c r="J1119" s="248" t="s">
        <v>76</v>
      </c>
      <c r="K1119" s="202">
        <v>18000000</v>
      </c>
      <c r="L1119" s="202"/>
      <c r="M1119" s="251"/>
    </row>
    <row r="1120" spans="1:13" ht="11.25" customHeight="1" x14ac:dyDescent="0.2">
      <c r="A1120" s="120">
        <v>2023</v>
      </c>
      <c r="B1120" s="120">
        <v>7</v>
      </c>
      <c r="C1120" s="120">
        <v>11</v>
      </c>
      <c r="D1120" s="208">
        <f t="shared" si="85"/>
        <v>45118</v>
      </c>
      <c r="E1120" s="209">
        <f>DATE(A1120,B1120,C1120)</f>
        <v>45118</v>
      </c>
      <c r="F1120" s="515"/>
      <c r="G1120" s="132" t="s">
        <v>1209</v>
      </c>
      <c r="J1120" s="129" t="s">
        <v>54</v>
      </c>
      <c r="K1120" s="207">
        <v>6000</v>
      </c>
      <c r="L1120" s="207"/>
      <c r="M1120" s="251"/>
    </row>
    <row r="1121" spans="1:13" ht="11.25" customHeight="1" x14ac:dyDescent="0.2">
      <c r="A1121" s="120">
        <v>2023</v>
      </c>
      <c r="B1121" s="120">
        <v>7</v>
      </c>
      <c r="C1121" s="120">
        <v>11</v>
      </c>
      <c r="D1121" s="208">
        <f t="shared" si="85"/>
        <v>45118</v>
      </c>
      <c r="E1121" s="209">
        <f>DATE(A1121,B1121,C1121)</f>
        <v>45118</v>
      </c>
      <c r="F1121" s="515"/>
      <c r="G1121" s="132" t="s">
        <v>1209</v>
      </c>
      <c r="J1121" s="129" t="s">
        <v>46</v>
      </c>
      <c r="K1121" s="207">
        <f>229500*2</f>
        <v>459000</v>
      </c>
      <c r="L1121" s="207"/>
      <c r="M1121" s="251"/>
    </row>
    <row r="1122" spans="1:13" ht="11.25" customHeight="1" x14ac:dyDescent="0.2">
      <c r="A1122" s="120">
        <v>2023</v>
      </c>
      <c r="B1122" s="120">
        <v>7</v>
      </c>
      <c r="C1122" s="120">
        <v>11</v>
      </c>
      <c r="D1122" s="208">
        <f t="shared" si="85"/>
        <v>45118</v>
      </c>
      <c r="E1122" s="209">
        <f t="shared" si="88"/>
        <v>45118</v>
      </c>
      <c r="F1122" s="515"/>
      <c r="G1122" s="132" t="s">
        <v>1209</v>
      </c>
      <c r="J1122" s="129" t="s">
        <v>113</v>
      </c>
      <c r="K1122" s="207"/>
      <c r="L1122" s="207">
        <v>465000</v>
      </c>
    </row>
    <row r="1123" spans="1:13" ht="11.25" customHeight="1" x14ac:dyDescent="0.2">
      <c r="A1123" s="191">
        <v>2023</v>
      </c>
      <c r="B1123" s="191">
        <v>7</v>
      </c>
      <c r="C1123" s="191">
        <v>11</v>
      </c>
      <c r="D1123" s="192">
        <f t="shared" ref="D1123:D1184" si="89">DATE(A1123,B1123,C1123)</f>
        <v>45118</v>
      </c>
      <c r="E1123" s="193">
        <f t="shared" si="88"/>
        <v>45118</v>
      </c>
      <c r="F1123" s="514"/>
      <c r="G1123" s="194" t="s">
        <v>1209</v>
      </c>
      <c r="H1123" s="195"/>
      <c r="I1123" s="195"/>
      <c r="J1123" s="250" t="s">
        <v>76</v>
      </c>
      <c r="K1123" s="196"/>
      <c r="L1123" s="196">
        <v>18000000</v>
      </c>
    </row>
    <row r="1124" spans="1:13" ht="11.25" customHeight="1" x14ac:dyDescent="0.2">
      <c r="A1124" s="197">
        <v>2023</v>
      </c>
      <c r="B1124" s="197">
        <v>7</v>
      </c>
      <c r="C1124" s="197">
        <v>12</v>
      </c>
      <c r="D1124" s="198">
        <f t="shared" si="89"/>
        <v>45119</v>
      </c>
      <c r="E1124" s="209">
        <f t="shared" ref="E1124:E1146" si="90">DATE(A1124,B1124,C1124)</f>
        <v>45119</v>
      </c>
      <c r="F1124" s="513" t="s">
        <v>1376</v>
      </c>
      <c r="G1124" s="200" t="s">
        <v>1209</v>
      </c>
      <c r="H1124" s="201"/>
      <c r="I1124" s="201"/>
      <c r="J1124" s="248" t="s">
        <v>76</v>
      </c>
      <c r="K1124" s="202">
        <v>5000000</v>
      </c>
      <c r="L1124" s="202"/>
      <c r="M1124" s="251"/>
    </row>
    <row r="1125" spans="1:13" ht="11.25" customHeight="1" x14ac:dyDescent="0.2">
      <c r="A1125" s="120">
        <v>2023</v>
      </c>
      <c r="B1125" s="120">
        <v>7</v>
      </c>
      <c r="C1125" s="120">
        <v>12</v>
      </c>
      <c r="D1125" s="208">
        <f t="shared" si="89"/>
        <v>45119</v>
      </c>
      <c r="E1125" s="209">
        <f t="shared" si="90"/>
        <v>45119</v>
      </c>
      <c r="F1125" s="515"/>
      <c r="G1125" s="132" t="s">
        <v>1209</v>
      </c>
      <c r="J1125" s="129" t="s">
        <v>46</v>
      </c>
      <c r="K1125" s="207">
        <v>133333.32999999999</v>
      </c>
      <c r="L1125" s="207"/>
      <c r="M1125" s="251"/>
    </row>
    <row r="1126" spans="1:13" ht="11.25" customHeight="1" x14ac:dyDescent="0.2">
      <c r="A1126" s="120">
        <v>2023</v>
      </c>
      <c r="B1126" s="120">
        <v>7</v>
      </c>
      <c r="C1126" s="120">
        <v>12</v>
      </c>
      <c r="D1126" s="208">
        <f t="shared" si="89"/>
        <v>45119</v>
      </c>
      <c r="E1126" s="209">
        <f t="shared" si="90"/>
        <v>45119</v>
      </c>
      <c r="F1126" s="515"/>
      <c r="G1126" s="132" t="s">
        <v>1209</v>
      </c>
      <c r="J1126" s="129" t="s">
        <v>113</v>
      </c>
      <c r="K1126" s="207"/>
      <c r="L1126" s="207">
        <v>133333.32999999999</v>
      </c>
    </row>
    <row r="1127" spans="1:13" ht="11.25" customHeight="1" x14ac:dyDescent="0.2">
      <c r="A1127" s="191">
        <v>2023</v>
      </c>
      <c r="B1127" s="191">
        <v>7</v>
      </c>
      <c r="C1127" s="191">
        <v>12</v>
      </c>
      <c r="D1127" s="192">
        <f t="shared" si="89"/>
        <v>45119</v>
      </c>
      <c r="E1127" s="193">
        <f t="shared" si="90"/>
        <v>45119</v>
      </c>
      <c r="F1127" s="514"/>
      <c r="G1127" s="194" t="s">
        <v>1209</v>
      </c>
      <c r="H1127" s="195"/>
      <c r="I1127" s="195"/>
      <c r="J1127" s="250" t="s">
        <v>76</v>
      </c>
      <c r="K1127" s="196"/>
      <c r="L1127" s="196">
        <v>5000000</v>
      </c>
    </row>
    <row r="1128" spans="1:13" ht="11.25" customHeight="1" x14ac:dyDescent="0.2">
      <c r="A1128" s="197">
        <v>2023</v>
      </c>
      <c r="B1128" s="197">
        <v>7</v>
      </c>
      <c r="C1128" s="197">
        <v>12</v>
      </c>
      <c r="D1128" s="198">
        <f t="shared" si="89"/>
        <v>45119</v>
      </c>
      <c r="E1128" s="209">
        <f t="shared" si="90"/>
        <v>45119</v>
      </c>
      <c r="F1128" s="513" t="s">
        <v>1377</v>
      </c>
      <c r="G1128" s="200" t="s">
        <v>1209</v>
      </c>
      <c r="H1128" s="201"/>
      <c r="I1128" s="201"/>
      <c r="J1128" s="248" t="s">
        <v>76</v>
      </c>
      <c r="K1128" s="202">
        <v>3000000</v>
      </c>
      <c r="L1128" s="202"/>
      <c r="M1128" s="251"/>
    </row>
    <row r="1129" spans="1:13" ht="11.25" customHeight="1" x14ac:dyDescent="0.2">
      <c r="A1129" s="120">
        <v>2023</v>
      </c>
      <c r="B1129" s="120">
        <v>7</v>
      </c>
      <c r="C1129" s="120">
        <v>12</v>
      </c>
      <c r="D1129" s="208">
        <f t="shared" si="89"/>
        <v>45119</v>
      </c>
      <c r="E1129" s="209">
        <f t="shared" si="90"/>
        <v>45119</v>
      </c>
      <c r="F1129" s="515"/>
      <c r="G1129" s="132" t="s">
        <v>1209</v>
      </c>
      <c r="J1129" s="129" t="s">
        <v>46</v>
      </c>
      <c r="K1129" s="207">
        <v>60000</v>
      </c>
      <c r="L1129" s="207"/>
      <c r="M1129" s="251"/>
    </row>
    <row r="1130" spans="1:13" ht="11.25" customHeight="1" x14ac:dyDescent="0.2">
      <c r="A1130" s="120">
        <v>2023</v>
      </c>
      <c r="B1130" s="120">
        <v>7</v>
      </c>
      <c r="C1130" s="120">
        <v>12</v>
      </c>
      <c r="D1130" s="208">
        <f t="shared" si="89"/>
        <v>45119</v>
      </c>
      <c r="E1130" s="209">
        <f t="shared" si="90"/>
        <v>45119</v>
      </c>
      <c r="F1130" s="515"/>
      <c r="G1130" s="132" t="s">
        <v>1209</v>
      </c>
      <c r="J1130" s="129" t="s">
        <v>113</v>
      </c>
      <c r="K1130" s="207"/>
      <c r="L1130" s="207">
        <v>60000</v>
      </c>
    </row>
    <row r="1131" spans="1:13" ht="11.25" customHeight="1" x14ac:dyDescent="0.2">
      <c r="A1131" s="191">
        <v>2023</v>
      </c>
      <c r="B1131" s="191">
        <v>7</v>
      </c>
      <c r="C1131" s="191">
        <v>12</v>
      </c>
      <c r="D1131" s="192">
        <f t="shared" si="89"/>
        <v>45119</v>
      </c>
      <c r="E1131" s="193">
        <f t="shared" si="90"/>
        <v>45119</v>
      </c>
      <c r="F1131" s="514"/>
      <c r="G1131" s="194" t="s">
        <v>1209</v>
      </c>
      <c r="H1131" s="195"/>
      <c r="I1131" s="195"/>
      <c r="J1131" s="250" t="s">
        <v>76</v>
      </c>
      <c r="K1131" s="196"/>
      <c r="L1131" s="196">
        <v>3000000</v>
      </c>
    </row>
    <row r="1132" spans="1:13" ht="11.25" customHeight="1" x14ac:dyDescent="0.2">
      <c r="A1132" s="197">
        <v>2023</v>
      </c>
      <c r="B1132" s="197">
        <v>7</v>
      </c>
      <c r="C1132" s="197">
        <v>12</v>
      </c>
      <c r="D1132" s="198">
        <f t="shared" si="89"/>
        <v>45119</v>
      </c>
      <c r="E1132" s="209">
        <f t="shared" si="90"/>
        <v>45119</v>
      </c>
      <c r="F1132" s="513" t="s">
        <v>1378</v>
      </c>
      <c r="G1132" s="200" t="s">
        <v>1209</v>
      </c>
      <c r="H1132" s="201"/>
      <c r="I1132" s="201"/>
      <c r="J1132" s="248" t="s">
        <v>76</v>
      </c>
      <c r="K1132" s="202">
        <v>20000000</v>
      </c>
      <c r="L1132" s="202"/>
      <c r="M1132" s="251"/>
    </row>
    <row r="1133" spans="1:13" ht="11.25" customHeight="1" x14ac:dyDescent="0.2">
      <c r="A1133" s="120">
        <v>2023</v>
      </c>
      <c r="B1133" s="120">
        <v>7</v>
      </c>
      <c r="C1133" s="120">
        <v>12</v>
      </c>
      <c r="D1133" s="208">
        <f t="shared" si="89"/>
        <v>45119</v>
      </c>
      <c r="E1133" s="209">
        <f t="shared" si="90"/>
        <v>45119</v>
      </c>
      <c r="F1133" s="515"/>
      <c r="G1133" s="132" t="s">
        <v>1209</v>
      </c>
      <c r="J1133" s="129" t="s">
        <v>46</v>
      </c>
      <c r="K1133" s="207">
        <v>533333.36</v>
      </c>
      <c r="L1133" s="207"/>
      <c r="M1133" s="251"/>
    </row>
    <row r="1134" spans="1:13" ht="11.25" customHeight="1" x14ac:dyDescent="0.2">
      <c r="A1134" s="120">
        <v>2023</v>
      </c>
      <c r="B1134" s="120">
        <v>7</v>
      </c>
      <c r="C1134" s="120">
        <v>12</v>
      </c>
      <c r="D1134" s="208">
        <f t="shared" si="89"/>
        <v>45119</v>
      </c>
      <c r="E1134" s="209">
        <f t="shared" si="90"/>
        <v>45119</v>
      </c>
      <c r="F1134" s="515"/>
      <c r="G1134" s="132" t="s">
        <v>1209</v>
      </c>
      <c r="J1134" s="129" t="s">
        <v>113</v>
      </c>
      <c r="K1134" s="207"/>
      <c r="L1134" s="207">
        <v>533333.36</v>
      </c>
    </row>
    <row r="1135" spans="1:13" ht="11.25" customHeight="1" x14ac:dyDescent="0.2">
      <c r="A1135" s="191">
        <v>2023</v>
      </c>
      <c r="B1135" s="191">
        <v>7</v>
      </c>
      <c r="C1135" s="191">
        <v>12</v>
      </c>
      <c r="D1135" s="192">
        <f t="shared" si="89"/>
        <v>45119</v>
      </c>
      <c r="E1135" s="193">
        <f t="shared" si="90"/>
        <v>45119</v>
      </c>
      <c r="F1135" s="514"/>
      <c r="G1135" s="194" t="s">
        <v>1209</v>
      </c>
      <c r="H1135" s="195"/>
      <c r="I1135" s="195"/>
      <c r="J1135" s="250" t="s">
        <v>76</v>
      </c>
      <c r="K1135" s="196"/>
      <c r="L1135" s="196">
        <v>20000000</v>
      </c>
    </row>
    <row r="1136" spans="1:13" ht="11.25" customHeight="1" x14ac:dyDescent="0.2">
      <c r="A1136" s="197">
        <v>2023</v>
      </c>
      <c r="B1136" s="197">
        <v>7</v>
      </c>
      <c r="C1136" s="197">
        <v>12</v>
      </c>
      <c r="D1136" s="198">
        <f t="shared" si="89"/>
        <v>45119</v>
      </c>
      <c r="E1136" s="199">
        <f t="shared" si="90"/>
        <v>45119</v>
      </c>
      <c r="F1136" s="513" t="s">
        <v>1323</v>
      </c>
      <c r="G1136" s="200" t="s">
        <v>1209</v>
      </c>
      <c r="H1136" s="201"/>
      <c r="I1136" s="201"/>
      <c r="J1136" s="197" t="s">
        <v>54</v>
      </c>
      <c r="K1136" s="202">
        <v>60</v>
      </c>
      <c r="L1136" s="202"/>
    </row>
    <row r="1137" spans="1:13" ht="11.25" customHeight="1" x14ac:dyDescent="0.2">
      <c r="A1137" s="191">
        <v>2023</v>
      </c>
      <c r="B1137" s="191">
        <v>7</v>
      </c>
      <c r="C1137" s="191">
        <v>12</v>
      </c>
      <c r="D1137" s="192">
        <f t="shared" si="89"/>
        <v>45119</v>
      </c>
      <c r="E1137" s="193">
        <f t="shared" si="90"/>
        <v>45119</v>
      </c>
      <c r="F1137" s="514"/>
      <c r="G1137" s="194" t="s">
        <v>1209</v>
      </c>
      <c r="H1137" s="195"/>
      <c r="I1137" s="195"/>
      <c r="J1137" s="191" t="s">
        <v>46</v>
      </c>
      <c r="K1137" s="196"/>
      <c r="L1137" s="196">
        <v>60</v>
      </c>
    </row>
    <row r="1138" spans="1:13" ht="11.25" customHeight="1" x14ac:dyDescent="0.2">
      <c r="A1138" s="197">
        <v>2023</v>
      </c>
      <c r="B1138" s="197">
        <v>7</v>
      </c>
      <c r="C1138" s="197">
        <v>12</v>
      </c>
      <c r="D1138" s="198">
        <f t="shared" si="89"/>
        <v>45119</v>
      </c>
      <c r="E1138" s="209">
        <f t="shared" si="90"/>
        <v>45119</v>
      </c>
      <c r="F1138" s="513" t="s">
        <v>1210</v>
      </c>
      <c r="G1138" s="200" t="s">
        <v>1209</v>
      </c>
      <c r="H1138" s="201"/>
      <c r="I1138" s="201" t="s">
        <v>1371</v>
      </c>
      <c r="J1138" s="197" t="s">
        <v>46</v>
      </c>
      <c r="K1138" s="202">
        <v>600000</v>
      </c>
      <c r="L1138" s="202"/>
      <c r="M1138" s="251"/>
    </row>
    <row r="1139" spans="1:13" ht="11.25" customHeight="1" x14ac:dyDescent="0.2">
      <c r="A1139" s="120">
        <v>2023</v>
      </c>
      <c r="B1139" s="120">
        <v>7</v>
      </c>
      <c r="C1139" s="120">
        <v>12</v>
      </c>
      <c r="D1139" s="208">
        <f t="shared" si="89"/>
        <v>45119</v>
      </c>
      <c r="E1139" s="209">
        <f t="shared" si="90"/>
        <v>45119</v>
      </c>
      <c r="F1139" s="515"/>
      <c r="G1139" s="132" t="s">
        <v>1209</v>
      </c>
      <c r="I1139" s="128" t="s">
        <v>1371</v>
      </c>
      <c r="J1139" s="120" t="s">
        <v>16</v>
      </c>
      <c r="K1139" s="207"/>
      <c r="L1139" s="207">
        <v>582640</v>
      </c>
    </row>
    <row r="1140" spans="1:13" ht="11.25" customHeight="1" x14ac:dyDescent="0.2">
      <c r="A1140" s="191">
        <v>2023</v>
      </c>
      <c r="B1140" s="191">
        <v>7</v>
      </c>
      <c r="C1140" s="191">
        <v>12</v>
      </c>
      <c r="D1140" s="192">
        <f t="shared" si="89"/>
        <v>45119</v>
      </c>
      <c r="E1140" s="193">
        <f t="shared" si="90"/>
        <v>45119</v>
      </c>
      <c r="F1140" s="514"/>
      <c r="G1140" s="194" t="s">
        <v>1209</v>
      </c>
      <c r="H1140" s="195"/>
      <c r="I1140" s="195" t="s">
        <v>1371</v>
      </c>
      <c r="J1140" s="191" t="s">
        <v>47</v>
      </c>
      <c r="K1140" s="196"/>
      <c r="L1140" s="196">
        <v>17360</v>
      </c>
    </row>
    <row r="1141" spans="1:13" ht="11.25" customHeight="1" x14ac:dyDescent="0.2">
      <c r="A1141" s="197">
        <v>2023</v>
      </c>
      <c r="B1141" s="197">
        <v>7</v>
      </c>
      <c r="C1141" s="197">
        <v>13</v>
      </c>
      <c r="D1141" s="198">
        <f t="shared" si="89"/>
        <v>45120</v>
      </c>
      <c r="E1141" s="209">
        <f t="shared" si="90"/>
        <v>45120</v>
      </c>
      <c r="F1141" s="513" t="s">
        <v>1210</v>
      </c>
      <c r="G1141" s="200" t="s">
        <v>1209</v>
      </c>
      <c r="H1141" s="201"/>
      <c r="I1141" s="201" t="s">
        <v>1238</v>
      </c>
      <c r="J1141" s="197" t="s">
        <v>46</v>
      </c>
      <c r="K1141" s="202">
        <v>1500000</v>
      </c>
      <c r="L1141" s="202"/>
      <c r="M1141" s="251"/>
    </row>
    <row r="1142" spans="1:13" ht="11.25" customHeight="1" x14ac:dyDescent="0.2">
      <c r="A1142" s="120">
        <v>2023</v>
      </c>
      <c r="B1142" s="120">
        <v>7</v>
      </c>
      <c r="C1142" s="120">
        <v>13</v>
      </c>
      <c r="D1142" s="208">
        <f t="shared" si="89"/>
        <v>45120</v>
      </c>
      <c r="E1142" s="209">
        <f t="shared" si="90"/>
        <v>45120</v>
      </c>
      <c r="F1142" s="515"/>
      <c r="G1142" s="132" t="s">
        <v>1209</v>
      </c>
      <c r="I1142" s="128" t="s">
        <v>1238</v>
      </c>
      <c r="J1142" s="120" t="s">
        <v>16</v>
      </c>
      <c r="K1142" s="207"/>
      <c r="L1142" s="207">
        <v>1460420</v>
      </c>
    </row>
    <row r="1143" spans="1:13" ht="11.25" customHeight="1" x14ac:dyDescent="0.2">
      <c r="A1143" s="191">
        <v>2023</v>
      </c>
      <c r="B1143" s="191">
        <v>7</v>
      </c>
      <c r="C1143" s="191">
        <v>13</v>
      </c>
      <c r="D1143" s="192">
        <f t="shared" si="89"/>
        <v>45120</v>
      </c>
      <c r="E1143" s="193">
        <f t="shared" si="90"/>
        <v>45120</v>
      </c>
      <c r="F1143" s="514"/>
      <c r="G1143" s="194" t="s">
        <v>1209</v>
      </c>
      <c r="H1143" s="195"/>
      <c r="I1143" s="195" t="s">
        <v>1238</v>
      </c>
      <c r="J1143" s="191" t="s">
        <v>47</v>
      </c>
      <c r="K1143" s="196"/>
      <c r="L1143" s="196">
        <v>39580</v>
      </c>
    </row>
    <row r="1144" spans="1:13" ht="11.25" customHeight="1" x14ac:dyDescent="0.2">
      <c r="A1144" s="197">
        <v>2023</v>
      </c>
      <c r="B1144" s="197">
        <v>7</v>
      </c>
      <c r="C1144" s="197">
        <v>13</v>
      </c>
      <c r="D1144" s="198">
        <f t="shared" si="89"/>
        <v>45120</v>
      </c>
      <c r="E1144" s="209">
        <f t="shared" si="90"/>
        <v>45120</v>
      </c>
      <c r="F1144" s="513" t="s">
        <v>1210</v>
      </c>
      <c r="G1144" s="200" t="s">
        <v>1209</v>
      </c>
      <c r="H1144" s="201"/>
      <c r="I1144" s="201" t="s">
        <v>1238</v>
      </c>
      <c r="J1144" s="197" t="s">
        <v>46</v>
      </c>
      <c r="K1144" s="202">
        <v>40757</v>
      </c>
      <c r="L1144" s="202"/>
      <c r="M1144" s="251"/>
    </row>
    <row r="1145" spans="1:13" ht="11.25" customHeight="1" x14ac:dyDescent="0.2">
      <c r="A1145" s="120">
        <v>2023</v>
      </c>
      <c r="B1145" s="120">
        <v>7</v>
      </c>
      <c r="C1145" s="120">
        <v>13</v>
      </c>
      <c r="D1145" s="208">
        <f t="shared" si="89"/>
        <v>45120</v>
      </c>
      <c r="E1145" s="209">
        <f t="shared" si="90"/>
        <v>45120</v>
      </c>
      <c r="F1145" s="515"/>
      <c r="G1145" s="132" t="s">
        <v>1209</v>
      </c>
      <c r="I1145" s="128" t="s">
        <v>1238</v>
      </c>
      <c r="J1145" s="120" t="s">
        <v>16</v>
      </c>
      <c r="K1145" s="207"/>
      <c r="L1145" s="207">
        <v>39580</v>
      </c>
    </row>
    <row r="1146" spans="1:13" ht="11.25" customHeight="1" x14ac:dyDescent="0.2">
      <c r="A1146" s="191">
        <v>2023</v>
      </c>
      <c r="B1146" s="191">
        <v>7</v>
      </c>
      <c r="C1146" s="191">
        <v>13</v>
      </c>
      <c r="D1146" s="192">
        <f t="shared" si="89"/>
        <v>45120</v>
      </c>
      <c r="E1146" s="193">
        <f t="shared" si="90"/>
        <v>45120</v>
      </c>
      <c r="F1146" s="514"/>
      <c r="G1146" s="194" t="s">
        <v>1209</v>
      </c>
      <c r="H1146" s="195"/>
      <c r="I1146" s="195" t="s">
        <v>1238</v>
      </c>
      <c r="J1146" s="191" t="s">
        <v>47</v>
      </c>
      <c r="K1146" s="196"/>
      <c r="L1146" s="196">
        <v>1177</v>
      </c>
    </row>
    <row r="1147" spans="1:13" ht="11.25" customHeight="1" x14ac:dyDescent="0.2">
      <c r="A1147" s="197">
        <v>2023</v>
      </c>
      <c r="B1147" s="197">
        <v>7</v>
      </c>
      <c r="C1147" s="197">
        <v>13</v>
      </c>
      <c r="D1147" s="198">
        <f t="shared" si="89"/>
        <v>45120</v>
      </c>
      <c r="E1147" s="209">
        <f t="shared" ref="E1147:E1182" si="91">DATE(A1147,B1147,C1147)</f>
        <v>45120</v>
      </c>
      <c r="F1147" s="513" t="s">
        <v>1210</v>
      </c>
      <c r="G1147" s="200" t="s">
        <v>1209</v>
      </c>
      <c r="H1147" s="201"/>
      <c r="I1147" s="201" t="s">
        <v>1302</v>
      </c>
      <c r="J1147" s="197" t="s">
        <v>46</v>
      </c>
      <c r="K1147" s="202">
        <v>15655</v>
      </c>
      <c r="L1147" s="202"/>
      <c r="M1147" s="251"/>
    </row>
    <row r="1148" spans="1:13" ht="11.25" customHeight="1" x14ac:dyDescent="0.2">
      <c r="A1148" s="120">
        <v>2023</v>
      </c>
      <c r="B1148" s="120">
        <v>7</v>
      </c>
      <c r="C1148" s="120">
        <v>13</v>
      </c>
      <c r="D1148" s="208">
        <f t="shared" si="89"/>
        <v>45120</v>
      </c>
      <c r="E1148" s="209">
        <f t="shared" si="91"/>
        <v>45120</v>
      </c>
      <c r="F1148" s="515"/>
      <c r="G1148" s="132" t="s">
        <v>1209</v>
      </c>
      <c r="I1148" s="128" t="s">
        <v>1302</v>
      </c>
      <c r="J1148" s="120" t="s">
        <v>16</v>
      </c>
      <c r="K1148" s="207"/>
      <c r="L1148" s="207">
        <v>15200</v>
      </c>
    </row>
    <row r="1149" spans="1:13" ht="11.25" customHeight="1" x14ac:dyDescent="0.2">
      <c r="A1149" s="191">
        <v>2023</v>
      </c>
      <c r="B1149" s="191">
        <v>7</v>
      </c>
      <c r="C1149" s="191">
        <v>13</v>
      </c>
      <c r="D1149" s="192">
        <f t="shared" si="89"/>
        <v>45120</v>
      </c>
      <c r="E1149" s="193">
        <f t="shared" si="91"/>
        <v>45120</v>
      </c>
      <c r="F1149" s="514"/>
      <c r="G1149" s="194" t="s">
        <v>1209</v>
      </c>
      <c r="H1149" s="195"/>
      <c r="I1149" s="195" t="s">
        <v>1302</v>
      </c>
      <c r="J1149" s="191" t="s">
        <v>47</v>
      </c>
      <c r="K1149" s="196"/>
      <c r="L1149" s="196">
        <v>455</v>
      </c>
    </row>
    <row r="1150" spans="1:13" ht="11.25" customHeight="1" x14ac:dyDescent="0.2">
      <c r="A1150" s="197">
        <v>2023</v>
      </c>
      <c r="B1150" s="197">
        <v>7</v>
      </c>
      <c r="C1150" s="197">
        <v>13</v>
      </c>
      <c r="D1150" s="198">
        <f t="shared" si="89"/>
        <v>45120</v>
      </c>
      <c r="E1150" s="209">
        <f t="shared" si="91"/>
        <v>45120</v>
      </c>
      <c r="F1150" s="513" t="s">
        <v>1280</v>
      </c>
      <c r="G1150" s="200" t="s">
        <v>1209</v>
      </c>
      <c r="H1150" s="201"/>
      <c r="I1150" s="201" t="s">
        <v>369</v>
      </c>
      <c r="J1150" s="197" t="s">
        <v>16</v>
      </c>
      <c r="K1150" s="202">
        <v>415130</v>
      </c>
      <c r="L1150" s="202"/>
      <c r="M1150" s="251"/>
    </row>
    <row r="1151" spans="1:13" ht="11.25" customHeight="1" x14ac:dyDescent="0.2">
      <c r="A1151" s="120">
        <v>2023</v>
      </c>
      <c r="B1151" s="120">
        <v>7</v>
      </c>
      <c r="C1151" s="120">
        <v>13</v>
      </c>
      <c r="D1151" s="208">
        <f t="shared" si="89"/>
        <v>45120</v>
      </c>
      <c r="E1151" s="209">
        <f t="shared" si="91"/>
        <v>45120</v>
      </c>
      <c r="F1151" s="515"/>
      <c r="G1151" s="132" t="s">
        <v>1209</v>
      </c>
      <c r="I1151" s="128" t="s">
        <v>369</v>
      </c>
      <c r="J1151" s="120" t="s">
        <v>47</v>
      </c>
      <c r="K1151" s="207">
        <v>12370.869999999995</v>
      </c>
      <c r="L1151" s="207"/>
    </row>
    <row r="1152" spans="1:13" ht="11.25" customHeight="1" x14ac:dyDescent="0.2">
      <c r="A1152" s="191">
        <v>2023</v>
      </c>
      <c r="B1152" s="191">
        <v>7</v>
      </c>
      <c r="C1152" s="191">
        <v>13</v>
      </c>
      <c r="D1152" s="192">
        <f t="shared" si="89"/>
        <v>45120</v>
      </c>
      <c r="E1152" s="193">
        <f t="shared" si="91"/>
        <v>45120</v>
      </c>
      <c r="F1152" s="514"/>
      <c r="G1152" s="194" t="s">
        <v>1209</v>
      </c>
      <c r="H1152" s="195"/>
      <c r="I1152" s="195" t="s">
        <v>369</v>
      </c>
      <c r="J1152" s="191" t="s">
        <v>46</v>
      </c>
      <c r="K1152" s="196"/>
      <c r="L1152" s="196">
        <v>427500.87</v>
      </c>
    </row>
    <row r="1153" spans="1:15" ht="11.25" customHeight="1" x14ac:dyDescent="0.2">
      <c r="A1153" s="197">
        <v>2023</v>
      </c>
      <c r="B1153" s="197">
        <v>7</v>
      </c>
      <c r="C1153" s="197">
        <v>13</v>
      </c>
      <c r="D1153" s="198">
        <f t="shared" si="89"/>
        <v>45120</v>
      </c>
      <c r="E1153" s="199">
        <f t="shared" si="91"/>
        <v>45120</v>
      </c>
      <c r="F1153" s="513" t="s">
        <v>1323</v>
      </c>
      <c r="G1153" s="200" t="s">
        <v>1209</v>
      </c>
      <c r="H1153" s="201"/>
      <c r="I1153" s="201"/>
      <c r="J1153" s="197" t="s">
        <v>54</v>
      </c>
      <c r="K1153" s="202">
        <v>100</v>
      </c>
      <c r="L1153" s="202"/>
    </row>
    <row r="1154" spans="1:15" ht="11.25" customHeight="1" x14ac:dyDescent="0.2">
      <c r="A1154" s="191">
        <v>2023</v>
      </c>
      <c r="B1154" s="191">
        <v>7</v>
      </c>
      <c r="C1154" s="191">
        <v>13</v>
      </c>
      <c r="D1154" s="192">
        <f t="shared" si="89"/>
        <v>45120</v>
      </c>
      <c r="E1154" s="193">
        <f t="shared" si="91"/>
        <v>45120</v>
      </c>
      <c r="F1154" s="514"/>
      <c r="G1154" s="194" t="s">
        <v>1209</v>
      </c>
      <c r="H1154" s="195"/>
      <c r="I1154" s="195"/>
      <c r="J1154" s="191" t="s">
        <v>46</v>
      </c>
      <c r="K1154" s="196"/>
      <c r="L1154" s="196">
        <v>100</v>
      </c>
    </row>
    <row r="1155" spans="1:15" ht="11.25" customHeight="1" x14ac:dyDescent="0.2">
      <c r="A1155" s="197">
        <v>2023</v>
      </c>
      <c r="B1155" s="197">
        <v>7</v>
      </c>
      <c r="C1155" s="197">
        <v>13</v>
      </c>
      <c r="D1155" s="198">
        <f t="shared" si="89"/>
        <v>45120</v>
      </c>
      <c r="E1155" s="199">
        <f t="shared" si="91"/>
        <v>45120</v>
      </c>
      <c r="F1155" s="513" t="s">
        <v>1381</v>
      </c>
      <c r="G1155" s="200" t="s">
        <v>1209</v>
      </c>
      <c r="H1155" s="201"/>
      <c r="I1155" s="201" t="s">
        <v>1253</v>
      </c>
      <c r="J1155" s="197" t="s">
        <v>1475</v>
      </c>
      <c r="K1155" s="202">
        <v>10194252.4</v>
      </c>
      <c r="L1155" s="202"/>
    </row>
    <row r="1156" spans="1:15" ht="11.25" customHeight="1" x14ac:dyDescent="0.2">
      <c r="A1156" s="191">
        <v>2023</v>
      </c>
      <c r="B1156" s="191">
        <v>7</v>
      </c>
      <c r="C1156" s="191">
        <v>13</v>
      </c>
      <c r="D1156" s="192">
        <f t="shared" si="89"/>
        <v>45120</v>
      </c>
      <c r="E1156" s="193">
        <f t="shared" si="91"/>
        <v>45120</v>
      </c>
      <c r="F1156" s="514"/>
      <c r="G1156" s="194" t="s">
        <v>1209</v>
      </c>
      <c r="H1156" s="195"/>
      <c r="I1156" s="195" t="s">
        <v>1253</v>
      </c>
      <c r="J1156" s="191" t="s">
        <v>46</v>
      </c>
      <c r="K1156" s="196"/>
      <c r="L1156" s="196">
        <v>10194252.4</v>
      </c>
      <c r="N1156" s="130"/>
    </row>
    <row r="1157" spans="1:15" ht="11.25" customHeight="1" x14ac:dyDescent="0.2">
      <c r="A1157" s="210">
        <v>2023</v>
      </c>
      <c r="B1157" s="210">
        <v>7</v>
      </c>
      <c r="C1157" s="210">
        <v>13</v>
      </c>
      <c r="D1157" s="211">
        <f t="shared" si="89"/>
        <v>45120</v>
      </c>
      <c r="E1157" s="238">
        <f t="shared" si="91"/>
        <v>45120</v>
      </c>
      <c r="F1157" s="520" t="s">
        <v>1278</v>
      </c>
      <c r="G1157" s="213" t="s">
        <v>1245</v>
      </c>
      <c r="H1157" s="214"/>
      <c r="I1157" s="214" t="s">
        <v>1253</v>
      </c>
      <c r="J1157" s="210" t="s">
        <v>1529</v>
      </c>
      <c r="K1157" s="215">
        <v>5091.2307692307695</v>
      </c>
      <c r="L1157" s="215"/>
    </row>
    <row r="1158" spans="1:15" ht="11.25" customHeight="1" x14ac:dyDescent="0.2">
      <c r="A1158" s="216">
        <v>2023</v>
      </c>
      <c r="B1158" s="216">
        <v>7</v>
      </c>
      <c r="C1158" s="216">
        <v>13</v>
      </c>
      <c r="D1158" s="217">
        <f t="shared" si="89"/>
        <v>45120</v>
      </c>
      <c r="E1158" s="239">
        <f t="shared" si="91"/>
        <v>45120</v>
      </c>
      <c r="F1158" s="521"/>
      <c r="G1158" s="219" t="s">
        <v>1245</v>
      </c>
      <c r="H1158" s="220"/>
      <c r="I1158" s="220" t="s">
        <v>1253</v>
      </c>
      <c r="J1158" s="216" t="s">
        <v>1581</v>
      </c>
      <c r="K1158" s="221"/>
      <c r="L1158" s="221">
        <v>5091.2307692307695</v>
      </c>
    </row>
    <row r="1159" spans="1:15" ht="11.25" customHeight="1" x14ac:dyDescent="0.2">
      <c r="A1159" s="210">
        <v>2023</v>
      </c>
      <c r="B1159" s="210">
        <v>7</v>
      </c>
      <c r="C1159" s="210">
        <v>13</v>
      </c>
      <c r="D1159" s="211">
        <f t="shared" si="89"/>
        <v>45120</v>
      </c>
      <c r="E1159" s="238">
        <f t="shared" ref="E1159" si="92">DATE(A1159,B1159,C1159)</f>
        <v>45120</v>
      </c>
      <c r="F1159" s="520" t="s">
        <v>1285</v>
      </c>
      <c r="G1159" s="213" t="s">
        <v>1245</v>
      </c>
      <c r="H1159" s="214"/>
      <c r="I1159" s="214" t="s">
        <v>1253</v>
      </c>
      <c r="J1159" s="210" t="s">
        <v>1284</v>
      </c>
      <c r="K1159" s="215">
        <v>11148.08</v>
      </c>
      <c r="L1159" s="215"/>
    </row>
    <row r="1160" spans="1:15" ht="11.25" customHeight="1" x14ac:dyDescent="0.2">
      <c r="A1160" s="242">
        <v>2023</v>
      </c>
      <c r="B1160" s="216">
        <v>7</v>
      </c>
      <c r="C1160" s="216">
        <v>13</v>
      </c>
      <c r="D1160" s="243">
        <f t="shared" si="89"/>
        <v>45120</v>
      </c>
      <c r="E1160" s="244">
        <f>DATE(A1160,B1160,C1160)</f>
        <v>45120</v>
      </c>
      <c r="F1160" s="524"/>
      <c r="G1160" s="245" t="s">
        <v>1245</v>
      </c>
      <c r="H1160" s="246"/>
      <c r="I1160" s="246"/>
      <c r="J1160" s="242" t="s">
        <v>1582</v>
      </c>
      <c r="K1160" s="247"/>
      <c r="L1160" s="247">
        <v>11148.08</v>
      </c>
    </row>
    <row r="1161" spans="1:15" ht="11.25" customHeight="1" x14ac:dyDescent="0.2">
      <c r="A1161" s="210">
        <v>2023</v>
      </c>
      <c r="B1161" s="210">
        <v>7</v>
      </c>
      <c r="C1161" s="210">
        <v>13</v>
      </c>
      <c r="D1161" s="211">
        <f t="shared" si="89"/>
        <v>45120</v>
      </c>
      <c r="E1161" s="238">
        <f t="shared" si="91"/>
        <v>45120</v>
      </c>
      <c r="F1161" s="520" t="s">
        <v>1259</v>
      </c>
      <c r="G1161" s="213" t="s">
        <v>1245</v>
      </c>
      <c r="H1161" s="214"/>
      <c r="I1161" s="214" t="s">
        <v>1253</v>
      </c>
      <c r="J1161" s="210" t="s">
        <v>58</v>
      </c>
      <c r="K1161" s="215">
        <v>14377.69</v>
      </c>
      <c r="L1161" s="215"/>
    </row>
    <row r="1162" spans="1:15" ht="11.25" customHeight="1" x14ac:dyDescent="0.2">
      <c r="A1162" s="216">
        <v>2023</v>
      </c>
      <c r="B1162" s="216">
        <v>7</v>
      </c>
      <c r="C1162" s="216">
        <v>13</v>
      </c>
      <c r="D1162" s="217">
        <f t="shared" si="89"/>
        <v>45120</v>
      </c>
      <c r="E1162" s="239">
        <f t="shared" si="91"/>
        <v>45120</v>
      </c>
      <c r="F1162" s="521"/>
      <c r="G1162" s="219" t="s">
        <v>1245</v>
      </c>
      <c r="H1162" s="220"/>
      <c r="I1162" s="220" t="s">
        <v>1253</v>
      </c>
      <c r="J1162" s="216" t="s">
        <v>153</v>
      </c>
      <c r="K1162" s="221"/>
      <c r="L1162" s="221">
        <v>14377.69</v>
      </c>
    </row>
    <row r="1163" spans="1:15" ht="11.25" customHeight="1" x14ac:dyDescent="0.2">
      <c r="A1163" s="210">
        <v>2023</v>
      </c>
      <c r="B1163" s="210">
        <v>7</v>
      </c>
      <c r="C1163" s="210">
        <v>13</v>
      </c>
      <c r="D1163" s="211">
        <f t="shared" si="89"/>
        <v>45120</v>
      </c>
      <c r="E1163" s="238">
        <f t="shared" si="91"/>
        <v>45120</v>
      </c>
      <c r="F1163" s="520" t="s">
        <v>1255</v>
      </c>
      <c r="G1163" s="213" t="s">
        <v>1245</v>
      </c>
      <c r="H1163" s="214"/>
      <c r="I1163" s="214" t="s">
        <v>1253</v>
      </c>
      <c r="J1163" s="210" t="s">
        <v>113</v>
      </c>
      <c r="K1163" s="215">
        <v>48057.69</v>
      </c>
      <c r="L1163" s="215"/>
      <c r="M1163" s="251"/>
      <c r="O1163" s="130"/>
    </row>
    <row r="1164" spans="1:15" ht="11.25" customHeight="1" x14ac:dyDescent="0.2">
      <c r="A1164" s="216">
        <v>2023</v>
      </c>
      <c r="B1164" s="216">
        <v>7</v>
      </c>
      <c r="C1164" s="216">
        <v>13</v>
      </c>
      <c r="D1164" s="217">
        <f t="shared" si="89"/>
        <v>45120</v>
      </c>
      <c r="E1164" s="239">
        <f t="shared" si="91"/>
        <v>45120</v>
      </c>
      <c r="F1164" s="521"/>
      <c r="G1164" s="219" t="s">
        <v>1245</v>
      </c>
      <c r="H1164" s="220"/>
      <c r="I1164" s="220" t="s">
        <v>1253</v>
      </c>
      <c r="J1164" s="216" t="s">
        <v>153</v>
      </c>
      <c r="K1164" s="221"/>
      <c r="L1164" s="221">
        <v>48057.69</v>
      </c>
    </row>
    <row r="1165" spans="1:15" ht="11.25" customHeight="1" x14ac:dyDescent="0.2">
      <c r="A1165" s="210">
        <v>2023</v>
      </c>
      <c r="B1165" s="210">
        <v>7</v>
      </c>
      <c r="C1165" s="210">
        <v>13</v>
      </c>
      <c r="D1165" s="211">
        <f t="shared" si="89"/>
        <v>45120</v>
      </c>
      <c r="E1165" s="238">
        <f t="shared" si="91"/>
        <v>45120</v>
      </c>
      <c r="F1165" s="520" t="s">
        <v>1256</v>
      </c>
      <c r="G1165" s="213" t="s">
        <v>1245</v>
      </c>
      <c r="H1165" s="214"/>
      <c r="I1165" s="214" t="s">
        <v>1253</v>
      </c>
      <c r="J1165" s="210" t="s">
        <v>113</v>
      </c>
      <c r="K1165" s="215">
        <v>8906.7000000000007</v>
      </c>
      <c r="L1165" s="215"/>
      <c r="M1165" s="251"/>
      <c r="O1165" s="130"/>
    </row>
    <row r="1166" spans="1:15" ht="11.25" customHeight="1" x14ac:dyDescent="0.2">
      <c r="A1166" s="216">
        <v>2023</v>
      </c>
      <c r="B1166" s="216">
        <v>7</v>
      </c>
      <c r="C1166" s="216">
        <v>13</v>
      </c>
      <c r="D1166" s="217">
        <f t="shared" si="89"/>
        <v>45120</v>
      </c>
      <c r="E1166" s="239">
        <f t="shared" si="91"/>
        <v>45120</v>
      </c>
      <c r="F1166" s="521"/>
      <c r="G1166" s="219" t="s">
        <v>1245</v>
      </c>
      <c r="H1166" s="220"/>
      <c r="I1166" s="220" t="s">
        <v>1253</v>
      </c>
      <c r="J1166" s="216" t="s">
        <v>153</v>
      </c>
      <c r="K1166" s="221"/>
      <c r="L1166" s="221">
        <v>8906.7000000000007</v>
      </c>
    </row>
    <row r="1167" spans="1:15" ht="11.25" customHeight="1" x14ac:dyDescent="0.2">
      <c r="A1167" s="210">
        <v>2023</v>
      </c>
      <c r="B1167" s="210">
        <v>7</v>
      </c>
      <c r="C1167" s="210">
        <v>13</v>
      </c>
      <c r="D1167" s="211">
        <f t="shared" si="89"/>
        <v>45120</v>
      </c>
      <c r="E1167" s="238">
        <f t="shared" si="91"/>
        <v>45120</v>
      </c>
      <c r="F1167" s="520" t="s">
        <v>1257</v>
      </c>
      <c r="G1167" s="213" t="s">
        <v>1245</v>
      </c>
      <c r="H1167" s="214"/>
      <c r="I1167" s="214" t="s">
        <v>1253</v>
      </c>
      <c r="J1167" s="210" t="s">
        <v>113</v>
      </c>
      <c r="K1167" s="215">
        <v>30673.08</v>
      </c>
      <c r="L1167" s="215"/>
    </row>
    <row r="1168" spans="1:15" ht="11.25" customHeight="1" x14ac:dyDescent="0.2">
      <c r="A1168" s="216">
        <v>2023</v>
      </c>
      <c r="B1168" s="216">
        <v>7</v>
      </c>
      <c r="C1168" s="216">
        <v>13</v>
      </c>
      <c r="D1168" s="217">
        <f t="shared" si="89"/>
        <v>45120</v>
      </c>
      <c r="E1168" s="239">
        <f t="shared" si="91"/>
        <v>45120</v>
      </c>
      <c r="F1168" s="521"/>
      <c r="G1168" s="219" t="s">
        <v>1245</v>
      </c>
      <c r="H1168" s="220"/>
      <c r="I1168" s="220" t="s">
        <v>1253</v>
      </c>
      <c r="J1168" s="216" t="s">
        <v>153</v>
      </c>
      <c r="K1168" s="221"/>
      <c r="L1168" s="221">
        <v>30673.08</v>
      </c>
    </row>
    <row r="1169" spans="1:14" ht="11.25" customHeight="1" x14ac:dyDescent="0.2">
      <c r="A1169" s="259">
        <v>2023</v>
      </c>
      <c r="B1169" s="259">
        <v>7</v>
      </c>
      <c r="C1169" s="259">
        <v>13</v>
      </c>
      <c r="D1169" s="260">
        <f t="shared" si="89"/>
        <v>45120</v>
      </c>
      <c r="E1169" s="261">
        <f t="shared" si="91"/>
        <v>45120</v>
      </c>
      <c r="F1169" s="531" t="s">
        <v>1313</v>
      </c>
      <c r="G1169" s="262" t="s">
        <v>1245</v>
      </c>
      <c r="H1169" s="263"/>
      <c r="I1169" s="263" t="s">
        <v>1253</v>
      </c>
      <c r="J1169" s="259" t="s">
        <v>1476</v>
      </c>
      <c r="K1169" s="264">
        <v>7857.7777777777774</v>
      </c>
      <c r="L1169" s="264"/>
    </row>
    <row r="1170" spans="1:14" ht="11.25" customHeight="1" x14ac:dyDescent="0.2">
      <c r="A1170" s="265">
        <v>2023</v>
      </c>
      <c r="B1170" s="265">
        <v>7</v>
      </c>
      <c r="C1170" s="265">
        <v>13</v>
      </c>
      <c r="D1170" s="266">
        <f t="shared" si="89"/>
        <v>45120</v>
      </c>
      <c r="E1170" s="267">
        <f t="shared" si="91"/>
        <v>45120</v>
      </c>
      <c r="F1170" s="532"/>
      <c r="G1170" s="268" t="s">
        <v>1245</v>
      </c>
      <c r="H1170" s="269"/>
      <c r="I1170" s="269" t="s">
        <v>1253</v>
      </c>
      <c r="J1170" s="265" t="s">
        <v>153</v>
      </c>
      <c r="K1170" s="270"/>
      <c r="L1170" s="270">
        <v>7857.7777777777774</v>
      </c>
    </row>
    <row r="1171" spans="1:14" ht="11.25" customHeight="1" x14ac:dyDescent="0.2">
      <c r="A1171" s="259">
        <v>2023</v>
      </c>
      <c r="B1171" s="259">
        <v>7</v>
      </c>
      <c r="C1171" s="259">
        <v>13</v>
      </c>
      <c r="D1171" s="260">
        <f t="shared" si="89"/>
        <v>45120</v>
      </c>
      <c r="E1171" s="261">
        <f t="shared" si="91"/>
        <v>45120</v>
      </c>
      <c r="F1171" s="531" t="s">
        <v>1359</v>
      </c>
      <c r="G1171" s="262" t="s">
        <v>1245</v>
      </c>
      <c r="H1171" s="263"/>
      <c r="I1171" s="263" t="s">
        <v>1253</v>
      </c>
      <c r="J1171" s="259" t="s">
        <v>1476</v>
      </c>
      <c r="K1171" s="264">
        <v>8502.8166666667294</v>
      </c>
      <c r="L1171" s="264"/>
    </row>
    <row r="1172" spans="1:14" ht="11.25" customHeight="1" x14ac:dyDescent="0.2">
      <c r="A1172" s="265">
        <v>2023</v>
      </c>
      <c r="B1172" s="265">
        <v>7</v>
      </c>
      <c r="C1172" s="265">
        <v>13</v>
      </c>
      <c r="D1172" s="266">
        <f t="shared" si="89"/>
        <v>45120</v>
      </c>
      <c r="E1172" s="267">
        <f t="shared" si="91"/>
        <v>45120</v>
      </c>
      <c r="F1172" s="532"/>
      <c r="G1172" s="268" t="s">
        <v>1245</v>
      </c>
      <c r="H1172" s="269"/>
      <c r="I1172" s="269" t="s">
        <v>1253</v>
      </c>
      <c r="J1172" s="265" t="s">
        <v>153</v>
      </c>
      <c r="K1172" s="270"/>
      <c r="L1172" s="270">
        <v>8502.8166666667294</v>
      </c>
    </row>
    <row r="1173" spans="1:14" ht="11.25" customHeight="1" x14ac:dyDescent="0.2">
      <c r="A1173" s="259">
        <v>2023</v>
      </c>
      <c r="B1173" s="259">
        <v>7</v>
      </c>
      <c r="C1173" s="259">
        <v>13</v>
      </c>
      <c r="D1173" s="260">
        <f t="shared" si="89"/>
        <v>45120</v>
      </c>
      <c r="E1173" s="261">
        <f>DATE(A1173,B1173,C1173)</f>
        <v>45120</v>
      </c>
      <c r="F1173" s="531" t="s">
        <v>1383</v>
      </c>
      <c r="G1173" s="262" t="s">
        <v>1245</v>
      </c>
      <c r="H1173" s="263"/>
      <c r="I1173" s="263" t="s">
        <v>1253</v>
      </c>
      <c r="J1173" s="259" t="s">
        <v>1476</v>
      </c>
      <c r="K1173" s="264">
        <v>15585.12222222218</v>
      </c>
      <c r="L1173" s="264"/>
    </row>
    <row r="1174" spans="1:14" ht="11.25" customHeight="1" x14ac:dyDescent="0.2">
      <c r="A1174" s="265">
        <v>2023</v>
      </c>
      <c r="B1174" s="265">
        <v>7</v>
      </c>
      <c r="C1174" s="265">
        <v>13</v>
      </c>
      <c r="D1174" s="266">
        <f t="shared" si="89"/>
        <v>45120</v>
      </c>
      <c r="E1174" s="267">
        <f>DATE(A1174,B1174,C1174)</f>
        <v>45120</v>
      </c>
      <c r="F1174" s="532"/>
      <c r="G1174" s="268" t="s">
        <v>1245</v>
      </c>
      <c r="H1174" s="269"/>
      <c r="I1174" s="269" t="s">
        <v>1253</v>
      </c>
      <c r="J1174" s="265" t="s">
        <v>153</v>
      </c>
      <c r="K1174" s="270"/>
      <c r="L1174" s="270">
        <v>15585.12222222218</v>
      </c>
    </row>
    <row r="1175" spans="1:14" ht="11.25" customHeight="1" x14ac:dyDescent="0.2">
      <c r="A1175" s="222">
        <v>2023</v>
      </c>
      <c r="B1175" s="222">
        <v>7</v>
      </c>
      <c r="C1175" s="222">
        <v>13</v>
      </c>
      <c r="D1175" s="223">
        <f t="shared" si="89"/>
        <v>45120</v>
      </c>
      <c r="E1175" s="240">
        <f t="shared" si="91"/>
        <v>45120</v>
      </c>
      <c r="F1175" s="511" t="s">
        <v>1244</v>
      </c>
      <c r="G1175" s="225" t="s">
        <v>1245</v>
      </c>
      <c r="H1175" s="226"/>
      <c r="I1175" s="226" t="s">
        <v>1253</v>
      </c>
      <c r="J1175" s="222" t="s">
        <v>87</v>
      </c>
      <c r="K1175" s="227">
        <v>81835.023809526116</v>
      </c>
      <c r="L1175" s="227"/>
    </row>
    <row r="1176" spans="1:14" ht="11.25" customHeight="1" x14ac:dyDescent="0.2">
      <c r="A1176" s="228">
        <v>2023</v>
      </c>
      <c r="B1176" s="228">
        <v>7</v>
      </c>
      <c r="C1176" s="228">
        <v>13</v>
      </c>
      <c r="D1176" s="229">
        <f t="shared" si="89"/>
        <v>45120</v>
      </c>
      <c r="E1176" s="241">
        <f t="shared" si="91"/>
        <v>45120</v>
      </c>
      <c r="F1176" s="512"/>
      <c r="G1176" s="231" t="s">
        <v>1245</v>
      </c>
      <c r="H1176" s="232"/>
      <c r="I1176" s="232" t="s">
        <v>1253</v>
      </c>
      <c r="J1176" s="228" t="s">
        <v>72</v>
      </c>
      <c r="K1176" s="233"/>
      <c r="L1176" s="233">
        <v>81835.023809526116</v>
      </c>
    </row>
    <row r="1177" spans="1:14" ht="11.25" customHeight="1" x14ac:dyDescent="0.2">
      <c r="A1177" s="222">
        <v>2023</v>
      </c>
      <c r="B1177" s="222">
        <v>7</v>
      </c>
      <c r="C1177" s="222">
        <v>13</v>
      </c>
      <c r="D1177" s="223">
        <f t="shared" si="89"/>
        <v>45120</v>
      </c>
      <c r="E1177" s="240">
        <f t="shared" si="91"/>
        <v>45120</v>
      </c>
      <c r="F1177" s="511" t="s">
        <v>1246</v>
      </c>
      <c r="G1177" s="225" t="s">
        <v>1245</v>
      </c>
      <c r="H1177" s="226"/>
      <c r="I1177" s="226" t="s">
        <v>1253</v>
      </c>
      <c r="J1177" s="222" t="s">
        <v>75</v>
      </c>
      <c r="K1177" s="227">
        <v>3846.1538461538462</v>
      </c>
      <c r="L1177" s="227"/>
    </row>
    <row r="1178" spans="1:14" ht="11.25" customHeight="1" x14ac:dyDescent="0.2">
      <c r="A1178" s="228">
        <v>2023</v>
      </c>
      <c r="B1178" s="228">
        <v>7</v>
      </c>
      <c r="C1178" s="228">
        <v>13</v>
      </c>
      <c r="D1178" s="229">
        <f t="shared" si="89"/>
        <v>45120</v>
      </c>
      <c r="E1178" s="241">
        <f t="shared" si="91"/>
        <v>45120</v>
      </c>
      <c r="F1178" s="512"/>
      <c r="G1178" s="231" t="s">
        <v>1245</v>
      </c>
      <c r="H1178" s="232"/>
      <c r="I1178" s="232" t="s">
        <v>1253</v>
      </c>
      <c r="J1178" s="228" t="s">
        <v>55</v>
      </c>
      <c r="K1178" s="233"/>
      <c r="L1178" s="233">
        <v>3846.1538461538462</v>
      </c>
    </row>
    <row r="1179" spans="1:14" ht="11.25" customHeight="1" x14ac:dyDescent="0.2">
      <c r="A1179" s="222">
        <v>2023</v>
      </c>
      <c r="B1179" s="222">
        <v>7</v>
      </c>
      <c r="C1179" s="222">
        <v>13</v>
      </c>
      <c r="D1179" s="223">
        <f t="shared" si="89"/>
        <v>45120</v>
      </c>
      <c r="E1179" s="240">
        <f t="shared" si="91"/>
        <v>45120</v>
      </c>
      <c r="F1179" s="511" t="s">
        <v>1247</v>
      </c>
      <c r="G1179" s="225" t="s">
        <v>1245</v>
      </c>
      <c r="H1179" s="226"/>
      <c r="I1179" s="226" t="s">
        <v>1253</v>
      </c>
      <c r="J1179" s="222" t="s">
        <v>77</v>
      </c>
      <c r="K1179" s="227">
        <v>24617.142497542685</v>
      </c>
      <c r="L1179" s="227"/>
    </row>
    <row r="1180" spans="1:14" ht="11.25" customHeight="1" x14ac:dyDescent="0.2">
      <c r="A1180" s="228">
        <v>2023</v>
      </c>
      <c r="B1180" s="228">
        <v>7</v>
      </c>
      <c r="C1180" s="228">
        <v>13</v>
      </c>
      <c r="D1180" s="229">
        <f t="shared" si="89"/>
        <v>45120</v>
      </c>
      <c r="E1180" s="241">
        <f t="shared" si="91"/>
        <v>45120</v>
      </c>
      <c r="F1180" s="512"/>
      <c r="G1180" s="231" t="s">
        <v>1245</v>
      </c>
      <c r="H1180" s="232"/>
      <c r="I1180" s="232" t="s">
        <v>1253</v>
      </c>
      <c r="J1180" s="228" t="s">
        <v>41</v>
      </c>
      <c r="K1180" s="233"/>
      <c r="L1180" s="233">
        <v>24617.142497542685</v>
      </c>
    </row>
    <row r="1181" spans="1:14" ht="11.25" customHeight="1" x14ac:dyDescent="0.2">
      <c r="A1181" s="222">
        <v>2023</v>
      </c>
      <c r="B1181" s="222">
        <v>7</v>
      </c>
      <c r="C1181" s="222">
        <v>13</v>
      </c>
      <c r="D1181" s="223">
        <f t="shared" si="89"/>
        <v>45120</v>
      </c>
      <c r="E1181" s="240">
        <f t="shared" si="91"/>
        <v>45120</v>
      </c>
      <c r="F1181" s="511" t="s">
        <v>1248</v>
      </c>
      <c r="G1181" s="225" t="s">
        <v>1245</v>
      </c>
      <c r="H1181" s="226"/>
      <c r="I1181" s="226" t="s">
        <v>1253</v>
      </c>
      <c r="J1181" s="222" t="s">
        <v>80</v>
      </c>
      <c r="K1181" s="227">
        <v>1230.8571248771345</v>
      </c>
      <c r="L1181" s="227"/>
    </row>
    <row r="1182" spans="1:14" ht="11.25" customHeight="1" x14ac:dyDescent="0.2">
      <c r="A1182" s="228">
        <v>2023</v>
      </c>
      <c r="B1182" s="228">
        <v>7</v>
      </c>
      <c r="C1182" s="228">
        <v>13</v>
      </c>
      <c r="D1182" s="229">
        <f t="shared" si="89"/>
        <v>45120</v>
      </c>
      <c r="E1182" s="241">
        <f t="shared" si="91"/>
        <v>45120</v>
      </c>
      <c r="F1182" s="512"/>
      <c r="G1182" s="231" t="s">
        <v>1245</v>
      </c>
      <c r="H1182" s="232"/>
      <c r="I1182" s="232" t="s">
        <v>1253</v>
      </c>
      <c r="J1182" s="228" t="s">
        <v>42</v>
      </c>
      <c r="K1182" s="233"/>
      <c r="L1182" s="233">
        <v>1230.8571248771345</v>
      </c>
    </row>
    <row r="1183" spans="1:14" ht="11.25" customHeight="1" x14ac:dyDescent="0.2">
      <c r="A1183" s="197">
        <v>2023</v>
      </c>
      <c r="B1183" s="197">
        <v>7</v>
      </c>
      <c r="C1183" s="197">
        <v>16</v>
      </c>
      <c r="D1183" s="198">
        <f t="shared" si="89"/>
        <v>45123</v>
      </c>
      <c r="E1183" s="199">
        <f t="shared" ref="E1183:E1192" si="93">DATE(A1183,B1183,C1183)</f>
        <v>45123</v>
      </c>
      <c r="F1183" s="513" t="s">
        <v>1387</v>
      </c>
      <c r="G1183" s="200" t="s">
        <v>1209</v>
      </c>
      <c r="H1183" s="201"/>
      <c r="I1183" s="201" t="s">
        <v>1253</v>
      </c>
      <c r="J1183" s="197" t="s">
        <v>1475</v>
      </c>
      <c r="K1183" s="202">
        <v>8075403.9500000002</v>
      </c>
      <c r="L1183" s="202"/>
    </row>
    <row r="1184" spans="1:14" ht="11.25" customHeight="1" x14ac:dyDescent="0.2">
      <c r="A1184" s="191">
        <v>2023</v>
      </c>
      <c r="B1184" s="191">
        <v>7</v>
      </c>
      <c r="C1184" s="191">
        <v>16</v>
      </c>
      <c r="D1184" s="192">
        <f t="shared" si="89"/>
        <v>45123</v>
      </c>
      <c r="E1184" s="193">
        <f t="shared" si="93"/>
        <v>45123</v>
      </c>
      <c r="F1184" s="514"/>
      <c r="G1184" s="194" t="s">
        <v>1209</v>
      </c>
      <c r="H1184" s="195"/>
      <c r="I1184" s="195" t="s">
        <v>1253</v>
      </c>
      <c r="J1184" s="191" t="s">
        <v>46</v>
      </c>
      <c r="K1184" s="196"/>
      <c r="L1184" s="196">
        <v>8075403.9500000002</v>
      </c>
      <c r="N1184" s="130"/>
    </row>
    <row r="1185" spans="1:14" ht="11.25" customHeight="1" x14ac:dyDescent="0.2">
      <c r="A1185" s="197">
        <v>2023</v>
      </c>
      <c r="B1185" s="197">
        <v>7</v>
      </c>
      <c r="C1185" s="197">
        <v>16</v>
      </c>
      <c r="D1185" s="198">
        <f t="shared" ref="D1185:D1246" si="94">DATE(A1185,B1185,C1185)</f>
        <v>45123</v>
      </c>
      <c r="E1185" s="209">
        <f t="shared" si="93"/>
        <v>45123</v>
      </c>
      <c r="F1185" s="513" t="s">
        <v>1296</v>
      </c>
      <c r="G1185" s="200" t="s">
        <v>1209</v>
      </c>
      <c r="H1185" s="201"/>
      <c r="I1185" s="201"/>
      <c r="J1185" s="197" t="s">
        <v>46</v>
      </c>
      <c r="K1185" s="202">
        <v>5000</v>
      </c>
      <c r="L1185" s="202"/>
      <c r="M1185" s="251"/>
    </row>
    <row r="1186" spans="1:14" ht="11.25" customHeight="1" x14ac:dyDescent="0.2">
      <c r="A1186" s="120">
        <v>2023</v>
      </c>
      <c r="B1186" s="120">
        <v>7</v>
      </c>
      <c r="C1186" s="120">
        <v>16</v>
      </c>
      <c r="D1186" s="208">
        <f t="shared" si="94"/>
        <v>45123</v>
      </c>
      <c r="E1186" s="209">
        <f t="shared" si="93"/>
        <v>45123</v>
      </c>
      <c r="F1186" s="515"/>
      <c r="G1186" s="132" t="s">
        <v>1209</v>
      </c>
      <c r="J1186" s="120" t="s">
        <v>16</v>
      </c>
      <c r="K1186" s="207"/>
      <c r="L1186" s="207">
        <v>4850</v>
      </c>
    </row>
    <row r="1187" spans="1:14" ht="11.25" customHeight="1" x14ac:dyDescent="0.2">
      <c r="A1187" s="191">
        <v>2023</v>
      </c>
      <c r="B1187" s="191">
        <v>7</v>
      </c>
      <c r="C1187" s="191">
        <v>16</v>
      </c>
      <c r="D1187" s="192">
        <f t="shared" si="94"/>
        <v>45123</v>
      </c>
      <c r="E1187" s="193">
        <f t="shared" si="93"/>
        <v>45123</v>
      </c>
      <c r="F1187" s="514"/>
      <c r="G1187" s="194" t="s">
        <v>1209</v>
      </c>
      <c r="H1187" s="195"/>
      <c r="I1187" s="195"/>
      <c r="J1187" s="191" t="s">
        <v>47</v>
      </c>
      <c r="K1187" s="196"/>
      <c r="L1187" s="196">
        <v>150</v>
      </c>
    </row>
    <row r="1188" spans="1:14" ht="11.25" customHeight="1" x14ac:dyDescent="0.2">
      <c r="A1188" s="197">
        <v>2023</v>
      </c>
      <c r="B1188" s="197">
        <v>7</v>
      </c>
      <c r="C1188" s="197">
        <v>17</v>
      </c>
      <c r="D1188" s="198">
        <f t="shared" si="94"/>
        <v>45124</v>
      </c>
      <c r="E1188" s="209">
        <f t="shared" si="93"/>
        <v>45124</v>
      </c>
      <c r="F1188" s="513" t="s">
        <v>1296</v>
      </c>
      <c r="G1188" s="200" t="s">
        <v>1209</v>
      </c>
      <c r="H1188" s="201"/>
      <c r="I1188" s="201"/>
      <c r="J1188" s="197" t="s">
        <v>46</v>
      </c>
      <c r="K1188" s="202">
        <v>10000</v>
      </c>
      <c r="L1188" s="202"/>
      <c r="M1188" s="251"/>
    </row>
    <row r="1189" spans="1:14" ht="11.25" customHeight="1" x14ac:dyDescent="0.2">
      <c r="A1189" s="120">
        <v>2023</v>
      </c>
      <c r="B1189" s="120">
        <v>7</v>
      </c>
      <c r="C1189" s="120">
        <v>17</v>
      </c>
      <c r="D1189" s="208">
        <f t="shared" si="94"/>
        <v>45124</v>
      </c>
      <c r="E1189" s="209">
        <f t="shared" si="93"/>
        <v>45124</v>
      </c>
      <c r="F1189" s="515"/>
      <c r="G1189" s="132" t="s">
        <v>1209</v>
      </c>
      <c r="J1189" s="120" t="s">
        <v>16</v>
      </c>
      <c r="K1189" s="207"/>
      <c r="L1189" s="207">
        <v>9700</v>
      </c>
    </row>
    <row r="1190" spans="1:14" ht="11.25" customHeight="1" x14ac:dyDescent="0.2">
      <c r="A1190" s="191">
        <v>2023</v>
      </c>
      <c r="B1190" s="191">
        <v>7</v>
      </c>
      <c r="C1190" s="191">
        <v>17</v>
      </c>
      <c r="D1190" s="192">
        <f t="shared" si="94"/>
        <v>45124</v>
      </c>
      <c r="E1190" s="193">
        <f t="shared" si="93"/>
        <v>45124</v>
      </c>
      <c r="F1190" s="514"/>
      <c r="G1190" s="194" t="s">
        <v>1209</v>
      </c>
      <c r="H1190" s="195"/>
      <c r="I1190" s="195"/>
      <c r="J1190" s="191" t="s">
        <v>47</v>
      </c>
      <c r="K1190" s="196"/>
      <c r="L1190" s="196">
        <v>300</v>
      </c>
    </row>
    <row r="1191" spans="1:14" ht="11.25" customHeight="1" x14ac:dyDescent="0.2">
      <c r="A1191" s="197">
        <v>2023</v>
      </c>
      <c r="B1191" s="197">
        <v>7</v>
      </c>
      <c r="C1191" s="197">
        <v>17</v>
      </c>
      <c r="D1191" s="198">
        <f t="shared" si="94"/>
        <v>45124</v>
      </c>
      <c r="E1191" s="199">
        <f t="shared" si="93"/>
        <v>45124</v>
      </c>
      <c r="F1191" s="513" t="s">
        <v>1387</v>
      </c>
      <c r="G1191" s="200" t="s">
        <v>1209</v>
      </c>
      <c r="H1191" s="201"/>
      <c r="I1191" s="201" t="s">
        <v>1253</v>
      </c>
      <c r="J1191" s="197" t="s">
        <v>1475</v>
      </c>
      <c r="K1191" s="202">
        <v>7051756.0899999999</v>
      </c>
      <c r="L1191" s="202"/>
    </row>
    <row r="1192" spans="1:14" ht="11.25" customHeight="1" x14ac:dyDescent="0.2">
      <c r="A1192" s="191">
        <v>2023</v>
      </c>
      <c r="B1192" s="191">
        <v>7</v>
      </c>
      <c r="C1192" s="191">
        <v>17</v>
      </c>
      <c r="D1192" s="192">
        <f t="shared" si="94"/>
        <v>45124</v>
      </c>
      <c r="E1192" s="193">
        <f t="shared" si="93"/>
        <v>45124</v>
      </c>
      <c r="F1192" s="514"/>
      <c r="G1192" s="194" t="s">
        <v>1209</v>
      </c>
      <c r="H1192" s="195"/>
      <c r="I1192" s="195" t="s">
        <v>1253</v>
      </c>
      <c r="J1192" s="191" t="s">
        <v>46</v>
      </c>
      <c r="K1192" s="196"/>
      <c r="L1192" s="196">
        <v>7051756.0899999999</v>
      </c>
      <c r="N1192" s="130"/>
    </row>
    <row r="1193" spans="1:14" ht="11.25" customHeight="1" x14ac:dyDescent="0.2">
      <c r="A1193" s="197">
        <v>2023</v>
      </c>
      <c r="B1193" s="197">
        <v>7</v>
      </c>
      <c r="C1193" s="197">
        <v>17</v>
      </c>
      <c r="D1193" s="198">
        <f t="shared" si="94"/>
        <v>45124</v>
      </c>
      <c r="E1193" s="209">
        <f t="shared" ref="E1193:E1200" si="95">DATE(A1193,B1193,C1193)</f>
        <v>45124</v>
      </c>
      <c r="F1193" s="513" t="s">
        <v>1280</v>
      </c>
      <c r="G1193" s="200" t="s">
        <v>1209</v>
      </c>
      <c r="H1193" s="201"/>
      <c r="I1193" s="201" t="s">
        <v>644</v>
      </c>
      <c r="J1193" s="197" t="s">
        <v>16</v>
      </c>
      <c r="K1193" s="202">
        <v>245270</v>
      </c>
      <c r="L1193" s="202"/>
      <c r="M1193" s="251"/>
    </row>
    <row r="1194" spans="1:14" ht="11.25" customHeight="1" x14ac:dyDescent="0.2">
      <c r="A1194" s="120">
        <v>2023</v>
      </c>
      <c r="B1194" s="120">
        <v>7</v>
      </c>
      <c r="C1194" s="120">
        <v>17</v>
      </c>
      <c r="D1194" s="208">
        <f t="shared" si="94"/>
        <v>45124</v>
      </c>
      <c r="E1194" s="209">
        <f t="shared" si="95"/>
        <v>45124</v>
      </c>
      <c r="F1194" s="515"/>
      <c r="G1194" s="132" t="s">
        <v>1209</v>
      </c>
      <c r="I1194" s="128" t="s">
        <v>644</v>
      </c>
      <c r="J1194" s="120" t="s">
        <v>47</v>
      </c>
      <c r="K1194" s="207">
        <v>7603.3699999999953</v>
      </c>
      <c r="L1194" s="207"/>
    </row>
    <row r="1195" spans="1:14" ht="11.25" customHeight="1" x14ac:dyDescent="0.2">
      <c r="A1195" s="191">
        <v>2023</v>
      </c>
      <c r="B1195" s="191">
        <v>7</v>
      </c>
      <c r="C1195" s="191">
        <v>17</v>
      </c>
      <c r="D1195" s="192">
        <f t="shared" si="94"/>
        <v>45124</v>
      </c>
      <c r="E1195" s="193">
        <f t="shared" si="95"/>
        <v>45124</v>
      </c>
      <c r="F1195" s="514"/>
      <c r="G1195" s="194" t="s">
        <v>1209</v>
      </c>
      <c r="H1195" s="195"/>
      <c r="I1195" s="195" t="s">
        <v>644</v>
      </c>
      <c r="J1195" s="191" t="s">
        <v>46</v>
      </c>
      <c r="K1195" s="196"/>
      <c r="L1195" s="196">
        <v>252873.37</v>
      </c>
    </row>
    <row r="1196" spans="1:14" ht="11.25" customHeight="1" x14ac:dyDescent="0.2">
      <c r="A1196" s="197">
        <v>2023</v>
      </c>
      <c r="B1196" s="197">
        <v>7</v>
      </c>
      <c r="C1196" s="197">
        <v>17</v>
      </c>
      <c r="D1196" s="198">
        <f t="shared" si="94"/>
        <v>45124</v>
      </c>
      <c r="E1196" s="199">
        <f t="shared" si="95"/>
        <v>45124</v>
      </c>
      <c r="F1196" s="513" t="s">
        <v>1323</v>
      </c>
      <c r="G1196" s="200" t="s">
        <v>1209</v>
      </c>
      <c r="H1196" s="201"/>
      <c r="I1196" s="201"/>
      <c r="J1196" s="197" t="s">
        <v>54</v>
      </c>
      <c r="K1196" s="202">
        <v>100</v>
      </c>
      <c r="L1196" s="202"/>
    </row>
    <row r="1197" spans="1:14" ht="11.25" customHeight="1" x14ac:dyDescent="0.2">
      <c r="A1197" s="191">
        <v>2023</v>
      </c>
      <c r="B1197" s="191">
        <v>7</v>
      </c>
      <c r="C1197" s="191">
        <v>17</v>
      </c>
      <c r="D1197" s="192">
        <f t="shared" si="94"/>
        <v>45124</v>
      </c>
      <c r="E1197" s="193">
        <f t="shared" si="95"/>
        <v>45124</v>
      </c>
      <c r="F1197" s="514"/>
      <c r="G1197" s="194" t="s">
        <v>1209</v>
      </c>
      <c r="H1197" s="195"/>
      <c r="I1197" s="195"/>
      <c r="J1197" s="191" t="s">
        <v>46</v>
      </c>
      <c r="K1197" s="196"/>
      <c r="L1197" s="196">
        <v>100</v>
      </c>
    </row>
    <row r="1198" spans="1:14" ht="11.25" customHeight="1" x14ac:dyDescent="0.2">
      <c r="A1198" s="197">
        <v>2023</v>
      </c>
      <c r="B1198" s="197">
        <v>7</v>
      </c>
      <c r="C1198" s="197">
        <v>18</v>
      </c>
      <c r="D1198" s="198">
        <f t="shared" si="94"/>
        <v>45125</v>
      </c>
      <c r="E1198" s="209">
        <f t="shared" si="95"/>
        <v>45125</v>
      </c>
      <c r="F1198" s="513" t="s">
        <v>1210</v>
      </c>
      <c r="G1198" s="200" t="s">
        <v>1209</v>
      </c>
      <c r="H1198" s="201"/>
      <c r="I1198" s="201" t="s">
        <v>749</v>
      </c>
      <c r="J1198" s="197" t="s">
        <v>46</v>
      </c>
      <c r="K1198" s="202">
        <v>200000</v>
      </c>
      <c r="L1198" s="202"/>
      <c r="M1198" s="251"/>
    </row>
    <row r="1199" spans="1:14" ht="11.25" customHeight="1" x14ac:dyDescent="0.2">
      <c r="A1199" s="120">
        <v>2023</v>
      </c>
      <c r="B1199" s="120">
        <v>7</v>
      </c>
      <c r="C1199" s="120">
        <v>18</v>
      </c>
      <c r="D1199" s="208">
        <f t="shared" si="94"/>
        <v>45125</v>
      </c>
      <c r="E1199" s="209">
        <f t="shared" si="95"/>
        <v>45125</v>
      </c>
      <c r="F1199" s="515"/>
      <c r="G1199" s="132" t="s">
        <v>1209</v>
      </c>
      <c r="I1199" s="128" t="s">
        <v>749</v>
      </c>
      <c r="J1199" s="120" t="s">
        <v>16</v>
      </c>
      <c r="K1199" s="207"/>
      <c r="L1199" s="207">
        <v>193990</v>
      </c>
    </row>
    <row r="1200" spans="1:14" ht="11.25" customHeight="1" x14ac:dyDescent="0.2">
      <c r="A1200" s="191">
        <v>2023</v>
      </c>
      <c r="B1200" s="191">
        <v>7</v>
      </c>
      <c r="C1200" s="191">
        <v>18</v>
      </c>
      <c r="D1200" s="192">
        <f t="shared" si="94"/>
        <v>45125</v>
      </c>
      <c r="E1200" s="193">
        <f t="shared" si="95"/>
        <v>45125</v>
      </c>
      <c r="F1200" s="514"/>
      <c r="G1200" s="194" t="s">
        <v>1209</v>
      </c>
      <c r="H1200" s="195"/>
      <c r="I1200" s="195" t="s">
        <v>749</v>
      </c>
      <c r="J1200" s="191" t="s">
        <v>47</v>
      </c>
      <c r="K1200" s="196"/>
      <c r="L1200" s="196">
        <v>6010</v>
      </c>
    </row>
    <row r="1201" spans="1:13" ht="11.25" customHeight="1" x14ac:dyDescent="0.2">
      <c r="A1201" s="197">
        <v>2023</v>
      </c>
      <c r="B1201" s="197">
        <v>7</v>
      </c>
      <c r="C1201" s="197">
        <v>19</v>
      </c>
      <c r="D1201" s="198">
        <f t="shared" si="94"/>
        <v>45126</v>
      </c>
      <c r="E1201" s="209">
        <f>DATE(A1201,B1201,C1201)</f>
        <v>45126</v>
      </c>
      <c r="F1201" s="513" t="s">
        <v>1280</v>
      </c>
      <c r="G1201" s="200" t="s">
        <v>1209</v>
      </c>
      <c r="H1201" s="201"/>
      <c r="I1201" s="201" t="s">
        <v>567</v>
      </c>
      <c r="J1201" s="197" t="s">
        <v>16</v>
      </c>
      <c r="K1201" s="202">
        <v>30000</v>
      </c>
      <c r="L1201" s="202"/>
      <c r="M1201" s="251"/>
    </row>
    <row r="1202" spans="1:13" ht="11.25" customHeight="1" x14ac:dyDescent="0.2">
      <c r="A1202" s="120">
        <v>2023</v>
      </c>
      <c r="B1202" s="120">
        <v>7</v>
      </c>
      <c r="C1202" s="120">
        <v>19</v>
      </c>
      <c r="D1202" s="208">
        <f t="shared" si="94"/>
        <v>45126</v>
      </c>
      <c r="E1202" s="209">
        <f>DATE(A1202,B1202,C1202)</f>
        <v>45126</v>
      </c>
      <c r="F1202" s="515"/>
      <c r="G1202" s="132" t="s">
        <v>1209</v>
      </c>
      <c r="I1202" s="128" t="s">
        <v>567</v>
      </c>
      <c r="J1202" s="120" t="s">
        <v>47</v>
      </c>
      <c r="K1202" s="207">
        <v>930</v>
      </c>
      <c r="L1202" s="207"/>
    </row>
    <row r="1203" spans="1:13" ht="11.25" customHeight="1" x14ac:dyDescent="0.2">
      <c r="A1203" s="191">
        <v>2023</v>
      </c>
      <c r="B1203" s="191">
        <v>7</v>
      </c>
      <c r="C1203" s="191">
        <v>19</v>
      </c>
      <c r="D1203" s="192">
        <f t="shared" si="94"/>
        <v>45126</v>
      </c>
      <c r="E1203" s="193">
        <f>DATE(A1203,B1203,C1203)</f>
        <v>45126</v>
      </c>
      <c r="F1203" s="514"/>
      <c r="G1203" s="194" t="s">
        <v>1209</v>
      </c>
      <c r="H1203" s="195"/>
      <c r="I1203" s="195" t="s">
        <v>567</v>
      </c>
      <c r="J1203" s="191" t="s">
        <v>46</v>
      </c>
      <c r="K1203" s="196"/>
      <c r="L1203" s="196">
        <v>30930</v>
      </c>
    </row>
    <row r="1204" spans="1:13" ht="11.25" customHeight="1" x14ac:dyDescent="0.2">
      <c r="A1204" s="197">
        <v>2023</v>
      </c>
      <c r="B1204" s="197">
        <v>7</v>
      </c>
      <c r="C1204" s="197">
        <v>20</v>
      </c>
      <c r="D1204" s="198">
        <f t="shared" si="94"/>
        <v>45127</v>
      </c>
      <c r="E1204" s="209">
        <f t="shared" ref="E1204:E1212" si="96">DATE(A1204,B1204,C1204)</f>
        <v>45127</v>
      </c>
      <c r="F1204" s="513" t="s">
        <v>1210</v>
      </c>
      <c r="G1204" s="200" t="s">
        <v>1209</v>
      </c>
      <c r="H1204" s="201"/>
      <c r="I1204" s="201" t="s">
        <v>1321</v>
      </c>
      <c r="J1204" s="197" t="s">
        <v>46</v>
      </c>
      <c r="K1204" s="202">
        <v>500825</v>
      </c>
      <c r="L1204" s="202"/>
      <c r="M1204" s="251"/>
    </row>
    <row r="1205" spans="1:13" ht="11.25" customHeight="1" x14ac:dyDescent="0.2">
      <c r="A1205" s="120">
        <v>2023</v>
      </c>
      <c r="B1205" s="120">
        <v>7</v>
      </c>
      <c r="C1205" s="120">
        <v>20</v>
      </c>
      <c r="D1205" s="208">
        <f t="shared" si="94"/>
        <v>45127</v>
      </c>
      <c r="E1205" s="209">
        <f t="shared" si="96"/>
        <v>45127</v>
      </c>
      <c r="F1205" s="515"/>
      <c r="G1205" s="132" t="s">
        <v>1209</v>
      </c>
      <c r="I1205" s="128" t="s">
        <v>1321</v>
      </c>
      <c r="J1205" s="120" t="s">
        <v>16</v>
      </c>
      <c r="K1205" s="207"/>
      <c r="L1205" s="207">
        <v>487610</v>
      </c>
    </row>
    <row r="1206" spans="1:13" ht="11.25" customHeight="1" x14ac:dyDescent="0.2">
      <c r="A1206" s="191">
        <v>2023</v>
      </c>
      <c r="B1206" s="191">
        <v>7</v>
      </c>
      <c r="C1206" s="191">
        <v>20</v>
      </c>
      <c r="D1206" s="192">
        <f t="shared" si="94"/>
        <v>45127</v>
      </c>
      <c r="E1206" s="193">
        <f t="shared" si="96"/>
        <v>45127</v>
      </c>
      <c r="F1206" s="514"/>
      <c r="G1206" s="194" t="s">
        <v>1209</v>
      </c>
      <c r="H1206" s="195"/>
      <c r="I1206" s="195" t="s">
        <v>1321</v>
      </c>
      <c r="J1206" s="191" t="s">
        <v>47</v>
      </c>
      <c r="K1206" s="196"/>
      <c r="L1206" s="196">
        <v>13215</v>
      </c>
    </row>
    <row r="1207" spans="1:13" ht="11.25" customHeight="1" x14ac:dyDescent="0.2">
      <c r="A1207" s="197">
        <v>2023</v>
      </c>
      <c r="B1207" s="197">
        <v>7</v>
      </c>
      <c r="C1207" s="197">
        <v>20</v>
      </c>
      <c r="D1207" s="198">
        <f t="shared" si="94"/>
        <v>45127</v>
      </c>
      <c r="E1207" s="209">
        <f t="shared" si="96"/>
        <v>45127</v>
      </c>
      <c r="F1207" s="513" t="s">
        <v>1210</v>
      </c>
      <c r="G1207" s="200" t="s">
        <v>1209</v>
      </c>
      <c r="H1207" s="201"/>
      <c r="I1207" s="201" t="s">
        <v>1384</v>
      </c>
      <c r="J1207" s="197" t="s">
        <v>46</v>
      </c>
      <c r="K1207" s="202">
        <v>700000</v>
      </c>
      <c r="L1207" s="202"/>
      <c r="M1207" s="251"/>
    </row>
    <row r="1208" spans="1:13" ht="11.25" customHeight="1" x14ac:dyDescent="0.2">
      <c r="A1208" s="120">
        <v>2023</v>
      </c>
      <c r="B1208" s="120">
        <v>7</v>
      </c>
      <c r="C1208" s="120">
        <v>20</v>
      </c>
      <c r="D1208" s="208">
        <f t="shared" si="94"/>
        <v>45127</v>
      </c>
      <c r="E1208" s="209">
        <f t="shared" si="96"/>
        <v>45127</v>
      </c>
      <c r="F1208" s="515"/>
      <c r="G1208" s="132" t="s">
        <v>1209</v>
      </c>
      <c r="I1208" s="128" t="s">
        <v>1384</v>
      </c>
      <c r="J1208" s="120" t="s">
        <v>16</v>
      </c>
      <c r="K1208" s="207"/>
      <c r="L1208" s="207">
        <v>678950</v>
      </c>
    </row>
    <row r="1209" spans="1:13" ht="11.25" customHeight="1" x14ac:dyDescent="0.2">
      <c r="A1209" s="191">
        <v>2023</v>
      </c>
      <c r="B1209" s="191">
        <v>7</v>
      </c>
      <c r="C1209" s="191">
        <v>20</v>
      </c>
      <c r="D1209" s="192">
        <f t="shared" si="94"/>
        <v>45127</v>
      </c>
      <c r="E1209" s="193">
        <f t="shared" si="96"/>
        <v>45127</v>
      </c>
      <c r="F1209" s="514"/>
      <c r="G1209" s="194" t="s">
        <v>1209</v>
      </c>
      <c r="H1209" s="195"/>
      <c r="I1209" s="195" t="s">
        <v>1384</v>
      </c>
      <c r="J1209" s="191" t="s">
        <v>47</v>
      </c>
      <c r="K1209" s="196"/>
      <c r="L1209" s="196">
        <v>21050</v>
      </c>
    </row>
    <row r="1210" spans="1:13" ht="11.25" customHeight="1" x14ac:dyDescent="0.2">
      <c r="A1210" s="197">
        <v>2023</v>
      </c>
      <c r="B1210" s="197">
        <v>7</v>
      </c>
      <c r="C1210" s="197">
        <v>20</v>
      </c>
      <c r="D1210" s="198">
        <f t="shared" si="94"/>
        <v>45127</v>
      </c>
      <c r="E1210" s="209">
        <f t="shared" si="96"/>
        <v>45127</v>
      </c>
      <c r="F1210" s="513" t="s">
        <v>1210</v>
      </c>
      <c r="G1210" s="200" t="s">
        <v>1209</v>
      </c>
      <c r="H1210" s="201"/>
      <c r="I1210" s="201" t="s">
        <v>668</v>
      </c>
      <c r="J1210" s="197" t="s">
        <v>46</v>
      </c>
      <c r="K1210" s="202">
        <v>435082</v>
      </c>
      <c r="L1210" s="202"/>
      <c r="M1210" s="251"/>
    </row>
    <row r="1211" spans="1:13" ht="11.25" customHeight="1" x14ac:dyDescent="0.2">
      <c r="A1211" s="120">
        <v>2023</v>
      </c>
      <c r="B1211" s="120">
        <v>7</v>
      </c>
      <c r="C1211" s="120">
        <v>20</v>
      </c>
      <c r="D1211" s="208">
        <f t="shared" si="94"/>
        <v>45127</v>
      </c>
      <c r="E1211" s="209">
        <f t="shared" si="96"/>
        <v>45127</v>
      </c>
      <c r="F1211" s="515"/>
      <c r="G1211" s="132" t="s">
        <v>1209</v>
      </c>
      <c r="I1211" s="128" t="s">
        <v>668</v>
      </c>
      <c r="J1211" s="120" t="s">
        <v>16</v>
      </c>
      <c r="K1211" s="207"/>
      <c r="L1211" s="207">
        <v>422000</v>
      </c>
    </row>
    <row r="1212" spans="1:13" ht="11.25" customHeight="1" x14ac:dyDescent="0.2">
      <c r="A1212" s="191">
        <v>2023</v>
      </c>
      <c r="B1212" s="191">
        <v>7</v>
      </c>
      <c r="C1212" s="191">
        <v>20</v>
      </c>
      <c r="D1212" s="192">
        <f t="shared" si="94"/>
        <v>45127</v>
      </c>
      <c r="E1212" s="193">
        <f t="shared" si="96"/>
        <v>45127</v>
      </c>
      <c r="F1212" s="514"/>
      <c r="G1212" s="194" t="s">
        <v>1209</v>
      </c>
      <c r="H1212" s="195"/>
      <c r="I1212" s="195" t="s">
        <v>668</v>
      </c>
      <c r="J1212" s="191" t="s">
        <v>47</v>
      </c>
      <c r="K1212" s="196"/>
      <c r="L1212" s="196">
        <v>13082</v>
      </c>
    </row>
    <row r="1213" spans="1:13" ht="11.25" customHeight="1" x14ac:dyDescent="0.2">
      <c r="A1213" s="197">
        <v>2023</v>
      </c>
      <c r="B1213" s="197">
        <v>7</v>
      </c>
      <c r="C1213" s="197">
        <v>20</v>
      </c>
      <c r="D1213" s="198">
        <f t="shared" si="94"/>
        <v>45127</v>
      </c>
      <c r="E1213" s="290">
        <f>DATE(A1213,B1213,C1213)</f>
        <v>45127</v>
      </c>
      <c r="F1213" s="513" t="s">
        <v>1386</v>
      </c>
      <c r="G1213" s="200" t="s">
        <v>1209</v>
      </c>
      <c r="H1213" s="201"/>
      <c r="I1213" s="201" t="s">
        <v>1253</v>
      </c>
      <c r="J1213" s="197" t="s">
        <v>46</v>
      </c>
      <c r="K1213" s="202">
        <v>358050</v>
      </c>
      <c r="L1213" s="202"/>
    </row>
    <row r="1214" spans="1:13" ht="11.25" customHeight="1" x14ac:dyDescent="0.2">
      <c r="A1214" s="191">
        <v>2023</v>
      </c>
      <c r="B1214" s="191">
        <v>7</v>
      </c>
      <c r="C1214" s="191">
        <v>20</v>
      </c>
      <c r="D1214" s="192">
        <f t="shared" si="94"/>
        <v>45127</v>
      </c>
      <c r="E1214" s="291">
        <f>DATE(A1214,B1214,C1214)</f>
        <v>45127</v>
      </c>
      <c r="F1214" s="514"/>
      <c r="G1214" s="194" t="s">
        <v>1209</v>
      </c>
      <c r="H1214" s="195"/>
      <c r="I1214" s="195" t="s">
        <v>1253</v>
      </c>
      <c r="J1214" s="191" t="s">
        <v>1284</v>
      </c>
      <c r="K1214" s="196"/>
      <c r="L1214" s="196">
        <v>358050</v>
      </c>
    </row>
    <row r="1215" spans="1:13" ht="11.25" customHeight="1" x14ac:dyDescent="0.2">
      <c r="A1215" s="197">
        <v>2023</v>
      </c>
      <c r="B1215" s="197">
        <v>7</v>
      </c>
      <c r="C1215" s="197">
        <v>20</v>
      </c>
      <c r="D1215" s="198">
        <f t="shared" si="94"/>
        <v>45127</v>
      </c>
      <c r="E1215" s="290">
        <f t="shared" ref="E1215:E1255" si="97">DATE(A1215,B1215,C1215)</f>
        <v>45127</v>
      </c>
      <c r="F1215" s="513" t="s">
        <v>1486</v>
      </c>
      <c r="G1215" s="200" t="s">
        <v>1209</v>
      </c>
      <c r="H1215" s="201"/>
      <c r="I1215" s="201" t="s">
        <v>1253</v>
      </c>
      <c r="J1215" s="197" t="s">
        <v>46</v>
      </c>
      <c r="K1215" s="202">
        <v>155095.85999999999</v>
      </c>
      <c r="L1215" s="202"/>
    </row>
    <row r="1216" spans="1:13" ht="11.25" customHeight="1" x14ac:dyDescent="0.2">
      <c r="A1216" s="120">
        <v>2023</v>
      </c>
      <c r="B1216" s="120">
        <v>7</v>
      </c>
      <c r="C1216" s="120">
        <v>20</v>
      </c>
      <c r="D1216" s="208">
        <f t="shared" si="94"/>
        <v>45127</v>
      </c>
      <c r="E1216" s="293">
        <f t="shared" si="97"/>
        <v>45127</v>
      </c>
      <c r="F1216" s="515"/>
      <c r="G1216" s="132" t="s">
        <v>1209</v>
      </c>
      <c r="J1216" s="120" t="s">
        <v>1530</v>
      </c>
      <c r="K1216" s="207">
        <v>8162.94</v>
      </c>
      <c r="L1216" s="207"/>
    </row>
    <row r="1217" spans="1:15" ht="11.25" customHeight="1" x14ac:dyDescent="0.2">
      <c r="A1217" s="120">
        <v>2023</v>
      </c>
      <c r="B1217" s="120">
        <v>7</v>
      </c>
      <c r="C1217" s="120">
        <v>20</v>
      </c>
      <c r="D1217" s="208">
        <f t="shared" si="94"/>
        <v>45127</v>
      </c>
      <c r="E1217" s="293">
        <f>DATE(A1217,B1217,C1217)</f>
        <v>45127</v>
      </c>
      <c r="F1217" s="515"/>
      <c r="G1217" s="132" t="s">
        <v>1209</v>
      </c>
      <c r="J1217" s="120" t="s">
        <v>1581</v>
      </c>
      <c r="K1217" s="207"/>
      <c r="L1217" s="207">
        <v>8162.94</v>
      </c>
    </row>
    <row r="1218" spans="1:15" ht="11.25" customHeight="1" x14ac:dyDescent="0.2">
      <c r="A1218" s="120">
        <v>2023</v>
      </c>
      <c r="B1218" s="120">
        <v>7</v>
      </c>
      <c r="C1218" s="120">
        <v>20</v>
      </c>
      <c r="D1218" s="208">
        <f t="shared" si="94"/>
        <v>45127</v>
      </c>
      <c r="E1218" s="293">
        <f>DATE(A1218,B1218,C1218)</f>
        <v>45127</v>
      </c>
      <c r="F1218" s="515"/>
      <c r="G1218" s="132" t="s">
        <v>1209</v>
      </c>
      <c r="J1218" s="120" t="s">
        <v>1581</v>
      </c>
      <c r="K1218" s="120"/>
      <c r="L1218" s="207">
        <v>31640.58</v>
      </c>
    </row>
    <row r="1219" spans="1:15" ht="11.25" customHeight="1" x14ac:dyDescent="0.2">
      <c r="A1219" s="191">
        <v>2023</v>
      </c>
      <c r="B1219" s="191">
        <v>7</v>
      </c>
      <c r="C1219" s="191">
        <v>20</v>
      </c>
      <c r="D1219" s="192">
        <f t="shared" si="94"/>
        <v>45127</v>
      </c>
      <c r="E1219" s="291">
        <f t="shared" si="97"/>
        <v>45127</v>
      </c>
      <c r="F1219" s="514"/>
      <c r="G1219" s="194" t="s">
        <v>1209</v>
      </c>
      <c r="H1219" s="195"/>
      <c r="I1219" s="195" t="s">
        <v>1253</v>
      </c>
      <c r="J1219" s="191" t="s">
        <v>1530</v>
      </c>
      <c r="K1219" s="196"/>
      <c r="L1219" s="196">
        <v>123455.28</v>
      </c>
    </row>
    <row r="1220" spans="1:15" ht="11.25" customHeight="1" x14ac:dyDescent="0.2">
      <c r="A1220" s="197">
        <v>2023</v>
      </c>
      <c r="B1220" s="197">
        <v>7</v>
      </c>
      <c r="C1220" s="197">
        <v>20</v>
      </c>
      <c r="D1220" s="198">
        <f t="shared" si="94"/>
        <v>45127</v>
      </c>
      <c r="E1220" s="209">
        <f t="shared" si="97"/>
        <v>45127</v>
      </c>
      <c r="F1220" s="513" t="s">
        <v>1280</v>
      </c>
      <c r="G1220" s="200" t="s">
        <v>1209</v>
      </c>
      <c r="H1220" s="201"/>
      <c r="I1220" s="201" t="s">
        <v>329</v>
      </c>
      <c r="J1220" s="197" t="s">
        <v>16</v>
      </c>
      <c r="K1220" s="202">
        <v>4870</v>
      </c>
      <c r="L1220" s="202"/>
      <c r="M1220" s="251"/>
    </row>
    <row r="1221" spans="1:15" ht="11.25" customHeight="1" x14ac:dyDescent="0.2">
      <c r="A1221" s="120">
        <v>2023</v>
      </c>
      <c r="B1221" s="120">
        <v>7</v>
      </c>
      <c r="C1221" s="120">
        <v>20</v>
      </c>
      <c r="D1221" s="208">
        <f t="shared" si="94"/>
        <v>45127</v>
      </c>
      <c r="E1221" s="209">
        <f t="shared" si="97"/>
        <v>45127</v>
      </c>
      <c r="F1221" s="515"/>
      <c r="G1221" s="132" t="s">
        <v>1209</v>
      </c>
      <c r="I1221" s="128" t="s">
        <v>329</v>
      </c>
      <c r="J1221" s="120" t="s">
        <v>47</v>
      </c>
      <c r="K1221" s="207">
        <v>150.97000000000025</v>
      </c>
      <c r="L1221" s="207"/>
    </row>
    <row r="1222" spans="1:15" ht="11.25" customHeight="1" x14ac:dyDescent="0.2">
      <c r="A1222" s="191">
        <v>2023</v>
      </c>
      <c r="B1222" s="191">
        <v>7</v>
      </c>
      <c r="C1222" s="191">
        <v>20</v>
      </c>
      <c r="D1222" s="192">
        <f t="shared" si="94"/>
        <v>45127</v>
      </c>
      <c r="E1222" s="193">
        <f t="shared" si="97"/>
        <v>45127</v>
      </c>
      <c r="F1222" s="514"/>
      <c r="G1222" s="194" t="s">
        <v>1209</v>
      </c>
      <c r="H1222" s="195"/>
      <c r="I1222" s="195" t="s">
        <v>329</v>
      </c>
      <c r="J1222" s="191" t="s">
        <v>46</v>
      </c>
      <c r="K1222" s="196"/>
      <c r="L1222" s="196">
        <v>5020.97</v>
      </c>
    </row>
    <row r="1223" spans="1:15" ht="11.25" customHeight="1" x14ac:dyDescent="0.2">
      <c r="A1223" s="210">
        <v>2023</v>
      </c>
      <c r="B1223" s="210">
        <v>7</v>
      </c>
      <c r="C1223" s="210">
        <v>20</v>
      </c>
      <c r="D1223" s="211">
        <f t="shared" si="94"/>
        <v>45127</v>
      </c>
      <c r="E1223" s="238">
        <f t="shared" si="97"/>
        <v>45127</v>
      </c>
      <c r="F1223" s="520" t="s">
        <v>1278</v>
      </c>
      <c r="G1223" s="213" t="s">
        <v>1245</v>
      </c>
      <c r="H1223" s="214"/>
      <c r="I1223" s="214" t="s">
        <v>1253</v>
      </c>
      <c r="J1223" s="210" t="s">
        <v>1529</v>
      </c>
      <c r="K1223" s="215">
        <v>5091.2307692307695</v>
      </c>
      <c r="L1223" s="215"/>
    </row>
    <row r="1224" spans="1:15" ht="11.25" customHeight="1" x14ac:dyDescent="0.2">
      <c r="A1224" s="216">
        <v>2023</v>
      </c>
      <c r="B1224" s="216">
        <v>7</v>
      </c>
      <c r="C1224" s="216">
        <v>20</v>
      </c>
      <c r="D1224" s="217">
        <f t="shared" si="94"/>
        <v>45127</v>
      </c>
      <c r="E1224" s="239">
        <f t="shared" si="97"/>
        <v>45127</v>
      </c>
      <c r="F1224" s="521"/>
      <c r="G1224" s="219" t="s">
        <v>1245</v>
      </c>
      <c r="H1224" s="220"/>
      <c r="I1224" s="220" t="s">
        <v>1253</v>
      </c>
      <c r="J1224" s="216" t="s">
        <v>1581</v>
      </c>
      <c r="K1224" s="221"/>
      <c r="L1224" s="221">
        <v>5091.2307692307695</v>
      </c>
    </row>
    <row r="1225" spans="1:15" ht="11.25" customHeight="1" x14ac:dyDescent="0.2">
      <c r="A1225" s="210">
        <v>2023</v>
      </c>
      <c r="B1225" s="210">
        <v>7</v>
      </c>
      <c r="C1225" s="210">
        <v>20</v>
      </c>
      <c r="D1225" s="211">
        <f t="shared" si="94"/>
        <v>45127</v>
      </c>
      <c r="E1225" s="238">
        <f t="shared" si="97"/>
        <v>45127</v>
      </c>
      <c r="F1225" s="520" t="s">
        <v>1285</v>
      </c>
      <c r="G1225" s="213" t="s">
        <v>1245</v>
      </c>
      <c r="H1225" s="214"/>
      <c r="I1225" s="214" t="s">
        <v>1253</v>
      </c>
      <c r="J1225" s="210" t="s">
        <v>1284</v>
      </c>
      <c r="K1225" s="215">
        <v>19017.29</v>
      </c>
      <c r="L1225" s="215"/>
    </row>
    <row r="1226" spans="1:15" ht="11.25" customHeight="1" x14ac:dyDescent="0.2">
      <c r="A1226" s="242">
        <v>2023</v>
      </c>
      <c r="B1226" s="216">
        <v>7</v>
      </c>
      <c r="C1226" s="216">
        <v>20</v>
      </c>
      <c r="D1226" s="243">
        <f t="shared" si="94"/>
        <v>45127</v>
      </c>
      <c r="E1226" s="244">
        <f>DATE(A1226,B1226,C1226)</f>
        <v>45127</v>
      </c>
      <c r="F1226" s="524"/>
      <c r="G1226" s="245" t="s">
        <v>1245</v>
      </c>
      <c r="H1226" s="246"/>
      <c r="I1226" s="246"/>
      <c r="J1226" s="242" t="s">
        <v>1582</v>
      </c>
      <c r="K1226" s="247"/>
      <c r="L1226" s="247">
        <v>19017.29</v>
      </c>
    </row>
    <row r="1227" spans="1:15" ht="11.25" customHeight="1" x14ac:dyDescent="0.2">
      <c r="A1227" s="210">
        <v>2023</v>
      </c>
      <c r="B1227" s="210">
        <v>7</v>
      </c>
      <c r="C1227" s="210">
        <v>20</v>
      </c>
      <c r="D1227" s="211">
        <f t="shared" si="94"/>
        <v>45127</v>
      </c>
      <c r="E1227" s="238">
        <f t="shared" si="97"/>
        <v>45127</v>
      </c>
      <c r="F1227" s="520" t="s">
        <v>1259</v>
      </c>
      <c r="G1227" s="213" t="s">
        <v>1245</v>
      </c>
      <c r="H1227" s="214"/>
      <c r="I1227" s="214" t="s">
        <v>1253</v>
      </c>
      <c r="J1227" s="210" t="s">
        <v>58</v>
      </c>
      <c r="K1227" s="215">
        <v>8577.85</v>
      </c>
      <c r="L1227" s="215"/>
    </row>
    <row r="1228" spans="1:15" ht="11.25" customHeight="1" x14ac:dyDescent="0.2">
      <c r="A1228" s="216">
        <v>2023</v>
      </c>
      <c r="B1228" s="216">
        <v>7</v>
      </c>
      <c r="C1228" s="216">
        <v>20</v>
      </c>
      <c r="D1228" s="217">
        <f t="shared" si="94"/>
        <v>45127</v>
      </c>
      <c r="E1228" s="239">
        <f t="shared" si="97"/>
        <v>45127</v>
      </c>
      <c r="F1228" s="521"/>
      <c r="G1228" s="219" t="s">
        <v>1245</v>
      </c>
      <c r="H1228" s="220"/>
      <c r="I1228" s="220" t="s">
        <v>1253</v>
      </c>
      <c r="J1228" s="216" t="s">
        <v>153</v>
      </c>
      <c r="K1228" s="221"/>
      <c r="L1228" s="221">
        <v>8577.85</v>
      </c>
    </row>
    <row r="1229" spans="1:15" ht="11.25" customHeight="1" x14ac:dyDescent="0.2">
      <c r="A1229" s="210">
        <v>2023</v>
      </c>
      <c r="B1229" s="210">
        <v>7</v>
      </c>
      <c r="C1229" s="210">
        <v>20</v>
      </c>
      <c r="D1229" s="211">
        <f t="shared" si="94"/>
        <v>45127</v>
      </c>
      <c r="E1229" s="238">
        <f t="shared" si="97"/>
        <v>45127</v>
      </c>
      <c r="F1229" s="520" t="s">
        <v>1255</v>
      </c>
      <c r="G1229" s="213" t="s">
        <v>1245</v>
      </c>
      <c r="H1229" s="214"/>
      <c r="I1229" s="214" t="s">
        <v>1253</v>
      </c>
      <c r="J1229" s="210" t="s">
        <v>113</v>
      </c>
      <c r="K1229" s="215">
        <v>48057.69</v>
      </c>
      <c r="L1229" s="215"/>
      <c r="M1229" s="251"/>
      <c r="O1229" s="130"/>
    </row>
    <row r="1230" spans="1:15" ht="11.25" customHeight="1" x14ac:dyDescent="0.2">
      <c r="A1230" s="216">
        <v>2023</v>
      </c>
      <c r="B1230" s="216">
        <v>7</v>
      </c>
      <c r="C1230" s="216">
        <v>20</v>
      </c>
      <c r="D1230" s="217">
        <f t="shared" si="94"/>
        <v>45127</v>
      </c>
      <c r="E1230" s="239">
        <f t="shared" si="97"/>
        <v>45127</v>
      </c>
      <c r="F1230" s="521"/>
      <c r="G1230" s="219" t="s">
        <v>1245</v>
      </c>
      <c r="H1230" s="220"/>
      <c r="I1230" s="220" t="s">
        <v>1253</v>
      </c>
      <c r="J1230" s="216" t="s">
        <v>153</v>
      </c>
      <c r="K1230" s="221"/>
      <c r="L1230" s="221">
        <v>48057.69</v>
      </c>
    </row>
    <row r="1231" spans="1:15" ht="11.25" customHeight="1" x14ac:dyDescent="0.2">
      <c r="A1231" s="210">
        <v>2023</v>
      </c>
      <c r="B1231" s="210">
        <v>7</v>
      </c>
      <c r="C1231" s="210">
        <v>20</v>
      </c>
      <c r="D1231" s="211">
        <f t="shared" si="94"/>
        <v>45127</v>
      </c>
      <c r="E1231" s="238">
        <f t="shared" si="97"/>
        <v>45127</v>
      </c>
      <c r="F1231" s="520" t="s">
        <v>1256</v>
      </c>
      <c r="G1231" s="213" t="s">
        <v>1245</v>
      </c>
      <c r="H1231" s="214"/>
      <c r="I1231" s="214" t="s">
        <v>1253</v>
      </c>
      <c r="J1231" s="210" t="s">
        <v>113</v>
      </c>
      <c r="K1231" s="215">
        <v>8906.7000000000007</v>
      </c>
      <c r="L1231" s="215"/>
      <c r="M1231" s="251"/>
      <c r="O1231" s="130"/>
    </row>
    <row r="1232" spans="1:15" ht="11.25" customHeight="1" x14ac:dyDescent="0.2">
      <c r="A1232" s="216">
        <v>2023</v>
      </c>
      <c r="B1232" s="216">
        <v>7</v>
      </c>
      <c r="C1232" s="216">
        <v>20</v>
      </c>
      <c r="D1232" s="217">
        <f t="shared" si="94"/>
        <v>45127</v>
      </c>
      <c r="E1232" s="239">
        <f t="shared" si="97"/>
        <v>45127</v>
      </c>
      <c r="F1232" s="521"/>
      <c r="G1232" s="219" t="s">
        <v>1245</v>
      </c>
      <c r="H1232" s="220"/>
      <c r="I1232" s="220" t="s">
        <v>1253</v>
      </c>
      <c r="J1232" s="216" t="s">
        <v>153</v>
      </c>
      <c r="K1232" s="221"/>
      <c r="L1232" s="221">
        <v>8906.7000000000007</v>
      </c>
    </row>
    <row r="1233" spans="1:12" ht="11.25" customHeight="1" x14ac:dyDescent="0.2">
      <c r="A1233" s="210">
        <v>2023</v>
      </c>
      <c r="B1233" s="210">
        <v>7</v>
      </c>
      <c r="C1233" s="210">
        <v>20</v>
      </c>
      <c r="D1233" s="211">
        <f t="shared" si="94"/>
        <v>45127</v>
      </c>
      <c r="E1233" s="238">
        <f t="shared" si="97"/>
        <v>45127</v>
      </c>
      <c r="F1233" s="520" t="s">
        <v>1257</v>
      </c>
      <c r="G1233" s="213" t="s">
        <v>1245</v>
      </c>
      <c r="H1233" s="214"/>
      <c r="I1233" s="214" t="s">
        <v>1253</v>
      </c>
      <c r="J1233" s="210" t="s">
        <v>113</v>
      </c>
      <c r="K1233" s="215">
        <v>30673.08</v>
      </c>
      <c r="L1233" s="215"/>
    </row>
    <row r="1234" spans="1:12" ht="11.25" customHeight="1" x14ac:dyDescent="0.2">
      <c r="A1234" s="216">
        <v>2023</v>
      </c>
      <c r="B1234" s="216">
        <v>7</v>
      </c>
      <c r="C1234" s="216">
        <v>20</v>
      </c>
      <c r="D1234" s="217">
        <f t="shared" si="94"/>
        <v>45127</v>
      </c>
      <c r="E1234" s="239">
        <f t="shared" si="97"/>
        <v>45127</v>
      </c>
      <c r="F1234" s="521"/>
      <c r="G1234" s="219" t="s">
        <v>1245</v>
      </c>
      <c r="H1234" s="220"/>
      <c r="I1234" s="220" t="s">
        <v>1253</v>
      </c>
      <c r="J1234" s="216" t="s">
        <v>153</v>
      </c>
      <c r="K1234" s="221"/>
      <c r="L1234" s="221">
        <v>30673.08</v>
      </c>
    </row>
    <row r="1235" spans="1:12" ht="11.25" customHeight="1" x14ac:dyDescent="0.2">
      <c r="A1235" s="259">
        <v>2023</v>
      </c>
      <c r="B1235" s="259">
        <v>7</v>
      </c>
      <c r="C1235" s="259">
        <v>20</v>
      </c>
      <c r="D1235" s="260">
        <f t="shared" si="94"/>
        <v>45127</v>
      </c>
      <c r="E1235" s="261">
        <f t="shared" si="97"/>
        <v>45127</v>
      </c>
      <c r="F1235" s="531" t="s">
        <v>1313</v>
      </c>
      <c r="G1235" s="262" t="s">
        <v>1245</v>
      </c>
      <c r="H1235" s="263"/>
      <c r="I1235" s="263" t="s">
        <v>1253</v>
      </c>
      <c r="J1235" s="259" t="s">
        <v>1476</v>
      </c>
      <c r="K1235" s="264">
        <v>7857.7777777777774</v>
      </c>
      <c r="L1235" s="264"/>
    </row>
    <row r="1236" spans="1:12" ht="11.25" customHeight="1" x14ac:dyDescent="0.2">
      <c r="A1236" s="265">
        <v>2023</v>
      </c>
      <c r="B1236" s="265">
        <v>7</v>
      </c>
      <c r="C1236" s="265">
        <v>20</v>
      </c>
      <c r="D1236" s="266">
        <f t="shared" si="94"/>
        <v>45127</v>
      </c>
      <c r="E1236" s="267">
        <f t="shared" si="97"/>
        <v>45127</v>
      </c>
      <c r="F1236" s="532"/>
      <c r="G1236" s="268" t="s">
        <v>1245</v>
      </c>
      <c r="H1236" s="269"/>
      <c r="I1236" s="269" t="s">
        <v>1253</v>
      </c>
      <c r="J1236" s="265" t="s">
        <v>153</v>
      </c>
      <c r="K1236" s="270"/>
      <c r="L1236" s="270">
        <v>7857.7777777777774</v>
      </c>
    </row>
    <row r="1237" spans="1:12" ht="11.25" customHeight="1" x14ac:dyDescent="0.2">
      <c r="A1237" s="259">
        <v>2023</v>
      </c>
      <c r="B1237" s="259">
        <v>7</v>
      </c>
      <c r="C1237" s="259">
        <v>20</v>
      </c>
      <c r="D1237" s="260">
        <f t="shared" si="94"/>
        <v>45127</v>
      </c>
      <c r="E1237" s="261">
        <f t="shared" si="97"/>
        <v>45127</v>
      </c>
      <c r="F1237" s="531" t="s">
        <v>1359</v>
      </c>
      <c r="G1237" s="262" t="s">
        <v>1245</v>
      </c>
      <c r="H1237" s="263"/>
      <c r="I1237" s="263" t="s">
        <v>1253</v>
      </c>
      <c r="J1237" s="259" t="s">
        <v>1476</v>
      </c>
      <c r="K1237" s="264">
        <v>8502.8166666667294</v>
      </c>
      <c r="L1237" s="264"/>
    </row>
    <row r="1238" spans="1:12" ht="11.25" customHeight="1" x14ac:dyDescent="0.2">
      <c r="A1238" s="265">
        <v>2023</v>
      </c>
      <c r="B1238" s="265">
        <v>7</v>
      </c>
      <c r="C1238" s="265">
        <v>20</v>
      </c>
      <c r="D1238" s="266">
        <f t="shared" si="94"/>
        <v>45127</v>
      </c>
      <c r="E1238" s="267">
        <f t="shared" si="97"/>
        <v>45127</v>
      </c>
      <c r="F1238" s="532"/>
      <c r="G1238" s="268" t="s">
        <v>1245</v>
      </c>
      <c r="H1238" s="269"/>
      <c r="I1238" s="269" t="s">
        <v>1253</v>
      </c>
      <c r="J1238" s="265" t="s">
        <v>153</v>
      </c>
      <c r="K1238" s="270"/>
      <c r="L1238" s="270">
        <v>8502.8166666667294</v>
      </c>
    </row>
    <row r="1239" spans="1:12" ht="11.25" customHeight="1" x14ac:dyDescent="0.2">
      <c r="A1239" s="259">
        <v>2023</v>
      </c>
      <c r="B1239" s="259">
        <v>7</v>
      </c>
      <c r="C1239" s="259">
        <v>20</v>
      </c>
      <c r="D1239" s="260">
        <f t="shared" si="94"/>
        <v>45127</v>
      </c>
      <c r="E1239" s="261">
        <f t="shared" si="97"/>
        <v>45127</v>
      </c>
      <c r="F1239" s="531" t="s">
        <v>1383</v>
      </c>
      <c r="G1239" s="262" t="s">
        <v>1245</v>
      </c>
      <c r="H1239" s="263"/>
      <c r="I1239" s="263" t="s">
        <v>1253</v>
      </c>
      <c r="J1239" s="259" t="s">
        <v>1476</v>
      </c>
      <c r="K1239" s="264">
        <v>15585.12222222218</v>
      </c>
      <c r="L1239" s="264"/>
    </row>
    <row r="1240" spans="1:12" ht="11.25" customHeight="1" x14ac:dyDescent="0.2">
      <c r="A1240" s="265">
        <v>2023</v>
      </c>
      <c r="B1240" s="265">
        <v>7</v>
      </c>
      <c r="C1240" s="265">
        <v>20</v>
      </c>
      <c r="D1240" s="266">
        <f t="shared" si="94"/>
        <v>45127</v>
      </c>
      <c r="E1240" s="267">
        <f t="shared" si="97"/>
        <v>45127</v>
      </c>
      <c r="F1240" s="532"/>
      <c r="G1240" s="268" t="s">
        <v>1245</v>
      </c>
      <c r="H1240" s="269"/>
      <c r="I1240" s="269" t="s">
        <v>1253</v>
      </c>
      <c r="J1240" s="265" t="s">
        <v>153</v>
      </c>
      <c r="K1240" s="270"/>
      <c r="L1240" s="270">
        <v>15585.12222222218</v>
      </c>
    </row>
    <row r="1241" spans="1:12" ht="11.25" customHeight="1" x14ac:dyDescent="0.2">
      <c r="A1241" s="259">
        <v>2023</v>
      </c>
      <c r="B1241" s="259">
        <v>7</v>
      </c>
      <c r="C1241" s="259">
        <v>20</v>
      </c>
      <c r="D1241" s="260">
        <f t="shared" si="94"/>
        <v>45127</v>
      </c>
      <c r="E1241" s="261">
        <f>DATE(A1241,B1241,C1241)</f>
        <v>45127</v>
      </c>
      <c r="F1241" s="531" t="s">
        <v>1388</v>
      </c>
      <c r="G1241" s="262" t="s">
        <v>1245</v>
      </c>
      <c r="H1241" s="263"/>
      <c r="I1241" s="263" t="s">
        <v>1253</v>
      </c>
      <c r="J1241" s="259" t="s">
        <v>1476</v>
      </c>
      <c r="K1241" s="264">
        <v>12544.916666666666</v>
      </c>
      <c r="L1241" s="264"/>
    </row>
    <row r="1242" spans="1:12" ht="11.25" customHeight="1" x14ac:dyDescent="0.2">
      <c r="A1242" s="265">
        <v>2023</v>
      </c>
      <c r="B1242" s="265">
        <v>7</v>
      </c>
      <c r="C1242" s="265">
        <v>20</v>
      </c>
      <c r="D1242" s="266">
        <f t="shared" si="94"/>
        <v>45127</v>
      </c>
      <c r="E1242" s="267">
        <f>DATE(A1242,B1242,C1242)</f>
        <v>45127</v>
      </c>
      <c r="F1242" s="532"/>
      <c r="G1242" s="268" t="s">
        <v>1245</v>
      </c>
      <c r="H1242" s="269"/>
      <c r="I1242" s="269" t="s">
        <v>1253</v>
      </c>
      <c r="J1242" s="265" t="s">
        <v>153</v>
      </c>
      <c r="K1242" s="270"/>
      <c r="L1242" s="270">
        <v>12544.916666666666</v>
      </c>
    </row>
    <row r="1243" spans="1:12" ht="11.25" customHeight="1" x14ac:dyDescent="0.2">
      <c r="A1243" s="259">
        <v>2023</v>
      </c>
      <c r="B1243" s="259">
        <v>7</v>
      </c>
      <c r="C1243" s="259">
        <v>20</v>
      </c>
      <c r="D1243" s="260">
        <f t="shared" si="94"/>
        <v>45127</v>
      </c>
      <c r="E1243" s="261">
        <f>DATE(A1243,B1243,C1243)</f>
        <v>45127</v>
      </c>
      <c r="F1243" s="531" t="s">
        <v>1388</v>
      </c>
      <c r="G1243" s="262" t="s">
        <v>1245</v>
      </c>
      <c r="H1243" s="263"/>
      <c r="I1243" s="263" t="s">
        <v>1253</v>
      </c>
      <c r="J1243" s="259" t="s">
        <v>1476</v>
      </c>
      <c r="K1243" s="264">
        <v>10954.355555555576</v>
      </c>
      <c r="L1243" s="264"/>
    </row>
    <row r="1244" spans="1:12" ht="11.25" customHeight="1" x14ac:dyDescent="0.2">
      <c r="A1244" s="265">
        <v>2023</v>
      </c>
      <c r="B1244" s="265">
        <v>7</v>
      </c>
      <c r="C1244" s="265">
        <v>20</v>
      </c>
      <c r="D1244" s="266">
        <f t="shared" si="94"/>
        <v>45127</v>
      </c>
      <c r="E1244" s="267">
        <f>DATE(A1244,B1244,C1244)</f>
        <v>45127</v>
      </c>
      <c r="F1244" s="532"/>
      <c r="G1244" s="268" t="s">
        <v>1245</v>
      </c>
      <c r="H1244" s="269"/>
      <c r="I1244" s="269" t="s">
        <v>1253</v>
      </c>
      <c r="J1244" s="265" t="s">
        <v>153</v>
      </c>
      <c r="K1244" s="270"/>
      <c r="L1244" s="270">
        <v>10954.355555555576</v>
      </c>
    </row>
    <row r="1245" spans="1:12" ht="11.25" customHeight="1" x14ac:dyDescent="0.2">
      <c r="A1245" s="222">
        <v>2023</v>
      </c>
      <c r="B1245" s="222">
        <v>7</v>
      </c>
      <c r="C1245" s="222">
        <v>20</v>
      </c>
      <c r="D1245" s="223">
        <f t="shared" si="94"/>
        <v>45127</v>
      </c>
      <c r="E1245" s="240">
        <f t="shared" si="97"/>
        <v>45127</v>
      </c>
      <c r="F1245" s="511" t="s">
        <v>1244</v>
      </c>
      <c r="G1245" s="225" t="s">
        <v>1245</v>
      </c>
      <c r="H1245" s="226"/>
      <c r="I1245" s="226" t="s">
        <v>1253</v>
      </c>
      <c r="J1245" s="222" t="s">
        <v>87</v>
      </c>
      <c r="K1245" s="227">
        <v>276393.73190476</v>
      </c>
      <c r="L1245" s="227"/>
    </row>
    <row r="1246" spans="1:12" ht="11.25" customHeight="1" x14ac:dyDescent="0.2">
      <c r="A1246" s="228">
        <v>2023</v>
      </c>
      <c r="B1246" s="228">
        <v>7</v>
      </c>
      <c r="C1246" s="228">
        <v>20</v>
      </c>
      <c r="D1246" s="229">
        <f t="shared" si="94"/>
        <v>45127</v>
      </c>
      <c r="E1246" s="241">
        <f t="shared" si="97"/>
        <v>45127</v>
      </c>
      <c r="F1246" s="512"/>
      <c r="G1246" s="231" t="s">
        <v>1245</v>
      </c>
      <c r="H1246" s="232"/>
      <c r="I1246" s="232" t="s">
        <v>1253</v>
      </c>
      <c r="J1246" s="228" t="s">
        <v>72</v>
      </c>
      <c r="K1246" s="233"/>
      <c r="L1246" s="233">
        <v>276393.73190476</v>
      </c>
    </row>
    <row r="1247" spans="1:12" ht="11.25" customHeight="1" x14ac:dyDescent="0.2">
      <c r="A1247" s="222">
        <v>2023</v>
      </c>
      <c r="B1247" s="222">
        <v>7</v>
      </c>
      <c r="C1247" s="222">
        <v>20</v>
      </c>
      <c r="D1247" s="223">
        <f t="shared" ref="D1247:D1310" si="98">DATE(A1247,B1247,C1247)</f>
        <v>45127</v>
      </c>
      <c r="E1247" s="240">
        <f t="shared" si="97"/>
        <v>45127</v>
      </c>
      <c r="F1247" s="511" t="s">
        <v>1246</v>
      </c>
      <c r="G1247" s="225" t="s">
        <v>1245</v>
      </c>
      <c r="H1247" s="226"/>
      <c r="I1247" s="226" t="s">
        <v>1253</v>
      </c>
      <c r="J1247" s="222" t="s">
        <v>75</v>
      </c>
      <c r="K1247" s="227">
        <v>3846.1538461538462</v>
      </c>
      <c r="L1247" s="227"/>
    </row>
    <row r="1248" spans="1:12" ht="11.25" customHeight="1" x14ac:dyDescent="0.2">
      <c r="A1248" s="228">
        <v>2023</v>
      </c>
      <c r="B1248" s="228">
        <v>7</v>
      </c>
      <c r="C1248" s="228">
        <v>20</v>
      </c>
      <c r="D1248" s="229">
        <f t="shared" si="98"/>
        <v>45127</v>
      </c>
      <c r="E1248" s="241">
        <f t="shared" si="97"/>
        <v>45127</v>
      </c>
      <c r="F1248" s="512"/>
      <c r="G1248" s="231" t="s">
        <v>1245</v>
      </c>
      <c r="H1248" s="232"/>
      <c r="I1248" s="232" t="s">
        <v>1253</v>
      </c>
      <c r="J1248" s="228" t="s">
        <v>55</v>
      </c>
      <c r="K1248" s="233"/>
      <c r="L1248" s="233">
        <v>3846.1538461538462</v>
      </c>
    </row>
    <row r="1249" spans="1:14" ht="11.25" customHeight="1" x14ac:dyDescent="0.2">
      <c r="A1249" s="222">
        <v>2023</v>
      </c>
      <c r="B1249" s="222">
        <v>7</v>
      </c>
      <c r="C1249" s="222">
        <v>20</v>
      </c>
      <c r="D1249" s="223">
        <f t="shared" si="98"/>
        <v>45127</v>
      </c>
      <c r="E1249" s="240">
        <f t="shared" si="97"/>
        <v>45127</v>
      </c>
      <c r="F1249" s="511" t="s">
        <v>1247</v>
      </c>
      <c r="G1249" s="225" t="s">
        <v>1245</v>
      </c>
      <c r="H1249" s="226"/>
      <c r="I1249" s="226" t="s">
        <v>1253</v>
      </c>
      <c r="J1249" s="222" t="s">
        <v>77</v>
      </c>
      <c r="K1249" s="227">
        <v>25026.427432235374</v>
      </c>
      <c r="L1249" s="227"/>
    </row>
    <row r="1250" spans="1:14" ht="11.25" customHeight="1" x14ac:dyDescent="0.2">
      <c r="A1250" s="228">
        <v>2023</v>
      </c>
      <c r="B1250" s="228">
        <v>7</v>
      </c>
      <c r="C1250" s="228">
        <v>20</v>
      </c>
      <c r="D1250" s="229">
        <f t="shared" si="98"/>
        <v>45127</v>
      </c>
      <c r="E1250" s="241">
        <f t="shared" si="97"/>
        <v>45127</v>
      </c>
      <c r="F1250" s="512"/>
      <c r="G1250" s="231" t="s">
        <v>1245</v>
      </c>
      <c r="H1250" s="232"/>
      <c r="I1250" s="232" t="s">
        <v>1253</v>
      </c>
      <c r="J1250" s="228" t="s">
        <v>41</v>
      </c>
      <c r="K1250" s="233"/>
      <c r="L1250" s="233">
        <v>25026.427432235374</v>
      </c>
    </row>
    <row r="1251" spans="1:14" ht="11.25" customHeight="1" x14ac:dyDescent="0.2">
      <c r="A1251" s="222">
        <v>2023</v>
      </c>
      <c r="B1251" s="222">
        <v>7</v>
      </c>
      <c r="C1251" s="222">
        <v>20</v>
      </c>
      <c r="D1251" s="223">
        <f t="shared" si="98"/>
        <v>45127</v>
      </c>
      <c r="E1251" s="240">
        <f t="shared" si="97"/>
        <v>45127</v>
      </c>
      <c r="F1251" s="511" t="s">
        <v>1248</v>
      </c>
      <c r="G1251" s="225" t="s">
        <v>1245</v>
      </c>
      <c r="H1251" s="226"/>
      <c r="I1251" s="226" t="s">
        <v>1253</v>
      </c>
      <c r="J1251" s="222" t="s">
        <v>80</v>
      </c>
      <c r="K1251" s="227">
        <v>1251.3213716117687</v>
      </c>
      <c r="L1251" s="227"/>
    </row>
    <row r="1252" spans="1:14" ht="11.25" customHeight="1" x14ac:dyDescent="0.2">
      <c r="A1252" s="228">
        <v>2023</v>
      </c>
      <c r="B1252" s="228">
        <v>7</v>
      </c>
      <c r="C1252" s="228">
        <v>20</v>
      </c>
      <c r="D1252" s="229">
        <f t="shared" si="98"/>
        <v>45127</v>
      </c>
      <c r="E1252" s="241">
        <f t="shared" si="97"/>
        <v>45127</v>
      </c>
      <c r="F1252" s="512"/>
      <c r="G1252" s="231" t="s">
        <v>1245</v>
      </c>
      <c r="H1252" s="232"/>
      <c r="I1252" s="232" t="s">
        <v>1253</v>
      </c>
      <c r="J1252" s="228" t="s">
        <v>42</v>
      </c>
      <c r="K1252" s="233"/>
      <c r="L1252" s="233">
        <v>1251.3213716117687</v>
      </c>
    </row>
    <row r="1253" spans="1:14" ht="11.25" customHeight="1" x14ac:dyDescent="0.2">
      <c r="A1253" s="197">
        <v>2023</v>
      </c>
      <c r="B1253" s="197">
        <v>7</v>
      </c>
      <c r="C1253" s="197">
        <v>23</v>
      </c>
      <c r="D1253" s="198">
        <f t="shared" si="98"/>
        <v>45130</v>
      </c>
      <c r="E1253" s="199">
        <f t="shared" si="97"/>
        <v>45130</v>
      </c>
      <c r="F1253" s="513" t="s">
        <v>1395</v>
      </c>
      <c r="G1253" s="200" t="s">
        <v>1209</v>
      </c>
      <c r="H1253" s="201"/>
      <c r="I1253" s="201" t="s">
        <v>1253</v>
      </c>
      <c r="J1253" s="197" t="s">
        <v>1475</v>
      </c>
      <c r="K1253" s="202">
        <v>5359980</v>
      </c>
      <c r="L1253" s="202"/>
    </row>
    <row r="1254" spans="1:14" ht="11.25" customHeight="1" x14ac:dyDescent="0.2">
      <c r="A1254" s="120">
        <v>2023</v>
      </c>
      <c r="B1254" s="120">
        <v>7</v>
      </c>
      <c r="C1254" s="120">
        <v>23</v>
      </c>
      <c r="D1254" s="208">
        <f t="shared" si="98"/>
        <v>45130</v>
      </c>
      <c r="E1254" s="209">
        <f>DATE(A1254,B1254,C1254)</f>
        <v>45130</v>
      </c>
      <c r="F1254" s="515"/>
      <c r="G1254" s="132" t="s">
        <v>1209</v>
      </c>
      <c r="J1254" s="120" t="s">
        <v>1476</v>
      </c>
      <c r="K1254" s="207"/>
      <c r="L1254" s="207">
        <v>70720</v>
      </c>
    </row>
    <row r="1255" spans="1:14" ht="11.25" customHeight="1" x14ac:dyDescent="0.2">
      <c r="A1255" s="191">
        <v>2023</v>
      </c>
      <c r="B1255" s="191">
        <v>7</v>
      </c>
      <c r="C1255" s="191">
        <v>23</v>
      </c>
      <c r="D1255" s="192">
        <f t="shared" si="98"/>
        <v>45130</v>
      </c>
      <c r="E1255" s="193">
        <f t="shared" si="97"/>
        <v>45130</v>
      </c>
      <c r="F1255" s="514"/>
      <c r="G1255" s="194" t="s">
        <v>1209</v>
      </c>
      <c r="H1255" s="195"/>
      <c r="I1255" s="195" t="s">
        <v>1253</v>
      </c>
      <c r="J1255" s="191" t="s">
        <v>1475</v>
      </c>
      <c r="K1255" s="196"/>
      <c r="L1255" s="196">
        <v>5289260</v>
      </c>
      <c r="N1255" s="130"/>
    </row>
    <row r="1256" spans="1:14" ht="11.25" customHeight="1" x14ac:dyDescent="0.2">
      <c r="A1256" s="197">
        <v>2023</v>
      </c>
      <c r="B1256" s="120">
        <v>7</v>
      </c>
      <c r="C1256" s="120">
        <v>23</v>
      </c>
      <c r="D1256" s="198">
        <f t="shared" si="98"/>
        <v>45130</v>
      </c>
      <c r="E1256" s="199">
        <f>DATE(A1256,B1256,C1256)</f>
        <v>45130</v>
      </c>
      <c r="F1256" s="513" t="s">
        <v>1390</v>
      </c>
      <c r="G1256" s="200" t="s">
        <v>1209</v>
      </c>
      <c r="H1256" s="200"/>
      <c r="I1256" s="201" t="s">
        <v>1253</v>
      </c>
      <c r="J1256" s="197" t="s">
        <v>178</v>
      </c>
      <c r="K1256" s="202">
        <v>199017.52</v>
      </c>
      <c r="L1256" s="202"/>
    </row>
    <row r="1257" spans="1:14" ht="11.25" customHeight="1" x14ac:dyDescent="0.2">
      <c r="A1257" s="120">
        <v>2023</v>
      </c>
      <c r="B1257" s="120">
        <v>7</v>
      </c>
      <c r="C1257" s="120">
        <v>23</v>
      </c>
      <c r="D1257" s="198">
        <f t="shared" si="98"/>
        <v>45130</v>
      </c>
      <c r="E1257" s="209">
        <f>DATE(A1257,B1257,C1257)</f>
        <v>45130</v>
      </c>
      <c r="F1257" s="515"/>
      <c r="G1257" s="132" t="s">
        <v>1209</v>
      </c>
      <c r="H1257" s="132"/>
      <c r="J1257" s="120" t="s">
        <v>71</v>
      </c>
      <c r="K1257" s="207">
        <v>358.88</v>
      </c>
      <c r="L1257" s="207"/>
    </row>
    <row r="1258" spans="1:14" ht="11.25" customHeight="1" x14ac:dyDescent="0.2">
      <c r="A1258" s="120">
        <v>2023</v>
      </c>
      <c r="B1258" s="120">
        <v>7</v>
      </c>
      <c r="C1258" s="120">
        <v>23</v>
      </c>
      <c r="D1258" s="198">
        <f t="shared" si="98"/>
        <v>45130</v>
      </c>
      <c r="E1258" s="209">
        <f>DATE(A1258,B1258,C1258)</f>
        <v>45130</v>
      </c>
      <c r="F1258" s="515"/>
      <c r="G1258" s="132" t="s">
        <v>1209</v>
      </c>
      <c r="H1258" s="132"/>
      <c r="I1258" s="128" t="s">
        <v>1253</v>
      </c>
      <c r="J1258" s="120" t="s">
        <v>179</v>
      </c>
      <c r="K1258" s="207"/>
      <c r="L1258" s="207">
        <v>154066.4</v>
      </c>
    </row>
    <row r="1259" spans="1:14" ht="11.25" customHeight="1" x14ac:dyDescent="0.2">
      <c r="A1259" s="191">
        <v>2023</v>
      </c>
      <c r="B1259" s="191">
        <v>7</v>
      </c>
      <c r="C1259" s="191">
        <v>23</v>
      </c>
      <c r="D1259" s="249">
        <f t="shared" si="98"/>
        <v>45130</v>
      </c>
      <c r="E1259" s="193">
        <f>DATE(A1259,B1259,C1259)</f>
        <v>45130</v>
      </c>
      <c r="F1259" s="514"/>
      <c r="G1259" s="194" t="s">
        <v>1209</v>
      </c>
      <c r="H1259" s="194"/>
      <c r="I1259" s="195"/>
      <c r="J1259" s="191" t="s">
        <v>70</v>
      </c>
      <c r="K1259" s="196"/>
      <c r="L1259" s="196">
        <v>45310</v>
      </c>
      <c r="M1259" s="251"/>
    </row>
    <row r="1260" spans="1:14" ht="11.25" customHeight="1" x14ac:dyDescent="0.2">
      <c r="A1260" s="197">
        <v>2023</v>
      </c>
      <c r="B1260" s="197">
        <v>7</v>
      </c>
      <c r="C1260" s="197">
        <v>24</v>
      </c>
      <c r="D1260" s="198">
        <f t="shared" si="98"/>
        <v>45131</v>
      </c>
      <c r="E1260" s="209">
        <f t="shared" ref="E1260:E1266" si="99">DATE(A1260,B1260,C1260)</f>
        <v>45131</v>
      </c>
      <c r="F1260" s="513" t="s">
        <v>1280</v>
      </c>
      <c r="G1260" s="200" t="s">
        <v>1209</v>
      </c>
      <c r="H1260" s="201"/>
      <c r="I1260" s="201" t="s">
        <v>1242</v>
      </c>
      <c r="J1260" s="197" t="s">
        <v>16</v>
      </c>
      <c r="K1260" s="202">
        <v>96570</v>
      </c>
      <c r="L1260" s="202"/>
      <c r="M1260" s="251"/>
    </row>
    <row r="1261" spans="1:14" ht="11.25" customHeight="1" x14ac:dyDescent="0.2">
      <c r="A1261" s="120">
        <v>2023</v>
      </c>
      <c r="B1261" s="120">
        <v>7</v>
      </c>
      <c r="C1261" s="120">
        <v>24</v>
      </c>
      <c r="D1261" s="208">
        <f t="shared" si="98"/>
        <v>45131</v>
      </c>
      <c r="E1261" s="209">
        <f t="shared" si="99"/>
        <v>45131</v>
      </c>
      <c r="F1261" s="515"/>
      <c r="G1261" s="132" t="s">
        <v>1209</v>
      </c>
      <c r="I1261" s="128" t="s">
        <v>1242</v>
      </c>
      <c r="J1261" s="120" t="s">
        <v>47</v>
      </c>
      <c r="K1261" s="207">
        <v>3430</v>
      </c>
      <c r="L1261" s="207"/>
    </row>
    <row r="1262" spans="1:14" ht="11.25" customHeight="1" x14ac:dyDescent="0.2">
      <c r="A1262" s="191">
        <v>2023</v>
      </c>
      <c r="B1262" s="191">
        <v>7</v>
      </c>
      <c r="C1262" s="191">
        <v>24</v>
      </c>
      <c r="D1262" s="192">
        <f t="shared" si="98"/>
        <v>45131</v>
      </c>
      <c r="E1262" s="193">
        <f t="shared" si="99"/>
        <v>45131</v>
      </c>
      <c r="F1262" s="514"/>
      <c r="G1262" s="194" t="s">
        <v>1209</v>
      </c>
      <c r="H1262" s="195"/>
      <c r="I1262" s="195" t="s">
        <v>1242</v>
      </c>
      <c r="J1262" s="191" t="s">
        <v>46</v>
      </c>
      <c r="K1262" s="196"/>
      <c r="L1262" s="196">
        <v>100000</v>
      </c>
    </row>
    <row r="1263" spans="1:14" ht="11.25" customHeight="1" x14ac:dyDescent="0.2">
      <c r="A1263" s="197">
        <v>2023</v>
      </c>
      <c r="B1263" s="197">
        <v>7</v>
      </c>
      <c r="C1263" s="197">
        <v>24</v>
      </c>
      <c r="D1263" s="198">
        <f t="shared" si="98"/>
        <v>45131</v>
      </c>
      <c r="E1263" s="199">
        <f t="shared" si="99"/>
        <v>45131</v>
      </c>
      <c r="F1263" s="513" t="s">
        <v>1323</v>
      </c>
      <c r="G1263" s="200" t="s">
        <v>1209</v>
      </c>
      <c r="H1263" s="201"/>
      <c r="I1263" s="201"/>
      <c r="J1263" s="197" t="s">
        <v>54</v>
      </c>
      <c r="K1263" s="202">
        <v>58</v>
      </c>
      <c r="L1263" s="202"/>
    </row>
    <row r="1264" spans="1:14" ht="11.25" customHeight="1" x14ac:dyDescent="0.2">
      <c r="A1264" s="191">
        <v>2023</v>
      </c>
      <c r="B1264" s="191">
        <v>7</v>
      </c>
      <c r="C1264" s="191">
        <v>24</v>
      </c>
      <c r="D1264" s="192">
        <f t="shared" si="98"/>
        <v>45131</v>
      </c>
      <c r="E1264" s="193">
        <f t="shared" si="99"/>
        <v>45131</v>
      </c>
      <c r="F1264" s="514"/>
      <c r="G1264" s="194" t="s">
        <v>1209</v>
      </c>
      <c r="H1264" s="195"/>
      <c r="I1264" s="195"/>
      <c r="J1264" s="191" t="s">
        <v>46</v>
      </c>
      <c r="K1264" s="196"/>
      <c r="L1264" s="196">
        <v>58</v>
      </c>
    </row>
    <row r="1265" spans="1:13" ht="11.25" customHeight="1" x14ac:dyDescent="0.2">
      <c r="A1265" s="197">
        <v>2023</v>
      </c>
      <c r="B1265" s="197">
        <v>7</v>
      </c>
      <c r="C1265" s="197">
        <v>24</v>
      </c>
      <c r="D1265" s="198">
        <f t="shared" si="98"/>
        <v>45131</v>
      </c>
      <c r="E1265" s="199">
        <f t="shared" si="99"/>
        <v>45131</v>
      </c>
      <c r="F1265" s="513" t="s">
        <v>1389</v>
      </c>
      <c r="G1265" s="200" t="s">
        <v>1209</v>
      </c>
      <c r="H1265" s="200"/>
      <c r="I1265" s="201" t="s">
        <v>1253</v>
      </c>
      <c r="J1265" s="248" t="s">
        <v>84</v>
      </c>
      <c r="K1265" s="202">
        <v>61</v>
      </c>
      <c r="L1265" s="202"/>
      <c r="M1265" s="251"/>
    </row>
    <row r="1266" spans="1:13" ht="11.25" customHeight="1" x14ac:dyDescent="0.2">
      <c r="A1266" s="191">
        <v>2023</v>
      </c>
      <c r="B1266" s="191">
        <v>7</v>
      </c>
      <c r="C1266" s="191">
        <v>24</v>
      </c>
      <c r="D1266" s="198">
        <f t="shared" si="98"/>
        <v>45131</v>
      </c>
      <c r="E1266" s="193">
        <f t="shared" si="99"/>
        <v>45131</v>
      </c>
      <c r="F1266" s="514"/>
      <c r="G1266" s="194" t="s">
        <v>1209</v>
      </c>
      <c r="H1266" s="194"/>
      <c r="I1266" s="195" t="s">
        <v>1253</v>
      </c>
      <c r="J1266" s="250" t="s">
        <v>46</v>
      </c>
      <c r="K1266" s="196"/>
      <c r="L1266" s="196">
        <v>61</v>
      </c>
      <c r="M1266" s="251"/>
    </row>
    <row r="1267" spans="1:13" ht="11.25" customHeight="1" x14ac:dyDescent="0.2">
      <c r="A1267" s="197">
        <v>2023</v>
      </c>
      <c r="B1267" s="197">
        <v>7</v>
      </c>
      <c r="C1267" s="197">
        <v>24</v>
      </c>
      <c r="D1267" s="198">
        <f t="shared" si="98"/>
        <v>45131</v>
      </c>
      <c r="E1267" s="209">
        <f>DATE(A1267,B1267,C1267)</f>
        <v>45131</v>
      </c>
      <c r="F1267" s="513" t="s">
        <v>1210</v>
      </c>
      <c r="G1267" s="200" t="s">
        <v>1209</v>
      </c>
      <c r="H1267" s="201"/>
      <c r="I1267" s="201" t="s">
        <v>399</v>
      </c>
      <c r="J1267" s="197" t="s">
        <v>46</v>
      </c>
      <c r="K1267" s="202">
        <v>250000</v>
      </c>
      <c r="L1267" s="202"/>
      <c r="M1267" s="251"/>
    </row>
    <row r="1268" spans="1:13" ht="11.25" customHeight="1" x14ac:dyDescent="0.2">
      <c r="A1268" s="120">
        <v>2023</v>
      </c>
      <c r="B1268" s="120">
        <v>7</v>
      </c>
      <c r="C1268" s="120">
        <v>24</v>
      </c>
      <c r="D1268" s="208">
        <f t="shared" si="98"/>
        <v>45131</v>
      </c>
      <c r="E1268" s="209">
        <f>DATE(A1268,B1268,C1268)</f>
        <v>45131</v>
      </c>
      <c r="F1268" s="515"/>
      <c r="G1268" s="132" t="s">
        <v>1209</v>
      </c>
      <c r="I1268" s="128" t="s">
        <v>399</v>
      </c>
      <c r="J1268" s="120" t="s">
        <v>16</v>
      </c>
      <c r="K1268" s="207"/>
      <c r="L1268" s="207">
        <v>241430</v>
      </c>
    </row>
    <row r="1269" spans="1:13" ht="11.25" customHeight="1" x14ac:dyDescent="0.2">
      <c r="A1269" s="191">
        <v>2023</v>
      </c>
      <c r="B1269" s="191">
        <v>7</v>
      </c>
      <c r="C1269" s="191">
        <v>24</v>
      </c>
      <c r="D1269" s="192">
        <f t="shared" si="98"/>
        <v>45131</v>
      </c>
      <c r="E1269" s="193">
        <f>DATE(A1269,B1269,C1269)</f>
        <v>45131</v>
      </c>
      <c r="F1269" s="514"/>
      <c r="G1269" s="194" t="s">
        <v>1209</v>
      </c>
      <c r="H1269" s="195"/>
      <c r="I1269" s="195" t="s">
        <v>399</v>
      </c>
      <c r="J1269" s="191" t="s">
        <v>47</v>
      </c>
      <c r="K1269" s="196"/>
      <c r="L1269" s="196">
        <v>8570</v>
      </c>
    </row>
    <row r="1270" spans="1:13" ht="11.25" customHeight="1" x14ac:dyDescent="0.2">
      <c r="A1270" s="197">
        <v>2023</v>
      </c>
      <c r="B1270" s="197">
        <v>7</v>
      </c>
      <c r="C1270" s="197">
        <v>25</v>
      </c>
      <c r="D1270" s="198">
        <f t="shared" si="98"/>
        <v>45132</v>
      </c>
      <c r="E1270" s="209">
        <f t="shared" ref="E1270:E1277" si="100">DATE(A1270,B1270,C1270)</f>
        <v>45132</v>
      </c>
      <c r="F1270" s="513" t="s">
        <v>1280</v>
      </c>
      <c r="G1270" s="200" t="s">
        <v>1209</v>
      </c>
      <c r="H1270" s="201"/>
      <c r="I1270" s="201" t="s">
        <v>636</v>
      </c>
      <c r="J1270" s="197" t="s">
        <v>16</v>
      </c>
      <c r="K1270" s="202">
        <v>113720</v>
      </c>
      <c r="L1270" s="202"/>
      <c r="M1270" s="251"/>
    </row>
    <row r="1271" spans="1:13" ht="11.25" customHeight="1" x14ac:dyDescent="0.2">
      <c r="A1271" s="120">
        <v>2023</v>
      </c>
      <c r="B1271" s="120">
        <v>7</v>
      </c>
      <c r="C1271" s="120">
        <v>25</v>
      </c>
      <c r="D1271" s="208">
        <f t="shared" si="98"/>
        <v>45132</v>
      </c>
      <c r="E1271" s="209">
        <f t="shared" si="100"/>
        <v>45132</v>
      </c>
      <c r="F1271" s="515"/>
      <c r="G1271" s="132" t="s">
        <v>1209</v>
      </c>
      <c r="I1271" s="128" t="s">
        <v>636</v>
      </c>
      <c r="J1271" s="120" t="s">
        <v>47</v>
      </c>
      <c r="K1271" s="207">
        <v>4037.0599999999977</v>
      </c>
      <c r="L1271" s="207"/>
    </row>
    <row r="1272" spans="1:13" ht="11.25" customHeight="1" x14ac:dyDescent="0.2">
      <c r="A1272" s="191">
        <v>2023</v>
      </c>
      <c r="B1272" s="191">
        <v>7</v>
      </c>
      <c r="C1272" s="191">
        <v>25</v>
      </c>
      <c r="D1272" s="192">
        <f t="shared" si="98"/>
        <v>45132</v>
      </c>
      <c r="E1272" s="193">
        <f t="shared" si="100"/>
        <v>45132</v>
      </c>
      <c r="F1272" s="514"/>
      <c r="G1272" s="194" t="s">
        <v>1209</v>
      </c>
      <c r="H1272" s="195"/>
      <c r="I1272" s="195" t="s">
        <v>636</v>
      </c>
      <c r="J1272" s="191" t="s">
        <v>46</v>
      </c>
      <c r="K1272" s="196"/>
      <c r="L1272" s="196">
        <v>117757.06</v>
      </c>
    </row>
    <row r="1273" spans="1:13" ht="11.25" customHeight="1" x14ac:dyDescent="0.2">
      <c r="A1273" s="197">
        <v>2023</v>
      </c>
      <c r="B1273" s="197">
        <v>7</v>
      </c>
      <c r="C1273" s="197">
        <v>25</v>
      </c>
      <c r="D1273" s="198">
        <f t="shared" si="98"/>
        <v>45132</v>
      </c>
      <c r="E1273" s="209">
        <f t="shared" si="100"/>
        <v>45132</v>
      </c>
      <c r="F1273" s="513" t="s">
        <v>1280</v>
      </c>
      <c r="G1273" s="200" t="s">
        <v>1209</v>
      </c>
      <c r="H1273" s="201"/>
      <c r="I1273" s="201" t="s">
        <v>386</v>
      </c>
      <c r="J1273" s="197" t="s">
        <v>16</v>
      </c>
      <c r="K1273" s="202">
        <v>509740</v>
      </c>
      <c r="L1273" s="202"/>
      <c r="M1273" s="251"/>
    </row>
    <row r="1274" spans="1:13" ht="11.25" customHeight="1" x14ac:dyDescent="0.2">
      <c r="A1274" s="120">
        <v>2023</v>
      </c>
      <c r="B1274" s="120">
        <v>7</v>
      </c>
      <c r="C1274" s="120">
        <v>25</v>
      </c>
      <c r="D1274" s="208">
        <f t="shared" si="98"/>
        <v>45132</v>
      </c>
      <c r="E1274" s="209">
        <f t="shared" si="100"/>
        <v>45132</v>
      </c>
      <c r="F1274" s="515"/>
      <c r="G1274" s="132" t="s">
        <v>1209</v>
      </c>
      <c r="I1274" s="128" t="s">
        <v>386</v>
      </c>
      <c r="J1274" s="120" t="s">
        <v>47</v>
      </c>
      <c r="K1274" s="207">
        <v>17980.77</v>
      </c>
      <c r="L1274" s="207"/>
    </row>
    <row r="1275" spans="1:13" ht="11.25" customHeight="1" x14ac:dyDescent="0.2">
      <c r="A1275" s="191">
        <v>2023</v>
      </c>
      <c r="B1275" s="191">
        <v>7</v>
      </c>
      <c r="C1275" s="191">
        <v>25</v>
      </c>
      <c r="D1275" s="192">
        <f t="shared" si="98"/>
        <v>45132</v>
      </c>
      <c r="E1275" s="193">
        <f t="shared" si="100"/>
        <v>45132</v>
      </c>
      <c r="F1275" s="514"/>
      <c r="G1275" s="194" t="s">
        <v>1209</v>
      </c>
      <c r="H1275" s="195"/>
      <c r="I1275" s="195" t="s">
        <v>386</v>
      </c>
      <c r="J1275" s="191" t="s">
        <v>46</v>
      </c>
      <c r="K1275" s="196"/>
      <c r="L1275" s="196">
        <v>527720.77</v>
      </c>
    </row>
    <row r="1276" spans="1:13" ht="11.25" customHeight="1" x14ac:dyDescent="0.2">
      <c r="A1276" s="197">
        <v>2023</v>
      </c>
      <c r="B1276" s="197">
        <v>7</v>
      </c>
      <c r="C1276" s="197">
        <v>25</v>
      </c>
      <c r="D1276" s="198">
        <f t="shared" si="98"/>
        <v>45132</v>
      </c>
      <c r="E1276" s="199">
        <f t="shared" si="100"/>
        <v>45132</v>
      </c>
      <c r="F1276" s="513" t="s">
        <v>1323</v>
      </c>
      <c r="G1276" s="200" t="s">
        <v>1209</v>
      </c>
      <c r="H1276" s="201"/>
      <c r="I1276" s="201"/>
      <c r="J1276" s="197" t="s">
        <v>54</v>
      </c>
      <c r="K1276" s="202">
        <v>100</v>
      </c>
      <c r="L1276" s="202"/>
    </row>
    <row r="1277" spans="1:13" ht="11.25" customHeight="1" x14ac:dyDescent="0.2">
      <c r="A1277" s="191">
        <v>2023</v>
      </c>
      <c r="B1277" s="191">
        <v>7</v>
      </c>
      <c r="C1277" s="191">
        <v>25</v>
      </c>
      <c r="D1277" s="192">
        <f t="shared" si="98"/>
        <v>45132</v>
      </c>
      <c r="E1277" s="193">
        <f t="shared" si="100"/>
        <v>45132</v>
      </c>
      <c r="F1277" s="514"/>
      <c r="G1277" s="194" t="s">
        <v>1209</v>
      </c>
      <c r="H1277" s="195"/>
      <c r="I1277" s="195"/>
      <c r="J1277" s="191" t="s">
        <v>46</v>
      </c>
      <c r="K1277" s="196"/>
      <c r="L1277" s="196">
        <v>100</v>
      </c>
    </row>
    <row r="1278" spans="1:13" ht="11.25" customHeight="1" x14ac:dyDescent="0.2">
      <c r="A1278" s="197">
        <v>2023</v>
      </c>
      <c r="B1278" s="197">
        <v>7</v>
      </c>
      <c r="C1278" s="197">
        <v>25</v>
      </c>
      <c r="D1278" s="198">
        <f t="shared" si="98"/>
        <v>45132</v>
      </c>
      <c r="E1278" s="209">
        <f t="shared" ref="E1278:E1285" si="101">DATE(A1278,B1278,C1278)</f>
        <v>45132</v>
      </c>
      <c r="F1278" s="513" t="s">
        <v>1280</v>
      </c>
      <c r="G1278" s="200" t="s">
        <v>1209</v>
      </c>
      <c r="H1278" s="201"/>
      <c r="I1278" s="201" t="s">
        <v>666</v>
      </c>
      <c r="J1278" s="197" t="s">
        <v>16</v>
      </c>
      <c r="K1278" s="202">
        <v>244280</v>
      </c>
      <c r="L1278" s="202"/>
      <c r="M1278" s="251"/>
    </row>
    <row r="1279" spans="1:13" ht="11.25" customHeight="1" x14ac:dyDescent="0.2">
      <c r="A1279" s="120">
        <v>2023</v>
      </c>
      <c r="B1279" s="120">
        <v>7</v>
      </c>
      <c r="C1279" s="120">
        <v>25</v>
      </c>
      <c r="D1279" s="208">
        <f t="shared" si="98"/>
        <v>45132</v>
      </c>
      <c r="E1279" s="209">
        <f t="shared" si="101"/>
        <v>45132</v>
      </c>
      <c r="F1279" s="515"/>
      <c r="G1279" s="132" t="s">
        <v>1209</v>
      </c>
      <c r="I1279" s="128" t="s">
        <v>666</v>
      </c>
      <c r="J1279" s="120" t="s">
        <v>47</v>
      </c>
      <c r="K1279" s="207">
        <v>8556.94</v>
      </c>
      <c r="L1279" s="207"/>
    </row>
    <row r="1280" spans="1:13" ht="11.25" customHeight="1" x14ac:dyDescent="0.2">
      <c r="A1280" s="191">
        <v>2023</v>
      </c>
      <c r="B1280" s="191">
        <v>7</v>
      </c>
      <c r="C1280" s="191">
        <v>25</v>
      </c>
      <c r="D1280" s="192">
        <f t="shared" si="98"/>
        <v>45132</v>
      </c>
      <c r="E1280" s="193">
        <f t="shared" si="101"/>
        <v>45132</v>
      </c>
      <c r="F1280" s="514"/>
      <c r="G1280" s="194" t="s">
        <v>1209</v>
      </c>
      <c r="H1280" s="195"/>
      <c r="I1280" s="195" t="s">
        <v>666</v>
      </c>
      <c r="J1280" s="191" t="s">
        <v>46</v>
      </c>
      <c r="K1280" s="196"/>
      <c r="L1280" s="196">
        <v>252836.94</v>
      </c>
    </row>
    <row r="1281" spans="1:13" ht="11.25" customHeight="1" x14ac:dyDescent="0.2">
      <c r="A1281" s="197">
        <v>2023</v>
      </c>
      <c r="B1281" s="197">
        <v>7</v>
      </c>
      <c r="C1281" s="197">
        <v>25</v>
      </c>
      <c r="D1281" s="198">
        <f t="shared" si="98"/>
        <v>45132</v>
      </c>
      <c r="E1281" s="199">
        <f t="shared" si="101"/>
        <v>45132</v>
      </c>
      <c r="F1281" s="513" t="s">
        <v>1323</v>
      </c>
      <c r="G1281" s="200" t="s">
        <v>1209</v>
      </c>
      <c r="H1281" s="201"/>
      <c r="I1281" s="201"/>
      <c r="J1281" s="197" t="s">
        <v>54</v>
      </c>
      <c r="K1281" s="202">
        <v>58</v>
      </c>
      <c r="L1281" s="202"/>
    </row>
    <row r="1282" spans="1:13" ht="11.25" customHeight="1" x14ac:dyDescent="0.2">
      <c r="A1282" s="191">
        <v>2023</v>
      </c>
      <c r="B1282" s="191">
        <v>7</v>
      </c>
      <c r="C1282" s="191">
        <v>25</v>
      </c>
      <c r="D1282" s="192">
        <f t="shared" si="98"/>
        <v>45132</v>
      </c>
      <c r="E1282" s="193">
        <f t="shared" si="101"/>
        <v>45132</v>
      </c>
      <c r="F1282" s="514"/>
      <c r="G1282" s="194" t="s">
        <v>1209</v>
      </c>
      <c r="H1282" s="195"/>
      <c r="I1282" s="195"/>
      <c r="J1282" s="191" t="s">
        <v>46</v>
      </c>
      <c r="K1282" s="196"/>
      <c r="L1282" s="196">
        <v>58</v>
      </c>
    </row>
    <row r="1283" spans="1:13" ht="11.25" customHeight="1" x14ac:dyDescent="0.2">
      <c r="A1283" s="197">
        <v>2023</v>
      </c>
      <c r="B1283" s="197">
        <v>7</v>
      </c>
      <c r="C1283" s="197">
        <v>25</v>
      </c>
      <c r="D1283" s="198">
        <f t="shared" si="98"/>
        <v>45132</v>
      </c>
      <c r="E1283" s="209">
        <f t="shared" si="101"/>
        <v>45132</v>
      </c>
      <c r="F1283" s="513" t="s">
        <v>1210</v>
      </c>
      <c r="G1283" s="200" t="s">
        <v>1209</v>
      </c>
      <c r="H1283" s="201"/>
      <c r="I1283" s="201" t="s">
        <v>1334</v>
      </c>
      <c r="J1283" s="197" t="s">
        <v>46</v>
      </c>
      <c r="K1283" s="202">
        <v>1000000</v>
      </c>
      <c r="L1283" s="202"/>
      <c r="M1283" s="251"/>
    </row>
    <row r="1284" spans="1:13" ht="11.25" customHeight="1" x14ac:dyDescent="0.2">
      <c r="A1284" s="120">
        <v>2023</v>
      </c>
      <c r="B1284" s="120">
        <v>7</v>
      </c>
      <c r="C1284" s="120">
        <v>25</v>
      </c>
      <c r="D1284" s="208">
        <f t="shared" si="98"/>
        <v>45132</v>
      </c>
      <c r="E1284" s="209">
        <f t="shared" si="101"/>
        <v>45132</v>
      </c>
      <c r="F1284" s="515"/>
      <c r="G1284" s="132" t="s">
        <v>1209</v>
      </c>
      <c r="I1284" s="128" t="s">
        <v>1334</v>
      </c>
      <c r="J1284" s="120" t="s">
        <v>16</v>
      </c>
      <c r="K1284" s="207"/>
      <c r="L1284" s="207">
        <v>969930</v>
      </c>
    </row>
    <row r="1285" spans="1:13" ht="11.25" customHeight="1" x14ac:dyDescent="0.2">
      <c r="A1285" s="191">
        <v>2023</v>
      </c>
      <c r="B1285" s="191">
        <v>7</v>
      </c>
      <c r="C1285" s="191">
        <v>25</v>
      </c>
      <c r="D1285" s="192">
        <f t="shared" si="98"/>
        <v>45132</v>
      </c>
      <c r="E1285" s="193">
        <f t="shared" si="101"/>
        <v>45132</v>
      </c>
      <c r="F1285" s="514"/>
      <c r="G1285" s="194" t="s">
        <v>1209</v>
      </c>
      <c r="H1285" s="195"/>
      <c r="I1285" s="195" t="s">
        <v>1334</v>
      </c>
      <c r="J1285" s="191" t="s">
        <v>47</v>
      </c>
      <c r="K1285" s="196"/>
      <c r="L1285" s="196">
        <v>30070</v>
      </c>
    </row>
    <row r="1286" spans="1:13" ht="11.25" customHeight="1" x14ac:dyDescent="0.2">
      <c r="A1286" s="197">
        <v>2023</v>
      </c>
      <c r="B1286" s="197">
        <v>7</v>
      </c>
      <c r="C1286" s="197">
        <v>25</v>
      </c>
      <c r="D1286" s="198">
        <f t="shared" si="98"/>
        <v>45132</v>
      </c>
      <c r="E1286" s="209">
        <f t="shared" ref="E1286:E1292" si="102">DATE(A1286,B1286,C1286)</f>
        <v>45132</v>
      </c>
      <c r="F1286" s="513" t="s">
        <v>1210</v>
      </c>
      <c r="G1286" s="200" t="s">
        <v>1209</v>
      </c>
      <c r="H1286" s="201"/>
      <c r="I1286" s="201" t="s">
        <v>361</v>
      </c>
      <c r="J1286" s="197" t="s">
        <v>46</v>
      </c>
      <c r="K1286" s="202">
        <v>10310</v>
      </c>
      <c r="L1286" s="202"/>
      <c r="M1286" s="251"/>
    </row>
    <row r="1287" spans="1:13" ht="11.25" customHeight="1" x14ac:dyDescent="0.2">
      <c r="A1287" s="120">
        <v>2023</v>
      </c>
      <c r="B1287" s="120">
        <v>7</v>
      </c>
      <c r="C1287" s="120">
        <v>25</v>
      </c>
      <c r="D1287" s="208">
        <f t="shared" si="98"/>
        <v>45132</v>
      </c>
      <c r="E1287" s="209">
        <f t="shared" si="102"/>
        <v>45132</v>
      </c>
      <c r="F1287" s="515"/>
      <c r="G1287" s="132" t="s">
        <v>1209</v>
      </c>
      <c r="I1287" s="128" t="s">
        <v>361</v>
      </c>
      <c r="J1287" s="120" t="s">
        <v>16</v>
      </c>
      <c r="K1287" s="207"/>
      <c r="L1287" s="207">
        <v>10000</v>
      </c>
    </row>
    <row r="1288" spans="1:13" ht="11.25" customHeight="1" x14ac:dyDescent="0.2">
      <c r="A1288" s="191">
        <v>2023</v>
      </c>
      <c r="B1288" s="191">
        <v>7</v>
      </c>
      <c r="C1288" s="191">
        <v>25</v>
      </c>
      <c r="D1288" s="192">
        <f t="shared" si="98"/>
        <v>45132</v>
      </c>
      <c r="E1288" s="193">
        <f t="shared" si="102"/>
        <v>45132</v>
      </c>
      <c r="F1288" s="514"/>
      <c r="G1288" s="194" t="s">
        <v>1209</v>
      </c>
      <c r="H1288" s="195"/>
      <c r="I1288" s="195" t="s">
        <v>361</v>
      </c>
      <c r="J1288" s="191" t="s">
        <v>47</v>
      </c>
      <c r="K1288" s="196"/>
      <c r="L1288" s="196">
        <v>310</v>
      </c>
    </row>
    <row r="1289" spans="1:13" ht="11.25" customHeight="1" x14ac:dyDescent="0.2">
      <c r="A1289" s="197">
        <v>2023</v>
      </c>
      <c r="B1289" s="197">
        <v>7</v>
      </c>
      <c r="C1289" s="197">
        <v>25</v>
      </c>
      <c r="D1289" s="198">
        <f t="shared" si="98"/>
        <v>45132</v>
      </c>
      <c r="E1289" s="199">
        <f t="shared" si="102"/>
        <v>45132</v>
      </c>
      <c r="F1289" s="513" t="s">
        <v>1323</v>
      </c>
      <c r="G1289" s="200" t="s">
        <v>1209</v>
      </c>
      <c r="H1289" s="201"/>
      <c r="I1289" s="201"/>
      <c r="J1289" s="197" t="s">
        <v>54</v>
      </c>
      <c r="K1289" s="202">
        <v>60</v>
      </c>
      <c r="L1289" s="202"/>
    </row>
    <row r="1290" spans="1:13" ht="11.25" customHeight="1" x14ac:dyDescent="0.2">
      <c r="A1290" s="191">
        <v>2023</v>
      </c>
      <c r="B1290" s="191">
        <v>7</v>
      </c>
      <c r="C1290" s="191">
        <v>25</v>
      </c>
      <c r="D1290" s="192">
        <f t="shared" si="98"/>
        <v>45132</v>
      </c>
      <c r="E1290" s="193">
        <f t="shared" si="102"/>
        <v>45132</v>
      </c>
      <c r="F1290" s="514"/>
      <c r="G1290" s="194" t="s">
        <v>1209</v>
      </c>
      <c r="H1290" s="195"/>
      <c r="I1290" s="195"/>
      <c r="J1290" s="191" t="s">
        <v>46</v>
      </c>
      <c r="K1290" s="196"/>
      <c r="L1290" s="196">
        <v>60</v>
      </c>
    </row>
    <row r="1291" spans="1:13" ht="11.25" customHeight="1" x14ac:dyDescent="0.2">
      <c r="A1291" s="197">
        <v>2023</v>
      </c>
      <c r="B1291" s="197">
        <v>7</v>
      </c>
      <c r="C1291" s="197">
        <v>26</v>
      </c>
      <c r="D1291" s="198">
        <f t="shared" si="98"/>
        <v>45133</v>
      </c>
      <c r="E1291" s="199">
        <f t="shared" si="102"/>
        <v>45133</v>
      </c>
      <c r="F1291" s="513" t="s">
        <v>1391</v>
      </c>
      <c r="G1291" s="200" t="s">
        <v>1209</v>
      </c>
      <c r="H1291" s="201"/>
      <c r="I1291" s="201"/>
      <c r="J1291" s="197" t="s">
        <v>46</v>
      </c>
      <c r="K1291" s="202">
        <v>199017</v>
      </c>
      <c r="L1291" s="202"/>
    </row>
    <row r="1292" spans="1:13" ht="11.25" customHeight="1" x14ac:dyDescent="0.2">
      <c r="A1292" s="191">
        <v>2023</v>
      </c>
      <c r="B1292" s="191">
        <v>7</v>
      </c>
      <c r="C1292" s="191">
        <v>26</v>
      </c>
      <c r="D1292" s="192">
        <f t="shared" si="98"/>
        <v>45133</v>
      </c>
      <c r="E1292" s="193">
        <f t="shared" si="102"/>
        <v>45133</v>
      </c>
      <c r="F1292" s="514"/>
      <c r="G1292" s="194" t="s">
        <v>1209</v>
      </c>
      <c r="H1292" s="195"/>
      <c r="I1292" s="195"/>
      <c r="J1292" s="191" t="s">
        <v>178</v>
      </c>
      <c r="K1292" s="196"/>
      <c r="L1292" s="196">
        <v>199017</v>
      </c>
    </row>
    <row r="1293" spans="1:13" ht="11.25" customHeight="1" x14ac:dyDescent="0.2">
      <c r="A1293" s="197">
        <v>2023</v>
      </c>
      <c r="B1293" s="197">
        <v>7</v>
      </c>
      <c r="C1293" s="197">
        <v>26</v>
      </c>
      <c r="D1293" s="198">
        <f t="shared" si="98"/>
        <v>45133</v>
      </c>
      <c r="E1293" s="199">
        <f t="shared" ref="E1293:E1300" si="103">DATE(A1293,B1293,C1293)</f>
        <v>45133</v>
      </c>
      <c r="F1293" s="513" t="s">
        <v>1323</v>
      </c>
      <c r="G1293" s="200" t="s">
        <v>1209</v>
      </c>
      <c r="H1293" s="201"/>
      <c r="I1293" s="201"/>
      <c r="J1293" s="197" t="s">
        <v>54</v>
      </c>
      <c r="K1293" s="202">
        <v>100</v>
      </c>
      <c r="L1293" s="202"/>
    </row>
    <row r="1294" spans="1:13" ht="11.25" customHeight="1" x14ac:dyDescent="0.2">
      <c r="A1294" s="191">
        <v>2023</v>
      </c>
      <c r="B1294" s="191">
        <v>7</v>
      </c>
      <c r="C1294" s="191">
        <v>26</v>
      </c>
      <c r="D1294" s="192">
        <f t="shared" si="98"/>
        <v>45133</v>
      </c>
      <c r="E1294" s="193">
        <f t="shared" si="103"/>
        <v>45133</v>
      </c>
      <c r="F1294" s="514"/>
      <c r="G1294" s="194" t="s">
        <v>1209</v>
      </c>
      <c r="H1294" s="195"/>
      <c r="I1294" s="195"/>
      <c r="J1294" s="191" t="s">
        <v>46</v>
      </c>
      <c r="K1294" s="196"/>
      <c r="L1294" s="196">
        <v>100</v>
      </c>
    </row>
    <row r="1295" spans="1:13" ht="11.25" customHeight="1" x14ac:dyDescent="0.2">
      <c r="A1295" s="197">
        <v>2023</v>
      </c>
      <c r="B1295" s="197">
        <v>7</v>
      </c>
      <c r="C1295" s="197">
        <v>27</v>
      </c>
      <c r="D1295" s="198">
        <f t="shared" si="98"/>
        <v>45134</v>
      </c>
      <c r="E1295" s="209">
        <f t="shared" si="103"/>
        <v>45134</v>
      </c>
      <c r="F1295" s="513" t="s">
        <v>1210</v>
      </c>
      <c r="G1295" s="200" t="s">
        <v>1209</v>
      </c>
      <c r="H1295" s="201"/>
      <c r="I1295" s="201" t="s">
        <v>424</v>
      </c>
      <c r="J1295" s="197" t="s">
        <v>46</v>
      </c>
      <c r="K1295" s="202">
        <v>30000</v>
      </c>
      <c r="L1295" s="202"/>
      <c r="M1295" s="251"/>
    </row>
    <row r="1296" spans="1:13" ht="11.25" customHeight="1" x14ac:dyDescent="0.2">
      <c r="A1296" s="120">
        <v>2023</v>
      </c>
      <c r="B1296" s="120">
        <v>7</v>
      </c>
      <c r="C1296" s="120">
        <v>27</v>
      </c>
      <c r="D1296" s="208">
        <f t="shared" si="98"/>
        <v>45134</v>
      </c>
      <c r="E1296" s="209">
        <f t="shared" si="103"/>
        <v>45134</v>
      </c>
      <c r="F1296" s="515"/>
      <c r="G1296" s="132" t="s">
        <v>1209</v>
      </c>
      <c r="I1296" s="128" t="s">
        <v>424</v>
      </c>
      <c r="J1296" s="120" t="s">
        <v>16</v>
      </c>
      <c r="K1296" s="207"/>
      <c r="L1296" s="207">
        <v>28970</v>
      </c>
    </row>
    <row r="1297" spans="1:13" ht="11.25" customHeight="1" x14ac:dyDescent="0.2">
      <c r="A1297" s="191">
        <v>2023</v>
      </c>
      <c r="B1297" s="191">
        <v>7</v>
      </c>
      <c r="C1297" s="191">
        <v>27</v>
      </c>
      <c r="D1297" s="192">
        <f t="shared" si="98"/>
        <v>45134</v>
      </c>
      <c r="E1297" s="193">
        <f t="shared" si="103"/>
        <v>45134</v>
      </c>
      <c r="F1297" s="514"/>
      <c r="G1297" s="194" t="s">
        <v>1209</v>
      </c>
      <c r="H1297" s="195"/>
      <c r="I1297" s="195" t="s">
        <v>424</v>
      </c>
      <c r="J1297" s="191" t="s">
        <v>47</v>
      </c>
      <c r="K1297" s="196"/>
      <c r="L1297" s="196">
        <v>1030</v>
      </c>
    </row>
    <row r="1298" spans="1:13" ht="11.25" customHeight="1" x14ac:dyDescent="0.2">
      <c r="A1298" s="197">
        <v>2023</v>
      </c>
      <c r="B1298" s="197">
        <v>7</v>
      </c>
      <c r="C1298" s="197">
        <v>27</v>
      </c>
      <c r="D1298" s="198">
        <f t="shared" si="98"/>
        <v>45134</v>
      </c>
      <c r="E1298" s="209">
        <f t="shared" si="103"/>
        <v>45134</v>
      </c>
      <c r="F1298" s="513" t="s">
        <v>1210</v>
      </c>
      <c r="G1298" s="200" t="s">
        <v>1209</v>
      </c>
      <c r="H1298" s="201"/>
      <c r="I1298" s="201" t="s">
        <v>880</v>
      </c>
      <c r="J1298" s="197" t="s">
        <v>46</v>
      </c>
      <c r="K1298" s="202">
        <v>50000</v>
      </c>
      <c r="L1298" s="202"/>
      <c r="M1298" s="251"/>
    </row>
    <row r="1299" spans="1:13" ht="11.25" customHeight="1" x14ac:dyDescent="0.2">
      <c r="A1299" s="120">
        <v>2023</v>
      </c>
      <c r="B1299" s="120">
        <v>7</v>
      </c>
      <c r="C1299" s="120">
        <v>27</v>
      </c>
      <c r="D1299" s="208">
        <f t="shared" si="98"/>
        <v>45134</v>
      </c>
      <c r="E1299" s="209">
        <f t="shared" si="103"/>
        <v>45134</v>
      </c>
      <c r="F1299" s="515"/>
      <c r="G1299" s="132" t="s">
        <v>1209</v>
      </c>
      <c r="I1299" s="128" t="s">
        <v>880</v>
      </c>
      <c r="J1299" s="120" t="s">
        <v>16</v>
      </c>
      <c r="K1299" s="207"/>
      <c r="L1299" s="207">
        <v>48290</v>
      </c>
    </row>
    <row r="1300" spans="1:13" ht="11.25" customHeight="1" x14ac:dyDescent="0.2">
      <c r="A1300" s="191">
        <v>2023</v>
      </c>
      <c r="B1300" s="191">
        <v>7</v>
      </c>
      <c r="C1300" s="191">
        <v>27</v>
      </c>
      <c r="D1300" s="192">
        <f t="shared" si="98"/>
        <v>45134</v>
      </c>
      <c r="E1300" s="193">
        <f t="shared" si="103"/>
        <v>45134</v>
      </c>
      <c r="F1300" s="514"/>
      <c r="G1300" s="194" t="s">
        <v>1209</v>
      </c>
      <c r="H1300" s="195"/>
      <c r="I1300" s="195" t="s">
        <v>880</v>
      </c>
      <c r="J1300" s="191" t="s">
        <v>47</v>
      </c>
      <c r="K1300" s="196"/>
      <c r="L1300" s="196">
        <v>1710</v>
      </c>
    </row>
    <row r="1301" spans="1:13" ht="11.25" customHeight="1" x14ac:dyDescent="0.2">
      <c r="A1301" s="197">
        <v>2023</v>
      </c>
      <c r="B1301" s="197">
        <v>7</v>
      </c>
      <c r="C1301" s="197">
        <v>27</v>
      </c>
      <c r="D1301" s="198">
        <f t="shared" si="98"/>
        <v>45134</v>
      </c>
      <c r="E1301" s="209">
        <f t="shared" ref="E1301:E1309" si="104">DATE(A1301,B1301,C1301)</f>
        <v>45134</v>
      </c>
      <c r="F1301" s="513" t="s">
        <v>1210</v>
      </c>
      <c r="G1301" s="200" t="s">
        <v>1209</v>
      </c>
      <c r="H1301" s="201"/>
      <c r="I1301" s="201" t="s">
        <v>880</v>
      </c>
      <c r="J1301" s="197" t="s">
        <v>46</v>
      </c>
      <c r="K1301" s="202">
        <v>100000</v>
      </c>
      <c r="L1301" s="202"/>
      <c r="M1301" s="251"/>
    </row>
    <row r="1302" spans="1:13" ht="11.25" customHeight="1" x14ac:dyDescent="0.2">
      <c r="A1302" s="120">
        <v>2023</v>
      </c>
      <c r="B1302" s="120">
        <v>7</v>
      </c>
      <c r="C1302" s="120">
        <v>27</v>
      </c>
      <c r="D1302" s="208">
        <f t="shared" si="98"/>
        <v>45134</v>
      </c>
      <c r="E1302" s="209">
        <f t="shared" si="104"/>
        <v>45134</v>
      </c>
      <c r="F1302" s="515"/>
      <c r="G1302" s="132" t="s">
        <v>1209</v>
      </c>
      <c r="I1302" s="128" t="s">
        <v>880</v>
      </c>
      <c r="J1302" s="120" t="s">
        <v>16</v>
      </c>
      <c r="K1302" s="207"/>
      <c r="L1302" s="207">
        <v>96570</v>
      </c>
    </row>
    <row r="1303" spans="1:13" ht="11.25" customHeight="1" x14ac:dyDescent="0.2">
      <c r="A1303" s="191">
        <v>2023</v>
      </c>
      <c r="B1303" s="191">
        <v>7</v>
      </c>
      <c r="C1303" s="191">
        <v>27</v>
      </c>
      <c r="D1303" s="192">
        <f t="shared" si="98"/>
        <v>45134</v>
      </c>
      <c r="E1303" s="193">
        <f t="shared" si="104"/>
        <v>45134</v>
      </c>
      <c r="F1303" s="514"/>
      <c r="G1303" s="194" t="s">
        <v>1209</v>
      </c>
      <c r="H1303" s="195"/>
      <c r="I1303" s="195" t="s">
        <v>880</v>
      </c>
      <c r="J1303" s="191" t="s">
        <v>47</v>
      </c>
      <c r="K1303" s="196"/>
      <c r="L1303" s="196">
        <v>3430</v>
      </c>
    </row>
    <row r="1304" spans="1:13" ht="11.25" customHeight="1" x14ac:dyDescent="0.2">
      <c r="A1304" s="197">
        <v>2023</v>
      </c>
      <c r="B1304" s="197">
        <v>7</v>
      </c>
      <c r="C1304" s="197">
        <v>26</v>
      </c>
      <c r="D1304" s="198">
        <f t="shared" si="98"/>
        <v>45133</v>
      </c>
      <c r="E1304" s="209">
        <f>DATE(A1304,B1304,C1304)</f>
        <v>45133</v>
      </c>
      <c r="F1304" s="513" t="s">
        <v>1296</v>
      </c>
      <c r="G1304" s="200" t="s">
        <v>1209</v>
      </c>
      <c r="H1304" s="201"/>
      <c r="I1304" s="201"/>
      <c r="J1304" s="197" t="s">
        <v>46</v>
      </c>
      <c r="K1304" s="202">
        <v>36000</v>
      </c>
      <c r="L1304" s="202"/>
      <c r="M1304" s="251"/>
    </row>
    <row r="1305" spans="1:13" ht="11.25" customHeight="1" x14ac:dyDescent="0.2">
      <c r="A1305" s="120">
        <v>2023</v>
      </c>
      <c r="B1305" s="120">
        <v>7</v>
      </c>
      <c r="C1305" s="120">
        <v>26</v>
      </c>
      <c r="D1305" s="208">
        <f t="shared" si="98"/>
        <v>45133</v>
      </c>
      <c r="E1305" s="209">
        <f>DATE(A1305,B1305,C1305)</f>
        <v>45133</v>
      </c>
      <c r="F1305" s="515"/>
      <c r="G1305" s="132" t="s">
        <v>1209</v>
      </c>
      <c r="J1305" s="120" t="s">
        <v>16</v>
      </c>
      <c r="K1305" s="207"/>
      <c r="L1305" s="207">
        <v>34780</v>
      </c>
    </row>
    <row r="1306" spans="1:13" ht="11.25" customHeight="1" x14ac:dyDescent="0.2">
      <c r="A1306" s="191">
        <v>2023</v>
      </c>
      <c r="B1306" s="191">
        <v>7</v>
      </c>
      <c r="C1306" s="191">
        <v>26</v>
      </c>
      <c r="D1306" s="192">
        <f t="shared" si="98"/>
        <v>45133</v>
      </c>
      <c r="E1306" s="193">
        <f>DATE(A1306,B1306,C1306)</f>
        <v>45133</v>
      </c>
      <c r="F1306" s="514"/>
      <c r="G1306" s="194" t="s">
        <v>1209</v>
      </c>
      <c r="H1306" s="195"/>
      <c r="I1306" s="195"/>
      <c r="J1306" s="191" t="s">
        <v>47</v>
      </c>
      <c r="K1306" s="196"/>
      <c r="L1306" s="196">
        <v>1220</v>
      </c>
    </row>
    <row r="1307" spans="1:13" ht="11.25" customHeight="1" x14ac:dyDescent="0.2">
      <c r="A1307" s="197">
        <v>2023</v>
      </c>
      <c r="B1307" s="197">
        <v>7</v>
      </c>
      <c r="C1307" s="197">
        <v>27</v>
      </c>
      <c r="D1307" s="198">
        <f t="shared" si="98"/>
        <v>45134</v>
      </c>
      <c r="E1307" s="209">
        <f t="shared" si="104"/>
        <v>45134</v>
      </c>
      <c r="F1307" s="513" t="s">
        <v>1296</v>
      </c>
      <c r="G1307" s="200" t="s">
        <v>1209</v>
      </c>
      <c r="H1307" s="201"/>
      <c r="I1307" s="201"/>
      <c r="J1307" s="197" t="s">
        <v>46</v>
      </c>
      <c r="K1307" s="202">
        <v>111540</v>
      </c>
      <c r="L1307" s="202"/>
      <c r="M1307" s="251"/>
    </row>
    <row r="1308" spans="1:13" ht="11.25" customHeight="1" x14ac:dyDescent="0.2">
      <c r="A1308" s="120">
        <v>2023</v>
      </c>
      <c r="B1308" s="120">
        <v>7</v>
      </c>
      <c r="C1308" s="120">
        <v>27</v>
      </c>
      <c r="D1308" s="208">
        <f t="shared" si="98"/>
        <v>45134</v>
      </c>
      <c r="E1308" s="209">
        <f t="shared" si="104"/>
        <v>45134</v>
      </c>
      <c r="F1308" s="515"/>
      <c r="G1308" s="132" t="s">
        <v>1209</v>
      </c>
      <c r="J1308" s="120" t="s">
        <v>16</v>
      </c>
      <c r="K1308" s="207"/>
      <c r="L1308" s="207">
        <v>107740</v>
      </c>
    </row>
    <row r="1309" spans="1:13" ht="11.25" customHeight="1" x14ac:dyDescent="0.2">
      <c r="A1309" s="191">
        <v>2023</v>
      </c>
      <c r="B1309" s="191">
        <v>7</v>
      </c>
      <c r="C1309" s="191">
        <v>27</v>
      </c>
      <c r="D1309" s="192">
        <f t="shared" si="98"/>
        <v>45134</v>
      </c>
      <c r="E1309" s="193">
        <f t="shared" si="104"/>
        <v>45134</v>
      </c>
      <c r="F1309" s="514"/>
      <c r="G1309" s="194" t="s">
        <v>1209</v>
      </c>
      <c r="H1309" s="195"/>
      <c r="I1309" s="195"/>
      <c r="J1309" s="191" t="s">
        <v>47</v>
      </c>
      <c r="K1309" s="196"/>
      <c r="L1309" s="196">
        <v>3800</v>
      </c>
    </row>
    <row r="1310" spans="1:13" ht="11.25" customHeight="1" x14ac:dyDescent="0.2">
      <c r="A1310" s="197">
        <v>2023</v>
      </c>
      <c r="B1310" s="197">
        <v>7</v>
      </c>
      <c r="C1310" s="197">
        <v>27</v>
      </c>
      <c r="D1310" s="198">
        <f t="shared" si="98"/>
        <v>45134</v>
      </c>
      <c r="E1310" s="209">
        <f t="shared" ref="E1310:E1358" si="105">DATE(A1310,B1310,C1310)</f>
        <v>45134</v>
      </c>
      <c r="F1310" s="513" t="s">
        <v>1210</v>
      </c>
      <c r="G1310" s="200" t="s">
        <v>1209</v>
      </c>
      <c r="H1310" s="201"/>
      <c r="I1310" s="201" t="s">
        <v>1242</v>
      </c>
      <c r="J1310" s="197" t="s">
        <v>46</v>
      </c>
      <c r="K1310" s="202">
        <v>100000</v>
      </c>
      <c r="L1310" s="202"/>
      <c r="M1310" s="251"/>
    </row>
    <row r="1311" spans="1:13" ht="11.25" customHeight="1" x14ac:dyDescent="0.2">
      <c r="A1311" s="120">
        <v>2023</v>
      </c>
      <c r="B1311" s="120">
        <v>7</v>
      </c>
      <c r="C1311" s="120">
        <v>27</v>
      </c>
      <c r="D1311" s="208">
        <f t="shared" ref="D1311:D1372" si="106">DATE(A1311,B1311,C1311)</f>
        <v>45134</v>
      </c>
      <c r="E1311" s="209">
        <f t="shared" si="105"/>
        <v>45134</v>
      </c>
      <c r="F1311" s="515"/>
      <c r="G1311" s="132" t="s">
        <v>1209</v>
      </c>
      <c r="I1311" s="128" t="s">
        <v>1242</v>
      </c>
      <c r="J1311" s="120" t="s">
        <v>16</v>
      </c>
      <c r="K1311" s="207"/>
      <c r="L1311" s="207">
        <v>96570</v>
      </c>
    </row>
    <row r="1312" spans="1:13" ht="11.25" customHeight="1" x14ac:dyDescent="0.2">
      <c r="A1312" s="191">
        <v>2023</v>
      </c>
      <c r="B1312" s="191">
        <v>7</v>
      </c>
      <c r="C1312" s="191">
        <v>27</v>
      </c>
      <c r="D1312" s="192">
        <f t="shared" si="106"/>
        <v>45134</v>
      </c>
      <c r="E1312" s="193">
        <f t="shared" si="105"/>
        <v>45134</v>
      </c>
      <c r="F1312" s="514"/>
      <c r="G1312" s="194" t="s">
        <v>1209</v>
      </c>
      <c r="H1312" s="195"/>
      <c r="I1312" s="195" t="s">
        <v>1242</v>
      </c>
      <c r="J1312" s="191" t="s">
        <v>47</v>
      </c>
      <c r="K1312" s="196"/>
      <c r="L1312" s="196">
        <v>3430</v>
      </c>
    </row>
    <row r="1313" spans="1:15" ht="11.25" customHeight="1" x14ac:dyDescent="0.2">
      <c r="A1313" s="197">
        <v>2023</v>
      </c>
      <c r="B1313" s="197">
        <v>7</v>
      </c>
      <c r="C1313" s="197">
        <v>27</v>
      </c>
      <c r="D1313" s="198">
        <f t="shared" si="106"/>
        <v>45134</v>
      </c>
      <c r="E1313" s="199">
        <f t="shared" si="105"/>
        <v>45134</v>
      </c>
      <c r="F1313" s="513" t="s">
        <v>1398</v>
      </c>
      <c r="G1313" s="200" t="s">
        <v>1209</v>
      </c>
      <c r="H1313" s="201"/>
      <c r="I1313" s="201" t="s">
        <v>1253</v>
      </c>
      <c r="J1313" s="197" t="s">
        <v>1475</v>
      </c>
      <c r="K1313" s="202">
        <v>2496629.73</v>
      </c>
      <c r="L1313" s="202"/>
    </row>
    <row r="1314" spans="1:15" ht="11.25" customHeight="1" x14ac:dyDescent="0.2">
      <c r="A1314" s="191">
        <v>2023</v>
      </c>
      <c r="B1314" s="191">
        <v>7</v>
      </c>
      <c r="C1314" s="191">
        <v>27</v>
      </c>
      <c r="D1314" s="192">
        <f t="shared" si="106"/>
        <v>45134</v>
      </c>
      <c r="E1314" s="193">
        <f t="shared" si="105"/>
        <v>45134</v>
      </c>
      <c r="F1314" s="514"/>
      <c r="G1314" s="194" t="s">
        <v>1209</v>
      </c>
      <c r="H1314" s="195"/>
      <c r="I1314" s="195" t="s">
        <v>1253</v>
      </c>
      <c r="J1314" s="191" t="s">
        <v>46</v>
      </c>
      <c r="K1314" s="196"/>
      <c r="L1314" s="196">
        <v>2496629.73</v>
      </c>
      <c r="N1314" s="130"/>
    </row>
    <row r="1315" spans="1:15" ht="11.25" customHeight="1" x14ac:dyDescent="0.2">
      <c r="A1315" s="210">
        <v>2023</v>
      </c>
      <c r="B1315" s="210">
        <v>7</v>
      </c>
      <c r="C1315" s="210">
        <v>27</v>
      </c>
      <c r="D1315" s="211">
        <f t="shared" si="106"/>
        <v>45134</v>
      </c>
      <c r="E1315" s="238">
        <f t="shared" si="105"/>
        <v>45134</v>
      </c>
      <c r="F1315" s="520" t="s">
        <v>1278</v>
      </c>
      <c r="G1315" s="213" t="s">
        <v>1245</v>
      </c>
      <c r="H1315" s="214"/>
      <c r="I1315" s="214" t="s">
        <v>1253</v>
      </c>
      <c r="J1315" s="210" t="s">
        <v>1529</v>
      </c>
      <c r="K1315" s="215">
        <v>5091.2307692307695</v>
      </c>
      <c r="L1315" s="215"/>
    </row>
    <row r="1316" spans="1:15" ht="11.25" customHeight="1" x14ac:dyDescent="0.2">
      <c r="A1316" s="216">
        <v>2023</v>
      </c>
      <c r="B1316" s="216">
        <v>7</v>
      </c>
      <c r="C1316" s="216">
        <v>27</v>
      </c>
      <c r="D1316" s="217">
        <f t="shared" si="106"/>
        <v>45134</v>
      </c>
      <c r="E1316" s="239">
        <f t="shared" si="105"/>
        <v>45134</v>
      </c>
      <c r="F1316" s="521"/>
      <c r="G1316" s="219" t="s">
        <v>1245</v>
      </c>
      <c r="H1316" s="220"/>
      <c r="I1316" s="220" t="s">
        <v>1253</v>
      </c>
      <c r="J1316" s="216" t="s">
        <v>1581</v>
      </c>
      <c r="K1316" s="221"/>
      <c r="L1316" s="221">
        <v>5091.2307692307695</v>
      </c>
    </row>
    <row r="1317" spans="1:15" ht="11.25" customHeight="1" x14ac:dyDescent="0.2">
      <c r="A1317" s="210">
        <v>2023</v>
      </c>
      <c r="B1317" s="210">
        <v>7</v>
      </c>
      <c r="C1317" s="210">
        <v>27</v>
      </c>
      <c r="D1317" s="211">
        <f t="shared" si="106"/>
        <v>45134</v>
      </c>
      <c r="E1317" s="238">
        <f t="shared" si="105"/>
        <v>45134</v>
      </c>
      <c r="F1317" s="520" t="s">
        <v>1285</v>
      </c>
      <c r="G1317" s="213" t="s">
        <v>1245</v>
      </c>
      <c r="H1317" s="214"/>
      <c r="I1317" s="214" t="s">
        <v>1253</v>
      </c>
      <c r="J1317" s="210" t="s">
        <v>1284</v>
      </c>
      <c r="K1317" s="215">
        <v>13771.15</v>
      </c>
      <c r="L1317" s="215"/>
    </row>
    <row r="1318" spans="1:15" ht="11.25" customHeight="1" x14ac:dyDescent="0.2">
      <c r="A1318" s="242">
        <v>2023</v>
      </c>
      <c r="B1318" s="216">
        <v>7</v>
      </c>
      <c r="C1318" s="216">
        <v>27</v>
      </c>
      <c r="D1318" s="243">
        <f t="shared" si="106"/>
        <v>45134</v>
      </c>
      <c r="E1318" s="244">
        <f>DATE(A1318,B1318,C1318)</f>
        <v>45134</v>
      </c>
      <c r="F1318" s="524"/>
      <c r="G1318" s="245" t="s">
        <v>1245</v>
      </c>
      <c r="H1318" s="246"/>
      <c r="I1318" s="246"/>
      <c r="J1318" s="242" t="s">
        <v>1582</v>
      </c>
      <c r="K1318" s="247"/>
      <c r="L1318" s="247">
        <v>13771.15</v>
      </c>
    </row>
    <row r="1319" spans="1:15" ht="11.25" customHeight="1" x14ac:dyDescent="0.2">
      <c r="A1319" s="210">
        <v>2023</v>
      </c>
      <c r="B1319" s="210">
        <v>7</v>
      </c>
      <c r="C1319" s="210">
        <v>27</v>
      </c>
      <c r="D1319" s="211">
        <f t="shared" si="106"/>
        <v>45134</v>
      </c>
      <c r="E1319" s="238">
        <f t="shared" si="105"/>
        <v>45134</v>
      </c>
      <c r="F1319" s="520" t="s">
        <v>1259</v>
      </c>
      <c r="G1319" s="213" t="s">
        <v>1245</v>
      </c>
      <c r="H1319" s="214"/>
      <c r="I1319" s="214" t="s">
        <v>1253</v>
      </c>
      <c r="J1319" s="210" t="s">
        <v>58</v>
      </c>
      <c r="K1319" s="215">
        <v>6157.23</v>
      </c>
      <c r="L1319" s="215"/>
    </row>
    <row r="1320" spans="1:15" ht="11.25" customHeight="1" x14ac:dyDescent="0.2">
      <c r="A1320" s="216">
        <v>2023</v>
      </c>
      <c r="B1320" s="216">
        <v>7</v>
      </c>
      <c r="C1320" s="216">
        <v>27</v>
      </c>
      <c r="D1320" s="217">
        <f t="shared" si="106"/>
        <v>45134</v>
      </c>
      <c r="E1320" s="239">
        <f t="shared" si="105"/>
        <v>45134</v>
      </c>
      <c r="F1320" s="521"/>
      <c r="G1320" s="219" t="s">
        <v>1245</v>
      </c>
      <c r="H1320" s="220"/>
      <c r="I1320" s="220" t="s">
        <v>1253</v>
      </c>
      <c r="J1320" s="216" t="s">
        <v>153</v>
      </c>
      <c r="K1320" s="221"/>
      <c r="L1320" s="221">
        <v>6157.23</v>
      </c>
    </row>
    <row r="1321" spans="1:15" ht="11.25" customHeight="1" x14ac:dyDescent="0.2">
      <c r="A1321" s="210">
        <v>2023</v>
      </c>
      <c r="B1321" s="210">
        <v>7</v>
      </c>
      <c r="C1321" s="210">
        <v>27</v>
      </c>
      <c r="D1321" s="211">
        <f t="shared" si="106"/>
        <v>45134</v>
      </c>
      <c r="E1321" s="238">
        <f t="shared" si="105"/>
        <v>45134</v>
      </c>
      <c r="F1321" s="520" t="s">
        <v>1255</v>
      </c>
      <c r="G1321" s="213" t="s">
        <v>1245</v>
      </c>
      <c r="H1321" s="214"/>
      <c r="I1321" s="214" t="s">
        <v>1253</v>
      </c>
      <c r="J1321" s="210" t="s">
        <v>113</v>
      </c>
      <c r="K1321" s="215">
        <v>48057.69</v>
      </c>
      <c r="L1321" s="215"/>
      <c r="M1321" s="251"/>
      <c r="O1321" s="130"/>
    </row>
    <row r="1322" spans="1:15" ht="11.25" customHeight="1" x14ac:dyDescent="0.2">
      <c r="A1322" s="216">
        <v>2023</v>
      </c>
      <c r="B1322" s="216">
        <v>7</v>
      </c>
      <c r="C1322" s="216">
        <v>27</v>
      </c>
      <c r="D1322" s="217">
        <f t="shared" si="106"/>
        <v>45134</v>
      </c>
      <c r="E1322" s="239">
        <f t="shared" si="105"/>
        <v>45134</v>
      </c>
      <c r="F1322" s="521"/>
      <c r="G1322" s="219" t="s">
        <v>1245</v>
      </c>
      <c r="H1322" s="220"/>
      <c r="I1322" s="220" t="s">
        <v>1253</v>
      </c>
      <c r="J1322" s="216" t="s">
        <v>153</v>
      </c>
      <c r="K1322" s="221"/>
      <c r="L1322" s="221">
        <v>48057.69</v>
      </c>
    </row>
    <row r="1323" spans="1:15" ht="11.25" customHeight="1" x14ac:dyDescent="0.2">
      <c r="A1323" s="210">
        <v>2023</v>
      </c>
      <c r="B1323" s="210">
        <v>7</v>
      </c>
      <c r="C1323" s="210">
        <v>27</v>
      </c>
      <c r="D1323" s="211">
        <f t="shared" si="106"/>
        <v>45134</v>
      </c>
      <c r="E1323" s="238">
        <f t="shared" si="105"/>
        <v>45134</v>
      </c>
      <c r="F1323" s="520" t="s">
        <v>1256</v>
      </c>
      <c r="G1323" s="213" t="s">
        <v>1245</v>
      </c>
      <c r="H1323" s="214"/>
      <c r="I1323" s="214" t="s">
        <v>1253</v>
      </c>
      <c r="J1323" s="210" t="s">
        <v>113</v>
      </c>
      <c r="K1323" s="215">
        <v>8906.7000000000007</v>
      </c>
      <c r="L1323" s="215"/>
      <c r="M1323" s="251"/>
      <c r="O1323" s="130"/>
    </row>
    <row r="1324" spans="1:15" ht="11.25" customHeight="1" x14ac:dyDescent="0.2">
      <c r="A1324" s="216">
        <v>2023</v>
      </c>
      <c r="B1324" s="216">
        <v>7</v>
      </c>
      <c r="C1324" s="216">
        <v>27</v>
      </c>
      <c r="D1324" s="217">
        <f t="shared" si="106"/>
        <v>45134</v>
      </c>
      <c r="E1324" s="239">
        <f t="shared" si="105"/>
        <v>45134</v>
      </c>
      <c r="F1324" s="521"/>
      <c r="G1324" s="219" t="s">
        <v>1245</v>
      </c>
      <c r="H1324" s="220"/>
      <c r="I1324" s="220" t="s">
        <v>1253</v>
      </c>
      <c r="J1324" s="216" t="s">
        <v>153</v>
      </c>
      <c r="K1324" s="221"/>
      <c r="L1324" s="221">
        <v>8906.7000000000007</v>
      </c>
    </row>
    <row r="1325" spans="1:15" ht="11.25" customHeight="1" x14ac:dyDescent="0.2">
      <c r="A1325" s="210">
        <v>2023</v>
      </c>
      <c r="B1325" s="210">
        <v>7</v>
      </c>
      <c r="C1325" s="210">
        <v>27</v>
      </c>
      <c r="D1325" s="211">
        <f t="shared" si="106"/>
        <v>45134</v>
      </c>
      <c r="E1325" s="238">
        <f t="shared" si="105"/>
        <v>45134</v>
      </c>
      <c r="F1325" s="520" t="s">
        <v>1257</v>
      </c>
      <c r="G1325" s="213" t="s">
        <v>1245</v>
      </c>
      <c r="H1325" s="214"/>
      <c r="I1325" s="214" t="s">
        <v>1253</v>
      </c>
      <c r="J1325" s="210" t="s">
        <v>113</v>
      </c>
      <c r="K1325" s="215">
        <v>30673.08</v>
      </c>
      <c r="L1325" s="215"/>
    </row>
    <row r="1326" spans="1:15" ht="11.25" customHeight="1" x14ac:dyDescent="0.2">
      <c r="A1326" s="216">
        <v>2023</v>
      </c>
      <c r="B1326" s="216">
        <v>7</v>
      </c>
      <c r="C1326" s="216">
        <v>27</v>
      </c>
      <c r="D1326" s="217">
        <f t="shared" si="106"/>
        <v>45134</v>
      </c>
      <c r="E1326" s="239">
        <f t="shared" si="105"/>
        <v>45134</v>
      </c>
      <c r="F1326" s="521"/>
      <c r="G1326" s="219" t="s">
        <v>1245</v>
      </c>
      <c r="H1326" s="220"/>
      <c r="I1326" s="220" t="s">
        <v>1253</v>
      </c>
      <c r="J1326" s="216" t="s">
        <v>153</v>
      </c>
      <c r="K1326" s="221"/>
      <c r="L1326" s="221">
        <v>30673.08</v>
      </c>
    </row>
    <row r="1327" spans="1:15" ht="11.25" customHeight="1" x14ac:dyDescent="0.2">
      <c r="A1327" s="259">
        <v>2023</v>
      </c>
      <c r="B1327" s="259">
        <v>7</v>
      </c>
      <c r="C1327" s="259">
        <v>27</v>
      </c>
      <c r="D1327" s="260">
        <f t="shared" si="106"/>
        <v>45134</v>
      </c>
      <c r="E1327" s="261">
        <f t="shared" si="105"/>
        <v>45134</v>
      </c>
      <c r="F1327" s="531" t="s">
        <v>1359</v>
      </c>
      <c r="G1327" s="262" t="s">
        <v>1245</v>
      </c>
      <c r="H1327" s="263"/>
      <c r="I1327" s="263" t="s">
        <v>1253</v>
      </c>
      <c r="J1327" s="259" t="s">
        <v>1476</v>
      </c>
      <c r="K1327" s="264">
        <v>8502.8166666667294</v>
      </c>
      <c r="L1327" s="264"/>
    </row>
    <row r="1328" spans="1:15" ht="11.25" customHeight="1" x14ac:dyDescent="0.2">
      <c r="A1328" s="265">
        <v>2023</v>
      </c>
      <c r="B1328" s="265">
        <v>7</v>
      </c>
      <c r="C1328" s="265">
        <v>27</v>
      </c>
      <c r="D1328" s="266">
        <f t="shared" si="106"/>
        <v>45134</v>
      </c>
      <c r="E1328" s="267">
        <f t="shared" si="105"/>
        <v>45134</v>
      </c>
      <c r="F1328" s="532"/>
      <c r="G1328" s="268" t="s">
        <v>1245</v>
      </c>
      <c r="H1328" s="269"/>
      <c r="I1328" s="269" t="s">
        <v>1253</v>
      </c>
      <c r="J1328" s="265" t="s">
        <v>153</v>
      </c>
      <c r="K1328" s="270"/>
      <c r="L1328" s="270">
        <v>8502.8166666667294</v>
      </c>
    </row>
    <row r="1329" spans="1:12" ht="11.25" customHeight="1" x14ac:dyDescent="0.2">
      <c r="A1329" s="259">
        <v>2023</v>
      </c>
      <c r="B1329" s="259">
        <v>7</v>
      </c>
      <c r="C1329" s="259">
        <v>27</v>
      </c>
      <c r="D1329" s="260">
        <f t="shared" si="106"/>
        <v>45134</v>
      </c>
      <c r="E1329" s="261">
        <f t="shared" si="105"/>
        <v>45134</v>
      </c>
      <c r="F1329" s="531" t="s">
        <v>1383</v>
      </c>
      <c r="G1329" s="262" t="s">
        <v>1245</v>
      </c>
      <c r="H1329" s="263"/>
      <c r="I1329" s="263" t="s">
        <v>1253</v>
      </c>
      <c r="J1329" s="259" t="s">
        <v>1476</v>
      </c>
      <c r="K1329" s="264">
        <v>15585.12222222218</v>
      </c>
      <c r="L1329" s="264"/>
    </row>
    <row r="1330" spans="1:12" ht="11.25" customHeight="1" x14ac:dyDescent="0.2">
      <c r="A1330" s="265">
        <v>2023</v>
      </c>
      <c r="B1330" s="265">
        <v>7</v>
      </c>
      <c r="C1330" s="265">
        <v>27</v>
      </c>
      <c r="D1330" s="266">
        <f t="shared" si="106"/>
        <v>45134</v>
      </c>
      <c r="E1330" s="267">
        <f t="shared" si="105"/>
        <v>45134</v>
      </c>
      <c r="F1330" s="532"/>
      <c r="G1330" s="268" t="s">
        <v>1245</v>
      </c>
      <c r="H1330" s="269"/>
      <c r="I1330" s="269" t="s">
        <v>1253</v>
      </c>
      <c r="J1330" s="265" t="s">
        <v>153</v>
      </c>
      <c r="K1330" s="270"/>
      <c r="L1330" s="270">
        <v>15585.12222222218</v>
      </c>
    </row>
    <row r="1331" spans="1:12" ht="11.25" customHeight="1" x14ac:dyDescent="0.2">
      <c r="A1331" s="259">
        <v>2023</v>
      </c>
      <c r="B1331" s="259">
        <v>7</v>
      </c>
      <c r="C1331" s="259">
        <v>27</v>
      </c>
      <c r="D1331" s="260">
        <f t="shared" si="106"/>
        <v>45134</v>
      </c>
      <c r="E1331" s="261">
        <f t="shared" si="105"/>
        <v>45134</v>
      </c>
      <c r="F1331" s="531" t="s">
        <v>1388</v>
      </c>
      <c r="G1331" s="262" t="s">
        <v>1245</v>
      </c>
      <c r="H1331" s="263"/>
      <c r="I1331" s="263" t="s">
        <v>1253</v>
      </c>
      <c r="J1331" s="259" t="s">
        <v>1476</v>
      </c>
      <c r="K1331" s="264">
        <v>12544.916666666666</v>
      </c>
      <c r="L1331" s="264"/>
    </row>
    <row r="1332" spans="1:12" ht="11.25" customHeight="1" x14ac:dyDescent="0.2">
      <c r="A1332" s="265">
        <v>2023</v>
      </c>
      <c r="B1332" s="265">
        <v>7</v>
      </c>
      <c r="C1332" s="265">
        <v>27</v>
      </c>
      <c r="D1332" s="266">
        <f t="shared" si="106"/>
        <v>45134</v>
      </c>
      <c r="E1332" s="267">
        <f t="shared" si="105"/>
        <v>45134</v>
      </c>
      <c r="F1332" s="532"/>
      <c r="G1332" s="268" t="s">
        <v>1245</v>
      </c>
      <c r="H1332" s="269"/>
      <c r="I1332" s="269" t="s">
        <v>1253</v>
      </c>
      <c r="J1332" s="265" t="s">
        <v>153</v>
      </c>
      <c r="K1332" s="270"/>
      <c r="L1332" s="270">
        <v>12544.916666666666</v>
      </c>
    </row>
    <row r="1333" spans="1:12" ht="11.25" customHeight="1" x14ac:dyDescent="0.2">
      <c r="A1333" s="259">
        <v>2023</v>
      </c>
      <c r="B1333" s="259">
        <v>7</v>
      </c>
      <c r="C1333" s="259">
        <v>27</v>
      </c>
      <c r="D1333" s="260">
        <f t="shared" si="106"/>
        <v>45134</v>
      </c>
      <c r="E1333" s="261">
        <f t="shared" si="105"/>
        <v>45134</v>
      </c>
      <c r="F1333" s="531" t="s">
        <v>1388</v>
      </c>
      <c r="G1333" s="262" t="s">
        <v>1245</v>
      </c>
      <c r="H1333" s="263"/>
      <c r="I1333" s="263" t="s">
        <v>1253</v>
      </c>
      <c r="J1333" s="259" t="s">
        <v>1476</v>
      </c>
      <c r="K1333" s="264">
        <v>10954.355555555576</v>
      </c>
      <c r="L1333" s="264"/>
    </row>
    <row r="1334" spans="1:12" ht="11.25" customHeight="1" x14ac:dyDescent="0.2">
      <c r="A1334" s="265">
        <v>2023</v>
      </c>
      <c r="B1334" s="265">
        <v>7</v>
      </c>
      <c r="C1334" s="265">
        <v>27</v>
      </c>
      <c r="D1334" s="266">
        <f t="shared" si="106"/>
        <v>45134</v>
      </c>
      <c r="E1334" s="267">
        <f t="shared" si="105"/>
        <v>45134</v>
      </c>
      <c r="F1334" s="532"/>
      <c r="G1334" s="268" t="s">
        <v>1245</v>
      </c>
      <c r="H1334" s="269"/>
      <c r="I1334" s="269" t="s">
        <v>1253</v>
      </c>
      <c r="J1334" s="265" t="s">
        <v>153</v>
      </c>
      <c r="K1334" s="270"/>
      <c r="L1334" s="270">
        <v>10954.355555555576</v>
      </c>
    </row>
    <row r="1335" spans="1:12" ht="11.25" customHeight="1" x14ac:dyDescent="0.2">
      <c r="A1335" s="259">
        <v>2023</v>
      </c>
      <c r="B1335" s="259">
        <v>7</v>
      </c>
      <c r="C1335" s="259">
        <v>27</v>
      </c>
      <c r="D1335" s="260">
        <f t="shared" si="106"/>
        <v>45134</v>
      </c>
      <c r="E1335" s="261">
        <f>DATE(A1335,B1335,C1335)</f>
        <v>45134</v>
      </c>
      <c r="F1335" s="531" t="s">
        <v>1313</v>
      </c>
      <c r="G1335" s="262" t="s">
        <v>1245</v>
      </c>
      <c r="H1335" s="263"/>
      <c r="I1335" s="263" t="s">
        <v>1253</v>
      </c>
      <c r="J1335" s="259" t="s">
        <v>1476</v>
      </c>
      <c r="K1335" s="264">
        <v>8326.6666666666661</v>
      </c>
      <c r="L1335" s="264"/>
    </row>
    <row r="1336" spans="1:12" ht="11.25" customHeight="1" x14ac:dyDescent="0.2">
      <c r="A1336" s="265">
        <v>2023</v>
      </c>
      <c r="B1336" s="265">
        <v>7</v>
      </c>
      <c r="C1336" s="265">
        <v>27</v>
      </c>
      <c r="D1336" s="266">
        <f t="shared" si="106"/>
        <v>45134</v>
      </c>
      <c r="E1336" s="267">
        <f>DATE(A1336,B1336,C1336)</f>
        <v>45134</v>
      </c>
      <c r="F1336" s="532"/>
      <c r="G1336" s="268" t="s">
        <v>1245</v>
      </c>
      <c r="H1336" s="269"/>
      <c r="I1336" s="269" t="s">
        <v>1253</v>
      </c>
      <c r="J1336" s="265" t="s">
        <v>153</v>
      </c>
      <c r="K1336" s="270"/>
      <c r="L1336" s="270">
        <v>8326.6666666666661</v>
      </c>
    </row>
    <row r="1337" spans="1:12" ht="11.25" customHeight="1" x14ac:dyDescent="0.2">
      <c r="A1337" s="259">
        <v>2023</v>
      </c>
      <c r="B1337" s="259">
        <v>7</v>
      </c>
      <c r="C1337" s="259">
        <v>27</v>
      </c>
      <c r="D1337" s="260">
        <f t="shared" si="106"/>
        <v>45134</v>
      </c>
      <c r="E1337" s="261">
        <f>DATE(A1337,B1337,C1337)</f>
        <v>45134</v>
      </c>
      <c r="F1337" s="531" t="s">
        <v>1397</v>
      </c>
      <c r="G1337" s="262" t="s">
        <v>1245</v>
      </c>
      <c r="H1337" s="263"/>
      <c r="I1337" s="263" t="s">
        <v>1253</v>
      </c>
      <c r="J1337" s="259" t="s">
        <v>1476</v>
      </c>
      <c r="K1337" s="264">
        <v>3693.4422222222202</v>
      </c>
      <c r="L1337" s="264"/>
    </row>
    <row r="1338" spans="1:12" ht="11.25" customHeight="1" x14ac:dyDescent="0.2">
      <c r="A1338" s="265">
        <v>2023</v>
      </c>
      <c r="B1338" s="265">
        <v>7</v>
      </c>
      <c r="C1338" s="265">
        <v>27</v>
      </c>
      <c r="D1338" s="266">
        <f t="shared" si="106"/>
        <v>45134</v>
      </c>
      <c r="E1338" s="267">
        <f>DATE(A1338,B1338,C1338)</f>
        <v>45134</v>
      </c>
      <c r="F1338" s="532"/>
      <c r="G1338" s="268" t="s">
        <v>1245</v>
      </c>
      <c r="H1338" s="269"/>
      <c r="I1338" s="269" t="s">
        <v>1253</v>
      </c>
      <c r="J1338" s="265" t="s">
        <v>153</v>
      </c>
      <c r="K1338" s="270"/>
      <c r="L1338" s="270">
        <v>3693.4422222222202</v>
      </c>
    </row>
    <row r="1339" spans="1:12" ht="11.25" customHeight="1" x14ac:dyDescent="0.2">
      <c r="A1339" s="222">
        <v>2023</v>
      </c>
      <c r="B1339" s="222">
        <v>7</v>
      </c>
      <c r="C1339" s="222">
        <v>27</v>
      </c>
      <c r="D1339" s="223">
        <f t="shared" si="106"/>
        <v>45134</v>
      </c>
      <c r="E1339" s="240">
        <f t="shared" si="105"/>
        <v>45134</v>
      </c>
      <c r="F1339" s="511" t="s">
        <v>1244</v>
      </c>
      <c r="G1339" s="225" t="s">
        <v>1245</v>
      </c>
      <c r="H1339" s="226"/>
      <c r="I1339" s="226" t="s">
        <v>1253</v>
      </c>
      <c r="J1339" s="222" t="s">
        <v>72</v>
      </c>
      <c r="K1339" s="227">
        <v>167777.13809523731</v>
      </c>
      <c r="L1339" s="227"/>
    </row>
    <row r="1340" spans="1:12" ht="11.25" customHeight="1" x14ac:dyDescent="0.2">
      <c r="A1340" s="228">
        <v>2023</v>
      </c>
      <c r="B1340" s="228">
        <v>7</v>
      </c>
      <c r="C1340" s="228">
        <v>27</v>
      </c>
      <c r="D1340" s="229">
        <f t="shared" si="106"/>
        <v>45134</v>
      </c>
      <c r="E1340" s="241">
        <f t="shared" si="105"/>
        <v>45134</v>
      </c>
      <c r="F1340" s="512"/>
      <c r="G1340" s="231" t="s">
        <v>1245</v>
      </c>
      <c r="H1340" s="232"/>
      <c r="I1340" s="232" t="s">
        <v>1253</v>
      </c>
      <c r="J1340" s="228" t="s">
        <v>87</v>
      </c>
      <c r="K1340" s="233"/>
      <c r="L1340" s="233">
        <v>167777.13809523731</v>
      </c>
    </row>
    <row r="1341" spans="1:12" ht="11.25" customHeight="1" x14ac:dyDescent="0.2">
      <c r="A1341" s="222">
        <v>2023</v>
      </c>
      <c r="B1341" s="222">
        <v>7</v>
      </c>
      <c r="C1341" s="222">
        <v>27</v>
      </c>
      <c r="D1341" s="223">
        <f t="shared" si="106"/>
        <v>45134</v>
      </c>
      <c r="E1341" s="240">
        <f t="shared" si="105"/>
        <v>45134</v>
      </c>
      <c r="F1341" s="511" t="s">
        <v>1246</v>
      </c>
      <c r="G1341" s="225" t="s">
        <v>1245</v>
      </c>
      <c r="H1341" s="226"/>
      <c r="I1341" s="226" t="s">
        <v>1253</v>
      </c>
      <c r="J1341" s="222" t="s">
        <v>75</v>
      </c>
      <c r="K1341" s="227">
        <v>3623.123846153846</v>
      </c>
      <c r="L1341" s="227"/>
    </row>
    <row r="1342" spans="1:12" ht="11.25" customHeight="1" x14ac:dyDescent="0.2">
      <c r="A1342" s="228">
        <v>2023</v>
      </c>
      <c r="B1342" s="228">
        <v>7</v>
      </c>
      <c r="C1342" s="228">
        <v>27</v>
      </c>
      <c r="D1342" s="229">
        <f t="shared" si="106"/>
        <v>45134</v>
      </c>
      <c r="E1342" s="241">
        <f t="shared" si="105"/>
        <v>45134</v>
      </c>
      <c r="F1342" s="512"/>
      <c r="G1342" s="231" t="s">
        <v>1245</v>
      </c>
      <c r="H1342" s="232"/>
      <c r="I1342" s="232" t="s">
        <v>1253</v>
      </c>
      <c r="J1342" s="228" t="s">
        <v>55</v>
      </c>
      <c r="K1342" s="233"/>
      <c r="L1342" s="233">
        <v>3623.123846153846</v>
      </c>
    </row>
    <row r="1343" spans="1:12" ht="11.25" customHeight="1" x14ac:dyDescent="0.2">
      <c r="A1343" s="222">
        <v>2023</v>
      </c>
      <c r="B1343" s="222">
        <v>7</v>
      </c>
      <c r="C1343" s="222">
        <v>27</v>
      </c>
      <c r="D1343" s="223">
        <f t="shared" si="106"/>
        <v>45134</v>
      </c>
      <c r="E1343" s="240">
        <f t="shared" si="105"/>
        <v>45134</v>
      </c>
      <c r="F1343" s="511" t="s">
        <v>1247</v>
      </c>
      <c r="G1343" s="225" t="s">
        <v>1245</v>
      </c>
      <c r="H1343" s="226"/>
      <c r="I1343" s="226" t="s">
        <v>1253</v>
      </c>
      <c r="J1343" s="222" t="s">
        <v>77</v>
      </c>
      <c r="K1343" s="227">
        <v>25192.305795717966</v>
      </c>
      <c r="L1343" s="227"/>
    </row>
    <row r="1344" spans="1:12" ht="11.25" customHeight="1" x14ac:dyDescent="0.2">
      <c r="A1344" s="228">
        <v>2023</v>
      </c>
      <c r="B1344" s="228">
        <v>7</v>
      </c>
      <c r="C1344" s="228">
        <v>27</v>
      </c>
      <c r="D1344" s="229">
        <f t="shared" si="106"/>
        <v>45134</v>
      </c>
      <c r="E1344" s="241">
        <f t="shared" si="105"/>
        <v>45134</v>
      </c>
      <c r="F1344" s="512"/>
      <c r="G1344" s="231" t="s">
        <v>1245</v>
      </c>
      <c r="H1344" s="232"/>
      <c r="I1344" s="232" t="s">
        <v>1253</v>
      </c>
      <c r="J1344" s="228" t="s">
        <v>41</v>
      </c>
      <c r="K1344" s="233"/>
      <c r="L1344" s="233">
        <v>25192.305795717966</v>
      </c>
    </row>
    <row r="1345" spans="1:13" ht="11.25" customHeight="1" x14ac:dyDescent="0.2">
      <c r="A1345" s="222">
        <v>2023</v>
      </c>
      <c r="B1345" s="222">
        <v>7</v>
      </c>
      <c r="C1345" s="222">
        <v>27</v>
      </c>
      <c r="D1345" s="223">
        <f t="shared" si="106"/>
        <v>45134</v>
      </c>
      <c r="E1345" s="240">
        <f t="shared" si="105"/>
        <v>45134</v>
      </c>
      <c r="F1345" s="511" t="s">
        <v>1248</v>
      </c>
      <c r="G1345" s="225" t="s">
        <v>1245</v>
      </c>
      <c r="H1345" s="226"/>
      <c r="I1345" s="226" t="s">
        <v>1253</v>
      </c>
      <c r="J1345" s="222" t="s">
        <v>80</v>
      </c>
      <c r="K1345" s="227">
        <v>1259.6152897858983</v>
      </c>
      <c r="L1345" s="227"/>
    </row>
    <row r="1346" spans="1:13" ht="11.25" customHeight="1" x14ac:dyDescent="0.2">
      <c r="A1346" s="228">
        <v>2023</v>
      </c>
      <c r="B1346" s="228">
        <v>7</v>
      </c>
      <c r="C1346" s="228">
        <v>27</v>
      </c>
      <c r="D1346" s="229">
        <f t="shared" si="106"/>
        <v>45134</v>
      </c>
      <c r="E1346" s="241">
        <f t="shared" si="105"/>
        <v>45134</v>
      </c>
      <c r="F1346" s="512"/>
      <c r="G1346" s="231" t="s">
        <v>1245</v>
      </c>
      <c r="H1346" s="232"/>
      <c r="I1346" s="232" t="s">
        <v>1253</v>
      </c>
      <c r="J1346" s="228" t="s">
        <v>42</v>
      </c>
      <c r="K1346" s="233"/>
      <c r="L1346" s="233">
        <v>1259.6152897858983</v>
      </c>
    </row>
    <row r="1347" spans="1:13" ht="11.25" customHeight="1" x14ac:dyDescent="0.2">
      <c r="A1347" s="197">
        <v>2023</v>
      </c>
      <c r="B1347" s="197">
        <v>7</v>
      </c>
      <c r="C1347" s="197">
        <v>30</v>
      </c>
      <c r="D1347" s="198">
        <f t="shared" si="106"/>
        <v>45137</v>
      </c>
      <c r="E1347" s="199">
        <f t="shared" si="105"/>
        <v>45137</v>
      </c>
      <c r="F1347" s="513" t="s">
        <v>1399</v>
      </c>
      <c r="G1347" s="200" t="s">
        <v>1209</v>
      </c>
      <c r="H1347" s="201"/>
      <c r="I1347" s="201"/>
      <c r="J1347" s="197" t="s">
        <v>171</v>
      </c>
      <c r="K1347" s="202">
        <v>1124298.5999999999</v>
      </c>
      <c r="L1347" s="202"/>
    </row>
    <row r="1348" spans="1:13" ht="11.25" customHeight="1" x14ac:dyDescent="0.2">
      <c r="A1348" s="191">
        <v>2023</v>
      </c>
      <c r="B1348" s="191">
        <v>7</v>
      </c>
      <c r="C1348" s="191">
        <v>30</v>
      </c>
      <c r="D1348" s="192">
        <f t="shared" si="106"/>
        <v>45137</v>
      </c>
      <c r="E1348" s="193">
        <f t="shared" si="105"/>
        <v>45137</v>
      </c>
      <c r="F1348" s="514"/>
      <c r="G1348" s="194" t="s">
        <v>1209</v>
      </c>
      <c r="H1348" s="195"/>
      <c r="I1348" s="195"/>
      <c r="J1348" s="191" t="s">
        <v>170</v>
      </c>
      <c r="K1348" s="196"/>
      <c r="L1348" s="196">
        <v>1124298.5999999999</v>
      </c>
    </row>
    <row r="1349" spans="1:13" ht="11.25" customHeight="1" x14ac:dyDescent="0.2">
      <c r="A1349" s="197">
        <v>2023</v>
      </c>
      <c r="B1349" s="197">
        <v>7</v>
      </c>
      <c r="C1349" s="197">
        <v>30</v>
      </c>
      <c r="D1349" s="198">
        <f t="shared" si="106"/>
        <v>45137</v>
      </c>
      <c r="E1349" s="209">
        <f t="shared" ref="E1349:E1356" si="107">DATE(A1349,B1349,C1349)</f>
        <v>45137</v>
      </c>
      <c r="F1349" s="513" t="s">
        <v>1210</v>
      </c>
      <c r="G1349" s="200" t="s">
        <v>1209</v>
      </c>
      <c r="H1349" s="201"/>
      <c r="I1349" s="201" t="s">
        <v>1214</v>
      </c>
      <c r="J1349" s="197" t="s">
        <v>46</v>
      </c>
      <c r="K1349" s="202">
        <v>500000</v>
      </c>
      <c r="L1349" s="202"/>
      <c r="M1349" s="251"/>
    </row>
    <row r="1350" spans="1:13" ht="11.25" customHeight="1" x14ac:dyDescent="0.2">
      <c r="A1350" s="120">
        <v>2023</v>
      </c>
      <c r="B1350" s="120">
        <v>7</v>
      </c>
      <c r="C1350" s="120">
        <v>30</v>
      </c>
      <c r="D1350" s="208">
        <f t="shared" si="106"/>
        <v>45137</v>
      </c>
      <c r="E1350" s="209">
        <f t="shared" si="107"/>
        <v>45137</v>
      </c>
      <c r="F1350" s="515"/>
      <c r="G1350" s="132" t="s">
        <v>1209</v>
      </c>
      <c r="I1350" s="128" t="s">
        <v>1214</v>
      </c>
      <c r="J1350" s="120" t="s">
        <v>16</v>
      </c>
      <c r="K1350" s="207"/>
      <c r="L1350" s="207">
        <v>482890</v>
      </c>
    </row>
    <row r="1351" spans="1:13" ht="11.25" customHeight="1" x14ac:dyDescent="0.2">
      <c r="A1351" s="191">
        <v>2023</v>
      </c>
      <c r="B1351" s="191">
        <v>7</v>
      </c>
      <c r="C1351" s="191">
        <v>30</v>
      </c>
      <c r="D1351" s="192">
        <f t="shared" si="106"/>
        <v>45137</v>
      </c>
      <c r="E1351" s="193">
        <f t="shared" si="107"/>
        <v>45137</v>
      </c>
      <c r="F1351" s="514"/>
      <c r="G1351" s="194" t="s">
        <v>1209</v>
      </c>
      <c r="H1351" s="195"/>
      <c r="I1351" s="195" t="s">
        <v>1214</v>
      </c>
      <c r="J1351" s="191" t="s">
        <v>47</v>
      </c>
      <c r="K1351" s="196"/>
      <c r="L1351" s="196">
        <v>17110</v>
      </c>
    </row>
    <row r="1352" spans="1:13" ht="11.25" customHeight="1" x14ac:dyDescent="0.2">
      <c r="A1352" s="197">
        <v>2023</v>
      </c>
      <c r="B1352" s="197">
        <v>7</v>
      </c>
      <c r="C1352" s="197">
        <v>30</v>
      </c>
      <c r="D1352" s="198">
        <f t="shared" si="106"/>
        <v>45137</v>
      </c>
      <c r="E1352" s="209">
        <f t="shared" si="107"/>
        <v>45137</v>
      </c>
      <c r="F1352" s="513" t="s">
        <v>1280</v>
      </c>
      <c r="G1352" s="200" t="s">
        <v>1209</v>
      </c>
      <c r="H1352" s="201"/>
      <c r="I1352" s="201" t="s">
        <v>389</v>
      </c>
      <c r="J1352" s="197" t="s">
        <v>16</v>
      </c>
      <c r="K1352" s="202">
        <v>685070</v>
      </c>
      <c r="L1352" s="202"/>
      <c r="M1352" s="251"/>
    </row>
    <row r="1353" spans="1:13" ht="11.25" customHeight="1" x14ac:dyDescent="0.2">
      <c r="A1353" s="120">
        <v>2023</v>
      </c>
      <c r="B1353" s="120">
        <v>7</v>
      </c>
      <c r="C1353" s="120">
        <v>30</v>
      </c>
      <c r="D1353" s="208">
        <f t="shared" si="106"/>
        <v>45137</v>
      </c>
      <c r="E1353" s="209">
        <f t="shared" si="107"/>
        <v>45137</v>
      </c>
      <c r="F1353" s="515"/>
      <c r="G1353" s="132" t="s">
        <v>1209</v>
      </c>
      <c r="I1353" s="128" t="s">
        <v>389</v>
      </c>
      <c r="J1353" s="120" t="s">
        <v>47</v>
      </c>
      <c r="K1353" s="207">
        <v>14930</v>
      </c>
      <c r="L1353" s="207"/>
    </row>
    <row r="1354" spans="1:13" ht="11.25" customHeight="1" x14ac:dyDescent="0.2">
      <c r="A1354" s="191">
        <v>2023</v>
      </c>
      <c r="B1354" s="191">
        <v>7</v>
      </c>
      <c r="C1354" s="191">
        <v>30</v>
      </c>
      <c r="D1354" s="192">
        <f t="shared" si="106"/>
        <v>45137</v>
      </c>
      <c r="E1354" s="193">
        <f t="shared" si="107"/>
        <v>45137</v>
      </c>
      <c r="F1354" s="514"/>
      <c r="G1354" s="194" t="s">
        <v>1209</v>
      </c>
      <c r="H1354" s="195"/>
      <c r="I1354" s="195" t="s">
        <v>389</v>
      </c>
      <c r="J1354" s="191" t="s">
        <v>46</v>
      </c>
      <c r="K1354" s="196"/>
      <c r="L1354" s="196">
        <v>700000</v>
      </c>
    </row>
    <row r="1355" spans="1:13" ht="11.25" customHeight="1" x14ac:dyDescent="0.2">
      <c r="A1355" s="197">
        <v>2023</v>
      </c>
      <c r="B1355" s="197">
        <v>7</v>
      </c>
      <c r="C1355" s="197">
        <v>30</v>
      </c>
      <c r="D1355" s="198">
        <f t="shared" si="106"/>
        <v>45137</v>
      </c>
      <c r="E1355" s="199">
        <f t="shared" si="107"/>
        <v>45137</v>
      </c>
      <c r="F1355" s="513" t="s">
        <v>1323</v>
      </c>
      <c r="G1355" s="200" t="s">
        <v>1209</v>
      </c>
      <c r="H1355" s="201"/>
      <c r="I1355" s="201"/>
      <c r="J1355" s="197" t="s">
        <v>54</v>
      </c>
      <c r="K1355" s="202">
        <v>160</v>
      </c>
      <c r="L1355" s="202"/>
    </row>
    <row r="1356" spans="1:13" ht="11.25" customHeight="1" x14ac:dyDescent="0.2">
      <c r="A1356" s="191">
        <v>2023</v>
      </c>
      <c r="B1356" s="191">
        <v>7</v>
      </c>
      <c r="C1356" s="191">
        <v>30</v>
      </c>
      <c r="D1356" s="192">
        <f t="shared" si="106"/>
        <v>45137</v>
      </c>
      <c r="E1356" s="193">
        <f t="shared" si="107"/>
        <v>45137</v>
      </c>
      <c r="F1356" s="514"/>
      <c r="G1356" s="194" t="s">
        <v>1209</v>
      </c>
      <c r="H1356" s="195"/>
      <c r="I1356" s="195"/>
      <c r="J1356" s="191" t="s">
        <v>46</v>
      </c>
      <c r="K1356" s="196"/>
      <c r="L1356" s="196">
        <v>160</v>
      </c>
    </row>
    <row r="1357" spans="1:13" ht="11.25" customHeight="1" x14ac:dyDescent="0.2">
      <c r="A1357" s="197">
        <v>2023</v>
      </c>
      <c r="B1357" s="197">
        <v>7</v>
      </c>
      <c r="C1357" s="197">
        <v>31</v>
      </c>
      <c r="D1357" s="198">
        <f t="shared" si="106"/>
        <v>45138</v>
      </c>
      <c r="E1357" s="199">
        <f t="shared" si="105"/>
        <v>45138</v>
      </c>
      <c r="F1357" s="513" t="s">
        <v>1396</v>
      </c>
      <c r="G1357" s="200" t="s">
        <v>1209</v>
      </c>
      <c r="H1357" s="201"/>
      <c r="I1357" s="201"/>
      <c r="J1357" s="197" t="s">
        <v>173</v>
      </c>
      <c r="K1357" s="202">
        <v>1800</v>
      </c>
      <c r="L1357" s="202"/>
    </row>
    <row r="1358" spans="1:13" ht="11.25" customHeight="1" x14ac:dyDescent="0.2">
      <c r="A1358" s="191">
        <v>2023</v>
      </c>
      <c r="B1358" s="191">
        <v>7</v>
      </c>
      <c r="C1358" s="191">
        <v>31</v>
      </c>
      <c r="D1358" s="192">
        <f t="shared" si="106"/>
        <v>45138</v>
      </c>
      <c r="E1358" s="193">
        <f t="shared" si="105"/>
        <v>45138</v>
      </c>
      <c r="F1358" s="514"/>
      <c r="G1358" s="194" t="s">
        <v>1209</v>
      </c>
      <c r="H1358" s="195"/>
      <c r="I1358" s="195"/>
      <c r="J1358" s="191" t="s">
        <v>46</v>
      </c>
      <c r="K1358" s="196"/>
      <c r="L1358" s="196">
        <v>1800</v>
      </c>
    </row>
    <row r="1359" spans="1:13" ht="11.25" customHeight="1" x14ac:dyDescent="0.2">
      <c r="A1359" s="197">
        <v>2023</v>
      </c>
      <c r="B1359" s="120">
        <v>7</v>
      </c>
      <c r="C1359" s="120">
        <v>31</v>
      </c>
      <c r="D1359" s="198">
        <f t="shared" si="106"/>
        <v>45138</v>
      </c>
      <c r="E1359" s="199">
        <f t="shared" ref="E1359:E1365" si="108">DATE(A1359,B1359,C1359)</f>
        <v>45138</v>
      </c>
      <c r="F1359" s="513" t="s">
        <v>1390</v>
      </c>
      <c r="G1359" s="200" t="s">
        <v>1209</v>
      </c>
      <c r="H1359" s="200"/>
      <c r="I1359" s="201" t="s">
        <v>1253</v>
      </c>
      <c r="J1359" s="197" t="s">
        <v>178</v>
      </c>
      <c r="K1359" s="202">
        <v>181472.76</v>
      </c>
      <c r="L1359" s="202"/>
    </row>
    <row r="1360" spans="1:13" ht="11.25" customHeight="1" x14ac:dyDescent="0.2">
      <c r="A1360" s="120">
        <v>2023</v>
      </c>
      <c r="B1360" s="120">
        <v>7</v>
      </c>
      <c r="C1360" s="120">
        <v>31</v>
      </c>
      <c r="D1360" s="198">
        <f t="shared" si="106"/>
        <v>45138</v>
      </c>
      <c r="E1360" s="209">
        <f t="shared" si="108"/>
        <v>45138</v>
      </c>
      <c r="F1360" s="515"/>
      <c r="G1360" s="132" t="s">
        <v>1209</v>
      </c>
      <c r="H1360" s="132"/>
      <c r="J1360" s="120" t="s">
        <v>71</v>
      </c>
      <c r="K1360" s="207">
        <v>327.24</v>
      </c>
      <c r="L1360" s="207"/>
    </row>
    <row r="1361" spans="1:13" ht="11.25" customHeight="1" x14ac:dyDescent="0.2">
      <c r="A1361" s="120">
        <v>2023</v>
      </c>
      <c r="B1361" s="120">
        <v>7</v>
      </c>
      <c r="C1361" s="120">
        <v>31</v>
      </c>
      <c r="D1361" s="198">
        <f t="shared" si="106"/>
        <v>45138</v>
      </c>
      <c r="E1361" s="209">
        <f t="shared" si="108"/>
        <v>45138</v>
      </c>
      <c r="F1361" s="515"/>
      <c r="G1361" s="132" t="s">
        <v>1209</v>
      </c>
      <c r="H1361" s="132"/>
      <c r="I1361" s="128" t="s">
        <v>1253</v>
      </c>
      <c r="J1361" s="120" t="s">
        <v>179</v>
      </c>
      <c r="K1361" s="207"/>
      <c r="L1361" s="207">
        <v>136800</v>
      </c>
    </row>
    <row r="1362" spans="1:13" ht="11.25" customHeight="1" x14ac:dyDescent="0.2">
      <c r="A1362" s="191">
        <v>2023</v>
      </c>
      <c r="B1362" s="191">
        <v>7</v>
      </c>
      <c r="C1362" s="191">
        <v>31</v>
      </c>
      <c r="D1362" s="249">
        <f t="shared" si="106"/>
        <v>45138</v>
      </c>
      <c r="E1362" s="193">
        <f t="shared" si="108"/>
        <v>45138</v>
      </c>
      <c r="F1362" s="514"/>
      <c r="G1362" s="194" t="s">
        <v>1209</v>
      </c>
      <c r="H1362" s="194"/>
      <c r="I1362" s="195"/>
      <c r="J1362" s="191" t="s">
        <v>70</v>
      </c>
      <c r="K1362" s="196"/>
      <c r="L1362" s="196">
        <v>45000</v>
      </c>
      <c r="M1362" s="251"/>
    </row>
    <row r="1363" spans="1:13" ht="11.25" customHeight="1" x14ac:dyDescent="0.2">
      <c r="A1363" s="197">
        <v>2023</v>
      </c>
      <c r="B1363" s="197">
        <v>8</v>
      </c>
      <c r="C1363" s="197">
        <v>3</v>
      </c>
      <c r="D1363" s="198">
        <f t="shared" si="106"/>
        <v>45141</v>
      </c>
      <c r="E1363" s="209">
        <f t="shared" si="108"/>
        <v>45141</v>
      </c>
      <c r="F1363" s="513" t="s">
        <v>1210</v>
      </c>
      <c r="G1363" s="200" t="s">
        <v>1209</v>
      </c>
      <c r="H1363" s="201"/>
      <c r="I1363" s="201" t="s">
        <v>1400</v>
      </c>
      <c r="J1363" s="197" t="s">
        <v>46</v>
      </c>
      <c r="K1363" s="202">
        <v>100000</v>
      </c>
      <c r="L1363" s="202"/>
      <c r="M1363" s="251"/>
    </row>
    <row r="1364" spans="1:13" ht="11.25" customHeight="1" x14ac:dyDescent="0.2">
      <c r="A1364" s="120">
        <v>2023</v>
      </c>
      <c r="B1364" s="120">
        <v>8</v>
      </c>
      <c r="C1364" s="120">
        <v>3</v>
      </c>
      <c r="D1364" s="208">
        <f t="shared" si="106"/>
        <v>45141</v>
      </c>
      <c r="E1364" s="209">
        <f t="shared" si="108"/>
        <v>45141</v>
      </c>
      <c r="F1364" s="515"/>
      <c r="G1364" s="132" t="s">
        <v>1209</v>
      </c>
      <c r="I1364" s="128" t="s">
        <v>1400</v>
      </c>
      <c r="J1364" s="120" t="s">
        <v>16</v>
      </c>
      <c r="K1364" s="207"/>
      <c r="L1364" s="207">
        <v>96460</v>
      </c>
    </row>
    <row r="1365" spans="1:13" ht="11.25" customHeight="1" x14ac:dyDescent="0.2">
      <c r="A1365" s="191">
        <v>2023</v>
      </c>
      <c r="B1365" s="191">
        <v>8</v>
      </c>
      <c r="C1365" s="191">
        <v>3</v>
      </c>
      <c r="D1365" s="192">
        <f t="shared" si="106"/>
        <v>45141</v>
      </c>
      <c r="E1365" s="193">
        <f t="shared" si="108"/>
        <v>45141</v>
      </c>
      <c r="F1365" s="514"/>
      <c r="G1365" s="194" t="s">
        <v>1209</v>
      </c>
      <c r="H1365" s="195"/>
      <c r="I1365" s="195" t="s">
        <v>1400</v>
      </c>
      <c r="J1365" s="191" t="s">
        <v>47</v>
      </c>
      <c r="K1365" s="196"/>
      <c r="L1365" s="196">
        <v>3540</v>
      </c>
    </row>
    <row r="1366" spans="1:13" ht="11.25" customHeight="1" x14ac:dyDescent="0.2">
      <c r="A1366" s="197">
        <v>2023</v>
      </c>
      <c r="B1366" s="197">
        <v>8</v>
      </c>
      <c r="C1366" s="197">
        <v>3</v>
      </c>
      <c r="D1366" s="198">
        <f t="shared" si="106"/>
        <v>45141</v>
      </c>
      <c r="E1366" s="209">
        <f t="shared" ref="E1366:E1398" si="109">DATE(A1366,B1366,C1366)</f>
        <v>45141</v>
      </c>
      <c r="F1366" s="513" t="s">
        <v>1210</v>
      </c>
      <c r="G1366" s="200" t="s">
        <v>1209</v>
      </c>
      <c r="H1366" s="201"/>
      <c r="I1366" s="201" t="s">
        <v>1214</v>
      </c>
      <c r="J1366" s="197" t="s">
        <v>46</v>
      </c>
      <c r="K1366" s="202">
        <v>20000</v>
      </c>
      <c r="L1366" s="202"/>
      <c r="M1366" s="251"/>
    </row>
    <row r="1367" spans="1:13" ht="11.25" customHeight="1" x14ac:dyDescent="0.2">
      <c r="A1367" s="120">
        <v>2023</v>
      </c>
      <c r="B1367" s="120">
        <v>8</v>
      </c>
      <c r="C1367" s="120">
        <v>3</v>
      </c>
      <c r="D1367" s="208">
        <f t="shared" si="106"/>
        <v>45141</v>
      </c>
      <c r="E1367" s="209">
        <f t="shared" si="109"/>
        <v>45141</v>
      </c>
      <c r="F1367" s="515"/>
      <c r="G1367" s="132" t="s">
        <v>1209</v>
      </c>
      <c r="I1367" s="128" t="s">
        <v>1214</v>
      </c>
      <c r="J1367" s="120" t="s">
        <v>16</v>
      </c>
      <c r="K1367" s="207"/>
      <c r="L1367" s="207">
        <v>19290</v>
      </c>
    </row>
    <row r="1368" spans="1:13" ht="11.25" customHeight="1" x14ac:dyDescent="0.2">
      <c r="A1368" s="191">
        <v>2023</v>
      </c>
      <c r="B1368" s="191">
        <v>8</v>
      </c>
      <c r="C1368" s="191">
        <v>3</v>
      </c>
      <c r="D1368" s="192">
        <f t="shared" si="106"/>
        <v>45141</v>
      </c>
      <c r="E1368" s="193">
        <f t="shared" si="109"/>
        <v>45141</v>
      </c>
      <c r="F1368" s="514"/>
      <c r="G1368" s="194" t="s">
        <v>1209</v>
      </c>
      <c r="H1368" s="195"/>
      <c r="I1368" s="195" t="s">
        <v>1214</v>
      </c>
      <c r="J1368" s="191" t="s">
        <v>47</v>
      </c>
      <c r="K1368" s="196"/>
      <c r="L1368" s="196">
        <v>710</v>
      </c>
    </row>
    <row r="1369" spans="1:13" ht="11.25" customHeight="1" x14ac:dyDescent="0.2">
      <c r="A1369" s="197">
        <v>2023</v>
      </c>
      <c r="B1369" s="197">
        <v>8</v>
      </c>
      <c r="C1369" s="197">
        <v>3</v>
      </c>
      <c r="D1369" s="198">
        <f t="shared" si="106"/>
        <v>45141</v>
      </c>
      <c r="E1369" s="199">
        <f t="shared" si="109"/>
        <v>45141</v>
      </c>
      <c r="F1369" s="513" t="s">
        <v>1391</v>
      </c>
      <c r="G1369" s="200" t="s">
        <v>1209</v>
      </c>
      <c r="H1369" s="201"/>
      <c r="I1369" s="201"/>
      <c r="J1369" s="197" t="s">
        <v>46</v>
      </c>
      <c r="K1369" s="202">
        <v>181000</v>
      </c>
      <c r="L1369" s="202"/>
    </row>
    <row r="1370" spans="1:13" ht="11.25" customHeight="1" x14ac:dyDescent="0.2">
      <c r="A1370" s="191">
        <v>2023</v>
      </c>
      <c r="B1370" s="191">
        <v>8</v>
      </c>
      <c r="C1370" s="191">
        <v>3</v>
      </c>
      <c r="D1370" s="192">
        <f t="shared" si="106"/>
        <v>45141</v>
      </c>
      <c r="E1370" s="193">
        <f t="shared" si="109"/>
        <v>45141</v>
      </c>
      <c r="F1370" s="514"/>
      <c r="G1370" s="194" t="s">
        <v>1209</v>
      </c>
      <c r="H1370" s="195"/>
      <c r="I1370" s="195"/>
      <c r="J1370" s="191" t="s">
        <v>178</v>
      </c>
      <c r="K1370" s="196"/>
      <c r="L1370" s="196">
        <v>181000</v>
      </c>
    </row>
    <row r="1371" spans="1:13" ht="11.25" customHeight="1" x14ac:dyDescent="0.2">
      <c r="A1371" s="197">
        <v>2023</v>
      </c>
      <c r="B1371" s="197">
        <v>8</v>
      </c>
      <c r="C1371" s="197">
        <v>3</v>
      </c>
      <c r="D1371" s="198">
        <f t="shared" si="106"/>
        <v>45141</v>
      </c>
      <c r="E1371" s="209">
        <f t="shared" si="109"/>
        <v>45141</v>
      </c>
      <c r="F1371" s="513" t="s">
        <v>1408</v>
      </c>
      <c r="G1371" s="200" t="s">
        <v>1209</v>
      </c>
      <c r="H1371" s="201"/>
      <c r="I1371" s="201"/>
      <c r="J1371" s="248" t="s">
        <v>46</v>
      </c>
      <c r="K1371" s="202">
        <v>9687.5</v>
      </c>
      <c r="L1371" s="202"/>
      <c r="M1371" s="251"/>
    </row>
    <row r="1372" spans="1:13" ht="11.25" customHeight="1" x14ac:dyDescent="0.2">
      <c r="A1372" s="191">
        <v>2023</v>
      </c>
      <c r="B1372" s="191">
        <v>8</v>
      </c>
      <c r="C1372" s="191">
        <v>3</v>
      </c>
      <c r="D1372" s="192">
        <f t="shared" si="106"/>
        <v>45141</v>
      </c>
      <c r="E1372" s="193">
        <f t="shared" si="109"/>
        <v>45141</v>
      </c>
      <c r="F1372" s="514"/>
      <c r="G1372" s="194" t="s">
        <v>1209</v>
      </c>
      <c r="H1372" s="195"/>
      <c r="I1372" s="195"/>
      <c r="J1372" s="250" t="s">
        <v>113</v>
      </c>
      <c r="K1372" s="196"/>
      <c r="L1372" s="196">
        <v>9687.5</v>
      </c>
    </row>
    <row r="1373" spans="1:13" ht="11.25" customHeight="1" x14ac:dyDescent="0.2">
      <c r="A1373" s="197">
        <v>2023</v>
      </c>
      <c r="B1373" s="197">
        <v>8</v>
      </c>
      <c r="C1373" s="197">
        <v>3</v>
      </c>
      <c r="D1373" s="198">
        <f t="shared" ref="D1373:D1434" si="110">DATE(A1373,B1373,C1373)</f>
        <v>45141</v>
      </c>
      <c r="E1373" s="209">
        <f>DATE(A1373,B1373,C1373)</f>
        <v>45141</v>
      </c>
      <c r="F1373" s="513" t="s">
        <v>1409</v>
      </c>
      <c r="G1373" s="200" t="s">
        <v>1209</v>
      </c>
      <c r="H1373" s="201"/>
      <c r="I1373" s="201"/>
      <c r="J1373" s="248" t="s">
        <v>46</v>
      </c>
      <c r="K1373" s="202">
        <v>9687.5</v>
      </c>
      <c r="L1373" s="202"/>
      <c r="M1373" s="251"/>
    </row>
    <row r="1374" spans="1:13" ht="11.25" customHeight="1" x14ac:dyDescent="0.2">
      <c r="A1374" s="191">
        <v>2023</v>
      </c>
      <c r="B1374" s="191">
        <v>8</v>
      </c>
      <c r="C1374" s="191">
        <v>3</v>
      </c>
      <c r="D1374" s="192">
        <f t="shared" si="110"/>
        <v>45141</v>
      </c>
      <c r="E1374" s="193">
        <f>DATE(A1374,B1374,C1374)</f>
        <v>45141</v>
      </c>
      <c r="F1374" s="514"/>
      <c r="G1374" s="194" t="s">
        <v>1209</v>
      </c>
      <c r="H1374" s="195"/>
      <c r="I1374" s="195"/>
      <c r="J1374" s="250" t="s">
        <v>113</v>
      </c>
      <c r="K1374" s="196"/>
      <c r="L1374" s="196">
        <v>9687.5</v>
      </c>
    </row>
    <row r="1375" spans="1:13" ht="11.25" customHeight="1" x14ac:dyDescent="0.2">
      <c r="A1375" s="197">
        <v>2023</v>
      </c>
      <c r="B1375" s="197">
        <v>8</v>
      </c>
      <c r="C1375" s="197">
        <v>3</v>
      </c>
      <c r="D1375" s="198">
        <f t="shared" si="110"/>
        <v>45141</v>
      </c>
      <c r="E1375" s="209">
        <f t="shared" si="109"/>
        <v>45141</v>
      </c>
      <c r="F1375" s="513" t="s">
        <v>1410</v>
      </c>
      <c r="G1375" s="200" t="s">
        <v>1209</v>
      </c>
      <c r="H1375" s="201"/>
      <c r="I1375" s="201"/>
      <c r="J1375" s="248" t="s">
        <v>46</v>
      </c>
      <c r="K1375" s="202">
        <v>9687.5</v>
      </c>
      <c r="L1375" s="202"/>
      <c r="M1375" s="251"/>
    </row>
    <row r="1376" spans="1:13" ht="11.25" customHeight="1" x14ac:dyDescent="0.2">
      <c r="A1376" s="191">
        <v>2023</v>
      </c>
      <c r="B1376" s="191">
        <v>8</v>
      </c>
      <c r="C1376" s="191">
        <v>3</v>
      </c>
      <c r="D1376" s="192">
        <f t="shared" si="110"/>
        <v>45141</v>
      </c>
      <c r="E1376" s="193">
        <f t="shared" si="109"/>
        <v>45141</v>
      </c>
      <c r="F1376" s="514"/>
      <c r="G1376" s="194" t="s">
        <v>1209</v>
      </c>
      <c r="H1376" s="195"/>
      <c r="I1376" s="195"/>
      <c r="J1376" s="250" t="s">
        <v>113</v>
      </c>
      <c r="K1376" s="196"/>
      <c r="L1376" s="196">
        <v>9687.5</v>
      </c>
    </row>
    <row r="1377" spans="1:15" ht="11.25" customHeight="1" x14ac:dyDescent="0.2">
      <c r="A1377" s="197">
        <v>2023</v>
      </c>
      <c r="B1377" s="197">
        <v>8</v>
      </c>
      <c r="C1377" s="197">
        <v>3</v>
      </c>
      <c r="D1377" s="198">
        <f t="shared" si="110"/>
        <v>45141</v>
      </c>
      <c r="E1377" s="209">
        <f>DATE(A1377,B1377,C1377)</f>
        <v>45141</v>
      </c>
      <c r="F1377" s="513" t="s">
        <v>1411</v>
      </c>
      <c r="G1377" s="200" t="s">
        <v>1209</v>
      </c>
      <c r="H1377" s="201"/>
      <c r="I1377" s="201"/>
      <c r="J1377" s="248" t="s">
        <v>46</v>
      </c>
      <c r="K1377" s="202">
        <v>9687.5</v>
      </c>
      <c r="L1377" s="202"/>
      <c r="M1377" s="251"/>
    </row>
    <row r="1378" spans="1:15" ht="11.25" customHeight="1" x14ac:dyDescent="0.2">
      <c r="A1378" s="191">
        <v>2023</v>
      </c>
      <c r="B1378" s="191">
        <v>8</v>
      </c>
      <c r="C1378" s="191">
        <v>3</v>
      </c>
      <c r="D1378" s="192">
        <f t="shared" si="110"/>
        <v>45141</v>
      </c>
      <c r="E1378" s="193">
        <f>DATE(A1378,B1378,C1378)</f>
        <v>45141</v>
      </c>
      <c r="F1378" s="514"/>
      <c r="G1378" s="194" t="s">
        <v>1209</v>
      </c>
      <c r="H1378" s="195"/>
      <c r="I1378" s="195"/>
      <c r="J1378" s="250" t="s">
        <v>113</v>
      </c>
      <c r="K1378" s="196"/>
      <c r="L1378" s="196">
        <v>9687.5</v>
      </c>
    </row>
    <row r="1379" spans="1:15" ht="11.25" customHeight="1" x14ac:dyDescent="0.2">
      <c r="A1379" s="210">
        <v>2023</v>
      </c>
      <c r="B1379" s="210">
        <v>8</v>
      </c>
      <c r="C1379" s="210">
        <v>3</v>
      </c>
      <c r="D1379" s="211">
        <f t="shared" si="110"/>
        <v>45141</v>
      </c>
      <c r="E1379" s="238">
        <f t="shared" si="109"/>
        <v>45141</v>
      </c>
      <c r="F1379" s="520" t="s">
        <v>1278</v>
      </c>
      <c r="G1379" s="213" t="s">
        <v>1245</v>
      </c>
      <c r="H1379" s="214"/>
      <c r="I1379" s="214" t="s">
        <v>1253</v>
      </c>
      <c r="J1379" s="210" t="s">
        <v>1529</v>
      </c>
      <c r="K1379" s="215">
        <v>5091.2307692307695</v>
      </c>
      <c r="L1379" s="215"/>
    </row>
    <row r="1380" spans="1:15" ht="11.25" customHeight="1" x14ac:dyDescent="0.2">
      <c r="A1380" s="216">
        <v>2023</v>
      </c>
      <c r="B1380" s="216">
        <v>8</v>
      </c>
      <c r="C1380" s="216">
        <v>3</v>
      </c>
      <c r="D1380" s="217">
        <f t="shared" si="110"/>
        <v>45141</v>
      </c>
      <c r="E1380" s="239">
        <f t="shared" si="109"/>
        <v>45141</v>
      </c>
      <c r="F1380" s="521"/>
      <c r="G1380" s="219" t="s">
        <v>1245</v>
      </c>
      <c r="H1380" s="220"/>
      <c r="I1380" s="220" t="s">
        <v>1253</v>
      </c>
      <c r="J1380" s="216" t="s">
        <v>1581</v>
      </c>
      <c r="K1380" s="221"/>
      <c r="L1380" s="221">
        <v>5091.2307692307695</v>
      </c>
    </row>
    <row r="1381" spans="1:15" ht="11.25" customHeight="1" x14ac:dyDescent="0.2">
      <c r="A1381" s="210">
        <v>2023</v>
      </c>
      <c r="B1381" s="210">
        <v>8</v>
      </c>
      <c r="C1381" s="210">
        <v>3</v>
      </c>
      <c r="D1381" s="211">
        <f t="shared" si="110"/>
        <v>45141</v>
      </c>
      <c r="E1381" s="238">
        <f t="shared" si="109"/>
        <v>45141</v>
      </c>
      <c r="F1381" s="520" t="s">
        <v>1285</v>
      </c>
      <c r="G1381" s="213" t="s">
        <v>1245</v>
      </c>
      <c r="H1381" s="214"/>
      <c r="I1381" s="214" t="s">
        <v>1253</v>
      </c>
      <c r="J1381" s="210" t="s">
        <v>1284</v>
      </c>
      <c r="K1381" s="215">
        <v>13771.15</v>
      </c>
      <c r="L1381" s="215"/>
    </row>
    <row r="1382" spans="1:15" ht="11.25" customHeight="1" x14ac:dyDescent="0.2">
      <c r="A1382" s="242">
        <v>2023</v>
      </c>
      <c r="B1382" s="216">
        <v>8</v>
      </c>
      <c r="C1382" s="216">
        <v>3</v>
      </c>
      <c r="D1382" s="243">
        <f t="shared" si="110"/>
        <v>45141</v>
      </c>
      <c r="E1382" s="244">
        <f>DATE(A1382,B1382,C1382)</f>
        <v>45141</v>
      </c>
      <c r="F1382" s="524"/>
      <c r="G1382" s="245" t="s">
        <v>1245</v>
      </c>
      <c r="H1382" s="246"/>
      <c r="I1382" s="246"/>
      <c r="J1382" s="242" t="s">
        <v>1582</v>
      </c>
      <c r="K1382" s="247"/>
      <c r="L1382" s="247">
        <v>13771.15</v>
      </c>
    </row>
    <row r="1383" spans="1:15" ht="11.25" customHeight="1" x14ac:dyDescent="0.2">
      <c r="A1383" s="210">
        <v>2023</v>
      </c>
      <c r="B1383" s="210">
        <v>8</v>
      </c>
      <c r="C1383" s="210">
        <v>3</v>
      </c>
      <c r="D1383" s="211">
        <f t="shared" si="110"/>
        <v>45141</v>
      </c>
      <c r="E1383" s="238">
        <f t="shared" si="109"/>
        <v>45141</v>
      </c>
      <c r="F1383" s="520" t="s">
        <v>1259</v>
      </c>
      <c r="G1383" s="213" t="s">
        <v>1245</v>
      </c>
      <c r="H1383" s="214"/>
      <c r="I1383" s="214" t="s">
        <v>1253</v>
      </c>
      <c r="J1383" s="210" t="s">
        <v>58</v>
      </c>
      <c r="K1383" s="215">
        <v>5738.77</v>
      </c>
      <c r="L1383" s="215"/>
    </row>
    <row r="1384" spans="1:15" ht="11.25" customHeight="1" x14ac:dyDescent="0.2">
      <c r="A1384" s="216">
        <v>2023</v>
      </c>
      <c r="B1384" s="216">
        <v>8</v>
      </c>
      <c r="C1384" s="216">
        <v>3</v>
      </c>
      <c r="D1384" s="217">
        <f t="shared" si="110"/>
        <v>45141</v>
      </c>
      <c r="E1384" s="239">
        <f t="shared" si="109"/>
        <v>45141</v>
      </c>
      <c r="F1384" s="521"/>
      <c r="G1384" s="219" t="s">
        <v>1245</v>
      </c>
      <c r="H1384" s="220"/>
      <c r="I1384" s="220" t="s">
        <v>1253</v>
      </c>
      <c r="J1384" s="216" t="s">
        <v>153</v>
      </c>
      <c r="K1384" s="221"/>
      <c r="L1384" s="221">
        <v>5738.77</v>
      </c>
    </row>
    <row r="1385" spans="1:15" ht="11.25" customHeight="1" x14ac:dyDescent="0.2">
      <c r="A1385" s="210">
        <v>2023</v>
      </c>
      <c r="B1385" s="210">
        <v>8</v>
      </c>
      <c r="C1385" s="210">
        <v>3</v>
      </c>
      <c r="D1385" s="211">
        <f t="shared" si="110"/>
        <v>45141</v>
      </c>
      <c r="E1385" s="238">
        <f t="shared" si="109"/>
        <v>45141</v>
      </c>
      <c r="F1385" s="520" t="s">
        <v>1255</v>
      </c>
      <c r="G1385" s="213" t="s">
        <v>1245</v>
      </c>
      <c r="H1385" s="214"/>
      <c r="I1385" s="214" t="s">
        <v>1253</v>
      </c>
      <c r="J1385" s="210" t="s">
        <v>113</v>
      </c>
      <c r="K1385" s="215">
        <v>44961.54</v>
      </c>
      <c r="L1385" s="215"/>
      <c r="M1385" s="251"/>
      <c r="O1385" s="130"/>
    </row>
    <row r="1386" spans="1:15" ht="11.25" customHeight="1" x14ac:dyDescent="0.2">
      <c r="A1386" s="216">
        <v>2023</v>
      </c>
      <c r="B1386" s="216">
        <v>8</v>
      </c>
      <c r="C1386" s="216">
        <v>3</v>
      </c>
      <c r="D1386" s="217">
        <f t="shared" si="110"/>
        <v>45141</v>
      </c>
      <c r="E1386" s="239">
        <f t="shared" si="109"/>
        <v>45141</v>
      </c>
      <c r="F1386" s="521"/>
      <c r="G1386" s="219" t="s">
        <v>1245</v>
      </c>
      <c r="H1386" s="220"/>
      <c r="I1386" s="220" t="s">
        <v>1253</v>
      </c>
      <c r="J1386" s="216" t="s">
        <v>153</v>
      </c>
      <c r="K1386" s="221"/>
      <c r="L1386" s="221">
        <v>44961.54</v>
      </c>
    </row>
    <row r="1387" spans="1:15" ht="11.25" customHeight="1" x14ac:dyDescent="0.2">
      <c r="A1387" s="210">
        <v>2023</v>
      </c>
      <c r="B1387" s="210">
        <v>8</v>
      </c>
      <c r="C1387" s="210">
        <v>3</v>
      </c>
      <c r="D1387" s="211">
        <f t="shared" si="110"/>
        <v>45141</v>
      </c>
      <c r="E1387" s="238">
        <f t="shared" si="109"/>
        <v>45141</v>
      </c>
      <c r="F1387" s="520" t="s">
        <v>1256</v>
      </c>
      <c r="G1387" s="213" t="s">
        <v>1245</v>
      </c>
      <c r="H1387" s="214"/>
      <c r="I1387" s="214" t="s">
        <v>1253</v>
      </c>
      <c r="J1387" s="210" t="s">
        <v>113</v>
      </c>
      <c r="K1387" s="215">
        <v>5925.93</v>
      </c>
      <c r="L1387" s="215"/>
      <c r="M1387" s="251"/>
      <c r="O1387" s="130"/>
    </row>
    <row r="1388" spans="1:15" ht="11.25" customHeight="1" x14ac:dyDescent="0.2">
      <c r="A1388" s="216">
        <v>2023</v>
      </c>
      <c r="B1388" s="216">
        <v>8</v>
      </c>
      <c r="C1388" s="216">
        <v>3</v>
      </c>
      <c r="D1388" s="217">
        <f t="shared" si="110"/>
        <v>45141</v>
      </c>
      <c r="E1388" s="239">
        <f t="shared" si="109"/>
        <v>45141</v>
      </c>
      <c r="F1388" s="521"/>
      <c r="G1388" s="219" t="s">
        <v>1245</v>
      </c>
      <c r="H1388" s="220"/>
      <c r="I1388" s="220" t="s">
        <v>1253</v>
      </c>
      <c r="J1388" s="216" t="s">
        <v>153</v>
      </c>
      <c r="K1388" s="221"/>
      <c r="L1388" s="221">
        <v>5925.93</v>
      </c>
    </row>
    <row r="1389" spans="1:15" ht="11.25" customHeight="1" x14ac:dyDescent="0.2">
      <c r="A1389" s="210">
        <v>2023</v>
      </c>
      <c r="B1389" s="210">
        <v>8</v>
      </c>
      <c r="C1389" s="210">
        <v>3</v>
      </c>
      <c r="D1389" s="211">
        <f t="shared" si="110"/>
        <v>45141</v>
      </c>
      <c r="E1389" s="238">
        <f t="shared" si="109"/>
        <v>45141</v>
      </c>
      <c r="F1389" s="520" t="s">
        <v>1257</v>
      </c>
      <c r="G1389" s="213" t="s">
        <v>1245</v>
      </c>
      <c r="H1389" s="214"/>
      <c r="I1389" s="214" t="s">
        <v>1253</v>
      </c>
      <c r="J1389" s="210" t="s">
        <v>113</v>
      </c>
      <c r="K1389" s="215">
        <v>27692.31</v>
      </c>
      <c r="L1389" s="215"/>
    </row>
    <row r="1390" spans="1:15" ht="11.25" customHeight="1" x14ac:dyDescent="0.2">
      <c r="A1390" s="216">
        <v>2023</v>
      </c>
      <c r="B1390" s="216">
        <v>8</v>
      </c>
      <c r="C1390" s="216">
        <v>3</v>
      </c>
      <c r="D1390" s="217">
        <f t="shared" si="110"/>
        <v>45141</v>
      </c>
      <c r="E1390" s="239">
        <f t="shared" si="109"/>
        <v>45141</v>
      </c>
      <c r="F1390" s="521"/>
      <c r="G1390" s="219" t="s">
        <v>1245</v>
      </c>
      <c r="H1390" s="220"/>
      <c r="I1390" s="220" t="s">
        <v>1253</v>
      </c>
      <c r="J1390" s="216" t="s">
        <v>153</v>
      </c>
      <c r="K1390" s="221"/>
      <c r="L1390" s="221">
        <v>27692.31</v>
      </c>
    </row>
    <row r="1391" spans="1:15" ht="11.25" customHeight="1" x14ac:dyDescent="0.2">
      <c r="A1391" s="259">
        <v>2023</v>
      </c>
      <c r="B1391" s="259">
        <v>8</v>
      </c>
      <c r="C1391" s="259">
        <v>3</v>
      </c>
      <c r="D1391" s="260">
        <f t="shared" si="110"/>
        <v>45141</v>
      </c>
      <c r="E1391" s="261">
        <f t="shared" si="109"/>
        <v>45141</v>
      </c>
      <c r="F1391" s="531" t="s">
        <v>1359</v>
      </c>
      <c r="G1391" s="262" t="s">
        <v>1245</v>
      </c>
      <c r="H1391" s="263"/>
      <c r="I1391" s="263" t="s">
        <v>1253</v>
      </c>
      <c r="J1391" s="259" t="s">
        <v>1476</v>
      </c>
      <c r="K1391" s="264">
        <v>8502.8166666667294</v>
      </c>
      <c r="L1391" s="264"/>
    </row>
    <row r="1392" spans="1:15" ht="11.25" customHeight="1" x14ac:dyDescent="0.2">
      <c r="A1392" s="265">
        <v>2023</v>
      </c>
      <c r="B1392" s="265">
        <v>8</v>
      </c>
      <c r="C1392" s="265">
        <v>3</v>
      </c>
      <c r="D1392" s="266">
        <f t="shared" si="110"/>
        <v>45141</v>
      </c>
      <c r="E1392" s="267">
        <f t="shared" si="109"/>
        <v>45141</v>
      </c>
      <c r="F1392" s="532"/>
      <c r="G1392" s="268" t="s">
        <v>1245</v>
      </c>
      <c r="H1392" s="269"/>
      <c r="I1392" s="269" t="s">
        <v>1253</v>
      </c>
      <c r="J1392" s="265" t="s">
        <v>153</v>
      </c>
      <c r="K1392" s="270"/>
      <c r="L1392" s="270">
        <v>8502.8166666667294</v>
      </c>
    </row>
    <row r="1393" spans="1:12" ht="11.25" customHeight="1" x14ac:dyDescent="0.2">
      <c r="A1393" s="259">
        <v>2023</v>
      </c>
      <c r="B1393" s="259">
        <v>8</v>
      </c>
      <c r="C1393" s="259">
        <v>3</v>
      </c>
      <c r="D1393" s="260">
        <f t="shared" si="110"/>
        <v>45141</v>
      </c>
      <c r="E1393" s="261">
        <f t="shared" si="109"/>
        <v>45141</v>
      </c>
      <c r="F1393" s="531" t="s">
        <v>1383</v>
      </c>
      <c r="G1393" s="262" t="s">
        <v>1245</v>
      </c>
      <c r="H1393" s="263"/>
      <c r="I1393" s="263" t="s">
        <v>1253</v>
      </c>
      <c r="J1393" s="259" t="s">
        <v>1476</v>
      </c>
      <c r="K1393" s="264">
        <v>15585.12222222218</v>
      </c>
      <c r="L1393" s="264"/>
    </row>
    <row r="1394" spans="1:12" ht="11.25" customHeight="1" x14ac:dyDescent="0.2">
      <c r="A1394" s="265">
        <v>2023</v>
      </c>
      <c r="B1394" s="265">
        <v>8</v>
      </c>
      <c r="C1394" s="265">
        <v>3</v>
      </c>
      <c r="D1394" s="266">
        <f t="shared" si="110"/>
        <v>45141</v>
      </c>
      <c r="E1394" s="267">
        <f t="shared" si="109"/>
        <v>45141</v>
      </c>
      <c r="F1394" s="532"/>
      <c r="G1394" s="268" t="s">
        <v>1245</v>
      </c>
      <c r="H1394" s="269"/>
      <c r="I1394" s="269" t="s">
        <v>1253</v>
      </c>
      <c r="J1394" s="265" t="s">
        <v>153</v>
      </c>
      <c r="K1394" s="270"/>
      <c r="L1394" s="270">
        <v>15585.12222222218</v>
      </c>
    </row>
    <row r="1395" spans="1:12" ht="11.25" customHeight="1" x14ac:dyDescent="0.2">
      <c r="A1395" s="259">
        <v>2023</v>
      </c>
      <c r="B1395" s="259">
        <v>8</v>
      </c>
      <c r="C1395" s="259">
        <v>3</v>
      </c>
      <c r="D1395" s="260">
        <f t="shared" si="110"/>
        <v>45141</v>
      </c>
      <c r="E1395" s="261">
        <f t="shared" si="109"/>
        <v>45141</v>
      </c>
      <c r="F1395" s="531" t="s">
        <v>1388</v>
      </c>
      <c r="G1395" s="262" t="s">
        <v>1245</v>
      </c>
      <c r="H1395" s="263"/>
      <c r="I1395" s="263" t="s">
        <v>1253</v>
      </c>
      <c r="J1395" s="259" t="s">
        <v>1476</v>
      </c>
      <c r="K1395" s="264">
        <v>12544.916666666666</v>
      </c>
      <c r="L1395" s="264"/>
    </row>
    <row r="1396" spans="1:12" ht="11.25" customHeight="1" x14ac:dyDescent="0.2">
      <c r="A1396" s="265">
        <v>2023</v>
      </c>
      <c r="B1396" s="265">
        <v>8</v>
      </c>
      <c r="C1396" s="265">
        <v>3</v>
      </c>
      <c r="D1396" s="266">
        <f t="shared" si="110"/>
        <v>45141</v>
      </c>
      <c r="E1396" s="267">
        <f t="shared" si="109"/>
        <v>45141</v>
      </c>
      <c r="F1396" s="532"/>
      <c r="G1396" s="268" t="s">
        <v>1245</v>
      </c>
      <c r="H1396" s="269"/>
      <c r="I1396" s="269" t="s">
        <v>1253</v>
      </c>
      <c r="J1396" s="265" t="s">
        <v>153</v>
      </c>
      <c r="K1396" s="270"/>
      <c r="L1396" s="270">
        <v>12544.916666666666</v>
      </c>
    </row>
    <row r="1397" spans="1:12" ht="11.25" customHeight="1" x14ac:dyDescent="0.2">
      <c r="A1397" s="259">
        <v>2023</v>
      </c>
      <c r="B1397" s="259">
        <v>8</v>
      </c>
      <c r="C1397" s="259">
        <v>3</v>
      </c>
      <c r="D1397" s="260">
        <f t="shared" si="110"/>
        <v>45141</v>
      </c>
      <c r="E1397" s="261">
        <f t="shared" si="109"/>
        <v>45141</v>
      </c>
      <c r="F1397" s="531" t="s">
        <v>1388</v>
      </c>
      <c r="G1397" s="262" t="s">
        <v>1245</v>
      </c>
      <c r="H1397" s="263"/>
      <c r="I1397" s="263" t="s">
        <v>1253</v>
      </c>
      <c r="J1397" s="259" t="s">
        <v>1476</v>
      </c>
      <c r="K1397" s="264">
        <v>10954.355555555576</v>
      </c>
      <c r="L1397" s="264"/>
    </row>
    <row r="1398" spans="1:12" ht="11.25" customHeight="1" x14ac:dyDescent="0.2">
      <c r="A1398" s="265">
        <v>2023</v>
      </c>
      <c r="B1398" s="265">
        <v>8</v>
      </c>
      <c r="C1398" s="265">
        <v>3</v>
      </c>
      <c r="D1398" s="266">
        <f t="shared" si="110"/>
        <v>45141</v>
      </c>
      <c r="E1398" s="267">
        <f t="shared" si="109"/>
        <v>45141</v>
      </c>
      <c r="F1398" s="532"/>
      <c r="G1398" s="268" t="s">
        <v>1245</v>
      </c>
      <c r="H1398" s="269"/>
      <c r="I1398" s="269" t="s">
        <v>1253</v>
      </c>
      <c r="J1398" s="265" t="s">
        <v>153</v>
      </c>
      <c r="K1398" s="270"/>
      <c r="L1398" s="270">
        <v>10954.355555555576</v>
      </c>
    </row>
    <row r="1399" spans="1:12" ht="11.25" customHeight="1" x14ac:dyDescent="0.2">
      <c r="A1399" s="259">
        <v>2023</v>
      </c>
      <c r="B1399" s="259">
        <v>8</v>
      </c>
      <c r="C1399" s="259">
        <v>3</v>
      </c>
      <c r="D1399" s="260">
        <f t="shared" si="110"/>
        <v>45141</v>
      </c>
      <c r="E1399" s="261">
        <f>DATE(A1399,B1399,C1399)</f>
        <v>45141</v>
      </c>
      <c r="F1399" s="531" t="s">
        <v>1313</v>
      </c>
      <c r="G1399" s="262" t="s">
        <v>1245</v>
      </c>
      <c r="H1399" s="263"/>
      <c r="I1399" s="263" t="s">
        <v>1253</v>
      </c>
      <c r="J1399" s="259" t="s">
        <v>1476</v>
      </c>
      <c r="K1399" s="264">
        <v>8326.6666666666661</v>
      </c>
      <c r="L1399" s="264"/>
    </row>
    <row r="1400" spans="1:12" ht="11.25" customHeight="1" x14ac:dyDescent="0.2">
      <c r="A1400" s="265">
        <v>2023</v>
      </c>
      <c r="B1400" s="265">
        <v>8</v>
      </c>
      <c r="C1400" s="265">
        <v>3</v>
      </c>
      <c r="D1400" s="266">
        <f t="shared" si="110"/>
        <v>45141</v>
      </c>
      <c r="E1400" s="267">
        <f>DATE(A1400,B1400,C1400)</f>
        <v>45141</v>
      </c>
      <c r="F1400" s="532"/>
      <c r="G1400" s="268" t="s">
        <v>1245</v>
      </c>
      <c r="H1400" s="269"/>
      <c r="I1400" s="269" t="s">
        <v>1253</v>
      </c>
      <c r="J1400" s="265" t="s">
        <v>153</v>
      </c>
      <c r="K1400" s="270"/>
      <c r="L1400" s="270">
        <v>8326.6666666666661</v>
      </c>
    </row>
    <row r="1401" spans="1:12" ht="11.25" customHeight="1" x14ac:dyDescent="0.2">
      <c r="A1401" s="259">
        <v>2023</v>
      </c>
      <c r="B1401" s="259">
        <v>8</v>
      </c>
      <c r="C1401" s="259">
        <v>3</v>
      </c>
      <c r="D1401" s="260">
        <f t="shared" si="110"/>
        <v>45141</v>
      </c>
      <c r="E1401" s="261">
        <f>DATE(A1401,B1401,C1401)</f>
        <v>45141</v>
      </c>
      <c r="F1401" s="531" t="s">
        <v>1397</v>
      </c>
      <c r="G1401" s="262" t="s">
        <v>1245</v>
      </c>
      <c r="H1401" s="263"/>
      <c r="I1401" s="263" t="s">
        <v>1253</v>
      </c>
      <c r="J1401" s="259" t="s">
        <v>1476</v>
      </c>
      <c r="K1401" s="264">
        <v>3693.4422222222202</v>
      </c>
      <c r="L1401" s="264"/>
    </row>
    <row r="1402" spans="1:12" ht="11.25" customHeight="1" x14ac:dyDescent="0.2">
      <c r="A1402" s="265">
        <v>2023</v>
      </c>
      <c r="B1402" s="265">
        <v>8</v>
      </c>
      <c r="C1402" s="265">
        <v>3</v>
      </c>
      <c r="D1402" s="266">
        <f t="shared" si="110"/>
        <v>45141</v>
      </c>
      <c r="E1402" s="267">
        <f>DATE(A1402,B1402,C1402)</f>
        <v>45141</v>
      </c>
      <c r="F1402" s="532"/>
      <c r="G1402" s="268" t="s">
        <v>1245</v>
      </c>
      <c r="H1402" s="269"/>
      <c r="I1402" s="269" t="s">
        <v>1253</v>
      </c>
      <c r="J1402" s="265" t="s">
        <v>153</v>
      </c>
      <c r="K1402" s="270"/>
      <c r="L1402" s="270">
        <v>3693.4422222222202</v>
      </c>
    </row>
    <row r="1403" spans="1:12" ht="11.25" customHeight="1" x14ac:dyDescent="0.2">
      <c r="A1403" s="222">
        <v>2023</v>
      </c>
      <c r="B1403" s="222">
        <v>8</v>
      </c>
      <c r="C1403" s="222">
        <v>3</v>
      </c>
      <c r="D1403" s="223">
        <f t="shared" si="110"/>
        <v>45141</v>
      </c>
      <c r="E1403" s="240">
        <f t="shared" ref="E1403:E1412" si="111">DATE(A1403,B1403,C1403)</f>
        <v>45141</v>
      </c>
      <c r="F1403" s="511" t="s">
        <v>1244</v>
      </c>
      <c r="G1403" s="225" t="s">
        <v>1245</v>
      </c>
      <c r="H1403" s="226"/>
      <c r="I1403" s="226" t="s">
        <v>1253</v>
      </c>
      <c r="J1403" s="222" t="s">
        <v>72</v>
      </c>
      <c r="K1403" s="227">
        <v>1247217.2180952393</v>
      </c>
      <c r="L1403" s="227"/>
    </row>
    <row r="1404" spans="1:12" ht="11.25" customHeight="1" x14ac:dyDescent="0.2">
      <c r="A1404" s="228">
        <v>2023</v>
      </c>
      <c r="B1404" s="228">
        <v>8</v>
      </c>
      <c r="C1404" s="228">
        <v>3</v>
      </c>
      <c r="D1404" s="229">
        <f t="shared" si="110"/>
        <v>45141</v>
      </c>
      <c r="E1404" s="241">
        <f t="shared" si="111"/>
        <v>45141</v>
      </c>
      <c r="F1404" s="512"/>
      <c r="G1404" s="231" t="s">
        <v>1245</v>
      </c>
      <c r="H1404" s="232"/>
      <c r="I1404" s="232" t="s">
        <v>1253</v>
      </c>
      <c r="J1404" s="228" t="s">
        <v>87</v>
      </c>
      <c r="K1404" s="233"/>
      <c r="L1404" s="233">
        <v>1247217.2180952393</v>
      </c>
    </row>
    <row r="1405" spans="1:12" ht="11.25" customHeight="1" x14ac:dyDescent="0.2">
      <c r="A1405" s="222">
        <v>2023</v>
      </c>
      <c r="B1405" s="222">
        <v>8</v>
      </c>
      <c r="C1405" s="222">
        <v>3</v>
      </c>
      <c r="D1405" s="223">
        <f t="shared" si="110"/>
        <v>45141</v>
      </c>
      <c r="E1405" s="240">
        <f t="shared" si="111"/>
        <v>45141</v>
      </c>
      <c r="F1405" s="511" t="s">
        <v>1246</v>
      </c>
      <c r="G1405" s="225" t="s">
        <v>1245</v>
      </c>
      <c r="H1405" s="226"/>
      <c r="I1405" s="226" t="s">
        <v>1253</v>
      </c>
      <c r="J1405" s="222" t="s">
        <v>75</v>
      </c>
      <c r="K1405" s="227">
        <v>3623.123846153846</v>
      </c>
      <c r="L1405" s="227"/>
    </row>
    <row r="1406" spans="1:12" ht="11.25" customHeight="1" x14ac:dyDescent="0.2">
      <c r="A1406" s="228">
        <v>2023</v>
      </c>
      <c r="B1406" s="228">
        <v>8</v>
      </c>
      <c r="C1406" s="228">
        <v>3</v>
      </c>
      <c r="D1406" s="229">
        <f t="shared" si="110"/>
        <v>45141</v>
      </c>
      <c r="E1406" s="241">
        <f t="shared" si="111"/>
        <v>45141</v>
      </c>
      <c r="F1406" s="512"/>
      <c r="G1406" s="231" t="s">
        <v>1245</v>
      </c>
      <c r="H1406" s="232"/>
      <c r="I1406" s="232" t="s">
        <v>1253</v>
      </c>
      <c r="J1406" s="228" t="s">
        <v>55</v>
      </c>
      <c r="K1406" s="233"/>
      <c r="L1406" s="233">
        <v>3623.123846153846</v>
      </c>
    </row>
    <row r="1407" spans="1:12" ht="11.25" customHeight="1" x14ac:dyDescent="0.2">
      <c r="A1407" s="222">
        <v>2023</v>
      </c>
      <c r="B1407" s="222">
        <v>8</v>
      </c>
      <c r="C1407" s="222">
        <v>3</v>
      </c>
      <c r="D1407" s="223">
        <f t="shared" si="110"/>
        <v>45141</v>
      </c>
      <c r="E1407" s="240">
        <f t="shared" si="111"/>
        <v>45141</v>
      </c>
      <c r="F1407" s="511" t="s">
        <v>1247</v>
      </c>
      <c r="G1407" s="225" t="s">
        <v>1245</v>
      </c>
      <c r="H1407" s="226"/>
      <c r="I1407" s="226" t="s">
        <v>1253</v>
      </c>
      <c r="J1407" s="222" t="s">
        <v>77</v>
      </c>
      <c r="K1407" s="227">
        <v>25207.278231953751</v>
      </c>
      <c r="L1407" s="227"/>
    </row>
    <row r="1408" spans="1:12" ht="11.25" customHeight="1" x14ac:dyDescent="0.2">
      <c r="A1408" s="228">
        <v>2023</v>
      </c>
      <c r="B1408" s="228">
        <v>8</v>
      </c>
      <c r="C1408" s="228">
        <v>3</v>
      </c>
      <c r="D1408" s="229">
        <f t="shared" si="110"/>
        <v>45141</v>
      </c>
      <c r="E1408" s="241">
        <f t="shared" si="111"/>
        <v>45141</v>
      </c>
      <c r="F1408" s="512"/>
      <c r="G1408" s="231" t="s">
        <v>1245</v>
      </c>
      <c r="H1408" s="232"/>
      <c r="I1408" s="232" t="s">
        <v>1253</v>
      </c>
      <c r="J1408" s="228" t="s">
        <v>41</v>
      </c>
      <c r="K1408" s="233"/>
      <c r="L1408" s="233">
        <v>25207.278231953751</v>
      </c>
    </row>
    <row r="1409" spans="1:13" ht="11.25" customHeight="1" x14ac:dyDescent="0.2">
      <c r="A1409" s="222">
        <v>2023</v>
      </c>
      <c r="B1409" s="222">
        <v>8</v>
      </c>
      <c r="C1409" s="222">
        <v>3</v>
      </c>
      <c r="D1409" s="223">
        <f t="shared" si="110"/>
        <v>45141</v>
      </c>
      <c r="E1409" s="240">
        <f t="shared" si="111"/>
        <v>45141</v>
      </c>
      <c r="F1409" s="511" t="s">
        <v>1248</v>
      </c>
      <c r="G1409" s="225" t="s">
        <v>1245</v>
      </c>
      <c r="H1409" s="226"/>
      <c r="I1409" s="226" t="s">
        <v>1253</v>
      </c>
      <c r="J1409" s="222" t="s">
        <v>80</v>
      </c>
      <c r="K1409" s="227">
        <v>1260.3639115976875</v>
      </c>
      <c r="L1409" s="227"/>
    </row>
    <row r="1410" spans="1:13" ht="11.25" customHeight="1" x14ac:dyDescent="0.2">
      <c r="A1410" s="228">
        <v>2023</v>
      </c>
      <c r="B1410" s="228">
        <v>8</v>
      </c>
      <c r="C1410" s="228">
        <v>3</v>
      </c>
      <c r="D1410" s="229">
        <f t="shared" si="110"/>
        <v>45141</v>
      </c>
      <c r="E1410" s="241">
        <f t="shared" si="111"/>
        <v>45141</v>
      </c>
      <c r="F1410" s="512"/>
      <c r="G1410" s="231" t="s">
        <v>1245</v>
      </c>
      <c r="H1410" s="232"/>
      <c r="I1410" s="232" t="s">
        <v>1253</v>
      </c>
      <c r="J1410" s="228" t="s">
        <v>42</v>
      </c>
      <c r="K1410" s="233"/>
      <c r="L1410" s="233">
        <v>1260.3639115976875</v>
      </c>
    </row>
    <row r="1411" spans="1:13" ht="11.25" customHeight="1" x14ac:dyDescent="0.2">
      <c r="A1411" s="197">
        <v>2023</v>
      </c>
      <c r="B1411" s="197">
        <v>8</v>
      </c>
      <c r="C1411" s="197">
        <v>6</v>
      </c>
      <c r="D1411" s="198">
        <f t="shared" si="110"/>
        <v>45144</v>
      </c>
      <c r="E1411" s="199">
        <f t="shared" si="111"/>
        <v>45144</v>
      </c>
      <c r="F1411" s="513" t="s">
        <v>1323</v>
      </c>
      <c r="G1411" s="200" t="s">
        <v>1209</v>
      </c>
      <c r="H1411" s="201"/>
      <c r="I1411" s="201"/>
      <c r="J1411" s="197" t="s">
        <v>54</v>
      </c>
      <c r="K1411" s="202">
        <v>100</v>
      </c>
      <c r="L1411" s="202"/>
    </row>
    <row r="1412" spans="1:13" ht="11.25" customHeight="1" x14ac:dyDescent="0.2">
      <c r="A1412" s="191">
        <v>2023</v>
      </c>
      <c r="B1412" s="191">
        <v>8</v>
      </c>
      <c r="C1412" s="191">
        <v>6</v>
      </c>
      <c r="D1412" s="192">
        <f t="shared" si="110"/>
        <v>45144</v>
      </c>
      <c r="E1412" s="193">
        <f t="shared" si="111"/>
        <v>45144</v>
      </c>
      <c r="F1412" s="514"/>
      <c r="G1412" s="194" t="s">
        <v>1209</v>
      </c>
      <c r="H1412" s="195"/>
      <c r="I1412" s="195"/>
      <c r="J1412" s="191" t="s">
        <v>46</v>
      </c>
      <c r="K1412" s="196"/>
      <c r="L1412" s="196">
        <v>100</v>
      </c>
    </row>
    <row r="1413" spans="1:13" ht="11.25" customHeight="1" x14ac:dyDescent="0.2">
      <c r="A1413" s="197">
        <v>2023</v>
      </c>
      <c r="B1413" s="197">
        <v>8</v>
      </c>
      <c r="C1413" s="197">
        <v>6</v>
      </c>
      <c r="D1413" s="198">
        <f t="shared" si="110"/>
        <v>45144</v>
      </c>
      <c r="E1413" s="209">
        <f t="shared" ref="E1413:E1418" si="112">DATE(A1413,B1413,C1413)</f>
        <v>45144</v>
      </c>
      <c r="F1413" s="513" t="s">
        <v>1210</v>
      </c>
      <c r="G1413" s="200" t="s">
        <v>1209</v>
      </c>
      <c r="H1413" s="201"/>
      <c r="I1413" s="201" t="s">
        <v>913</v>
      </c>
      <c r="J1413" s="197" t="s">
        <v>46</v>
      </c>
      <c r="K1413" s="202">
        <v>300000</v>
      </c>
      <c r="L1413" s="202"/>
      <c r="M1413" s="251"/>
    </row>
    <row r="1414" spans="1:13" ht="11.25" customHeight="1" x14ac:dyDescent="0.2">
      <c r="A1414" s="120">
        <v>2023</v>
      </c>
      <c r="B1414" s="120">
        <v>8</v>
      </c>
      <c r="C1414" s="120">
        <v>6</v>
      </c>
      <c r="D1414" s="208">
        <f t="shared" si="110"/>
        <v>45144</v>
      </c>
      <c r="E1414" s="209">
        <f t="shared" si="112"/>
        <v>45144</v>
      </c>
      <c r="F1414" s="515"/>
      <c r="G1414" s="132" t="s">
        <v>1209</v>
      </c>
      <c r="I1414" s="128" t="s">
        <v>913</v>
      </c>
      <c r="J1414" s="120" t="s">
        <v>16</v>
      </c>
      <c r="K1414" s="207"/>
      <c r="L1414" s="207">
        <v>288960</v>
      </c>
    </row>
    <row r="1415" spans="1:13" ht="11.25" customHeight="1" x14ac:dyDescent="0.2">
      <c r="A1415" s="191">
        <v>2023</v>
      </c>
      <c r="B1415" s="191">
        <v>8</v>
      </c>
      <c r="C1415" s="191">
        <v>6</v>
      </c>
      <c r="D1415" s="192">
        <f t="shared" si="110"/>
        <v>45144</v>
      </c>
      <c r="E1415" s="193">
        <f t="shared" si="112"/>
        <v>45144</v>
      </c>
      <c r="F1415" s="514"/>
      <c r="G1415" s="194" t="s">
        <v>1209</v>
      </c>
      <c r="H1415" s="195"/>
      <c r="I1415" s="195" t="s">
        <v>913</v>
      </c>
      <c r="J1415" s="191" t="s">
        <v>47</v>
      </c>
      <c r="K1415" s="196"/>
      <c r="L1415" s="196">
        <v>11040</v>
      </c>
    </row>
    <row r="1416" spans="1:13" ht="11.25" customHeight="1" x14ac:dyDescent="0.2">
      <c r="A1416" s="197">
        <v>2023</v>
      </c>
      <c r="B1416" s="197">
        <v>8</v>
      </c>
      <c r="C1416" s="197">
        <v>6</v>
      </c>
      <c r="D1416" s="198">
        <f t="shared" si="110"/>
        <v>45144</v>
      </c>
      <c r="E1416" s="209">
        <f t="shared" si="112"/>
        <v>45144</v>
      </c>
      <c r="F1416" s="513" t="s">
        <v>1296</v>
      </c>
      <c r="G1416" s="200" t="s">
        <v>1209</v>
      </c>
      <c r="H1416" s="201"/>
      <c r="I1416" s="201"/>
      <c r="J1416" s="197" t="s">
        <v>46</v>
      </c>
      <c r="K1416" s="202">
        <v>135000</v>
      </c>
      <c r="L1416" s="202"/>
      <c r="M1416" s="251"/>
    </row>
    <row r="1417" spans="1:13" ht="11.25" customHeight="1" x14ac:dyDescent="0.2">
      <c r="A1417" s="120">
        <v>2023</v>
      </c>
      <c r="B1417" s="120">
        <v>8</v>
      </c>
      <c r="C1417" s="120">
        <v>6</v>
      </c>
      <c r="D1417" s="208">
        <f t="shared" si="110"/>
        <v>45144</v>
      </c>
      <c r="E1417" s="209">
        <f t="shared" si="112"/>
        <v>45144</v>
      </c>
      <c r="F1417" s="515"/>
      <c r="G1417" s="132" t="s">
        <v>1209</v>
      </c>
      <c r="J1417" s="120" t="s">
        <v>16</v>
      </c>
      <c r="K1417" s="207"/>
      <c r="L1417" s="207">
        <v>130030</v>
      </c>
    </row>
    <row r="1418" spans="1:13" ht="11.25" customHeight="1" x14ac:dyDescent="0.2">
      <c r="A1418" s="191">
        <v>2023</v>
      </c>
      <c r="B1418" s="191">
        <v>8</v>
      </c>
      <c r="C1418" s="191">
        <v>6</v>
      </c>
      <c r="D1418" s="192">
        <f t="shared" si="110"/>
        <v>45144</v>
      </c>
      <c r="E1418" s="193">
        <f t="shared" si="112"/>
        <v>45144</v>
      </c>
      <c r="F1418" s="514"/>
      <c r="G1418" s="194" t="s">
        <v>1209</v>
      </c>
      <c r="H1418" s="195"/>
      <c r="I1418" s="195"/>
      <c r="J1418" s="191" t="s">
        <v>47</v>
      </c>
      <c r="K1418" s="196"/>
      <c r="L1418" s="196">
        <v>4970</v>
      </c>
    </row>
    <row r="1419" spans="1:13" ht="11.25" customHeight="1" x14ac:dyDescent="0.2">
      <c r="A1419" s="197">
        <v>2023</v>
      </c>
      <c r="B1419" s="197">
        <v>8</v>
      </c>
      <c r="C1419" s="197">
        <v>6</v>
      </c>
      <c r="D1419" s="198">
        <f t="shared" si="110"/>
        <v>45144</v>
      </c>
      <c r="E1419" s="209">
        <f t="shared" ref="E1419:E1424" si="113">DATE(A1419,B1419,C1419)</f>
        <v>45144</v>
      </c>
      <c r="F1419" s="513" t="s">
        <v>1412</v>
      </c>
      <c r="G1419" s="200" t="s">
        <v>1209</v>
      </c>
      <c r="H1419" s="201"/>
      <c r="I1419" s="201"/>
      <c r="J1419" s="248" t="s">
        <v>46</v>
      </c>
      <c r="K1419" s="202">
        <v>18875</v>
      </c>
      <c r="L1419" s="202"/>
      <c r="M1419" s="251"/>
    </row>
    <row r="1420" spans="1:13" ht="11.25" customHeight="1" x14ac:dyDescent="0.2">
      <c r="A1420" s="120">
        <v>2023</v>
      </c>
      <c r="B1420" s="120">
        <v>8</v>
      </c>
      <c r="C1420" s="120">
        <v>6</v>
      </c>
      <c r="D1420" s="198">
        <f t="shared" si="110"/>
        <v>45144</v>
      </c>
      <c r="E1420" s="209">
        <f>DATE(A1420,B1420,C1420)</f>
        <v>45144</v>
      </c>
      <c r="F1420" s="515"/>
      <c r="G1420" s="132" t="s">
        <v>1209</v>
      </c>
      <c r="J1420" s="129" t="s">
        <v>54</v>
      </c>
      <c r="K1420" s="207">
        <v>500</v>
      </c>
      <c r="L1420" s="207"/>
      <c r="M1420" s="251"/>
    </row>
    <row r="1421" spans="1:13" ht="11.25" customHeight="1" x14ac:dyDescent="0.2">
      <c r="A1421" s="191">
        <v>2023</v>
      </c>
      <c r="B1421" s="191">
        <v>8</v>
      </c>
      <c r="C1421" s="191">
        <v>6</v>
      </c>
      <c r="D1421" s="192">
        <f t="shared" si="110"/>
        <v>45144</v>
      </c>
      <c r="E1421" s="193">
        <f t="shared" si="113"/>
        <v>45144</v>
      </c>
      <c r="F1421" s="514"/>
      <c r="G1421" s="194" t="s">
        <v>1209</v>
      </c>
      <c r="H1421" s="195"/>
      <c r="I1421" s="195"/>
      <c r="J1421" s="250" t="s">
        <v>113</v>
      </c>
      <c r="K1421" s="196"/>
      <c r="L1421" s="196">
        <v>19375</v>
      </c>
    </row>
    <row r="1422" spans="1:13" ht="11.25" customHeight="1" x14ac:dyDescent="0.2">
      <c r="A1422" s="197">
        <v>2023</v>
      </c>
      <c r="B1422" s="197">
        <v>8</v>
      </c>
      <c r="C1422" s="197">
        <v>6</v>
      </c>
      <c r="D1422" s="198">
        <f t="shared" si="110"/>
        <v>45144</v>
      </c>
      <c r="E1422" s="209">
        <f t="shared" si="113"/>
        <v>45144</v>
      </c>
      <c r="F1422" s="513" t="s">
        <v>1413</v>
      </c>
      <c r="G1422" s="200" t="s">
        <v>1209</v>
      </c>
      <c r="H1422" s="201"/>
      <c r="I1422" s="201"/>
      <c r="J1422" s="248" t="s">
        <v>46</v>
      </c>
      <c r="K1422" s="202">
        <v>18875</v>
      </c>
      <c r="L1422" s="202"/>
      <c r="M1422" s="251"/>
    </row>
    <row r="1423" spans="1:13" ht="11.25" customHeight="1" x14ac:dyDescent="0.2">
      <c r="A1423" s="120">
        <v>2023</v>
      </c>
      <c r="B1423" s="120">
        <v>8</v>
      </c>
      <c r="C1423" s="120">
        <v>6</v>
      </c>
      <c r="D1423" s="198">
        <f t="shared" si="110"/>
        <v>45144</v>
      </c>
      <c r="E1423" s="209">
        <f>DATE(A1423,B1423,C1423)</f>
        <v>45144</v>
      </c>
      <c r="F1423" s="515"/>
      <c r="G1423" s="132" t="s">
        <v>1209</v>
      </c>
      <c r="J1423" s="129" t="s">
        <v>54</v>
      </c>
      <c r="K1423" s="207">
        <v>500</v>
      </c>
      <c r="L1423" s="207"/>
      <c r="M1423" s="251"/>
    </row>
    <row r="1424" spans="1:13" ht="11.25" customHeight="1" x14ac:dyDescent="0.2">
      <c r="A1424" s="191">
        <v>2023</v>
      </c>
      <c r="B1424" s="191">
        <v>8</v>
      </c>
      <c r="C1424" s="191">
        <v>6</v>
      </c>
      <c r="D1424" s="192">
        <f t="shared" si="110"/>
        <v>45144</v>
      </c>
      <c r="E1424" s="193">
        <f t="shared" si="113"/>
        <v>45144</v>
      </c>
      <c r="F1424" s="514"/>
      <c r="G1424" s="194" t="s">
        <v>1209</v>
      </c>
      <c r="H1424" s="195"/>
      <c r="I1424" s="195"/>
      <c r="J1424" s="250" t="s">
        <v>113</v>
      </c>
      <c r="K1424" s="196"/>
      <c r="L1424" s="196">
        <v>19375</v>
      </c>
    </row>
    <row r="1425" spans="1:13" ht="11.25" customHeight="1" x14ac:dyDescent="0.2">
      <c r="A1425" s="197">
        <v>2023</v>
      </c>
      <c r="B1425" s="197">
        <v>8</v>
      </c>
      <c r="C1425" s="197">
        <v>7</v>
      </c>
      <c r="D1425" s="198">
        <f t="shared" si="110"/>
        <v>45145</v>
      </c>
      <c r="E1425" s="209">
        <f>DATE(A1425,B1425,C1425)</f>
        <v>45145</v>
      </c>
      <c r="F1425" s="513" t="s">
        <v>1296</v>
      </c>
      <c r="G1425" s="200" t="s">
        <v>1209</v>
      </c>
      <c r="H1425" s="201"/>
      <c r="I1425" s="201"/>
      <c r="J1425" s="197" t="s">
        <v>46</v>
      </c>
      <c r="K1425" s="202">
        <v>150000</v>
      </c>
      <c r="L1425" s="202"/>
      <c r="M1425" s="251"/>
    </row>
    <row r="1426" spans="1:13" ht="11.25" customHeight="1" x14ac:dyDescent="0.2">
      <c r="A1426" s="120">
        <v>2023</v>
      </c>
      <c r="B1426" s="120">
        <v>8</v>
      </c>
      <c r="C1426" s="120">
        <v>7</v>
      </c>
      <c r="D1426" s="208">
        <f t="shared" si="110"/>
        <v>45145</v>
      </c>
      <c r="E1426" s="209">
        <f>DATE(A1426,B1426,C1426)</f>
        <v>45145</v>
      </c>
      <c r="F1426" s="515"/>
      <c r="G1426" s="132" t="s">
        <v>1209</v>
      </c>
      <c r="J1426" s="120" t="s">
        <v>16</v>
      </c>
      <c r="K1426" s="207"/>
      <c r="L1426" s="207">
        <v>144480</v>
      </c>
    </row>
    <row r="1427" spans="1:13" ht="11.25" customHeight="1" x14ac:dyDescent="0.2">
      <c r="A1427" s="191">
        <v>2023</v>
      </c>
      <c r="B1427" s="191">
        <v>8</v>
      </c>
      <c r="C1427" s="191">
        <v>7</v>
      </c>
      <c r="D1427" s="192">
        <f t="shared" si="110"/>
        <v>45145</v>
      </c>
      <c r="E1427" s="193">
        <f>DATE(A1427,B1427,C1427)</f>
        <v>45145</v>
      </c>
      <c r="F1427" s="514"/>
      <c r="G1427" s="194" t="s">
        <v>1209</v>
      </c>
      <c r="H1427" s="195"/>
      <c r="I1427" s="195"/>
      <c r="J1427" s="191" t="s">
        <v>47</v>
      </c>
      <c r="K1427" s="196"/>
      <c r="L1427" s="196">
        <v>5520</v>
      </c>
    </row>
    <row r="1428" spans="1:13" ht="11.25" customHeight="1" x14ac:dyDescent="0.2">
      <c r="A1428" s="197">
        <v>2023</v>
      </c>
      <c r="B1428" s="197">
        <v>8</v>
      </c>
      <c r="C1428" s="197">
        <v>8</v>
      </c>
      <c r="D1428" s="198">
        <f t="shared" si="110"/>
        <v>45146</v>
      </c>
      <c r="E1428" s="199">
        <f t="shared" ref="E1428:E1446" si="114">DATE(A1428,B1428,C1428)</f>
        <v>45146</v>
      </c>
      <c r="F1428" s="513" t="s">
        <v>1323</v>
      </c>
      <c r="G1428" s="200" t="s">
        <v>1209</v>
      </c>
      <c r="H1428" s="201"/>
      <c r="I1428" s="201"/>
      <c r="J1428" s="197" t="s">
        <v>54</v>
      </c>
      <c r="K1428" s="202">
        <v>10</v>
      </c>
      <c r="L1428" s="202"/>
    </row>
    <row r="1429" spans="1:13" ht="11.25" customHeight="1" x14ac:dyDescent="0.2">
      <c r="A1429" s="191">
        <v>2023</v>
      </c>
      <c r="B1429" s="191">
        <v>8</v>
      </c>
      <c r="C1429" s="191">
        <v>8</v>
      </c>
      <c r="D1429" s="192">
        <f t="shared" si="110"/>
        <v>45146</v>
      </c>
      <c r="E1429" s="193">
        <f t="shared" si="114"/>
        <v>45146</v>
      </c>
      <c r="F1429" s="514"/>
      <c r="G1429" s="194" t="s">
        <v>1209</v>
      </c>
      <c r="H1429" s="195"/>
      <c r="I1429" s="195"/>
      <c r="J1429" s="191" t="s">
        <v>46</v>
      </c>
      <c r="K1429" s="196"/>
      <c r="L1429" s="196">
        <v>10</v>
      </c>
    </row>
    <row r="1430" spans="1:13" ht="11.25" customHeight="1" x14ac:dyDescent="0.2">
      <c r="A1430" s="197">
        <v>2023</v>
      </c>
      <c r="B1430" s="197">
        <v>8</v>
      </c>
      <c r="C1430" s="197">
        <v>8</v>
      </c>
      <c r="D1430" s="198">
        <f t="shared" si="110"/>
        <v>45146</v>
      </c>
      <c r="E1430" s="209">
        <f t="shared" si="114"/>
        <v>45146</v>
      </c>
      <c r="F1430" s="513" t="s">
        <v>1414</v>
      </c>
      <c r="G1430" s="200" t="s">
        <v>1209</v>
      </c>
      <c r="H1430" s="201"/>
      <c r="I1430" s="201"/>
      <c r="J1430" s="248" t="s">
        <v>46</v>
      </c>
      <c r="K1430" s="202">
        <v>499850</v>
      </c>
      <c r="L1430" s="202"/>
      <c r="M1430" s="251"/>
    </row>
    <row r="1431" spans="1:13" ht="11.25" customHeight="1" x14ac:dyDescent="0.2">
      <c r="A1431" s="120">
        <v>2023</v>
      </c>
      <c r="B1431" s="120">
        <v>8</v>
      </c>
      <c r="C1431" s="120">
        <v>8</v>
      </c>
      <c r="D1431" s="198">
        <f t="shared" si="110"/>
        <v>45146</v>
      </c>
      <c r="E1431" s="209">
        <f>DATE(A1431,B1431,C1431)</f>
        <v>45146</v>
      </c>
      <c r="F1431" s="515"/>
      <c r="G1431" s="132" t="s">
        <v>1209</v>
      </c>
      <c r="J1431" s="129" t="s">
        <v>54</v>
      </c>
      <c r="K1431" s="207">
        <v>150</v>
      </c>
      <c r="L1431" s="207"/>
      <c r="M1431" s="251"/>
    </row>
    <row r="1432" spans="1:13" ht="11.25" customHeight="1" x14ac:dyDescent="0.2">
      <c r="A1432" s="191">
        <v>2023</v>
      </c>
      <c r="B1432" s="191">
        <v>8</v>
      </c>
      <c r="C1432" s="191">
        <v>8</v>
      </c>
      <c r="D1432" s="192">
        <f t="shared" si="110"/>
        <v>45146</v>
      </c>
      <c r="E1432" s="193">
        <f t="shared" si="114"/>
        <v>45146</v>
      </c>
      <c r="F1432" s="514"/>
      <c r="G1432" s="194" t="s">
        <v>1209</v>
      </c>
      <c r="H1432" s="195"/>
      <c r="I1432" s="195"/>
      <c r="J1432" s="250" t="s">
        <v>76</v>
      </c>
      <c r="K1432" s="196"/>
      <c r="L1432" s="196">
        <v>500000</v>
      </c>
    </row>
    <row r="1433" spans="1:13" ht="11.25" customHeight="1" x14ac:dyDescent="0.2">
      <c r="A1433" s="197">
        <v>2023</v>
      </c>
      <c r="B1433" s="197">
        <v>8</v>
      </c>
      <c r="C1433" s="197">
        <v>8</v>
      </c>
      <c r="D1433" s="198">
        <f t="shared" si="110"/>
        <v>45146</v>
      </c>
      <c r="E1433" s="209">
        <f t="shared" si="114"/>
        <v>45146</v>
      </c>
      <c r="F1433" s="513" t="s">
        <v>1415</v>
      </c>
      <c r="G1433" s="200" t="s">
        <v>1209</v>
      </c>
      <c r="H1433" s="201"/>
      <c r="I1433" s="201"/>
      <c r="J1433" s="248" t="s">
        <v>46</v>
      </c>
      <c r="K1433" s="202">
        <v>499850</v>
      </c>
      <c r="L1433" s="202"/>
      <c r="M1433" s="251"/>
    </row>
    <row r="1434" spans="1:13" ht="11.25" customHeight="1" x14ac:dyDescent="0.2">
      <c r="A1434" s="120">
        <v>2023</v>
      </c>
      <c r="B1434" s="120">
        <v>8</v>
      </c>
      <c r="C1434" s="120">
        <v>8</v>
      </c>
      <c r="D1434" s="198">
        <f t="shared" si="110"/>
        <v>45146</v>
      </c>
      <c r="E1434" s="209">
        <f t="shared" si="114"/>
        <v>45146</v>
      </c>
      <c r="F1434" s="515"/>
      <c r="G1434" s="132" t="s">
        <v>1209</v>
      </c>
      <c r="J1434" s="129" t="s">
        <v>54</v>
      </c>
      <c r="K1434" s="207">
        <v>150</v>
      </c>
      <c r="L1434" s="207"/>
      <c r="M1434" s="251"/>
    </row>
    <row r="1435" spans="1:13" ht="11.25" customHeight="1" x14ac:dyDescent="0.2">
      <c r="A1435" s="191">
        <v>2023</v>
      </c>
      <c r="B1435" s="191">
        <v>8</v>
      </c>
      <c r="C1435" s="191">
        <v>8</v>
      </c>
      <c r="D1435" s="192">
        <f t="shared" ref="D1435:D1496" si="115">DATE(A1435,B1435,C1435)</f>
        <v>45146</v>
      </c>
      <c r="E1435" s="193">
        <f t="shared" si="114"/>
        <v>45146</v>
      </c>
      <c r="F1435" s="514"/>
      <c r="G1435" s="194" t="s">
        <v>1209</v>
      </c>
      <c r="H1435" s="195"/>
      <c r="I1435" s="195"/>
      <c r="J1435" s="250" t="s">
        <v>76</v>
      </c>
      <c r="K1435" s="196"/>
      <c r="L1435" s="196">
        <v>500000</v>
      </c>
    </row>
    <row r="1436" spans="1:13" ht="11.25" customHeight="1" x14ac:dyDescent="0.2">
      <c r="A1436" s="197">
        <v>2023</v>
      </c>
      <c r="B1436" s="197">
        <v>8</v>
      </c>
      <c r="C1436" s="197">
        <v>8</v>
      </c>
      <c r="D1436" s="198">
        <f t="shared" si="115"/>
        <v>45146</v>
      </c>
      <c r="E1436" s="209">
        <f t="shared" si="114"/>
        <v>45146</v>
      </c>
      <c r="F1436" s="513" t="s">
        <v>1416</v>
      </c>
      <c r="G1436" s="200" t="s">
        <v>1209</v>
      </c>
      <c r="H1436" s="201"/>
      <c r="I1436" s="201"/>
      <c r="J1436" s="248" t="s">
        <v>46</v>
      </c>
      <c r="K1436" s="202">
        <v>499850</v>
      </c>
      <c r="L1436" s="202"/>
      <c r="M1436" s="251"/>
    </row>
    <row r="1437" spans="1:13" ht="11.25" customHeight="1" x14ac:dyDescent="0.2">
      <c r="A1437" s="120">
        <v>2023</v>
      </c>
      <c r="B1437" s="120">
        <v>8</v>
      </c>
      <c r="C1437" s="120">
        <v>8</v>
      </c>
      <c r="D1437" s="198">
        <f t="shared" si="115"/>
        <v>45146</v>
      </c>
      <c r="E1437" s="209">
        <f>DATE(A1437,B1437,C1437)</f>
        <v>45146</v>
      </c>
      <c r="F1437" s="515"/>
      <c r="G1437" s="132" t="s">
        <v>1209</v>
      </c>
      <c r="J1437" s="129" t="s">
        <v>54</v>
      </c>
      <c r="K1437" s="207">
        <v>150</v>
      </c>
      <c r="L1437" s="207"/>
      <c r="M1437" s="251"/>
    </row>
    <row r="1438" spans="1:13" ht="11.25" customHeight="1" x14ac:dyDescent="0.2">
      <c r="A1438" s="191">
        <v>2023</v>
      </c>
      <c r="B1438" s="191">
        <v>8</v>
      </c>
      <c r="C1438" s="191">
        <v>8</v>
      </c>
      <c r="D1438" s="192">
        <f t="shared" si="115"/>
        <v>45146</v>
      </c>
      <c r="E1438" s="193">
        <f t="shared" si="114"/>
        <v>45146</v>
      </c>
      <c r="F1438" s="514"/>
      <c r="G1438" s="194" t="s">
        <v>1209</v>
      </c>
      <c r="H1438" s="195"/>
      <c r="I1438" s="195"/>
      <c r="J1438" s="250" t="s">
        <v>76</v>
      </c>
      <c r="K1438" s="196"/>
      <c r="L1438" s="196">
        <v>500000</v>
      </c>
    </row>
    <row r="1439" spans="1:13" ht="11.25" customHeight="1" x14ac:dyDescent="0.2">
      <c r="A1439" s="197">
        <v>2023</v>
      </c>
      <c r="B1439" s="197">
        <v>8</v>
      </c>
      <c r="C1439" s="197">
        <v>8</v>
      </c>
      <c r="D1439" s="198">
        <f t="shared" si="115"/>
        <v>45146</v>
      </c>
      <c r="E1439" s="209">
        <f t="shared" si="114"/>
        <v>45146</v>
      </c>
      <c r="F1439" s="513" t="s">
        <v>1417</v>
      </c>
      <c r="G1439" s="200" t="s">
        <v>1209</v>
      </c>
      <c r="H1439" s="201"/>
      <c r="I1439" s="201"/>
      <c r="J1439" s="248" t="s">
        <v>46</v>
      </c>
      <c r="K1439" s="202">
        <v>499850</v>
      </c>
      <c r="L1439" s="202"/>
      <c r="M1439" s="251"/>
    </row>
    <row r="1440" spans="1:13" ht="11.25" customHeight="1" x14ac:dyDescent="0.2">
      <c r="A1440" s="120">
        <v>2023</v>
      </c>
      <c r="B1440" s="120">
        <v>8</v>
      </c>
      <c r="C1440" s="120">
        <v>8</v>
      </c>
      <c r="D1440" s="198">
        <f t="shared" si="115"/>
        <v>45146</v>
      </c>
      <c r="E1440" s="209">
        <f t="shared" si="114"/>
        <v>45146</v>
      </c>
      <c r="F1440" s="515"/>
      <c r="G1440" s="132" t="s">
        <v>1209</v>
      </c>
      <c r="J1440" s="129" t="s">
        <v>54</v>
      </c>
      <c r="K1440" s="207">
        <v>150</v>
      </c>
      <c r="L1440" s="207"/>
      <c r="M1440" s="251"/>
    </row>
    <row r="1441" spans="1:14" ht="11.25" customHeight="1" x14ac:dyDescent="0.2">
      <c r="A1441" s="191">
        <v>2023</v>
      </c>
      <c r="B1441" s="191">
        <v>8</v>
      </c>
      <c r="C1441" s="191">
        <v>8</v>
      </c>
      <c r="D1441" s="192">
        <f t="shared" si="115"/>
        <v>45146</v>
      </c>
      <c r="E1441" s="193">
        <f t="shared" si="114"/>
        <v>45146</v>
      </c>
      <c r="F1441" s="514"/>
      <c r="G1441" s="194" t="s">
        <v>1209</v>
      </c>
      <c r="H1441" s="195"/>
      <c r="I1441" s="195"/>
      <c r="J1441" s="250" t="s">
        <v>76</v>
      </c>
      <c r="K1441" s="196"/>
      <c r="L1441" s="196">
        <v>500000</v>
      </c>
    </row>
    <row r="1442" spans="1:14" ht="11.25" customHeight="1" x14ac:dyDescent="0.2">
      <c r="A1442" s="197">
        <v>2023</v>
      </c>
      <c r="B1442" s="197">
        <v>8</v>
      </c>
      <c r="C1442" s="197">
        <v>8</v>
      </c>
      <c r="D1442" s="198">
        <f t="shared" si="115"/>
        <v>45146</v>
      </c>
      <c r="E1442" s="199">
        <f t="shared" si="114"/>
        <v>45146</v>
      </c>
      <c r="F1442" s="513" t="s">
        <v>1422</v>
      </c>
      <c r="G1442" s="200" t="s">
        <v>1209</v>
      </c>
      <c r="H1442" s="201"/>
      <c r="I1442" s="201" t="s">
        <v>1253</v>
      </c>
      <c r="J1442" s="197" t="s">
        <v>1475</v>
      </c>
      <c r="K1442" s="202">
        <v>4020569.76</v>
      </c>
      <c r="L1442" s="202"/>
    </row>
    <row r="1443" spans="1:14" ht="11.25" customHeight="1" x14ac:dyDescent="0.2">
      <c r="A1443" s="191">
        <v>2023</v>
      </c>
      <c r="B1443" s="191">
        <v>8</v>
      </c>
      <c r="C1443" s="191">
        <v>8</v>
      </c>
      <c r="D1443" s="192">
        <f t="shared" si="115"/>
        <v>45146</v>
      </c>
      <c r="E1443" s="193">
        <f t="shared" si="114"/>
        <v>45146</v>
      </c>
      <c r="F1443" s="514"/>
      <c r="G1443" s="194" t="s">
        <v>1209</v>
      </c>
      <c r="H1443" s="195"/>
      <c r="I1443" s="195" t="s">
        <v>1253</v>
      </c>
      <c r="J1443" s="191" t="s">
        <v>46</v>
      </c>
      <c r="K1443" s="196"/>
      <c r="L1443" s="196">
        <v>4020569.76</v>
      </c>
      <c r="N1443" s="130"/>
    </row>
    <row r="1444" spans="1:14" ht="11.25" customHeight="1" x14ac:dyDescent="0.2">
      <c r="A1444" s="197">
        <v>2023</v>
      </c>
      <c r="B1444" s="197">
        <v>8</v>
      </c>
      <c r="C1444" s="197">
        <v>9</v>
      </c>
      <c r="D1444" s="198">
        <f t="shared" si="115"/>
        <v>45147</v>
      </c>
      <c r="E1444" s="209">
        <f t="shared" si="114"/>
        <v>45147</v>
      </c>
      <c r="F1444" s="513" t="s">
        <v>1280</v>
      </c>
      <c r="G1444" s="200" t="s">
        <v>1209</v>
      </c>
      <c r="H1444" s="201"/>
      <c r="I1444" s="201" t="s">
        <v>1352</v>
      </c>
      <c r="J1444" s="197" t="s">
        <v>16</v>
      </c>
      <c r="K1444" s="202">
        <v>243800</v>
      </c>
      <c r="L1444" s="202"/>
      <c r="M1444" s="251"/>
    </row>
    <row r="1445" spans="1:14" ht="11.25" customHeight="1" x14ac:dyDescent="0.2">
      <c r="A1445" s="120">
        <v>2023</v>
      </c>
      <c r="B1445" s="120">
        <v>8</v>
      </c>
      <c r="C1445" s="120">
        <v>9</v>
      </c>
      <c r="D1445" s="208">
        <f t="shared" si="115"/>
        <v>45147</v>
      </c>
      <c r="E1445" s="209">
        <f t="shared" si="114"/>
        <v>45147</v>
      </c>
      <c r="F1445" s="515"/>
      <c r="G1445" s="132" t="s">
        <v>1209</v>
      </c>
      <c r="I1445" s="128" t="s">
        <v>1352</v>
      </c>
      <c r="J1445" s="120" t="s">
        <v>47</v>
      </c>
      <c r="K1445" s="207">
        <v>9313.1600000000035</v>
      </c>
      <c r="L1445" s="207"/>
    </row>
    <row r="1446" spans="1:14" ht="11.25" customHeight="1" x14ac:dyDescent="0.2">
      <c r="A1446" s="191">
        <v>2023</v>
      </c>
      <c r="B1446" s="191">
        <v>8</v>
      </c>
      <c r="C1446" s="191">
        <v>9</v>
      </c>
      <c r="D1446" s="192">
        <f t="shared" si="115"/>
        <v>45147</v>
      </c>
      <c r="E1446" s="193">
        <f t="shared" si="114"/>
        <v>45147</v>
      </c>
      <c r="F1446" s="514"/>
      <c r="G1446" s="194" t="s">
        <v>1209</v>
      </c>
      <c r="H1446" s="195"/>
      <c r="I1446" s="195" t="s">
        <v>1352</v>
      </c>
      <c r="J1446" s="191" t="s">
        <v>46</v>
      </c>
      <c r="K1446" s="196"/>
      <c r="L1446" s="196">
        <v>253113.16</v>
      </c>
    </row>
    <row r="1447" spans="1:14" ht="11.25" customHeight="1" x14ac:dyDescent="0.2">
      <c r="A1447" s="197">
        <v>2023</v>
      </c>
      <c r="B1447" s="197">
        <v>8</v>
      </c>
      <c r="C1447" s="197">
        <v>9</v>
      </c>
      <c r="D1447" s="198">
        <f t="shared" si="115"/>
        <v>45147</v>
      </c>
      <c r="E1447" s="209">
        <f>DATE(A1447,B1447,C1447)</f>
        <v>45147</v>
      </c>
      <c r="F1447" s="513" t="s">
        <v>1418</v>
      </c>
      <c r="G1447" s="200" t="s">
        <v>1209</v>
      </c>
      <c r="H1447" s="201"/>
      <c r="I1447" s="201"/>
      <c r="J1447" s="248" t="s">
        <v>46</v>
      </c>
      <c r="K1447" s="202">
        <v>1017125</v>
      </c>
      <c r="L1447" s="202"/>
      <c r="M1447" s="251"/>
    </row>
    <row r="1448" spans="1:14" ht="11.25" customHeight="1" x14ac:dyDescent="0.2">
      <c r="A1448" s="120">
        <v>2023</v>
      </c>
      <c r="B1448" s="120">
        <v>8</v>
      </c>
      <c r="C1448" s="120">
        <v>9</v>
      </c>
      <c r="D1448" s="198">
        <f t="shared" si="115"/>
        <v>45147</v>
      </c>
      <c r="E1448" s="209">
        <f>DATE(A1448,B1448,C1448)</f>
        <v>45147</v>
      </c>
      <c r="F1448" s="515"/>
      <c r="G1448" s="132" t="s">
        <v>1209</v>
      </c>
      <c r="J1448" s="129" t="s">
        <v>54</v>
      </c>
      <c r="K1448" s="207">
        <v>3000</v>
      </c>
      <c r="L1448" s="207"/>
      <c r="M1448" s="251"/>
    </row>
    <row r="1449" spans="1:14" ht="11.25" customHeight="1" x14ac:dyDescent="0.2">
      <c r="A1449" s="120">
        <v>2023</v>
      </c>
      <c r="B1449" s="120">
        <v>8</v>
      </c>
      <c r="C1449" s="120">
        <v>9</v>
      </c>
      <c r="D1449" s="198">
        <f t="shared" si="115"/>
        <v>45147</v>
      </c>
      <c r="E1449" s="209">
        <f>DATE(A1449,B1449,C1449)</f>
        <v>45147</v>
      </c>
      <c r="F1449" s="515"/>
      <c r="G1449" s="132" t="s">
        <v>1209</v>
      </c>
      <c r="J1449" s="129" t="s">
        <v>113</v>
      </c>
      <c r="K1449" s="207"/>
      <c r="L1449" s="207">
        <v>20125</v>
      </c>
      <c r="M1449" s="251"/>
    </row>
    <row r="1450" spans="1:14" ht="11.25" customHeight="1" x14ac:dyDescent="0.2">
      <c r="A1450" s="191">
        <v>2023</v>
      </c>
      <c r="B1450" s="191">
        <v>8</v>
      </c>
      <c r="C1450" s="191">
        <v>9</v>
      </c>
      <c r="D1450" s="192">
        <f t="shared" si="115"/>
        <v>45147</v>
      </c>
      <c r="E1450" s="193">
        <f>DATE(A1450,B1450,C1450)</f>
        <v>45147</v>
      </c>
      <c r="F1450" s="514"/>
      <c r="G1450" s="194" t="s">
        <v>1209</v>
      </c>
      <c r="H1450" s="195"/>
      <c r="I1450" s="195"/>
      <c r="J1450" s="250" t="s">
        <v>76</v>
      </c>
      <c r="K1450" s="196"/>
      <c r="L1450" s="196">
        <v>1000000</v>
      </c>
    </row>
    <row r="1451" spans="1:14" ht="11.25" customHeight="1" x14ac:dyDescent="0.2">
      <c r="A1451" s="197">
        <v>2023</v>
      </c>
      <c r="B1451" s="197">
        <v>8</v>
      </c>
      <c r="C1451" s="197">
        <v>9</v>
      </c>
      <c r="D1451" s="198">
        <f t="shared" si="115"/>
        <v>45147</v>
      </c>
      <c r="E1451" s="209">
        <f t="shared" ref="E1451:E1456" si="116">DATE(A1451,B1451,C1451)</f>
        <v>45147</v>
      </c>
      <c r="F1451" s="513" t="s">
        <v>1419</v>
      </c>
      <c r="G1451" s="200" t="s">
        <v>1209</v>
      </c>
      <c r="H1451" s="201"/>
      <c r="I1451" s="201"/>
      <c r="J1451" s="248" t="s">
        <v>46</v>
      </c>
      <c r="K1451" s="202">
        <v>1017125</v>
      </c>
      <c r="L1451" s="202"/>
      <c r="M1451" s="251"/>
    </row>
    <row r="1452" spans="1:14" ht="11.25" customHeight="1" x14ac:dyDescent="0.2">
      <c r="A1452" s="120">
        <v>2023</v>
      </c>
      <c r="B1452" s="120">
        <v>8</v>
      </c>
      <c r="C1452" s="120">
        <v>9</v>
      </c>
      <c r="D1452" s="198">
        <f t="shared" si="115"/>
        <v>45147</v>
      </c>
      <c r="E1452" s="209">
        <f t="shared" si="116"/>
        <v>45147</v>
      </c>
      <c r="F1452" s="515"/>
      <c r="G1452" s="132" t="s">
        <v>1209</v>
      </c>
      <c r="J1452" s="129" t="s">
        <v>54</v>
      </c>
      <c r="K1452" s="207">
        <v>3000</v>
      </c>
      <c r="L1452" s="207"/>
      <c r="M1452" s="251"/>
    </row>
    <row r="1453" spans="1:14" ht="11.25" customHeight="1" x14ac:dyDescent="0.2">
      <c r="A1453" s="120">
        <v>2023</v>
      </c>
      <c r="B1453" s="120">
        <v>8</v>
      </c>
      <c r="C1453" s="120">
        <v>9</v>
      </c>
      <c r="D1453" s="198">
        <f t="shared" si="115"/>
        <v>45147</v>
      </c>
      <c r="E1453" s="209">
        <f t="shared" si="116"/>
        <v>45147</v>
      </c>
      <c r="F1453" s="515"/>
      <c r="G1453" s="132" t="s">
        <v>1209</v>
      </c>
      <c r="J1453" s="129" t="s">
        <v>113</v>
      </c>
      <c r="K1453" s="207"/>
      <c r="L1453" s="207">
        <v>20125</v>
      </c>
      <c r="M1453" s="251"/>
    </row>
    <row r="1454" spans="1:14" ht="11.25" customHeight="1" x14ac:dyDescent="0.2">
      <c r="A1454" s="191">
        <v>2023</v>
      </c>
      <c r="B1454" s="191">
        <v>8</v>
      </c>
      <c r="C1454" s="191">
        <v>9</v>
      </c>
      <c r="D1454" s="192">
        <f t="shared" si="115"/>
        <v>45147</v>
      </c>
      <c r="E1454" s="193">
        <f t="shared" si="116"/>
        <v>45147</v>
      </c>
      <c r="F1454" s="514"/>
      <c r="G1454" s="194" t="s">
        <v>1209</v>
      </c>
      <c r="H1454" s="195"/>
      <c r="I1454" s="195"/>
      <c r="J1454" s="250" t="s">
        <v>76</v>
      </c>
      <c r="K1454" s="196"/>
      <c r="L1454" s="196">
        <v>1000000</v>
      </c>
    </row>
    <row r="1455" spans="1:14" ht="11.25" customHeight="1" x14ac:dyDescent="0.2">
      <c r="A1455" s="197">
        <v>2023</v>
      </c>
      <c r="B1455" s="197">
        <v>8</v>
      </c>
      <c r="C1455" s="197">
        <v>9</v>
      </c>
      <c r="D1455" s="198">
        <f t="shared" si="115"/>
        <v>45147</v>
      </c>
      <c r="E1455" s="209">
        <f t="shared" si="116"/>
        <v>45147</v>
      </c>
      <c r="F1455" s="513" t="s">
        <v>1420</v>
      </c>
      <c r="G1455" s="200" t="s">
        <v>1209</v>
      </c>
      <c r="H1455" s="201"/>
      <c r="I1455" s="201"/>
      <c r="J1455" s="248" t="s">
        <v>46</v>
      </c>
      <c r="K1455" s="202">
        <v>1000000</v>
      </c>
      <c r="L1455" s="202"/>
      <c r="M1455" s="251"/>
    </row>
    <row r="1456" spans="1:14" ht="11.25" customHeight="1" x14ac:dyDescent="0.2">
      <c r="A1456" s="191">
        <v>2023</v>
      </c>
      <c r="B1456" s="191">
        <v>8</v>
      </c>
      <c r="C1456" s="191">
        <v>9</v>
      </c>
      <c r="D1456" s="192">
        <f t="shared" si="115"/>
        <v>45147</v>
      </c>
      <c r="E1456" s="193">
        <f t="shared" si="116"/>
        <v>45147</v>
      </c>
      <c r="F1456" s="514"/>
      <c r="G1456" s="194" t="s">
        <v>1209</v>
      </c>
      <c r="H1456" s="195"/>
      <c r="I1456" s="195"/>
      <c r="J1456" s="250" t="s">
        <v>76</v>
      </c>
      <c r="K1456" s="196"/>
      <c r="L1456" s="196">
        <v>1000000</v>
      </c>
    </row>
    <row r="1457" spans="1:13" ht="11.25" customHeight="1" x14ac:dyDescent="0.2">
      <c r="A1457" s="197">
        <v>2023</v>
      </c>
      <c r="B1457" s="197">
        <v>8</v>
      </c>
      <c r="C1457" s="197">
        <v>9</v>
      </c>
      <c r="D1457" s="198">
        <f t="shared" si="115"/>
        <v>45147</v>
      </c>
      <c r="E1457" s="209">
        <f t="shared" ref="E1457:E1463" si="117">DATE(A1457,B1457,C1457)</f>
        <v>45147</v>
      </c>
      <c r="F1457" s="513" t="s">
        <v>1421</v>
      </c>
      <c r="G1457" s="200" t="s">
        <v>1209</v>
      </c>
      <c r="H1457" s="201"/>
      <c r="I1457" s="201"/>
      <c r="J1457" s="248" t="s">
        <v>46</v>
      </c>
      <c r="K1457" s="202">
        <v>1000000</v>
      </c>
      <c r="L1457" s="202"/>
      <c r="M1457" s="251"/>
    </row>
    <row r="1458" spans="1:13" ht="11.25" customHeight="1" x14ac:dyDescent="0.2">
      <c r="A1458" s="191">
        <v>2023</v>
      </c>
      <c r="B1458" s="191">
        <v>8</v>
      </c>
      <c r="C1458" s="191">
        <v>9</v>
      </c>
      <c r="D1458" s="192">
        <f t="shared" si="115"/>
        <v>45147</v>
      </c>
      <c r="E1458" s="193">
        <f t="shared" si="117"/>
        <v>45147</v>
      </c>
      <c r="F1458" s="514"/>
      <c r="G1458" s="194" t="s">
        <v>1209</v>
      </c>
      <c r="H1458" s="195"/>
      <c r="I1458" s="195"/>
      <c r="J1458" s="250" t="s">
        <v>76</v>
      </c>
      <c r="K1458" s="196"/>
      <c r="L1458" s="196">
        <v>1000000</v>
      </c>
    </row>
    <row r="1459" spans="1:13" ht="11.25" customHeight="1" x14ac:dyDescent="0.2">
      <c r="A1459" s="197">
        <v>2023</v>
      </c>
      <c r="B1459" s="197">
        <v>8</v>
      </c>
      <c r="C1459" s="197">
        <v>10</v>
      </c>
      <c r="D1459" s="198">
        <f t="shared" si="115"/>
        <v>45148</v>
      </c>
      <c r="E1459" s="209">
        <f t="shared" si="117"/>
        <v>45148</v>
      </c>
      <c r="F1459" s="513" t="s">
        <v>1280</v>
      </c>
      <c r="G1459" s="200" t="s">
        <v>1209</v>
      </c>
      <c r="H1459" s="201"/>
      <c r="I1459" s="201" t="s">
        <v>567</v>
      </c>
      <c r="J1459" s="197" t="s">
        <v>16</v>
      </c>
      <c r="K1459" s="202">
        <v>50000</v>
      </c>
      <c r="L1459" s="202"/>
      <c r="M1459" s="251"/>
    </row>
    <row r="1460" spans="1:13" ht="11.25" customHeight="1" x14ac:dyDescent="0.2">
      <c r="A1460" s="120">
        <v>2023</v>
      </c>
      <c r="B1460" s="120">
        <v>8</v>
      </c>
      <c r="C1460" s="120">
        <v>10</v>
      </c>
      <c r="D1460" s="208">
        <f t="shared" si="115"/>
        <v>45148</v>
      </c>
      <c r="E1460" s="209">
        <f t="shared" si="117"/>
        <v>45148</v>
      </c>
      <c r="F1460" s="515"/>
      <c r="G1460" s="132" t="s">
        <v>1209</v>
      </c>
      <c r="I1460" s="128" t="s">
        <v>567</v>
      </c>
      <c r="J1460" s="120" t="s">
        <v>47</v>
      </c>
      <c r="K1460" s="207">
        <v>1910</v>
      </c>
      <c r="L1460" s="207"/>
    </row>
    <row r="1461" spans="1:13" ht="11.25" customHeight="1" x14ac:dyDescent="0.2">
      <c r="A1461" s="191">
        <v>2023</v>
      </c>
      <c r="B1461" s="191">
        <v>8</v>
      </c>
      <c r="C1461" s="191">
        <v>10</v>
      </c>
      <c r="D1461" s="192">
        <f t="shared" si="115"/>
        <v>45148</v>
      </c>
      <c r="E1461" s="193">
        <f t="shared" si="117"/>
        <v>45148</v>
      </c>
      <c r="F1461" s="514"/>
      <c r="G1461" s="194" t="s">
        <v>1209</v>
      </c>
      <c r="H1461" s="195"/>
      <c r="I1461" s="195" t="s">
        <v>567</v>
      </c>
      <c r="J1461" s="191" t="s">
        <v>46</v>
      </c>
      <c r="K1461" s="196"/>
      <c r="L1461" s="196">
        <v>51910</v>
      </c>
    </row>
    <row r="1462" spans="1:13" ht="11.25" customHeight="1" x14ac:dyDescent="0.2">
      <c r="A1462" s="197">
        <v>2023</v>
      </c>
      <c r="B1462" s="197">
        <v>8</v>
      </c>
      <c r="C1462" s="197">
        <v>10</v>
      </c>
      <c r="D1462" s="198">
        <f t="shared" si="115"/>
        <v>45148</v>
      </c>
      <c r="E1462" s="199">
        <f t="shared" si="117"/>
        <v>45148</v>
      </c>
      <c r="F1462" s="513" t="s">
        <v>1323</v>
      </c>
      <c r="G1462" s="200" t="s">
        <v>1209</v>
      </c>
      <c r="H1462" s="201"/>
      <c r="I1462" s="201"/>
      <c r="J1462" s="197" t="s">
        <v>54</v>
      </c>
      <c r="K1462" s="202">
        <v>100</v>
      </c>
      <c r="L1462" s="202"/>
    </row>
    <row r="1463" spans="1:13" ht="11.25" customHeight="1" x14ac:dyDescent="0.2">
      <c r="A1463" s="191">
        <v>2023</v>
      </c>
      <c r="B1463" s="191">
        <v>8</v>
      </c>
      <c r="C1463" s="191">
        <v>10</v>
      </c>
      <c r="D1463" s="192">
        <f t="shared" si="115"/>
        <v>45148</v>
      </c>
      <c r="E1463" s="193">
        <f t="shared" si="117"/>
        <v>45148</v>
      </c>
      <c r="F1463" s="514"/>
      <c r="G1463" s="194" t="s">
        <v>1209</v>
      </c>
      <c r="H1463" s="195"/>
      <c r="I1463" s="195"/>
      <c r="J1463" s="191" t="s">
        <v>46</v>
      </c>
      <c r="K1463" s="196"/>
      <c r="L1463" s="196">
        <v>100</v>
      </c>
    </row>
    <row r="1464" spans="1:13" ht="11.25" customHeight="1" x14ac:dyDescent="0.2">
      <c r="A1464" s="197">
        <v>2023</v>
      </c>
      <c r="B1464" s="197">
        <v>8</v>
      </c>
      <c r="C1464" s="197">
        <v>10</v>
      </c>
      <c r="D1464" s="198">
        <f t="shared" si="115"/>
        <v>45148</v>
      </c>
      <c r="E1464" s="209">
        <f t="shared" ref="E1464:E1472" si="118">DATE(A1464,B1464,C1464)</f>
        <v>45148</v>
      </c>
      <c r="F1464" s="513" t="s">
        <v>1280</v>
      </c>
      <c r="G1464" s="200" t="s">
        <v>1209</v>
      </c>
      <c r="H1464" s="201"/>
      <c r="I1464" s="201" t="s">
        <v>1230</v>
      </c>
      <c r="J1464" s="197" t="s">
        <v>16</v>
      </c>
      <c r="K1464" s="202">
        <v>1926410</v>
      </c>
      <c r="L1464" s="202"/>
      <c r="M1464" s="251"/>
    </row>
    <row r="1465" spans="1:13" ht="11.25" customHeight="1" x14ac:dyDescent="0.2">
      <c r="A1465" s="120">
        <v>2023</v>
      </c>
      <c r="B1465" s="120">
        <v>8</v>
      </c>
      <c r="C1465" s="120">
        <v>10</v>
      </c>
      <c r="D1465" s="208">
        <f t="shared" si="115"/>
        <v>45148</v>
      </c>
      <c r="E1465" s="209">
        <f t="shared" si="118"/>
        <v>45148</v>
      </c>
      <c r="F1465" s="515"/>
      <c r="G1465" s="132" t="s">
        <v>1209</v>
      </c>
      <c r="I1465" s="128" t="s">
        <v>1230</v>
      </c>
      <c r="J1465" s="120" t="s">
        <v>47</v>
      </c>
      <c r="K1465" s="207">
        <v>73590</v>
      </c>
      <c r="L1465" s="207"/>
    </row>
    <row r="1466" spans="1:13" ht="11.25" customHeight="1" x14ac:dyDescent="0.2">
      <c r="A1466" s="191">
        <v>2023</v>
      </c>
      <c r="B1466" s="191">
        <v>8</v>
      </c>
      <c r="C1466" s="191">
        <v>10</v>
      </c>
      <c r="D1466" s="192">
        <f t="shared" si="115"/>
        <v>45148</v>
      </c>
      <c r="E1466" s="193">
        <f t="shared" si="118"/>
        <v>45148</v>
      </c>
      <c r="F1466" s="514"/>
      <c r="G1466" s="194" t="s">
        <v>1209</v>
      </c>
      <c r="H1466" s="195"/>
      <c r="I1466" s="195" t="s">
        <v>1230</v>
      </c>
      <c r="J1466" s="191" t="s">
        <v>46</v>
      </c>
      <c r="K1466" s="196"/>
      <c r="L1466" s="196">
        <v>2000000</v>
      </c>
    </row>
    <row r="1467" spans="1:13" ht="11.25" customHeight="1" x14ac:dyDescent="0.2">
      <c r="A1467" s="197">
        <v>2023</v>
      </c>
      <c r="B1467" s="197">
        <v>8</v>
      </c>
      <c r="C1467" s="197">
        <v>10</v>
      </c>
      <c r="D1467" s="198">
        <f t="shared" si="115"/>
        <v>45148</v>
      </c>
      <c r="E1467" s="209">
        <f t="shared" si="118"/>
        <v>45148</v>
      </c>
      <c r="F1467" s="513" t="s">
        <v>1280</v>
      </c>
      <c r="G1467" s="200" t="s">
        <v>1209</v>
      </c>
      <c r="H1467" s="201"/>
      <c r="I1467" s="201" t="s">
        <v>1295</v>
      </c>
      <c r="J1467" s="197" t="s">
        <v>16</v>
      </c>
      <c r="K1467" s="202">
        <v>3910</v>
      </c>
      <c r="L1467" s="202"/>
      <c r="M1467" s="251"/>
    </row>
    <row r="1468" spans="1:13" ht="11.25" customHeight="1" x14ac:dyDescent="0.2">
      <c r="A1468" s="120">
        <v>2023</v>
      </c>
      <c r="B1468" s="120">
        <v>8</v>
      </c>
      <c r="C1468" s="120">
        <v>10</v>
      </c>
      <c r="D1468" s="208">
        <f t="shared" si="115"/>
        <v>45148</v>
      </c>
      <c r="E1468" s="209">
        <f t="shared" si="118"/>
        <v>45148</v>
      </c>
      <c r="F1468" s="515"/>
      <c r="G1468" s="132" t="s">
        <v>1209</v>
      </c>
      <c r="I1468" s="128" t="s">
        <v>1295</v>
      </c>
      <c r="J1468" s="120" t="s">
        <v>47</v>
      </c>
      <c r="K1468" s="207">
        <v>149.36000000000001</v>
      </c>
      <c r="L1468" s="207"/>
    </row>
    <row r="1469" spans="1:13" ht="11.25" customHeight="1" x14ac:dyDescent="0.2">
      <c r="A1469" s="191">
        <v>2023</v>
      </c>
      <c r="B1469" s="191">
        <v>8</v>
      </c>
      <c r="C1469" s="191">
        <v>10</v>
      </c>
      <c r="D1469" s="192">
        <f t="shared" si="115"/>
        <v>45148</v>
      </c>
      <c r="E1469" s="193">
        <f t="shared" si="118"/>
        <v>45148</v>
      </c>
      <c r="F1469" s="514"/>
      <c r="G1469" s="194" t="s">
        <v>1209</v>
      </c>
      <c r="H1469" s="195"/>
      <c r="I1469" s="195" t="s">
        <v>1295</v>
      </c>
      <c r="J1469" s="191" t="s">
        <v>46</v>
      </c>
      <c r="K1469" s="196"/>
      <c r="L1469" s="196">
        <v>4059.36</v>
      </c>
    </row>
    <row r="1470" spans="1:13" ht="11.25" customHeight="1" x14ac:dyDescent="0.2">
      <c r="A1470" s="197">
        <v>2023</v>
      </c>
      <c r="B1470" s="197">
        <v>8</v>
      </c>
      <c r="C1470" s="197">
        <v>10</v>
      </c>
      <c r="D1470" s="198">
        <f t="shared" si="115"/>
        <v>45148</v>
      </c>
      <c r="E1470" s="209">
        <f t="shared" si="118"/>
        <v>45148</v>
      </c>
      <c r="F1470" s="513" t="s">
        <v>1423</v>
      </c>
      <c r="G1470" s="200" t="s">
        <v>1209</v>
      </c>
      <c r="H1470" s="201"/>
      <c r="I1470" s="201" t="s">
        <v>1294</v>
      </c>
      <c r="J1470" s="197" t="s">
        <v>16</v>
      </c>
      <c r="K1470" s="202">
        <v>3910</v>
      </c>
      <c r="L1470" s="202"/>
      <c r="M1470" s="251"/>
    </row>
    <row r="1471" spans="1:13" ht="11.25" customHeight="1" x14ac:dyDescent="0.2">
      <c r="A1471" s="120">
        <v>2023</v>
      </c>
      <c r="B1471" s="120">
        <v>8</v>
      </c>
      <c r="C1471" s="120">
        <v>10</v>
      </c>
      <c r="D1471" s="208">
        <f t="shared" si="115"/>
        <v>45148</v>
      </c>
      <c r="E1471" s="209">
        <f t="shared" si="118"/>
        <v>45148</v>
      </c>
      <c r="F1471" s="515"/>
      <c r="G1471" s="132" t="s">
        <v>1209</v>
      </c>
      <c r="I1471" s="128" t="s">
        <v>1294</v>
      </c>
      <c r="J1471" s="120" t="s">
        <v>47</v>
      </c>
      <c r="K1471" s="207">
        <v>149.36000000000001</v>
      </c>
      <c r="L1471" s="207"/>
    </row>
    <row r="1472" spans="1:13" ht="11.25" customHeight="1" x14ac:dyDescent="0.2">
      <c r="A1472" s="191">
        <v>2023</v>
      </c>
      <c r="B1472" s="191">
        <v>8</v>
      </c>
      <c r="C1472" s="191">
        <v>10</v>
      </c>
      <c r="D1472" s="192">
        <f t="shared" si="115"/>
        <v>45148</v>
      </c>
      <c r="E1472" s="193">
        <f t="shared" si="118"/>
        <v>45148</v>
      </c>
      <c r="F1472" s="514"/>
      <c r="G1472" s="194" t="s">
        <v>1209</v>
      </c>
      <c r="H1472" s="195"/>
      <c r="I1472" s="195" t="s">
        <v>1294</v>
      </c>
      <c r="J1472" s="191" t="s">
        <v>46</v>
      </c>
      <c r="K1472" s="196"/>
      <c r="L1472" s="196">
        <v>4059.36</v>
      </c>
    </row>
    <row r="1473" spans="1:15" ht="11.25" customHeight="1" x14ac:dyDescent="0.2">
      <c r="A1473" s="197">
        <v>2023</v>
      </c>
      <c r="B1473" s="197">
        <v>8</v>
      </c>
      <c r="C1473" s="197">
        <v>10</v>
      </c>
      <c r="D1473" s="198">
        <f t="shared" si="115"/>
        <v>45148</v>
      </c>
      <c r="E1473" s="209">
        <f t="shared" ref="E1473:E1478" si="119">DATE(A1473,B1473,C1473)</f>
        <v>45148</v>
      </c>
      <c r="F1473" s="513" t="s">
        <v>1210</v>
      </c>
      <c r="G1473" s="200" t="s">
        <v>1209</v>
      </c>
      <c r="H1473" s="201"/>
      <c r="I1473" s="201" t="s">
        <v>390</v>
      </c>
      <c r="J1473" s="197" t="s">
        <v>46</v>
      </c>
      <c r="K1473" s="202">
        <v>270000</v>
      </c>
      <c r="L1473" s="202"/>
      <c r="M1473" s="251"/>
    </row>
    <row r="1474" spans="1:15" ht="11.25" customHeight="1" x14ac:dyDescent="0.2">
      <c r="A1474" s="120">
        <v>2023</v>
      </c>
      <c r="B1474" s="120">
        <v>8</v>
      </c>
      <c r="C1474" s="120">
        <v>10</v>
      </c>
      <c r="D1474" s="208">
        <f t="shared" si="115"/>
        <v>45148</v>
      </c>
      <c r="E1474" s="209">
        <f t="shared" si="119"/>
        <v>45148</v>
      </c>
      <c r="F1474" s="515"/>
      <c r="G1474" s="132" t="s">
        <v>1209</v>
      </c>
      <c r="I1474" s="128" t="s">
        <v>390</v>
      </c>
      <c r="J1474" s="120" t="s">
        <v>16</v>
      </c>
      <c r="K1474" s="207"/>
      <c r="L1474" s="207">
        <v>260070</v>
      </c>
    </row>
    <row r="1475" spans="1:15" ht="11.25" customHeight="1" x14ac:dyDescent="0.2">
      <c r="A1475" s="191">
        <v>2023</v>
      </c>
      <c r="B1475" s="191">
        <v>8</v>
      </c>
      <c r="C1475" s="191">
        <v>10</v>
      </c>
      <c r="D1475" s="192">
        <f t="shared" si="115"/>
        <v>45148</v>
      </c>
      <c r="E1475" s="193">
        <f t="shared" si="119"/>
        <v>45148</v>
      </c>
      <c r="F1475" s="514"/>
      <c r="G1475" s="194" t="s">
        <v>1209</v>
      </c>
      <c r="H1475" s="195"/>
      <c r="I1475" s="195" t="s">
        <v>390</v>
      </c>
      <c r="J1475" s="191" t="s">
        <v>47</v>
      </c>
      <c r="K1475" s="196"/>
      <c r="L1475" s="196">
        <v>9930</v>
      </c>
    </row>
    <row r="1476" spans="1:15" ht="11.25" customHeight="1" x14ac:dyDescent="0.2">
      <c r="A1476" s="197">
        <v>2023</v>
      </c>
      <c r="B1476" s="197">
        <v>8</v>
      </c>
      <c r="C1476" s="197">
        <v>10</v>
      </c>
      <c r="D1476" s="198">
        <f t="shared" si="115"/>
        <v>45148</v>
      </c>
      <c r="E1476" s="209">
        <f t="shared" si="119"/>
        <v>45148</v>
      </c>
      <c r="F1476" s="513" t="s">
        <v>1210</v>
      </c>
      <c r="G1476" s="200" t="s">
        <v>1209</v>
      </c>
      <c r="H1476" s="201"/>
      <c r="I1476" s="201" t="s">
        <v>408</v>
      </c>
      <c r="J1476" s="197" t="s">
        <v>46</v>
      </c>
      <c r="K1476" s="202">
        <v>103820</v>
      </c>
      <c r="L1476" s="202"/>
      <c r="M1476" s="251"/>
    </row>
    <row r="1477" spans="1:15" ht="11.25" customHeight="1" x14ac:dyDescent="0.2">
      <c r="A1477" s="120">
        <v>2023</v>
      </c>
      <c r="B1477" s="120">
        <v>8</v>
      </c>
      <c r="C1477" s="120">
        <v>10</v>
      </c>
      <c r="D1477" s="208">
        <f t="shared" si="115"/>
        <v>45148</v>
      </c>
      <c r="E1477" s="209">
        <f t="shared" si="119"/>
        <v>45148</v>
      </c>
      <c r="F1477" s="515"/>
      <c r="G1477" s="132" t="s">
        <v>1209</v>
      </c>
      <c r="I1477" s="128" t="s">
        <v>408</v>
      </c>
      <c r="J1477" s="120" t="s">
        <v>16</v>
      </c>
      <c r="K1477" s="207"/>
      <c r="L1477" s="207">
        <v>100000</v>
      </c>
    </row>
    <row r="1478" spans="1:15" ht="11.25" customHeight="1" x14ac:dyDescent="0.2">
      <c r="A1478" s="191">
        <v>2023</v>
      </c>
      <c r="B1478" s="191">
        <v>8</v>
      </c>
      <c r="C1478" s="191">
        <v>10</v>
      </c>
      <c r="D1478" s="192">
        <f t="shared" si="115"/>
        <v>45148</v>
      </c>
      <c r="E1478" s="193">
        <f t="shared" si="119"/>
        <v>45148</v>
      </c>
      <c r="F1478" s="514"/>
      <c r="G1478" s="194" t="s">
        <v>1209</v>
      </c>
      <c r="H1478" s="195"/>
      <c r="I1478" s="195" t="s">
        <v>408</v>
      </c>
      <c r="J1478" s="191" t="s">
        <v>47</v>
      </c>
      <c r="K1478" s="196"/>
      <c r="L1478" s="196">
        <v>3820</v>
      </c>
    </row>
    <row r="1479" spans="1:15" ht="11.25" customHeight="1" x14ac:dyDescent="0.2">
      <c r="A1479" s="197">
        <v>2023</v>
      </c>
      <c r="B1479" s="197">
        <v>8</v>
      </c>
      <c r="C1479" s="197">
        <v>10</v>
      </c>
      <c r="D1479" s="198">
        <f t="shared" si="115"/>
        <v>45148</v>
      </c>
      <c r="E1479" s="199">
        <f>DATE(A1479,B1479,C1479)</f>
        <v>45148</v>
      </c>
      <c r="F1479" s="513" t="s">
        <v>1430</v>
      </c>
      <c r="G1479" s="200" t="s">
        <v>1209</v>
      </c>
      <c r="H1479" s="201"/>
      <c r="I1479" s="201" t="s">
        <v>1253</v>
      </c>
      <c r="J1479" s="197" t="s">
        <v>1475</v>
      </c>
      <c r="K1479" s="202">
        <v>4617201.5999999996</v>
      </c>
      <c r="L1479" s="202"/>
    </row>
    <row r="1480" spans="1:15" ht="11.25" customHeight="1" x14ac:dyDescent="0.2">
      <c r="A1480" s="191">
        <v>2023</v>
      </c>
      <c r="B1480" s="191">
        <v>8</v>
      </c>
      <c r="C1480" s="191">
        <v>10</v>
      </c>
      <c r="D1480" s="192">
        <f t="shared" si="115"/>
        <v>45148</v>
      </c>
      <c r="E1480" s="193">
        <f>DATE(A1480,B1480,C1480)</f>
        <v>45148</v>
      </c>
      <c r="F1480" s="514"/>
      <c r="G1480" s="194" t="s">
        <v>1209</v>
      </c>
      <c r="H1480" s="195"/>
      <c r="I1480" s="195" t="s">
        <v>1253</v>
      </c>
      <c r="J1480" s="191" t="s">
        <v>46</v>
      </c>
      <c r="K1480" s="196"/>
      <c r="L1480" s="196">
        <v>4617201.5999999996</v>
      </c>
      <c r="N1480" s="130"/>
    </row>
    <row r="1481" spans="1:15" ht="11.25" customHeight="1" x14ac:dyDescent="0.2">
      <c r="A1481" s="210">
        <v>2023</v>
      </c>
      <c r="B1481" s="210">
        <v>8</v>
      </c>
      <c r="C1481" s="210">
        <v>10</v>
      </c>
      <c r="D1481" s="211">
        <f t="shared" si="115"/>
        <v>45148</v>
      </c>
      <c r="E1481" s="238">
        <f t="shared" ref="E1481:E1500" si="120">DATE(A1481,B1481,C1481)</f>
        <v>45148</v>
      </c>
      <c r="F1481" s="520" t="s">
        <v>1278</v>
      </c>
      <c r="G1481" s="213" t="s">
        <v>1245</v>
      </c>
      <c r="H1481" s="214"/>
      <c r="I1481" s="214" t="s">
        <v>1253</v>
      </c>
      <c r="J1481" s="210" t="s">
        <v>1529</v>
      </c>
      <c r="K1481" s="215">
        <v>5091.2307692307695</v>
      </c>
      <c r="L1481" s="215"/>
    </row>
    <row r="1482" spans="1:15" ht="11.25" customHeight="1" x14ac:dyDescent="0.2">
      <c r="A1482" s="216">
        <v>2023</v>
      </c>
      <c r="B1482" s="216">
        <v>8</v>
      </c>
      <c r="C1482" s="216">
        <v>10</v>
      </c>
      <c r="D1482" s="217">
        <f t="shared" si="115"/>
        <v>45148</v>
      </c>
      <c r="E1482" s="239">
        <f t="shared" si="120"/>
        <v>45148</v>
      </c>
      <c r="F1482" s="521"/>
      <c r="G1482" s="219" t="s">
        <v>1245</v>
      </c>
      <c r="H1482" s="220"/>
      <c r="I1482" s="220" t="s">
        <v>1253</v>
      </c>
      <c r="J1482" s="216" t="s">
        <v>1581</v>
      </c>
      <c r="K1482" s="221"/>
      <c r="L1482" s="221">
        <v>5091.2307692307695</v>
      </c>
    </row>
    <row r="1483" spans="1:15" ht="11.25" customHeight="1" x14ac:dyDescent="0.2">
      <c r="A1483" s="210">
        <v>2023</v>
      </c>
      <c r="B1483" s="210">
        <v>8</v>
      </c>
      <c r="C1483" s="210">
        <v>10</v>
      </c>
      <c r="D1483" s="211">
        <f t="shared" si="115"/>
        <v>45148</v>
      </c>
      <c r="E1483" s="238">
        <f t="shared" si="120"/>
        <v>45148</v>
      </c>
      <c r="F1483" s="520" t="s">
        <v>1285</v>
      </c>
      <c r="G1483" s="213" t="s">
        <v>1245</v>
      </c>
      <c r="H1483" s="214"/>
      <c r="I1483" s="214" t="s">
        <v>1253</v>
      </c>
      <c r="J1483" s="210" t="s">
        <v>1284</v>
      </c>
      <c r="K1483" s="215">
        <v>13771.15</v>
      </c>
      <c r="L1483" s="215"/>
    </row>
    <row r="1484" spans="1:15" ht="11.25" customHeight="1" x14ac:dyDescent="0.2">
      <c r="A1484" s="242">
        <v>2023</v>
      </c>
      <c r="B1484" s="216">
        <v>8</v>
      </c>
      <c r="C1484" s="216">
        <v>10</v>
      </c>
      <c r="D1484" s="243">
        <f t="shared" si="115"/>
        <v>45148</v>
      </c>
      <c r="E1484" s="244">
        <f>DATE(A1484,B1484,C1484)</f>
        <v>45148</v>
      </c>
      <c r="F1484" s="524"/>
      <c r="G1484" s="245" t="s">
        <v>1245</v>
      </c>
      <c r="H1484" s="246"/>
      <c r="I1484" s="246"/>
      <c r="J1484" s="242" t="s">
        <v>1582</v>
      </c>
      <c r="K1484" s="247"/>
      <c r="L1484" s="247">
        <v>13771.15</v>
      </c>
    </row>
    <row r="1485" spans="1:15" ht="11.25" customHeight="1" x14ac:dyDescent="0.2">
      <c r="A1485" s="210">
        <v>2023</v>
      </c>
      <c r="B1485" s="210">
        <v>8</v>
      </c>
      <c r="C1485" s="210">
        <v>10</v>
      </c>
      <c r="D1485" s="211">
        <f t="shared" si="115"/>
        <v>45148</v>
      </c>
      <c r="E1485" s="238">
        <f t="shared" si="120"/>
        <v>45148</v>
      </c>
      <c r="F1485" s="520" t="s">
        <v>1259</v>
      </c>
      <c r="G1485" s="213" t="s">
        <v>1245</v>
      </c>
      <c r="H1485" s="214"/>
      <c r="I1485" s="214" t="s">
        <v>1253</v>
      </c>
      <c r="J1485" s="210" t="s">
        <v>58</v>
      </c>
      <c r="K1485" s="215">
        <v>4325.09</v>
      </c>
      <c r="L1485" s="215"/>
      <c r="N1485" s="308"/>
    </row>
    <row r="1486" spans="1:15" ht="11.25" customHeight="1" x14ac:dyDescent="0.2">
      <c r="A1486" s="216">
        <v>2023</v>
      </c>
      <c r="B1486" s="216">
        <v>8</v>
      </c>
      <c r="C1486" s="216">
        <v>10</v>
      </c>
      <c r="D1486" s="217">
        <f t="shared" si="115"/>
        <v>45148</v>
      </c>
      <c r="E1486" s="239">
        <f t="shared" si="120"/>
        <v>45148</v>
      </c>
      <c r="F1486" s="521"/>
      <c r="G1486" s="219" t="s">
        <v>1245</v>
      </c>
      <c r="H1486" s="220"/>
      <c r="I1486" s="220" t="s">
        <v>1253</v>
      </c>
      <c r="J1486" s="216" t="s">
        <v>153</v>
      </c>
      <c r="K1486" s="221"/>
      <c r="L1486" s="221">
        <v>4325.09</v>
      </c>
    </row>
    <row r="1487" spans="1:15" ht="11.25" customHeight="1" x14ac:dyDescent="0.2">
      <c r="A1487" s="210">
        <v>2023</v>
      </c>
      <c r="B1487" s="210">
        <v>8</v>
      </c>
      <c r="C1487" s="210">
        <v>10</v>
      </c>
      <c r="D1487" s="211">
        <f t="shared" si="115"/>
        <v>45148</v>
      </c>
      <c r="E1487" s="238">
        <f t="shared" si="120"/>
        <v>45148</v>
      </c>
      <c r="F1487" s="520" t="s">
        <v>1255</v>
      </c>
      <c r="G1487" s="213" t="s">
        <v>1245</v>
      </c>
      <c r="H1487" s="214"/>
      <c r="I1487" s="214" t="s">
        <v>1253</v>
      </c>
      <c r="J1487" s="210" t="s">
        <v>113</v>
      </c>
      <c r="K1487" s="215">
        <v>44961.54</v>
      </c>
      <c r="L1487" s="215"/>
      <c r="M1487" s="251"/>
      <c r="O1487" s="130"/>
    </row>
    <row r="1488" spans="1:15" ht="11.25" customHeight="1" x14ac:dyDescent="0.2">
      <c r="A1488" s="216">
        <v>2023</v>
      </c>
      <c r="B1488" s="216">
        <v>8</v>
      </c>
      <c r="C1488" s="216">
        <v>10</v>
      </c>
      <c r="D1488" s="217">
        <f t="shared" si="115"/>
        <v>45148</v>
      </c>
      <c r="E1488" s="239">
        <f t="shared" si="120"/>
        <v>45148</v>
      </c>
      <c r="F1488" s="521"/>
      <c r="G1488" s="219" t="s">
        <v>1245</v>
      </c>
      <c r="H1488" s="220"/>
      <c r="I1488" s="220" t="s">
        <v>1253</v>
      </c>
      <c r="J1488" s="216" t="s">
        <v>153</v>
      </c>
      <c r="K1488" s="221"/>
      <c r="L1488" s="221">
        <v>44961.54</v>
      </c>
    </row>
    <row r="1489" spans="1:15" ht="11.25" customHeight="1" x14ac:dyDescent="0.2">
      <c r="A1489" s="210">
        <v>2023</v>
      </c>
      <c r="B1489" s="210">
        <v>8</v>
      </c>
      <c r="C1489" s="210">
        <v>10</v>
      </c>
      <c r="D1489" s="211">
        <f t="shared" si="115"/>
        <v>45148</v>
      </c>
      <c r="E1489" s="238">
        <f t="shared" si="120"/>
        <v>45148</v>
      </c>
      <c r="F1489" s="520" t="s">
        <v>1256</v>
      </c>
      <c r="G1489" s="213" t="s">
        <v>1245</v>
      </c>
      <c r="H1489" s="214"/>
      <c r="I1489" s="214" t="s">
        <v>1253</v>
      </c>
      <c r="J1489" s="210" t="s">
        <v>113</v>
      </c>
      <c r="K1489" s="215">
        <v>5925.93</v>
      </c>
      <c r="L1489" s="215"/>
      <c r="M1489" s="251"/>
      <c r="O1489" s="130"/>
    </row>
    <row r="1490" spans="1:15" ht="11.25" customHeight="1" x14ac:dyDescent="0.2">
      <c r="A1490" s="216">
        <v>2023</v>
      </c>
      <c r="B1490" s="216">
        <v>8</v>
      </c>
      <c r="C1490" s="216">
        <v>10</v>
      </c>
      <c r="D1490" s="217">
        <f t="shared" si="115"/>
        <v>45148</v>
      </c>
      <c r="E1490" s="239">
        <f t="shared" si="120"/>
        <v>45148</v>
      </c>
      <c r="F1490" s="521"/>
      <c r="G1490" s="219" t="s">
        <v>1245</v>
      </c>
      <c r="H1490" s="220"/>
      <c r="I1490" s="220" t="s">
        <v>1253</v>
      </c>
      <c r="J1490" s="216" t="s">
        <v>153</v>
      </c>
      <c r="K1490" s="221"/>
      <c r="L1490" s="221">
        <v>5925.93</v>
      </c>
    </row>
    <row r="1491" spans="1:15" ht="11.25" customHeight="1" x14ac:dyDescent="0.2">
      <c r="A1491" s="210">
        <v>2023</v>
      </c>
      <c r="B1491" s="210">
        <v>8</v>
      </c>
      <c r="C1491" s="210">
        <v>10</v>
      </c>
      <c r="D1491" s="211">
        <f t="shared" si="115"/>
        <v>45148</v>
      </c>
      <c r="E1491" s="238">
        <f t="shared" si="120"/>
        <v>45148</v>
      </c>
      <c r="F1491" s="520" t="s">
        <v>1257</v>
      </c>
      <c r="G1491" s="213" t="s">
        <v>1245</v>
      </c>
      <c r="H1491" s="214"/>
      <c r="I1491" s="214" t="s">
        <v>1253</v>
      </c>
      <c r="J1491" s="210" t="s">
        <v>113</v>
      </c>
      <c r="K1491" s="215">
        <v>27692.31</v>
      </c>
      <c r="L1491" s="215"/>
    </row>
    <row r="1492" spans="1:15" ht="11.25" customHeight="1" x14ac:dyDescent="0.2">
      <c r="A1492" s="216">
        <v>2023</v>
      </c>
      <c r="B1492" s="216">
        <v>8</v>
      </c>
      <c r="C1492" s="216">
        <v>10</v>
      </c>
      <c r="D1492" s="217">
        <f t="shared" si="115"/>
        <v>45148</v>
      </c>
      <c r="E1492" s="239">
        <f t="shared" si="120"/>
        <v>45148</v>
      </c>
      <c r="F1492" s="521"/>
      <c r="G1492" s="219" t="s">
        <v>1245</v>
      </c>
      <c r="H1492" s="220"/>
      <c r="I1492" s="220" t="s">
        <v>1253</v>
      </c>
      <c r="J1492" s="216" t="s">
        <v>153</v>
      </c>
      <c r="K1492" s="221"/>
      <c r="L1492" s="221">
        <v>27692.31</v>
      </c>
    </row>
    <row r="1493" spans="1:15" ht="11.25" customHeight="1" x14ac:dyDescent="0.2">
      <c r="A1493" s="259">
        <v>2023</v>
      </c>
      <c r="B1493" s="259">
        <v>8</v>
      </c>
      <c r="C1493" s="259">
        <v>10</v>
      </c>
      <c r="D1493" s="260">
        <f t="shared" si="115"/>
        <v>45148</v>
      </c>
      <c r="E1493" s="261">
        <f t="shared" si="120"/>
        <v>45148</v>
      </c>
      <c r="F1493" s="531" t="s">
        <v>1359</v>
      </c>
      <c r="G1493" s="262" t="s">
        <v>1245</v>
      </c>
      <c r="H1493" s="263"/>
      <c r="I1493" s="263" t="s">
        <v>1253</v>
      </c>
      <c r="J1493" s="259" t="s">
        <v>1476</v>
      </c>
      <c r="K1493" s="264">
        <v>8502.8166666667294</v>
      </c>
      <c r="L1493" s="264"/>
    </row>
    <row r="1494" spans="1:15" ht="11.25" customHeight="1" x14ac:dyDescent="0.2">
      <c r="A1494" s="265">
        <v>2023</v>
      </c>
      <c r="B1494" s="265">
        <v>8</v>
      </c>
      <c r="C1494" s="265">
        <v>10</v>
      </c>
      <c r="D1494" s="266">
        <f t="shared" si="115"/>
        <v>45148</v>
      </c>
      <c r="E1494" s="267">
        <f t="shared" si="120"/>
        <v>45148</v>
      </c>
      <c r="F1494" s="532"/>
      <c r="G1494" s="268" t="s">
        <v>1245</v>
      </c>
      <c r="H1494" s="269"/>
      <c r="I1494" s="269" t="s">
        <v>1253</v>
      </c>
      <c r="J1494" s="265" t="s">
        <v>153</v>
      </c>
      <c r="K1494" s="270"/>
      <c r="L1494" s="270">
        <v>8502.8166666667294</v>
      </c>
    </row>
    <row r="1495" spans="1:15" ht="11.25" customHeight="1" x14ac:dyDescent="0.2">
      <c r="A1495" s="259">
        <v>2023</v>
      </c>
      <c r="B1495" s="259">
        <v>8</v>
      </c>
      <c r="C1495" s="259">
        <v>10</v>
      </c>
      <c r="D1495" s="260">
        <f t="shared" si="115"/>
        <v>45148</v>
      </c>
      <c r="E1495" s="261">
        <f t="shared" si="120"/>
        <v>45148</v>
      </c>
      <c r="F1495" s="531" t="s">
        <v>1383</v>
      </c>
      <c r="G1495" s="262" t="s">
        <v>1245</v>
      </c>
      <c r="H1495" s="263"/>
      <c r="I1495" s="263" t="s">
        <v>1253</v>
      </c>
      <c r="J1495" s="259" t="s">
        <v>1476</v>
      </c>
      <c r="K1495" s="264">
        <v>15585.12222222218</v>
      </c>
      <c r="L1495" s="264"/>
    </row>
    <row r="1496" spans="1:15" ht="11.25" customHeight="1" x14ac:dyDescent="0.2">
      <c r="A1496" s="265">
        <v>2023</v>
      </c>
      <c r="B1496" s="265">
        <v>8</v>
      </c>
      <c r="C1496" s="265">
        <v>10</v>
      </c>
      <c r="D1496" s="266">
        <f t="shared" si="115"/>
        <v>45148</v>
      </c>
      <c r="E1496" s="267">
        <f t="shared" si="120"/>
        <v>45148</v>
      </c>
      <c r="F1496" s="532"/>
      <c r="G1496" s="268" t="s">
        <v>1245</v>
      </c>
      <c r="H1496" s="269"/>
      <c r="I1496" s="269" t="s">
        <v>1253</v>
      </c>
      <c r="J1496" s="265" t="s">
        <v>153</v>
      </c>
      <c r="K1496" s="270"/>
      <c r="L1496" s="270">
        <v>15585.12222222218</v>
      </c>
    </row>
    <row r="1497" spans="1:15" ht="11.25" customHeight="1" x14ac:dyDescent="0.2">
      <c r="A1497" s="259">
        <v>2023</v>
      </c>
      <c r="B1497" s="259">
        <v>8</v>
      </c>
      <c r="C1497" s="259">
        <v>10</v>
      </c>
      <c r="D1497" s="260">
        <f t="shared" ref="D1497:D1558" si="121">DATE(A1497,B1497,C1497)</f>
        <v>45148</v>
      </c>
      <c r="E1497" s="261">
        <f t="shared" si="120"/>
        <v>45148</v>
      </c>
      <c r="F1497" s="531" t="s">
        <v>1388</v>
      </c>
      <c r="G1497" s="262" t="s">
        <v>1245</v>
      </c>
      <c r="H1497" s="263"/>
      <c r="I1497" s="263" t="s">
        <v>1253</v>
      </c>
      <c r="J1497" s="259" t="s">
        <v>1476</v>
      </c>
      <c r="K1497" s="264">
        <v>12544.916666666666</v>
      </c>
      <c r="L1497" s="264"/>
    </row>
    <row r="1498" spans="1:15" ht="11.25" customHeight="1" x14ac:dyDescent="0.2">
      <c r="A1498" s="265">
        <v>2023</v>
      </c>
      <c r="B1498" s="265">
        <v>8</v>
      </c>
      <c r="C1498" s="265">
        <v>10</v>
      </c>
      <c r="D1498" s="266">
        <f t="shared" si="121"/>
        <v>45148</v>
      </c>
      <c r="E1498" s="267">
        <f t="shared" si="120"/>
        <v>45148</v>
      </c>
      <c r="F1498" s="532"/>
      <c r="G1498" s="268" t="s">
        <v>1245</v>
      </c>
      <c r="H1498" s="269"/>
      <c r="I1498" s="269" t="s">
        <v>1253</v>
      </c>
      <c r="J1498" s="265" t="s">
        <v>153</v>
      </c>
      <c r="K1498" s="270"/>
      <c r="L1498" s="270">
        <v>12544.916666666666</v>
      </c>
    </row>
    <row r="1499" spans="1:15" ht="11.25" customHeight="1" x14ac:dyDescent="0.2">
      <c r="A1499" s="259">
        <v>2023</v>
      </c>
      <c r="B1499" s="259">
        <v>8</v>
      </c>
      <c r="C1499" s="259">
        <v>10</v>
      </c>
      <c r="D1499" s="260">
        <f t="shared" si="121"/>
        <v>45148</v>
      </c>
      <c r="E1499" s="261">
        <f t="shared" si="120"/>
        <v>45148</v>
      </c>
      <c r="F1499" s="531" t="s">
        <v>1388</v>
      </c>
      <c r="G1499" s="262" t="s">
        <v>1245</v>
      </c>
      <c r="H1499" s="263"/>
      <c r="I1499" s="263" t="s">
        <v>1253</v>
      </c>
      <c r="J1499" s="259" t="s">
        <v>1476</v>
      </c>
      <c r="K1499" s="264">
        <v>10954.355555555576</v>
      </c>
      <c r="L1499" s="264"/>
    </row>
    <row r="1500" spans="1:15" ht="11.25" customHeight="1" x14ac:dyDescent="0.2">
      <c r="A1500" s="265">
        <v>2023</v>
      </c>
      <c r="B1500" s="265">
        <v>8</v>
      </c>
      <c r="C1500" s="265">
        <v>10</v>
      </c>
      <c r="D1500" s="266">
        <f t="shared" si="121"/>
        <v>45148</v>
      </c>
      <c r="E1500" s="267">
        <f t="shared" si="120"/>
        <v>45148</v>
      </c>
      <c r="F1500" s="532"/>
      <c r="G1500" s="268" t="s">
        <v>1245</v>
      </c>
      <c r="H1500" s="269"/>
      <c r="I1500" s="269" t="s">
        <v>1253</v>
      </c>
      <c r="J1500" s="265" t="s">
        <v>153</v>
      </c>
      <c r="K1500" s="270"/>
      <c r="L1500" s="270">
        <v>10954.355555555576</v>
      </c>
    </row>
    <row r="1501" spans="1:15" ht="11.25" customHeight="1" x14ac:dyDescent="0.2">
      <c r="A1501" s="259">
        <v>2023</v>
      </c>
      <c r="B1501" s="259">
        <v>8</v>
      </c>
      <c r="C1501" s="259">
        <v>10</v>
      </c>
      <c r="D1501" s="260">
        <f t="shared" si="121"/>
        <v>45148</v>
      </c>
      <c r="E1501" s="261">
        <f t="shared" ref="E1501:E1508" si="122">DATE(A1501,B1501,C1501)</f>
        <v>45148</v>
      </c>
      <c r="F1501" s="531" t="s">
        <v>1313</v>
      </c>
      <c r="G1501" s="262" t="s">
        <v>1245</v>
      </c>
      <c r="H1501" s="263"/>
      <c r="I1501" s="263" t="s">
        <v>1253</v>
      </c>
      <c r="J1501" s="259" t="s">
        <v>1476</v>
      </c>
      <c r="K1501" s="264">
        <v>8326.6666666666661</v>
      </c>
      <c r="L1501" s="264"/>
    </row>
    <row r="1502" spans="1:15" ht="11.25" customHeight="1" x14ac:dyDescent="0.2">
      <c r="A1502" s="265">
        <v>2023</v>
      </c>
      <c r="B1502" s="265">
        <v>8</v>
      </c>
      <c r="C1502" s="265">
        <v>10</v>
      </c>
      <c r="D1502" s="266">
        <f t="shared" si="121"/>
        <v>45148</v>
      </c>
      <c r="E1502" s="267">
        <f t="shared" si="122"/>
        <v>45148</v>
      </c>
      <c r="F1502" s="532"/>
      <c r="G1502" s="268" t="s">
        <v>1245</v>
      </c>
      <c r="H1502" s="269"/>
      <c r="I1502" s="269" t="s">
        <v>1253</v>
      </c>
      <c r="J1502" s="265" t="s">
        <v>153</v>
      </c>
      <c r="K1502" s="270"/>
      <c r="L1502" s="270">
        <v>8326.6666666666661</v>
      </c>
    </row>
    <row r="1503" spans="1:15" ht="11.25" customHeight="1" x14ac:dyDescent="0.2">
      <c r="A1503" s="259">
        <v>2023</v>
      </c>
      <c r="B1503" s="259">
        <v>8</v>
      </c>
      <c r="C1503" s="259">
        <v>10</v>
      </c>
      <c r="D1503" s="260">
        <f t="shared" si="121"/>
        <v>45148</v>
      </c>
      <c r="E1503" s="261">
        <f t="shared" si="122"/>
        <v>45148</v>
      </c>
      <c r="F1503" s="531" t="s">
        <v>1397</v>
      </c>
      <c r="G1503" s="262" t="s">
        <v>1245</v>
      </c>
      <c r="H1503" s="263"/>
      <c r="I1503" s="263" t="s">
        <v>1253</v>
      </c>
      <c r="J1503" s="259" t="s">
        <v>1476</v>
      </c>
      <c r="K1503" s="264">
        <v>3693.4422222222202</v>
      </c>
      <c r="L1503" s="264"/>
    </row>
    <row r="1504" spans="1:15" ht="11.25" customHeight="1" x14ac:dyDescent="0.2">
      <c r="A1504" s="265">
        <v>2023</v>
      </c>
      <c r="B1504" s="265">
        <v>8</v>
      </c>
      <c r="C1504" s="265">
        <v>10</v>
      </c>
      <c r="D1504" s="266">
        <f t="shared" si="121"/>
        <v>45148</v>
      </c>
      <c r="E1504" s="267">
        <f t="shared" si="122"/>
        <v>45148</v>
      </c>
      <c r="F1504" s="532"/>
      <c r="G1504" s="268" t="s">
        <v>1245</v>
      </c>
      <c r="H1504" s="269"/>
      <c r="I1504" s="269" t="s">
        <v>1253</v>
      </c>
      <c r="J1504" s="265" t="s">
        <v>153</v>
      </c>
      <c r="K1504" s="270"/>
      <c r="L1504" s="270">
        <v>3693.4422222222202</v>
      </c>
    </row>
    <row r="1505" spans="1:13" ht="11.25" customHeight="1" x14ac:dyDescent="0.2">
      <c r="A1505" s="259">
        <v>2023</v>
      </c>
      <c r="B1505" s="259">
        <v>8</v>
      </c>
      <c r="C1505" s="259">
        <v>10</v>
      </c>
      <c r="D1505" s="260">
        <f t="shared" si="121"/>
        <v>45148</v>
      </c>
      <c r="E1505" s="261">
        <f t="shared" si="122"/>
        <v>45148</v>
      </c>
      <c r="F1505" s="531" t="s">
        <v>1424</v>
      </c>
      <c r="G1505" s="262" t="s">
        <v>1245</v>
      </c>
      <c r="H1505" s="263"/>
      <c r="I1505" s="263" t="s">
        <v>1253</v>
      </c>
      <c r="J1505" s="259" t="s">
        <v>1476</v>
      </c>
      <c r="K1505" s="264">
        <v>6058.53</v>
      </c>
      <c r="L1505" s="264"/>
    </row>
    <row r="1506" spans="1:13" ht="11.25" customHeight="1" x14ac:dyDescent="0.2">
      <c r="A1506" s="265">
        <v>2023</v>
      </c>
      <c r="B1506" s="265">
        <v>8</v>
      </c>
      <c r="C1506" s="265">
        <v>10</v>
      </c>
      <c r="D1506" s="266">
        <f t="shared" si="121"/>
        <v>45148</v>
      </c>
      <c r="E1506" s="267">
        <f t="shared" si="122"/>
        <v>45148</v>
      </c>
      <c r="F1506" s="532"/>
      <c r="G1506" s="268" t="s">
        <v>1245</v>
      </c>
      <c r="H1506" s="269"/>
      <c r="I1506" s="269" t="s">
        <v>1253</v>
      </c>
      <c r="J1506" s="265" t="s">
        <v>153</v>
      </c>
      <c r="K1506" s="270"/>
      <c r="L1506" s="270">
        <v>6058.53</v>
      </c>
    </row>
    <row r="1507" spans="1:13" ht="11.25" customHeight="1" x14ac:dyDescent="0.2">
      <c r="A1507" s="259">
        <v>2023</v>
      </c>
      <c r="B1507" s="259">
        <v>8</v>
      </c>
      <c r="C1507" s="259">
        <v>10</v>
      </c>
      <c r="D1507" s="260">
        <f t="shared" si="121"/>
        <v>45148</v>
      </c>
      <c r="E1507" s="261">
        <f t="shared" si="122"/>
        <v>45148</v>
      </c>
      <c r="F1507" s="531" t="s">
        <v>1383</v>
      </c>
      <c r="G1507" s="262" t="s">
        <v>1245</v>
      </c>
      <c r="H1507" s="263"/>
      <c r="I1507" s="263" t="s">
        <v>1253</v>
      </c>
      <c r="J1507" s="259" t="s">
        <v>1476</v>
      </c>
      <c r="K1507" s="264">
        <v>6945.1</v>
      </c>
      <c r="L1507" s="264"/>
    </row>
    <row r="1508" spans="1:13" ht="11.25" customHeight="1" x14ac:dyDescent="0.2">
      <c r="A1508" s="265">
        <v>2023</v>
      </c>
      <c r="B1508" s="265">
        <v>8</v>
      </c>
      <c r="C1508" s="265">
        <v>10</v>
      </c>
      <c r="D1508" s="266">
        <f t="shared" si="121"/>
        <v>45148</v>
      </c>
      <c r="E1508" s="267">
        <f t="shared" si="122"/>
        <v>45148</v>
      </c>
      <c r="F1508" s="532"/>
      <c r="G1508" s="268" t="s">
        <v>1245</v>
      </c>
      <c r="H1508" s="269"/>
      <c r="I1508" s="269" t="s">
        <v>1253</v>
      </c>
      <c r="J1508" s="265" t="s">
        <v>153</v>
      </c>
      <c r="K1508" s="270"/>
      <c r="L1508" s="270">
        <v>6945.1</v>
      </c>
    </row>
    <row r="1509" spans="1:13" ht="11.25" customHeight="1" x14ac:dyDescent="0.2">
      <c r="A1509" s="222">
        <v>2023</v>
      </c>
      <c r="B1509" s="222">
        <v>8</v>
      </c>
      <c r="C1509" s="222">
        <v>10</v>
      </c>
      <c r="D1509" s="223">
        <f t="shared" si="121"/>
        <v>45148</v>
      </c>
      <c r="E1509" s="240">
        <f t="shared" ref="E1509:E1524" si="123">DATE(A1509,B1509,C1509)</f>
        <v>45148</v>
      </c>
      <c r="F1509" s="511" t="s">
        <v>1244</v>
      </c>
      <c r="G1509" s="225" t="s">
        <v>1245</v>
      </c>
      <c r="H1509" s="226"/>
      <c r="I1509" s="226" t="s">
        <v>1253</v>
      </c>
      <c r="J1509" s="222" t="s">
        <v>87</v>
      </c>
      <c r="K1509" s="227">
        <v>12243.071904759854</v>
      </c>
      <c r="L1509" s="227"/>
    </row>
    <row r="1510" spans="1:13" ht="11.25" customHeight="1" x14ac:dyDescent="0.2">
      <c r="A1510" s="228">
        <v>2023</v>
      </c>
      <c r="B1510" s="228">
        <v>8</v>
      </c>
      <c r="C1510" s="228">
        <v>10</v>
      </c>
      <c r="D1510" s="229">
        <f t="shared" si="121"/>
        <v>45148</v>
      </c>
      <c r="E1510" s="241">
        <f t="shared" si="123"/>
        <v>45148</v>
      </c>
      <c r="F1510" s="512"/>
      <c r="G1510" s="231" t="s">
        <v>1245</v>
      </c>
      <c r="H1510" s="232"/>
      <c r="I1510" s="232" t="s">
        <v>1253</v>
      </c>
      <c r="J1510" s="228" t="s">
        <v>72</v>
      </c>
      <c r="K1510" s="233"/>
      <c r="L1510" s="233">
        <v>12243.071904759854</v>
      </c>
    </row>
    <row r="1511" spans="1:13" ht="11.25" customHeight="1" x14ac:dyDescent="0.2">
      <c r="A1511" s="222">
        <v>2023</v>
      </c>
      <c r="B1511" s="222">
        <v>8</v>
      </c>
      <c r="C1511" s="222">
        <v>10</v>
      </c>
      <c r="D1511" s="223">
        <f t="shared" si="121"/>
        <v>45148</v>
      </c>
      <c r="E1511" s="240">
        <f t="shared" si="123"/>
        <v>45148</v>
      </c>
      <c r="F1511" s="511" t="s">
        <v>1246</v>
      </c>
      <c r="G1511" s="225" t="s">
        <v>1245</v>
      </c>
      <c r="H1511" s="226"/>
      <c r="I1511" s="226" t="s">
        <v>1253</v>
      </c>
      <c r="J1511" s="222" t="s">
        <v>75</v>
      </c>
      <c r="K1511" s="227">
        <v>3623.123846153846</v>
      </c>
      <c r="L1511" s="227"/>
    </row>
    <row r="1512" spans="1:13" ht="11.25" customHeight="1" x14ac:dyDescent="0.2">
      <c r="A1512" s="228">
        <v>2023</v>
      </c>
      <c r="B1512" s="228">
        <v>8</v>
      </c>
      <c r="C1512" s="228">
        <v>10</v>
      </c>
      <c r="D1512" s="229">
        <f t="shared" si="121"/>
        <v>45148</v>
      </c>
      <c r="E1512" s="241">
        <f t="shared" si="123"/>
        <v>45148</v>
      </c>
      <c r="F1512" s="512"/>
      <c r="G1512" s="231" t="s">
        <v>1245</v>
      </c>
      <c r="H1512" s="232"/>
      <c r="I1512" s="232" t="s">
        <v>1253</v>
      </c>
      <c r="J1512" s="228" t="s">
        <v>55</v>
      </c>
      <c r="K1512" s="233"/>
      <c r="L1512" s="233">
        <v>3623.123846153846</v>
      </c>
    </row>
    <row r="1513" spans="1:13" ht="11.25" customHeight="1" x14ac:dyDescent="0.2">
      <c r="A1513" s="222">
        <v>2023</v>
      </c>
      <c r="B1513" s="222">
        <v>8</v>
      </c>
      <c r="C1513" s="222">
        <v>10</v>
      </c>
      <c r="D1513" s="223">
        <f t="shared" si="121"/>
        <v>45148</v>
      </c>
      <c r="E1513" s="240">
        <f t="shared" si="123"/>
        <v>45148</v>
      </c>
      <c r="F1513" s="511" t="s">
        <v>1247</v>
      </c>
      <c r="G1513" s="225" t="s">
        <v>1245</v>
      </c>
      <c r="H1513" s="226"/>
      <c r="I1513" s="226" t="s">
        <v>1253</v>
      </c>
      <c r="J1513" s="222" t="s">
        <v>77</v>
      </c>
      <c r="K1513" s="227">
        <v>12487.471136294153</v>
      </c>
      <c r="L1513" s="227"/>
    </row>
    <row r="1514" spans="1:13" ht="11.25" customHeight="1" x14ac:dyDescent="0.2">
      <c r="A1514" s="228">
        <v>2023</v>
      </c>
      <c r="B1514" s="228">
        <v>8</v>
      </c>
      <c r="C1514" s="228">
        <v>10</v>
      </c>
      <c r="D1514" s="229">
        <f t="shared" si="121"/>
        <v>45148</v>
      </c>
      <c r="E1514" s="241">
        <f t="shared" si="123"/>
        <v>45148</v>
      </c>
      <c r="F1514" s="512"/>
      <c r="G1514" s="231" t="s">
        <v>1245</v>
      </c>
      <c r="H1514" s="232"/>
      <c r="I1514" s="232" t="s">
        <v>1253</v>
      </c>
      <c r="J1514" s="228" t="s">
        <v>41</v>
      </c>
      <c r="K1514" s="233"/>
      <c r="L1514" s="233">
        <v>12487.471136294153</v>
      </c>
    </row>
    <row r="1515" spans="1:13" ht="11.25" customHeight="1" x14ac:dyDescent="0.2">
      <c r="A1515" s="222">
        <v>2023</v>
      </c>
      <c r="B1515" s="222">
        <v>8</v>
      </c>
      <c r="C1515" s="222">
        <v>10</v>
      </c>
      <c r="D1515" s="223">
        <f t="shared" si="121"/>
        <v>45148</v>
      </c>
      <c r="E1515" s="240">
        <f t="shared" si="123"/>
        <v>45148</v>
      </c>
      <c r="F1515" s="511" t="s">
        <v>1248</v>
      </c>
      <c r="G1515" s="225" t="s">
        <v>1245</v>
      </c>
      <c r="H1515" s="226"/>
      <c r="I1515" s="226" t="s">
        <v>1253</v>
      </c>
      <c r="J1515" s="222" t="s">
        <v>80</v>
      </c>
      <c r="K1515" s="227">
        <v>1248.7471136294153</v>
      </c>
      <c r="L1515" s="227"/>
    </row>
    <row r="1516" spans="1:13" ht="11.25" customHeight="1" x14ac:dyDescent="0.2">
      <c r="A1516" s="228">
        <v>2023</v>
      </c>
      <c r="B1516" s="228">
        <v>8</v>
      </c>
      <c r="C1516" s="228">
        <v>10</v>
      </c>
      <c r="D1516" s="229">
        <f t="shared" si="121"/>
        <v>45148</v>
      </c>
      <c r="E1516" s="241">
        <f t="shared" si="123"/>
        <v>45148</v>
      </c>
      <c r="F1516" s="512"/>
      <c r="G1516" s="231" t="s">
        <v>1245</v>
      </c>
      <c r="H1516" s="232"/>
      <c r="I1516" s="232" t="s">
        <v>1253</v>
      </c>
      <c r="J1516" s="228" t="s">
        <v>42</v>
      </c>
      <c r="K1516" s="233"/>
      <c r="L1516" s="233">
        <v>1248.7471136294153</v>
      </c>
    </row>
    <row r="1517" spans="1:13" ht="11.25" customHeight="1" x14ac:dyDescent="0.2">
      <c r="A1517" s="197">
        <v>2023</v>
      </c>
      <c r="B1517" s="197">
        <v>8</v>
      </c>
      <c r="C1517" s="197">
        <v>13</v>
      </c>
      <c r="D1517" s="198">
        <f t="shared" si="121"/>
        <v>45151</v>
      </c>
      <c r="E1517" s="199">
        <f t="shared" si="123"/>
        <v>45151</v>
      </c>
      <c r="F1517" s="513" t="s">
        <v>1425</v>
      </c>
      <c r="G1517" s="200" t="s">
        <v>1209</v>
      </c>
      <c r="H1517" s="201"/>
      <c r="I1517" s="201"/>
      <c r="J1517" s="197" t="s">
        <v>46</v>
      </c>
      <c r="K1517" s="202">
        <v>1124298.6000000001</v>
      </c>
      <c r="L1517" s="202"/>
    </row>
    <row r="1518" spans="1:13" ht="11.25" customHeight="1" x14ac:dyDescent="0.2">
      <c r="A1518" s="191">
        <v>2023</v>
      </c>
      <c r="B1518" s="191">
        <v>8</v>
      </c>
      <c r="C1518" s="191">
        <v>13</v>
      </c>
      <c r="D1518" s="192">
        <f t="shared" si="121"/>
        <v>45151</v>
      </c>
      <c r="E1518" s="193">
        <f t="shared" si="123"/>
        <v>45151</v>
      </c>
      <c r="F1518" s="514"/>
      <c r="G1518" s="194" t="s">
        <v>1209</v>
      </c>
      <c r="H1518" s="195"/>
      <c r="I1518" s="195"/>
      <c r="J1518" s="191" t="s">
        <v>171</v>
      </c>
      <c r="K1518" s="196"/>
      <c r="L1518" s="196">
        <v>1124298.5999999999</v>
      </c>
    </row>
    <row r="1519" spans="1:13" ht="11.25" customHeight="1" x14ac:dyDescent="0.2">
      <c r="A1519" s="197">
        <v>2023</v>
      </c>
      <c r="B1519" s="197">
        <v>8</v>
      </c>
      <c r="C1519" s="197">
        <v>14</v>
      </c>
      <c r="D1519" s="198">
        <f t="shared" si="121"/>
        <v>45152</v>
      </c>
      <c r="E1519" s="199">
        <f t="shared" si="123"/>
        <v>45152</v>
      </c>
      <c r="F1519" s="513" t="s">
        <v>1389</v>
      </c>
      <c r="G1519" s="200" t="s">
        <v>1209</v>
      </c>
      <c r="H1519" s="200"/>
      <c r="I1519" s="201" t="s">
        <v>1253</v>
      </c>
      <c r="J1519" s="248" t="s">
        <v>84</v>
      </c>
      <c r="K1519" s="202">
        <v>11.27</v>
      </c>
      <c r="L1519" s="202"/>
      <c r="M1519" s="251"/>
    </row>
    <row r="1520" spans="1:13" ht="11.25" customHeight="1" x14ac:dyDescent="0.2">
      <c r="A1520" s="191">
        <v>2023</v>
      </c>
      <c r="B1520" s="191">
        <v>8</v>
      </c>
      <c r="C1520" s="191">
        <v>14</v>
      </c>
      <c r="D1520" s="198">
        <f t="shared" si="121"/>
        <v>45152</v>
      </c>
      <c r="E1520" s="193">
        <f t="shared" si="123"/>
        <v>45152</v>
      </c>
      <c r="F1520" s="514"/>
      <c r="G1520" s="194" t="s">
        <v>1209</v>
      </c>
      <c r="H1520" s="194"/>
      <c r="I1520" s="195" t="s">
        <v>1253</v>
      </c>
      <c r="J1520" s="250" t="s">
        <v>46</v>
      </c>
      <c r="K1520" s="196"/>
      <c r="L1520" s="196">
        <v>11.27</v>
      </c>
      <c r="M1520" s="251"/>
    </row>
    <row r="1521" spans="1:13" ht="11.25" customHeight="1" x14ac:dyDescent="0.2">
      <c r="A1521" s="197">
        <v>2023</v>
      </c>
      <c r="B1521" s="197">
        <v>8</v>
      </c>
      <c r="C1521" s="197">
        <v>14</v>
      </c>
      <c r="D1521" s="198">
        <f t="shared" si="121"/>
        <v>45152</v>
      </c>
      <c r="E1521" s="199">
        <f t="shared" si="123"/>
        <v>45152</v>
      </c>
      <c r="F1521" s="513" t="s">
        <v>1323</v>
      </c>
      <c r="G1521" s="200" t="s">
        <v>1209</v>
      </c>
      <c r="H1521" s="201"/>
      <c r="I1521" s="201"/>
      <c r="J1521" s="197" t="s">
        <v>54</v>
      </c>
      <c r="K1521" s="202">
        <v>10</v>
      </c>
      <c r="L1521" s="202"/>
    </row>
    <row r="1522" spans="1:13" ht="11.25" customHeight="1" x14ac:dyDescent="0.2">
      <c r="A1522" s="191">
        <v>2023</v>
      </c>
      <c r="B1522" s="191">
        <v>8</v>
      </c>
      <c r="C1522" s="191">
        <v>14</v>
      </c>
      <c r="D1522" s="192">
        <f t="shared" si="121"/>
        <v>45152</v>
      </c>
      <c r="E1522" s="193">
        <f t="shared" si="123"/>
        <v>45152</v>
      </c>
      <c r="F1522" s="514"/>
      <c r="G1522" s="194" t="s">
        <v>1209</v>
      </c>
      <c r="H1522" s="195"/>
      <c r="I1522" s="195"/>
      <c r="J1522" s="191" t="s">
        <v>46</v>
      </c>
      <c r="K1522" s="196"/>
      <c r="L1522" s="196">
        <v>10</v>
      </c>
    </row>
    <row r="1523" spans="1:13" ht="11.25" customHeight="1" x14ac:dyDescent="0.2">
      <c r="A1523" s="197">
        <v>2023</v>
      </c>
      <c r="B1523" s="197">
        <v>8</v>
      </c>
      <c r="C1523" s="197">
        <v>14</v>
      </c>
      <c r="D1523" s="198">
        <f t="shared" si="121"/>
        <v>45152</v>
      </c>
      <c r="E1523" s="199">
        <f t="shared" si="123"/>
        <v>45152</v>
      </c>
      <c r="F1523" s="513" t="s">
        <v>1323</v>
      </c>
      <c r="G1523" s="200" t="s">
        <v>1209</v>
      </c>
      <c r="H1523" s="201"/>
      <c r="I1523" s="201"/>
      <c r="J1523" s="197" t="s">
        <v>54</v>
      </c>
      <c r="K1523" s="202">
        <v>34.5</v>
      </c>
      <c r="L1523" s="202"/>
    </row>
    <row r="1524" spans="1:13" ht="11.25" customHeight="1" x14ac:dyDescent="0.2">
      <c r="A1524" s="191">
        <v>2023</v>
      </c>
      <c r="B1524" s="191">
        <v>8</v>
      </c>
      <c r="C1524" s="191">
        <v>14</v>
      </c>
      <c r="D1524" s="192">
        <f t="shared" si="121"/>
        <v>45152</v>
      </c>
      <c r="E1524" s="193">
        <f t="shared" si="123"/>
        <v>45152</v>
      </c>
      <c r="F1524" s="514"/>
      <c r="G1524" s="194" t="s">
        <v>1209</v>
      </c>
      <c r="H1524" s="195"/>
      <c r="I1524" s="195"/>
      <c r="J1524" s="191" t="s">
        <v>46</v>
      </c>
      <c r="K1524" s="196"/>
      <c r="L1524" s="196">
        <v>34.5</v>
      </c>
    </row>
    <row r="1525" spans="1:13" ht="11.25" customHeight="1" x14ac:dyDescent="0.2">
      <c r="A1525" s="197">
        <v>2023</v>
      </c>
      <c r="B1525" s="197">
        <v>8</v>
      </c>
      <c r="C1525" s="197">
        <v>14</v>
      </c>
      <c r="D1525" s="198">
        <f t="shared" si="121"/>
        <v>45152</v>
      </c>
      <c r="E1525" s="209">
        <f t="shared" ref="E1525:E1578" si="124">DATE(A1525,B1525,C1525)</f>
        <v>45152</v>
      </c>
      <c r="F1525" s="513" t="s">
        <v>1210</v>
      </c>
      <c r="G1525" s="200" t="s">
        <v>1209</v>
      </c>
      <c r="H1525" s="201"/>
      <c r="I1525" s="201" t="s">
        <v>328</v>
      </c>
      <c r="J1525" s="197" t="s">
        <v>46</v>
      </c>
      <c r="K1525" s="202">
        <v>100000</v>
      </c>
      <c r="L1525" s="202"/>
      <c r="M1525" s="251"/>
    </row>
    <row r="1526" spans="1:13" ht="11.25" customHeight="1" x14ac:dyDescent="0.2">
      <c r="A1526" s="120">
        <v>2023</v>
      </c>
      <c r="B1526" s="120">
        <v>8</v>
      </c>
      <c r="C1526" s="120">
        <v>14</v>
      </c>
      <c r="D1526" s="208">
        <f t="shared" si="121"/>
        <v>45152</v>
      </c>
      <c r="E1526" s="209">
        <f t="shared" si="124"/>
        <v>45152</v>
      </c>
      <c r="F1526" s="515"/>
      <c r="G1526" s="132" t="s">
        <v>1209</v>
      </c>
      <c r="I1526" s="128" t="s">
        <v>328</v>
      </c>
      <c r="J1526" s="120" t="s">
        <v>16</v>
      </c>
      <c r="K1526" s="207"/>
      <c r="L1526" s="207">
        <v>96190</v>
      </c>
    </row>
    <row r="1527" spans="1:13" ht="11.25" customHeight="1" x14ac:dyDescent="0.2">
      <c r="A1527" s="191">
        <v>2023</v>
      </c>
      <c r="B1527" s="191">
        <v>8</v>
      </c>
      <c r="C1527" s="191">
        <v>14</v>
      </c>
      <c r="D1527" s="192">
        <f t="shared" si="121"/>
        <v>45152</v>
      </c>
      <c r="E1527" s="193">
        <f t="shared" si="124"/>
        <v>45152</v>
      </c>
      <c r="F1527" s="514"/>
      <c r="G1527" s="194" t="s">
        <v>1209</v>
      </c>
      <c r="H1527" s="195"/>
      <c r="I1527" s="195" t="s">
        <v>328</v>
      </c>
      <c r="J1527" s="191" t="s">
        <v>47</v>
      </c>
      <c r="K1527" s="196"/>
      <c r="L1527" s="196">
        <v>3810</v>
      </c>
    </row>
    <row r="1528" spans="1:13" ht="11.25" customHeight="1" x14ac:dyDescent="0.2">
      <c r="A1528" s="197">
        <v>2023</v>
      </c>
      <c r="B1528" s="197">
        <v>8</v>
      </c>
      <c r="C1528" s="197">
        <v>16</v>
      </c>
      <c r="D1528" s="198">
        <f t="shared" si="121"/>
        <v>45154</v>
      </c>
      <c r="E1528" s="209">
        <f t="shared" si="124"/>
        <v>45154</v>
      </c>
      <c r="F1528" s="513" t="s">
        <v>1296</v>
      </c>
      <c r="G1528" s="200" t="s">
        <v>1209</v>
      </c>
      <c r="H1528" s="201"/>
      <c r="I1528" s="201"/>
      <c r="J1528" s="197" t="s">
        <v>46</v>
      </c>
      <c r="K1528" s="202">
        <v>5000</v>
      </c>
      <c r="L1528" s="202"/>
      <c r="M1528" s="251"/>
    </row>
    <row r="1529" spans="1:13" ht="11.25" customHeight="1" x14ac:dyDescent="0.2">
      <c r="A1529" s="120">
        <v>2023</v>
      </c>
      <c r="B1529" s="120">
        <v>8</v>
      </c>
      <c r="C1529" s="120">
        <v>16</v>
      </c>
      <c r="D1529" s="208">
        <f t="shared" si="121"/>
        <v>45154</v>
      </c>
      <c r="E1529" s="209">
        <f t="shared" si="124"/>
        <v>45154</v>
      </c>
      <c r="F1529" s="515"/>
      <c r="G1529" s="132" t="s">
        <v>1209</v>
      </c>
      <c r="J1529" s="120" t="s">
        <v>16</v>
      </c>
      <c r="K1529" s="207"/>
      <c r="L1529" s="207">
        <v>4810</v>
      </c>
    </row>
    <row r="1530" spans="1:13" ht="11.25" customHeight="1" x14ac:dyDescent="0.2">
      <c r="A1530" s="191">
        <v>2023</v>
      </c>
      <c r="B1530" s="191">
        <v>8</v>
      </c>
      <c r="C1530" s="191">
        <v>16</v>
      </c>
      <c r="D1530" s="192">
        <f t="shared" si="121"/>
        <v>45154</v>
      </c>
      <c r="E1530" s="193">
        <f t="shared" si="124"/>
        <v>45154</v>
      </c>
      <c r="F1530" s="514"/>
      <c r="G1530" s="194" t="s">
        <v>1209</v>
      </c>
      <c r="H1530" s="195"/>
      <c r="I1530" s="195"/>
      <c r="J1530" s="191" t="s">
        <v>47</v>
      </c>
      <c r="K1530" s="196"/>
      <c r="L1530" s="196">
        <v>190</v>
      </c>
    </row>
    <row r="1531" spans="1:13" ht="11.25" customHeight="1" x14ac:dyDescent="0.2">
      <c r="A1531" s="197">
        <v>2023</v>
      </c>
      <c r="B1531" s="197">
        <v>8</v>
      </c>
      <c r="C1531" s="197">
        <v>16</v>
      </c>
      <c r="D1531" s="198">
        <f t="shared" si="121"/>
        <v>45154</v>
      </c>
      <c r="E1531" s="209">
        <f t="shared" si="124"/>
        <v>45154</v>
      </c>
      <c r="F1531" s="513" t="s">
        <v>1210</v>
      </c>
      <c r="G1531" s="200" t="s">
        <v>1209</v>
      </c>
      <c r="H1531" s="201"/>
      <c r="I1531" s="201" t="s">
        <v>1426</v>
      </c>
      <c r="J1531" s="197" t="s">
        <v>46</v>
      </c>
      <c r="K1531" s="202">
        <v>300000</v>
      </c>
      <c r="L1531" s="202"/>
      <c r="M1531" s="251"/>
    </row>
    <row r="1532" spans="1:13" ht="11.25" customHeight="1" x14ac:dyDescent="0.2">
      <c r="A1532" s="120">
        <v>2023</v>
      </c>
      <c r="B1532" s="120">
        <v>8</v>
      </c>
      <c r="C1532" s="120">
        <v>16</v>
      </c>
      <c r="D1532" s="208">
        <f t="shared" si="121"/>
        <v>45154</v>
      </c>
      <c r="E1532" s="209">
        <f t="shared" si="124"/>
        <v>45154</v>
      </c>
      <c r="F1532" s="515"/>
      <c r="G1532" s="132" t="s">
        <v>1209</v>
      </c>
      <c r="I1532" s="128" t="s">
        <v>1426</v>
      </c>
      <c r="J1532" s="120" t="s">
        <v>16</v>
      </c>
      <c r="K1532" s="207"/>
      <c r="L1532" s="207">
        <v>288570</v>
      </c>
    </row>
    <row r="1533" spans="1:13" ht="11.25" customHeight="1" x14ac:dyDescent="0.2">
      <c r="A1533" s="191">
        <v>2023</v>
      </c>
      <c r="B1533" s="191">
        <v>8</v>
      </c>
      <c r="C1533" s="191">
        <v>16</v>
      </c>
      <c r="D1533" s="192">
        <f t="shared" si="121"/>
        <v>45154</v>
      </c>
      <c r="E1533" s="193">
        <f t="shared" si="124"/>
        <v>45154</v>
      </c>
      <c r="F1533" s="514"/>
      <c r="G1533" s="194" t="s">
        <v>1209</v>
      </c>
      <c r="H1533" s="195"/>
      <c r="I1533" s="195" t="s">
        <v>1426</v>
      </c>
      <c r="J1533" s="191" t="s">
        <v>47</v>
      </c>
      <c r="K1533" s="196"/>
      <c r="L1533" s="196">
        <v>11430</v>
      </c>
    </row>
    <row r="1534" spans="1:13" ht="11.25" customHeight="1" x14ac:dyDescent="0.2">
      <c r="A1534" s="197">
        <v>2023</v>
      </c>
      <c r="B1534" s="197">
        <v>8</v>
      </c>
      <c r="C1534" s="197">
        <v>17</v>
      </c>
      <c r="D1534" s="198">
        <f t="shared" si="121"/>
        <v>45155</v>
      </c>
      <c r="E1534" s="209">
        <f t="shared" si="124"/>
        <v>45155</v>
      </c>
      <c r="F1534" s="513" t="s">
        <v>1296</v>
      </c>
      <c r="G1534" s="200" t="s">
        <v>1209</v>
      </c>
      <c r="H1534" s="201"/>
      <c r="I1534" s="201"/>
      <c r="J1534" s="197" t="s">
        <v>46</v>
      </c>
      <c r="K1534" s="202">
        <v>10000</v>
      </c>
      <c r="L1534" s="202"/>
      <c r="M1534" s="251"/>
    </row>
    <row r="1535" spans="1:13" ht="11.25" customHeight="1" x14ac:dyDescent="0.2">
      <c r="A1535" s="120">
        <v>2023</v>
      </c>
      <c r="B1535" s="120">
        <v>8</v>
      </c>
      <c r="C1535" s="120">
        <v>17</v>
      </c>
      <c r="D1535" s="208">
        <f t="shared" si="121"/>
        <v>45155</v>
      </c>
      <c r="E1535" s="209">
        <f t="shared" si="124"/>
        <v>45155</v>
      </c>
      <c r="F1535" s="515"/>
      <c r="G1535" s="132" t="s">
        <v>1209</v>
      </c>
      <c r="J1535" s="120" t="s">
        <v>16</v>
      </c>
      <c r="K1535" s="207"/>
      <c r="L1535" s="207">
        <v>9620</v>
      </c>
    </row>
    <row r="1536" spans="1:13" ht="11.25" customHeight="1" x14ac:dyDescent="0.2">
      <c r="A1536" s="191">
        <v>2023</v>
      </c>
      <c r="B1536" s="191">
        <v>8</v>
      </c>
      <c r="C1536" s="191">
        <v>17</v>
      </c>
      <c r="D1536" s="192">
        <f t="shared" si="121"/>
        <v>45155</v>
      </c>
      <c r="E1536" s="193">
        <f t="shared" si="124"/>
        <v>45155</v>
      </c>
      <c r="F1536" s="514"/>
      <c r="G1536" s="194" t="s">
        <v>1209</v>
      </c>
      <c r="H1536" s="195"/>
      <c r="I1536" s="195"/>
      <c r="J1536" s="191" t="s">
        <v>47</v>
      </c>
      <c r="K1536" s="196"/>
      <c r="L1536" s="196">
        <v>380</v>
      </c>
    </row>
    <row r="1537" spans="1:15" ht="11.25" customHeight="1" x14ac:dyDescent="0.2">
      <c r="A1537" s="210">
        <v>2023</v>
      </c>
      <c r="B1537" s="210">
        <v>8</v>
      </c>
      <c r="C1537" s="210">
        <v>17</v>
      </c>
      <c r="D1537" s="211">
        <f t="shared" si="121"/>
        <v>45155</v>
      </c>
      <c r="E1537" s="238">
        <f t="shared" si="124"/>
        <v>45155</v>
      </c>
      <c r="F1537" s="520" t="s">
        <v>1278</v>
      </c>
      <c r="G1537" s="213" t="s">
        <v>1245</v>
      </c>
      <c r="H1537" s="214"/>
      <c r="I1537" s="214" t="s">
        <v>1253</v>
      </c>
      <c r="J1537" s="210" t="s">
        <v>1529</v>
      </c>
      <c r="K1537" s="215">
        <v>5091.2307692307695</v>
      </c>
      <c r="L1537" s="215"/>
    </row>
    <row r="1538" spans="1:15" ht="11.25" customHeight="1" x14ac:dyDescent="0.2">
      <c r="A1538" s="216">
        <v>2023</v>
      </c>
      <c r="B1538" s="216">
        <v>8</v>
      </c>
      <c r="C1538" s="216">
        <v>17</v>
      </c>
      <c r="D1538" s="217">
        <f t="shared" si="121"/>
        <v>45155</v>
      </c>
      <c r="E1538" s="239">
        <f t="shared" si="124"/>
        <v>45155</v>
      </c>
      <c r="F1538" s="521"/>
      <c r="G1538" s="219" t="s">
        <v>1245</v>
      </c>
      <c r="H1538" s="220"/>
      <c r="I1538" s="220" t="s">
        <v>1253</v>
      </c>
      <c r="J1538" s="216" t="s">
        <v>1581</v>
      </c>
      <c r="K1538" s="221"/>
      <c r="L1538" s="221">
        <v>5091.2307692307695</v>
      </c>
    </row>
    <row r="1539" spans="1:15" ht="11.25" customHeight="1" x14ac:dyDescent="0.2">
      <c r="A1539" s="210">
        <v>2023</v>
      </c>
      <c r="B1539" s="210">
        <v>8</v>
      </c>
      <c r="C1539" s="210">
        <v>17</v>
      </c>
      <c r="D1539" s="211">
        <f t="shared" si="121"/>
        <v>45155</v>
      </c>
      <c r="E1539" s="238">
        <f t="shared" si="124"/>
        <v>45155</v>
      </c>
      <c r="F1539" s="520" t="s">
        <v>1285</v>
      </c>
      <c r="G1539" s="213" t="s">
        <v>1245</v>
      </c>
      <c r="H1539" s="214"/>
      <c r="I1539" s="214" t="s">
        <v>1253</v>
      </c>
      <c r="J1539" s="210" t="s">
        <v>1284</v>
      </c>
      <c r="K1539" s="215">
        <v>13771.15</v>
      </c>
      <c r="L1539" s="215"/>
    </row>
    <row r="1540" spans="1:15" ht="11.25" customHeight="1" x14ac:dyDescent="0.2">
      <c r="A1540" s="242">
        <v>2023</v>
      </c>
      <c r="B1540" s="216">
        <v>8</v>
      </c>
      <c r="C1540" s="216">
        <v>17</v>
      </c>
      <c r="D1540" s="243">
        <f t="shared" si="121"/>
        <v>45155</v>
      </c>
      <c r="E1540" s="244">
        <f>DATE(A1540,B1540,C1540)</f>
        <v>45155</v>
      </c>
      <c r="F1540" s="524"/>
      <c r="G1540" s="245" t="s">
        <v>1245</v>
      </c>
      <c r="H1540" s="246"/>
      <c r="I1540" s="246"/>
      <c r="J1540" s="242" t="s">
        <v>1582</v>
      </c>
      <c r="K1540" s="247"/>
      <c r="L1540" s="247">
        <v>13771.15</v>
      </c>
    </row>
    <row r="1541" spans="1:15" ht="11.25" customHeight="1" x14ac:dyDescent="0.2">
      <c r="A1541" s="210">
        <v>2023</v>
      </c>
      <c r="B1541" s="210">
        <v>8</v>
      </c>
      <c r="C1541" s="210">
        <v>17</v>
      </c>
      <c r="D1541" s="211">
        <f t="shared" si="121"/>
        <v>45155</v>
      </c>
      <c r="E1541" s="238">
        <f t="shared" si="124"/>
        <v>45155</v>
      </c>
      <c r="F1541" s="520" t="s">
        <v>1259</v>
      </c>
      <c r="G1541" s="213" t="s">
        <v>1245</v>
      </c>
      <c r="H1541" s="214"/>
      <c r="I1541" s="214" t="s">
        <v>1253</v>
      </c>
      <c r="J1541" s="210" t="s">
        <v>58</v>
      </c>
      <c r="K1541" s="215">
        <v>2633.83</v>
      </c>
      <c r="L1541" s="215"/>
      <c r="N1541" s="308"/>
    </row>
    <row r="1542" spans="1:15" ht="11.25" customHeight="1" x14ac:dyDescent="0.2">
      <c r="A1542" s="216">
        <v>2023</v>
      </c>
      <c r="B1542" s="216">
        <v>8</v>
      </c>
      <c r="C1542" s="216">
        <v>17</v>
      </c>
      <c r="D1542" s="217">
        <f t="shared" si="121"/>
        <v>45155</v>
      </c>
      <c r="E1542" s="239">
        <f t="shared" si="124"/>
        <v>45155</v>
      </c>
      <c r="F1542" s="521"/>
      <c r="G1542" s="219" t="s">
        <v>1245</v>
      </c>
      <c r="H1542" s="220"/>
      <c r="I1542" s="220" t="s">
        <v>1253</v>
      </c>
      <c r="J1542" s="216" t="s">
        <v>153</v>
      </c>
      <c r="K1542" s="221"/>
      <c r="L1542" s="221">
        <v>2633.83</v>
      </c>
    </row>
    <row r="1543" spans="1:15" ht="11.25" customHeight="1" x14ac:dyDescent="0.2">
      <c r="A1543" s="210">
        <v>2023</v>
      </c>
      <c r="B1543" s="210">
        <v>8</v>
      </c>
      <c r="C1543" s="210">
        <v>17</v>
      </c>
      <c r="D1543" s="211">
        <f t="shared" si="121"/>
        <v>45155</v>
      </c>
      <c r="E1543" s="238">
        <f t="shared" si="124"/>
        <v>45155</v>
      </c>
      <c r="F1543" s="520" t="s">
        <v>1255</v>
      </c>
      <c r="G1543" s="213" t="s">
        <v>1245</v>
      </c>
      <c r="H1543" s="214"/>
      <c r="I1543" s="214" t="s">
        <v>1253</v>
      </c>
      <c r="J1543" s="210" t="s">
        <v>113</v>
      </c>
      <c r="K1543" s="215">
        <v>44961.54</v>
      </c>
      <c r="L1543" s="215"/>
      <c r="M1543" s="251"/>
      <c r="O1543" s="130"/>
    </row>
    <row r="1544" spans="1:15" ht="11.25" customHeight="1" x14ac:dyDescent="0.2">
      <c r="A1544" s="216">
        <v>2023</v>
      </c>
      <c r="B1544" s="216">
        <v>8</v>
      </c>
      <c r="C1544" s="216">
        <v>17</v>
      </c>
      <c r="D1544" s="217">
        <f t="shared" si="121"/>
        <v>45155</v>
      </c>
      <c r="E1544" s="239">
        <f t="shared" si="124"/>
        <v>45155</v>
      </c>
      <c r="F1544" s="521"/>
      <c r="G1544" s="219" t="s">
        <v>1245</v>
      </c>
      <c r="H1544" s="220"/>
      <c r="I1544" s="220" t="s">
        <v>1253</v>
      </c>
      <c r="J1544" s="216" t="s">
        <v>153</v>
      </c>
      <c r="K1544" s="221"/>
      <c r="L1544" s="221">
        <v>44961.54</v>
      </c>
    </row>
    <row r="1545" spans="1:15" ht="11.25" customHeight="1" x14ac:dyDescent="0.2">
      <c r="A1545" s="210">
        <v>2023</v>
      </c>
      <c r="B1545" s="210">
        <v>8</v>
      </c>
      <c r="C1545" s="210">
        <v>17</v>
      </c>
      <c r="D1545" s="211">
        <f t="shared" si="121"/>
        <v>45155</v>
      </c>
      <c r="E1545" s="238">
        <f t="shared" si="124"/>
        <v>45155</v>
      </c>
      <c r="F1545" s="520" t="s">
        <v>1256</v>
      </c>
      <c r="G1545" s="213" t="s">
        <v>1245</v>
      </c>
      <c r="H1545" s="214"/>
      <c r="I1545" s="214" t="s">
        <v>1253</v>
      </c>
      <c r="J1545" s="210" t="s">
        <v>113</v>
      </c>
      <c r="K1545" s="215">
        <v>5925.93</v>
      </c>
      <c r="L1545" s="215"/>
      <c r="M1545" s="251"/>
      <c r="O1545" s="130"/>
    </row>
    <row r="1546" spans="1:15" ht="11.25" customHeight="1" x14ac:dyDescent="0.2">
      <c r="A1546" s="216">
        <v>2023</v>
      </c>
      <c r="B1546" s="216">
        <v>8</v>
      </c>
      <c r="C1546" s="216">
        <v>17</v>
      </c>
      <c r="D1546" s="217">
        <f t="shared" si="121"/>
        <v>45155</v>
      </c>
      <c r="E1546" s="239">
        <f t="shared" si="124"/>
        <v>45155</v>
      </c>
      <c r="F1546" s="521"/>
      <c r="G1546" s="219" t="s">
        <v>1245</v>
      </c>
      <c r="H1546" s="220"/>
      <c r="I1546" s="220" t="s">
        <v>1253</v>
      </c>
      <c r="J1546" s="216" t="s">
        <v>153</v>
      </c>
      <c r="K1546" s="221"/>
      <c r="L1546" s="221">
        <v>5925.93</v>
      </c>
    </row>
    <row r="1547" spans="1:15" ht="11.25" customHeight="1" x14ac:dyDescent="0.2">
      <c r="A1547" s="210">
        <v>2023</v>
      </c>
      <c r="B1547" s="210">
        <v>8</v>
      </c>
      <c r="C1547" s="210">
        <v>17</v>
      </c>
      <c r="D1547" s="211">
        <f t="shared" si="121"/>
        <v>45155</v>
      </c>
      <c r="E1547" s="238">
        <f t="shared" si="124"/>
        <v>45155</v>
      </c>
      <c r="F1547" s="520" t="s">
        <v>1257</v>
      </c>
      <c r="G1547" s="213" t="s">
        <v>1245</v>
      </c>
      <c r="H1547" s="214"/>
      <c r="I1547" s="214" t="s">
        <v>1253</v>
      </c>
      <c r="J1547" s="210" t="s">
        <v>113</v>
      </c>
      <c r="K1547" s="215">
        <v>27692.31</v>
      </c>
      <c r="L1547" s="215"/>
    </row>
    <row r="1548" spans="1:15" ht="11.25" customHeight="1" x14ac:dyDescent="0.2">
      <c r="A1548" s="216">
        <v>2023</v>
      </c>
      <c r="B1548" s="216">
        <v>8</v>
      </c>
      <c r="C1548" s="216">
        <v>17</v>
      </c>
      <c r="D1548" s="217">
        <f t="shared" si="121"/>
        <v>45155</v>
      </c>
      <c r="E1548" s="239">
        <f t="shared" si="124"/>
        <v>45155</v>
      </c>
      <c r="F1548" s="521"/>
      <c r="G1548" s="219" t="s">
        <v>1245</v>
      </c>
      <c r="H1548" s="220"/>
      <c r="I1548" s="220" t="s">
        <v>1253</v>
      </c>
      <c r="J1548" s="216" t="s">
        <v>153</v>
      </c>
      <c r="K1548" s="221"/>
      <c r="L1548" s="221">
        <v>27692.31</v>
      </c>
    </row>
    <row r="1549" spans="1:15" ht="11.25" customHeight="1" x14ac:dyDescent="0.2">
      <c r="A1549" s="259">
        <v>2023</v>
      </c>
      <c r="B1549" s="259">
        <v>8</v>
      </c>
      <c r="C1549" s="259">
        <v>17</v>
      </c>
      <c r="D1549" s="260">
        <f t="shared" si="121"/>
        <v>45155</v>
      </c>
      <c r="E1549" s="261">
        <f t="shared" si="124"/>
        <v>45155</v>
      </c>
      <c r="F1549" s="531" t="s">
        <v>1359</v>
      </c>
      <c r="G1549" s="262" t="s">
        <v>1245</v>
      </c>
      <c r="H1549" s="263"/>
      <c r="I1549" s="263" t="s">
        <v>1253</v>
      </c>
      <c r="J1549" s="259" t="s">
        <v>1476</v>
      </c>
      <c r="K1549" s="264">
        <v>8502.8166666667294</v>
      </c>
      <c r="L1549" s="264"/>
    </row>
    <row r="1550" spans="1:15" ht="11.25" customHeight="1" x14ac:dyDescent="0.2">
      <c r="A1550" s="265">
        <v>2023</v>
      </c>
      <c r="B1550" s="265">
        <v>8</v>
      </c>
      <c r="C1550" s="265">
        <v>17</v>
      </c>
      <c r="D1550" s="266">
        <f t="shared" si="121"/>
        <v>45155</v>
      </c>
      <c r="E1550" s="267">
        <f t="shared" si="124"/>
        <v>45155</v>
      </c>
      <c r="F1550" s="532"/>
      <c r="G1550" s="268" t="s">
        <v>1245</v>
      </c>
      <c r="H1550" s="269"/>
      <c r="I1550" s="269" t="s">
        <v>1253</v>
      </c>
      <c r="J1550" s="265" t="s">
        <v>153</v>
      </c>
      <c r="K1550" s="270"/>
      <c r="L1550" s="270">
        <v>8502.8166666667294</v>
      </c>
    </row>
    <row r="1551" spans="1:15" ht="11.25" customHeight="1" x14ac:dyDescent="0.2">
      <c r="A1551" s="259">
        <v>2023</v>
      </c>
      <c r="B1551" s="259">
        <v>8</v>
      </c>
      <c r="C1551" s="259">
        <v>17</v>
      </c>
      <c r="D1551" s="260">
        <f t="shared" si="121"/>
        <v>45155</v>
      </c>
      <c r="E1551" s="261">
        <f t="shared" si="124"/>
        <v>45155</v>
      </c>
      <c r="F1551" s="531" t="s">
        <v>1383</v>
      </c>
      <c r="G1551" s="262" t="s">
        <v>1245</v>
      </c>
      <c r="H1551" s="263"/>
      <c r="I1551" s="263" t="s">
        <v>1253</v>
      </c>
      <c r="J1551" s="259" t="s">
        <v>1476</v>
      </c>
      <c r="K1551" s="264">
        <v>15585.12222222218</v>
      </c>
      <c r="L1551" s="264"/>
    </row>
    <row r="1552" spans="1:15" ht="11.25" customHeight="1" x14ac:dyDescent="0.2">
      <c r="A1552" s="265">
        <v>2023</v>
      </c>
      <c r="B1552" s="265">
        <v>8</v>
      </c>
      <c r="C1552" s="265">
        <v>17</v>
      </c>
      <c r="D1552" s="266">
        <f t="shared" si="121"/>
        <v>45155</v>
      </c>
      <c r="E1552" s="267">
        <f t="shared" si="124"/>
        <v>45155</v>
      </c>
      <c r="F1552" s="532"/>
      <c r="G1552" s="268" t="s">
        <v>1245</v>
      </c>
      <c r="H1552" s="269"/>
      <c r="I1552" s="269" t="s">
        <v>1253</v>
      </c>
      <c r="J1552" s="265" t="s">
        <v>153</v>
      </c>
      <c r="K1552" s="270"/>
      <c r="L1552" s="270">
        <v>15585.12222222218</v>
      </c>
    </row>
    <row r="1553" spans="1:12" ht="11.25" customHeight="1" x14ac:dyDescent="0.2">
      <c r="A1553" s="259">
        <v>2023</v>
      </c>
      <c r="B1553" s="259">
        <v>8</v>
      </c>
      <c r="C1553" s="259">
        <v>17</v>
      </c>
      <c r="D1553" s="260">
        <f t="shared" si="121"/>
        <v>45155</v>
      </c>
      <c r="E1553" s="261">
        <f t="shared" si="124"/>
        <v>45155</v>
      </c>
      <c r="F1553" s="531" t="s">
        <v>1388</v>
      </c>
      <c r="G1553" s="262" t="s">
        <v>1245</v>
      </c>
      <c r="H1553" s="263"/>
      <c r="I1553" s="263" t="s">
        <v>1253</v>
      </c>
      <c r="J1553" s="259" t="s">
        <v>1476</v>
      </c>
      <c r="K1553" s="264">
        <v>12544.916666666666</v>
      </c>
      <c r="L1553" s="264"/>
    </row>
    <row r="1554" spans="1:12" ht="11.25" customHeight="1" x14ac:dyDescent="0.2">
      <c r="A1554" s="265">
        <v>2023</v>
      </c>
      <c r="B1554" s="265">
        <v>8</v>
      </c>
      <c r="C1554" s="265">
        <v>17</v>
      </c>
      <c r="D1554" s="266">
        <f t="shared" si="121"/>
        <v>45155</v>
      </c>
      <c r="E1554" s="267">
        <f t="shared" si="124"/>
        <v>45155</v>
      </c>
      <c r="F1554" s="532"/>
      <c r="G1554" s="268" t="s">
        <v>1245</v>
      </c>
      <c r="H1554" s="269"/>
      <c r="I1554" s="269" t="s">
        <v>1253</v>
      </c>
      <c r="J1554" s="265" t="s">
        <v>153</v>
      </c>
      <c r="K1554" s="270"/>
      <c r="L1554" s="270">
        <v>12544.916666666666</v>
      </c>
    </row>
    <row r="1555" spans="1:12" ht="11.25" customHeight="1" x14ac:dyDescent="0.2">
      <c r="A1555" s="259">
        <v>2023</v>
      </c>
      <c r="B1555" s="259">
        <v>8</v>
      </c>
      <c r="C1555" s="259">
        <v>17</v>
      </c>
      <c r="D1555" s="260">
        <f t="shared" si="121"/>
        <v>45155</v>
      </c>
      <c r="E1555" s="261">
        <f t="shared" si="124"/>
        <v>45155</v>
      </c>
      <c r="F1555" s="531" t="s">
        <v>1388</v>
      </c>
      <c r="G1555" s="262" t="s">
        <v>1245</v>
      </c>
      <c r="H1555" s="263"/>
      <c r="I1555" s="263" t="s">
        <v>1253</v>
      </c>
      <c r="J1555" s="259" t="s">
        <v>1476</v>
      </c>
      <c r="K1555" s="264">
        <v>10954.355555555576</v>
      </c>
      <c r="L1555" s="264"/>
    </row>
    <row r="1556" spans="1:12" ht="11.25" customHeight="1" x14ac:dyDescent="0.2">
      <c r="A1556" s="265">
        <v>2023</v>
      </c>
      <c r="B1556" s="265">
        <v>8</v>
      </c>
      <c r="C1556" s="265">
        <v>17</v>
      </c>
      <c r="D1556" s="266">
        <f t="shared" si="121"/>
        <v>45155</v>
      </c>
      <c r="E1556" s="267">
        <f t="shared" si="124"/>
        <v>45155</v>
      </c>
      <c r="F1556" s="532"/>
      <c r="G1556" s="268" t="s">
        <v>1245</v>
      </c>
      <c r="H1556" s="269"/>
      <c r="I1556" s="269" t="s">
        <v>1253</v>
      </c>
      <c r="J1556" s="265" t="s">
        <v>153</v>
      </c>
      <c r="K1556" s="270"/>
      <c r="L1556" s="270">
        <v>10954.355555555576</v>
      </c>
    </row>
    <row r="1557" spans="1:12" ht="11.25" customHeight="1" x14ac:dyDescent="0.2">
      <c r="A1557" s="259">
        <v>2023</v>
      </c>
      <c r="B1557" s="259">
        <v>8</v>
      </c>
      <c r="C1557" s="259">
        <v>17</v>
      </c>
      <c r="D1557" s="260">
        <f t="shared" si="121"/>
        <v>45155</v>
      </c>
      <c r="E1557" s="261">
        <f t="shared" si="124"/>
        <v>45155</v>
      </c>
      <c r="F1557" s="531" t="s">
        <v>1313</v>
      </c>
      <c r="G1557" s="262" t="s">
        <v>1245</v>
      </c>
      <c r="H1557" s="263"/>
      <c r="I1557" s="263" t="s">
        <v>1253</v>
      </c>
      <c r="J1557" s="259" t="s">
        <v>1476</v>
      </c>
      <c r="K1557" s="264">
        <v>8326.6666666666661</v>
      </c>
      <c r="L1557" s="264"/>
    </row>
    <row r="1558" spans="1:12" ht="11.25" customHeight="1" x14ac:dyDescent="0.2">
      <c r="A1558" s="265">
        <v>2023</v>
      </c>
      <c r="B1558" s="265">
        <v>8</v>
      </c>
      <c r="C1558" s="265">
        <v>17</v>
      </c>
      <c r="D1558" s="266">
        <f t="shared" si="121"/>
        <v>45155</v>
      </c>
      <c r="E1558" s="267">
        <f t="shared" si="124"/>
        <v>45155</v>
      </c>
      <c r="F1558" s="532"/>
      <c r="G1558" s="268" t="s">
        <v>1245</v>
      </c>
      <c r="H1558" s="269"/>
      <c r="I1558" s="269" t="s">
        <v>1253</v>
      </c>
      <c r="J1558" s="265" t="s">
        <v>153</v>
      </c>
      <c r="K1558" s="270"/>
      <c r="L1558" s="270">
        <v>8326.6666666666661</v>
      </c>
    </row>
    <row r="1559" spans="1:12" ht="11.25" customHeight="1" x14ac:dyDescent="0.2">
      <c r="A1559" s="259">
        <v>2023</v>
      </c>
      <c r="B1559" s="259">
        <v>8</v>
      </c>
      <c r="C1559" s="259">
        <v>17</v>
      </c>
      <c r="D1559" s="260">
        <f t="shared" ref="D1559:D1622" si="125">DATE(A1559,B1559,C1559)</f>
        <v>45155</v>
      </c>
      <c r="E1559" s="261">
        <f t="shared" si="124"/>
        <v>45155</v>
      </c>
      <c r="F1559" s="531" t="s">
        <v>1397</v>
      </c>
      <c r="G1559" s="262" t="s">
        <v>1245</v>
      </c>
      <c r="H1559" s="263"/>
      <c r="I1559" s="263" t="s">
        <v>1253</v>
      </c>
      <c r="J1559" s="259" t="s">
        <v>1476</v>
      </c>
      <c r="K1559" s="264">
        <v>3693.4422222222202</v>
      </c>
      <c r="L1559" s="264"/>
    </row>
    <row r="1560" spans="1:12" ht="11.25" customHeight="1" x14ac:dyDescent="0.2">
      <c r="A1560" s="265">
        <v>2023</v>
      </c>
      <c r="B1560" s="265">
        <v>8</v>
      </c>
      <c r="C1560" s="265">
        <v>17</v>
      </c>
      <c r="D1560" s="266">
        <f t="shared" si="125"/>
        <v>45155</v>
      </c>
      <c r="E1560" s="267">
        <f t="shared" si="124"/>
        <v>45155</v>
      </c>
      <c r="F1560" s="532"/>
      <c r="G1560" s="268" t="s">
        <v>1245</v>
      </c>
      <c r="H1560" s="269"/>
      <c r="I1560" s="269" t="s">
        <v>1253</v>
      </c>
      <c r="J1560" s="265" t="s">
        <v>153</v>
      </c>
      <c r="K1560" s="270"/>
      <c r="L1560" s="270">
        <v>3693.4422222222202</v>
      </c>
    </row>
    <row r="1561" spans="1:12" ht="11.25" customHeight="1" x14ac:dyDescent="0.2">
      <c r="A1561" s="259">
        <v>2023</v>
      </c>
      <c r="B1561" s="259">
        <v>8</v>
      </c>
      <c r="C1561" s="259">
        <v>17</v>
      </c>
      <c r="D1561" s="260">
        <f t="shared" si="125"/>
        <v>45155</v>
      </c>
      <c r="E1561" s="261">
        <f t="shared" si="124"/>
        <v>45155</v>
      </c>
      <c r="F1561" s="531" t="s">
        <v>1424</v>
      </c>
      <c r="G1561" s="262" t="s">
        <v>1245</v>
      </c>
      <c r="H1561" s="263"/>
      <c r="I1561" s="263" t="s">
        <v>1253</v>
      </c>
      <c r="J1561" s="259" t="s">
        <v>1476</v>
      </c>
      <c r="K1561" s="264">
        <v>6058.53</v>
      </c>
      <c r="L1561" s="264"/>
    </row>
    <row r="1562" spans="1:12" ht="11.25" customHeight="1" x14ac:dyDescent="0.2">
      <c r="A1562" s="265">
        <v>2023</v>
      </c>
      <c r="B1562" s="265">
        <v>8</v>
      </c>
      <c r="C1562" s="265">
        <v>17</v>
      </c>
      <c r="D1562" s="266">
        <f t="shared" si="125"/>
        <v>45155</v>
      </c>
      <c r="E1562" s="267">
        <f t="shared" si="124"/>
        <v>45155</v>
      </c>
      <c r="F1562" s="532"/>
      <c r="G1562" s="268" t="s">
        <v>1245</v>
      </c>
      <c r="H1562" s="269"/>
      <c r="I1562" s="269" t="s">
        <v>1253</v>
      </c>
      <c r="J1562" s="265" t="s">
        <v>153</v>
      </c>
      <c r="K1562" s="270"/>
      <c r="L1562" s="270">
        <v>6058.53</v>
      </c>
    </row>
    <row r="1563" spans="1:12" ht="11.25" customHeight="1" x14ac:dyDescent="0.2">
      <c r="A1563" s="259">
        <v>2023</v>
      </c>
      <c r="B1563" s="259">
        <v>8</v>
      </c>
      <c r="C1563" s="259">
        <v>17</v>
      </c>
      <c r="D1563" s="260">
        <f t="shared" si="125"/>
        <v>45155</v>
      </c>
      <c r="E1563" s="261">
        <f t="shared" si="124"/>
        <v>45155</v>
      </c>
      <c r="F1563" s="531" t="s">
        <v>1383</v>
      </c>
      <c r="G1563" s="262" t="s">
        <v>1245</v>
      </c>
      <c r="H1563" s="263"/>
      <c r="I1563" s="263" t="s">
        <v>1253</v>
      </c>
      <c r="J1563" s="259" t="s">
        <v>1476</v>
      </c>
      <c r="K1563" s="264">
        <v>6945.1</v>
      </c>
      <c r="L1563" s="264"/>
    </row>
    <row r="1564" spans="1:12" ht="11.25" customHeight="1" x14ac:dyDescent="0.2">
      <c r="A1564" s="265">
        <v>2023</v>
      </c>
      <c r="B1564" s="265">
        <v>8</v>
      </c>
      <c r="C1564" s="265">
        <v>17</v>
      </c>
      <c r="D1564" s="266">
        <f t="shared" si="125"/>
        <v>45155</v>
      </c>
      <c r="E1564" s="267">
        <f t="shared" si="124"/>
        <v>45155</v>
      </c>
      <c r="F1564" s="532"/>
      <c r="G1564" s="268" t="s">
        <v>1245</v>
      </c>
      <c r="H1564" s="269"/>
      <c r="I1564" s="269" t="s">
        <v>1253</v>
      </c>
      <c r="J1564" s="265" t="s">
        <v>153</v>
      </c>
      <c r="K1564" s="270"/>
      <c r="L1564" s="270">
        <v>6945.1</v>
      </c>
    </row>
    <row r="1565" spans="1:12" ht="11.25" customHeight="1" x14ac:dyDescent="0.2">
      <c r="A1565" s="222">
        <v>2023</v>
      </c>
      <c r="B1565" s="222">
        <v>8</v>
      </c>
      <c r="C1565" s="222">
        <v>17</v>
      </c>
      <c r="D1565" s="223">
        <f t="shared" si="125"/>
        <v>45155</v>
      </c>
      <c r="E1565" s="240">
        <f t="shared" si="124"/>
        <v>45155</v>
      </c>
      <c r="F1565" s="511" t="s">
        <v>1244</v>
      </c>
      <c r="G1565" s="225" t="s">
        <v>1245</v>
      </c>
      <c r="H1565" s="226"/>
      <c r="I1565" s="226" t="s">
        <v>1253</v>
      </c>
      <c r="J1565" s="222" t="s">
        <v>87</v>
      </c>
      <c r="K1565" s="227">
        <v>12243.071904763579</v>
      </c>
      <c r="L1565" s="227"/>
    </row>
    <row r="1566" spans="1:12" ht="11.25" customHeight="1" x14ac:dyDescent="0.2">
      <c r="A1566" s="228">
        <v>2023</v>
      </c>
      <c r="B1566" s="228">
        <v>8</v>
      </c>
      <c r="C1566" s="228">
        <v>17</v>
      </c>
      <c r="D1566" s="229">
        <f t="shared" si="125"/>
        <v>45155</v>
      </c>
      <c r="E1566" s="241">
        <f t="shared" si="124"/>
        <v>45155</v>
      </c>
      <c r="F1566" s="512"/>
      <c r="G1566" s="231" t="s">
        <v>1245</v>
      </c>
      <c r="H1566" s="232"/>
      <c r="I1566" s="232" t="s">
        <v>1253</v>
      </c>
      <c r="J1566" s="228" t="s">
        <v>72</v>
      </c>
      <c r="K1566" s="233"/>
      <c r="L1566" s="233">
        <v>12243.071904763579</v>
      </c>
    </row>
    <row r="1567" spans="1:12" ht="11.25" customHeight="1" x14ac:dyDescent="0.2">
      <c r="A1567" s="222">
        <v>2023</v>
      </c>
      <c r="B1567" s="222">
        <v>8</v>
      </c>
      <c r="C1567" s="222">
        <v>17</v>
      </c>
      <c r="D1567" s="223">
        <f t="shared" si="125"/>
        <v>45155</v>
      </c>
      <c r="E1567" s="240">
        <f t="shared" si="124"/>
        <v>45155</v>
      </c>
      <c r="F1567" s="511" t="s">
        <v>1246</v>
      </c>
      <c r="G1567" s="225" t="s">
        <v>1245</v>
      </c>
      <c r="H1567" s="226"/>
      <c r="I1567" s="226" t="s">
        <v>1253</v>
      </c>
      <c r="J1567" s="222" t="s">
        <v>75</v>
      </c>
      <c r="K1567" s="227">
        <v>3623.123846153846</v>
      </c>
      <c r="L1567" s="227"/>
    </row>
    <row r="1568" spans="1:12" ht="11.25" customHeight="1" x14ac:dyDescent="0.2">
      <c r="A1568" s="228">
        <v>2023</v>
      </c>
      <c r="B1568" s="228">
        <v>8</v>
      </c>
      <c r="C1568" s="228">
        <v>17</v>
      </c>
      <c r="D1568" s="229">
        <f t="shared" si="125"/>
        <v>45155</v>
      </c>
      <c r="E1568" s="241">
        <f t="shared" si="124"/>
        <v>45155</v>
      </c>
      <c r="F1568" s="512"/>
      <c r="G1568" s="231" t="s">
        <v>1245</v>
      </c>
      <c r="H1568" s="232"/>
      <c r="I1568" s="232" t="s">
        <v>1253</v>
      </c>
      <c r="J1568" s="228" t="s">
        <v>55</v>
      </c>
      <c r="K1568" s="233"/>
      <c r="L1568" s="233">
        <v>3623.123846153846</v>
      </c>
    </row>
    <row r="1569" spans="1:13" ht="11.25" customHeight="1" x14ac:dyDescent="0.2">
      <c r="A1569" s="222">
        <v>2023</v>
      </c>
      <c r="B1569" s="222">
        <v>8</v>
      </c>
      <c r="C1569" s="222">
        <v>17</v>
      </c>
      <c r="D1569" s="223">
        <f t="shared" si="125"/>
        <v>45155</v>
      </c>
      <c r="E1569" s="240">
        <f t="shared" si="124"/>
        <v>45155</v>
      </c>
      <c r="F1569" s="511" t="s">
        <v>1247</v>
      </c>
      <c r="G1569" s="225" t="s">
        <v>1245</v>
      </c>
      <c r="H1569" s="226"/>
      <c r="I1569" s="226" t="s">
        <v>1253</v>
      </c>
      <c r="J1569" s="222" t="s">
        <v>77</v>
      </c>
      <c r="K1569" s="227">
        <v>0</v>
      </c>
      <c r="L1569" s="227"/>
    </row>
    <row r="1570" spans="1:13" ht="11.25" customHeight="1" x14ac:dyDescent="0.2">
      <c r="A1570" s="228">
        <v>2023</v>
      </c>
      <c r="B1570" s="228">
        <v>8</v>
      </c>
      <c r="C1570" s="228">
        <v>17</v>
      </c>
      <c r="D1570" s="229">
        <f t="shared" si="125"/>
        <v>45155</v>
      </c>
      <c r="E1570" s="241">
        <f t="shared" si="124"/>
        <v>45155</v>
      </c>
      <c r="F1570" s="512"/>
      <c r="G1570" s="231" t="s">
        <v>1245</v>
      </c>
      <c r="H1570" s="232"/>
      <c r="I1570" s="232" t="s">
        <v>1253</v>
      </c>
      <c r="J1570" s="228" t="s">
        <v>41</v>
      </c>
      <c r="K1570" s="233"/>
      <c r="L1570" s="233">
        <v>0</v>
      </c>
    </row>
    <row r="1571" spans="1:13" ht="11.25" customHeight="1" x14ac:dyDescent="0.2">
      <c r="A1571" s="222">
        <v>2023</v>
      </c>
      <c r="B1571" s="222">
        <v>8</v>
      </c>
      <c r="C1571" s="222">
        <v>17</v>
      </c>
      <c r="D1571" s="223">
        <f t="shared" si="125"/>
        <v>45155</v>
      </c>
      <c r="E1571" s="240">
        <f t="shared" si="124"/>
        <v>45155</v>
      </c>
      <c r="F1571" s="511" t="s">
        <v>1248</v>
      </c>
      <c r="G1571" s="225" t="s">
        <v>1245</v>
      </c>
      <c r="H1571" s="226"/>
      <c r="I1571" s="226" t="s">
        <v>1253</v>
      </c>
      <c r="J1571" s="222" t="s">
        <v>80</v>
      </c>
      <c r="K1571" s="227">
        <v>1254.3237413716583</v>
      </c>
      <c r="L1571" s="227"/>
    </row>
    <row r="1572" spans="1:13" ht="11.25" customHeight="1" x14ac:dyDescent="0.2">
      <c r="A1572" s="228">
        <v>2023</v>
      </c>
      <c r="B1572" s="228">
        <v>8</v>
      </c>
      <c r="C1572" s="228">
        <v>17</v>
      </c>
      <c r="D1572" s="229">
        <f t="shared" si="125"/>
        <v>45155</v>
      </c>
      <c r="E1572" s="241">
        <f t="shared" si="124"/>
        <v>45155</v>
      </c>
      <c r="F1572" s="512"/>
      <c r="G1572" s="231" t="s">
        <v>1245</v>
      </c>
      <c r="H1572" s="232"/>
      <c r="I1572" s="232" t="s">
        <v>1253</v>
      </c>
      <c r="J1572" s="228" t="s">
        <v>42</v>
      </c>
      <c r="K1572" s="233"/>
      <c r="L1572" s="233">
        <v>1254.3237413716583</v>
      </c>
    </row>
    <row r="1573" spans="1:13" ht="11.25" customHeight="1" x14ac:dyDescent="0.2">
      <c r="A1573" s="197">
        <v>2023</v>
      </c>
      <c r="B1573" s="197">
        <v>8</v>
      </c>
      <c r="C1573" s="197">
        <v>21</v>
      </c>
      <c r="D1573" s="198">
        <f t="shared" si="125"/>
        <v>45159</v>
      </c>
      <c r="E1573" s="209">
        <f t="shared" si="124"/>
        <v>45159</v>
      </c>
      <c r="F1573" s="513" t="s">
        <v>1280</v>
      </c>
      <c r="G1573" s="200" t="s">
        <v>1209</v>
      </c>
      <c r="H1573" s="201"/>
      <c r="I1573" s="201" t="s">
        <v>671</v>
      </c>
      <c r="J1573" s="197" t="s">
        <v>16</v>
      </c>
      <c r="K1573" s="202">
        <v>488570</v>
      </c>
      <c r="L1573" s="202"/>
      <c r="M1573" s="251"/>
    </row>
    <row r="1574" spans="1:13" ht="11.25" customHeight="1" x14ac:dyDescent="0.2">
      <c r="A1574" s="120">
        <v>2023</v>
      </c>
      <c r="B1574" s="120">
        <v>8</v>
      </c>
      <c r="C1574" s="120">
        <v>21</v>
      </c>
      <c r="D1574" s="208">
        <f t="shared" si="125"/>
        <v>45159</v>
      </c>
      <c r="E1574" s="209">
        <f>DATE(A1574,B1574,C1574)</f>
        <v>45159</v>
      </c>
      <c r="F1574" s="515"/>
      <c r="G1574" s="132" t="s">
        <v>1209</v>
      </c>
      <c r="I1574" s="128" t="s">
        <v>671</v>
      </c>
      <c r="J1574" s="120" t="s">
        <v>47</v>
      </c>
      <c r="K1574" s="207">
        <v>11430</v>
      </c>
      <c r="L1574" s="207"/>
    </row>
    <row r="1575" spans="1:13" ht="11.25" customHeight="1" x14ac:dyDescent="0.2">
      <c r="A1575" s="191">
        <v>2023</v>
      </c>
      <c r="B1575" s="191">
        <v>8</v>
      </c>
      <c r="C1575" s="191">
        <v>21</v>
      </c>
      <c r="D1575" s="192">
        <f t="shared" si="125"/>
        <v>45159</v>
      </c>
      <c r="E1575" s="193">
        <f t="shared" si="124"/>
        <v>45159</v>
      </c>
      <c r="F1575" s="514"/>
      <c r="G1575" s="194" t="s">
        <v>1209</v>
      </c>
      <c r="H1575" s="195"/>
      <c r="I1575" s="195" t="s">
        <v>671</v>
      </c>
      <c r="J1575" s="191" t="s">
        <v>46</v>
      </c>
      <c r="K1575" s="196"/>
      <c r="L1575" s="196">
        <v>500000</v>
      </c>
    </row>
    <row r="1576" spans="1:13" ht="11.25" customHeight="1" x14ac:dyDescent="0.2">
      <c r="A1576" s="197">
        <v>2023</v>
      </c>
      <c r="B1576" s="197">
        <v>8</v>
      </c>
      <c r="C1576" s="197">
        <v>21</v>
      </c>
      <c r="D1576" s="198">
        <f t="shared" si="125"/>
        <v>45159</v>
      </c>
      <c r="E1576" s="209">
        <f t="shared" si="124"/>
        <v>45159</v>
      </c>
      <c r="F1576" s="513" t="s">
        <v>1280</v>
      </c>
      <c r="G1576" s="200" t="s">
        <v>1209</v>
      </c>
      <c r="H1576" s="201"/>
      <c r="I1576" s="201" t="s">
        <v>783</v>
      </c>
      <c r="J1576" s="197" t="s">
        <v>16</v>
      </c>
      <c r="K1576" s="202">
        <v>200000</v>
      </c>
      <c r="L1576" s="202"/>
      <c r="M1576" s="251"/>
    </row>
    <row r="1577" spans="1:13" ht="11.25" customHeight="1" x14ac:dyDescent="0.2">
      <c r="A1577" s="120">
        <v>2023</v>
      </c>
      <c r="B1577" s="120">
        <v>8</v>
      </c>
      <c r="C1577" s="120">
        <v>21</v>
      </c>
      <c r="D1577" s="208">
        <f t="shared" si="125"/>
        <v>45159</v>
      </c>
      <c r="E1577" s="209">
        <f t="shared" si="124"/>
        <v>45159</v>
      </c>
      <c r="F1577" s="515"/>
      <c r="G1577" s="132" t="s">
        <v>1209</v>
      </c>
      <c r="I1577" s="128" t="s">
        <v>783</v>
      </c>
      <c r="J1577" s="120" t="s">
        <v>47</v>
      </c>
      <c r="K1577" s="207">
        <v>8160</v>
      </c>
      <c r="L1577" s="207"/>
    </row>
    <row r="1578" spans="1:13" ht="11.25" customHeight="1" x14ac:dyDescent="0.2">
      <c r="A1578" s="191">
        <v>2023</v>
      </c>
      <c r="B1578" s="191">
        <v>8</v>
      </c>
      <c r="C1578" s="191">
        <v>21</v>
      </c>
      <c r="D1578" s="192">
        <f t="shared" si="125"/>
        <v>45159</v>
      </c>
      <c r="E1578" s="193">
        <f t="shared" si="124"/>
        <v>45159</v>
      </c>
      <c r="F1578" s="514"/>
      <c r="G1578" s="194" t="s">
        <v>1209</v>
      </c>
      <c r="H1578" s="195"/>
      <c r="I1578" s="195" t="s">
        <v>783</v>
      </c>
      <c r="J1578" s="191" t="s">
        <v>46</v>
      </c>
      <c r="K1578" s="196"/>
      <c r="L1578" s="196">
        <v>208160</v>
      </c>
    </row>
    <row r="1579" spans="1:13" ht="11.25" customHeight="1" x14ac:dyDescent="0.2">
      <c r="A1579" s="197">
        <v>2023</v>
      </c>
      <c r="B1579" s="120">
        <v>8</v>
      </c>
      <c r="C1579" s="120">
        <v>21</v>
      </c>
      <c r="D1579" s="198">
        <f t="shared" si="125"/>
        <v>45159</v>
      </c>
      <c r="E1579" s="199">
        <f>DATE(A1579,B1579,C1579)</f>
        <v>45159</v>
      </c>
      <c r="F1579" s="513" t="s">
        <v>1428</v>
      </c>
      <c r="G1579" s="200" t="s">
        <v>1245</v>
      </c>
      <c r="H1579" s="200"/>
      <c r="I1579" s="201" t="s">
        <v>1253</v>
      </c>
      <c r="J1579" s="197" t="s">
        <v>1580</v>
      </c>
      <c r="K1579" s="202">
        <v>510000</v>
      </c>
      <c r="L1579" s="202"/>
    </row>
    <row r="1580" spans="1:13" ht="11.25" customHeight="1" x14ac:dyDescent="0.2">
      <c r="A1580" s="120">
        <v>2023</v>
      </c>
      <c r="B1580" s="120">
        <v>8</v>
      </c>
      <c r="C1580" s="120">
        <v>21</v>
      </c>
      <c r="D1580" s="198">
        <f t="shared" si="125"/>
        <v>45159</v>
      </c>
      <c r="E1580" s="209">
        <f>DATE(A1580,B1580,C1580)</f>
        <v>45159</v>
      </c>
      <c r="F1580" s="515"/>
      <c r="G1580" s="132" t="s">
        <v>1245</v>
      </c>
      <c r="H1580" s="132"/>
      <c r="J1580" s="120" t="s">
        <v>71</v>
      </c>
      <c r="K1580" s="207">
        <v>918</v>
      </c>
      <c r="L1580" s="207"/>
    </row>
    <row r="1581" spans="1:13" ht="11.25" customHeight="1" x14ac:dyDescent="0.2">
      <c r="A1581" s="191">
        <v>2023</v>
      </c>
      <c r="B1581" s="191">
        <v>8</v>
      </c>
      <c r="C1581" s="191">
        <v>21</v>
      </c>
      <c r="D1581" s="249">
        <f t="shared" si="125"/>
        <v>45159</v>
      </c>
      <c r="E1581" s="193">
        <f>DATE(A1581,B1581,C1581)</f>
        <v>45159</v>
      </c>
      <c r="F1581" s="514"/>
      <c r="G1581" s="194" t="s">
        <v>1245</v>
      </c>
      <c r="H1581" s="194"/>
      <c r="I1581" s="195"/>
      <c r="J1581" s="191" t="s">
        <v>121</v>
      </c>
      <c r="K1581" s="196"/>
      <c r="L1581" s="196">
        <v>510918</v>
      </c>
      <c r="M1581" s="251"/>
    </row>
    <row r="1582" spans="1:13" ht="11.25" customHeight="1" x14ac:dyDescent="0.2">
      <c r="A1582" s="197">
        <v>2023</v>
      </c>
      <c r="B1582" s="197">
        <v>8</v>
      </c>
      <c r="C1582" s="197">
        <v>21</v>
      </c>
      <c r="D1582" s="198">
        <f t="shared" si="125"/>
        <v>45159</v>
      </c>
      <c r="E1582" s="209">
        <f t="shared" ref="E1582:E1589" si="126">DATE(A1582,B1582,C1582)</f>
        <v>45159</v>
      </c>
      <c r="F1582" s="513" t="s">
        <v>1423</v>
      </c>
      <c r="G1582" s="200" t="s">
        <v>1209</v>
      </c>
      <c r="H1582" s="201"/>
      <c r="I1582" s="201" t="s">
        <v>329</v>
      </c>
      <c r="J1582" s="197" t="s">
        <v>16</v>
      </c>
      <c r="K1582" s="202">
        <v>4830</v>
      </c>
      <c r="L1582" s="202"/>
      <c r="M1582" s="251"/>
    </row>
    <row r="1583" spans="1:13" ht="11.25" customHeight="1" x14ac:dyDescent="0.2">
      <c r="A1583" s="120">
        <v>2023</v>
      </c>
      <c r="B1583" s="120">
        <v>8</v>
      </c>
      <c r="C1583" s="120">
        <v>21</v>
      </c>
      <c r="D1583" s="208">
        <f t="shared" si="125"/>
        <v>45159</v>
      </c>
      <c r="E1583" s="209">
        <f t="shared" si="126"/>
        <v>45159</v>
      </c>
      <c r="F1583" s="515"/>
      <c r="G1583" s="132" t="s">
        <v>1209</v>
      </c>
      <c r="I1583" s="128" t="s">
        <v>329</v>
      </c>
      <c r="J1583" s="120" t="s">
        <v>47</v>
      </c>
      <c r="K1583" s="207">
        <v>170</v>
      </c>
      <c r="L1583" s="207"/>
    </row>
    <row r="1584" spans="1:13" ht="11.25" customHeight="1" x14ac:dyDescent="0.2">
      <c r="A1584" s="191">
        <v>2023</v>
      </c>
      <c r="B1584" s="191">
        <v>8</v>
      </c>
      <c r="C1584" s="191">
        <v>21</v>
      </c>
      <c r="D1584" s="192">
        <f t="shared" si="125"/>
        <v>45159</v>
      </c>
      <c r="E1584" s="193">
        <f t="shared" si="126"/>
        <v>45159</v>
      </c>
      <c r="F1584" s="514"/>
      <c r="G1584" s="194" t="s">
        <v>1209</v>
      </c>
      <c r="H1584" s="195"/>
      <c r="I1584" s="195" t="s">
        <v>329</v>
      </c>
      <c r="J1584" s="191" t="s">
        <v>46</v>
      </c>
      <c r="K1584" s="196"/>
      <c r="L1584" s="196">
        <v>5000</v>
      </c>
    </row>
    <row r="1585" spans="1:13" ht="11.25" customHeight="1" x14ac:dyDescent="0.2">
      <c r="A1585" s="197">
        <v>2023</v>
      </c>
      <c r="B1585" s="197">
        <v>8</v>
      </c>
      <c r="C1585" s="197">
        <v>21</v>
      </c>
      <c r="D1585" s="198">
        <f t="shared" si="125"/>
        <v>45159</v>
      </c>
      <c r="E1585" s="209">
        <f t="shared" si="126"/>
        <v>45159</v>
      </c>
      <c r="F1585" s="513" t="s">
        <v>1210</v>
      </c>
      <c r="G1585" s="200" t="s">
        <v>1209</v>
      </c>
      <c r="H1585" s="201"/>
      <c r="I1585" s="201" t="s">
        <v>821</v>
      </c>
      <c r="J1585" s="197" t="s">
        <v>46</v>
      </c>
      <c r="K1585" s="202">
        <v>700000</v>
      </c>
      <c r="L1585" s="202"/>
      <c r="M1585" s="251"/>
    </row>
    <row r="1586" spans="1:13" ht="11.25" customHeight="1" x14ac:dyDescent="0.2">
      <c r="A1586" s="120">
        <v>2023</v>
      </c>
      <c r="B1586" s="120">
        <v>8</v>
      </c>
      <c r="C1586" s="120">
        <v>21</v>
      </c>
      <c r="D1586" s="208">
        <f t="shared" si="125"/>
        <v>45159</v>
      </c>
      <c r="E1586" s="209">
        <f t="shared" si="126"/>
        <v>45159</v>
      </c>
      <c r="F1586" s="515"/>
      <c r="G1586" s="132" t="s">
        <v>1209</v>
      </c>
      <c r="I1586" s="128" t="s">
        <v>821</v>
      </c>
      <c r="J1586" s="120" t="s">
        <v>16</v>
      </c>
      <c r="K1586" s="207"/>
      <c r="L1586" s="207">
        <v>672560</v>
      </c>
    </row>
    <row r="1587" spans="1:13" ht="11.25" customHeight="1" x14ac:dyDescent="0.2">
      <c r="A1587" s="191">
        <v>2023</v>
      </c>
      <c r="B1587" s="191">
        <v>8</v>
      </c>
      <c r="C1587" s="191">
        <v>21</v>
      </c>
      <c r="D1587" s="192">
        <f t="shared" si="125"/>
        <v>45159</v>
      </c>
      <c r="E1587" s="193">
        <f t="shared" si="126"/>
        <v>45159</v>
      </c>
      <c r="F1587" s="514"/>
      <c r="G1587" s="194" t="s">
        <v>1209</v>
      </c>
      <c r="H1587" s="195"/>
      <c r="I1587" s="195" t="s">
        <v>821</v>
      </c>
      <c r="J1587" s="191" t="s">
        <v>47</v>
      </c>
      <c r="K1587" s="196"/>
      <c r="L1587" s="196">
        <v>27440</v>
      </c>
    </row>
    <row r="1588" spans="1:13" ht="11.25" customHeight="1" x14ac:dyDescent="0.2">
      <c r="A1588" s="197">
        <v>2023</v>
      </c>
      <c r="B1588" s="197">
        <v>8</v>
      </c>
      <c r="C1588" s="197">
        <v>21</v>
      </c>
      <c r="D1588" s="198">
        <f t="shared" si="125"/>
        <v>45159</v>
      </c>
      <c r="E1588" s="199">
        <f t="shared" si="126"/>
        <v>45159</v>
      </c>
      <c r="F1588" s="513" t="s">
        <v>1323</v>
      </c>
      <c r="G1588" s="200" t="s">
        <v>1209</v>
      </c>
      <c r="H1588" s="201"/>
      <c r="I1588" s="201"/>
      <c r="J1588" s="197" t="s">
        <v>54</v>
      </c>
      <c r="K1588" s="202">
        <v>60</v>
      </c>
      <c r="L1588" s="202"/>
    </row>
    <row r="1589" spans="1:13" ht="11.25" customHeight="1" x14ac:dyDescent="0.2">
      <c r="A1589" s="191">
        <v>2023</v>
      </c>
      <c r="B1589" s="191">
        <v>8</v>
      </c>
      <c r="C1589" s="191">
        <v>21</v>
      </c>
      <c r="D1589" s="192">
        <f t="shared" si="125"/>
        <v>45159</v>
      </c>
      <c r="E1589" s="193">
        <f t="shared" si="126"/>
        <v>45159</v>
      </c>
      <c r="F1589" s="514"/>
      <c r="G1589" s="194" t="s">
        <v>1209</v>
      </c>
      <c r="H1589" s="195"/>
      <c r="I1589" s="195"/>
      <c r="J1589" s="191" t="s">
        <v>46</v>
      </c>
      <c r="K1589" s="196"/>
      <c r="L1589" s="196">
        <v>60</v>
      </c>
    </row>
    <row r="1590" spans="1:13" ht="11.25" customHeight="1" x14ac:dyDescent="0.2">
      <c r="A1590" s="197">
        <v>2023</v>
      </c>
      <c r="B1590" s="197">
        <v>8</v>
      </c>
      <c r="C1590" s="197">
        <v>22</v>
      </c>
      <c r="D1590" s="198">
        <f t="shared" si="125"/>
        <v>45160</v>
      </c>
      <c r="E1590" s="199">
        <f t="shared" ref="E1590:E1600" si="127">DATE(A1590,B1590,C1590)</f>
        <v>45160</v>
      </c>
      <c r="F1590" s="513" t="s">
        <v>1323</v>
      </c>
      <c r="G1590" s="200" t="s">
        <v>1209</v>
      </c>
      <c r="H1590" s="201"/>
      <c r="I1590" s="201"/>
      <c r="J1590" s="197" t="s">
        <v>54</v>
      </c>
      <c r="K1590" s="202">
        <v>10</v>
      </c>
      <c r="L1590" s="202"/>
    </row>
    <row r="1591" spans="1:13" ht="11.25" customHeight="1" x14ac:dyDescent="0.2">
      <c r="A1591" s="191">
        <v>2023</v>
      </c>
      <c r="B1591" s="191">
        <v>8</v>
      </c>
      <c r="C1591" s="191">
        <v>22</v>
      </c>
      <c r="D1591" s="192">
        <f t="shared" si="125"/>
        <v>45160</v>
      </c>
      <c r="E1591" s="193">
        <f t="shared" si="127"/>
        <v>45160</v>
      </c>
      <c r="F1591" s="514"/>
      <c r="G1591" s="194" t="s">
        <v>1209</v>
      </c>
      <c r="H1591" s="195"/>
      <c r="I1591" s="195"/>
      <c r="J1591" s="191" t="s">
        <v>46</v>
      </c>
      <c r="K1591" s="196"/>
      <c r="L1591" s="196">
        <v>10</v>
      </c>
    </row>
    <row r="1592" spans="1:13" ht="11.25" customHeight="1" x14ac:dyDescent="0.2">
      <c r="A1592" s="197">
        <v>2023</v>
      </c>
      <c r="B1592" s="197">
        <v>8</v>
      </c>
      <c r="C1592" s="197">
        <v>22</v>
      </c>
      <c r="D1592" s="198">
        <f t="shared" si="125"/>
        <v>45160</v>
      </c>
      <c r="E1592" s="209">
        <f t="shared" si="127"/>
        <v>45160</v>
      </c>
      <c r="F1592" s="513" t="s">
        <v>1210</v>
      </c>
      <c r="G1592" s="200" t="s">
        <v>1209</v>
      </c>
      <c r="H1592" s="201"/>
      <c r="I1592" s="201" t="s">
        <v>424</v>
      </c>
      <c r="J1592" s="197" t="s">
        <v>46</v>
      </c>
      <c r="K1592" s="202">
        <v>25000</v>
      </c>
      <c r="L1592" s="202"/>
      <c r="M1592" s="251"/>
    </row>
    <row r="1593" spans="1:13" ht="11.25" customHeight="1" x14ac:dyDescent="0.2">
      <c r="A1593" s="120">
        <v>2023</v>
      </c>
      <c r="B1593" s="120">
        <v>8</v>
      </c>
      <c r="C1593" s="120">
        <v>22</v>
      </c>
      <c r="D1593" s="208">
        <f t="shared" si="125"/>
        <v>45160</v>
      </c>
      <c r="E1593" s="209">
        <f t="shared" si="127"/>
        <v>45160</v>
      </c>
      <c r="F1593" s="515"/>
      <c r="G1593" s="132" t="s">
        <v>1209</v>
      </c>
      <c r="I1593" s="128" t="s">
        <v>424</v>
      </c>
      <c r="J1593" s="120" t="s">
        <v>16</v>
      </c>
      <c r="K1593" s="207"/>
      <c r="L1593" s="207">
        <v>24020</v>
      </c>
    </row>
    <row r="1594" spans="1:13" ht="11.25" customHeight="1" x14ac:dyDescent="0.2">
      <c r="A1594" s="191">
        <v>2023</v>
      </c>
      <c r="B1594" s="191">
        <v>8</v>
      </c>
      <c r="C1594" s="191">
        <v>22</v>
      </c>
      <c r="D1594" s="192">
        <f t="shared" si="125"/>
        <v>45160</v>
      </c>
      <c r="E1594" s="193">
        <f t="shared" si="127"/>
        <v>45160</v>
      </c>
      <c r="F1594" s="514"/>
      <c r="G1594" s="194" t="s">
        <v>1209</v>
      </c>
      <c r="H1594" s="195"/>
      <c r="I1594" s="195" t="s">
        <v>424</v>
      </c>
      <c r="J1594" s="191" t="s">
        <v>47</v>
      </c>
      <c r="K1594" s="196"/>
      <c r="L1594" s="196">
        <v>980</v>
      </c>
    </row>
    <row r="1595" spans="1:13" ht="11.25" customHeight="1" x14ac:dyDescent="0.2">
      <c r="A1595" s="197">
        <v>2023</v>
      </c>
      <c r="B1595" s="197">
        <v>8</v>
      </c>
      <c r="C1595" s="197">
        <v>22</v>
      </c>
      <c r="D1595" s="198">
        <f t="shared" si="125"/>
        <v>45160</v>
      </c>
      <c r="E1595" s="209">
        <f t="shared" si="127"/>
        <v>45160</v>
      </c>
      <c r="F1595" s="513" t="s">
        <v>1210</v>
      </c>
      <c r="G1595" s="200" t="s">
        <v>1209</v>
      </c>
      <c r="H1595" s="201"/>
      <c r="I1595" s="201" t="s">
        <v>384</v>
      </c>
      <c r="J1595" s="197" t="s">
        <v>46</v>
      </c>
      <c r="K1595" s="202">
        <v>100000</v>
      </c>
      <c r="L1595" s="202"/>
      <c r="M1595" s="251"/>
    </row>
    <row r="1596" spans="1:13" ht="11.25" customHeight="1" x14ac:dyDescent="0.2">
      <c r="A1596" s="120">
        <v>2023</v>
      </c>
      <c r="B1596" s="120">
        <v>8</v>
      </c>
      <c r="C1596" s="120">
        <v>22</v>
      </c>
      <c r="D1596" s="208">
        <f t="shared" si="125"/>
        <v>45160</v>
      </c>
      <c r="E1596" s="209">
        <f t="shared" si="127"/>
        <v>45160</v>
      </c>
      <c r="F1596" s="515"/>
      <c r="G1596" s="132" t="s">
        <v>1209</v>
      </c>
      <c r="I1596" s="128" t="s">
        <v>384</v>
      </c>
      <c r="J1596" s="120" t="s">
        <v>16</v>
      </c>
      <c r="K1596" s="207"/>
      <c r="L1596" s="207">
        <v>96080</v>
      </c>
    </row>
    <row r="1597" spans="1:13" ht="11.25" customHeight="1" x14ac:dyDescent="0.2">
      <c r="A1597" s="191">
        <v>2023</v>
      </c>
      <c r="B1597" s="191">
        <v>8</v>
      </c>
      <c r="C1597" s="191">
        <v>22</v>
      </c>
      <c r="D1597" s="192">
        <f t="shared" si="125"/>
        <v>45160</v>
      </c>
      <c r="E1597" s="193">
        <f t="shared" si="127"/>
        <v>45160</v>
      </c>
      <c r="F1597" s="514"/>
      <c r="G1597" s="194" t="s">
        <v>1209</v>
      </c>
      <c r="H1597" s="195"/>
      <c r="I1597" s="195" t="s">
        <v>384</v>
      </c>
      <c r="J1597" s="191" t="s">
        <v>47</v>
      </c>
      <c r="K1597" s="196"/>
      <c r="L1597" s="196">
        <v>3920</v>
      </c>
    </row>
    <row r="1598" spans="1:13" ht="11.25" customHeight="1" x14ac:dyDescent="0.2">
      <c r="A1598" s="197">
        <v>2023</v>
      </c>
      <c r="B1598" s="120">
        <v>8</v>
      </c>
      <c r="C1598" s="120">
        <v>22</v>
      </c>
      <c r="D1598" s="198">
        <f t="shared" si="125"/>
        <v>45160</v>
      </c>
      <c r="E1598" s="199">
        <f t="shared" si="127"/>
        <v>45160</v>
      </c>
      <c r="F1598" s="513" t="s">
        <v>1429</v>
      </c>
      <c r="G1598" s="200" t="s">
        <v>1209</v>
      </c>
      <c r="H1598" s="200"/>
      <c r="I1598" s="201" t="s">
        <v>1253</v>
      </c>
      <c r="J1598" s="197" t="s">
        <v>121</v>
      </c>
      <c r="K1598" s="202">
        <v>510918</v>
      </c>
      <c r="L1598" s="202"/>
    </row>
    <row r="1599" spans="1:13" ht="11.25" customHeight="1" x14ac:dyDescent="0.2">
      <c r="A1599" s="120">
        <v>2023</v>
      </c>
      <c r="B1599" s="120">
        <v>8</v>
      </c>
      <c r="C1599" s="120">
        <v>22</v>
      </c>
      <c r="D1599" s="198">
        <f t="shared" si="125"/>
        <v>45160</v>
      </c>
      <c r="E1599" s="209">
        <f t="shared" si="127"/>
        <v>45160</v>
      </c>
      <c r="F1599" s="515"/>
      <c r="G1599" s="132" t="s">
        <v>1209</v>
      </c>
      <c r="H1599" s="132"/>
      <c r="J1599" s="120" t="s">
        <v>178</v>
      </c>
      <c r="K1599" s="207"/>
      <c r="L1599" s="207">
        <v>473.28000000002794</v>
      </c>
    </row>
    <row r="1600" spans="1:13" ht="11.25" customHeight="1" x14ac:dyDescent="0.2">
      <c r="A1600" s="191">
        <v>2023</v>
      </c>
      <c r="B1600" s="191">
        <v>8</v>
      </c>
      <c r="C1600" s="191">
        <v>22</v>
      </c>
      <c r="D1600" s="249">
        <f t="shared" si="125"/>
        <v>45160</v>
      </c>
      <c r="E1600" s="193">
        <f t="shared" si="127"/>
        <v>45160</v>
      </c>
      <c r="F1600" s="514"/>
      <c r="G1600" s="194" t="s">
        <v>1209</v>
      </c>
      <c r="H1600" s="194"/>
      <c r="I1600" s="195"/>
      <c r="J1600" s="191" t="s">
        <v>46</v>
      </c>
      <c r="K1600" s="196"/>
      <c r="L1600" s="196">
        <v>510444.72</v>
      </c>
      <c r="M1600" s="251"/>
    </row>
    <row r="1601" spans="1:14" ht="11.25" customHeight="1" x14ac:dyDescent="0.2">
      <c r="A1601" s="197">
        <v>2023</v>
      </c>
      <c r="B1601" s="197">
        <v>8</v>
      </c>
      <c r="C1601" s="197">
        <v>23</v>
      </c>
      <c r="D1601" s="198">
        <f t="shared" si="125"/>
        <v>45161</v>
      </c>
      <c r="E1601" s="199">
        <f t="shared" ref="E1601:E1607" si="128">DATE(A1601,B1601,C1601)</f>
        <v>45161</v>
      </c>
      <c r="F1601" s="513" t="s">
        <v>1323</v>
      </c>
      <c r="G1601" s="200" t="s">
        <v>1209</v>
      </c>
      <c r="H1601" s="201"/>
      <c r="I1601" s="201"/>
      <c r="J1601" s="197" t="s">
        <v>54</v>
      </c>
      <c r="K1601" s="202">
        <v>100</v>
      </c>
      <c r="L1601" s="202"/>
    </row>
    <row r="1602" spans="1:14" ht="11.25" customHeight="1" x14ac:dyDescent="0.2">
      <c r="A1602" s="191">
        <v>2023</v>
      </c>
      <c r="B1602" s="191">
        <v>8</v>
      </c>
      <c r="C1602" s="191">
        <v>23</v>
      </c>
      <c r="D1602" s="192">
        <f t="shared" si="125"/>
        <v>45161</v>
      </c>
      <c r="E1602" s="193">
        <f t="shared" si="128"/>
        <v>45161</v>
      </c>
      <c r="F1602" s="514"/>
      <c r="G1602" s="194" t="s">
        <v>1209</v>
      </c>
      <c r="H1602" s="195"/>
      <c r="I1602" s="195"/>
      <c r="J1602" s="191" t="s">
        <v>46</v>
      </c>
      <c r="K1602" s="196"/>
      <c r="L1602" s="196">
        <v>100</v>
      </c>
    </row>
    <row r="1603" spans="1:14" ht="11.25" customHeight="1" x14ac:dyDescent="0.2">
      <c r="A1603" s="197">
        <v>2023</v>
      </c>
      <c r="B1603" s="197">
        <v>8</v>
      </c>
      <c r="C1603" s="197">
        <v>23</v>
      </c>
      <c r="D1603" s="198">
        <f t="shared" si="125"/>
        <v>45161</v>
      </c>
      <c r="E1603" s="199">
        <f t="shared" si="128"/>
        <v>45161</v>
      </c>
      <c r="F1603" s="513" t="s">
        <v>1431</v>
      </c>
      <c r="G1603" s="200" t="s">
        <v>1209</v>
      </c>
      <c r="H1603" s="201"/>
      <c r="I1603" s="201" t="s">
        <v>1253</v>
      </c>
      <c r="J1603" s="197" t="s">
        <v>1475</v>
      </c>
      <c r="K1603" s="202">
        <v>2070797.44</v>
      </c>
      <c r="L1603" s="202"/>
    </row>
    <row r="1604" spans="1:14" ht="11.25" customHeight="1" x14ac:dyDescent="0.2">
      <c r="A1604" s="191">
        <v>2023</v>
      </c>
      <c r="B1604" s="191">
        <v>8</v>
      </c>
      <c r="C1604" s="191">
        <v>23</v>
      </c>
      <c r="D1604" s="192">
        <f t="shared" si="125"/>
        <v>45161</v>
      </c>
      <c r="E1604" s="193">
        <f t="shared" si="128"/>
        <v>45161</v>
      </c>
      <c r="F1604" s="514"/>
      <c r="G1604" s="194" t="s">
        <v>1209</v>
      </c>
      <c r="H1604" s="195"/>
      <c r="I1604" s="195" t="s">
        <v>1253</v>
      </c>
      <c r="J1604" s="191" t="s">
        <v>46</v>
      </c>
      <c r="K1604" s="196"/>
      <c r="L1604" s="196">
        <v>2070797.44</v>
      </c>
      <c r="N1604" s="130"/>
    </row>
    <row r="1605" spans="1:14" ht="11.25" customHeight="1" x14ac:dyDescent="0.2">
      <c r="A1605" s="197">
        <v>2023</v>
      </c>
      <c r="B1605" s="197">
        <v>8</v>
      </c>
      <c r="C1605" s="197">
        <v>23</v>
      </c>
      <c r="D1605" s="198">
        <f t="shared" si="125"/>
        <v>45161</v>
      </c>
      <c r="E1605" s="209">
        <f t="shared" si="128"/>
        <v>45161</v>
      </c>
      <c r="F1605" s="513" t="s">
        <v>1210</v>
      </c>
      <c r="G1605" s="200" t="s">
        <v>1209</v>
      </c>
      <c r="H1605" s="201"/>
      <c r="I1605" s="201" t="s">
        <v>386</v>
      </c>
      <c r="J1605" s="197" t="s">
        <v>46</v>
      </c>
      <c r="K1605" s="202">
        <v>200000</v>
      </c>
      <c r="L1605" s="202"/>
      <c r="M1605" s="251"/>
    </row>
    <row r="1606" spans="1:14" ht="11.25" customHeight="1" x14ac:dyDescent="0.2">
      <c r="A1606" s="120">
        <v>2023</v>
      </c>
      <c r="B1606" s="120">
        <v>8</v>
      </c>
      <c r="C1606" s="120">
        <v>23</v>
      </c>
      <c r="D1606" s="208">
        <f t="shared" si="125"/>
        <v>45161</v>
      </c>
      <c r="E1606" s="209">
        <f t="shared" si="128"/>
        <v>45161</v>
      </c>
      <c r="F1606" s="515"/>
      <c r="G1606" s="132" t="s">
        <v>1209</v>
      </c>
      <c r="I1606" s="128" t="s">
        <v>386</v>
      </c>
      <c r="J1606" s="120" t="s">
        <v>16</v>
      </c>
      <c r="K1606" s="207"/>
      <c r="L1606" s="207">
        <v>192160</v>
      </c>
    </row>
    <row r="1607" spans="1:14" ht="11.25" customHeight="1" x14ac:dyDescent="0.2">
      <c r="A1607" s="191">
        <v>2023</v>
      </c>
      <c r="B1607" s="191">
        <v>8</v>
      </c>
      <c r="C1607" s="191">
        <v>23</v>
      </c>
      <c r="D1607" s="192">
        <f t="shared" si="125"/>
        <v>45161</v>
      </c>
      <c r="E1607" s="193">
        <f t="shared" si="128"/>
        <v>45161</v>
      </c>
      <c r="F1607" s="514"/>
      <c r="G1607" s="194" t="s">
        <v>1209</v>
      </c>
      <c r="H1607" s="195"/>
      <c r="I1607" s="195" t="s">
        <v>386</v>
      </c>
      <c r="J1607" s="191" t="s">
        <v>47</v>
      </c>
      <c r="K1607" s="196"/>
      <c r="L1607" s="196">
        <v>7840</v>
      </c>
    </row>
    <row r="1608" spans="1:14" ht="11.25" customHeight="1" x14ac:dyDescent="0.2">
      <c r="A1608" s="197">
        <v>2023</v>
      </c>
      <c r="B1608" s="197">
        <v>8</v>
      </c>
      <c r="C1608" s="197">
        <v>24</v>
      </c>
      <c r="D1608" s="198">
        <f t="shared" si="125"/>
        <v>45162</v>
      </c>
      <c r="E1608" s="209">
        <f t="shared" ref="E1608:E1671" si="129">DATE(A1608,B1608,C1608)</f>
        <v>45162</v>
      </c>
      <c r="F1608" s="513" t="s">
        <v>1280</v>
      </c>
      <c r="G1608" s="200" t="s">
        <v>1209</v>
      </c>
      <c r="H1608" s="201"/>
      <c r="I1608" s="201" t="s">
        <v>299</v>
      </c>
      <c r="J1608" s="197" t="s">
        <v>16</v>
      </c>
      <c r="K1608" s="202">
        <v>96080</v>
      </c>
      <c r="L1608" s="202"/>
      <c r="M1608" s="251"/>
    </row>
    <row r="1609" spans="1:14" ht="11.25" customHeight="1" x14ac:dyDescent="0.2">
      <c r="A1609" s="120">
        <v>2023</v>
      </c>
      <c r="B1609" s="120">
        <v>8</v>
      </c>
      <c r="C1609" s="120">
        <v>24</v>
      </c>
      <c r="D1609" s="208">
        <f t="shared" si="125"/>
        <v>45162</v>
      </c>
      <c r="E1609" s="209">
        <f t="shared" si="129"/>
        <v>45162</v>
      </c>
      <c r="F1609" s="515"/>
      <c r="G1609" s="132" t="s">
        <v>1209</v>
      </c>
      <c r="I1609" s="128" t="s">
        <v>299</v>
      </c>
      <c r="J1609" s="120" t="s">
        <v>47</v>
      </c>
      <c r="K1609" s="207">
        <v>3920</v>
      </c>
      <c r="L1609" s="207"/>
    </row>
    <row r="1610" spans="1:14" ht="11.25" customHeight="1" x14ac:dyDescent="0.2">
      <c r="A1610" s="191">
        <v>2023</v>
      </c>
      <c r="B1610" s="191">
        <v>8</v>
      </c>
      <c r="C1610" s="191">
        <v>24</v>
      </c>
      <c r="D1610" s="192">
        <f t="shared" si="125"/>
        <v>45162</v>
      </c>
      <c r="E1610" s="193">
        <f t="shared" si="129"/>
        <v>45162</v>
      </c>
      <c r="F1610" s="514"/>
      <c r="G1610" s="194" t="s">
        <v>1209</v>
      </c>
      <c r="H1610" s="195"/>
      <c r="I1610" s="195" t="s">
        <v>299</v>
      </c>
      <c r="J1610" s="191" t="s">
        <v>46</v>
      </c>
      <c r="K1610" s="196"/>
      <c r="L1610" s="196">
        <v>100000</v>
      </c>
    </row>
    <row r="1611" spans="1:14" ht="11.25" customHeight="1" x14ac:dyDescent="0.2">
      <c r="A1611" s="197">
        <v>2023</v>
      </c>
      <c r="B1611" s="197">
        <v>8</v>
      </c>
      <c r="C1611" s="197">
        <v>24</v>
      </c>
      <c r="D1611" s="198">
        <f t="shared" si="125"/>
        <v>45162</v>
      </c>
      <c r="E1611" s="209">
        <f t="shared" ref="E1611:E1616" si="130">DATE(A1611,B1611,C1611)</f>
        <v>45162</v>
      </c>
      <c r="F1611" s="513" t="s">
        <v>1280</v>
      </c>
      <c r="G1611" s="200" t="s">
        <v>1209</v>
      </c>
      <c r="H1611" s="201"/>
      <c r="I1611" s="201" t="s">
        <v>299</v>
      </c>
      <c r="J1611" s="197" t="s">
        <v>16</v>
      </c>
      <c r="K1611" s="202">
        <v>470790</v>
      </c>
      <c r="L1611" s="202"/>
      <c r="M1611" s="251"/>
    </row>
    <row r="1612" spans="1:14" ht="11.25" customHeight="1" x14ac:dyDescent="0.2">
      <c r="A1612" s="120">
        <v>2023</v>
      </c>
      <c r="B1612" s="120">
        <v>8</v>
      </c>
      <c r="C1612" s="120">
        <v>24</v>
      </c>
      <c r="D1612" s="208">
        <f t="shared" si="125"/>
        <v>45162</v>
      </c>
      <c r="E1612" s="209">
        <f t="shared" si="130"/>
        <v>45162</v>
      </c>
      <c r="F1612" s="515"/>
      <c r="G1612" s="132" t="s">
        <v>1209</v>
      </c>
      <c r="I1612" s="128" t="s">
        <v>299</v>
      </c>
      <c r="J1612" s="120" t="s">
        <v>47</v>
      </c>
      <c r="K1612" s="207">
        <v>19210</v>
      </c>
      <c r="L1612" s="207"/>
    </row>
    <row r="1613" spans="1:14" ht="11.25" customHeight="1" x14ac:dyDescent="0.2">
      <c r="A1613" s="191">
        <v>2023</v>
      </c>
      <c r="B1613" s="191">
        <v>8</v>
      </c>
      <c r="C1613" s="191">
        <v>24</v>
      </c>
      <c r="D1613" s="192">
        <f t="shared" si="125"/>
        <v>45162</v>
      </c>
      <c r="E1613" s="193">
        <f t="shared" si="130"/>
        <v>45162</v>
      </c>
      <c r="F1613" s="514"/>
      <c r="G1613" s="194" t="s">
        <v>1209</v>
      </c>
      <c r="H1613" s="195"/>
      <c r="I1613" s="195" t="s">
        <v>299</v>
      </c>
      <c r="J1613" s="191" t="s">
        <v>46</v>
      </c>
      <c r="K1613" s="196"/>
      <c r="L1613" s="196">
        <v>490000</v>
      </c>
    </row>
    <row r="1614" spans="1:14" ht="11.25" customHeight="1" x14ac:dyDescent="0.2">
      <c r="A1614" s="197">
        <v>2023</v>
      </c>
      <c r="B1614" s="197">
        <v>8</v>
      </c>
      <c r="C1614" s="197">
        <v>24</v>
      </c>
      <c r="D1614" s="198">
        <f t="shared" si="125"/>
        <v>45162</v>
      </c>
      <c r="E1614" s="209">
        <f t="shared" si="130"/>
        <v>45162</v>
      </c>
      <c r="F1614" s="513" t="s">
        <v>1280</v>
      </c>
      <c r="G1614" s="200" t="s">
        <v>1209</v>
      </c>
      <c r="H1614" s="201"/>
      <c r="I1614" s="201" t="s">
        <v>299</v>
      </c>
      <c r="J1614" s="197" t="s">
        <v>16</v>
      </c>
      <c r="K1614" s="202">
        <v>153730</v>
      </c>
      <c r="L1614" s="202"/>
      <c r="M1614" s="251"/>
    </row>
    <row r="1615" spans="1:14" ht="11.25" customHeight="1" x14ac:dyDescent="0.2">
      <c r="A1615" s="120">
        <v>2023</v>
      </c>
      <c r="B1615" s="120">
        <v>8</v>
      </c>
      <c r="C1615" s="120">
        <v>24</v>
      </c>
      <c r="D1615" s="208">
        <f t="shared" si="125"/>
        <v>45162</v>
      </c>
      <c r="E1615" s="209">
        <f t="shared" si="130"/>
        <v>45162</v>
      </c>
      <c r="F1615" s="515"/>
      <c r="G1615" s="132" t="s">
        <v>1209</v>
      </c>
      <c r="I1615" s="128" t="s">
        <v>299</v>
      </c>
      <c r="J1615" s="120" t="s">
        <v>47</v>
      </c>
      <c r="K1615" s="207">
        <v>6270</v>
      </c>
      <c r="L1615" s="207"/>
    </row>
    <row r="1616" spans="1:14" ht="11.25" customHeight="1" x14ac:dyDescent="0.2">
      <c r="A1616" s="191">
        <v>2023</v>
      </c>
      <c r="B1616" s="191">
        <v>8</v>
      </c>
      <c r="C1616" s="191">
        <v>24</v>
      </c>
      <c r="D1616" s="192">
        <f t="shared" si="125"/>
        <v>45162</v>
      </c>
      <c r="E1616" s="193">
        <f t="shared" si="130"/>
        <v>45162</v>
      </c>
      <c r="F1616" s="514"/>
      <c r="G1616" s="194" t="s">
        <v>1209</v>
      </c>
      <c r="H1616" s="195"/>
      <c r="I1616" s="195" t="s">
        <v>299</v>
      </c>
      <c r="J1616" s="191" t="s">
        <v>46</v>
      </c>
      <c r="K1616" s="196"/>
      <c r="L1616" s="196">
        <v>160000</v>
      </c>
    </row>
    <row r="1617" spans="1:15" ht="11.25" customHeight="1" x14ac:dyDescent="0.2">
      <c r="A1617" s="197">
        <v>2023</v>
      </c>
      <c r="B1617" s="197">
        <v>8</v>
      </c>
      <c r="C1617" s="197">
        <v>24</v>
      </c>
      <c r="D1617" s="198">
        <f t="shared" si="125"/>
        <v>45162</v>
      </c>
      <c r="E1617" s="199">
        <f t="shared" si="129"/>
        <v>45162</v>
      </c>
      <c r="F1617" s="513" t="s">
        <v>1323</v>
      </c>
      <c r="G1617" s="200" t="s">
        <v>1209</v>
      </c>
      <c r="H1617" s="201"/>
      <c r="I1617" s="201"/>
      <c r="J1617" s="197" t="s">
        <v>54</v>
      </c>
      <c r="K1617" s="202">
        <v>58</v>
      </c>
      <c r="L1617" s="202"/>
    </row>
    <row r="1618" spans="1:15" ht="11.25" customHeight="1" x14ac:dyDescent="0.2">
      <c r="A1618" s="191">
        <v>2023</v>
      </c>
      <c r="B1618" s="191">
        <v>8</v>
      </c>
      <c r="C1618" s="191">
        <v>24</v>
      </c>
      <c r="D1618" s="192">
        <f t="shared" si="125"/>
        <v>45162</v>
      </c>
      <c r="E1618" s="193">
        <f t="shared" si="129"/>
        <v>45162</v>
      </c>
      <c r="F1618" s="514"/>
      <c r="G1618" s="194" t="s">
        <v>1209</v>
      </c>
      <c r="H1618" s="195"/>
      <c r="I1618" s="195"/>
      <c r="J1618" s="191" t="s">
        <v>46</v>
      </c>
      <c r="K1618" s="196"/>
      <c r="L1618" s="196">
        <v>58</v>
      </c>
    </row>
    <row r="1619" spans="1:15" ht="11.25" customHeight="1" x14ac:dyDescent="0.2">
      <c r="A1619" s="197">
        <v>2023</v>
      </c>
      <c r="B1619" s="197">
        <v>8</v>
      </c>
      <c r="C1619" s="197">
        <v>24</v>
      </c>
      <c r="D1619" s="198">
        <f t="shared" si="125"/>
        <v>45162</v>
      </c>
      <c r="E1619" s="199">
        <f>DATE(A1619,B1619,C1619)</f>
        <v>45162</v>
      </c>
      <c r="F1619" s="513" t="s">
        <v>1323</v>
      </c>
      <c r="G1619" s="200" t="s">
        <v>1209</v>
      </c>
      <c r="H1619" s="201"/>
      <c r="I1619" s="201"/>
      <c r="J1619" s="197" t="s">
        <v>54</v>
      </c>
      <c r="K1619" s="202">
        <v>100</v>
      </c>
      <c r="L1619" s="202"/>
    </row>
    <row r="1620" spans="1:15" ht="11.25" customHeight="1" x14ac:dyDescent="0.2">
      <c r="A1620" s="191">
        <v>2023</v>
      </c>
      <c r="B1620" s="191">
        <v>8</v>
      </c>
      <c r="C1620" s="191">
        <v>24</v>
      </c>
      <c r="D1620" s="192">
        <f t="shared" si="125"/>
        <v>45162</v>
      </c>
      <c r="E1620" s="193">
        <f>DATE(A1620,B1620,C1620)</f>
        <v>45162</v>
      </c>
      <c r="F1620" s="514"/>
      <c r="G1620" s="194" t="s">
        <v>1209</v>
      </c>
      <c r="H1620" s="195"/>
      <c r="I1620" s="195"/>
      <c r="J1620" s="191" t="s">
        <v>46</v>
      </c>
      <c r="K1620" s="196"/>
      <c r="L1620" s="196">
        <v>100</v>
      </c>
    </row>
    <row r="1621" spans="1:15" ht="11.25" customHeight="1" x14ac:dyDescent="0.2">
      <c r="A1621" s="197">
        <v>2023</v>
      </c>
      <c r="B1621" s="197">
        <v>8</v>
      </c>
      <c r="C1621" s="197">
        <v>24</v>
      </c>
      <c r="D1621" s="198">
        <f t="shared" si="125"/>
        <v>45162</v>
      </c>
      <c r="E1621" s="199">
        <f>DATE(A1621,B1621,C1621)</f>
        <v>45162</v>
      </c>
      <c r="F1621" s="513" t="s">
        <v>1434</v>
      </c>
      <c r="G1621" s="200" t="s">
        <v>1209</v>
      </c>
      <c r="H1621" s="201"/>
      <c r="I1621" s="201"/>
      <c r="J1621" s="197" t="s">
        <v>173</v>
      </c>
      <c r="K1621" s="202">
        <v>21569.200000000001</v>
      </c>
      <c r="L1621" s="202"/>
    </row>
    <row r="1622" spans="1:15" ht="11.25" customHeight="1" x14ac:dyDescent="0.2">
      <c r="A1622" s="191">
        <v>2023</v>
      </c>
      <c r="B1622" s="191">
        <v>8</v>
      </c>
      <c r="C1622" s="191">
        <v>24</v>
      </c>
      <c r="D1622" s="192">
        <f t="shared" si="125"/>
        <v>45162</v>
      </c>
      <c r="E1622" s="193">
        <f>DATE(A1622,B1622,C1622)</f>
        <v>45162</v>
      </c>
      <c r="F1622" s="514"/>
      <c r="G1622" s="194" t="s">
        <v>1209</v>
      </c>
      <c r="H1622" s="195"/>
      <c r="I1622" s="195"/>
      <c r="J1622" s="191" t="s">
        <v>43</v>
      </c>
      <c r="K1622" s="196"/>
      <c r="L1622" s="196">
        <v>21569.200000000001</v>
      </c>
    </row>
    <row r="1623" spans="1:15" ht="11.25" customHeight="1" x14ac:dyDescent="0.2">
      <c r="A1623" s="210">
        <v>2023</v>
      </c>
      <c r="B1623" s="210">
        <v>8</v>
      </c>
      <c r="C1623" s="210">
        <v>24</v>
      </c>
      <c r="D1623" s="211">
        <f t="shared" ref="D1623:D1684" si="131">DATE(A1623,B1623,C1623)</f>
        <v>45162</v>
      </c>
      <c r="E1623" s="238">
        <f t="shared" si="129"/>
        <v>45162</v>
      </c>
      <c r="F1623" s="520" t="s">
        <v>1278</v>
      </c>
      <c r="G1623" s="213" t="s">
        <v>1245</v>
      </c>
      <c r="H1623" s="214"/>
      <c r="I1623" s="214" t="s">
        <v>1253</v>
      </c>
      <c r="J1623" s="210" t="s">
        <v>1529</v>
      </c>
      <c r="K1623" s="215">
        <v>6512.28</v>
      </c>
      <c r="L1623" s="215"/>
    </row>
    <row r="1624" spans="1:15" ht="11.25" customHeight="1" x14ac:dyDescent="0.2">
      <c r="A1624" s="216">
        <v>2023</v>
      </c>
      <c r="B1624" s="216">
        <v>8</v>
      </c>
      <c r="C1624" s="216">
        <v>24</v>
      </c>
      <c r="D1624" s="217">
        <f t="shared" si="131"/>
        <v>45162</v>
      </c>
      <c r="E1624" s="239">
        <f t="shared" si="129"/>
        <v>45162</v>
      </c>
      <c r="F1624" s="521"/>
      <c r="G1624" s="219" t="s">
        <v>1245</v>
      </c>
      <c r="H1624" s="220"/>
      <c r="I1624" s="220" t="s">
        <v>1253</v>
      </c>
      <c r="J1624" s="216" t="s">
        <v>1581</v>
      </c>
      <c r="K1624" s="221"/>
      <c r="L1624" s="221">
        <v>6512.28</v>
      </c>
    </row>
    <row r="1625" spans="1:15" ht="11.25" customHeight="1" x14ac:dyDescent="0.2">
      <c r="A1625" s="210">
        <v>2023</v>
      </c>
      <c r="B1625" s="210">
        <v>8</v>
      </c>
      <c r="C1625" s="210">
        <v>24</v>
      </c>
      <c r="D1625" s="211">
        <f t="shared" si="131"/>
        <v>45162</v>
      </c>
      <c r="E1625" s="238">
        <f t="shared" si="129"/>
        <v>45162</v>
      </c>
      <c r="F1625" s="520" t="s">
        <v>1285</v>
      </c>
      <c r="G1625" s="213" t="s">
        <v>1245</v>
      </c>
      <c r="H1625" s="214"/>
      <c r="I1625" s="214" t="s">
        <v>1253</v>
      </c>
      <c r="J1625" s="210" t="s">
        <v>1284</v>
      </c>
      <c r="K1625" s="215">
        <v>13771.15</v>
      </c>
      <c r="L1625" s="215"/>
    </row>
    <row r="1626" spans="1:15" ht="11.25" customHeight="1" x14ac:dyDescent="0.2">
      <c r="A1626" s="242">
        <v>2023</v>
      </c>
      <c r="B1626" s="216">
        <v>8</v>
      </c>
      <c r="C1626" s="216">
        <v>24</v>
      </c>
      <c r="D1626" s="243">
        <f t="shared" si="131"/>
        <v>45162</v>
      </c>
      <c r="E1626" s="244">
        <f>DATE(A1626,B1626,C1626)</f>
        <v>45162</v>
      </c>
      <c r="F1626" s="524"/>
      <c r="G1626" s="245" t="s">
        <v>1245</v>
      </c>
      <c r="H1626" s="246"/>
      <c r="I1626" s="246"/>
      <c r="J1626" s="242" t="s">
        <v>1582</v>
      </c>
      <c r="K1626" s="247"/>
      <c r="L1626" s="247">
        <v>13771.15</v>
      </c>
    </row>
    <row r="1627" spans="1:15" ht="11.25" customHeight="1" x14ac:dyDescent="0.2">
      <c r="A1627" s="210">
        <v>2023</v>
      </c>
      <c r="B1627" s="210">
        <v>8</v>
      </c>
      <c r="C1627" s="210">
        <v>24</v>
      </c>
      <c r="D1627" s="211">
        <f t="shared" si="131"/>
        <v>45162</v>
      </c>
      <c r="E1627" s="238">
        <f t="shared" si="129"/>
        <v>45162</v>
      </c>
      <c r="F1627" s="520" t="s">
        <v>1259</v>
      </c>
      <c r="G1627" s="213" t="s">
        <v>1245</v>
      </c>
      <c r="H1627" s="214"/>
      <c r="I1627" s="214" t="s">
        <v>1253</v>
      </c>
      <c r="J1627" s="210" t="s">
        <v>58</v>
      </c>
      <c r="K1627" s="215">
        <v>2468.42</v>
      </c>
      <c r="L1627" s="215"/>
      <c r="N1627" s="308"/>
    </row>
    <row r="1628" spans="1:15" ht="11.25" customHeight="1" x14ac:dyDescent="0.2">
      <c r="A1628" s="216">
        <v>2023</v>
      </c>
      <c r="B1628" s="216">
        <v>8</v>
      </c>
      <c r="C1628" s="216">
        <v>24</v>
      </c>
      <c r="D1628" s="217">
        <f t="shared" si="131"/>
        <v>45162</v>
      </c>
      <c r="E1628" s="239">
        <f t="shared" si="129"/>
        <v>45162</v>
      </c>
      <c r="F1628" s="521"/>
      <c r="G1628" s="219" t="s">
        <v>1245</v>
      </c>
      <c r="H1628" s="220"/>
      <c r="I1628" s="220" t="s">
        <v>1253</v>
      </c>
      <c r="J1628" s="216" t="s">
        <v>153</v>
      </c>
      <c r="K1628" s="221"/>
      <c r="L1628" s="221">
        <v>2468.42</v>
      </c>
    </row>
    <row r="1629" spans="1:15" ht="11.25" customHeight="1" x14ac:dyDescent="0.2">
      <c r="A1629" s="210">
        <v>2023</v>
      </c>
      <c r="B1629" s="210">
        <v>8</v>
      </c>
      <c r="C1629" s="210">
        <v>24</v>
      </c>
      <c r="D1629" s="211">
        <f t="shared" si="131"/>
        <v>45162</v>
      </c>
      <c r="E1629" s="238">
        <f t="shared" si="129"/>
        <v>45162</v>
      </c>
      <c r="F1629" s="520" t="s">
        <v>1255</v>
      </c>
      <c r="G1629" s="213" t="s">
        <v>1245</v>
      </c>
      <c r="H1629" s="214"/>
      <c r="I1629" s="214" t="s">
        <v>1253</v>
      </c>
      <c r="J1629" s="210" t="s">
        <v>113</v>
      </c>
      <c r="K1629" s="215">
        <v>44961.54</v>
      </c>
      <c r="L1629" s="215"/>
      <c r="M1629" s="251"/>
      <c r="O1629" s="130"/>
    </row>
    <row r="1630" spans="1:15" ht="11.25" customHeight="1" x14ac:dyDescent="0.2">
      <c r="A1630" s="216">
        <v>2023</v>
      </c>
      <c r="B1630" s="216">
        <v>8</v>
      </c>
      <c r="C1630" s="216">
        <v>24</v>
      </c>
      <c r="D1630" s="217">
        <f t="shared" si="131"/>
        <v>45162</v>
      </c>
      <c r="E1630" s="239">
        <f t="shared" si="129"/>
        <v>45162</v>
      </c>
      <c r="F1630" s="521"/>
      <c r="G1630" s="219" t="s">
        <v>1245</v>
      </c>
      <c r="H1630" s="220"/>
      <c r="I1630" s="220" t="s">
        <v>1253</v>
      </c>
      <c r="J1630" s="216" t="s">
        <v>153</v>
      </c>
      <c r="K1630" s="221"/>
      <c r="L1630" s="221">
        <v>44961.54</v>
      </c>
    </row>
    <row r="1631" spans="1:15" ht="11.25" customHeight="1" x14ac:dyDescent="0.2">
      <c r="A1631" s="210">
        <v>2023</v>
      </c>
      <c r="B1631" s="210">
        <v>8</v>
      </c>
      <c r="C1631" s="210">
        <v>24</v>
      </c>
      <c r="D1631" s="211">
        <f t="shared" si="131"/>
        <v>45162</v>
      </c>
      <c r="E1631" s="238">
        <f t="shared" si="129"/>
        <v>45162</v>
      </c>
      <c r="F1631" s="520" t="s">
        <v>1256</v>
      </c>
      <c r="G1631" s="213" t="s">
        <v>1245</v>
      </c>
      <c r="H1631" s="214"/>
      <c r="I1631" s="214" t="s">
        <v>1253</v>
      </c>
      <c r="J1631" s="210" t="s">
        <v>113</v>
      </c>
      <c r="K1631" s="215">
        <v>5925.93</v>
      </c>
      <c r="L1631" s="215"/>
      <c r="M1631" s="251"/>
      <c r="O1631" s="130"/>
    </row>
    <row r="1632" spans="1:15" ht="11.25" customHeight="1" x14ac:dyDescent="0.2">
      <c r="A1632" s="216">
        <v>2023</v>
      </c>
      <c r="B1632" s="216">
        <v>8</v>
      </c>
      <c r="C1632" s="216">
        <v>24</v>
      </c>
      <c r="D1632" s="217">
        <f t="shared" si="131"/>
        <v>45162</v>
      </c>
      <c r="E1632" s="239">
        <f t="shared" si="129"/>
        <v>45162</v>
      </c>
      <c r="F1632" s="521"/>
      <c r="G1632" s="219" t="s">
        <v>1245</v>
      </c>
      <c r="H1632" s="220"/>
      <c r="I1632" s="220" t="s">
        <v>1253</v>
      </c>
      <c r="J1632" s="216" t="s">
        <v>153</v>
      </c>
      <c r="K1632" s="221"/>
      <c r="L1632" s="221">
        <v>5925.93</v>
      </c>
    </row>
    <row r="1633" spans="1:12" ht="11.25" customHeight="1" x14ac:dyDescent="0.2">
      <c r="A1633" s="210">
        <v>2023</v>
      </c>
      <c r="B1633" s="210">
        <v>8</v>
      </c>
      <c r="C1633" s="210">
        <v>24</v>
      </c>
      <c r="D1633" s="211">
        <f t="shared" si="131"/>
        <v>45162</v>
      </c>
      <c r="E1633" s="238">
        <f t="shared" si="129"/>
        <v>45162</v>
      </c>
      <c r="F1633" s="520" t="s">
        <v>1257</v>
      </c>
      <c r="G1633" s="213" t="s">
        <v>1245</v>
      </c>
      <c r="H1633" s="214"/>
      <c r="I1633" s="214" t="s">
        <v>1253</v>
      </c>
      <c r="J1633" s="210" t="s">
        <v>113</v>
      </c>
      <c r="K1633" s="215">
        <v>27692.31</v>
      </c>
      <c r="L1633" s="215"/>
    </row>
    <row r="1634" spans="1:12" ht="11.25" customHeight="1" x14ac:dyDescent="0.2">
      <c r="A1634" s="216">
        <v>2023</v>
      </c>
      <c r="B1634" s="216">
        <v>8</v>
      </c>
      <c r="C1634" s="216">
        <v>24</v>
      </c>
      <c r="D1634" s="217">
        <f t="shared" si="131"/>
        <v>45162</v>
      </c>
      <c r="E1634" s="239">
        <f t="shared" si="129"/>
        <v>45162</v>
      </c>
      <c r="F1634" s="521"/>
      <c r="G1634" s="219" t="s">
        <v>1245</v>
      </c>
      <c r="H1634" s="220"/>
      <c r="I1634" s="220" t="s">
        <v>1253</v>
      </c>
      <c r="J1634" s="216" t="s">
        <v>153</v>
      </c>
      <c r="K1634" s="221"/>
      <c r="L1634" s="221">
        <v>27692.31</v>
      </c>
    </row>
    <row r="1635" spans="1:12" ht="11.25" customHeight="1" x14ac:dyDescent="0.2">
      <c r="A1635" s="259">
        <v>2023</v>
      </c>
      <c r="B1635" s="259">
        <v>8</v>
      </c>
      <c r="C1635" s="259">
        <v>24</v>
      </c>
      <c r="D1635" s="260">
        <f t="shared" si="131"/>
        <v>45162</v>
      </c>
      <c r="E1635" s="261">
        <f t="shared" si="129"/>
        <v>45162</v>
      </c>
      <c r="F1635" s="531" t="s">
        <v>1359</v>
      </c>
      <c r="G1635" s="262" t="s">
        <v>1245</v>
      </c>
      <c r="H1635" s="263"/>
      <c r="I1635" s="263" t="s">
        <v>1253</v>
      </c>
      <c r="J1635" s="259" t="s">
        <v>1476</v>
      </c>
      <c r="K1635" s="264">
        <v>8502.8166666667294</v>
      </c>
      <c r="L1635" s="264"/>
    </row>
    <row r="1636" spans="1:12" ht="11.25" customHeight="1" x14ac:dyDescent="0.2">
      <c r="A1636" s="265">
        <v>2023</v>
      </c>
      <c r="B1636" s="265">
        <v>8</v>
      </c>
      <c r="C1636" s="265">
        <v>24</v>
      </c>
      <c r="D1636" s="266">
        <f t="shared" si="131"/>
        <v>45162</v>
      </c>
      <c r="E1636" s="267">
        <f t="shared" si="129"/>
        <v>45162</v>
      </c>
      <c r="F1636" s="532"/>
      <c r="G1636" s="268" t="s">
        <v>1245</v>
      </c>
      <c r="H1636" s="269"/>
      <c r="I1636" s="269" t="s">
        <v>1253</v>
      </c>
      <c r="J1636" s="265" t="s">
        <v>153</v>
      </c>
      <c r="K1636" s="270"/>
      <c r="L1636" s="270">
        <v>8502.8166666667294</v>
      </c>
    </row>
    <row r="1637" spans="1:12" ht="11.25" customHeight="1" x14ac:dyDescent="0.2">
      <c r="A1637" s="259">
        <v>2023</v>
      </c>
      <c r="B1637" s="259">
        <v>8</v>
      </c>
      <c r="C1637" s="259">
        <v>24</v>
      </c>
      <c r="D1637" s="260">
        <f t="shared" si="131"/>
        <v>45162</v>
      </c>
      <c r="E1637" s="261">
        <f t="shared" si="129"/>
        <v>45162</v>
      </c>
      <c r="F1637" s="531" t="s">
        <v>1383</v>
      </c>
      <c r="G1637" s="262" t="s">
        <v>1245</v>
      </c>
      <c r="H1637" s="263"/>
      <c r="I1637" s="263" t="s">
        <v>1253</v>
      </c>
      <c r="J1637" s="259" t="s">
        <v>1476</v>
      </c>
      <c r="K1637" s="264">
        <v>15585.12222222218</v>
      </c>
      <c r="L1637" s="264"/>
    </row>
    <row r="1638" spans="1:12" ht="11.25" customHeight="1" x14ac:dyDescent="0.2">
      <c r="A1638" s="265">
        <v>2023</v>
      </c>
      <c r="B1638" s="265">
        <v>8</v>
      </c>
      <c r="C1638" s="265">
        <v>24</v>
      </c>
      <c r="D1638" s="266">
        <f t="shared" si="131"/>
        <v>45162</v>
      </c>
      <c r="E1638" s="267">
        <f t="shared" si="129"/>
        <v>45162</v>
      </c>
      <c r="F1638" s="532"/>
      <c r="G1638" s="268" t="s">
        <v>1245</v>
      </c>
      <c r="H1638" s="269"/>
      <c r="I1638" s="269" t="s">
        <v>1253</v>
      </c>
      <c r="J1638" s="265" t="s">
        <v>153</v>
      </c>
      <c r="K1638" s="270"/>
      <c r="L1638" s="270">
        <v>15585.12222222218</v>
      </c>
    </row>
    <row r="1639" spans="1:12" ht="11.25" customHeight="1" x14ac:dyDescent="0.2">
      <c r="A1639" s="259">
        <v>2023</v>
      </c>
      <c r="B1639" s="259">
        <v>8</v>
      </c>
      <c r="C1639" s="259">
        <v>24</v>
      </c>
      <c r="D1639" s="260">
        <f t="shared" si="131"/>
        <v>45162</v>
      </c>
      <c r="E1639" s="261">
        <f t="shared" si="129"/>
        <v>45162</v>
      </c>
      <c r="F1639" s="531" t="s">
        <v>1388</v>
      </c>
      <c r="G1639" s="262" t="s">
        <v>1245</v>
      </c>
      <c r="H1639" s="263"/>
      <c r="I1639" s="263" t="s">
        <v>1253</v>
      </c>
      <c r="J1639" s="259" t="s">
        <v>1476</v>
      </c>
      <c r="K1639" s="264">
        <v>12544.916666666666</v>
      </c>
      <c r="L1639" s="264"/>
    </row>
    <row r="1640" spans="1:12" ht="11.25" customHeight="1" x14ac:dyDescent="0.2">
      <c r="A1640" s="265">
        <v>2023</v>
      </c>
      <c r="B1640" s="265">
        <v>8</v>
      </c>
      <c r="C1640" s="265">
        <v>24</v>
      </c>
      <c r="D1640" s="266">
        <f t="shared" si="131"/>
        <v>45162</v>
      </c>
      <c r="E1640" s="267">
        <f t="shared" si="129"/>
        <v>45162</v>
      </c>
      <c r="F1640" s="532"/>
      <c r="G1640" s="268" t="s">
        <v>1245</v>
      </c>
      <c r="H1640" s="269"/>
      <c r="I1640" s="269" t="s">
        <v>1253</v>
      </c>
      <c r="J1640" s="265" t="s">
        <v>153</v>
      </c>
      <c r="K1640" s="270"/>
      <c r="L1640" s="270">
        <v>12544.916666666666</v>
      </c>
    </row>
    <row r="1641" spans="1:12" ht="11.25" customHeight="1" x14ac:dyDescent="0.2">
      <c r="A1641" s="259">
        <v>2023</v>
      </c>
      <c r="B1641" s="259">
        <v>8</v>
      </c>
      <c r="C1641" s="259">
        <v>24</v>
      </c>
      <c r="D1641" s="260">
        <f t="shared" si="131"/>
        <v>45162</v>
      </c>
      <c r="E1641" s="261">
        <f t="shared" si="129"/>
        <v>45162</v>
      </c>
      <c r="F1641" s="531" t="s">
        <v>1388</v>
      </c>
      <c r="G1641" s="262" t="s">
        <v>1245</v>
      </c>
      <c r="H1641" s="263"/>
      <c r="I1641" s="263" t="s">
        <v>1253</v>
      </c>
      <c r="J1641" s="259" t="s">
        <v>1476</v>
      </c>
      <c r="K1641" s="264">
        <v>10954.355555555576</v>
      </c>
      <c r="L1641" s="264"/>
    </row>
    <row r="1642" spans="1:12" ht="11.25" customHeight="1" x14ac:dyDescent="0.2">
      <c r="A1642" s="265">
        <v>2023</v>
      </c>
      <c r="B1642" s="265">
        <v>8</v>
      </c>
      <c r="C1642" s="265">
        <v>24</v>
      </c>
      <c r="D1642" s="266">
        <f t="shared" si="131"/>
        <v>45162</v>
      </c>
      <c r="E1642" s="267">
        <f t="shared" si="129"/>
        <v>45162</v>
      </c>
      <c r="F1642" s="532"/>
      <c r="G1642" s="268" t="s">
        <v>1245</v>
      </c>
      <c r="H1642" s="269"/>
      <c r="I1642" s="269" t="s">
        <v>1253</v>
      </c>
      <c r="J1642" s="265" t="s">
        <v>153</v>
      </c>
      <c r="K1642" s="270"/>
      <c r="L1642" s="270">
        <v>10954.355555555576</v>
      </c>
    </row>
    <row r="1643" spans="1:12" ht="11.25" customHeight="1" x14ac:dyDescent="0.2">
      <c r="A1643" s="259">
        <v>2023</v>
      </c>
      <c r="B1643" s="259">
        <v>8</v>
      </c>
      <c r="C1643" s="259">
        <v>24</v>
      </c>
      <c r="D1643" s="260">
        <f t="shared" si="131"/>
        <v>45162</v>
      </c>
      <c r="E1643" s="261">
        <f t="shared" si="129"/>
        <v>45162</v>
      </c>
      <c r="F1643" s="531" t="s">
        <v>1313</v>
      </c>
      <c r="G1643" s="262" t="s">
        <v>1245</v>
      </c>
      <c r="H1643" s="263"/>
      <c r="I1643" s="263" t="s">
        <v>1253</v>
      </c>
      <c r="J1643" s="259" t="s">
        <v>1476</v>
      </c>
      <c r="K1643" s="264">
        <v>8326.6666666666661</v>
      </c>
      <c r="L1643" s="264"/>
    </row>
    <row r="1644" spans="1:12" ht="11.25" customHeight="1" x14ac:dyDescent="0.2">
      <c r="A1644" s="265">
        <v>2023</v>
      </c>
      <c r="B1644" s="265">
        <v>8</v>
      </c>
      <c r="C1644" s="265">
        <v>24</v>
      </c>
      <c r="D1644" s="266">
        <f t="shared" si="131"/>
        <v>45162</v>
      </c>
      <c r="E1644" s="267">
        <f t="shared" si="129"/>
        <v>45162</v>
      </c>
      <c r="F1644" s="532"/>
      <c r="G1644" s="268" t="s">
        <v>1245</v>
      </c>
      <c r="H1644" s="269"/>
      <c r="I1644" s="269" t="s">
        <v>1253</v>
      </c>
      <c r="J1644" s="265" t="s">
        <v>153</v>
      </c>
      <c r="K1644" s="270"/>
      <c r="L1644" s="270">
        <v>8326.6666666666661</v>
      </c>
    </row>
    <row r="1645" spans="1:12" ht="11.25" customHeight="1" x14ac:dyDescent="0.2">
      <c r="A1645" s="259">
        <v>2023</v>
      </c>
      <c r="B1645" s="259">
        <v>8</v>
      </c>
      <c r="C1645" s="259">
        <v>24</v>
      </c>
      <c r="D1645" s="260">
        <f t="shared" si="131"/>
        <v>45162</v>
      </c>
      <c r="E1645" s="261">
        <f t="shared" si="129"/>
        <v>45162</v>
      </c>
      <c r="F1645" s="531" t="s">
        <v>1397</v>
      </c>
      <c r="G1645" s="262" t="s">
        <v>1245</v>
      </c>
      <c r="H1645" s="263"/>
      <c r="I1645" s="263" t="s">
        <v>1253</v>
      </c>
      <c r="J1645" s="259" t="s">
        <v>1476</v>
      </c>
      <c r="K1645" s="264">
        <v>3693.4422222222202</v>
      </c>
      <c r="L1645" s="264"/>
    </row>
    <row r="1646" spans="1:12" ht="11.25" customHeight="1" x14ac:dyDescent="0.2">
      <c r="A1646" s="265">
        <v>2023</v>
      </c>
      <c r="B1646" s="265">
        <v>8</v>
      </c>
      <c r="C1646" s="265">
        <v>24</v>
      </c>
      <c r="D1646" s="266">
        <f t="shared" si="131"/>
        <v>45162</v>
      </c>
      <c r="E1646" s="267">
        <f t="shared" si="129"/>
        <v>45162</v>
      </c>
      <c r="F1646" s="532"/>
      <c r="G1646" s="268" t="s">
        <v>1245</v>
      </c>
      <c r="H1646" s="269"/>
      <c r="I1646" s="269" t="s">
        <v>1253</v>
      </c>
      <c r="J1646" s="265" t="s">
        <v>153</v>
      </c>
      <c r="K1646" s="270"/>
      <c r="L1646" s="270">
        <v>3693.4422222222202</v>
      </c>
    </row>
    <row r="1647" spans="1:12" ht="11.25" customHeight="1" x14ac:dyDescent="0.2">
      <c r="A1647" s="259">
        <v>2023</v>
      </c>
      <c r="B1647" s="259">
        <v>8</v>
      </c>
      <c r="C1647" s="259">
        <v>24</v>
      </c>
      <c r="D1647" s="260">
        <f t="shared" si="131"/>
        <v>45162</v>
      </c>
      <c r="E1647" s="261">
        <f t="shared" si="129"/>
        <v>45162</v>
      </c>
      <c r="F1647" s="531" t="s">
        <v>1424</v>
      </c>
      <c r="G1647" s="262" t="s">
        <v>1245</v>
      </c>
      <c r="H1647" s="263"/>
      <c r="I1647" s="263" t="s">
        <v>1253</v>
      </c>
      <c r="J1647" s="259" t="s">
        <v>1476</v>
      </c>
      <c r="K1647" s="264">
        <v>6058.53</v>
      </c>
      <c r="L1647" s="264"/>
    </row>
    <row r="1648" spans="1:12" ht="11.25" customHeight="1" x14ac:dyDescent="0.2">
      <c r="A1648" s="265">
        <v>2023</v>
      </c>
      <c r="B1648" s="265">
        <v>8</v>
      </c>
      <c r="C1648" s="265">
        <v>24</v>
      </c>
      <c r="D1648" s="266">
        <f t="shared" si="131"/>
        <v>45162</v>
      </c>
      <c r="E1648" s="267">
        <f t="shared" si="129"/>
        <v>45162</v>
      </c>
      <c r="F1648" s="532"/>
      <c r="G1648" s="268" t="s">
        <v>1245</v>
      </c>
      <c r="H1648" s="269"/>
      <c r="I1648" s="269" t="s">
        <v>1253</v>
      </c>
      <c r="J1648" s="265" t="s">
        <v>153</v>
      </c>
      <c r="K1648" s="270"/>
      <c r="L1648" s="270">
        <v>6058.53</v>
      </c>
    </row>
    <row r="1649" spans="1:13" ht="11.25" customHeight="1" x14ac:dyDescent="0.2">
      <c r="A1649" s="259">
        <v>2023</v>
      </c>
      <c r="B1649" s="259">
        <v>8</v>
      </c>
      <c r="C1649" s="259">
        <v>24</v>
      </c>
      <c r="D1649" s="260">
        <f t="shared" si="131"/>
        <v>45162</v>
      </c>
      <c r="E1649" s="261">
        <f t="shared" si="129"/>
        <v>45162</v>
      </c>
      <c r="F1649" s="531" t="s">
        <v>1383</v>
      </c>
      <c r="G1649" s="262" t="s">
        <v>1245</v>
      </c>
      <c r="H1649" s="263"/>
      <c r="I1649" s="263" t="s">
        <v>1253</v>
      </c>
      <c r="J1649" s="259" t="s">
        <v>1476</v>
      </c>
      <c r="K1649" s="264">
        <v>6945.1</v>
      </c>
      <c r="L1649" s="264"/>
    </row>
    <row r="1650" spans="1:13" ht="11.25" customHeight="1" x14ac:dyDescent="0.2">
      <c r="A1650" s="265">
        <v>2023</v>
      </c>
      <c r="B1650" s="265">
        <v>8</v>
      </c>
      <c r="C1650" s="265">
        <v>24</v>
      </c>
      <c r="D1650" s="266">
        <f t="shared" si="131"/>
        <v>45162</v>
      </c>
      <c r="E1650" s="267">
        <f t="shared" si="129"/>
        <v>45162</v>
      </c>
      <c r="F1650" s="532"/>
      <c r="G1650" s="268" t="s">
        <v>1245</v>
      </c>
      <c r="H1650" s="269"/>
      <c r="I1650" s="269" t="s">
        <v>1253</v>
      </c>
      <c r="J1650" s="265" t="s">
        <v>153</v>
      </c>
      <c r="K1650" s="270"/>
      <c r="L1650" s="270">
        <v>6945.1</v>
      </c>
    </row>
    <row r="1651" spans="1:13" ht="11.25" customHeight="1" x14ac:dyDescent="0.2">
      <c r="A1651" s="259">
        <v>2023</v>
      </c>
      <c r="B1651" s="259">
        <v>8</v>
      </c>
      <c r="C1651" s="259">
        <v>24</v>
      </c>
      <c r="D1651" s="260">
        <f t="shared" si="131"/>
        <v>45162</v>
      </c>
      <c r="E1651" s="261">
        <f>DATE(A1651,B1651,C1651)</f>
        <v>45162</v>
      </c>
      <c r="F1651" s="531" t="s">
        <v>1388</v>
      </c>
      <c r="G1651" s="262" t="s">
        <v>1245</v>
      </c>
      <c r="H1651" s="263"/>
      <c r="I1651" s="263" t="s">
        <v>1253</v>
      </c>
      <c r="J1651" s="259" t="s">
        <v>1476</v>
      </c>
      <c r="K1651" s="264">
        <v>3114.785555555537</v>
      </c>
      <c r="L1651" s="264"/>
    </row>
    <row r="1652" spans="1:13" ht="11.25" customHeight="1" x14ac:dyDescent="0.2">
      <c r="A1652" s="265">
        <v>2023</v>
      </c>
      <c r="B1652" s="265">
        <v>8</v>
      </c>
      <c r="C1652" s="265">
        <v>24</v>
      </c>
      <c r="D1652" s="266">
        <f t="shared" si="131"/>
        <v>45162</v>
      </c>
      <c r="E1652" s="267">
        <f>DATE(A1652,B1652,C1652)</f>
        <v>45162</v>
      </c>
      <c r="F1652" s="532"/>
      <c r="G1652" s="268" t="s">
        <v>1245</v>
      </c>
      <c r="H1652" s="269"/>
      <c r="I1652" s="269" t="s">
        <v>1253</v>
      </c>
      <c r="J1652" s="265" t="s">
        <v>153</v>
      </c>
      <c r="K1652" s="270"/>
      <c r="L1652" s="270">
        <v>3114.785555555537</v>
      </c>
    </row>
    <row r="1653" spans="1:13" ht="11.25" customHeight="1" x14ac:dyDescent="0.2">
      <c r="A1653" s="222">
        <v>2023</v>
      </c>
      <c r="B1653" s="222">
        <v>8</v>
      </c>
      <c r="C1653" s="222">
        <v>24</v>
      </c>
      <c r="D1653" s="223">
        <f t="shared" si="131"/>
        <v>45162</v>
      </c>
      <c r="E1653" s="240">
        <f t="shared" si="129"/>
        <v>45162</v>
      </c>
      <c r="F1653" s="511" t="s">
        <v>1244</v>
      </c>
      <c r="G1653" s="225" t="s">
        <v>1245</v>
      </c>
      <c r="H1653" s="226"/>
      <c r="I1653" s="226" t="s">
        <v>1253</v>
      </c>
      <c r="J1653" s="222" t="s">
        <v>87</v>
      </c>
      <c r="K1653" s="227">
        <v>30981.381904765964</v>
      </c>
      <c r="L1653" s="227"/>
    </row>
    <row r="1654" spans="1:13" ht="11.25" customHeight="1" x14ac:dyDescent="0.2">
      <c r="A1654" s="228">
        <v>2023</v>
      </c>
      <c r="B1654" s="228">
        <v>8</v>
      </c>
      <c r="C1654" s="228">
        <v>24</v>
      </c>
      <c r="D1654" s="229">
        <f t="shared" si="131"/>
        <v>45162</v>
      </c>
      <c r="E1654" s="241">
        <f t="shared" si="129"/>
        <v>45162</v>
      </c>
      <c r="F1654" s="512"/>
      <c r="G1654" s="231" t="s">
        <v>1245</v>
      </c>
      <c r="H1654" s="232"/>
      <c r="I1654" s="232" t="s">
        <v>1253</v>
      </c>
      <c r="J1654" s="228" t="s">
        <v>72</v>
      </c>
      <c r="K1654" s="233"/>
      <c r="L1654" s="233">
        <v>30981.381904765964</v>
      </c>
    </row>
    <row r="1655" spans="1:13" ht="11.25" customHeight="1" x14ac:dyDescent="0.2">
      <c r="A1655" s="222">
        <v>2023</v>
      </c>
      <c r="B1655" s="222">
        <v>8</v>
      </c>
      <c r="C1655" s="222">
        <v>24</v>
      </c>
      <c r="D1655" s="223">
        <f t="shared" si="131"/>
        <v>45162</v>
      </c>
      <c r="E1655" s="240">
        <f t="shared" si="129"/>
        <v>45162</v>
      </c>
      <c r="F1655" s="511" t="s">
        <v>1246</v>
      </c>
      <c r="G1655" s="225" t="s">
        <v>1245</v>
      </c>
      <c r="H1655" s="226"/>
      <c r="I1655" s="226" t="s">
        <v>1253</v>
      </c>
      <c r="J1655" s="222" t="s">
        <v>75</v>
      </c>
      <c r="K1655" s="227">
        <v>3623.123846153846</v>
      </c>
      <c r="L1655" s="227"/>
    </row>
    <row r="1656" spans="1:13" ht="11.25" customHeight="1" x14ac:dyDescent="0.2">
      <c r="A1656" s="228">
        <v>2023</v>
      </c>
      <c r="B1656" s="228">
        <v>8</v>
      </c>
      <c r="C1656" s="228">
        <v>24</v>
      </c>
      <c r="D1656" s="229">
        <f t="shared" si="131"/>
        <v>45162</v>
      </c>
      <c r="E1656" s="241">
        <f t="shared" si="129"/>
        <v>45162</v>
      </c>
      <c r="F1656" s="512"/>
      <c r="G1656" s="231" t="s">
        <v>1245</v>
      </c>
      <c r="H1656" s="232"/>
      <c r="I1656" s="232" t="s">
        <v>1253</v>
      </c>
      <c r="J1656" s="228" t="s">
        <v>55</v>
      </c>
      <c r="K1656" s="233"/>
      <c r="L1656" s="233">
        <v>3623.123846153846</v>
      </c>
    </row>
    <row r="1657" spans="1:13" ht="11.25" customHeight="1" x14ac:dyDescent="0.2">
      <c r="A1657" s="222">
        <v>2023</v>
      </c>
      <c r="B1657" s="222">
        <v>8</v>
      </c>
      <c r="C1657" s="222">
        <v>24</v>
      </c>
      <c r="D1657" s="223">
        <f t="shared" si="131"/>
        <v>45162</v>
      </c>
      <c r="E1657" s="240">
        <f t="shared" si="129"/>
        <v>45162</v>
      </c>
      <c r="F1657" s="511" t="s">
        <v>1247</v>
      </c>
      <c r="G1657" s="225" t="s">
        <v>1245</v>
      </c>
      <c r="H1657" s="226"/>
      <c r="I1657" s="226" t="s">
        <v>1253</v>
      </c>
      <c r="J1657" s="222" t="s">
        <v>77</v>
      </c>
      <c r="K1657" s="227"/>
      <c r="L1657" s="227"/>
    </row>
    <row r="1658" spans="1:13" ht="11.25" customHeight="1" x14ac:dyDescent="0.2">
      <c r="A1658" s="228">
        <v>2023</v>
      </c>
      <c r="B1658" s="228">
        <v>8</v>
      </c>
      <c r="C1658" s="228">
        <v>24</v>
      </c>
      <c r="D1658" s="229">
        <f t="shared" si="131"/>
        <v>45162</v>
      </c>
      <c r="E1658" s="241">
        <f t="shared" si="129"/>
        <v>45162</v>
      </c>
      <c r="F1658" s="512"/>
      <c r="G1658" s="231" t="s">
        <v>1245</v>
      </c>
      <c r="H1658" s="232"/>
      <c r="I1658" s="232" t="s">
        <v>1253</v>
      </c>
      <c r="J1658" s="228" t="s">
        <v>41</v>
      </c>
      <c r="K1658" s="233"/>
      <c r="L1658" s="233"/>
    </row>
    <row r="1659" spans="1:13" ht="11.25" customHeight="1" x14ac:dyDescent="0.2">
      <c r="A1659" s="222">
        <v>2023</v>
      </c>
      <c r="B1659" s="222">
        <v>8</v>
      </c>
      <c r="C1659" s="222">
        <v>24</v>
      </c>
      <c r="D1659" s="223">
        <f t="shared" si="131"/>
        <v>45162</v>
      </c>
      <c r="E1659" s="240">
        <f t="shared" si="129"/>
        <v>45162</v>
      </c>
      <c r="F1659" s="511" t="s">
        <v>1248</v>
      </c>
      <c r="G1659" s="225" t="s">
        <v>1245</v>
      </c>
      <c r="H1659" s="226"/>
      <c r="I1659" s="226" t="s">
        <v>1253</v>
      </c>
      <c r="J1659" s="222" t="s">
        <v>80</v>
      </c>
      <c r="K1659" s="227">
        <v>1252.0094344908332</v>
      </c>
      <c r="L1659" s="227"/>
    </row>
    <row r="1660" spans="1:13" ht="11.25" customHeight="1" x14ac:dyDescent="0.2">
      <c r="A1660" s="228">
        <v>2023</v>
      </c>
      <c r="B1660" s="228">
        <v>8</v>
      </c>
      <c r="C1660" s="228">
        <v>24</v>
      </c>
      <c r="D1660" s="229">
        <f t="shared" si="131"/>
        <v>45162</v>
      </c>
      <c r="E1660" s="241">
        <f t="shared" si="129"/>
        <v>45162</v>
      </c>
      <c r="F1660" s="512"/>
      <c r="G1660" s="231" t="s">
        <v>1245</v>
      </c>
      <c r="H1660" s="232"/>
      <c r="I1660" s="232" t="s">
        <v>1253</v>
      </c>
      <c r="J1660" s="228" t="s">
        <v>42</v>
      </c>
      <c r="K1660" s="233"/>
      <c r="L1660" s="233">
        <v>1252.0094344908332</v>
      </c>
    </row>
    <row r="1661" spans="1:13" ht="11.25" customHeight="1" x14ac:dyDescent="0.2">
      <c r="A1661" s="197">
        <v>2023</v>
      </c>
      <c r="B1661" s="197">
        <v>8</v>
      </c>
      <c r="C1661" s="197">
        <v>27</v>
      </c>
      <c r="D1661" s="198">
        <f t="shared" si="131"/>
        <v>45165</v>
      </c>
      <c r="E1661" s="209">
        <f t="shared" si="129"/>
        <v>45165</v>
      </c>
      <c r="F1661" s="513" t="s">
        <v>1210</v>
      </c>
      <c r="G1661" s="200" t="s">
        <v>1209</v>
      </c>
      <c r="H1661" s="201"/>
      <c r="I1661" s="201" t="s">
        <v>1230</v>
      </c>
      <c r="J1661" s="197" t="s">
        <v>46</v>
      </c>
      <c r="K1661" s="202">
        <v>1500000</v>
      </c>
      <c r="L1661" s="202"/>
      <c r="M1661" s="251"/>
    </row>
    <row r="1662" spans="1:13" ht="11.25" customHeight="1" x14ac:dyDescent="0.2">
      <c r="A1662" s="120">
        <v>2023</v>
      </c>
      <c r="B1662" s="120">
        <v>8</v>
      </c>
      <c r="C1662" s="120">
        <v>27</v>
      </c>
      <c r="D1662" s="208">
        <f t="shared" si="131"/>
        <v>45165</v>
      </c>
      <c r="E1662" s="209">
        <f t="shared" si="129"/>
        <v>45165</v>
      </c>
      <c r="F1662" s="515"/>
      <c r="G1662" s="132" t="s">
        <v>1209</v>
      </c>
      <c r="I1662" s="128" t="s">
        <v>1230</v>
      </c>
      <c r="J1662" s="120" t="s">
        <v>16</v>
      </c>
      <c r="K1662" s="207"/>
      <c r="L1662" s="207">
        <v>1438850</v>
      </c>
    </row>
    <row r="1663" spans="1:13" ht="11.25" customHeight="1" x14ac:dyDescent="0.2">
      <c r="A1663" s="191">
        <v>2023</v>
      </c>
      <c r="B1663" s="191">
        <v>8</v>
      </c>
      <c r="C1663" s="191">
        <v>27</v>
      </c>
      <c r="D1663" s="192">
        <f t="shared" si="131"/>
        <v>45165</v>
      </c>
      <c r="E1663" s="193">
        <f t="shared" si="129"/>
        <v>45165</v>
      </c>
      <c r="F1663" s="514"/>
      <c r="G1663" s="194" t="s">
        <v>1209</v>
      </c>
      <c r="H1663" s="195"/>
      <c r="I1663" s="195" t="s">
        <v>1230</v>
      </c>
      <c r="J1663" s="191" t="s">
        <v>47</v>
      </c>
      <c r="K1663" s="196"/>
      <c r="L1663" s="196">
        <v>61150</v>
      </c>
    </row>
    <row r="1664" spans="1:13" ht="11.25" customHeight="1" x14ac:dyDescent="0.2">
      <c r="A1664" s="197">
        <v>2023</v>
      </c>
      <c r="B1664" s="197">
        <v>8</v>
      </c>
      <c r="C1664" s="197">
        <v>27</v>
      </c>
      <c r="D1664" s="198">
        <f t="shared" si="131"/>
        <v>45165</v>
      </c>
      <c r="E1664" s="199">
        <f t="shared" si="129"/>
        <v>45165</v>
      </c>
      <c r="F1664" s="513" t="s">
        <v>1323</v>
      </c>
      <c r="G1664" s="200" t="s">
        <v>1209</v>
      </c>
      <c r="H1664" s="201"/>
      <c r="I1664" s="201"/>
      <c r="J1664" s="197" t="s">
        <v>54</v>
      </c>
      <c r="K1664" s="202">
        <v>25</v>
      </c>
      <c r="L1664" s="202"/>
    </row>
    <row r="1665" spans="1:14" ht="11.25" customHeight="1" x14ac:dyDescent="0.2">
      <c r="A1665" s="191">
        <v>2023</v>
      </c>
      <c r="B1665" s="191">
        <v>8</v>
      </c>
      <c r="C1665" s="191">
        <v>27</v>
      </c>
      <c r="D1665" s="192">
        <f t="shared" si="131"/>
        <v>45165</v>
      </c>
      <c r="E1665" s="193">
        <f t="shared" si="129"/>
        <v>45165</v>
      </c>
      <c r="F1665" s="514"/>
      <c r="G1665" s="194" t="s">
        <v>1209</v>
      </c>
      <c r="H1665" s="195"/>
      <c r="I1665" s="195"/>
      <c r="J1665" s="191" t="s">
        <v>46</v>
      </c>
      <c r="K1665" s="196"/>
      <c r="L1665" s="196">
        <v>25</v>
      </c>
    </row>
    <row r="1666" spans="1:14" ht="11.25" customHeight="1" x14ac:dyDescent="0.2">
      <c r="A1666" s="197">
        <v>2023</v>
      </c>
      <c r="B1666" s="197">
        <v>8</v>
      </c>
      <c r="C1666" s="197">
        <v>27</v>
      </c>
      <c r="D1666" s="198">
        <f t="shared" si="131"/>
        <v>45165</v>
      </c>
      <c r="E1666" s="209">
        <f t="shared" si="129"/>
        <v>45165</v>
      </c>
      <c r="F1666" s="513" t="s">
        <v>1296</v>
      </c>
      <c r="G1666" s="200" t="s">
        <v>1209</v>
      </c>
      <c r="H1666" s="201"/>
      <c r="I1666" s="201"/>
      <c r="J1666" s="197" t="s">
        <v>46</v>
      </c>
      <c r="K1666" s="202">
        <v>46000</v>
      </c>
      <c r="L1666" s="202"/>
      <c r="M1666" s="251"/>
    </row>
    <row r="1667" spans="1:14" ht="11.25" customHeight="1" x14ac:dyDescent="0.2">
      <c r="A1667" s="120">
        <v>2023</v>
      </c>
      <c r="B1667" s="120">
        <v>8</v>
      </c>
      <c r="C1667" s="120">
        <v>27</v>
      </c>
      <c r="D1667" s="208">
        <f t="shared" si="131"/>
        <v>45165</v>
      </c>
      <c r="E1667" s="209">
        <f t="shared" si="129"/>
        <v>45165</v>
      </c>
      <c r="F1667" s="515"/>
      <c r="G1667" s="132" t="s">
        <v>1209</v>
      </c>
      <c r="J1667" s="120" t="s">
        <v>16</v>
      </c>
      <c r="K1667" s="207"/>
      <c r="L1667" s="207">
        <v>44130</v>
      </c>
    </row>
    <row r="1668" spans="1:14" ht="11.25" customHeight="1" x14ac:dyDescent="0.2">
      <c r="A1668" s="191">
        <v>2023</v>
      </c>
      <c r="B1668" s="191">
        <v>8</v>
      </c>
      <c r="C1668" s="191">
        <v>27</v>
      </c>
      <c r="D1668" s="192">
        <f t="shared" si="131"/>
        <v>45165</v>
      </c>
      <c r="E1668" s="193">
        <f t="shared" si="129"/>
        <v>45165</v>
      </c>
      <c r="F1668" s="514"/>
      <c r="G1668" s="194" t="s">
        <v>1209</v>
      </c>
      <c r="H1668" s="195"/>
      <c r="I1668" s="195"/>
      <c r="J1668" s="191" t="s">
        <v>47</v>
      </c>
      <c r="K1668" s="196"/>
      <c r="L1668" s="196">
        <v>1870</v>
      </c>
    </row>
    <row r="1669" spans="1:14" ht="11.25" customHeight="1" x14ac:dyDescent="0.2">
      <c r="A1669" s="197">
        <v>2023</v>
      </c>
      <c r="B1669" s="197">
        <v>8</v>
      </c>
      <c r="C1669" s="197">
        <v>27</v>
      </c>
      <c r="D1669" s="198">
        <f t="shared" si="131"/>
        <v>45165</v>
      </c>
      <c r="E1669" s="199">
        <f t="shared" si="129"/>
        <v>45165</v>
      </c>
      <c r="F1669" s="513" t="s">
        <v>1433</v>
      </c>
      <c r="G1669" s="200" t="s">
        <v>1209</v>
      </c>
      <c r="H1669" s="201"/>
      <c r="I1669" s="201" t="s">
        <v>1253</v>
      </c>
      <c r="J1669" s="197" t="s">
        <v>1475</v>
      </c>
      <c r="K1669" s="202">
        <v>5638303.6100000003</v>
      </c>
      <c r="L1669" s="202"/>
    </row>
    <row r="1670" spans="1:14" ht="11.25" customHeight="1" x14ac:dyDescent="0.2">
      <c r="A1670" s="120">
        <v>2023</v>
      </c>
      <c r="B1670" s="120">
        <v>8</v>
      </c>
      <c r="C1670" s="120">
        <v>27</v>
      </c>
      <c r="D1670" s="208">
        <f t="shared" si="131"/>
        <v>45165</v>
      </c>
      <c r="E1670" s="209">
        <f>DATE(A1670,B1670,C1670)</f>
        <v>45165</v>
      </c>
      <c r="F1670" s="515"/>
      <c r="G1670" s="132" t="s">
        <v>1209</v>
      </c>
      <c r="J1670" s="120" t="s">
        <v>1476</v>
      </c>
      <c r="K1670" s="207"/>
      <c r="L1670" s="207">
        <v>76525.350000000559</v>
      </c>
    </row>
    <row r="1671" spans="1:14" ht="11.25" customHeight="1" x14ac:dyDescent="0.2">
      <c r="A1671" s="191">
        <v>2023</v>
      </c>
      <c r="B1671" s="191">
        <v>8</v>
      </c>
      <c r="C1671" s="191">
        <v>27</v>
      </c>
      <c r="D1671" s="192">
        <f t="shared" si="131"/>
        <v>45165</v>
      </c>
      <c r="E1671" s="193">
        <f t="shared" si="129"/>
        <v>45165</v>
      </c>
      <c r="F1671" s="514"/>
      <c r="G1671" s="194" t="s">
        <v>1209</v>
      </c>
      <c r="H1671" s="195"/>
      <c r="I1671" s="195" t="s">
        <v>1253</v>
      </c>
      <c r="J1671" s="191" t="s">
        <v>1475</v>
      </c>
      <c r="K1671" s="196"/>
      <c r="L1671" s="196">
        <v>5561778.2599999998</v>
      </c>
      <c r="N1671" s="130"/>
    </row>
    <row r="1672" spans="1:14" ht="11.25" customHeight="1" x14ac:dyDescent="0.2">
      <c r="A1672" s="197">
        <v>2023</v>
      </c>
      <c r="B1672" s="197">
        <v>8</v>
      </c>
      <c r="C1672" s="197">
        <v>28</v>
      </c>
      <c r="D1672" s="198">
        <f t="shared" si="131"/>
        <v>45166</v>
      </c>
      <c r="E1672" s="209">
        <f>DATE(A1672,B1672,C1672)</f>
        <v>45166</v>
      </c>
      <c r="F1672" s="513" t="s">
        <v>1296</v>
      </c>
      <c r="G1672" s="200" t="s">
        <v>1209</v>
      </c>
      <c r="H1672" s="201"/>
      <c r="I1672" s="201"/>
      <c r="J1672" s="197" t="s">
        <v>46</v>
      </c>
      <c r="K1672" s="202">
        <v>134540</v>
      </c>
      <c r="L1672" s="202"/>
      <c r="M1672" s="251"/>
    </row>
    <row r="1673" spans="1:14" ht="11.25" customHeight="1" x14ac:dyDescent="0.2">
      <c r="A1673" s="120">
        <v>2023</v>
      </c>
      <c r="B1673" s="120">
        <v>8</v>
      </c>
      <c r="C1673" s="120">
        <v>28</v>
      </c>
      <c r="D1673" s="208">
        <f t="shared" si="131"/>
        <v>45166</v>
      </c>
      <c r="E1673" s="209">
        <f>DATE(A1673,B1673,C1673)</f>
        <v>45166</v>
      </c>
      <c r="F1673" s="515"/>
      <c r="G1673" s="132" t="s">
        <v>1209</v>
      </c>
      <c r="J1673" s="120" t="s">
        <v>16</v>
      </c>
      <c r="K1673" s="207"/>
      <c r="L1673" s="207">
        <v>129070</v>
      </c>
    </row>
    <row r="1674" spans="1:14" ht="11.25" customHeight="1" x14ac:dyDescent="0.2">
      <c r="A1674" s="191">
        <v>2023</v>
      </c>
      <c r="B1674" s="191">
        <v>8</v>
      </c>
      <c r="C1674" s="191">
        <v>28</v>
      </c>
      <c r="D1674" s="192">
        <f t="shared" si="131"/>
        <v>45166</v>
      </c>
      <c r="E1674" s="193">
        <f>DATE(A1674,B1674,C1674)</f>
        <v>45166</v>
      </c>
      <c r="F1674" s="514"/>
      <c r="G1674" s="194" t="s">
        <v>1209</v>
      </c>
      <c r="H1674" s="195"/>
      <c r="I1674" s="195"/>
      <c r="J1674" s="191" t="s">
        <v>47</v>
      </c>
      <c r="K1674" s="196"/>
      <c r="L1674" s="196">
        <v>5470</v>
      </c>
    </row>
    <row r="1675" spans="1:14" ht="11.25" customHeight="1" x14ac:dyDescent="0.2">
      <c r="A1675" s="197">
        <v>2023</v>
      </c>
      <c r="B1675" s="197">
        <v>8</v>
      </c>
      <c r="C1675" s="197">
        <v>29</v>
      </c>
      <c r="D1675" s="198">
        <f t="shared" si="131"/>
        <v>45167</v>
      </c>
      <c r="E1675" s="209">
        <f t="shared" ref="E1675:E1680" si="132">DATE(A1675,B1675,C1675)</f>
        <v>45167</v>
      </c>
      <c r="F1675" s="513" t="s">
        <v>1296</v>
      </c>
      <c r="G1675" s="200" t="s">
        <v>1209</v>
      </c>
      <c r="H1675" s="201"/>
      <c r="I1675" s="201"/>
      <c r="J1675" s="197" t="s">
        <v>46</v>
      </c>
      <c r="K1675" s="202">
        <v>34000</v>
      </c>
      <c r="L1675" s="202"/>
      <c r="M1675" s="251"/>
    </row>
    <row r="1676" spans="1:14" ht="11.25" customHeight="1" x14ac:dyDescent="0.2">
      <c r="A1676" s="120">
        <v>2023</v>
      </c>
      <c r="B1676" s="120">
        <v>8</v>
      </c>
      <c r="C1676" s="120">
        <v>29</v>
      </c>
      <c r="D1676" s="208">
        <f t="shared" si="131"/>
        <v>45167</v>
      </c>
      <c r="E1676" s="209">
        <f t="shared" si="132"/>
        <v>45167</v>
      </c>
      <c r="F1676" s="515"/>
      <c r="G1676" s="132" t="s">
        <v>1209</v>
      </c>
      <c r="J1676" s="120" t="s">
        <v>16</v>
      </c>
      <c r="K1676" s="207"/>
      <c r="L1676" s="207">
        <v>32610</v>
      </c>
    </row>
    <row r="1677" spans="1:14" ht="11.25" customHeight="1" x14ac:dyDescent="0.2">
      <c r="A1677" s="191">
        <v>2023</v>
      </c>
      <c r="B1677" s="191">
        <v>8</v>
      </c>
      <c r="C1677" s="191">
        <v>29</v>
      </c>
      <c r="D1677" s="192">
        <f t="shared" si="131"/>
        <v>45167</v>
      </c>
      <c r="E1677" s="193">
        <f t="shared" si="132"/>
        <v>45167</v>
      </c>
      <c r="F1677" s="514"/>
      <c r="G1677" s="194" t="s">
        <v>1209</v>
      </c>
      <c r="H1677" s="195"/>
      <c r="I1677" s="195"/>
      <c r="J1677" s="191" t="s">
        <v>47</v>
      </c>
      <c r="K1677" s="196"/>
      <c r="L1677" s="196">
        <v>1390</v>
      </c>
    </row>
    <row r="1678" spans="1:14" ht="11.25" customHeight="1" x14ac:dyDescent="0.2">
      <c r="A1678" s="197">
        <v>2023</v>
      </c>
      <c r="B1678" s="197">
        <v>8</v>
      </c>
      <c r="C1678" s="197">
        <v>28</v>
      </c>
      <c r="D1678" s="198">
        <f t="shared" si="131"/>
        <v>45166</v>
      </c>
      <c r="E1678" s="209">
        <f t="shared" si="132"/>
        <v>45166</v>
      </c>
      <c r="F1678" s="513" t="s">
        <v>1423</v>
      </c>
      <c r="G1678" s="200" t="s">
        <v>1209</v>
      </c>
      <c r="H1678" s="201"/>
      <c r="I1678" s="201" t="s">
        <v>1137</v>
      </c>
      <c r="J1678" s="197" t="s">
        <v>16</v>
      </c>
      <c r="K1678" s="202">
        <v>4800</v>
      </c>
      <c r="L1678" s="202"/>
      <c r="M1678" s="251"/>
    </row>
    <row r="1679" spans="1:14" ht="11.25" customHeight="1" x14ac:dyDescent="0.2">
      <c r="A1679" s="120">
        <v>2023</v>
      </c>
      <c r="B1679" s="120">
        <v>8</v>
      </c>
      <c r="C1679" s="120">
        <v>28</v>
      </c>
      <c r="D1679" s="208">
        <f t="shared" si="131"/>
        <v>45166</v>
      </c>
      <c r="E1679" s="209">
        <f t="shared" si="132"/>
        <v>45166</v>
      </c>
      <c r="F1679" s="515"/>
      <c r="G1679" s="132" t="s">
        <v>1209</v>
      </c>
      <c r="I1679" s="128" t="s">
        <v>1137</v>
      </c>
      <c r="J1679" s="120" t="s">
        <v>47</v>
      </c>
      <c r="K1679" s="207">
        <v>200</v>
      </c>
      <c r="L1679" s="207"/>
    </row>
    <row r="1680" spans="1:14" ht="11.25" customHeight="1" x14ac:dyDescent="0.2">
      <c r="A1680" s="191">
        <v>2023</v>
      </c>
      <c r="B1680" s="191">
        <v>8</v>
      </c>
      <c r="C1680" s="191">
        <v>28</v>
      </c>
      <c r="D1680" s="192">
        <f t="shared" si="131"/>
        <v>45166</v>
      </c>
      <c r="E1680" s="193">
        <f t="shared" si="132"/>
        <v>45166</v>
      </c>
      <c r="F1680" s="514"/>
      <c r="G1680" s="194" t="s">
        <v>1209</v>
      </c>
      <c r="H1680" s="195"/>
      <c r="I1680" s="195" t="s">
        <v>1137</v>
      </c>
      <c r="J1680" s="191" t="s">
        <v>46</v>
      </c>
      <c r="K1680" s="196"/>
      <c r="L1680" s="196">
        <v>5000</v>
      </c>
    </row>
    <row r="1681" spans="1:13" ht="11.25" customHeight="1" x14ac:dyDescent="0.2">
      <c r="A1681" s="197">
        <v>2023</v>
      </c>
      <c r="B1681" s="197">
        <v>8</v>
      </c>
      <c r="C1681" s="197">
        <v>29</v>
      </c>
      <c r="D1681" s="198">
        <f t="shared" si="131"/>
        <v>45167</v>
      </c>
      <c r="E1681" s="209">
        <f t="shared" ref="E1681:E1688" si="133">DATE(A1681,B1681,C1681)</f>
        <v>45167</v>
      </c>
      <c r="F1681" s="513" t="s">
        <v>1296</v>
      </c>
      <c r="G1681" s="200" t="s">
        <v>1209</v>
      </c>
      <c r="H1681" s="201"/>
      <c r="I1681" s="201" t="s">
        <v>1320</v>
      </c>
      <c r="J1681" s="197" t="s">
        <v>46</v>
      </c>
      <c r="K1681" s="202">
        <v>15000</v>
      </c>
      <c r="L1681" s="202"/>
      <c r="M1681" s="251"/>
    </row>
    <row r="1682" spans="1:13" ht="11.25" customHeight="1" x14ac:dyDescent="0.2">
      <c r="A1682" s="120">
        <v>2023</v>
      </c>
      <c r="B1682" s="120">
        <v>8</v>
      </c>
      <c r="C1682" s="120">
        <v>29</v>
      </c>
      <c r="D1682" s="208">
        <f t="shared" si="131"/>
        <v>45167</v>
      </c>
      <c r="E1682" s="209">
        <f t="shared" si="133"/>
        <v>45167</v>
      </c>
      <c r="F1682" s="515"/>
      <c r="G1682" s="132" t="s">
        <v>1209</v>
      </c>
      <c r="I1682" s="128" t="s">
        <v>1320</v>
      </c>
      <c r="J1682" s="120" t="s">
        <v>16</v>
      </c>
      <c r="K1682" s="207"/>
      <c r="L1682" s="207">
        <v>14390</v>
      </c>
    </row>
    <row r="1683" spans="1:13" ht="11.25" customHeight="1" x14ac:dyDescent="0.2">
      <c r="A1683" s="191">
        <v>2023</v>
      </c>
      <c r="B1683" s="191">
        <v>8</v>
      </c>
      <c r="C1683" s="191">
        <v>29</v>
      </c>
      <c r="D1683" s="192">
        <f t="shared" si="131"/>
        <v>45167</v>
      </c>
      <c r="E1683" s="193">
        <f t="shared" si="133"/>
        <v>45167</v>
      </c>
      <c r="F1683" s="514"/>
      <c r="G1683" s="194" t="s">
        <v>1209</v>
      </c>
      <c r="H1683" s="195"/>
      <c r="I1683" s="195" t="s">
        <v>1320</v>
      </c>
      <c r="J1683" s="191" t="s">
        <v>47</v>
      </c>
      <c r="K1683" s="196"/>
      <c r="L1683" s="196">
        <v>610</v>
      </c>
    </row>
    <row r="1684" spans="1:13" ht="11.25" customHeight="1" x14ac:dyDescent="0.2">
      <c r="A1684" s="197">
        <v>2023</v>
      </c>
      <c r="B1684" s="197">
        <v>8</v>
      </c>
      <c r="C1684" s="197">
        <v>30</v>
      </c>
      <c r="D1684" s="198">
        <f t="shared" si="131"/>
        <v>45168</v>
      </c>
      <c r="E1684" s="209">
        <f t="shared" si="133"/>
        <v>45168</v>
      </c>
      <c r="F1684" s="513" t="s">
        <v>1423</v>
      </c>
      <c r="G1684" s="200" t="s">
        <v>1209</v>
      </c>
      <c r="H1684" s="201"/>
      <c r="I1684" s="201" t="s">
        <v>1137</v>
      </c>
      <c r="J1684" s="197" t="s">
        <v>16</v>
      </c>
      <c r="K1684" s="202">
        <v>4800</v>
      </c>
      <c r="L1684" s="202"/>
      <c r="M1684" s="251"/>
    </row>
    <row r="1685" spans="1:13" ht="11.25" customHeight="1" x14ac:dyDescent="0.2">
      <c r="A1685" s="120">
        <v>2023</v>
      </c>
      <c r="B1685" s="120">
        <v>8</v>
      </c>
      <c r="C1685" s="120">
        <v>30</v>
      </c>
      <c r="D1685" s="208">
        <f t="shared" ref="D1685:D1746" si="134">DATE(A1685,B1685,C1685)</f>
        <v>45168</v>
      </c>
      <c r="E1685" s="209">
        <f t="shared" si="133"/>
        <v>45168</v>
      </c>
      <c r="F1685" s="515"/>
      <c r="G1685" s="132" t="s">
        <v>1209</v>
      </c>
      <c r="I1685" s="128" t="s">
        <v>1137</v>
      </c>
      <c r="J1685" s="120" t="s">
        <v>47</v>
      </c>
      <c r="K1685" s="207">
        <v>200</v>
      </c>
      <c r="L1685" s="207"/>
    </row>
    <row r="1686" spans="1:13" ht="11.25" customHeight="1" x14ac:dyDescent="0.2">
      <c r="A1686" s="191">
        <v>2023</v>
      </c>
      <c r="B1686" s="191">
        <v>8</v>
      </c>
      <c r="C1686" s="191">
        <v>30</v>
      </c>
      <c r="D1686" s="192">
        <f t="shared" si="134"/>
        <v>45168</v>
      </c>
      <c r="E1686" s="193">
        <f t="shared" si="133"/>
        <v>45168</v>
      </c>
      <c r="F1686" s="514"/>
      <c r="G1686" s="194" t="s">
        <v>1209</v>
      </c>
      <c r="H1686" s="195"/>
      <c r="I1686" s="195" t="s">
        <v>1137</v>
      </c>
      <c r="J1686" s="191" t="s">
        <v>46</v>
      </c>
      <c r="K1686" s="196"/>
      <c r="L1686" s="196">
        <v>5000</v>
      </c>
    </row>
    <row r="1687" spans="1:13" ht="11.25" customHeight="1" x14ac:dyDescent="0.2">
      <c r="A1687" s="197">
        <v>2023</v>
      </c>
      <c r="B1687" s="197">
        <v>8</v>
      </c>
      <c r="C1687" s="197">
        <v>31</v>
      </c>
      <c r="D1687" s="198">
        <f t="shared" si="134"/>
        <v>45169</v>
      </c>
      <c r="E1687" s="199">
        <f t="shared" si="133"/>
        <v>45169</v>
      </c>
      <c r="F1687" s="513" t="s">
        <v>1435</v>
      </c>
      <c r="G1687" s="200" t="s">
        <v>1209</v>
      </c>
      <c r="H1687" s="201"/>
      <c r="I1687" s="201"/>
      <c r="J1687" s="197" t="s">
        <v>43</v>
      </c>
      <c r="K1687" s="202">
        <v>21569.200000000001</v>
      </c>
      <c r="L1687" s="202"/>
    </row>
    <row r="1688" spans="1:13" ht="11.25" customHeight="1" x14ac:dyDescent="0.2">
      <c r="A1688" s="191">
        <v>2023</v>
      </c>
      <c r="B1688" s="191">
        <v>8</v>
      </c>
      <c r="C1688" s="191">
        <v>31</v>
      </c>
      <c r="D1688" s="192">
        <f t="shared" si="134"/>
        <v>45169</v>
      </c>
      <c r="E1688" s="193">
        <f t="shared" si="133"/>
        <v>45169</v>
      </c>
      <c r="F1688" s="514"/>
      <c r="G1688" s="194" t="s">
        <v>1209</v>
      </c>
      <c r="H1688" s="195"/>
      <c r="I1688" s="195"/>
      <c r="J1688" s="191" t="s">
        <v>46</v>
      </c>
      <c r="K1688" s="196"/>
      <c r="L1688" s="196">
        <v>21569.200000000001</v>
      </c>
    </row>
    <row r="1689" spans="1:13" ht="11.25" customHeight="1" x14ac:dyDescent="0.2">
      <c r="A1689" s="197">
        <v>2023</v>
      </c>
      <c r="B1689" s="197">
        <v>8</v>
      </c>
      <c r="C1689" s="197">
        <v>31</v>
      </c>
      <c r="D1689" s="198">
        <f t="shared" si="134"/>
        <v>45169</v>
      </c>
      <c r="E1689" s="209">
        <f t="shared" ref="E1689:E1694" si="135">DATE(A1689,B1689,C1689)</f>
        <v>45169</v>
      </c>
      <c r="F1689" s="513" t="s">
        <v>1280</v>
      </c>
      <c r="G1689" s="200" t="s">
        <v>1209</v>
      </c>
      <c r="H1689" s="201"/>
      <c r="I1689" s="201" t="s">
        <v>880</v>
      </c>
      <c r="J1689" s="197" t="s">
        <v>16</v>
      </c>
      <c r="K1689" s="202">
        <v>47960</v>
      </c>
      <c r="L1689" s="202"/>
      <c r="M1689" s="251"/>
    </row>
    <row r="1690" spans="1:13" ht="11.25" customHeight="1" x14ac:dyDescent="0.2">
      <c r="A1690" s="120">
        <v>2023</v>
      </c>
      <c r="B1690" s="120">
        <v>8</v>
      </c>
      <c r="C1690" s="120">
        <v>31</v>
      </c>
      <c r="D1690" s="208">
        <f t="shared" si="134"/>
        <v>45169</v>
      </c>
      <c r="E1690" s="209">
        <f t="shared" si="135"/>
        <v>45169</v>
      </c>
      <c r="F1690" s="515"/>
      <c r="G1690" s="132" t="s">
        <v>1209</v>
      </c>
      <c r="I1690" s="128" t="s">
        <v>880</v>
      </c>
      <c r="J1690" s="120" t="s">
        <v>47</v>
      </c>
      <c r="K1690" s="207">
        <v>2040</v>
      </c>
      <c r="L1690" s="207"/>
    </row>
    <row r="1691" spans="1:13" ht="11.25" customHeight="1" x14ac:dyDescent="0.2">
      <c r="A1691" s="191">
        <v>2023</v>
      </c>
      <c r="B1691" s="191">
        <v>8</v>
      </c>
      <c r="C1691" s="191">
        <v>31</v>
      </c>
      <c r="D1691" s="192">
        <f t="shared" si="134"/>
        <v>45169</v>
      </c>
      <c r="E1691" s="193">
        <f t="shared" si="135"/>
        <v>45169</v>
      </c>
      <c r="F1691" s="514"/>
      <c r="G1691" s="194" t="s">
        <v>1209</v>
      </c>
      <c r="H1691" s="195"/>
      <c r="I1691" s="195" t="s">
        <v>880</v>
      </c>
      <c r="J1691" s="191" t="s">
        <v>46</v>
      </c>
      <c r="K1691" s="196"/>
      <c r="L1691" s="196">
        <v>50000</v>
      </c>
    </row>
    <row r="1692" spans="1:13" ht="11.25" customHeight="1" x14ac:dyDescent="0.2">
      <c r="A1692" s="197">
        <v>2023</v>
      </c>
      <c r="B1692" s="197">
        <v>8</v>
      </c>
      <c r="C1692" s="197">
        <v>31</v>
      </c>
      <c r="D1692" s="198">
        <f t="shared" si="134"/>
        <v>45169</v>
      </c>
      <c r="E1692" s="209">
        <f t="shared" si="135"/>
        <v>45169</v>
      </c>
      <c r="F1692" s="513" t="s">
        <v>1280</v>
      </c>
      <c r="G1692" s="200" t="s">
        <v>1209</v>
      </c>
      <c r="H1692" s="201"/>
      <c r="I1692" s="201" t="s">
        <v>1141</v>
      </c>
      <c r="J1692" s="197" t="s">
        <v>16</v>
      </c>
      <c r="K1692" s="202">
        <v>48860</v>
      </c>
      <c r="L1692" s="202"/>
      <c r="M1692" s="251"/>
    </row>
    <row r="1693" spans="1:13" ht="11.25" customHeight="1" x14ac:dyDescent="0.2">
      <c r="A1693" s="120">
        <v>2023</v>
      </c>
      <c r="B1693" s="120">
        <v>8</v>
      </c>
      <c r="C1693" s="120">
        <v>31</v>
      </c>
      <c r="D1693" s="208">
        <f t="shared" si="134"/>
        <v>45169</v>
      </c>
      <c r="E1693" s="209">
        <f t="shared" si="135"/>
        <v>45169</v>
      </c>
      <c r="F1693" s="515"/>
      <c r="G1693" s="132" t="s">
        <v>1209</v>
      </c>
      <c r="I1693" s="128" t="s">
        <v>1141</v>
      </c>
      <c r="J1693" s="120" t="s">
        <v>47</v>
      </c>
      <c r="K1693" s="207">
        <v>2076.5500000000029</v>
      </c>
      <c r="L1693" s="207"/>
    </row>
    <row r="1694" spans="1:13" ht="11.25" customHeight="1" x14ac:dyDescent="0.2">
      <c r="A1694" s="191">
        <v>2023</v>
      </c>
      <c r="B1694" s="191">
        <v>8</v>
      </c>
      <c r="C1694" s="191">
        <v>31</v>
      </c>
      <c r="D1694" s="192">
        <f t="shared" si="134"/>
        <v>45169</v>
      </c>
      <c r="E1694" s="193">
        <f t="shared" si="135"/>
        <v>45169</v>
      </c>
      <c r="F1694" s="514"/>
      <c r="G1694" s="194" t="s">
        <v>1209</v>
      </c>
      <c r="H1694" s="195"/>
      <c r="I1694" s="195" t="s">
        <v>1141</v>
      </c>
      <c r="J1694" s="191" t="s">
        <v>46</v>
      </c>
      <c r="K1694" s="196"/>
      <c r="L1694" s="196">
        <v>50936.55</v>
      </c>
    </row>
    <row r="1695" spans="1:13" ht="11.25" customHeight="1" x14ac:dyDescent="0.2">
      <c r="A1695" s="197">
        <v>2023</v>
      </c>
      <c r="B1695" s="197">
        <v>8</v>
      </c>
      <c r="C1695" s="197">
        <v>31</v>
      </c>
      <c r="D1695" s="198">
        <f t="shared" si="134"/>
        <v>45169</v>
      </c>
      <c r="E1695" s="209">
        <f t="shared" ref="E1695:E1754" si="136">DATE(A1695,B1695,C1695)</f>
        <v>45169</v>
      </c>
      <c r="F1695" s="513" t="s">
        <v>1280</v>
      </c>
      <c r="G1695" s="200" t="s">
        <v>1209</v>
      </c>
      <c r="H1695" s="201"/>
      <c r="I1695" s="201" t="s">
        <v>567</v>
      </c>
      <c r="J1695" s="197" t="s">
        <v>16</v>
      </c>
      <c r="K1695" s="202">
        <v>120000</v>
      </c>
      <c r="L1695" s="202"/>
      <c r="M1695" s="251"/>
    </row>
    <row r="1696" spans="1:13" ht="11.25" customHeight="1" x14ac:dyDescent="0.2">
      <c r="A1696" s="120">
        <v>2023</v>
      </c>
      <c r="B1696" s="120">
        <v>8</v>
      </c>
      <c r="C1696" s="120">
        <v>31</v>
      </c>
      <c r="D1696" s="208">
        <f t="shared" si="134"/>
        <v>45169</v>
      </c>
      <c r="E1696" s="209">
        <f t="shared" si="136"/>
        <v>45169</v>
      </c>
      <c r="F1696" s="515"/>
      <c r="G1696" s="132" t="s">
        <v>1209</v>
      </c>
      <c r="I1696" s="128" t="s">
        <v>567</v>
      </c>
      <c r="J1696" s="120" t="s">
        <v>47</v>
      </c>
      <c r="K1696" s="207">
        <v>5100</v>
      </c>
      <c r="L1696" s="207"/>
    </row>
    <row r="1697" spans="1:15" ht="11.25" customHeight="1" x14ac:dyDescent="0.2">
      <c r="A1697" s="191">
        <v>2023</v>
      </c>
      <c r="B1697" s="191">
        <v>8</v>
      </c>
      <c r="C1697" s="191">
        <v>31</v>
      </c>
      <c r="D1697" s="192">
        <f t="shared" si="134"/>
        <v>45169</v>
      </c>
      <c r="E1697" s="193">
        <f t="shared" si="136"/>
        <v>45169</v>
      </c>
      <c r="F1697" s="514"/>
      <c r="G1697" s="194" t="s">
        <v>1209</v>
      </c>
      <c r="H1697" s="195"/>
      <c r="I1697" s="195" t="s">
        <v>567</v>
      </c>
      <c r="J1697" s="191" t="s">
        <v>46</v>
      </c>
      <c r="K1697" s="196"/>
      <c r="L1697" s="196">
        <v>125100</v>
      </c>
    </row>
    <row r="1698" spans="1:15" ht="11.25" customHeight="1" x14ac:dyDescent="0.2">
      <c r="A1698" s="210">
        <v>2023</v>
      </c>
      <c r="B1698" s="210">
        <v>8</v>
      </c>
      <c r="C1698" s="210">
        <v>31</v>
      </c>
      <c r="D1698" s="211">
        <f t="shared" si="134"/>
        <v>45169</v>
      </c>
      <c r="E1698" s="238">
        <f t="shared" si="136"/>
        <v>45169</v>
      </c>
      <c r="F1698" s="520" t="s">
        <v>1278</v>
      </c>
      <c r="G1698" s="213" t="s">
        <v>1245</v>
      </c>
      <c r="H1698" s="214"/>
      <c r="I1698" s="214" t="s">
        <v>1253</v>
      </c>
      <c r="J1698" s="210" t="s">
        <v>1529</v>
      </c>
      <c r="K1698" s="215">
        <v>6512.28</v>
      </c>
      <c r="L1698" s="215"/>
    </row>
    <row r="1699" spans="1:15" ht="11.25" customHeight="1" x14ac:dyDescent="0.2">
      <c r="A1699" s="216">
        <v>2023</v>
      </c>
      <c r="B1699" s="216">
        <v>8</v>
      </c>
      <c r="C1699" s="216">
        <v>31</v>
      </c>
      <c r="D1699" s="217">
        <f t="shared" si="134"/>
        <v>45169</v>
      </c>
      <c r="E1699" s="239">
        <f t="shared" si="136"/>
        <v>45169</v>
      </c>
      <c r="F1699" s="521"/>
      <c r="G1699" s="219" t="s">
        <v>1245</v>
      </c>
      <c r="H1699" s="220"/>
      <c r="I1699" s="220" t="s">
        <v>1253</v>
      </c>
      <c r="J1699" s="216" t="s">
        <v>1581</v>
      </c>
      <c r="K1699" s="221"/>
      <c r="L1699" s="221">
        <v>6512.28</v>
      </c>
    </row>
    <row r="1700" spans="1:15" ht="11.25" customHeight="1" x14ac:dyDescent="0.2">
      <c r="A1700" s="210">
        <v>2023</v>
      </c>
      <c r="B1700" s="210">
        <v>8</v>
      </c>
      <c r="C1700" s="210">
        <v>31</v>
      </c>
      <c r="D1700" s="211">
        <f t="shared" si="134"/>
        <v>45169</v>
      </c>
      <c r="E1700" s="238">
        <f t="shared" si="136"/>
        <v>45169</v>
      </c>
      <c r="F1700" s="520" t="s">
        <v>1285</v>
      </c>
      <c r="G1700" s="213" t="s">
        <v>1245</v>
      </c>
      <c r="H1700" s="214"/>
      <c r="I1700" s="214" t="s">
        <v>1253</v>
      </c>
      <c r="J1700" s="210" t="s">
        <v>1284</v>
      </c>
      <c r="K1700" s="215">
        <v>13771.15</v>
      </c>
      <c r="L1700" s="215"/>
    </row>
    <row r="1701" spans="1:15" ht="11.25" customHeight="1" x14ac:dyDescent="0.2">
      <c r="A1701" s="242">
        <v>2023</v>
      </c>
      <c r="B1701" s="216">
        <v>8</v>
      </c>
      <c r="C1701" s="216">
        <v>31</v>
      </c>
      <c r="D1701" s="243">
        <f t="shared" si="134"/>
        <v>45169</v>
      </c>
      <c r="E1701" s="244">
        <f>DATE(A1701,B1701,C1701)</f>
        <v>45169</v>
      </c>
      <c r="F1701" s="524"/>
      <c r="G1701" s="245" t="s">
        <v>1245</v>
      </c>
      <c r="H1701" s="246"/>
      <c r="I1701" s="246"/>
      <c r="J1701" s="242" t="s">
        <v>1582</v>
      </c>
      <c r="K1701" s="247"/>
      <c r="L1701" s="247">
        <v>13771.15</v>
      </c>
    </row>
    <row r="1702" spans="1:15" ht="11.25" customHeight="1" x14ac:dyDescent="0.2">
      <c r="A1702" s="210">
        <v>2023</v>
      </c>
      <c r="B1702" s="210">
        <v>8</v>
      </c>
      <c r="C1702" s="210">
        <v>31</v>
      </c>
      <c r="D1702" s="211">
        <f t="shared" si="134"/>
        <v>45169</v>
      </c>
      <c r="E1702" s="238">
        <f t="shared" si="136"/>
        <v>45169</v>
      </c>
      <c r="F1702" s="520" t="s">
        <v>1259</v>
      </c>
      <c r="G1702" s="213" t="s">
        <v>1245</v>
      </c>
      <c r="H1702" s="214"/>
      <c r="I1702" s="214" t="s">
        <v>1253</v>
      </c>
      <c r="J1702" s="210" t="s">
        <v>58</v>
      </c>
      <c r="K1702" s="215">
        <v>1558.31</v>
      </c>
      <c r="L1702" s="215"/>
      <c r="N1702" s="308"/>
    </row>
    <row r="1703" spans="1:15" ht="11.25" customHeight="1" x14ac:dyDescent="0.2">
      <c r="A1703" s="216">
        <v>2023</v>
      </c>
      <c r="B1703" s="216">
        <v>8</v>
      </c>
      <c r="C1703" s="216">
        <v>31</v>
      </c>
      <c r="D1703" s="217">
        <f t="shared" si="134"/>
        <v>45169</v>
      </c>
      <c r="E1703" s="239">
        <f t="shared" si="136"/>
        <v>45169</v>
      </c>
      <c r="F1703" s="521"/>
      <c r="G1703" s="219" t="s">
        <v>1245</v>
      </c>
      <c r="H1703" s="220"/>
      <c r="I1703" s="220" t="s">
        <v>1253</v>
      </c>
      <c r="J1703" s="216" t="s">
        <v>153</v>
      </c>
      <c r="K1703" s="221"/>
      <c r="L1703" s="221">
        <v>1558.31</v>
      </c>
    </row>
    <row r="1704" spans="1:15" ht="11.25" customHeight="1" x14ac:dyDescent="0.2">
      <c r="A1704" s="210">
        <v>2023</v>
      </c>
      <c r="B1704" s="210">
        <v>8</v>
      </c>
      <c r="C1704" s="210">
        <v>31</v>
      </c>
      <c r="D1704" s="211">
        <f t="shared" si="134"/>
        <v>45169</v>
      </c>
      <c r="E1704" s="238">
        <f t="shared" si="136"/>
        <v>45169</v>
      </c>
      <c r="F1704" s="520" t="s">
        <v>1255</v>
      </c>
      <c r="G1704" s="213" t="s">
        <v>1245</v>
      </c>
      <c r="H1704" s="214"/>
      <c r="I1704" s="214" t="s">
        <v>1253</v>
      </c>
      <c r="J1704" s="210" t="s">
        <v>113</v>
      </c>
      <c r="K1704" s="215">
        <v>44961.54</v>
      </c>
      <c r="L1704" s="215"/>
      <c r="M1704" s="251"/>
      <c r="O1704" s="130"/>
    </row>
    <row r="1705" spans="1:15" ht="11.25" customHeight="1" x14ac:dyDescent="0.2">
      <c r="A1705" s="216">
        <v>2023</v>
      </c>
      <c r="B1705" s="216">
        <v>8</v>
      </c>
      <c r="C1705" s="216">
        <v>31</v>
      </c>
      <c r="D1705" s="217">
        <f t="shared" si="134"/>
        <v>45169</v>
      </c>
      <c r="E1705" s="239">
        <f t="shared" si="136"/>
        <v>45169</v>
      </c>
      <c r="F1705" s="521"/>
      <c r="G1705" s="219" t="s">
        <v>1245</v>
      </c>
      <c r="H1705" s="220"/>
      <c r="I1705" s="220" t="s">
        <v>1253</v>
      </c>
      <c r="J1705" s="216" t="s">
        <v>153</v>
      </c>
      <c r="K1705" s="221"/>
      <c r="L1705" s="221">
        <v>44961.54</v>
      </c>
    </row>
    <row r="1706" spans="1:15" ht="11.25" customHeight="1" x14ac:dyDescent="0.2">
      <c r="A1706" s="210">
        <v>2023</v>
      </c>
      <c r="B1706" s="210">
        <v>8</v>
      </c>
      <c r="C1706" s="210">
        <v>31</v>
      </c>
      <c r="D1706" s="211">
        <f t="shared" si="134"/>
        <v>45169</v>
      </c>
      <c r="E1706" s="238">
        <f t="shared" si="136"/>
        <v>45169</v>
      </c>
      <c r="F1706" s="520" t="s">
        <v>1256</v>
      </c>
      <c r="G1706" s="213" t="s">
        <v>1245</v>
      </c>
      <c r="H1706" s="214"/>
      <c r="I1706" s="214" t="s">
        <v>1253</v>
      </c>
      <c r="J1706" s="210" t="s">
        <v>113</v>
      </c>
      <c r="K1706" s="215">
        <v>5925.93</v>
      </c>
      <c r="L1706" s="215"/>
      <c r="M1706" s="251"/>
      <c r="O1706" s="130"/>
    </row>
    <row r="1707" spans="1:15" ht="11.25" customHeight="1" x14ac:dyDescent="0.2">
      <c r="A1707" s="216">
        <v>2023</v>
      </c>
      <c r="B1707" s="216">
        <v>8</v>
      </c>
      <c r="C1707" s="216">
        <v>31</v>
      </c>
      <c r="D1707" s="217">
        <f t="shared" si="134"/>
        <v>45169</v>
      </c>
      <c r="E1707" s="239">
        <f t="shared" si="136"/>
        <v>45169</v>
      </c>
      <c r="F1707" s="521"/>
      <c r="G1707" s="219" t="s">
        <v>1245</v>
      </c>
      <c r="H1707" s="220"/>
      <c r="I1707" s="220" t="s">
        <v>1253</v>
      </c>
      <c r="J1707" s="216" t="s">
        <v>153</v>
      </c>
      <c r="K1707" s="221"/>
      <c r="L1707" s="221">
        <v>5925.93</v>
      </c>
    </row>
    <row r="1708" spans="1:15" ht="11.25" customHeight="1" x14ac:dyDescent="0.2">
      <c r="A1708" s="210">
        <v>2023</v>
      </c>
      <c r="B1708" s="210">
        <v>8</v>
      </c>
      <c r="C1708" s="210">
        <v>31</v>
      </c>
      <c r="D1708" s="211">
        <f t="shared" si="134"/>
        <v>45169</v>
      </c>
      <c r="E1708" s="238">
        <f t="shared" si="136"/>
        <v>45169</v>
      </c>
      <c r="F1708" s="520" t="s">
        <v>1257</v>
      </c>
      <c r="G1708" s="213" t="s">
        <v>1245</v>
      </c>
      <c r="H1708" s="214"/>
      <c r="I1708" s="214" t="s">
        <v>1253</v>
      </c>
      <c r="J1708" s="210" t="s">
        <v>113</v>
      </c>
      <c r="K1708" s="215">
        <v>27692.31</v>
      </c>
      <c r="L1708" s="215"/>
    </row>
    <row r="1709" spans="1:15" ht="11.25" customHeight="1" x14ac:dyDescent="0.2">
      <c r="A1709" s="216">
        <v>2023</v>
      </c>
      <c r="B1709" s="216">
        <v>8</v>
      </c>
      <c r="C1709" s="216">
        <v>31</v>
      </c>
      <c r="D1709" s="217">
        <f t="shared" si="134"/>
        <v>45169</v>
      </c>
      <c r="E1709" s="239">
        <f t="shared" si="136"/>
        <v>45169</v>
      </c>
      <c r="F1709" s="521"/>
      <c r="G1709" s="219" t="s">
        <v>1245</v>
      </c>
      <c r="H1709" s="220"/>
      <c r="I1709" s="220" t="s">
        <v>1253</v>
      </c>
      <c r="J1709" s="216" t="s">
        <v>153</v>
      </c>
      <c r="K1709" s="221"/>
      <c r="L1709" s="221">
        <v>27692.31</v>
      </c>
    </row>
    <row r="1710" spans="1:15" ht="11.25" customHeight="1" x14ac:dyDescent="0.2">
      <c r="A1710" s="259">
        <v>2023</v>
      </c>
      <c r="B1710" s="259">
        <v>8</v>
      </c>
      <c r="C1710" s="259">
        <v>31</v>
      </c>
      <c r="D1710" s="260">
        <f t="shared" si="134"/>
        <v>45169</v>
      </c>
      <c r="E1710" s="261">
        <f t="shared" si="136"/>
        <v>45169</v>
      </c>
      <c r="F1710" s="531" t="s">
        <v>1383</v>
      </c>
      <c r="G1710" s="262" t="s">
        <v>1245</v>
      </c>
      <c r="H1710" s="263"/>
      <c r="I1710" s="263" t="s">
        <v>1253</v>
      </c>
      <c r="J1710" s="259" t="s">
        <v>1476</v>
      </c>
      <c r="K1710" s="264">
        <v>15585.12222222218</v>
      </c>
      <c r="L1710" s="264"/>
    </row>
    <row r="1711" spans="1:15" ht="11.25" customHeight="1" x14ac:dyDescent="0.2">
      <c r="A1711" s="265">
        <v>2023</v>
      </c>
      <c r="B1711" s="265">
        <v>8</v>
      </c>
      <c r="C1711" s="265">
        <v>31</v>
      </c>
      <c r="D1711" s="266">
        <f t="shared" si="134"/>
        <v>45169</v>
      </c>
      <c r="E1711" s="267">
        <f t="shared" si="136"/>
        <v>45169</v>
      </c>
      <c r="F1711" s="532"/>
      <c r="G1711" s="268" t="s">
        <v>1245</v>
      </c>
      <c r="H1711" s="269"/>
      <c r="I1711" s="269" t="s">
        <v>1253</v>
      </c>
      <c r="J1711" s="265" t="s">
        <v>153</v>
      </c>
      <c r="K1711" s="270"/>
      <c r="L1711" s="270">
        <v>15585.12222222218</v>
      </c>
    </row>
    <row r="1712" spans="1:15" ht="11.25" customHeight="1" x14ac:dyDescent="0.2">
      <c r="A1712" s="259">
        <v>2023</v>
      </c>
      <c r="B1712" s="259">
        <v>8</v>
      </c>
      <c r="C1712" s="259">
        <v>31</v>
      </c>
      <c r="D1712" s="260">
        <f t="shared" si="134"/>
        <v>45169</v>
      </c>
      <c r="E1712" s="261">
        <f t="shared" si="136"/>
        <v>45169</v>
      </c>
      <c r="F1712" s="531" t="s">
        <v>1388</v>
      </c>
      <c r="G1712" s="262" t="s">
        <v>1245</v>
      </c>
      <c r="H1712" s="263"/>
      <c r="I1712" s="263" t="s">
        <v>1253</v>
      </c>
      <c r="J1712" s="259" t="s">
        <v>1476</v>
      </c>
      <c r="K1712" s="264">
        <v>12544.916666666666</v>
      </c>
      <c r="L1712" s="264"/>
    </row>
    <row r="1713" spans="1:12" ht="11.25" customHeight="1" x14ac:dyDescent="0.2">
      <c r="A1713" s="265">
        <v>2023</v>
      </c>
      <c r="B1713" s="265">
        <v>8</v>
      </c>
      <c r="C1713" s="265">
        <v>31</v>
      </c>
      <c r="D1713" s="266">
        <f t="shared" si="134"/>
        <v>45169</v>
      </c>
      <c r="E1713" s="267">
        <f t="shared" si="136"/>
        <v>45169</v>
      </c>
      <c r="F1713" s="532"/>
      <c r="G1713" s="268" t="s">
        <v>1245</v>
      </c>
      <c r="H1713" s="269"/>
      <c r="I1713" s="269" t="s">
        <v>1253</v>
      </c>
      <c r="J1713" s="265" t="s">
        <v>153</v>
      </c>
      <c r="K1713" s="270"/>
      <c r="L1713" s="270">
        <v>12544.916666666666</v>
      </c>
    </row>
    <row r="1714" spans="1:12" ht="11.25" customHeight="1" x14ac:dyDescent="0.2">
      <c r="A1714" s="259">
        <v>2023</v>
      </c>
      <c r="B1714" s="259">
        <v>8</v>
      </c>
      <c r="C1714" s="259">
        <v>31</v>
      </c>
      <c r="D1714" s="260">
        <f t="shared" si="134"/>
        <v>45169</v>
      </c>
      <c r="E1714" s="261">
        <f t="shared" si="136"/>
        <v>45169</v>
      </c>
      <c r="F1714" s="531" t="s">
        <v>1388</v>
      </c>
      <c r="G1714" s="262" t="s">
        <v>1245</v>
      </c>
      <c r="H1714" s="263"/>
      <c r="I1714" s="263" t="s">
        <v>1253</v>
      </c>
      <c r="J1714" s="259" t="s">
        <v>1476</v>
      </c>
      <c r="K1714" s="264">
        <v>10954.355555555576</v>
      </c>
      <c r="L1714" s="264"/>
    </row>
    <row r="1715" spans="1:12" ht="11.25" customHeight="1" x14ac:dyDescent="0.2">
      <c r="A1715" s="265">
        <v>2023</v>
      </c>
      <c r="B1715" s="265">
        <v>8</v>
      </c>
      <c r="C1715" s="265">
        <v>31</v>
      </c>
      <c r="D1715" s="266">
        <f t="shared" si="134"/>
        <v>45169</v>
      </c>
      <c r="E1715" s="267">
        <f t="shared" si="136"/>
        <v>45169</v>
      </c>
      <c r="F1715" s="532"/>
      <c r="G1715" s="268" t="s">
        <v>1245</v>
      </c>
      <c r="H1715" s="269"/>
      <c r="I1715" s="269" t="s">
        <v>1253</v>
      </c>
      <c r="J1715" s="265" t="s">
        <v>153</v>
      </c>
      <c r="K1715" s="270"/>
      <c r="L1715" s="270">
        <v>10954.355555555576</v>
      </c>
    </row>
    <row r="1716" spans="1:12" ht="11.25" customHeight="1" x14ac:dyDescent="0.2">
      <c r="A1716" s="259">
        <v>2023</v>
      </c>
      <c r="B1716" s="259">
        <v>8</v>
      </c>
      <c r="C1716" s="259">
        <v>31</v>
      </c>
      <c r="D1716" s="260">
        <f t="shared" si="134"/>
        <v>45169</v>
      </c>
      <c r="E1716" s="261">
        <f t="shared" si="136"/>
        <v>45169</v>
      </c>
      <c r="F1716" s="531" t="s">
        <v>1313</v>
      </c>
      <c r="G1716" s="262" t="s">
        <v>1245</v>
      </c>
      <c r="H1716" s="263"/>
      <c r="I1716" s="263" t="s">
        <v>1253</v>
      </c>
      <c r="J1716" s="259" t="s">
        <v>1476</v>
      </c>
      <c r="K1716" s="264">
        <v>8326.6666666666661</v>
      </c>
      <c r="L1716" s="264"/>
    </row>
    <row r="1717" spans="1:12" ht="11.25" customHeight="1" x14ac:dyDescent="0.2">
      <c r="A1717" s="265">
        <v>2023</v>
      </c>
      <c r="B1717" s="265">
        <v>8</v>
      </c>
      <c r="C1717" s="265">
        <v>31</v>
      </c>
      <c r="D1717" s="266">
        <f t="shared" si="134"/>
        <v>45169</v>
      </c>
      <c r="E1717" s="267">
        <f t="shared" si="136"/>
        <v>45169</v>
      </c>
      <c r="F1717" s="532"/>
      <c r="G1717" s="268" t="s">
        <v>1245</v>
      </c>
      <c r="H1717" s="269"/>
      <c r="I1717" s="269" t="s">
        <v>1253</v>
      </c>
      <c r="J1717" s="265" t="s">
        <v>153</v>
      </c>
      <c r="K1717" s="270"/>
      <c r="L1717" s="270">
        <v>8326.6666666666661</v>
      </c>
    </row>
    <row r="1718" spans="1:12" ht="11.25" customHeight="1" x14ac:dyDescent="0.2">
      <c r="A1718" s="259">
        <v>2023</v>
      </c>
      <c r="B1718" s="259">
        <v>8</v>
      </c>
      <c r="C1718" s="259">
        <v>31</v>
      </c>
      <c r="D1718" s="260">
        <f t="shared" si="134"/>
        <v>45169</v>
      </c>
      <c r="E1718" s="261">
        <f t="shared" si="136"/>
        <v>45169</v>
      </c>
      <c r="F1718" s="531" t="s">
        <v>1397</v>
      </c>
      <c r="G1718" s="262" t="s">
        <v>1245</v>
      </c>
      <c r="H1718" s="263"/>
      <c r="I1718" s="263" t="s">
        <v>1253</v>
      </c>
      <c r="J1718" s="259" t="s">
        <v>1476</v>
      </c>
      <c r="K1718" s="264">
        <v>3693.4422222222202</v>
      </c>
      <c r="L1718" s="264"/>
    </row>
    <row r="1719" spans="1:12" ht="11.25" customHeight="1" x14ac:dyDescent="0.2">
      <c r="A1719" s="265">
        <v>2023</v>
      </c>
      <c r="B1719" s="265">
        <v>8</v>
      </c>
      <c r="C1719" s="265">
        <v>31</v>
      </c>
      <c r="D1719" s="266">
        <f t="shared" si="134"/>
        <v>45169</v>
      </c>
      <c r="E1719" s="267">
        <f t="shared" si="136"/>
        <v>45169</v>
      </c>
      <c r="F1719" s="532"/>
      <c r="G1719" s="268" t="s">
        <v>1245</v>
      </c>
      <c r="H1719" s="269"/>
      <c r="I1719" s="269" t="s">
        <v>1253</v>
      </c>
      <c r="J1719" s="265" t="s">
        <v>153</v>
      </c>
      <c r="K1719" s="270"/>
      <c r="L1719" s="270">
        <v>3693.4422222222202</v>
      </c>
    </row>
    <row r="1720" spans="1:12" ht="11.25" customHeight="1" x14ac:dyDescent="0.2">
      <c r="A1720" s="259">
        <v>2023</v>
      </c>
      <c r="B1720" s="259">
        <v>8</v>
      </c>
      <c r="C1720" s="259">
        <v>31</v>
      </c>
      <c r="D1720" s="260">
        <f t="shared" si="134"/>
        <v>45169</v>
      </c>
      <c r="E1720" s="261">
        <f t="shared" si="136"/>
        <v>45169</v>
      </c>
      <c r="F1720" s="531" t="s">
        <v>1424</v>
      </c>
      <c r="G1720" s="262" t="s">
        <v>1245</v>
      </c>
      <c r="H1720" s="263"/>
      <c r="I1720" s="263" t="s">
        <v>1253</v>
      </c>
      <c r="J1720" s="259" t="s">
        <v>1476</v>
      </c>
      <c r="K1720" s="264">
        <v>6058.53</v>
      </c>
      <c r="L1720" s="264"/>
    </row>
    <row r="1721" spans="1:12" ht="11.25" customHeight="1" x14ac:dyDescent="0.2">
      <c r="A1721" s="265">
        <v>2023</v>
      </c>
      <c r="B1721" s="265">
        <v>8</v>
      </c>
      <c r="C1721" s="265">
        <v>31</v>
      </c>
      <c r="D1721" s="266">
        <f t="shared" si="134"/>
        <v>45169</v>
      </c>
      <c r="E1721" s="267">
        <f t="shared" si="136"/>
        <v>45169</v>
      </c>
      <c r="F1721" s="532"/>
      <c r="G1721" s="268" t="s">
        <v>1245</v>
      </c>
      <c r="H1721" s="269"/>
      <c r="I1721" s="269" t="s">
        <v>1253</v>
      </c>
      <c r="J1721" s="265" t="s">
        <v>153</v>
      </c>
      <c r="K1721" s="270"/>
      <c r="L1721" s="270">
        <v>6058.53</v>
      </c>
    </row>
    <row r="1722" spans="1:12" ht="11.25" customHeight="1" x14ac:dyDescent="0.2">
      <c r="A1722" s="259">
        <v>2023</v>
      </c>
      <c r="B1722" s="259">
        <v>8</v>
      </c>
      <c r="C1722" s="259">
        <v>31</v>
      </c>
      <c r="D1722" s="260">
        <f t="shared" si="134"/>
        <v>45169</v>
      </c>
      <c r="E1722" s="261">
        <f t="shared" si="136"/>
        <v>45169</v>
      </c>
      <c r="F1722" s="531" t="s">
        <v>1383</v>
      </c>
      <c r="G1722" s="262" t="s">
        <v>1245</v>
      </c>
      <c r="H1722" s="263"/>
      <c r="I1722" s="263" t="s">
        <v>1253</v>
      </c>
      <c r="J1722" s="259" t="s">
        <v>1476</v>
      </c>
      <c r="K1722" s="264">
        <v>6945.1</v>
      </c>
      <c r="L1722" s="264"/>
    </row>
    <row r="1723" spans="1:12" ht="11.25" customHeight="1" x14ac:dyDescent="0.2">
      <c r="A1723" s="265">
        <v>2023</v>
      </c>
      <c r="B1723" s="265">
        <v>8</v>
      </c>
      <c r="C1723" s="265">
        <v>31</v>
      </c>
      <c r="D1723" s="266">
        <f t="shared" si="134"/>
        <v>45169</v>
      </c>
      <c r="E1723" s="267">
        <f t="shared" si="136"/>
        <v>45169</v>
      </c>
      <c r="F1723" s="532"/>
      <c r="G1723" s="268" t="s">
        <v>1245</v>
      </c>
      <c r="H1723" s="269"/>
      <c r="I1723" s="269" t="s">
        <v>1253</v>
      </c>
      <c r="J1723" s="265" t="s">
        <v>153</v>
      </c>
      <c r="K1723" s="270"/>
      <c r="L1723" s="270">
        <v>6945.1</v>
      </c>
    </row>
    <row r="1724" spans="1:12" ht="11.25" customHeight="1" x14ac:dyDescent="0.2">
      <c r="A1724" s="259">
        <v>2023</v>
      </c>
      <c r="B1724" s="259">
        <v>8</v>
      </c>
      <c r="C1724" s="259">
        <v>31</v>
      </c>
      <c r="D1724" s="260">
        <f t="shared" si="134"/>
        <v>45169</v>
      </c>
      <c r="E1724" s="261">
        <f t="shared" si="136"/>
        <v>45169</v>
      </c>
      <c r="F1724" s="531" t="s">
        <v>1388</v>
      </c>
      <c r="G1724" s="262" t="s">
        <v>1245</v>
      </c>
      <c r="H1724" s="263"/>
      <c r="I1724" s="263" t="s">
        <v>1253</v>
      </c>
      <c r="J1724" s="259" t="s">
        <v>1476</v>
      </c>
      <c r="K1724" s="264">
        <v>3114.785555555537</v>
      </c>
      <c r="L1724" s="264"/>
    </row>
    <row r="1725" spans="1:12" ht="11.25" customHeight="1" x14ac:dyDescent="0.2">
      <c r="A1725" s="265">
        <v>2023</v>
      </c>
      <c r="B1725" s="265">
        <v>8</v>
      </c>
      <c r="C1725" s="265">
        <v>31</v>
      </c>
      <c r="D1725" s="266">
        <f t="shared" si="134"/>
        <v>45169</v>
      </c>
      <c r="E1725" s="267">
        <f t="shared" si="136"/>
        <v>45169</v>
      </c>
      <c r="F1725" s="532"/>
      <c r="G1725" s="268" t="s">
        <v>1245</v>
      </c>
      <c r="H1725" s="269"/>
      <c r="I1725" s="269" t="s">
        <v>1253</v>
      </c>
      <c r="J1725" s="265" t="s">
        <v>153</v>
      </c>
      <c r="K1725" s="270"/>
      <c r="L1725" s="270">
        <v>3114.785555555537</v>
      </c>
    </row>
    <row r="1726" spans="1:12" ht="11.25" customHeight="1" x14ac:dyDescent="0.2">
      <c r="A1726" s="259">
        <v>2023</v>
      </c>
      <c r="B1726" s="259">
        <v>8</v>
      </c>
      <c r="C1726" s="259">
        <v>31</v>
      </c>
      <c r="D1726" s="260">
        <f t="shared" si="134"/>
        <v>45169</v>
      </c>
      <c r="E1726" s="261">
        <f>DATE(A1726,B1726,C1726)</f>
        <v>45169</v>
      </c>
      <c r="F1726" s="531" t="s">
        <v>1359</v>
      </c>
      <c r="G1726" s="262" t="s">
        <v>1245</v>
      </c>
      <c r="H1726" s="263"/>
      <c r="I1726" s="263" t="s">
        <v>1253</v>
      </c>
      <c r="J1726" s="259" t="s">
        <v>1476</v>
      </c>
      <c r="K1726" s="264">
        <v>8341.8499999999385</v>
      </c>
      <c r="L1726" s="264"/>
    </row>
    <row r="1727" spans="1:12" ht="11.25" customHeight="1" x14ac:dyDescent="0.2">
      <c r="A1727" s="265">
        <v>2023</v>
      </c>
      <c r="B1727" s="265">
        <v>8</v>
      </c>
      <c r="C1727" s="265">
        <v>31</v>
      </c>
      <c r="D1727" s="266">
        <f t="shared" si="134"/>
        <v>45169</v>
      </c>
      <c r="E1727" s="267">
        <f>DATE(A1727,B1727,C1727)</f>
        <v>45169</v>
      </c>
      <c r="F1727" s="532"/>
      <c r="G1727" s="268" t="s">
        <v>1245</v>
      </c>
      <c r="H1727" s="269"/>
      <c r="I1727" s="269" t="s">
        <v>1253</v>
      </c>
      <c r="J1727" s="265" t="s">
        <v>153</v>
      </c>
      <c r="K1727" s="270"/>
      <c r="L1727" s="270">
        <v>8341.8499999999385</v>
      </c>
    </row>
    <row r="1728" spans="1:12" ht="11.25" customHeight="1" x14ac:dyDescent="0.2">
      <c r="A1728" s="222">
        <v>2023</v>
      </c>
      <c r="B1728" s="222">
        <v>8</v>
      </c>
      <c r="C1728" s="222">
        <v>31</v>
      </c>
      <c r="D1728" s="223">
        <f t="shared" si="134"/>
        <v>45169</v>
      </c>
      <c r="E1728" s="240">
        <f t="shared" si="136"/>
        <v>45169</v>
      </c>
      <c r="F1728" s="511" t="s">
        <v>1244</v>
      </c>
      <c r="G1728" s="225" t="s">
        <v>1245</v>
      </c>
      <c r="H1728" s="226"/>
      <c r="I1728" s="226" t="s">
        <v>1253</v>
      </c>
      <c r="J1728" s="222" t="s">
        <v>87</v>
      </c>
      <c r="K1728" s="227">
        <v>12243.071904759854</v>
      </c>
      <c r="L1728" s="227"/>
    </row>
    <row r="1729" spans="1:12" ht="11.25" customHeight="1" x14ac:dyDescent="0.2">
      <c r="A1729" s="228">
        <v>2023</v>
      </c>
      <c r="B1729" s="228">
        <v>8</v>
      </c>
      <c r="C1729" s="228">
        <v>31</v>
      </c>
      <c r="D1729" s="229">
        <f t="shared" si="134"/>
        <v>45169</v>
      </c>
      <c r="E1729" s="241">
        <f t="shared" si="136"/>
        <v>45169</v>
      </c>
      <c r="F1729" s="512"/>
      <c r="G1729" s="231" t="s">
        <v>1245</v>
      </c>
      <c r="H1729" s="232"/>
      <c r="I1729" s="232" t="s">
        <v>1253</v>
      </c>
      <c r="J1729" s="228" t="s">
        <v>72</v>
      </c>
      <c r="K1729" s="233"/>
      <c r="L1729" s="233">
        <v>12243.071904759854</v>
      </c>
    </row>
    <row r="1730" spans="1:12" ht="11.25" customHeight="1" x14ac:dyDescent="0.2">
      <c r="A1730" s="222">
        <v>2023</v>
      </c>
      <c r="B1730" s="222">
        <v>8</v>
      </c>
      <c r="C1730" s="222">
        <v>31</v>
      </c>
      <c r="D1730" s="223">
        <f t="shared" si="134"/>
        <v>45169</v>
      </c>
      <c r="E1730" s="240">
        <f t="shared" si="136"/>
        <v>45169</v>
      </c>
      <c r="F1730" s="511" t="s">
        <v>1246</v>
      </c>
      <c r="G1730" s="225" t="s">
        <v>1245</v>
      </c>
      <c r="H1730" s="226"/>
      <c r="I1730" s="226" t="s">
        <v>1253</v>
      </c>
      <c r="J1730" s="222" t="s">
        <v>75</v>
      </c>
      <c r="K1730" s="227">
        <v>3623.123846153846</v>
      </c>
      <c r="L1730" s="227"/>
    </row>
    <row r="1731" spans="1:12" ht="11.25" customHeight="1" x14ac:dyDescent="0.2">
      <c r="A1731" s="228">
        <v>2023</v>
      </c>
      <c r="B1731" s="228">
        <v>8</v>
      </c>
      <c r="C1731" s="228">
        <v>31</v>
      </c>
      <c r="D1731" s="229">
        <f t="shared" si="134"/>
        <v>45169</v>
      </c>
      <c r="E1731" s="241">
        <f t="shared" si="136"/>
        <v>45169</v>
      </c>
      <c r="F1731" s="512"/>
      <c r="G1731" s="231" t="s">
        <v>1245</v>
      </c>
      <c r="H1731" s="232"/>
      <c r="I1731" s="232" t="s">
        <v>1253</v>
      </c>
      <c r="J1731" s="228" t="s">
        <v>55</v>
      </c>
      <c r="K1731" s="233"/>
      <c r="L1731" s="233">
        <v>3623.123846153846</v>
      </c>
    </row>
    <row r="1732" spans="1:12" ht="11.25" customHeight="1" x14ac:dyDescent="0.2">
      <c r="A1732" s="222">
        <v>2023</v>
      </c>
      <c r="B1732" s="222">
        <v>8</v>
      </c>
      <c r="C1732" s="222">
        <v>31</v>
      </c>
      <c r="D1732" s="223">
        <f t="shared" si="134"/>
        <v>45169</v>
      </c>
      <c r="E1732" s="240">
        <f t="shared" si="136"/>
        <v>45169</v>
      </c>
      <c r="F1732" s="511" t="s">
        <v>1247</v>
      </c>
      <c r="G1732" s="225" t="s">
        <v>1245</v>
      </c>
      <c r="H1732" s="226"/>
      <c r="I1732" s="226" t="s">
        <v>1253</v>
      </c>
      <c r="J1732" s="222" t="s">
        <v>77</v>
      </c>
      <c r="K1732" s="227"/>
      <c r="L1732" s="227"/>
    </row>
    <row r="1733" spans="1:12" ht="11.25" customHeight="1" x14ac:dyDescent="0.2">
      <c r="A1733" s="228">
        <v>2023</v>
      </c>
      <c r="B1733" s="228">
        <v>8</v>
      </c>
      <c r="C1733" s="228">
        <v>31</v>
      </c>
      <c r="D1733" s="229">
        <f t="shared" si="134"/>
        <v>45169</v>
      </c>
      <c r="E1733" s="241">
        <f t="shared" si="136"/>
        <v>45169</v>
      </c>
      <c r="F1733" s="512"/>
      <c r="G1733" s="231" t="s">
        <v>1245</v>
      </c>
      <c r="H1733" s="232"/>
      <c r="I1733" s="232" t="s">
        <v>1253</v>
      </c>
      <c r="J1733" s="228" t="s">
        <v>41</v>
      </c>
      <c r="K1733" s="233"/>
      <c r="L1733" s="233"/>
    </row>
    <row r="1734" spans="1:12" ht="11.25" customHeight="1" x14ac:dyDescent="0.2">
      <c r="A1734" s="222">
        <v>2023</v>
      </c>
      <c r="B1734" s="222">
        <v>8</v>
      </c>
      <c r="C1734" s="222">
        <v>31</v>
      </c>
      <c r="D1734" s="223">
        <f t="shared" si="134"/>
        <v>45169</v>
      </c>
      <c r="E1734" s="240">
        <f t="shared" si="136"/>
        <v>45169</v>
      </c>
      <c r="F1734" s="511" t="s">
        <v>1248</v>
      </c>
      <c r="G1734" s="225" t="s">
        <v>1245</v>
      </c>
      <c r="H1734" s="226"/>
      <c r="I1734" s="226" t="s">
        <v>1253</v>
      </c>
      <c r="J1734" s="222" t="s">
        <v>80</v>
      </c>
      <c r="K1734" s="227">
        <v>1268.1298306346548</v>
      </c>
      <c r="L1734" s="227"/>
    </row>
    <row r="1735" spans="1:12" ht="11.25" customHeight="1" x14ac:dyDescent="0.2">
      <c r="A1735" s="228">
        <v>2023</v>
      </c>
      <c r="B1735" s="228">
        <v>8</v>
      </c>
      <c r="C1735" s="228">
        <v>31</v>
      </c>
      <c r="D1735" s="229">
        <f t="shared" si="134"/>
        <v>45169</v>
      </c>
      <c r="E1735" s="241">
        <f t="shared" si="136"/>
        <v>45169</v>
      </c>
      <c r="F1735" s="512"/>
      <c r="G1735" s="231" t="s">
        <v>1245</v>
      </c>
      <c r="H1735" s="232"/>
      <c r="I1735" s="232" t="s">
        <v>1253</v>
      </c>
      <c r="J1735" s="228" t="s">
        <v>42</v>
      </c>
      <c r="K1735" s="233"/>
      <c r="L1735" s="233">
        <v>1268.1298306346548</v>
      </c>
    </row>
    <row r="1736" spans="1:12" ht="11.25" customHeight="1" x14ac:dyDescent="0.2">
      <c r="A1736" s="197">
        <v>2023</v>
      </c>
      <c r="B1736" s="197">
        <v>9</v>
      </c>
      <c r="C1736" s="197">
        <v>3</v>
      </c>
      <c r="D1736" s="198">
        <f t="shared" si="134"/>
        <v>45172</v>
      </c>
      <c r="E1736" s="209">
        <f t="shared" si="136"/>
        <v>45172</v>
      </c>
      <c r="F1736" s="513" t="s">
        <v>1280</v>
      </c>
      <c r="G1736" s="200" t="s">
        <v>1209</v>
      </c>
      <c r="H1736" s="201"/>
      <c r="I1736" s="201" t="s">
        <v>569</v>
      </c>
      <c r="J1736" s="197" t="s">
        <v>16</v>
      </c>
      <c r="K1736" s="202">
        <v>220320</v>
      </c>
      <c r="L1736" s="202"/>
    </row>
    <row r="1737" spans="1:12" ht="11.25" customHeight="1" x14ac:dyDescent="0.2">
      <c r="A1737" s="120">
        <v>2023</v>
      </c>
      <c r="B1737" s="120">
        <v>9</v>
      </c>
      <c r="C1737" s="120">
        <v>3</v>
      </c>
      <c r="D1737" s="208">
        <f t="shared" si="134"/>
        <v>45172</v>
      </c>
      <c r="E1737" s="209">
        <f t="shared" si="136"/>
        <v>45172</v>
      </c>
      <c r="F1737" s="515"/>
      <c r="G1737" s="132" t="s">
        <v>1209</v>
      </c>
      <c r="I1737" s="128" t="s">
        <v>569</v>
      </c>
      <c r="J1737" s="120" t="s">
        <v>47</v>
      </c>
      <c r="K1737" s="207">
        <v>9669.0599999999977</v>
      </c>
      <c r="L1737" s="207"/>
    </row>
    <row r="1738" spans="1:12" ht="11.25" customHeight="1" x14ac:dyDescent="0.2">
      <c r="A1738" s="191">
        <v>2023</v>
      </c>
      <c r="B1738" s="191">
        <v>9</v>
      </c>
      <c r="C1738" s="191">
        <v>3</v>
      </c>
      <c r="D1738" s="192">
        <f t="shared" si="134"/>
        <v>45172</v>
      </c>
      <c r="E1738" s="193">
        <f t="shared" si="136"/>
        <v>45172</v>
      </c>
      <c r="F1738" s="514"/>
      <c r="G1738" s="194" t="s">
        <v>1209</v>
      </c>
      <c r="H1738" s="195"/>
      <c r="I1738" s="195" t="s">
        <v>569</v>
      </c>
      <c r="J1738" s="191" t="s">
        <v>46</v>
      </c>
      <c r="K1738" s="196"/>
      <c r="L1738" s="196">
        <v>229989.06</v>
      </c>
    </row>
    <row r="1739" spans="1:12" ht="11.25" customHeight="1" x14ac:dyDescent="0.2">
      <c r="A1739" s="197">
        <v>2023</v>
      </c>
      <c r="B1739" s="197">
        <v>9</v>
      </c>
      <c r="C1739" s="197">
        <v>4</v>
      </c>
      <c r="D1739" s="198">
        <f t="shared" si="134"/>
        <v>45173</v>
      </c>
      <c r="E1739" s="209">
        <f t="shared" si="136"/>
        <v>45173</v>
      </c>
      <c r="F1739" s="513" t="s">
        <v>1210</v>
      </c>
      <c r="G1739" s="200" t="s">
        <v>1209</v>
      </c>
      <c r="H1739" s="201"/>
      <c r="I1739" s="201" t="s">
        <v>384</v>
      </c>
      <c r="J1739" s="197" t="s">
        <v>46</v>
      </c>
      <c r="K1739" s="202">
        <v>100000</v>
      </c>
      <c r="L1739" s="202"/>
    </row>
    <row r="1740" spans="1:12" ht="11.25" customHeight="1" x14ac:dyDescent="0.2">
      <c r="A1740" s="120">
        <v>2023</v>
      </c>
      <c r="B1740" s="120">
        <v>9</v>
      </c>
      <c r="C1740" s="120">
        <v>4</v>
      </c>
      <c r="D1740" s="208">
        <f t="shared" si="134"/>
        <v>45173</v>
      </c>
      <c r="E1740" s="209">
        <f t="shared" si="136"/>
        <v>45173</v>
      </c>
      <c r="F1740" s="515"/>
      <c r="G1740" s="132" t="s">
        <v>1209</v>
      </c>
      <c r="I1740" s="128" t="s">
        <v>384</v>
      </c>
      <c r="J1740" s="120" t="s">
        <v>16</v>
      </c>
      <c r="K1740" s="207"/>
      <c r="L1740" s="207">
        <v>95790</v>
      </c>
    </row>
    <row r="1741" spans="1:12" ht="11.25" customHeight="1" x14ac:dyDescent="0.2">
      <c r="A1741" s="191">
        <v>2023</v>
      </c>
      <c r="B1741" s="191">
        <v>9</v>
      </c>
      <c r="C1741" s="191">
        <v>4</v>
      </c>
      <c r="D1741" s="192">
        <f t="shared" si="134"/>
        <v>45173</v>
      </c>
      <c r="E1741" s="193">
        <f t="shared" si="136"/>
        <v>45173</v>
      </c>
      <c r="F1741" s="514"/>
      <c r="G1741" s="194" t="s">
        <v>1209</v>
      </c>
      <c r="H1741" s="195"/>
      <c r="I1741" s="195" t="s">
        <v>384</v>
      </c>
      <c r="J1741" s="191" t="s">
        <v>47</v>
      </c>
      <c r="K1741" s="196"/>
      <c r="L1741" s="196">
        <v>4210</v>
      </c>
    </row>
    <row r="1742" spans="1:12" ht="11.25" customHeight="1" x14ac:dyDescent="0.2">
      <c r="A1742" s="197">
        <v>2023</v>
      </c>
      <c r="B1742" s="197">
        <v>9</v>
      </c>
      <c r="C1742" s="197">
        <v>4</v>
      </c>
      <c r="D1742" s="198">
        <f t="shared" si="134"/>
        <v>45173</v>
      </c>
      <c r="E1742" s="199">
        <f t="shared" si="136"/>
        <v>45173</v>
      </c>
      <c r="F1742" s="513" t="s">
        <v>1323</v>
      </c>
      <c r="G1742" s="200" t="s">
        <v>1209</v>
      </c>
      <c r="H1742" s="201"/>
      <c r="I1742" s="201"/>
      <c r="J1742" s="197" t="s">
        <v>54</v>
      </c>
      <c r="K1742" s="202">
        <v>10</v>
      </c>
      <c r="L1742" s="202"/>
    </row>
    <row r="1743" spans="1:12" ht="11.25" customHeight="1" x14ac:dyDescent="0.2">
      <c r="A1743" s="191">
        <v>2023</v>
      </c>
      <c r="B1743" s="191">
        <v>9</v>
      </c>
      <c r="C1743" s="191">
        <v>4</v>
      </c>
      <c r="D1743" s="192">
        <f t="shared" si="134"/>
        <v>45173</v>
      </c>
      <c r="E1743" s="193">
        <f t="shared" si="136"/>
        <v>45173</v>
      </c>
      <c r="F1743" s="514"/>
      <c r="G1743" s="194" t="s">
        <v>1209</v>
      </c>
      <c r="H1743" s="195"/>
      <c r="I1743" s="195"/>
      <c r="J1743" s="191" t="s">
        <v>46</v>
      </c>
      <c r="K1743" s="196"/>
      <c r="L1743" s="196">
        <v>10</v>
      </c>
    </row>
    <row r="1744" spans="1:12" ht="11.25" customHeight="1" x14ac:dyDescent="0.2">
      <c r="A1744" s="197">
        <v>2023</v>
      </c>
      <c r="B1744" s="197">
        <v>9</v>
      </c>
      <c r="C1744" s="197">
        <v>5</v>
      </c>
      <c r="D1744" s="198">
        <f t="shared" si="134"/>
        <v>45174</v>
      </c>
      <c r="E1744" s="209">
        <f t="shared" si="136"/>
        <v>45174</v>
      </c>
      <c r="F1744" s="513" t="s">
        <v>1210</v>
      </c>
      <c r="G1744" s="200" t="s">
        <v>1209</v>
      </c>
      <c r="H1744" s="201"/>
      <c r="I1744" s="201" t="s">
        <v>436</v>
      </c>
      <c r="J1744" s="197" t="s">
        <v>46</v>
      </c>
      <c r="K1744" s="202">
        <v>250000</v>
      </c>
      <c r="L1744" s="202"/>
    </row>
    <row r="1745" spans="1:12" ht="11.25" customHeight="1" x14ac:dyDescent="0.2">
      <c r="A1745" s="120">
        <v>2023</v>
      </c>
      <c r="B1745" s="120">
        <v>9</v>
      </c>
      <c r="C1745" s="120">
        <v>5</v>
      </c>
      <c r="D1745" s="208">
        <f t="shared" si="134"/>
        <v>45174</v>
      </c>
      <c r="E1745" s="209">
        <f t="shared" si="136"/>
        <v>45174</v>
      </c>
      <c r="F1745" s="515"/>
      <c r="G1745" s="132" t="s">
        <v>1209</v>
      </c>
      <c r="I1745" s="128" t="s">
        <v>436</v>
      </c>
      <c r="J1745" s="120" t="s">
        <v>16</v>
      </c>
      <c r="K1745" s="207"/>
      <c r="L1745" s="207">
        <v>239490</v>
      </c>
    </row>
    <row r="1746" spans="1:12" ht="11.25" customHeight="1" x14ac:dyDescent="0.2">
      <c r="A1746" s="191">
        <v>2023</v>
      </c>
      <c r="B1746" s="191">
        <v>9</v>
      </c>
      <c r="C1746" s="191">
        <v>5</v>
      </c>
      <c r="D1746" s="192">
        <f t="shared" si="134"/>
        <v>45174</v>
      </c>
      <c r="E1746" s="193">
        <f t="shared" si="136"/>
        <v>45174</v>
      </c>
      <c r="F1746" s="514"/>
      <c r="G1746" s="194" t="s">
        <v>1209</v>
      </c>
      <c r="H1746" s="195"/>
      <c r="I1746" s="195" t="s">
        <v>436</v>
      </c>
      <c r="J1746" s="191" t="s">
        <v>47</v>
      </c>
      <c r="K1746" s="196"/>
      <c r="L1746" s="196">
        <v>10510</v>
      </c>
    </row>
    <row r="1747" spans="1:12" ht="11.25" customHeight="1" x14ac:dyDescent="0.2">
      <c r="A1747" s="197">
        <v>2023</v>
      </c>
      <c r="B1747" s="197">
        <v>9</v>
      </c>
      <c r="C1747" s="197">
        <v>5</v>
      </c>
      <c r="D1747" s="198">
        <f t="shared" ref="D1747:D1808" si="137">DATE(A1747,B1747,C1747)</f>
        <v>45174</v>
      </c>
      <c r="E1747" s="209">
        <f t="shared" si="136"/>
        <v>45174</v>
      </c>
      <c r="F1747" s="513" t="s">
        <v>1296</v>
      </c>
      <c r="G1747" s="200" t="s">
        <v>1209</v>
      </c>
      <c r="H1747" s="201"/>
      <c r="I1747" s="201"/>
      <c r="J1747" s="197" t="s">
        <v>46</v>
      </c>
      <c r="K1747" s="202">
        <v>138000</v>
      </c>
      <c r="L1747" s="202"/>
    </row>
    <row r="1748" spans="1:12" ht="11.25" customHeight="1" x14ac:dyDescent="0.2">
      <c r="A1748" s="120">
        <v>2023</v>
      </c>
      <c r="B1748" s="120">
        <v>9</v>
      </c>
      <c r="C1748" s="120">
        <v>5</v>
      </c>
      <c r="D1748" s="208">
        <f t="shared" si="137"/>
        <v>45174</v>
      </c>
      <c r="E1748" s="209">
        <f t="shared" si="136"/>
        <v>45174</v>
      </c>
      <c r="F1748" s="515"/>
      <c r="G1748" s="132" t="s">
        <v>1209</v>
      </c>
      <c r="J1748" s="120" t="s">
        <v>16</v>
      </c>
      <c r="K1748" s="207"/>
      <c r="L1748" s="207">
        <v>132210</v>
      </c>
    </row>
    <row r="1749" spans="1:12" ht="11.25" customHeight="1" x14ac:dyDescent="0.2">
      <c r="A1749" s="191">
        <v>2023</v>
      </c>
      <c r="B1749" s="191">
        <v>9</v>
      </c>
      <c r="C1749" s="191">
        <v>5</v>
      </c>
      <c r="D1749" s="192">
        <f t="shared" si="137"/>
        <v>45174</v>
      </c>
      <c r="E1749" s="193">
        <f t="shared" si="136"/>
        <v>45174</v>
      </c>
      <c r="F1749" s="514"/>
      <c r="G1749" s="194" t="s">
        <v>1209</v>
      </c>
      <c r="H1749" s="195"/>
      <c r="I1749" s="195"/>
      <c r="J1749" s="191" t="s">
        <v>47</v>
      </c>
      <c r="K1749" s="196"/>
      <c r="L1749" s="196">
        <v>5790</v>
      </c>
    </row>
    <row r="1750" spans="1:12" ht="11.25" customHeight="1" x14ac:dyDescent="0.2">
      <c r="A1750" s="197">
        <v>2023</v>
      </c>
      <c r="B1750" s="197">
        <v>9</v>
      </c>
      <c r="C1750" s="197">
        <v>7</v>
      </c>
      <c r="D1750" s="198">
        <f t="shared" si="137"/>
        <v>45176</v>
      </c>
      <c r="E1750" s="209">
        <f t="shared" si="136"/>
        <v>45176</v>
      </c>
      <c r="F1750" s="513" t="s">
        <v>1296</v>
      </c>
      <c r="G1750" s="200" t="s">
        <v>1209</v>
      </c>
      <c r="H1750" s="201"/>
      <c r="I1750" s="201"/>
      <c r="J1750" s="197" t="s">
        <v>46</v>
      </c>
      <c r="K1750" s="202">
        <v>150000</v>
      </c>
      <c r="L1750" s="202"/>
    </row>
    <row r="1751" spans="1:12" ht="11.25" customHeight="1" x14ac:dyDescent="0.2">
      <c r="A1751" s="120">
        <v>2023</v>
      </c>
      <c r="B1751" s="120">
        <v>9</v>
      </c>
      <c r="C1751" s="120">
        <v>7</v>
      </c>
      <c r="D1751" s="208">
        <f t="shared" si="137"/>
        <v>45176</v>
      </c>
      <c r="E1751" s="209">
        <f t="shared" si="136"/>
        <v>45176</v>
      </c>
      <c r="F1751" s="515"/>
      <c r="G1751" s="132" t="s">
        <v>1209</v>
      </c>
      <c r="J1751" s="120" t="s">
        <v>16</v>
      </c>
      <c r="K1751" s="207"/>
      <c r="L1751" s="207">
        <v>143700</v>
      </c>
    </row>
    <row r="1752" spans="1:12" ht="11.25" customHeight="1" x14ac:dyDescent="0.2">
      <c r="A1752" s="191">
        <v>2023</v>
      </c>
      <c r="B1752" s="191">
        <v>9</v>
      </c>
      <c r="C1752" s="191">
        <v>7</v>
      </c>
      <c r="D1752" s="192">
        <f t="shared" si="137"/>
        <v>45176</v>
      </c>
      <c r="E1752" s="193">
        <f t="shared" si="136"/>
        <v>45176</v>
      </c>
      <c r="F1752" s="514"/>
      <c r="G1752" s="194" t="s">
        <v>1209</v>
      </c>
      <c r="H1752" s="195"/>
      <c r="I1752" s="195"/>
      <c r="J1752" s="191" t="s">
        <v>47</v>
      </c>
      <c r="K1752" s="196"/>
      <c r="L1752" s="196">
        <v>6300</v>
      </c>
    </row>
    <row r="1753" spans="1:12" ht="11.25" customHeight="1" x14ac:dyDescent="0.2">
      <c r="A1753" s="210">
        <v>2023</v>
      </c>
      <c r="B1753" s="210">
        <v>9</v>
      </c>
      <c r="C1753" s="210">
        <v>7</v>
      </c>
      <c r="D1753" s="211">
        <f t="shared" si="137"/>
        <v>45176</v>
      </c>
      <c r="E1753" s="238">
        <f t="shared" si="136"/>
        <v>45176</v>
      </c>
      <c r="F1753" s="520" t="s">
        <v>1278</v>
      </c>
      <c r="G1753" s="213" t="s">
        <v>1245</v>
      </c>
      <c r="H1753" s="214"/>
      <c r="I1753" s="214" t="s">
        <v>1253</v>
      </c>
      <c r="J1753" s="210" t="s">
        <v>1529</v>
      </c>
      <c r="K1753" s="215">
        <v>6512.28</v>
      </c>
      <c r="L1753" s="215"/>
    </row>
    <row r="1754" spans="1:12" ht="11.25" customHeight="1" x14ac:dyDescent="0.2">
      <c r="A1754" s="216">
        <v>2023</v>
      </c>
      <c r="B1754" s="216">
        <v>9</v>
      </c>
      <c r="C1754" s="216">
        <v>7</v>
      </c>
      <c r="D1754" s="217">
        <f t="shared" si="137"/>
        <v>45176</v>
      </c>
      <c r="E1754" s="239">
        <f t="shared" si="136"/>
        <v>45176</v>
      </c>
      <c r="F1754" s="521"/>
      <c r="G1754" s="219" t="s">
        <v>1245</v>
      </c>
      <c r="H1754" s="220"/>
      <c r="I1754" s="220" t="s">
        <v>1253</v>
      </c>
      <c r="J1754" s="216" t="s">
        <v>1581</v>
      </c>
      <c r="K1754" s="221"/>
      <c r="L1754" s="221">
        <v>6512.28</v>
      </c>
    </row>
    <row r="1755" spans="1:12" ht="11.25" customHeight="1" x14ac:dyDescent="0.2">
      <c r="A1755" s="210">
        <v>2023</v>
      </c>
      <c r="B1755" s="210">
        <v>9</v>
      </c>
      <c r="C1755" s="210">
        <v>7</v>
      </c>
      <c r="D1755" s="211">
        <f t="shared" si="137"/>
        <v>45176</v>
      </c>
      <c r="E1755" s="238">
        <f t="shared" ref="E1755" si="138">DATE(A1755,B1755,C1755)</f>
        <v>45176</v>
      </c>
      <c r="F1755" s="520" t="s">
        <v>1285</v>
      </c>
      <c r="G1755" s="213" t="s">
        <v>1245</v>
      </c>
      <c r="H1755" s="214"/>
      <c r="I1755" s="214" t="s">
        <v>1253</v>
      </c>
      <c r="J1755" s="210" t="s">
        <v>1284</v>
      </c>
      <c r="K1755" s="215">
        <v>13771.15</v>
      </c>
      <c r="L1755" s="215"/>
    </row>
    <row r="1756" spans="1:12" ht="11.25" customHeight="1" x14ac:dyDescent="0.2">
      <c r="A1756" s="242">
        <v>2023</v>
      </c>
      <c r="B1756" s="216">
        <v>9</v>
      </c>
      <c r="C1756" s="216">
        <v>7</v>
      </c>
      <c r="D1756" s="243">
        <f t="shared" si="137"/>
        <v>45176</v>
      </c>
      <c r="E1756" s="244">
        <f>DATE(A1756,B1756,C1756)</f>
        <v>45176</v>
      </c>
      <c r="F1756" s="524"/>
      <c r="G1756" s="245" t="s">
        <v>1245</v>
      </c>
      <c r="H1756" s="246"/>
      <c r="I1756" s="246"/>
      <c r="J1756" s="242" t="s">
        <v>1582</v>
      </c>
      <c r="K1756" s="247"/>
      <c r="L1756" s="247">
        <v>13771.15</v>
      </c>
    </row>
    <row r="1757" spans="1:12" ht="11.25" customHeight="1" x14ac:dyDescent="0.2">
      <c r="A1757" s="210">
        <v>2023</v>
      </c>
      <c r="B1757" s="210">
        <v>9</v>
      </c>
      <c r="C1757" s="210">
        <v>7</v>
      </c>
      <c r="D1757" s="211">
        <f t="shared" si="137"/>
        <v>45176</v>
      </c>
      <c r="E1757" s="238">
        <f t="shared" ref="E1757:E1804" si="139">DATE(A1757,B1757,C1757)</f>
        <v>45176</v>
      </c>
      <c r="F1757" s="520" t="s">
        <v>1259</v>
      </c>
      <c r="G1757" s="213" t="s">
        <v>1245</v>
      </c>
      <c r="H1757" s="214"/>
      <c r="I1757" s="214" t="s">
        <v>1253</v>
      </c>
      <c r="J1757" s="210" t="s">
        <v>58</v>
      </c>
      <c r="K1757" s="215">
        <v>1930.36</v>
      </c>
      <c r="L1757" s="215"/>
    </row>
    <row r="1758" spans="1:12" ht="11.25" customHeight="1" x14ac:dyDescent="0.2">
      <c r="A1758" s="216">
        <v>2023</v>
      </c>
      <c r="B1758" s="216">
        <v>9</v>
      </c>
      <c r="C1758" s="216">
        <v>7</v>
      </c>
      <c r="D1758" s="217">
        <f t="shared" si="137"/>
        <v>45176</v>
      </c>
      <c r="E1758" s="239">
        <f t="shared" si="139"/>
        <v>45176</v>
      </c>
      <c r="F1758" s="521"/>
      <c r="G1758" s="219" t="s">
        <v>1245</v>
      </c>
      <c r="H1758" s="220"/>
      <c r="I1758" s="220" t="s">
        <v>1253</v>
      </c>
      <c r="J1758" s="216" t="s">
        <v>153</v>
      </c>
      <c r="K1758" s="221"/>
      <c r="L1758" s="221">
        <v>1930.36</v>
      </c>
    </row>
    <row r="1759" spans="1:12" ht="11.25" customHeight="1" x14ac:dyDescent="0.2">
      <c r="A1759" s="210">
        <v>2023</v>
      </c>
      <c r="B1759" s="210">
        <v>9</v>
      </c>
      <c r="C1759" s="210">
        <v>7</v>
      </c>
      <c r="D1759" s="211">
        <f t="shared" si="137"/>
        <v>45176</v>
      </c>
      <c r="E1759" s="238">
        <f t="shared" si="139"/>
        <v>45176</v>
      </c>
      <c r="F1759" s="520" t="s">
        <v>1255</v>
      </c>
      <c r="G1759" s="213" t="s">
        <v>1245</v>
      </c>
      <c r="H1759" s="214"/>
      <c r="I1759" s="214" t="s">
        <v>1253</v>
      </c>
      <c r="J1759" s="210" t="s">
        <v>113</v>
      </c>
      <c r="K1759" s="215">
        <v>44961.54</v>
      </c>
      <c r="L1759" s="215"/>
    </row>
    <row r="1760" spans="1:12" ht="11.25" customHeight="1" x14ac:dyDescent="0.2">
      <c r="A1760" s="216">
        <v>2023</v>
      </c>
      <c r="B1760" s="216">
        <v>9</v>
      </c>
      <c r="C1760" s="216">
        <v>7</v>
      </c>
      <c r="D1760" s="217">
        <f t="shared" si="137"/>
        <v>45176</v>
      </c>
      <c r="E1760" s="239">
        <f t="shared" si="139"/>
        <v>45176</v>
      </c>
      <c r="F1760" s="521"/>
      <c r="G1760" s="219" t="s">
        <v>1245</v>
      </c>
      <c r="H1760" s="220"/>
      <c r="I1760" s="220" t="s">
        <v>1253</v>
      </c>
      <c r="J1760" s="216" t="s">
        <v>153</v>
      </c>
      <c r="K1760" s="221"/>
      <c r="L1760" s="221">
        <v>44961.54</v>
      </c>
    </row>
    <row r="1761" spans="1:12" ht="11.25" customHeight="1" x14ac:dyDescent="0.2">
      <c r="A1761" s="210">
        <v>2023</v>
      </c>
      <c r="B1761" s="210">
        <v>9</v>
      </c>
      <c r="C1761" s="210">
        <v>7</v>
      </c>
      <c r="D1761" s="211">
        <f t="shared" si="137"/>
        <v>45176</v>
      </c>
      <c r="E1761" s="238">
        <f t="shared" si="139"/>
        <v>45176</v>
      </c>
      <c r="F1761" s="520" t="s">
        <v>1256</v>
      </c>
      <c r="G1761" s="213" t="s">
        <v>1245</v>
      </c>
      <c r="H1761" s="214"/>
      <c r="I1761" s="214" t="s">
        <v>1253</v>
      </c>
      <c r="J1761" s="210" t="s">
        <v>113</v>
      </c>
      <c r="K1761" s="215">
        <v>5925.93</v>
      </c>
      <c r="L1761" s="215"/>
    </row>
    <row r="1762" spans="1:12" ht="11.25" customHeight="1" x14ac:dyDescent="0.2">
      <c r="A1762" s="216">
        <v>2023</v>
      </c>
      <c r="B1762" s="216">
        <v>9</v>
      </c>
      <c r="C1762" s="216">
        <v>7</v>
      </c>
      <c r="D1762" s="217">
        <f t="shared" si="137"/>
        <v>45176</v>
      </c>
      <c r="E1762" s="239">
        <f t="shared" si="139"/>
        <v>45176</v>
      </c>
      <c r="F1762" s="521"/>
      <c r="G1762" s="219" t="s">
        <v>1245</v>
      </c>
      <c r="H1762" s="220"/>
      <c r="I1762" s="220" t="s">
        <v>1253</v>
      </c>
      <c r="J1762" s="216" t="s">
        <v>153</v>
      </c>
      <c r="K1762" s="221"/>
      <c r="L1762" s="221">
        <v>5925.93</v>
      </c>
    </row>
    <row r="1763" spans="1:12" ht="11.25" customHeight="1" x14ac:dyDescent="0.2">
      <c r="A1763" s="210">
        <v>2023</v>
      </c>
      <c r="B1763" s="210">
        <v>9</v>
      </c>
      <c r="C1763" s="210">
        <v>7</v>
      </c>
      <c r="D1763" s="211">
        <f t="shared" si="137"/>
        <v>45176</v>
      </c>
      <c r="E1763" s="238">
        <f t="shared" si="139"/>
        <v>45176</v>
      </c>
      <c r="F1763" s="520" t="s">
        <v>1257</v>
      </c>
      <c r="G1763" s="213" t="s">
        <v>1245</v>
      </c>
      <c r="H1763" s="214"/>
      <c r="I1763" s="214" t="s">
        <v>1253</v>
      </c>
      <c r="J1763" s="210" t="s">
        <v>113</v>
      </c>
      <c r="K1763" s="215">
        <v>27692.31</v>
      </c>
      <c r="L1763" s="215"/>
    </row>
    <row r="1764" spans="1:12" ht="11.25" customHeight="1" x14ac:dyDescent="0.2">
      <c r="A1764" s="216">
        <v>2023</v>
      </c>
      <c r="B1764" s="216">
        <v>9</v>
      </c>
      <c r="C1764" s="216">
        <v>7</v>
      </c>
      <c r="D1764" s="217">
        <f t="shared" si="137"/>
        <v>45176</v>
      </c>
      <c r="E1764" s="239">
        <f t="shared" si="139"/>
        <v>45176</v>
      </c>
      <c r="F1764" s="521"/>
      <c r="G1764" s="219" t="s">
        <v>1245</v>
      </c>
      <c r="H1764" s="220"/>
      <c r="I1764" s="220" t="s">
        <v>1253</v>
      </c>
      <c r="J1764" s="216" t="s">
        <v>153</v>
      </c>
      <c r="K1764" s="221"/>
      <c r="L1764" s="221">
        <v>27692.31</v>
      </c>
    </row>
    <row r="1765" spans="1:12" ht="11.25" customHeight="1" x14ac:dyDescent="0.2">
      <c r="A1765" s="259">
        <v>2023</v>
      </c>
      <c r="B1765" s="259">
        <v>9</v>
      </c>
      <c r="C1765" s="259">
        <v>7</v>
      </c>
      <c r="D1765" s="260">
        <f t="shared" si="137"/>
        <v>45176</v>
      </c>
      <c r="E1765" s="261">
        <f t="shared" si="139"/>
        <v>45176</v>
      </c>
      <c r="F1765" s="531" t="s">
        <v>1383</v>
      </c>
      <c r="G1765" s="262" t="s">
        <v>1245</v>
      </c>
      <c r="H1765" s="263"/>
      <c r="I1765" s="263" t="s">
        <v>1253</v>
      </c>
      <c r="J1765" s="259" t="s">
        <v>1476</v>
      </c>
      <c r="K1765" s="264">
        <v>15585.12222222218</v>
      </c>
      <c r="L1765" s="264"/>
    </row>
    <row r="1766" spans="1:12" ht="11.25" customHeight="1" x14ac:dyDescent="0.2">
      <c r="A1766" s="265">
        <v>2023</v>
      </c>
      <c r="B1766" s="265">
        <v>9</v>
      </c>
      <c r="C1766" s="265">
        <v>7</v>
      </c>
      <c r="D1766" s="266">
        <f t="shared" si="137"/>
        <v>45176</v>
      </c>
      <c r="E1766" s="267">
        <f t="shared" si="139"/>
        <v>45176</v>
      </c>
      <c r="F1766" s="532"/>
      <c r="G1766" s="268" t="s">
        <v>1245</v>
      </c>
      <c r="H1766" s="269"/>
      <c r="I1766" s="269" t="s">
        <v>1253</v>
      </c>
      <c r="J1766" s="265" t="s">
        <v>153</v>
      </c>
      <c r="K1766" s="270"/>
      <c r="L1766" s="270">
        <v>15585.12222222218</v>
      </c>
    </row>
    <row r="1767" spans="1:12" ht="11.25" customHeight="1" x14ac:dyDescent="0.2">
      <c r="A1767" s="259">
        <v>2023</v>
      </c>
      <c r="B1767" s="259">
        <v>9</v>
      </c>
      <c r="C1767" s="259">
        <v>7</v>
      </c>
      <c r="D1767" s="260">
        <f t="shared" si="137"/>
        <v>45176</v>
      </c>
      <c r="E1767" s="261">
        <f t="shared" si="139"/>
        <v>45176</v>
      </c>
      <c r="F1767" s="531" t="s">
        <v>1388</v>
      </c>
      <c r="G1767" s="262" t="s">
        <v>1245</v>
      </c>
      <c r="H1767" s="263"/>
      <c r="I1767" s="263" t="s">
        <v>1253</v>
      </c>
      <c r="J1767" s="259" t="s">
        <v>1476</v>
      </c>
      <c r="K1767" s="264">
        <v>12544.916666666666</v>
      </c>
      <c r="L1767" s="264"/>
    </row>
    <row r="1768" spans="1:12" ht="11.25" customHeight="1" x14ac:dyDescent="0.2">
      <c r="A1768" s="265">
        <v>2023</v>
      </c>
      <c r="B1768" s="265">
        <v>9</v>
      </c>
      <c r="C1768" s="265">
        <v>7</v>
      </c>
      <c r="D1768" s="266">
        <f t="shared" si="137"/>
        <v>45176</v>
      </c>
      <c r="E1768" s="267">
        <f t="shared" si="139"/>
        <v>45176</v>
      </c>
      <c r="F1768" s="532"/>
      <c r="G1768" s="268" t="s">
        <v>1245</v>
      </c>
      <c r="H1768" s="269"/>
      <c r="I1768" s="269" t="s">
        <v>1253</v>
      </c>
      <c r="J1768" s="265" t="s">
        <v>153</v>
      </c>
      <c r="K1768" s="270"/>
      <c r="L1768" s="270">
        <v>12544.916666666666</v>
      </c>
    </row>
    <row r="1769" spans="1:12" ht="11.25" customHeight="1" x14ac:dyDescent="0.2">
      <c r="A1769" s="259">
        <v>2023</v>
      </c>
      <c r="B1769" s="259">
        <v>9</v>
      </c>
      <c r="C1769" s="259">
        <v>7</v>
      </c>
      <c r="D1769" s="260">
        <f t="shared" si="137"/>
        <v>45176</v>
      </c>
      <c r="E1769" s="261">
        <f t="shared" si="139"/>
        <v>45176</v>
      </c>
      <c r="F1769" s="531" t="s">
        <v>1388</v>
      </c>
      <c r="G1769" s="262" t="s">
        <v>1245</v>
      </c>
      <c r="H1769" s="263"/>
      <c r="I1769" s="263" t="s">
        <v>1253</v>
      </c>
      <c r="J1769" s="259" t="s">
        <v>1476</v>
      </c>
      <c r="K1769" s="264">
        <v>10954.355555555576</v>
      </c>
      <c r="L1769" s="264"/>
    </row>
    <row r="1770" spans="1:12" ht="11.25" customHeight="1" x14ac:dyDescent="0.2">
      <c r="A1770" s="265">
        <v>2023</v>
      </c>
      <c r="B1770" s="265">
        <v>9</v>
      </c>
      <c r="C1770" s="265">
        <v>7</v>
      </c>
      <c r="D1770" s="266">
        <f t="shared" si="137"/>
        <v>45176</v>
      </c>
      <c r="E1770" s="267">
        <f t="shared" si="139"/>
        <v>45176</v>
      </c>
      <c r="F1770" s="532"/>
      <c r="G1770" s="268" t="s">
        <v>1245</v>
      </c>
      <c r="H1770" s="269"/>
      <c r="I1770" s="269" t="s">
        <v>1253</v>
      </c>
      <c r="J1770" s="265" t="s">
        <v>153</v>
      </c>
      <c r="K1770" s="270"/>
      <c r="L1770" s="270">
        <v>10954.355555555576</v>
      </c>
    </row>
    <row r="1771" spans="1:12" ht="11.25" customHeight="1" x14ac:dyDescent="0.2">
      <c r="A1771" s="259">
        <v>2023</v>
      </c>
      <c r="B1771" s="259">
        <v>9</v>
      </c>
      <c r="C1771" s="259">
        <v>7</v>
      </c>
      <c r="D1771" s="260">
        <f t="shared" si="137"/>
        <v>45176</v>
      </c>
      <c r="E1771" s="261">
        <f t="shared" si="139"/>
        <v>45176</v>
      </c>
      <c r="F1771" s="531" t="s">
        <v>1313</v>
      </c>
      <c r="G1771" s="262" t="s">
        <v>1245</v>
      </c>
      <c r="H1771" s="263"/>
      <c r="I1771" s="263" t="s">
        <v>1253</v>
      </c>
      <c r="J1771" s="259" t="s">
        <v>1476</v>
      </c>
      <c r="K1771" s="264">
        <v>8326.6666666666661</v>
      </c>
      <c r="L1771" s="264"/>
    </row>
    <row r="1772" spans="1:12" ht="11.25" customHeight="1" x14ac:dyDescent="0.2">
      <c r="A1772" s="265">
        <v>2023</v>
      </c>
      <c r="B1772" s="265">
        <v>9</v>
      </c>
      <c r="C1772" s="265">
        <v>7</v>
      </c>
      <c r="D1772" s="266">
        <f t="shared" si="137"/>
        <v>45176</v>
      </c>
      <c r="E1772" s="267">
        <f t="shared" si="139"/>
        <v>45176</v>
      </c>
      <c r="F1772" s="532"/>
      <c r="G1772" s="268" t="s">
        <v>1245</v>
      </c>
      <c r="H1772" s="269"/>
      <c r="I1772" s="269" t="s">
        <v>1253</v>
      </c>
      <c r="J1772" s="265" t="s">
        <v>153</v>
      </c>
      <c r="K1772" s="270"/>
      <c r="L1772" s="270">
        <v>8326.6666666666661</v>
      </c>
    </row>
    <row r="1773" spans="1:12" ht="11.25" customHeight="1" x14ac:dyDescent="0.2">
      <c r="A1773" s="259">
        <v>2023</v>
      </c>
      <c r="B1773" s="259">
        <v>9</v>
      </c>
      <c r="C1773" s="259">
        <v>7</v>
      </c>
      <c r="D1773" s="260">
        <f t="shared" si="137"/>
        <v>45176</v>
      </c>
      <c r="E1773" s="261">
        <f t="shared" si="139"/>
        <v>45176</v>
      </c>
      <c r="F1773" s="531" t="s">
        <v>1397</v>
      </c>
      <c r="G1773" s="262" t="s">
        <v>1245</v>
      </c>
      <c r="H1773" s="263"/>
      <c r="I1773" s="263" t="s">
        <v>1253</v>
      </c>
      <c r="J1773" s="259" t="s">
        <v>1476</v>
      </c>
      <c r="K1773" s="264">
        <v>3693.4422222222202</v>
      </c>
      <c r="L1773" s="264"/>
    </row>
    <row r="1774" spans="1:12" ht="11.25" customHeight="1" x14ac:dyDescent="0.2">
      <c r="A1774" s="265">
        <v>2023</v>
      </c>
      <c r="B1774" s="265">
        <v>9</v>
      </c>
      <c r="C1774" s="265">
        <v>7</v>
      </c>
      <c r="D1774" s="266">
        <f t="shared" si="137"/>
        <v>45176</v>
      </c>
      <c r="E1774" s="267">
        <f t="shared" si="139"/>
        <v>45176</v>
      </c>
      <c r="F1774" s="532"/>
      <c r="G1774" s="268" t="s">
        <v>1245</v>
      </c>
      <c r="H1774" s="269"/>
      <c r="I1774" s="269" t="s">
        <v>1253</v>
      </c>
      <c r="J1774" s="265" t="s">
        <v>153</v>
      </c>
      <c r="K1774" s="270"/>
      <c r="L1774" s="270">
        <v>3693.4422222222202</v>
      </c>
    </row>
    <row r="1775" spans="1:12" ht="11.25" customHeight="1" x14ac:dyDescent="0.2">
      <c r="A1775" s="259">
        <v>2023</v>
      </c>
      <c r="B1775" s="259">
        <v>9</v>
      </c>
      <c r="C1775" s="259">
        <v>7</v>
      </c>
      <c r="D1775" s="260">
        <f t="shared" si="137"/>
        <v>45176</v>
      </c>
      <c r="E1775" s="261">
        <f t="shared" si="139"/>
        <v>45176</v>
      </c>
      <c r="F1775" s="531" t="s">
        <v>1424</v>
      </c>
      <c r="G1775" s="262" t="s">
        <v>1245</v>
      </c>
      <c r="H1775" s="263"/>
      <c r="I1775" s="263" t="s">
        <v>1253</v>
      </c>
      <c r="J1775" s="259" t="s">
        <v>1476</v>
      </c>
      <c r="K1775" s="264">
        <v>6058.53</v>
      </c>
      <c r="L1775" s="264"/>
    </row>
    <row r="1776" spans="1:12" ht="11.25" customHeight="1" x14ac:dyDescent="0.2">
      <c r="A1776" s="265">
        <v>2023</v>
      </c>
      <c r="B1776" s="265">
        <v>9</v>
      </c>
      <c r="C1776" s="265">
        <v>7</v>
      </c>
      <c r="D1776" s="266">
        <f t="shared" si="137"/>
        <v>45176</v>
      </c>
      <c r="E1776" s="267">
        <f t="shared" si="139"/>
        <v>45176</v>
      </c>
      <c r="F1776" s="532"/>
      <c r="G1776" s="268" t="s">
        <v>1245</v>
      </c>
      <c r="H1776" s="269"/>
      <c r="I1776" s="269" t="s">
        <v>1253</v>
      </c>
      <c r="J1776" s="265" t="s">
        <v>153</v>
      </c>
      <c r="K1776" s="270"/>
      <c r="L1776" s="270">
        <v>6058.53</v>
      </c>
    </row>
    <row r="1777" spans="1:12" ht="11.25" customHeight="1" x14ac:dyDescent="0.2">
      <c r="A1777" s="259">
        <v>2023</v>
      </c>
      <c r="B1777" s="259">
        <v>9</v>
      </c>
      <c r="C1777" s="259">
        <v>7</v>
      </c>
      <c r="D1777" s="260">
        <f t="shared" si="137"/>
        <v>45176</v>
      </c>
      <c r="E1777" s="261">
        <f t="shared" si="139"/>
        <v>45176</v>
      </c>
      <c r="F1777" s="531" t="s">
        <v>1383</v>
      </c>
      <c r="G1777" s="262" t="s">
        <v>1245</v>
      </c>
      <c r="H1777" s="263"/>
      <c r="I1777" s="263" t="s">
        <v>1253</v>
      </c>
      <c r="J1777" s="259" t="s">
        <v>1476</v>
      </c>
      <c r="K1777" s="264">
        <v>6945.1</v>
      </c>
      <c r="L1777" s="264"/>
    </row>
    <row r="1778" spans="1:12" ht="11.25" customHeight="1" x14ac:dyDescent="0.2">
      <c r="A1778" s="265">
        <v>2023</v>
      </c>
      <c r="B1778" s="265">
        <v>9</v>
      </c>
      <c r="C1778" s="265">
        <v>7</v>
      </c>
      <c r="D1778" s="266">
        <f t="shared" si="137"/>
        <v>45176</v>
      </c>
      <c r="E1778" s="267">
        <f t="shared" si="139"/>
        <v>45176</v>
      </c>
      <c r="F1778" s="532"/>
      <c r="G1778" s="268" t="s">
        <v>1245</v>
      </c>
      <c r="H1778" s="269"/>
      <c r="I1778" s="269" t="s">
        <v>1253</v>
      </c>
      <c r="J1778" s="265" t="s">
        <v>153</v>
      </c>
      <c r="K1778" s="270"/>
      <c r="L1778" s="270">
        <v>6945.1</v>
      </c>
    </row>
    <row r="1779" spans="1:12" ht="11.25" customHeight="1" x14ac:dyDescent="0.2">
      <c r="A1779" s="259">
        <v>2023</v>
      </c>
      <c r="B1779" s="259">
        <v>9</v>
      </c>
      <c r="C1779" s="259">
        <v>7</v>
      </c>
      <c r="D1779" s="260">
        <f t="shared" si="137"/>
        <v>45176</v>
      </c>
      <c r="E1779" s="261">
        <f t="shared" si="139"/>
        <v>45176</v>
      </c>
      <c r="F1779" s="531" t="s">
        <v>1388</v>
      </c>
      <c r="G1779" s="262" t="s">
        <v>1245</v>
      </c>
      <c r="H1779" s="263"/>
      <c r="I1779" s="263" t="s">
        <v>1253</v>
      </c>
      <c r="J1779" s="259" t="s">
        <v>1476</v>
      </c>
      <c r="K1779" s="264">
        <v>3114.785555555537</v>
      </c>
      <c r="L1779" s="264"/>
    </row>
    <row r="1780" spans="1:12" ht="11.25" customHeight="1" x14ac:dyDescent="0.2">
      <c r="A1780" s="265">
        <v>2023</v>
      </c>
      <c r="B1780" s="265">
        <v>9</v>
      </c>
      <c r="C1780" s="265">
        <v>7</v>
      </c>
      <c r="D1780" s="266">
        <f t="shared" si="137"/>
        <v>45176</v>
      </c>
      <c r="E1780" s="267">
        <f t="shared" si="139"/>
        <v>45176</v>
      </c>
      <c r="F1780" s="532"/>
      <c r="G1780" s="268" t="s">
        <v>1245</v>
      </c>
      <c r="H1780" s="269"/>
      <c r="I1780" s="269" t="s">
        <v>1253</v>
      </c>
      <c r="J1780" s="265" t="s">
        <v>153</v>
      </c>
      <c r="K1780" s="270"/>
      <c r="L1780" s="270">
        <v>3114.785555555537</v>
      </c>
    </row>
    <row r="1781" spans="1:12" ht="11.25" customHeight="1" x14ac:dyDescent="0.2">
      <c r="A1781" s="259">
        <v>2023</v>
      </c>
      <c r="B1781" s="259">
        <v>9</v>
      </c>
      <c r="C1781" s="259">
        <v>7</v>
      </c>
      <c r="D1781" s="260">
        <f t="shared" si="137"/>
        <v>45176</v>
      </c>
      <c r="E1781" s="261">
        <f t="shared" si="139"/>
        <v>45176</v>
      </c>
      <c r="F1781" s="531" t="s">
        <v>1359</v>
      </c>
      <c r="G1781" s="262" t="s">
        <v>1245</v>
      </c>
      <c r="H1781" s="263"/>
      <c r="I1781" s="263" t="s">
        <v>1253</v>
      </c>
      <c r="J1781" s="259" t="s">
        <v>1476</v>
      </c>
      <c r="K1781" s="264">
        <v>8341.8499999999385</v>
      </c>
      <c r="L1781" s="264"/>
    </row>
    <row r="1782" spans="1:12" ht="11.25" customHeight="1" x14ac:dyDescent="0.2">
      <c r="A1782" s="265">
        <v>2023</v>
      </c>
      <c r="B1782" s="265">
        <v>9</v>
      </c>
      <c r="C1782" s="265">
        <v>7</v>
      </c>
      <c r="D1782" s="266">
        <f t="shared" si="137"/>
        <v>45176</v>
      </c>
      <c r="E1782" s="267">
        <f t="shared" si="139"/>
        <v>45176</v>
      </c>
      <c r="F1782" s="532"/>
      <c r="G1782" s="268" t="s">
        <v>1245</v>
      </c>
      <c r="H1782" s="269"/>
      <c r="I1782" s="269" t="s">
        <v>1253</v>
      </c>
      <c r="J1782" s="265" t="s">
        <v>153</v>
      </c>
      <c r="K1782" s="270"/>
      <c r="L1782" s="270">
        <v>8341.8499999999385</v>
      </c>
    </row>
    <row r="1783" spans="1:12" ht="11.25" customHeight="1" x14ac:dyDescent="0.2">
      <c r="A1783" s="222">
        <v>2023</v>
      </c>
      <c r="B1783" s="222">
        <v>9</v>
      </c>
      <c r="C1783" s="222">
        <v>7</v>
      </c>
      <c r="D1783" s="223">
        <f t="shared" si="137"/>
        <v>45176</v>
      </c>
      <c r="E1783" s="240">
        <f t="shared" si="139"/>
        <v>45176</v>
      </c>
      <c r="F1783" s="511" t="s">
        <v>1244</v>
      </c>
      <c r="G1783" s="225" t="s">
        <v>1245</v>
      </c>
      <c r="H1783" s="226"/>
      <c r="I1783" s="226" t="s">
        <v>1253</v>
      </c>
      <c r="J1783" s="222" t="s">
        <v>87</v>
      </c>
      <c r="K1783" s="227">
        <v>12243.071904759854</v>
      </c>
      <c r="L1783" s="227"/>
    </row>
    <row r="1784" spans="1:12" ht="11.25" customHeight="1" x14ac:dyDescent="0.2">
      <c r="A1784" s="228">
        <v>2023</v>
      </c>
      <c r="B1784" s="228">
        <v>9</v>
      </c>
      <c r="C1784" s="228">
        <v>7</v>
      </c>
      <c r="D1784" s="229">
        <f t="shared" si="137"/>
        <v>45176</v>
      </c>
      <c r="E1784" s="241">
        <f t="shared" si="139"/>
        <v>45176</v>
      </c>
      <c r="F1784" s="512"/>
      <c r="G1784" s="231" t="s">
        <v>1245</v>
      </c>
      <c r="H1784" s="232"/>
      <c r="I1784" s="232" t="s">
        <v>1253</v>
      </c>
      <c r="J1784" s="228" t="s">
        <v>72</v>
      </c>
      <c r="K1784" s="233"/>
      <c r="L1784" s="233">
        <v>12243.071904759854</v>
      </c>
    </row>
    <row r="1785" spans="1:12" ht="11.25" customHeight="1" x14ac:dyDescent="0.2">
      <c r="A1785" s="222">
        <v>2023</v>
      </c>
      <c r="B1785" s="222">
        <v>9</v>
      </c>
      <c r="C1785" s="222">
        <v>7</v>
      </c>
      <c r="D1785" s="223">
        <f t="shared" si="137"/>
        <v>45176</v>
      </c>
      <c r="E1785" s="240">
        <f t="shared" si="139"/>
        <v>45176</v>
      </c>
      <c r="F1785" s="511" t="s">
        <v>1246</v>
      </c>
      <c r="G1785" s="225" t="s">
        <v>1245</v>
      </c>
      <c r="H1785" s="226"/>
      <c r="I1785" s="226" t="s">
        <v>1253</v>
      </c>
      <c r="J1785" s="222" t="s">
        <v>75</v>
      </c>
      <c r="K1785" s="227">
        <v>3623.123846153846</v>
      </c>
      <c r="L1785" s="227"/>
    </row>
    <row r="1786" spans="1:12" ht="11.25" customHeight="1" x14ac:dyDescent="0.2">
      <c r="A1786" s="228">
        <v>2023</v>
      </c>
      <c r="B1786" s="228">
        <v>9</v>
      </c>
      <c r="C1786" s="228">
        <v>7</v>
      </c>
      <c r="D1786" s="229">
        <f t="shared" si="137"/>
        <v>45176</v>
      </c>
      <c r="E1786" s="241">
        <f t="shared" si="139"/>
        <v>45176</v>
      </c>
      <c r="F1786" s="512"/>
      <c r="G1786" s="231" t="s">
        <v>1245</v>
      </c>
      <c r="H1786" s="232"/>
      <c r="I1786" s="232" t="s">
        <v>1253</v>
      </c>
      <c r="J1786" s="228" t="s">
        <v>55</v>
      </c>
      <c r="K1786" s="233"/>
      <c r="L1786" s="233">
        <v>3623.123846153846</v>
      </c>
    </row>
    <row r="1787" spans="1:12" ht="11.25" customHeight="1" x14ac:dyDescent="0.2">
      <c r="A1787" s="222">
        <v>2023</v>
      </c>
      <c r="B1787" s="222">
        <v>9</v>
      </c>
      <c r="C1787" s="222">
        <v>7</v>
      </c>
      <c r="D1787" s="223">
        <f t="shared" si="137"/>
        <v>45176</v>
      </c>
      <c r="E1787" s="240">
        <f t="shared" si="139"/>
        <v>45176</v>
      </c>
      <c r="F1787" s="511" t="s">
        <v>1247</v>
      </c>
      <c r="G1787" s="225" t="s">
        <v>1245</v>
      </c>
      <c r="H1787" s="226"/>
      <c r="I1787" s="226" t="s">
        <v>1253</v>
      </c>
      <c r="J1787" s="222" t="s">
        <v>77</v>
      </c>
      <c r="K1787" s="227"/>
      <c r="L1787" s="227"/>
    </row>
    <row r="1788" spans="1:12" ht="11.25" customHeight="1" x14ac:dyDescent="0.2">
      <c r="A1788" s="228">
        <v>2023</v>
      </c>
      <c r="B1788" s="228">
        <v>9</v>
      </c>
      <c r="C1788" s="228">
        <v>7</v>
      </c>
      <c r="D1788" s="229">
        <f t="shared" si="137"/>
        <v>45176</v>
      </c>
      <c r="E1788" s="241">
        <f t="shared" si="139"/>
        <v>45176</v>
      </c>
      <c r="F1788" s="512"/>
      <c r="G1788" s="231" t="s">
        <v>1245</v>
      </c>
      <c r="H1788" s="232"/>
      <c r="I1788" s="232" t="s">
        <v>1253</v>
      </c>
      <c r="J1788" s="228" t="s">
        <v>41</v>
      </c>
      <c r="K1788" s="233"/>
      <c r="L1788" s="233"/>
    </row>
    <row r="1789" spans="1:12" ht="11.25" customHeight="1" x14ac:dyDescent="0.2">
      <c r="A1789" s="222">
        <v>2023</v>
      </c>
      <c r="B1789" s="222">
        <v>9</v>
      </c>
      <c r="C1789" s="222">
        <v>7</v>
      </c>
      <c r="D1789" s="223">
        <f t="shared" si="137"/>
        <v>45176</v>
      </c>
      <c r="E1789" s="240">
        <f t="shared" si="139"/>
        <v>45176</v>
      </c>
      <c r="F1789" s="511" t="s">
        <v>1248</v>
      </c>
      <c r="G1789" s="225" t="s">
        <v>1245</v>
      </c>
      <c r="H1789" s="226"/>
      <c r="I1789" s="226" t="s">
        <v>1253</v>
      </c>
      <c r="J1789" s="222" t="s">
        <v>80</v>
      </c>
      <c r="K1789" s="227">
        <v>1273.8163654285136</v>
      </c>
      <c r="L1789" s="227"/>
    </row>
    <row r="1790" spans="1:12" ht="11.25" customHeight="1" x14ac:dyDescent="0.2">
      <c r="A1790" s="228">
        <v>2023</v>
      </c>
      <c r="B1790" s="228">
        <v>9</v>
      </c>
      <c r="C1790" s="228">
        <v>7</v>
      </c>
      <c r="D1790" s="229">
        <f t="shared" si="137"/>
        <v>45176</v>
      </c>
      <c r="E1790" s="241">
        <f t="shared" si="139"/>
        <v>45176</v>
      </c>
      <c r="F1790" s="512"/>
      <c r="G1790" s="231" t="s">
        <v>1245</v>
      </c>
      <c r="H1790" s="232"/>
      <c r="I1790" s="232" t="s">
        <v>1253</v>
      </c>
      <c r="J1790" s="228" t="s">
        <v>42</v>
      </c>
      <c r="K1790" s="233"/>
      <c r="L1790" s="233">
        <v>1273.8163654285136</v>
      </c>
    </row>
    <row r="1791" spans="1:12" ht="11.25" customHeight="1" x14ac:dyDescent="0.2">
      <c r="A1791" s="197">
        <v>2023</v>
      </c>
      <c r="B1791" s="197">
        <v>9</v>
      </c>
      <c r="C1791" s="197">
        <v>10</v>
      </c>
      <c r="D1791" s="198">
        <f t="shared" si="137"/>
        <v>45179</v>
      </c>
      <c r="E1791" s="209">
        <f t="shared" si="139"/>
        <v>45179</v>
      </c>
      <c r="F1791" s="513" t="s">
        <v>1280</v>
      </c>
      <c r="G1791" s="200" t="s">
        <v>1209</v>
      </c>
      <c r="H1791" s="201"/>
      <c r="I1791" s="201" t="s">
        <v>299</v>
      </c>
      <c r="J1791" s="197" t="s">
        <v>16</v>
      </c>
      <c r="K1791" s="202">
        <v>143490</v>
      </c>
      <c r="L1791" s="202"/>
    </row>
    <row r="1792" spans="1:12" ht="11.25" customHeight="1" x14ac:dyDescent="0.2">
      <c r="A1792" s="120">
        <v>2023</v>
      </c>
      <c r="B1792" s="120">
        <v>9</v>
      </c>
      <c r="C1792" s="120">
        <v>10</v>
      </c>
      <c r="D1792" s="208">
        <f t="shared" si="137"/>
        <v>45179</v>
      </c>
      <c r="E1792" s="209">
        <f t="shared" si="139"/>
        <v>45179</v>
      </c>
      <c r="F1792" s="515"/>
      <c r="G1792" s="132" t="s">
        <v>1209</v>
      </c>
      <c r="I1792" s="128" t="s">
        <v>299</v>
      </c>
      <c r="J1792" s="120" t="s">
        <v>47</v>
      </c>
      <c r="K1792" s="207">
        <v>6510</v>
      </c>
      <c r="L1792" s="207"/>
    </row>
    <row r="1793" spans="1:12" ht="11.25" customHeight="1" x14ac:dyDescent="0.2">
      <c r="A1793" s="191">
        <v>2023</v>
      </c>
      <c r="B1793" s="191">
        <v>9</v>
      </c>
      <c r="C1793" s="191">
        <v>10</v>
      </c>
      <c r="D1793" s="192">
        <f t="shared" si="137"/>
        <v>45179</v>
      </c>
      <c r="E1793" s="193">
        <f t="shared" si="139"/>
        <v>45179</v>
      </c>
      <c r="F1793" s="514"/>
      <c r="G1793" s="194" t="s">
        <v>1209</v>
      </c>
      <c r="H1793" s="195"/>
      <c r="I1793" s="195" t="s">
        <v>299</v>
      </c>
      <c r="J1793" s="191" t="s">
        <v>46</v>
      </c>
      <c r="K1793" s="196"/>
      <c r="L1793" s="196">
        <v>150000</v>
      </c>
    </row>
    <row r="1794" spans="1:12" ht="11.25" customHeight="1" x14ac:dyDescent="0.2">
      <c r="A1794" s="197">
        <v>2023</v>
      </c>
      <c r="B1794" s="197">
        <v>9</v>
      </c>
      <c r="C1794" s="197">
        <v>11</v>
      </c>
      <c r="D1794" s="198">
        <f t="shared" si="137"/>
        <v>45180</v>
      </c>
      <c r="E1794" s="209">
        <f t="shared" si="139"/>
        <v>45180</v>
      </c>
      <c r="F1794" s="513" t="s">
        <v>1210</v>
      </c>
      <c r="G1794" s="200" t="s">
        <v>1209</v>
      </c>
      <c r="H1794" s="201"/>
      <c r="I1794" s="201" t="s">
        <v>384</v>
      </c>
      <c r="J1794" s="197" t="s">
        <v>46</v>
      </c>
      <c r="K1794" s="202">
        <v>100000</v>
      </c>
      <c r="L1794" s="202"/>
    </row>
    <row r="1795" spans="1:12" ht="11.25" customHeight="1" x14ac:dyDescent="0.2">
      <c r="A1795" s="120">
        <v>2023</v>
      </c>
      <c r="B1795" s="120">
        <v>9</v>
      </c>
      <c r="C1795" s="120">
        <v>11</v>
      </c>
      <c r="D1795" s="208">
        <f t="shared" si="137"/>
        <v>45180</v>
      </c>
      <c r="E1795" s="209">
        <f t="shared" si="139"/>
        <v>45180</v>
      </c>
      <c r="F1795" s="515"/>
      <c r="G1795" s="132" t="s">
        <v>1209</v>
      </c>
      <c r="I1795" s="128" t="s">
        <v>384</v>
      </c>
      <c r="J1795" s="120" t="s">
        <v>16</v>
      </c>
      <c r="K1795" s="207"/>
      <c r="L1795" s="207">
        <v>95660</v>
      </c>
    </row>
    <row r="1796" spans="1:12" ht="11.25" customHeight="1" x14ac:dyDescent="0.2">
      <c r="A1796" s="191">
        <v>2023</v>
      </c>
      <c r="B1796" s="191">
        <v>9</v>
      </c>
      <c r="C1796" s="191">
        <v>11</v>
      </c>
      <c r="D1796" s="192">
        <f t="shared" si="137"/>
        <v>45180</v>
      </c>
      <c r="E1796" s="193">
        <f t="shared" si="139"/>
        <v>45180</v>
      </c>
      <c r="F1796" s="514"/>
      <c r="G1796" s="194" t="s">
        <v>1209</v>
      </c>
      <c r="H1796" s="195"/>
      <c r="I1796" s="195" t="s">
        <v>384</v>
      </c>
      <c r="J1796" s="191" t="s">
        <v>47</v>
      </c>
      <c r="K1796" s="196"/>
      <c r="L1796" s="196">
        <v>4340</v>
      </c>
    </row>
    <row r="1797" spans="1:12" ht="11.25" customHeight="1" x14ac:dyDescent="0.2">
      <c r="A1797" s="197">
        <v>2023</v>
      </c>
      <c r="B1797" s="197">
        <v>9</v>
      </c>
      <c r="C1797" s="197">
        <v>11</v>
      </c>
      <c r="D1797" s="198">
        <f t="shared" si="137"/>
        <v>45180</v>
      </c>
      <c r="E1797" s="209">
        <f>DATE(A1797,B1797,C1797)</f>
        <v>45180</v>
      </c>
      <c r="F1797" s="513" t="s">
        <v>1210</v>
      </c>
      <c r="G1797" s="200" t="s">
        <v>1209</v>
      </c>
      <c r="H1797" s="201"/>
      <c r="I1797" s="201" t="s">
        <v>1438</v>
      </c>
      <c r="J1797" s="197" t="s">
        <v>46</v>
      </c>
      <c r="K1797" s="202">
        <v>365365</v>
      </c>
      <c r="L1797" s="202"/>
    </row>
    <row r="1798" spans="1:12" ht="11.25" customHeight="1" x14ac:dyDescent="0.2">
      <c r="A1798" s="120">
        <v>2023</v>
      </c>
      <c r="B1798" s="120">
        <v>9</v>
      </c>
      <c r="C1798" s="120">
        <v>11</v>
      </c>
      <c r="D1798" s="208">
        <f t="shared" si="137"/>
        <v>45180</v>
      </c>
      <c r="E1798" s="209">
        <f>DATE(A1798,B1798,C1798)</f>
        <v>45180</v>
      </c>
      <c r="F1798" s="515"/>
      <c r="G1798" s="132" t="s">
        <v>1209</v>
      </c>
      <c r="I1798" s="128" t="s">
        <v>1438</v>
      </c>
      <c r="J1798" s="120" t="s">
        <v>16</v>
      </c>
      <c r="K1798" s="207"/>
      <c r="L1798" s="207">
        <v>350000</v>
      </c>
    </row>
    <row r="1799" spans="1:12" ht="11.25" customHeight="1" x14ac:dyDescent="0.2">
      <c r="A1799" s="191">
        <v>2023</v>
      </c>
      <c r="B1799" s="191">
        <v>9</v>
      </c>
      <c r="C1799" s="191">
        <v>11</v>
      </c>
      <c r="D1799" s="192">
        <f t="shared" si="137"/>
        <v>45180</v>
      </c>
      <c r="E1799" s="193">
        <f>DATE(A1799,B1799,C1799)</f>
        <v>45180</v>
      </c>
      <c r="F1799" s="514"/>
      <c r="G1799" s="194" t="s">
        <v>1209</v>
      </c>
      <c r="H1799" s="195"/>
      <c r="I1799" s="195" t="s">
        <v>1438</v>
      </c>
      <c r="J1799" s="191" t="s">
        <v>47</v>
      </c>
      <c r="K1799" s="196"/>
      <c r="L1799" s="196">
        <v>15365</v>
      </c>
    </row>
    <row r="1800" spans="1:12" ht="11.25" customHeight="1" x14ac:dyDescent="0.2">
      <c r="A1800" s="197">
        <v>2023</v>
      </c>
      <c r="B1800" s="197">
        <v>9</v>
      </c>
      <c r="C1800" s="197">
        <v>11</v>
      </c>
      <c r="D1800" s="198">
        <f t="shared" si="137"/>
        <v>45180</v>
      </c>
      <c r="E1800" s="199">
        <f>DATE(A1800,B1800,C1800)</f>
        <v>45180</v>
      </c>
      <c r="F1800" s="513" t="s">
        <v>1323</v>
      </c>
      <c r="G1800" s="200" t="s">
        <v>1209</v>
      </c>
      <c r="H1800" s="201"/>
      <c r="I1800" s="201"/>
      <c r="J1800" s="197" t="s">
        <v>54</v>
      </c>
      <c r="K1800" s="202">
        <v>10</v>
      </c>
      <c r="L1800" s="202"/>
    </row>
    <row r="1801" spans="1:12" ht="11.25" customHeight="1" x14ac:dyDescent="0.2">
      <c r="A1801" s="191">
        <v>2023</v>
      </c>
      <c r="B1801" s="191">
        <v>9</v>
      </c>
      <c r="C1801" s="191">
        <v>11</v>
      </c>
      <c r="D1801" s="192">
        <f t="shared" si="137"/>
        <v>45180</v>
      </c>
      <c r="E1801" s="193">
        <f>DATE(A1801,B1801,C1801)</f>
        <v>45180</v>
      </c>
      <c r="F1801" s="514"/>
      <c r="G1801" s="194" t="s">
        <v>1209</v>
      </c>
      <c r="H1801" s="195"/>
      <c r="I1801" s="195"/>
      <c r="J1801" s="191" t="s">
        <v>46</v>
      </c>
      <c r="K1801" s="196"/>
      <c r="L1801" s="196">
        <v>10</v>
      </c>
    </row>
    <row r="1802" spans="1:12" ht="11.25" customHeight="1" x14ac:dyDescent="0.2">
      <c r="A1802" s="197">
        <v>2023</v>
      </c>
      <c r="B1802" s="197">
        <v>9</v>
      </c>
      <c r="C1802" s="197">
        <v>12</v>
      </c>
      <c r="D1802" s="198">
        <f t="shared" si="137"/>
        <v>45181</v>
      </c>
      <c r="E1802" s="199">
        <f t="shared" si="139"/>
        <v>45181</v>
      </c>
      <c r="F1802" s="513" t="s">
        <v>1437</v>
      </c>
      <c r="G1802" s="200" t="s">
        <v>1209</v>
      </c>
      <c r="H1802" s="201"/>
      <c r="I1802" s="201"/>
      <c r="J1802" s="197" t="s">
        <v>44</v>
      </c>
      <c r="K1802" s="202">
        <v>20000</v>
      </c>
      <c r="L1802" s="202"/>
    </row>
    <row r="1803" spans="1:12" ht="11.25" customHeight="1" x14ac:dyDescent="0.2">
      <c r="A1803" s="120">
        <v>2023</v>
      </c>
      <c r="B1803" s="120">
        <v>9</v>
      </c>
      <c r="C1803" s="120">
        <v>12</v>
      </c>
      <c r="D1803" s="208">
        <f t="shared" si="137"/>
        <v>45181</v>
      </c>
      <c r="E1803" s="209">
        <f>DATE(A1803,B1803,C1803)</f>
        <v>45181</v>
      </c>
      <c r="F1803" s="515"/>
      <c r="G1803" s="132" t="s">
        <v>1209</v>
      </c>
      <c r="J1803" s="120" t="s">
        <v>54</v>
      </c>
      <c r="K1803" s="207">
        <v>3000</v>
      </c>
      <c r="L1803" s="207"/>
    </row>
    <row r="1804" spans="1:12" ht="11.25" customHeight="1" x14ac:dyDescent="0.2">
      <c r="A1804" s="191">
        <v>2023</v>
      </c>
      <c r="B1804" s="191">
        <v>9</v>
      </c>
      <c r="C1804" s="191">
        <v>12</v>
      </c>
      <c r="D1804" s="192">
        <f t="shared" si="137"/>
        <v>45181</v>
      </c>
      <c r="E1804" s="193">
        <f t="shared" si="139"/>
        <v>45181</v>
      </c>
      <c r="F1804" s="514"/>
      <c r="G1804" s="194" t="s">
        <v>1209</v>
      </c>
      <c r="H1804" s="195"/>
      <c r="I1804" s="195"/>
      <c r="J1804" s="191" t="s">
        <v>46</v>
      </c>
      <c r="K1804" s="196"/>
      <c r="L1804" s="196">
        <v>23000</v>
      </c>
    </row>
    <row r="1805" spans="1:12" ht="11.25" customHeight="1" x14ac:dyDescent="0.2">
      <c r="A1805" s="197">
        <v>2023</v>
      </c>
      <c r="B1805" s="197">
        <v>9</v>
      </c>
      <c r="C1805" s="197">
        <v>12</v>
      </c>
      <c r="D1805" s="198">
        <f t="shared" si="137"/>
        <v>45181</v>
      </c>
      <c r="E1805" s="209">
        <f>DATE(A1805,B1805,C1805)</f>
        <v>45181</v>
      </c>
      <c r="F1805" s="513" t="s">
        <v>1280</v>
      </c>
      <c r="G1805" s="200" t="s">
        <v>1209</v>
      </c>
      <c r="H1805" s="201"/>
      <c r="I1805" s="201" t="s">
        <v>299</v>
      </c>
      <c r="J1805" s="197" t="s">
        <v>16</v>
      </c>
      <c r="K1805" s="202">
        <v>95660</v>
      </c>
      <c r="L1805" s="202"/>
    </row>
    <row r="1806" spans="1:12" ht="11.25" customHeight="1" x14ac:dyDescent="0.2">
      <c r="A1806" s="120">
        <v>2023</v>
      </c>
      <c r="B1806" s="120">
        <v>9</v>
      </c>
      <c r="C1806" s="120">
        <v>12</v>
      </c>
      <c r="D1806" s="208">
        <f t="shared" si="137"/>
        <v>45181</v>
      </c>
      <c r="E1806" s="209">
        <f>DATE(A1806,B1806,C1806)</f>
        <v>45181</v>
      </c>
      <c r="F1806" s="515"/>
      <c r="G1806" s="132" t="s">
        <v>1209</v>
      </c>
      <c r="I1806" s="128" t="s">
        <v>299</v>
      </c>
      <c r="J1806" s="120" t="s">
        <v>47</v>
      </c>
      <c r="K1806" s="207">
        <v>4340</v>
      </c>
      <c r="L1806" s="207"/>
    </row>
    <row r="1807" spans="1:12" ht="11.25" customHeight="1" x14ac:dyDescent="0.2">
      <c r="A1807" s="191">
        <v>2023</v>
      </c>
      <c r="B1807" s="191">
        <v>9</v>
      </c>
      <c r="C1807" s="191">
        <v>12</v>
      </c>
      <c r="D1807" s="192">
        <f t="shared" si="137"/>
        <v>45181</v>
      </c>
      <c r="E1807" s="193">
        <f>DATE(A1807,B1807,C1807)</f>
        <v>45181</v>
      </c>
      <c r="F1807" s="514"/>
      <c r="G1807" s="194" t="s">
        <v>1209</v>
      </c>
      <c r="H1807" s="195"/>
      <c r="I1807" s="195" t="s">
        <v>299</v>
      </c>
      <c r="J1807" s="191" t="s">
        <v>46</v>
      </c>
      <c r="K1807" s="196"/>
      <c r="L1807" s="196">
        <v>100000</v>
      </c>
    </row>
    <row r="1808" spans="1:12" ht="11.25" customHeight="1" x14ac:dyDescent="0.2">
      <c r="A1808" s="197">
        <v>2023</v>
      </c>
      <c r="B1808" s="197">
        <v>9</v>
      </c>
      <c r="C1808" s="197">
        <v>14</v>
      </c>
      <c r="D1808" s="198">
        <f t="shared" si="137"/>
        <v>45183</v>
      </c>
      <c r="E1808" s="209">
        <f t="shared" ref="E1808:E1813" si="140">DATE(A1808,B1808,C1808)</f>
        <v>45183</v>
      </c>
      <c r="F1808" s="513" t="s">
        <v>1280</v>
      </c>
      <c r="G1808" s="200" t="s">
        <v>1209</v>
      </c>
      <c r="H1808" s="201"/>
      <c r="I1808" s="201" t="s">
        <v>880</v>
      </c>
      <c r="J1808" s="197" t="s">
        <v>16</v>
      </c>
      <c r="K1808" s="202">
        <v>95660</v>
      </c>
      <c r="L1808" s="202"/>
    </row>
    <row r="1809" spans="1:14" ht="11.25" customHeight="1" x14ac:dyDescent="0.2">
      <c r="A1809" s="120">
        <v>2023</v>
      </c>
      <c r="B1809" s="120">
        <v>9</v>
      </c>
      <c r="C1809" s="120">
        <v>14</v>
      </c>
      <c r="D1809" s="208">
        <f t="shared" ref="D1809:D1870" si="141">DATE(A1809,B1809,C1809)</f>
        <v>45183</v>
      </c>
      <c r="E1809" s="209">
        <f t="shared" si="140"/>
        <v>45183</v>
      </c>
      <c r="F1809" s="515"/>
      <c r="G1809" s="132" t="s">
        <v>1209</v>
      </c>
      <c r="I1809" s="128" t="s">
        <v>880</v>
      </c>
      <c r="J1809" s="120" t="s">
        <v>47</v>
      </c>
      <c r="K1809" s="207">
        <v>4342.9600000000064</v>
      </c>
      <c r="L1809" s="207"/>
    </row>
    <row r="1810" spans="1:14" ht="11.25" customHeight="1" x14ac:dyDescent="0.2">
      <c r="A1810" s="191">
        <v>2023</v>
      </c>
      <c r="B1810" s="191">
        <v>9</v>
      </c>
      <c r="C1810" s="191">
        <v>14</v>
      </c>
      <c r="D1810" s="192">
        <f t="shared" si="141"/>
        <v>45183</v>
      </c>
      <c r="E1810" s="193">
        <f t="shared" si="140"/>
        <v>45183</v>
      </c>
      <c r="F1810" s="514"/>
      <c r="G1810" s="194" t="s">
        <v>1209</v>
      </c>
      <c r="H1810" s="195"/>
      <c r="I1810" s="195" t="s">
        <v>880</v>
      </c>
      <c r="J1810" s="191" t="s">
        <v>46</v>
      </c>
      <c r="K1810" s="196"/>
      <c r="L1810" s="196">
        <v>100002.96</v>
      </c>
    </row>
    <row r="1811" spans="1:14" ht="11.25" customHeight="1" x14ac:dyDescent="0.2">
      <c r="A1811" s="197">
        <v>2023</v>
      </c>
      <c r="B1811" s="197">
        <v>9</v>
      </c>
      <c r="C1811" s="197">
        <v>14</v>
      </c>
      <c r="D1811" s="198">
        <f t="shared" si="141"/>
        <v>45183</v>
      </c>
      <c r="E1811" s="209">
        <f t="shared" si="140"/>
        <v>45183</v>
      </c>
      <c r="F1811" s="513" t="s">
        <v>1210</v>
      </c>
      <c r="G1811" s="200" t="s">
        <v>1209</v>
      </c>
      <c r="H1811" s="201"/>
      <c r="I1811" s="201" t="s">
        <v>1438</v>
      </c>
      <c r="J1811" s="197" t="s">
        <v>46</v>
      </c>
      <c r="K1811" s="202">
        <v>500000</v>
      </c>
      <c r="L1811" s="202"/>
    </row>
    <row r="1812" spans="1:14" ht="11.25" customHeight="1" x14ac:dyDescent="0.2">
      <c r="A1812" s="120">
        <v>2023</v>
      </c>
      <c r="B1812" s="120">
        <v>9</v>
      </c>
      <c r="C1812" s="120">
        <v>14</v>
      </c>
      <c r="D1812" s="208">
        <f t="shared" si="141"/>
        <v>45183</v>
      </c>
      <c r="E1812" s="209">
        <f t="shared" si="140"/>
        <v>45183</v>
      </c>
      <c r="F1812" s="515"/>
      <c r="G1812" s="132" t="s">
        <v>1209</v>
      </c>
      <c r="I1812" s="128" t="s">
        <v>1438</v>
      </c>
      <c r="J1812" s="120" t="s">
        <v>16</v>
      </c>
      <c r="K1812" s="207"/>
      <c r="L1812" s="207">
        <v>478290</v>
      </c>
    </row>
    <row r="1813" spans="1:14" ht="11.25" customHeight="1" x14ac:dyDescent="0.2">
      <c r="A1813" s="191">
        <v>2023</v>
      </c>
      <c r="B1813" s="191">
        <v>9</v>
      </c>
      <c r="C1813" s="191">
        <v>14</v>
      </c>
      <c r="D1813" s="192">
        <f t="shared" si="141"/>
        <v>45183</v>
      </c>
      <c r="E1813" s="193">
        <f t="shared" si="140"/>
        <v>45183</v>
      </c>
      <c r="F1813" s="514"/>
      <c r="G1813" s="194" t="s">
        <v>1209</v>
      </c>
      <c r="H1813" s="195"/>
      <c r="I1813" s="195" t="s">
        <v>1438</v>
      </c>
      <c r="J1813" s="191" t="s">
        <v>47</v>
      </c>
      <c r="K1813" s="196"/>
      <c r="L1813" s="196">
        <v>21710</v>
      </c>
    </row>
    <row r="1814" spans="1:14" ht="11.25" customHeight="1" x14ac:dyDescent="0.2">
      <c r="A1814" s="197">
        <v>2023</v>
      </c>
      <c r="B1814" s="197">
        <v>9</v>
      </c>
      <c r="C1814" s="197">
        <v>14</v>
      </c>
      <c r="D1814" s="198">
        <f t="shared" si="141"/>
        <v>45183</v>
      </c>
      <c r="E1814" s="209">
        <f t="shared" ref="E1814:E1878" si="142">DATE(A1814,B1814,C1814)</f>
        <v>45183</v>
      </c>
      <c r="F1814" s="513" t="s">
        <v>1210</v>
      </c>
      <c r="G1814" s="200" t="s">
        <v>1209</v>
      </c>
      <c r="H1814" s="201"/>
      <c r="I1814" s="201" t="s">
        <v>1438</v>
      </c>
      <c r="J1814" s="197" t="s">
        <v>46</v>
      </c>
      <c r="K1814" s="202">
        <v>100000</v>
      </c>
      <c r="L1814" s="202"/>
    </row>
    <row r="1815" spans="1:14" ht="11.25" customHeight="1" x14ac:dyDescent="0.2">
      <c r="A1815" s="120">
        <v>2023</v>
      </c>
      <c r="B1815" s="120">
        <v>9</v>
      </c>
      <c r="C1815" s="120">
        <v>14</v>
      </c>
      <c r="D1815" s="208">
        <f t="shared" si="141"/>
        <v>45183</v>
      </c>
      <c r="E1815" s="209">
        <f t="shared" si="142"/>
        <v>45183</v>
      </c>
      <c r="F1815" s="515"/>
      <c r="G1815" s="132" t="s">
        <v>1209</v>
      </c>
      <c r="I1815" s="128" t="s">
        <v>1438</v>
      </c>
      <c r="J1815" s="120" t="s">
        <v>16</v>
      </c>
      <c r="K1815" s="207"/>
      <c r="L1815" s="207">
        <v>95660</v>
      </c>
    </row>
    <row r="1816" spans="1:14" ht="11.25" customHeight="1" x14ac:dyDescent="0.2">
      <c r="A1816" s="191">
        <v>2023</v>
      </c>
      <c r="B1816" s="191">
        <v>9</v>
      </c>
      <c r="C1816" s="191">
        <v>14</v>
      </c>
      <c r="D1816" s="192">
        <f t="shared" si="141"/>
        <v>45183</v>
      </c>
      <c r="E1816" s="193">
        <f t="shared" si="142"/>
        <v>45183</v>
      </c>
      <c r="F1816" s="514"/>
      <c r="G1816" s="194" t="s">
        <v>1209</v>
      </c>
      <c r="H1816" s="195"/>
      <c r="I1816" s="195" t="s">
        <v>1438</v>
      </c>
      <c r="J1816" s="191" t="s">
        <v>47</v>
      </c>
      <c r="K1816" s="196"/>
      <c r="L1816" s="196">
        <v>4340</v>
      </c>
    </row>
    <row r="1817" spans="1:14" ht="11.25" customHeight="1" x14ac:dyDescent="0.2">
      <c r="A1817" s="197">
        <v>2023</v>
      </c>
      <c r="B1817" s="197">
        <v>9</v>
      </c>
      <c r="C1817" s="197">
        <v>14</v>
      </c>
      <c r="D1817" s="198">
        <f t="shared" si="141"/>
        <v>45183</v>
      </c>
      <c r="E1817" s="199">
        <f t="shared" si="142"/>
        <v>45183</v>
      </c>
      <c r="F1817" s="513" t="s">
        <v>1439</v>
      </c>
      <c r="G1817" s="200" t="s">
        <v>1209</v>
      </c>
      <c r="H1817" s="201"/>
      <c r="I1817" s="201" t="s">
        <v>1253</v>
      </c>
      <c r="J1817" s="197" t="s">
        <v>46</v>
      </c>
      <c r="K1817" s="202">
        <v>10334518.5</v>
      </c>
      <c r="L1817" s="202"/>
    </row>
    <row r="1818" spans="1:14" ht="11.25" customHeight="1" x14ac:dyDescent="0.2">
      <c r="A1818" s="120">
        <v>2023</v>
      </c>
      <c r="B1818" s="120">
        <v>9</v>
      </c>
      <c r="C1818" s="120">
        <v>14</v>
      </c>
      <c r="D1818" s="208">
        <f t="shared" si="141"/>
        <v>45183</v>
      </c>
      <c r="E1818" s="209">
        <f t="shared" si="142"/>
        <v>45183</v>
      </c>
      <c r="F1818" s="515"/>
      <c r="G1818" s="132" t="s">
        <v>1209</v>
      </c>
      <c r="J1818" s="120" t="s">
        <v>1476</v>
      </c>
      <c r="K1818" s="207"/>
      <c r="L1818" s="207">
        <v>140266.09999999963</v>
      </c>
    </row>
    <row r="1819" spans="1:14" ht="11.25" customHeight="1" x14ac:dyDescent="0.2">
      <c r="A1819" s="191">
        <v>2023</v>
      </c>
      <c r="B1819" s="191">
        <v>9</v>
      </c>
      <c r="C1819" s="191">
        <v>14</v>
      </c>
      <c r="D1819" s="192">
        <f t="shared" si="141"/>
        <v>45183</v>
      </c>
      <c r="E1819" s="193">
        <f t="shared" si="142"/>
        <v>45183</v>
      </c>
      <c r="F1819" s="514"/>
      <c r="G1819" s="194" t="s">
        <v>1209</v>
      </c>
      <c r="H1819" s="195"/>
      <c r="I1819" s="195" t="s">
        <v>1253</v>
      </c>
      <c r="J1819" s="191" t="s">
        <v>1475</v>
      </c>
      <c r="K1819" s="196"/>
      <c r="L1819" s="196">
        <v>10194252.4</v>
      </c>
      <c r="N1819" s="130"/>
    </row>
    <row r="1820" spans="1:14" ht="11.25" customHeight="1" x14ac:dyDescent="0.2">
      <c r="A1820" s="197">
        <v>2023</v>
      </c>
      <c r="B1820" s="197">
        <v>9</v>
      </c>
      <c r="C1820" s="197">
        <v>14</v>
      </c>
      <c r="D1820" s="198">
        <f t="shared" si="141"/>
        <v>45183</v>
      </c>
      <c r="E1820" s="199">
        <f>DATE(A1820,B1820,C1820)</f>
        <v>45183</v>
      </c>
      <c r="F1820" s="513" t="s">
        <v>1323</v>
      </c>
      <c r="G1820" s="200" t="s">
        <v>1209</v>
      </c>
      <c r="H1820" s="201"/>
      <c r="I1820" s="201"/>
      <c r="J1820" s="197" t="s">
        <v>54</v>
      </c>
      <c r="K1820" s="202">
        <v>60</v>
      </c>
      <c r="L1820" s="202"/>
    </row>
    <row r="1821" spans="1:14" ht="11.25" customHeight="1" x14ac:dyDescent="0.2">
      <c r="A1821" s="191">
        <v>2023</v>
      </c>
      <c r="B1821" s="191">
        <v>9</v>
      </c>
      <c r="C1821" s="191">
        <v>14</v>
      </c>
      <c r="D1821" s="192">
        <f t="shared" si="141"/>
        <v>45183</v>
      </c>
      <c r="E1821" s="193">
        <f>DATE(A1821,B1821,C1821)</f>
        <v>45183</v>
      </c>
      <c r="F1821" s="514"/>
      <c r="G1821" s="194" t="s">
        <v>1209</v>
      </c>
      <c r="H1821" s="195"/>
      <c r="I1821" s="195"/>
      <c r="J1821" s="191" t="s">
        <v>46</v>
      </c>
      <c r="K1821" s="196"/>
      <c r="L1821" s="196">
        <v>60</v>
      </c>
    </row>
    <row r="1822" spans="1:14" ht="11.25" customHeight="1" x14ac:dyDescent="0.2">
      <c r="A1822" s="210">
        <v>2023</v>
      </c>
      <c r="B1822" s="210">
        <v>9</v>
      </c>
      <c r="C1822" s="210">
        <v>14</v>
      </c>
      <c r="D1822" s="211">
        <f t="shared" si="141"/>
        <v>45183</v>
      </c>
      <c r="E1822" s="238">
        <f t="shared" si="142"/>
        <v>45183</v>
      </c>
      <c r="F1822" s="520" t="s">
        <v>1278</v>
      </c>
      <c r="G1822" s="213" t="s">
        <v>1245</v>
      </c>
      <c r="H1822" s="214"/>
      <c r="I1822" s="214" t="s">
        <v>1253</v>
      </c>
      <c r="J1822" s="210" t="s">
        <v>1529</v>
      </c>
      <c r="K1822" s="215">
        <v>6512.28</v>
      </c>
      <c r="L1822" s="215"/>
    </row>
    <row r="1823" spans="1:14" ht="11.25" customHeight="1" x14ac:dyDescent="0.2">
      <c r="A1823" s="216">
        <v>2023</v>
      </c>
      <c r="B1823" s="216">
        <v>9</v>
      </c>
      <c r="C1823" s="216">
        <v>14</v>
      </c>
      <c r="D1823" s="217">
        <f t="shared" si="141"/>
        <v>45183</v>
      </c>
      <c r="E1823" s="239">
        <f t="shared" si="142"/>
        <v>45183</v>
      </c>
      <c r="F1823" s="521"/>
      <c r="G1823" s="219" t="s">
        <v>1245</v>
      </c>
      <c r="H1823" s="220"/>
      <c r="I1823" s="220" t="s">
        <v>1253</v>
      </c>
      <c r="J1823" s="216" t="s">
        <v>1581</v>
      </c>
      <c r="K1823" s="221"/>
      <c r="L1823" s="221">
        <v>6512.28</v>
      </c>
    </row>
    <row r="1824" spans="1:14" ht="11.25" customHeight="1" x14ac:dyDescent="0.2">
      <c r="A1824" s="210">
        <v>2023</v>
      </c>
      <c r="B1824" s="210">
        <v>9</v>
      </c>
      <c r="C1824" s="210">
        <v>14</v>
      </c>
      <c r="D1824" s="211">
        <f t="shared" si="141"/>
        <v>45183</v>
      </c>
      <c r="E1824" s="238">
        <f t="shared" si="142"/>
        <v>45183</v>
      </c>
      <c r="F1824" s="520" t="s">
        <v>1285</v>
      </c>
      <c r="G1824" s="213" t="s">
        <v>1245</v>
      </c>
      <c r="H1824" s="214"/>
      <c r="I1824" s="214" t="s">
        <v>1253</v>
      </c>
      <c r="J1824" s="210" t="s">
        <v>1284</v>
      </c>
      <c r="K1824" s="215">
        <v>13771.15</v>
      </c>
      <c r="L1824" s="215"/>
    </row>
    <row r="1825" spans="1:12" ht="11.25" customHeight="1" x14ac:dyDescent="0.2">
      <c r="A1825" s="242">
        <v>2023</v>
      </c>
      <c r="B1825" s="216">
        <v>9</v>
      </c>
      <c r="C1825" s="216">
        <v>14</v>
      </c>
      <c r="D1825" s="243">
        <f t="shared" si="141"/>
        <v>45183</v>
      </c>
      <c r="E1825" s="244">
        <f>DATE(A1825,B1825,C1825)</f>
        <v>45183</v>
      </c>
      <c r="F1825" s="524"/>
      <c r="G1825" s="245" t="s">
        <v>1245</v>
      </c>
      <c r="H1825" s="246"/>
      <c r="I1825" s="246"/>
      <c r="J1825" s="242" t="s">
        <v>1582</v>
      </c>
      <c r="K1825" s="247"/>
      <c r="L1825" s="247">
        <v>13771.15</v>
      </c>
    </row>
    <row r="1826" spans="1:12" ht="11.25" customHeight="1" x14ac:dyDescent="0.2">
      <c r="A1826" s="210">
        <v>2023</v>
      </c>
      <c r="B1826" s="210">
        <v>9</v>
      </c>
      <c r="C1826" s="210">
        <v>14</v>
      </c>
      <c r="D1826" s="211">
        <f t="shared" si="141"/>
        <v>45183</v>
      </c>
      <c r="E1826" s="238">
        <f t="shared" si="142"/>
        <v>45183</v>
      </c>
      <c r="F1826" s="520" t="s">
        <v>1259</v>
      </c>
      <c r="G1826" s="213" t="s">
        <v>1245</v>
      </c>
      <c r="H1826" s="214"/>
      <c r="I1826" s="214" t="s">
        <v>1253</v>
      </c>
      <c r="J1826" s="210" t="s">
        <v>58</v>
      </c>
      <c r="K1826" s="215">
        <v>4312.16</v>
      </c>
      <c r="L1826" s="215"/>
    </row>
    <row r="1827" spans="1:12" ht="11.25" customHeight="1" x14ac:dyDescent="0.2">
      <c r="A1827" s="216">
        <v>2023</v>
      </c>
      <c r="B1827" s="216">
        <v>9</v>
      </c>
      <c r="C1827" s="216">
        <v>14</v>
      </c>
      <c r="D1827" s="217">
        <f t="shared" si="141"/>
        <v>45183</v>
      </c>
      <c r="E1827" s="239">
        <f t="shared" si="142"/>
        <v>45183</v>
      </c>
      <c r="F1827" s="521"/>
      <c r="G1827" s="219" t="s">
        <v>1245</v>
      </c>
      <c r="H1827" s="220"/>
      <c r="I1827" s="220" t="s">
        <v>1253</v>
      </c>
      <c r="J1827" s="216" t="s">
        <v>153</v>
      </c>
      <c r="K1827" s="221"/>
      <c r="L1827" s="221">
        <v>4312.16</v>
      </c>
    </row>
    <row r="1828" spans="1:12" ht="11.25" customHeight="1" x14ac:dyDescent="0.2">
      <c r="A1828" s="210">
        <v>2023</v>
      </c>
      <c r="B1828" s="210">
        <v>9</v>
      </c>
      <c r="C1828" s="210">
        <v>14</v>
      </c>
      <c r="D1828" s="211">
        <f t="shared" si="141"/>
        <v>45183</v>
      </c>
      <c r="E1828" s="238">
        <f t="shared" si="142"/>
        <v>45183</v>
      </c>
      <c r="F1828" s="520" t="s">
        <v>1255</v>
      </c>
      <c r="G1828" s="213" t="s">
        <v>1245</v>
      </c>
      <c r="H1828" s="214"/>
      <c r="I1828" s="214" t="s">
        <v>1253</v>
      </c>
      <c r="J1828" s="210" t="s">
        <v>113</v>
      </c>
      <c r="K1828" s="215">
        <v>44961.54</v>
      </c>
      <c r="L1828" s="215"/>
    </row>
    <row r="1829" spans="1:12" ht="11.25" customHeight="1" x14ac:dyDescent="0.2">
      <c r="A1829" s="216">
        <v>2023</v>
      </c>
      <c r="B1829" s="216">
        <v>9</v>
      </c>
      <c r="C1829" s="216">
        <v>14</v>
      </c>
      <c r="D1829" s="217">
        <f t="shared" si="141"/>
        <v>45183</v>
      </c>
      <c r="E1829" s="239">
        <f t="shared" si="142"/>
        <v>45183</v>
      </c>
      <c r="F1829" s="521"/>
      <c r="G1829" s="219" t="s">
        <v>1245</v>
      </c>
      <c r="H1829" s="220"/>
      <c r="I1829" s="220" t="s">
        <v>1253</v>
      </c>
      <c r="J1829" s="216" t="s">
        <v>153</v>
      </c>
      <c r="K1829" s="221"/>
      <c r="L1829" s="221">
        <v>44961.54</v>
      </c>
    </row>
    <row r="1830" spans="1:12" ht="11.25" customHeight="1" x14ac:dyDescent="0.2">
      <c r="A1830" s="210">
        <v>2023</v>
      </c>
      <c r="B1830" s="210">
        <v>9</v>
      </c>
      <c r="C1830" s="210">
        <v>14</v>
      </c>
      <c r="D1830" s="211">
        <f t="shared" si="141"/>
        <v>45183</v>
      </c>
      <c r="E1830" s="238">
        <f t="shared" si="142"/>
        <v>45183</v>
      </c>
      <c r="F1830" s="520" t="s">
        <v>1256</v>
      </c>
      <c r="G1830" s="213" t="s">
        <v>1245</v>
      </c>
      <c r="H1830" s="214"/>
      <c r="I1830" s="214" t="s">
        <v>1253</v>
      </c>
      <c r="J1830" s="210" t="s">
        <v>113</v>
      </c>
      <c r="K1830" s="215">
        <v>5925.93</v>
      </c>
      <c r="L1830" s="215"/>
    </row>
    <row r="1831" spans="1:12" ht="11.25" customHeight="1" x14ac:dyDescent="0.2">
      <c r="A1831" s="216">
        <v>2023</v>
      </c>
      <c r="B1831" s="216">
        <v>9</v>
      </c>
      <c r="C1831" s="216">
        <v>14</v>
      </c>
      <c r="D1831" s="217">
        <f t="shared" si="141"/>
        <v>45183</v>
      </c>
      <c r="E1831" s="239">
        <f t="shared" si="142"/>
        <v>45183</v>
      </c>
      <c r="F1831" s="521"/>
      <c r="G1831" s="219" t="s">
        <v>1245</v>
      </c>
      <c r="H1831" s="220"/>
      <c r="I1831" s="220" t="s">
        <v>1253</v>
      </c>
      <c r="J1831" s="216" t="s">
        <v>153</v>
      </c>
      <c r="K1831" s="221"/>
      <c r="L1831" s="221">
        <v>5925.93</v>
      </c>
    </row>
    <row r="1832" spans="1:12" ht="11.25" customHeight="1" x14ac:dyDescent="0.2">
      <c r="A1832" s="210">
        <v>2023</v>
      </c>
      <c r="B1832" s="210">
        <v>9</v>
      </c>
      <c r="C1832" s="210">
        <v>14</v>
      </c>
      <c r="D1832" s="211">
        <f t="shared" si="141"/>
        <v>45183</v>
      </c>
      <c r="E1832" s="238">
        <f t="shared" si="142"/>
        <v>45183</v>
      </c>
      <c r="F1832" s="520" t="s">
        <v>1257</v>
      </c>
      <c r="G1832" s="213" t="s">
        <v>1245</v>
      </c>
      <c r="H1832" s="214"/>
      <c r="I1832" s="214" t="s">
        <v>1253</v>
      </c>
      <c r="J1832" s="210" t="s">
        <v>113</v>
      </c>
      <c r="K1832" s="215">
        <v>27692.31</v>
      </c>
      <c r="L1832" s="215"/>
    </row>
    <row r="1833" spans="1:12" ht="11.25" customHeight="1" x14ac:dyDescent="0.2">
      <c r="A1833" s="216">
        <v>2023</v>
      </c>
      <c r="B1833" s="216">
        <v>9</v>
      </c>
      <c r="C1833" s="216">
        <v>14</v>
      </c>
      <c r="D1833" s="217">
        <f t="shared" si="141"/>
        <v>45183</v>
      </c>
      <c r="E1833" s="239">
        <f t="shared" si="142"/>
        <v>45183</v>
      </c>
      <c r="F1833" s="521"/>
      <c r="G1833" s="219" t="s">
        <v>1245</v>
      </c>
      <c r="H1833" s="220"/>
      <c r="I1833" s="220" t="s">
        <v>1253</v>
      </c>
      <c r="J1833" s="216" t="s">
        <v>153</v>
      </c>
      <c r="K1833" s="221"/>
      <c r="L1833" s="221">
        <v>27692.31</v>
      </c>
    </row>
    <row r="1834" spans="1:12" ht="11.25" customHeight="1" x14ac:dyDescent="0.2">
      <c r="A1834" s="259">
        <v>2023</v>
      </c>
      <c r="B1834" s="259">
        <v>9</v>
      </c>
      <c r="C1834" s="259">
        <v>14</v>
      </c>
      <c r="D1834" s="260">
        <f t="shared" si="141"/>
        <v>45183</v>
      </c>
      <c r="E1834" s="261">
        <f t="shared" si="142"/>
        <v>45183</v>
      </c>
      <c r="F1834" s="531" t="s">
        <v>1388</v>
      </c>
      <c r="G1834" s="262" t="s">
        <v>1245</v>
      </c>
      <c r="H1834" s="263"/>
      <c r="I1834" s="263" t="s">
        <v>1253</v>
      </c>
      <c r="J1834" s="259" t="s">
        <v>1476</v>
      </c>
      <c r="K1834" s="264">
        <v>12544.916666666666</v>
      </c>
      <c r="L1834" s="264"/>
    </row>
    <row r="1835" spans="1:12" ht="11.25" customHeight="1" x14ac:dyDescent="0.2">
      <c r="A1835" s="265">
        <v>2023</v>
      </c>
      <c r="B1835" s="265">
        <v>9</v>
      </c>
      <c r="C1835" s="265">
        <v>14</v>
      </c>
      <c r="D1835" s="266">
        <f t="shared" si="141"/>
        <v>45183</v>
      </c>
      <c r="E1835" s="267">
        <f t="shared" si="142"/>
        <v>45183</v>
      </c>
      <c r="F1835" s="532"/>
      <c r="G1835" s="268" t="s">
        <v>1245</v>
      </c>
      <c r="H1835" s="269"/>
      <c r="I1835" s="269" t="s">
        <v>1253</v>
      </c>
      <c r="J1835" s="265" t="s">
        <v>153</v>
      </c>
      <c r="K1835" s="270"/>
      <c r="L1835" s="270">
        <v>12544.916666666666</v>
      </c>
    </row>
    <row r="1836" spans="1:12" ht="11.25" customHeight="1" x14ac:dyDescent="0.2">
      <c r="A1836" s="259">
        <v>2023</v>
      </c>
      <c r="B1836" s="259">
        <v>9</v>
      </c>
      <c r="C1836" s="259">
        <v>14</v>
      </c>
      <c r="D1836" s="260">
        <f t="shared" si="141"/>
        <v>45183</v>
      </c>
      <c r="E1836" s="261">
        <f t="shared" si="142"/>
        <v>45183</v>
      </c>
      <c r="F1836" s="531" t="s">
        <v>1388</v>
      </c>
      <c r="G1836" s="262" t="s">
        <v>1245</v>
      </c>
      <c r="H1836" s="263"/>
      <c r="I1836" s="263" t="s">
        <v>1253</v>
      </c>
      <c r="J1836" s="259" t="s">
        <v>1476</v>
      </c>
      <c r="K1836" s="264">
        <v>10954.355555555576</v>
      </c>
      <c r="L1836" s="264"/>
    </row>
    <row r="1837" spans="1:12" ht="11.25" customHeight="1" x14ac:dyDescent="0.2">
      <c r="A1837" s="265">
        <v>2023</v>
      </c>
      <c r="B1837" s="265">
        <v>9</v>
      </c>
      <c r="C1837" s="265">
        <v>14</v>
      </c>
      <c r="D1837" s="266">
        <f t="shared" si="141"/>
        <v>45183</v>
      </c>
      <c r="E1837" s="267">
        <f t="shared" si="142"/>
        <v>45183</v>
      </c>
      <c r="F1837" s="532"/>
      <c r="G1837" s="268" t="s">
        <v>1245</v>
      </c>
      <c r="H1837" s="269"/>
      <c r="I1837" s="269" t="s">
        <v>1253</v>
      </c>
      <c r="J1837" s="265" t="s">
        <v>153</v>
      </c>
      <c r="K1837" s="270"/>
      <c r="L1837" s="270">
        <v>10954.355555555576</v>
      </c>
    </row>
    <row r="1838" spans="1:12" ht="11.25" customHeight="1" x14ac:dyDescent="0.2">
      <c r="A1838" s="259">
        <v>2023</v>
      </c>
      <c r="B1838" s="259">
        <v>9</v>
      </c>
      <c r="C1838" s="259">
        <v>14</v>
      </c>
      <c r="D1838" s="260">
        <f t="shared" si="141"/>
        <v>45183</v>
      </c>
      <c r="E1838" s="261">
        <f t="shared" si="142"/>
        <v>45183</v>
      </c>
      <c r="F1838" s="531" t="s">
        <v>1313</v>
      </c>
      <c r="G1838" s="262" t="s">
        <v>1245</v>
      </c>
      <c r="H1838" s="263"/>
      <c r="I1838" s="263" t="s">
        <v>1253</v>
      </c>
      <c r="J1838" s="259" t="s">
        <v>1476</v>
      </c>
      <c r="K1838" s="264">
        <v>8326.6666666666661</v>
      </c>
      <c r="L1838" s="264"/>
    </row>
    <row r="1839" spans="1:12" ht="11.25" customHeight="1" x14ac:dyDescent="0.2">
      <c r="A1839" s="265">
        <v>2023</v>
      </c>
      <c r="B1839" s="265">
        <v>9</v>
      </c>
      <c r="C1839" s="265">
        <v>14</v>
      </c>
      <c r="D1839" s="266">
        <f t="shared" si="141"/>
        <v>45183</v>
      </c>
      <c r="E1839" s="267">
        <f t="shared" si="142"/>
        <v>45183</v>
      </c>
      <c r="F1839" s="532"/>
      <c r="G1839" s="268" t="s">
        <v>1245</v>
      </c>
      <c r="H1839" s="269"/>
      <c r="I1839" s="269" t="s">
        <v>1253</v>
      </c>
      <c r="J1839" s="265" t="s">
        <v>153</v>
      </c>
      <c r="K1839" s="270"/>
      <c r="L1839" s="270">
        <v>8326.6666666666661</v>
      </c>
    </row>
    <row r="1840" spans="1:12" ht="11.25" customHeight="1" x14ac:dyDescent="0.2">
      <c r="A1840" s="259">
        <v>2023</v>
      </c>
      <c r="B1840" s="259">
        <v>9</v>
      </c>
      <c r="C1840" s="259">
        <v>14</v>
      </c>
      <c r="D1840" s="260">
        <f t="shared" si="141"/>
        <v>45183</v>
      </c>
      <c r="E1840" s="261">
        <f t="shared" si="142"/>
        <v>45183</v>
      </c>
      <c r="F1840" s="531" t="s">
        <v>1397</v>
      </c>
      <c r="G1840" s="262" t="s">
        <v>1245</v>
      </c>
      <c r="H1840" s="263"/>
      <c r="I1840" s="263" t="s">
        <v>1253</v>
      </c>
      <c r="J1840" s="259" t="s">
        <v>1476</v>
      </c>
      <c r="K1840" s="264">
        <v>3693.4422222222202</v>
      </c>
      <c r="L1840" s="264"/>
    </row>
    <row r="1841" spans="1:12" ht="11.25" customHeight="1" x14ac:dyDescent="0.2">
      <c r="A1841" s="265">
        <v>2023</v>
      </c>
      <c r="B1841" s="265">
        <v>9</v>
      </c>
      <c r="C1841" s="265">
        <v>14</v>
      </c>
      <c r="D1841" s="266">
        <f t="shared" si="141"/>
        <v>45183</v>
      </c>
      <c r="E1841" s="267">
        <f t="shared" si="142"/>
        <v>45183</v>
      </c>
      <c r="F1841" s="532"/>
      <c r="G1841" s="268" t="s">
        <v>1245</v>
      </c>
      <c r="H1841" s="269"/>
      <c r="I1841" s="269" t="s">
        <v>1253</v>
      </c>
      <c r="J1841" s="265" t="s">
        <v>153</v>
      </c>
      <c r="K1841" s="270"/>
      <c r="L1841" s="270">
        <v>3693.4422222222202</v>
      </c>
    </row>
    <row r="1842" spans="1:12" ht="11.25" customHeight="1" x14ac:dyDescent="0.2">
      <c r="A1842" s="259">
        <v>2023</v>
      </c>
      <c r="B1842" s="259">
        <v>9</v>
      </c>
      <c r="C1842" s="259">
        <v>14</v>
      </c>
      <c r="D1842" s="260">
        <f t="shared" si="141"/>
        <v>45183</v>
      </c>
      <c r="E1842" s="261">
        <f t="shared" si="142"/>
        <v>45183</v>
      </c>
      <c r="F1842" s="531" t="s">
        <v>1424</v>
      </c>
      <c r="G1842" s="262" t="s">
        <v>1245</v>
      </c>
      <c r="H1842" s="263"/>
      <c r="I1842" s="263" t="s">
        <v>1253</v>
      </c>
      <c r="J1842" s="259" t="s">
        <v>1476</v>
      </c>
      <c r="K1842" s="264">
        <v>6058.53</v>
      </c>
      <c r="L1842" s="264"/>
    </row>
    <row r="1843" spans="1:12" ht="11.25" customHeight="1" x14ac:dyDescent="0.2">
      <c r="A1843" s="265">
        <v>2023</v>
      </c>
      <c r="B1843" s="265">
        <v>9</v>
      </c>
      <c r="C1843" s="265">
        <v>14</v>
      </c>
      <c r="D1843" s="266">
        <f t="shared" si="141"/>
        <v>45183</v>
      </c>
      <c r="E1843" s="267">
        <f t="shared" si="142"/>
        <v>45183</v>
      </c>
      <c r="F1843" s="532"/>
      <c r="G1843" s="268" t="s">
        <v>1245</v>
      </c>
      <c r="H1843" s="269"/>
      <c r="I1843" s="269" t="s">
        <v>1253</v>
      </c>
      <c r="J1843" s="265" t="s">
        <v>153</v>
      </c>
      <c r="K1843" s="270"/>
      <c r="L1843" s="270">
        <v>6058.53</v>
      </c>
    </row>
    <row r="1844" spans="1:12" ht="11.25" customHeight="1" x14ac:dyDescent="0.2">
      <c r="A1844" s="259">
        <v>2023</v>
      </c>
      <c r="B1844" s="259">
        <v>9</v>
      </c>
      <c r="C1844" s="259">
        <v>14</v>
      </c>
      <c r="D1844" s="260">
        <f t="shared" si="141"/>
        <v>45183</v>
      </c>
      <c r="E1844" s="261">
        <f t="shared" si="142"/>
        <v>45183</v>
      </c>
      <c r="F1844" s="531" t="s">
        <v>1383</v>
      </c>
      <c r="G1844" s="262" t="s">
        <v>1245</v>
      </c>
      <c r="H1844" s="263"/>
      <c r="I1844" s="263" t="s">
        <v>1253</v>
      </c>
      <c r="J1844" s="259" t="s">
        <v>1476</v>
      </c>
      <c r="K1844" s="264">
        <v>6945.1</v>
      </c>
      <c r="L1844" s="264"/>
    </row>
    <row r="1845" spans="1:12" ht="11.25" customHeight="1" x14ac:dyDescent="0.2">
      <c r="A1845" s="265">
        <v>2023</v>
      </c>
      <c r="B1845" s="265">
        <v>9</v>
      </c>
      <c r="C1845" s="265">
        <v>14</v>
      </c>
      <c r="D1845" s="266">
        <f t="shared" si="141"/>
        <v>45183</v>
      </c>
      <c r="E1845" s="267">
        <f t="shared" si="142"/>
        <v>45183</v>
      </c>
      <c r="F1845" s="532"/>
      <c r="G1845" s="268" t="s">
        <v>1245</v>
      </c>
      <c r="H1845" s="269"/>
      <c r="I1845" s="269" t="s">
        <v>1253</v>
      </c>
      <c r="J1845" s="265" t="s">
        <v>153</v>
      </c>
      <c r="K1845" s="270"/>
      <c r="L1845" s="270">
        <v>6945.1</v>
      </c>
    </row>
    <row r="1846" spans="1:12" ht="11.25" customHeight="1" x14ac:dyDescent="0.2">
      <c r="A1846" s="259">
        <v>2023</v>
      </c>
      <c r="B1846" s="259">
        <v>9</v>
      </c>
      <c r="C1846" s="259">
        <v>14</v>
      </c>
      <c r="D1846" s="260">
        <f t="shared" si="141"/>
        <v>45183</v>
      </c>
      <c r="E1846" s="261">
        <f t="shared" si="142"/>
        <v>45183</v>
      </c>
      <c r="F1846" s="531" t="s">
        <v>1388</v>
      </c>
      <c r="G1846" s="262" t="s">
        <v>1245</v>
      </c>
      <c r="H1846" s="263"/>
      <c r="I1846" s="263" t="s">
        <v>1253</v>
      </c>
      <c r="J1846" s="259" t="s">
        <v>1476</v>
      </c>
      <c r="K1846" s="264">
        <v>3114.785555555537</v>
      </c>
      <c r="L1846" s="264"/>
    </row>
    <row r="1847" spans="1:12" ht="11.25" customHeight="1" x14ac:dyDescent="0.2">
      <c r="A1847" s="265">
        <v>2023</v>
      </c>
      <c r="B1847" s="265">
        <v>9</v>
      </c>
      <c r="C1847" s="265">
        <v>14</v>
      </c>
      <c r="D1847" s="266">
        <f t="shared" si="141"/>
        <v>45183</v>
      </c>
      <c r="E1847" s="267">
        <f t="shared" si="142"/>
        <v>45183</v>
      </c>
      <c r="F1847" s="532"/>
      <c r="G1847" s="268" t="s">
        <v>1245</v>
      </c>
      <c r="H1847" s="269"/>
      <c r="I1847" s="269" t="s">
        <v>1253</v>
      </c>
      <c r="J1847" s="265" t="s">
        <v>153</v>
      </c>
      <c r="K1847" s="270"/>
      <c r="L1847" s="270">
        <v>3114.785555555537</v>
      </c>
    </row>
    <row r="1848" spans="1:12" ht="11.25" customHeight="1" x14ac:dyDescent="0.2">
      <c r="A1848" s="259">
        <v>2023</v>
      </c>
      <c r="B1848" s="259">
        <v>9</v>
      </c>
      <c r="C1848" s="259">
        <v>14</v>
      </c>
      <c r="D1848" s="260">
        <f t="shared" si="141"/>
        <v>45183</v>
      </c>
      <c r="E1848" s="261">
        <f t="shared" si="142"/>
        <v>45183</v>
      </c>
      <c r="F1848" s="531" t="s">
        <v>1359</v>
      </c>
      <c r="G1848" s="262" t="s">
        <v>1245</v>
      </c>
      <c r="H1848" s="263"/>
      <c r="I1848" s="263" t="s">
        <v>1253</v>
      </c>
      <c r="J1848" s="259" t="s">
        <v>1476</v>
      </c>
      <c r="K1848" s="264">
        <v>8341.8499999999385</v>
      </c>
      <c r="L1848" s="264"/>
    </row>
    <row r="1849" spans="1:12" ht="11.25" customHeight="1" x14ac:dyDescent="0.2">
      <c r="A1849" s="265">
        <v>2023</v>
      </c>
      <c r="B1849" s="265">
        <v>9</v>
      </c>
      <c r="C1849" s="265">
        <v>14</v>
      </c>
      <c r="D1849" s="266">
        <f t="shared" si="141"/>
        <v>45183</v>
      </c>
      <c r="E1849" s="267">
        <f t="shared" si="142"/>
        <v>45183</v>
      </c>
      <c r="F1849" s="532"/>
      <c r="G1849" s="268" t="s">
        <v>1245</v>
      </c>
      <c r="H1849" s="269"/>
      <c r="I1849" s="269" t="s">
        <v>1253</v>
      </c>
      <c r="J1849" s="265" t="s">
        <v>153</v>
      </c>
      <c r="K1849" s="270"/>
      <c r="L1849" s="270">
        <v>8341.8499999999385</v>
      </c>
    </row>
    <row r="1850" spans="1:12" ht="11.25" customHeight="1" x14ac:dyDescent="0.2">
      <c r="A1850" s="222">
        <v>2023</v>
      </c>
      <c r="B1850" s="222">
        <v>9</v>
      </c>
      <c r="C1850" s="222">
        <v>14</v>
      </c>
      <c r="D1850" s="223">
        <f t="shared" si="141"/>
        <v>45183</v>
      </c>
      <c r="E1850" s="240">
        <f t="shared" si="142"/>
        <v>45183</v>
      </c>
      <c r="F1850" s="511" t="s">
        <v>1244</v>
      </c>
      <c r="G1850" s="225" t="s">
        <v>1245</v>
      </c>
      <c r="H1850" s="226"/>
      <c r="I1850" s="226" t="s">
        <v>1253</v>
      </c>
      <c r="J1850" s="222" t="s">
        <v>87</v>
      </c>
      <c r="K1850" s="227">
        <v>12243.071904759854</v>
      </c>
      <c r="L1850" s="227"/>
    </row>
    <row r="1851" spans="1:12" ht="11.25" customHeight="1" x14ac:dyDescent="0.2">
      <c r="A1851" s="228">
        <v>2023</v>
      </c>
      <c r="B1851" s="228">
        <v>9</v>
      </c>
      <c r="C1851" s="228">
        <v>14</v>
      </c>
      <c r="D1851" s="229">
        <f t="shared" si="141"/>
        <v>45183</v>
      </c>
      <c r="E1851" s="241">
        <f t="shared" si="142"/>
        <v>45183</v>
      </c>
      <c r="F1851" s="512"/>
      <c r="G1851" s="231" t="s">
        <v>1245</v>
      </c>
      <c r="H1851" s="232"/>
      <c r="I1851" s="232" t="s">
        <v>1253</v>
      </c>
      <c r="J1851" s="228" t="s">
        <v>72</v>
      </c>
      <c r="K1851" s="233"/>
      <c r="L1851" s="233">
        <v>12243.071904759854</v>
      </c>
    </row>
    <row r="1852" spans="1:12" ht="11.25" customHeight="1" x14ac:dyDescent="0.2">
      <c r="A1852" s="222">
        <v>2023</v>
      </c>
      <c r="B1852" s="222">
        <v>9</v>
      </c>
      <c r="C1852" s="222">
        <v>14</v>
      </c>
      <c r="D1852" s="223">
        <f t="shared" si="141"/>
        <v>45183</v>
      </c>
      <c r="E1852" s="240">
        <f t="shared" si="142"/>
        <v>45183</v>
      </c>
      <c r="F1852" s="511" t="s">
        <v>1246</v>
      </c>
      <c r="G1852" s="225" t="s">
        <v>1245</v>
      </c>
      <c r="H1852" s="226"/>
      <c r="I1852" s="226" t="s">
        <v>1253</v>
      </c>
      <c r="J1852" s="222" t="s">
        <v>75</v>
      </c>
      <c r="K1852" s="227">
        <v>3623.123846153846</v>
      </c>
      <c r="L1852" s="227"/>
    </row>
    <row r="1853" spans="1:12" ht="11.25" customHeight="1" x14ac:dyDescent="0.2">
      <c r="A1853" s="228">
        <v>2023</v>
      </c>
      <c r="B1853" s="228">
        <v>9</v>
      </c>
      <c r="C1853" s="228">
        <v>14</v>
      </c>
      <c r="D1853" s="229">
        <f t="shared" si="141"/>
        <v>45183</v>
      </c>
      <c r="E1853" s="241">
        <f t="shared" si="142"/>
        <v>45183</v>
      </c>
      <c r="F1853" s="512"/>
      <c r="G1853" s="231" t="s">
        <v>1245</v>
      </c>
      <c r="H1853" s="232"/>
      <c r="I1853" s="232" t="s">
        <v>1253</v>
      </c>
      <c r="J1853" s="228" t="s">
        <v>55</v>
      </c>
      <c r="K1853" s="233"/>
      <c r="L1853" s="233">
        <v>3623.123846153846</v>
      </c>
    </row>
    <row r="1854" spans="1:12" ht="11.25" customHeight="1" x14ac:dyDescent="0.2">
      <c r="A1854" s="222">
        <v>2023</v>
      </c>
      <c r="B1854" s="222">
        <v>9</v>
      </c>
      <c r="C1854" s="222">
        <v>14</v>
      </c>
      <c r="D1854" s="223">
        <f t="shared" si="141"/>
        <v>45183</v>
      </c>
      <c r="E1854" s="240">
        <f t="shared" si="142"/>
        <v>45183</v>
      </c>
      <c r="F1854" s="511" t="s">
        <v>1247</v>
      </c>
      <c r="G1854" s="225" t="s">
        <v>1245</v>
      </c>
      <c r="H1854" s="226"/>
      <c r="I1854" s="226" t="s">
        <v>1253</v>
      </c>
      <c r="J1854" s="222" t="s">
        <v>77</v>
      </c>
      <c r="K1854" s="227"/>
      <c r="L1854" s="227"/>
    </row>
    <row r="1855" spans="1:12" ht="11.25" customHeight="1" x14ac:dyDescent="0.2">
      <c r="A1855" s="228">
        <v>2023</v>
      </c>
      <c r="B1855" s="228">
        <v>9</v>
      </c>
      <c r="C1855" s="228">
        <v>14</v>
      </c>
      <c r="D1855" s="229">
        <f t="shared" si="141"/>
        <v>45183</v>
      </c>
      <c r="E1855" s="241">
        <f t="shared" si="142"/>
        <v>45183</v>
      </c>
      <c r="F1855" s="512"/>
      <c r="G1855" s="231" t="s">
        <v>1245</v>
      </c>
      <c r="H1855" s="232"/>
      <c r="I1855" s="232" t="s">
        <v>1253</v>
      </c>
      <c r="J1855" s="228" t="s">
        <v>41</v>
      </c>
      <c r="K1855" s="233"/>
      <c r="L1855" s="233"/>
    </row>
    <row r="1856" spans="1:12" ht="11.25" customHeight="1" x14ac:dyDescent="0.2">
      <c r="A1856" s="222">
        <v>2023</v>
      </c>
      <c r="B1856" s="222">
        <v>9</v>
      </c>
      <c r="C1856" s="222">
        <v>14</v>
      </c>
      <c r="D1856" s="223">
        <f t="shared" si="141"/>
        <v>45183</v>
      </c>
      <c r="E1856" s="240">
        <f t="shared" si="142"/>
        <v>45183</v>
      </c>
      <c r="F1856" s="511" t="s">
        <v>1248</v>
      </c>
      <c r="G1856" s="225" t="s">
        <v>1245</v>
      </c>
      <c r="H1856" s="226"/>
      <c r="I1856" s="226" t="s">
        <v>1253</v>
      </c>
      <c r="J1856" s="222" t="s">
        <v>80</v>
      </c>
      <c r="K1856" s="227">
        <v>1282.1100357150933</v>
      </c>
      <c r="L1856" s="227"/>
    </row>
    <row r="1857" spans="1:14" ht="11.25" customHeight="1" x14ac:dyDescent="0.2">
      <c r="A1857" s="228">
        <v>2023</v>
      </c>
      <c r="B1857" s="228">
        <v>9</v>
      </c>
      <c r="C1857" s="228">
        <v>14</v>
      </c>
      <c r="D1857" s="229">
        <f t="shared" si="141"/>
        <v>45183</v>
      </c>
      <c r="E1857" s="241">
        <f t="shared" si="142"/>
        <v>45183</v>
      </c>
      <c r="F1857" s="512"/>
      <c r="G1857" s="231" t="s">
        <v>1245</v>
      </c>
      <c r="H1857" s="232"/>
      <c r="I1857" s="232" t="s">
        <v>1253</v>
      </c>
      <c r="J1857" s="228" t="s">
        <v>42</v>
      </c>
      <c r="K1857" s="233"/>
      <c r="L1857" s="233">
        <v>1282.1100357150933</v>
      </c>
    </row>
    <row r="1858" spans="1:14" ht="11.25" customHeight="1" x14ac:dyDescent="0.2">
      <c r="A1858" s="197">
        <v>2023</v>
      </c>
      <c r="B1858" s="197">
        <v>9</v>
      </c>
      <c r="C1858" s="197">
        <v>17</v>
      </c>
      <c r="D1858" s="198">
        <f t="shared" si="141"/>
        <v>45186</v>
      </c>
      <c r="E1858" s="199">
        <f t="shared" si="142"/>
        <v>45186</v>
      </c>
      <c r="F1858" s="513" t="s">
        <v>1440</v>
      </c>
      <c r="G1858" s="200" t="s">
        <v>1209</v>
      </c>
      <c r="H1858" s="201"/>
      <c r="I1858" s="201" t="s">
        <v>1253</v>
      </c>
      <c r="J1858" s="197" t="s">
        <v>1475</v>
      </c>
      <c r="K1858" s="202">
        <v>10706574.9</v>
      </c>
      <c r="L1858" s="202"/>
    </row>
    <row r="1859" spans="1:14" ht="11.25" customHeight="1" x14ac:dyDescent="0.2">
      <c r="A1859" s="191">
        <v>2023</v>
      </c>
      <c r="B1859" s="191">
        <v>9</v>
      </c>
      <c r="C1859" s="191">
        <v>17</v>
      </c>
      <c r="D1859" s="192">
        <f t="shared" si="141"/>
        <v>45186</v>
      </c>
      <c r="E1859" s="193">
        <f t="shared" si="142"/>
        <v>45186</v>
      </c>
      <c r="F1859" s="514"/>
      <c r="G1859" s="194" t="s">
        <v>1209</v>
      </c>
      <c r="H1859" s="195"/>
      <c r="I1859" s="195" t="s">
        <v>1253</v>
      </c>
      <c r="J1859" s="191" t="s">
        <v>46</v>
      </c>
      <c r="K1859" s="196"/>
      <c r="L1859" s="196">
        <v>10706574.9</v>
      </c>
      <c r="N1859" s="130"/>
    </row>
    <row r="1860" spans="1:14" ht="11.25" customHeight="1" x14ac:dyDescent="0.2">
      <c r="A1860" s="197">
        <v>2023</v>
      </c>
      <c r="B1860" s="197">
        <v>9</v>
      </c>
      <c r="C1860" s="197">
        <v>17</v>
      </c>
      <c r="D1860" s="198">
        <f t="shared" si="141"/>
        <v>45186</v>
      </c>
      <c r="E1860" s="199">
        <f t="shared" ref="E1860:E1876" si="143">DATE(A1860,B1860,C1860)</f>
        <v>45186</v>
      </c>
      <c r="F1860" s="513" t="s">
        <v>1323</v>
      </c>
      <c r="G1860" s="200" t="s">
        <v>1209</v>
      </c>
      <c r="H1860" s="201"/>
      <c r="I1860" s="201"/>
      <c r="J1860" s="197" t="s">
        <v>54</v>
      </c>
      <c r="K1860" s="202">
        <v>58</v>
      </c>
      <c r="L1860" s="202"/>
    </row>
    <row r="1861" spans="1:14" ht="11.25" customHeight="1" x14ac:dyDescent="0.2">
      <c r="A1861" s="191">
        <v>2023</v>
      </c>
      <c r="B1861" s="191">
        <v>9</v>
      </c>
      <c r="C1861" s="191">
        <v>17</v>
      </c>
      <c r="D1861" s="192">
        <f t="shared" si="141"/>
        <v>45186</v>
      </c>
      <c r="E1861" s="193">
        <f t="shared" si="143"/>
        <v>45186</v>
      </c>
      <c r="F1861" s="514"/>
      <c r="G1861" s="194" t="s">
        <v>1209</v>
      </c>
      <c r="H1861" s="195"/>
      <c r="I1861" s="195"/>
      <c r="J1861" s="191" t="s">
        <v>46</v>
      </c>
      <c r="K1861" s="196"/>
      <c r="L1861" s="196">
        <v>58</v>
      </c>
    </row>
    <row r="1862" spans="1:14" ht="11.25" customHeight="1" x14ac:dyDescent="0.2">
      <c r="A1862" s="197">
        <v>2023</v>
      </c>
      <c r="B1862" s="197">
        <v>9</v>
      </c>
      <c r="C1862" s="197">
        <v>17</v>
      </c>
      <c r="D1862" s="198">
        <f t="shared" si="141"/>
        <v>45186</v>
      </c>
      <c r="E1862" s="199">
        <f t="shared" si="143"/>
        <v>45186</v>
      </c>
      <c r="F1862" s="513" t="s">
        <v>1441</v>
      </c>
      <c r="G1862" s="200" t="s">
        <v>1209</v>
      </c>
      <c r="H1862" s="201"/>
      <c r="I1862" s="201" t="s">
        <v>1253</v>
      </c>
      <c r="J1862" s="197" t="s">
        <v>46</v>
      </c>
      <c r="K1862" s="202">
        <v>8188308.2000000002</v>
      </c>
      <c r="L1862" s="202"/>
    </row>
    <row r="1863" spans="1:14" ht="11.25" customHeight="1" x14ac:dyDescent="0.2">
      <c r="A1863" s="120">
        <v>2023</v>
      </c>
      <c r="B1863" s="120">
        <v>9</v>
      </c>
      <c r="C1863" s="120">
        <v>17</v>
      </c>
      <c r="D1863" s="208">
        <f t="shared" si="141"/>
        <v>45186</v>
      </c>
      <c r="E1863" s="209">
        <f t="shared" si="143"/>
        <v>45186</v>
      </c>
      <c r="F1863" s="515"/>
      <c r="G1863" s="132" t="s">
        <v>1209</v>
      </c>
      <c r="J1863" s="120" t="s">
        <v>1476</v>
      </c>
      <c r="K1863" s="207"/>
      <c r="L1863" s="207">
        <v>112904.25</v>
      </c>
    </row>
    <row r="1864" spans="1:14" ht="11.25" customHeight="1" x14ac:dyDescent="0.2">
      <c r="A1864" s="191">
        <v>2023</v>
      </c>
      <c r="B1864" s="191">
        <v>9</v>
      </c>
      <c r="C1864" s="191">
        <v>17</v>
      </c>
      <c r="D1864" s="192">
        <f t="shared" si="141"/>
        <v>45186</v>
      </c>
      <c r="E1864" s="193">
        <f t="shared" si="143"/>
        <v>45186</v>
      </c>
      <c r="F1864" s="514"/>
      <c r="G1864" s="194" t="s">
        <v>1209</v>
      </c>
      <c r="H1864" s="195"/>
      <c r="I1864" s="195" t="s">
        <v>1253</v>
      </c>
      <c r="J1864" s="191" t="s">
        <v>1475</v>
      </c>
      <c r="K1864" s="196"/>
      <c r="L1864" s="196">
        <v>8075403.9500000002</v>
      </c>
      <c r="N1864" s="130"/>
    </row>
    <row r="1865" spans="1:14" ht="11.25" customHeight="1" x14ac:dyDescent="0.2">
      <c r="A1865" s="197">
        <v>2023</v>
      </c>
      <c r="B1865" s="197">
        <v>9</v>
      </c>
      <c r="C1865" s="197">
        <v>18</v>
      </c>
      <c r="D1865" s="198">
        <f t="shared" si="141"/>
        <v>45187</v>
      </c>
      <c r="E1865" s="199">
        <f t="shared" si="143"/>
        <v>45187</v>
      </c>
      <c r="F1865" s="513" t="s">
        <v>1441</v>
      </c>
      <c r="G1865" s="200" t="s">
        <v>1209</v>
      </c>
      <c r="H1865" s="201"/>
      <c r="I1865" s="201" t="s">
        <v>1253</v>
      </c>
      <c r="J1865" s="197" t="s">
        <v>46</v>
      </c>
      <c r="K1865" s="202">
        <v>7150345.29</v>
      </c>
      <c r="L1865" s="202"/>
    </row>
    <row r="1866" spans="1:14" ht="11.25" customHeight="1" x14ac:dyDescent="0.2">
      <c r="A1866" s="120">
        <v>2023</v>
      </c>
      <c r="B1866" s="120">
        <v>9</v>
      </c>
      <c r="C1866" s="120">
        <v>18</v>
      </c>
      <c r="D1866" s="208">
        <f t="shared" si="141"/>
        <v>45187</v>
      </c>
      <c r="E1866" s="209">
        <f t="shared" si="143"/>
        <v>45187</v>
      </c>
      <c r="F1866" s="515"/>
      <c r="G1866" s="132" t="s">
        <v>1209</v>
      </c>
      <c r="J1866" s="120" t="s">
        <v>1476</v>
      </c>
      <c r="K1866" s="207"/>
      <c r="L1866" s="207">
        <v>98589.200000000186</v>
      </c>
    </row>
    <row r="1867" spans="1:14" ht="11.25" customHeight="1" x14ac:dyDescent="0.2">
      <c r="A1867" s="191">
        <v>2023</v>
      </c>
      <c r="B1867" s="191">
        <v>9</v>
      </c>
      <c r="C1867" s="191">
        <v>18</v>
      </c>
      <c r="D1867" s="192">
        <f t="shared" si="141"/>
        <v>45187</v>
      </c>
      <c r="E1867" s="193">
        <f t="shared" si="143"/>
        <v>45187</v>
      </c>
      <c r="F1867" s="514"/>
      <c r="G1867" s="194" t="s">
        <v>1209</v>
      </c>
      <c r="H1867" s="195"/>
      <c r="I1867" s="195" t="s">
        <v>1253</v>
      </c>
      <c r="J1867" s="191" t="s">
        <v>1475</v>
      </c>
      <c r="K1867" s="196"/>
      <c r="L1867" s="196">
        <v>7051756.0899999999</v>
      </c>
      <c r="N1867" s="130"/>
    </row>
    <row r="1868" spans="1:14" ht="11.25" customHeight="1" x14ac:dyDescent="0.2">
      <c r="A1868" s="197">
        <v>2023</v>
      </c>
      <c r="B1868" s="197">
        <v>9</v>
      </c>
      <c r="C1868" s="197">
        <v>17</v>
      </c>
      <c r="D1868" s="198">
        <f t="shared" si="141"/>
        <v>45186</v>
      </c>
      <c r="E1868" s="209">
        <f t="shared" si="143"/>
        <v>45186</v>
      </c>
      <c r="F1868" s="513" t="s">
        <v>1296</v>
      </c>
      <c r="G1868" s="200" t="s">
        <v>1209</v>
      </c>
      <c r="H1868" s="201"/>
      <c r="I1868" s="201"/>
      <c r="J1868" s="197" t="s">
        <v>46</v>
      </c>
      <c r="K1868" s="202">
        <v>5000</v>
      </c>
      <c r="L1868" s="202"/>
    </row>
    <row r="1869" spans="1:14" ht="11.25" customHeight="1" x14ac:dyDescent="0.2">
      <c r="A1869" s="120">
        <v>2023</v>
      </c>
      <c r="B1869" s="120">
        <v>9</v>
      </c>
      <c r="C1869" s="120">
        <v>17</v>
      </c>
      <c r="D1869" s="208">
        <f t="shared" si="141"/>
        <v>45186</v>
      </c>
      <c r="E1869" s="209">
        <f t="shared" si="143"/>
        <v>45186</v>
      </c>
      <c r="F1869" s="515"/>
      <c r="G1869" s="132" t="s">
        <v>1209</v>
      </c>
      <c r="J1869" s="120" t="s">
        <v>16</v>
      </c>
      <c r="K1869" s="207"/>
      <c r="L1869" s="207">
        <v>4780</v>
      </c>
    </row>
    <row r="1870" spans="1:14" ht="11.25" customHeight="1" x14ac:dyDescent="0.2">
      <c r="A1870" s="191">
        <v>2023</v>
      </c>
      <c r="B1870" s="191">
        <v>9</v>
      </c>
      <c r="C1870" s="191">
        <v>17</v>
      </c>
      <c r="D1870" s="192">
        <f t="shared" si="141"/>
        <v>45186</v>
      </c>
      <c r="E1870" s="193">
        <f t="shared" si="143"/>
        <v>45186</v>
      </c>
      <c r="F1870" s="514"/>
      <c r="G1870" s="194" t="s">
        <v>1209</v>
      </c>
      <c r="H1870" s="195"/>
      <c r="I1870" s="195"/>
      <c r="J1870" s="191" t="s">
        <v>47</v>
      </c>
      <c r="K1870" s="196"/>
      <c r="L1870" s="196">
        <v>220</v>
      </c>
    </row>
    <row r="1871" spans="1:14" ht="11.25" customHeight="1" x14ac:dyDescent="0.2">
      <c r="A1871" s="197">
        <v>2023</v>
      </c>
      <c r="B1871" s="197">
        <v>9</v>
      </c>
      <c r="C1871" s="197">
        <v>18</v>
      </c>
      <c r="D1871" s="198">
        <f t="shared" ref="D1871:D1932" si="144">DATE(A1871,B1871,C1871)</f>
        <v>45187</v>
      </c>
      <c r="E1871" s="209">
        <f t="shared" si="143"/>
        <v>45187</v>
      </c>
      <c r="F1871" s="513" t="s">
        <v>1296</v>
      </c>
      <c r="G1871" s="200" t="s">
        <v>1209</v>
      </c>
      <c r="H1871" s="201"/>
      <c r="I1871" s="201"/>
      <c r="J1871" s="197" t="s">
        <v>46</v>
      </c>
      <c r="K1871" s="202">
        <v>20000</v>
      </c>
      <c r="L1871" s="202"/>
    </row>
    <row r="1872" spans="1:14" ht="11.25" customHeight="1" x14ac:dyDescent="0.2">
      <c r="A1872" s="120">
        <v>2023</v>
      </c>
      <c r="B1872" s="120">
        <v>9</v>
      </c>
      <c r="C1872" s="120">
        <v>18</v>
      </c>
      <c r="D1872" s="208">
        <f t="shared" si="144"/>
        <v>45187</v>
      </c>
      <c r="E1872" s="209">
        <f t="shared" si="143"/>
        <v>45187</v>
      </c>
      <c r="F1872" s="515"/>
      <c r="G1872" s="132" t="s">
        <v>1209</v>
      </c>
      <c r="J1872" s="120" t="s">
        <v>16</v>
      </c>
      <c r="K1872" s="207"/>
      <c r="L1872" s="207">
        <v>19110</v>
      </c>
    </row>
    <row r="1873" spans="1:13" ht="11.25" customHeight="1" x14ac:dyDescent="0.2">
      <c r="A1873" s="191">
        <v>2023</v>
      </c>
      <c r="B1873" s="191">
        <v>9</v>
      </c>
      <c r="C1873" s="191">
        <v>18</v>
      </c>
      <c r="D1873" s="192">
        <f t="shared" si="144"/>
        <v>45187</v>
      </c>
      <c r="E1873" s="193">
        <f t="shared" si="143"/>
        <v>45187</v>
      </c>
      <c r="F1873" s="514"/>
      <c r="G1873" s="194" t="s">
        <v>1209</v>
      </c>
      <c r="H1873" s="195"/>
      <c r="I1873" s="195"/>
      <c r="J1873" s="191" t="s">
        <v>47</v>
      </c>
      <c r="K1873" s="196"/>
      <c r="L1873" s="196">
        <v>890</v>
      </c>
    </row>
    <row r="1874" spans="1:13" ht="11.25" customHeight="1" x14ac:dyDescent="0.2">
      <c r="A1874" s="197">
        <v>2023</v>
      </c>
      <c r="B1874" s="197">
        <v>9</v>
      </c>
      <c r="C1874" s="197">
        <v>18</v>
      </c>
      <c r="D1874" s="198">
        <f t="shared" si="144"/>
        <v>45187</v>
      </c>
      <c r="E1874" s="209">
        <f t="shared" si="143"/>
        <v>45187</v>
      </c>
      <c r="F1874" s="513" t="s">
        <v>1210</v>
      </c>
      <c r="G1874" s="200" t="s">
        <v>1209</v>
      </c>
      <c r="H1874" s="201"/>
      <c r="I1874" s="201" t="s">
        <v>424</v>
      </c>
      <c r="J1874" s="197" t="s">
        <v>46</v>
      </c>
      <c r="K1874" s="202">
        <v>24000</v>
      </c>
      <c r="L1874" s="202"/>
    </row>
    <row r="1875" spans="1:13" ht="11.25" customHeight="1" x14ac:dyDescent="0.2">
      <c r="A1875" s="120">
        <v>2023</v>
      </c>
      <c r="B1875" s="120">
        <v>9</v>
      </c>
      <c r="C1875" s="120">
        <v>18</v>
      </c>
      <c r="D1875" s="208">
        <f t="shared" si="144"/>
        <v>45187</v>
      </c>
      <c r="E1875" s="209">
        <f t="shared" si="143"/>
        <v>45187</v>
      </c>
      <c r="F1875" s="515"/>
      <c r="G1875" s="132" t="s">
        <v>1209</v>
      </c>
      <c r="I1875" s="128" t="s">
        <v>424</v>
      </c>
      <c r="J1875" s="120" t="s">
        <v>16</v>
      </c>
      <c r="K1875" s="207"/>
      <c r="L1875" s="207">
        <v>22930</v>
      </c>
    </row>
    <row r="1876" spans="1:13" ht="11.25" customHeight="1" x14ac:dyDescent="0.2">
      <c r="A1876" s="191">
        <v>2023</v>
      </c>
      <c r="B1876" s="191">
        <v>9</v>
      </c>
      <c r="C1876" s="191">
        <v>18</v>
      </c>
      <c r="D1876" s="192">
        <f t="shared" si="144"/>
        <v>45187</v>
      </c>
      <c r="E1876" s="193">
        <f t="shared" si="143"/>
        <v>45187</v>
      </c>
      <c r="F1876" s="514"/>
      <c r="G1876" s="194" t="s">
        <v>1209</v>
      </c>
      <c r="H1876" s="195"/>
      <c r="I1876" s="195" t="s">
        <v>424</v>
      </c>
      <c r="J1876" s="191" t="s">
        <v>47</v>
      </c>
      <c r="K1876" s="196"/>
      <c r="L1876" s="196">
        <v>1070</v>
      </c>
    </row>
    <row r="1877" spans="1:13" ht="11.25" customHeight="1" x14ac:dyDescent="0.2">
      <c r="A1877" s="197">
        <v>2023</v>
      </c>
      <c r="B1877" s="197">
        <v>9</v>
      </c>
      <c r="C1877" s="197">
        <v>19</v>
      </c>
      <c r="D1877" s="198">
        <f t="shared" si="144"/>
        <v>45188</v>
      </c>
      <c r="E1877" s="199">
        <f t="shared" si="142"/>
        <v>45188</v>
      </c>
      <c r="F1877" s="513" t="s">
        <v>1389</v>
      </c>
      <c r="G1877" s="200" t="s">
        <v>1209</v>
      </c>
      <c r="H1877" s="200"/>
      <c r="I1877" s="201" t="s">
        <v>1253</v>
      </c>
      <c r="J1877" s="248" t="s">
        <v>84</v>
      </c>
      <c r="K1877" s="202">
        <v>25</v>
      </c>
      <c r="L1877" s="202"/>
      <c r="M1877" s="251"/>
    </row>
    <row r="1878" spans="1:13" ht="11.25" customHeight="1" x14ac:dyDescent="0.2">
      <c r="A1878" s="191">
        <v>2023</v>
      </c>
      <c r="B1878" s="191">
        <v>9</v>
      </c>
      <c r="C1878" s="191">
        <v>19</v>
      </c>
      <c r="D1878" s="198">
        <f t="shared" si="144"/>
        <v>45188</v>
      </c>
      <c r="E1878" s="193">
        <f t="shared" si="142"/>
        <v>45188</v>
      </c>
      <c r="F1878" s="514"/>
      <c r="G1878" s="194" t="s">
        <v>1209</v>
      </c>
      <c r="H1878" s="194"/>
      <c r="I1878" s="195" t="s">
        <v>1253</v>
      </c>
      <c r="J1878" s="250" t="s">
        <v>46</v>
      </c>
      <c r="K1878" s="196"/>
      <c r="L1878" s="196">
        <v>25</v>
      </c>
      <c r="M1878" s="251"/>
    </row>
    <row r="1879" spans="1:13" ht="11.25" customHeight="1" x14ac:dyDescent="0.2">
      <c r="A1879" s="197">
        <v>2023</v>
      </c>
      <c r="B1879" s="197">
        <v>9</v>
      </c>
      <c r="C1879" s="197">
        <v>19</v>
      </c>
      <c r="D1879" s="198">
        <f t="shared" si="144"/>
        <v>45188</v>
      </c>
      <c r="E1879" s="209">
        <f t="shared" ref="E1879:E1885" si="145">DATE(A1879,B1879,C1879)</f>
        <v>45188</v>
      </c>
      <c r="F1879" s="513" t="s">
        <v>1210</v>
      </c>
      <c r="G1879" s="200" t="s">
        <v>1209</v>
      </c>
      <c r="H1879" s="201"/>
      <c r="I1879" s="201" t="s">
        <v>827</v>
      </c>
      <c r="J1879" s="197" t="s">
        <v>46</v>
      </c>
      <c r="K1879" s="202">
        <v>2000000</v>
      </c>
      <c r="L1879" s="202"/>
    </row>
    <row r="1880" spans="1:13" ht="11.25" customHeight="1" x14ac:dyDescent="0.2">
      <c r="A1880" s="120">
        <v>2023</v>
      </c>
      <c r="B1880" s="120">
        <v>9</v>
      </c>
      <c r="C1880" s="120">
        <v>19</v>
      </c>
      <c r="D1880" s="208">
        <f t="shared" si="144"/>
        <v>45188</v>
      </c>
      <c r="E1880" s="209">
        <f t="shared" si="145"/>
        <v>45188</v>
      </c>
      <c r="F1880" s="515"/>
      <c r="G1880" s="132" t="s">
        <v>1209</v>
      </c>
      <c r="I1880" s="128" t="s">
        <v>827</v>
      </c>
      <c r="J1880" s="120" t="s">
        <v>16</v>
      </c>
      <c r="K1880" s="207"/>
      <c r="L1880" s="207">
        <v>1910770</v>
      </c>
    </row>
    <row r="1881" spans="1:13" ht="11.25" customHeight="1" x14ac:dyDescent="0.2">
      <c r="A1881" s="191">
        <v>2023</v>
      </c>
      <c r="B1881" s="191">
        <v>9</v>
      </c>
      <c r="C1881" s="191">
        <v>19</v>
      </c>
      <c r="D1881" s="192">
        <f t="shared" si="144"/>
        <v>45188</v>
      </c>
      <c r="E1881" s="193">
        <f t="shared" si="145"/>
        <v>45188</v>
      </c>
      <c r="F1881" s="514"/>
      <c r="G1881" s="194" t="s">
        <v>1209</v>
      </c>
      <c r="H1881" s="195"/>
      <c r="I1881" s="195" t="s">
        <v>827</v>
      </c>
      <c r="J1881" s="191" t="s">
        <v>47</v>
      </c>
      <c r="K1881" s="196"/>
      <c r="L1881" s="196">
        <v>89230</v>
      </c>
    </row>
    <row r="1882" spans="1:13" ht="11.25" customHeight="1" x14ac:dyDescent="0.2">
      <c r="A1882" s="197">
        <v>2023</v>
      </c>
      <c r="B1882" s="197">
        <v>9</v>
      </c>
      <c r="C1882" s="197">
        <v>19</v>
      </c>
      <c r="D1882" s="198">
        <f t="shared" si="144"/>
        <v>45188</v>
      </c>
      <c r="E1882" s="199">
        <f t="shared" si="145"/>
        <v>45188</v>
      </c>
      <c r="F1882" s="513" t="s">
        <v>1323</v>
      </c>
      <c r="G1882" s="200" t="s">
        <v>1209</v>
      </c>
      <c r="H1882" s="201"/>
      <c r="I1882" s="201"/>
      <c r="J1882" s="197" t="s">
        <v>54</v>
      </c>
      <c r="K1882" s="202">
        <v>60</v>
      </c>
      <c r="L1882" s="202"/>
    </row>
    <row r="1883" spans="1:13" ht="11.25" customHeight="1" x14ac:dyDescent="0.2">
      <c r="A1883" s="191">
        <v>2023</v>
      </c>
      <c r="B1883" s="191">
        <v>9</v>
      </c>
      <c r="C1883" s="191">
        <v>19</v>
      </c>
      <c r="D1883" s="192">
        <f t="shared" si="144"/>
        <v>45188</v>
      </c>
      <c r="E1883" s="193">
        <f t="shared" si="145"/>
        <v>45188</v>
      </c>
      <c r="F1883" s="514"/>
      <c r="G1883" s="194" t="s">
        <v>1209</v>
      </c>
      <c r="H1883" s="195"/>
      <c r="I1883" s="195"/>
      <c r="J1883" s="191" t="s">
        <v>46</v>
      </c>
      <c r="K1883" s="196"/>
      <c r="L1883" s="196">
        <v>60</v>
      </c>
    </row>
    <row r="1884" spans="1:13" ht="11.25" customHeight="1" x14ac:dyDescent="0.2">
      <c r="A1884" s="197">
        <v>2023</v>
      </c>
      <c r="B1884" s="197">
        <v>9</v>
      </c>
      <c r="C1884" s="197">
        <v>20</v>
      </c>
      <c r="D1884" s="198">
        <f t="shared" si="144"/>
        <v>45189</v>
      </c>
      <c r="E1884" s="199">
        <f t="shared" si="145"/>
        <v>45189</v>
      </c>
      <c r="F1884" s="513" t="s">
        <v>1444</v>
      </c>
      <c r="G1884" s="200" t="s">
        <v>1209</v>
      </c>
      <c r="H1884" s="201"/>
      <c r="I1884" s="201"/>
      <c r="J1884" s="197" t="s">
        <v>54</v>
      </c>
      <c r="K1884" s="202">
        <v>100</v>
      </c>
      <c r="L1884" s="202"/>
    </row>
    <row r="1885" spans="1:13" ht="11.25" customHeight="1" x14ac:dyDescent="0.2">
      <c r="A1885" s="191">
        <v>2023</v>
      </c>
      <c r="B1885" s="191">
        <v>9</v>
      </c>
      <c r="C1885" s="191">
        <v>20</v>
      </c>
      <c r="D1885" s="192">
        <f t="shared" si="144"/>
        <v>45189</v>
      </c>
      <c r="E1885" s="193">
        <f t="shared" si="145"/>
        <v>45189</v>
      </c>
      <c r="F1885" s="514"/>
      <c r="G1885" s="194" t="s">
        <v>1209</v>
      </c>
      <c r="H1885" s="195"/>
      <c r="I1885" s="195"/>
      <c r="J1885" s="191" t="s">
        <v>46</v>
      </c>
      <c r="K1885" s="196"/>
      <c r="L1885" s="196">
        <v>100</v>
      </c>
    </row>
    <row r="1886" spans="1:13" ht="11.25" customHeight="1" x14ac:dyDescent="0.2">
      <c r="A1886" s="197">
        <v>2023</v>
      </c>
      <c r="B1886" s="197">
        <v>9</v>
      </c>
      <c r="C1886" s="197">
        <v>21</v>
      </c>
      <c r="D1886" s="198">
        <f t="shared" si="144"/>
        <v>45190</v>
      </c>
      <c r="E1886" s="209">
        <f t="shared" ref="E1886:E1891" si="146">DATE(A1886,B1886,C1886)</f>
        <v>45190</v>
      </c>
      <c r="F1886" s="513" t="s">
        <v>1280</v>
      </c>
      <c r="G1886" s="200" t="s">
        <v>1209</v>
      </c>
      <c r="H1886" s="201"/>
      <c r="I1886" s="201" t="s">
        <v>1218</v>
      </c>
      <c r="J1886" s="197" t="s">
        <v>16</v>
      </c>
      <c r="K1886" s="202">
        <v>14969680</v>
      </c>
      <c r="L1886" s="202"/>
    </row>
    <row r="1887" spans="1:13" ht="11.25" customHeight="1" x14ac:dyDescent="0.2">
      <c r="A1887" s="120">
        <v>2023</v>
      </c>
      <c r="B1887" s="120">
        <v>9</v>
      </c>
      <c r="C1887" s="120">
        <v>21</v>
      </c>
      <c r="D1887" s="208">
        <f t="shared" si="144"/>
        <v>45190</v>
      </c>
      <c r="E1887" s="209">
        <f t="shared" si="146"/>
        <v>45190</v>
      </c>
      <c r="F1887" s="515"/>
      <c r="G1887" s="132" t="s">
        <v>1209</v>
      </c>
      <c r="I1887" s="128" t="s">
        <v>1218</v>
      </c>
      <c r="J1887" s="120" t="s">
        <v>47</v>
      </c>
      <c r="K1887" s="207">
        <v>699084.06000000052</v>
      </c>
      <c r="L1887" s="207"/>
    </row>
    <row r="1888" spans="1:13" ht="11.25" customHeight="1" x14ac:dyDescent="0.2">
      <c r="A1888" s="191">
        <v>2023</v>
      </c>
      <c r="B1888" s="191">
        <v>9</v>
      </c>
      <c r="C1888" s="191">
        <v>21</v>
      </c>
      <c r="D1888" s="192">
        <f t="shared" si="144"/>
        <v>45190</v>
      </c>
      <c r="E1888" s="193">
        <f t="shared" si="146"/>
        <v>45190</v>
      </c>
      <c r="F1888" s="514"/>
      <c r="G1888" s="194" t="s">
        <v>1209</v>
      </c>
      <c r="H1888" s="195"/>
      <c r="I1888" s="195" t="s">
        <v>1218</v>
      </c>
      <c r="J1888" s="191" t="s">
        <v>46</v>
      </c>
      <c r="K1888" s="196"/>
      <c r="L1888" s="196">
        <v>15668764.060000001</v>
      </c>
    </row>
    <row r="1889" spans="1:12" ht="11.25" customHeight="1" x14ac:dyDescent="0.2">
      <c r="A1889" s="197">
        <v>2023</v>
      </c>
      <c r="B1889" s="197">
        <v>9</v>
      </c>
      <c r="C1889" s="197">
        <v>21</v>
      </c>
      <c r="D1889" s="198">
        <f t="shared" si="144"/>
        <v>45190</v>
      </c>
      <c r="E1889" s="209">
        <f t="shared" si="146"/>
        <v>45190</v>
      </c>
      <c r="F1889" s="513" t="s">
        <v>1280</v>
      </c>
      <c r="G1889" s="200" t="s">
        <v>1209</v>
      </c>
      <c r="H1889" s="201"/>
      <c r="I1889" s="201" t="s">
        <v>581</v>
      </c>
      <c r="J1889" s="197" t="s">
        <v>16</v>
      </c>
      <c r="K1889" s="202">
        <v>200000</v>
      </c>
      <c r="L1889" s="202"/>
    </row>
    <row r="1890" spans="1:12" ht="11.25" customHeight="1" x14ac:dyDescent="0.2">
      <c r="A1890" s="120">
        <v>2023</v>
      </c>
      <c r="B1890" s="120">
        <v>9</v>
      </c>
      <c r="C1890" s="120">
        <v>21</v>
      </c>
      <c r="D1890" s="208">
        <f t="shared" si="144"/>
        <v>45190</v>
      </c>
      <c r="E1890" s="209">
        <f t="shared" si="146"/>
        <v>45190</v>
      </c>
      <c r="F1890" s="515"/>
      <c r="G1890" s="132" t="s">
        <v>1209</v>
      </c>
      <c r="I1890" s="128" t="s">
        <v>581</v>
      </c>
      <c r="J1890" s="120" t="s">
        <v>47</v>
      </c>
      <c r="K1890" s="207">
        <v>9340</v>
      </c>
      <c r="L1890" s="207"/>
    </row>
    <row r="1891" spans="1:12" ht="11.25" customHeight="1" x14ac:dyDescent="0.2">
      <c r="A1891" s="191">
        <v>2023</v>
      </c>
      <c r="B1891" s="191">
        <v>9</v>
      </c>
      <c r="C1891" s="191">
        <v>21</v>
      </c>
      <c r="D1891" s="192">
        <f t="shared" si="144"/>
        <v>45190</v>
      </c>
      <c r="E1891" s="193">
        <f t="shared" si="146"/>
        <v>45190</v>
      </c>
      <c r="F1891" s="514"/>
      <c r="G1891" s="194" t="s">
        <v>1209</v>
      </c>
      <c r="H1891" s="195"/>
      <c r="I1891" s="195" t="s">
        <v>581</v>
      </c>
      <c r="J1891" s="191" t="s">
        <v>46</v>
      </c>
      <c r="K1891" s="196"/>
      <c r="L1891" s="196">
        <v>209340</v>
      </c>
    </row>
    <row r="1892" spans="1:12" ht="11.25" customHeight="1" x14ac:dyDescent="0.2">
      <c r="A1892" s="197">
        <v>2023</v>
      </c>
      <c r="B1892" s="197">
        <v>9</v>
      </c>
      <c r="C1892" s="197">
        <v>21</v>
      </c>
      <c r="D1892" s="198">
        <f t="shared" si="144"/>
        <v>45190</v>
      </c>
      <c r="E1892" s="199">
        <f>DATE(A1892,B1892,C1892)</f>
        <v>45190</v>
      </c>
      <c r="F1892" s="513" t="s">
        <v>1323</v>
      </c>
      <c r="G1892" s="200" t="s">
        <v>1209</v>
      </c>
      <c r="H1892" s="201"/>
      <c r="I1892" s="201"/>
      <c r="J1892" s="197" t="s">
        <v>54</v>
      </c>
      <c r="K1892" s="202">
        <v>100</v>
      </c>
      <c r="L1892" s="202"/>
    </row>
    <row r="1893" spans="1:12" ht="11.25" customHeight="1" x14ac:dyDescent="0.2">
      <c r="A1893" s="191">
        <v>2023</v>
      </c>
      <c r="B1893" s="191">
        <v>9</v>
      </c>
      <c r="C1893" s="191">
        <v>21</v>
      </c>
      <c r="D1893" s="192">
        <f t="shared" si="144"/>
        <v>45190</v>
      </c>
      <c r="E1893" s="193">
        <f>DATE(A1893,B1893,C1893)</f>
        <v>45190</v>
      </c>
      <c r="F1893" s="514"/>
      <c r="G1893" s="194" t="s">
        <v>1209</v>
      </c>
      <c r="H1893" s="195"/>
      <c r="I1893" s="195"/>
      <c r="J1893" s="191" t="s">
        <v>46</v>
      </c>
      <c r="K1893" s="196"/>
      <c r="L1893" s="196">
        <v>100</v>
      </c>
    </row>
    <row r="1894" spans="1:12" ht="11.25" customHeight="1" x14ac:dyDescent="0.2">
      <c r="A1894" s="210">
        <v>2023</v>
      </c>
      <c r="B1894" s="210">
        <v>9</v>
      </c>
      <c r="C1894" s="210">
        <v>21</v>
      </c>
      <c r="D1894" s="211">
        <f t="shared" si="144"/>
        <v>45190</v>
      </c>
      <c r="E1894" s="238">
        <f t="shared" ref="E1894:E1933" si="147">DATE(A1894,B1894,C1894)</f>
        <v>45190</v>
      </c>
      <c r="F1894" s="520" t="s">
        <v>1278</v>
      </c>
      <c r="G1894" s="213" t="s">
        <v>1245</v>
      </c>
      <c r="H1894" s="214"/>
      <c r="I1894" s="214" t="s">
        <v>1253</v>
      </c>
      <c r="J1894" s="210" t="s">
        <v>1529</v>
      </c>
      <c r="K1894" s="215">
        <v>6512.28</v>
      </c>
      <c r="L1894" s="215"/>
    </row>
    <row r="1895" spans="1:12" ht="11.25" customHeight="1" x14ac:dyDescent="0.2">
      <c r="A1895" s="216">
        <v>2023</v>
      </c>
      <c r="B1895" s="216">
        <v>9</v>
      </c>
      <c r="C1895" s="216">
        <v>21</v>
      </c>
      <c r="D1895" s="217">
        <f t="shared" si="144"/>
        <v>45190</v>
      </c>
      <c r="E1895" s="239">
        <f t="shared" si="147"/>
        <v>45190</v>
      </c>
      <c r="F1895" s="521"/>
      <c r="G1895" s="219" t="s">
        <v>1245</v>
      </c>
      <c r="H1895" s="220"/>
      <c r="I1895" s="220" t="s">
        <v>1253</v>
      </c>
      <c r="J1895" s="216" t="s">
        <v>1581</v>
      </c>
      <c r="K1895" s="221"/>
      <c r="L1895" s="221">
        <v>6512.28</v>
      </c>
    </row>
    <row r="1896" spans="1:12" ht="11.25" customHeight="1" x14ac:dyDescent="0.2">
      <c r="A1896" s="210">
        <v>2023</v>
      </c>
      <c r="B1896" s="210">
        <v>9</v>
      </c>
      <c r="C1896" s="210">
        <v>21</v>
      </c>
      <c r="D1896" s="211">
        <f t="shared" si="144"/>
        <v>45190</v>
      </c>
      <c r="E1896" s="238">
        <f t="shared" si="147"/>
        <v>45190</v>
      </c>
      <c r="F1896" s="520" t="s">
        <v>1285</v>
      </c>
      <c r="G1896" s="213" t="s">
        <v>1245</v>
      </c>
      <c r="H1896" s="214"/>
      <c r="I1896" s="214" t="s">
        <v>1253</v>
      </c>
      <c r="J1896" s="210" t="s">
        <v>1284</v>
      </c>
      <c r="K1896" s="215">
        <v>13771.15</v>
      </c>
      <c r="L1896" s="215"/>
    </row>
    <row r="1897" spans="1:12" ht="11.25" customHeight="1" x14ac:dyDescent="0.2">
      <c r="A1897" s="242">
        <v>2023</v>
      </c>
      <c r="B1897" s="216">
        <v>9</v>
      </c>
      <c r="C1897" s="216">
        <v>21</v>
      </c>
      <c r="D1897" s="243">
        <f t="shared" si="144"/>
        <v>45190</v>
      </c>
      <c r="E1897" s="244">
        <f>DATE(A1897,B1897,C1897)</f>
        <v>45190</v>
      </c>
      <c r="F1897" s="524"/>
      <c r="G1897" s="245" t="s">
        <v>1245</v>
      </c>
      <c r="H1897" s="246"/>
      <c r="I1897" s="246"/>
      <c r="J1897" s="242" t="s">
        <v>1582</v>
      </c>
      <c r="K1897" s="247"/>
      <c r="L1897" s="247">
        <v>13771.15</v>
      </c>
    </row>
    <row r="1898" spans="1:12" ht="11.25" customHeight="1" x14ac:dyDescent="0.2">
      <c r="A1898" s="210">
        <v>2023</v>
      </c>
      <c r="B1898" s="210">
        <v>9</v>
      </c>
      <c r="C1898" s="210">
        <v>21</v>
      </c>
      <c r="D1898" s="211">
        <f t="shared" si="144"/>
        <v>45190</v>
      </c>
      <c r="E1898" s="238">
        <f t="shared" si="147"/>
        <v>45190</v>
      </c>
      <c r="F1898" s="520" t="s">
        <v>1259</v>
      </c>
      <c r="G1898" s="213" t="s">
        <v>1245</v>
      </c>
      <c r="H1898" s="214"/>
      <c r="I1898" s="214" t="s">
        <v>1253</v>
      </c>
      <c r="J1898" s="210" t="s">
        <v>58</v>
      </c>
      <c r="K1898" s="215">
        <v>12365.79</v>
      </c>
      <c r="L1898" s="215"/>
    </row>
    <row r="1899" spans="1:12" ht="11.25" customHeight="1" x14ac:dyDescent="0.2">
      <c r="A1899" s="216">
        <v>2023</v>
      </c>
      <c r="B1899" s="216">
        <v>9</v>
      </c>
      <c r="C1899" s="216">
        <v>21</v>
      </c>
      <c r="D1899" s="217">
        <f t="shared" si="144"/>
        <v>45190</v>
      </c>
      <c r="E1899" s="239">
        <f t="shared" si="147"/>
        <v>45190</v>
      </c>
      <c r="F1899" s="521"/>
      <c r="G1899" s="219" t="s">
        <v>1245</v>
      </c>
      <c r="H1899" s="220"/>
      <c r="I1899" s="220" t="s">
        <v>1253</v>
      </c>
      <c r="J1899" s="216" t="s">
        <v>153</v>
      </c>
      <c r="K1899" s="221"/>
      <c r="L1899" s="221">
        <v>12365.79</v>
      </c>
    </row>
    <row r="1900" spans="1:12" ht="11.25" customHeight="1" x14ac:dyDescent="0.2">
      <c r="A1900" s="210">
        <v>2023</v>
      </c>
      <c r="B1900" s="210">
        <v>9</v>
      </c>
      <c r="C1900" s="210">
        <v>21</v>
      </c>
      <c r="D1900" s="211">
        <f t="shared" si="144"/>
        <v>45190</v>
      </c>
      <c r="E1900" s="238">
        <f t="shared" si="147"/>
        <v>45190</v>
      </c>
      <c r="F1900" s="520" t="s">
        <v>1255</v>
      </c>
      <c r="G1900" s="213" t="s">
        <v>1245</v>
      </c>
      <c r="H1900" s="214"/>
      <c r="I1900" s="214" t="s">
        <v>1253</v>
      </c>
      <c r="J1900" s="210" t="s">
        <v>113</v>
      </c>
      <c r="K1900" s="215">
        <v>44961.54</v>
      </c>
      <c r="L1900" s="215"/>
    </row>
    <row r="1901" spans="1:12" ht="11.25" customHeight="1" x14ac:dyDescent="0.2">
      <c r="A1901" s="216">
        <v>2023</v>
      </c>
      <c r="B1901" s="216">
        <v>9</v>
      </c>
      <c r="C1901" s="216">
        <v>21</v>
      </c>
      <c r="D1901" s="217">
        <f t="shared" si="144"/>
        <v>45190</v>
      </c>
      <c r="E1901" s="239">
        <f t="shared" si="147"/>
        <v>45190</v>
      </c>
      <c r="F1901" s="521"/>
      <c r="G1901" s="219" t="s">
        <v>1245</v>
      </c>
      <c r="H1901" s="220"/>
      <c r="I1901" s="220" t="s">
        <v>1253</v>
      </c>
      <c r="J1901" s="216" t="s">
        <v>153</v>
      </c>
      <c r="K1901" s="221"/>
      <c r="L1901" s="221">
        <v>44961.54</v>
      </c>
    </row>
    <row r="1902" spans="1:12" ht="11.25" customHeight="1" x14ac:dyDescent="0.2">
      <c r="A1902" s="210">
        <v>2023</v>
      </c>
      <c r="B1902" s="210">
        <v>9</v>
      </c>
      <c r="C1902" s="210">
        <v>21</v>
      </c>
      <c r="D1902" s="211">
        <f t="shared" si="144"/>
        <v>45190</v>
      </c>
      <c r="E1902" s="238">
        <f t="shared" si="147"/>
        <v>45190</v>
      </c>
      <c r="F1902" s="520" t="s">
        <v>1256</v>
      </c>
      <c r="G1902" s="213" t="s">
        <v>1245</v>
      </c>
      <c r="H1902" s="214"/>
      <c r="I1902" s="214" t="s">
        <v>1253</v>
      </c>
      <c r="J1902" s="210" t="s">
        <v>113</v>
      </c>
      <c r="K1902" s="215">
        <v>5925.93</v>
      </c>
      <c r="L1902" s="215"/>
    </row>
    <row r="1903" spans="1:12" ht="11.25" customHeight="1" x14ac:dyDescent="0.2">
      <c r="A1903" s="216">
        <v>2023</v>
      </c>
      <c r="B1903" s="216">
        <v>9</v>
      </c>
      <c r="C1903" s="216">
        <v>21</v>
      </c>
      <c r="D1903" s="217">
        <f t="shared" si="144"/>
        <v>45190</v>
      </c>
      <c r="E1903" s="239">
        <f t="shared" si="147"/>
        <v>45190</v>
      </c>
      <c r="F1903" s="521"/>
      <c r="G1903" s="219" t="s">
        <v>1245</v>
      </c>
      <c r="H1903" s="220"/>
      <c r="I1903" s="220" t="s">
        <v>1253</v>
      </c>
      <c r="J1903" s="216" t="s">
        <v>153</v>
      </c>
      <c r="K1903" s="221"/>
      <c r="L1903" s="221">
        <v>5925.93</v>
      </c>
    </row>
    <row r="1904" spans="1:12" ht="11.25" customHeight="1" x14ac:dyDescent="0.2">
      <c r="A1904" s="210">
        <v>2023</v>
      </c>
      <c r="B1904" s="210">
        <v>9</v>
      </c>
      <c r="C1904" s="210">
        <v>21</v>
      </c>
      <c r="D1904" s="211">
        <f t="shared" si="144"/>
        <v>45190</v>
      </c>
      <c r="E1904" s="238">
        <f t="shared" si="147"/>
        <v>45190</v>
      </c>
      <c r="F1904" s="520" t="s">
        <v>1257</v>
      </c>
      <c r="G1904" s="213" t="s">
        <v>1245</v>
      </c>
      <c r="H1904" s="214"/>
      <c r="I1904" s="214" t="s">
        <v>1253</v>
      </c>
      <c r="J1904" s="210" t="s">
        <v>113</v>
      </c>
      <c r="K1904" s="215">
        <v>27692.31</v>
      </c>
      <c r="L1904" s="215"/>
    </row>
    <row r="1905" spans="1:13" ht="11.25" customHeight="1" x14ac:dyDescent="0.2">
      <c r="A1905" s="216">
        <v>2023</v>
      </c>
      <c r="B1905" s="216">
        <v>9</v>
      </c>
      <c r="C1905" s="216">
        <v>21</v>
      </c>
      <c r="D1905" s="217">
        <f t="shared" si="144"/>
        <v>45190</v>
      </c>
      <c r="E1905" s="239">
        <f t="shared" si="147"/>
        <v>45190</v>
      </c>
      <c r="F1905" s="521"/>
      <c r="G1905" s="219" t="s">
        <v>1245</v>
      </c>
      <c r="H1905" s="220"/>
      <c r="I1905" s="220" t="s">
        <v>1253</v>
      </c>
      <c r="J1905" s="216" t="s">
        <v>153</v>
      </c>
      <c r="K1905" s="221"/>
      <c r="L1905" s="221">
        <v>27692.31</v>
      </c>
    </row>
    <row r="1906" spans="1:13" ht="11.25" customHeight="1" x14ac:dyDescent="0.2">
      <c r="A1906" s="259">
        <v>2023</v>
      </c>
      <c r="B1906" s="259">
        <v>9</v>
      </c>
      <c r="C1906" s="259">
        <v>21</v>
      </c>
      <c r="D1906" s="260">
        <f t="shared" si="144"/>
        <v>45190</v>
      </c>
      <c r="E1906" s="261">
        <f t="shared" si="147"/>
        <v>45190</v>
      </c>
      <c r="F1906" s="531" t="s">
        <v>1313</v>
      </c>
      <c r="G1906" s="262" t="s">
        <v>1245</v>
      </c>
      <c r="H1906" s="263"/>
      <c r="I1906" s="263" t="s">
        <v>1253</v>
      </c>
      <c r="J1906" s="259" t="s">
        <v>1476</v>
      </c>
      <c r="K1906" s="264">
        <v>9516.6666666666661</v>
      </c>
      <c r="L1906" s="264"/>
      <c r="M1906" s="130"/>
    </row>
    <row r="1907" spans="1:13" ht="11.25" customHeight="1" x14ac:dyDescent="0.2">
      <c r="A1907" s="265">
        <v>2023</v>
      </c>
      <c r="B1907" s="265">
        <v>9</v>
      </c>
      <c r="C1907" s="265">
        <v>21</v>
      </c>
      <c r="D1907" s="266">
        <f t="shared" si="144"/>
        <v>45190</v>
      </c>
      <c r="E1907" s="267">
        <f t="shared" si="147"/>
        <v>45190</v>
      </c>
      <c r="F1907" s="532"/>
      <c r="G1907" s="268" t="s">
        <v>1245</v>
      </c>
      <c r="H1907" s="269"/>
      <c r="I1907" s="269" t="s">
        <v>1253</v>
      </c>
      <c r="J1907" s="265" t="s">
        <v>153</v>
      </c>
      <c r="K1907" s="270"/>
      <c r="L1907" s="270">
        <v>9516.6666666666661</v>
      </c>
    </row>
    <row r="1908" spans="1:13" ht="11.25" customHeight="1" x14ac:dyDescent="0.2">
      <c r="A1908" s="259">
        <v>2023</v>
      </c>
      <c r="B1908" s="259">
        <v>9</v>
      </c>
      <c r="C1908" s="259">
        <v>21</v>
      </c>
      <c r="D1908" s="260">
        <f t="shared" si="144"/>
        <v>45190</v>
      </c>
      <c r="E1908" s="261">
        <f t="shared" si="147"/>
        <v>45190</v>
      </c>
      <c r="F1908" s="531" t="s">
        <v>1397</v>
      </c>
      <c r="G1908" s="262" t="s">
        <v>1245</v>
      </c>
      <c r="H1908" s="263"/>
      <c r="I1908" s="263" t="s">
        <v>1253</v>
      </c>
      <c r="J1908" s="259" t="s">
        <v>1476</v>
      </c>
      <c r="K1908" s="264">
        <v>3693.4422222222202</v>
      </c>
      <c r="L1908" s="264"/>
    </row>
    <row r="1909" spans="1:13" ht="11.25" customHeight="1" x14ac:dyDescent="0.2">
      <c r="A1909" s="265">
        <v>2023</v>
      </c>
      <c r="B1909" s="265">
        <v>9</v>
      </c>
      <c r="C1909" s="265">
        <v>21</v>
      </c>
      <c r="D1909" s="266">
        <f t="shared" si="144"/>
        <v>45190</v>
      </c>
      <c r="E1909" s="267">
        <f t="shared" si="147"/>
        <v>45190</v>
      </c>
      <c r="F1909" s="532"/>
      <c r="G1909" s="268" t="s">
        <v>1245</v>
      </c>
      <c r="H1909" s="269"/>
      <c r="I1909" s="269" t="s">
        <v>1253</v>
      </c>
      <c r="J1909" s="265" t="s">
        <v>153</v>
      </c>
      <c r="K1909" s="270"/>
      <c r="L1909" s="270">
        <v>3693.4422222222202</v>
      </c>
    </row>
    <row r="1910" spans="1:13" ht="11.25" customHeight="1" x14ac:dyDescent="0.2">
      <c r="A1910" s="259">
        <v>2023</v>
      </c>
      <c r="B1910" s="259">
        <v>9</v>
      </c>
      <c r="C1910" s="259">
        <v>21</v>
      </c>
      <c r="D1910" s="260">
        <f t="shared" si="144"/>
        <v>45190</v>
      </c>
      <c r="E1910" s="261">
        <f t="shared" si="147"/>
        <v>45190</v>
      </c>
      <c r="F1910" s="531" t="s">
        <v>1424</v>
      </c>
      <c r="G1910" s="262" t="s">
        <v>1245</v>
      </c>
      <c r="H1910" s="263"/>
      <c r="I1910" s="263" t="s">
        <v>1253</v>
      </c>
      <c r="J1910" s="259" t="s">
        <v>1476</v>
      </c>
      <c r="K1910" s="264">
        <v>6058.53</v>
      </c>
      <c r="L1910" s="264"/>
    </row>
    <row r="1911" spans="1:13" ht="11.25" customHeight="1" x14ac:dyDescent="0.2">
      <c r="A1911" s="265">
        <v>2023</v>
      </c>
      <c r="B1911" s="265">
        <v>9</v>
      </c>
      <c r="C1911" s="265">
        <v>21</v>
      </c>
      <c r="D1911" s="266">
        <f t="shared" si="144"/>
        <v>45190</v>
      </c>
      <c r="E1911" s="267">
        <f t="shared" si="147"/>
        <v>45190</v>
      </c>
      <c r="F1911" s="532"/>
      <c r="G1911" s="268" t="s">
        <v>1245</v>
      </c>
      <c r="H1911" s="269"/>
      <c r="I1911" s="269" t="s">
        <v>1253</v>
      </c>
      <c r="J1911" s="265" t="s">
        <v>153</v>
      </c>
      <c r="K1911" s="270"/>
      <c r="L1911" s="270">
        <v>6058.53</v>
      </c>
    </row>
    <row r="1912" spans="1:13" ht="11.25" customHeight="1" x14ac:dyDescent="0.2">
      <c r="A1912" s="259">
        <v>2023</v>
      </c>
      <c r="B1912" s="259">
        <v>9</v>
      </c>
      <c r="C1912" s="259">
        <v>21</v>
      </c>
      <c r="D1912" s="260">
        <f t="shared" si="144"/>
        <v>45190</v>
      </c>
      <c r="E1912" s="261">
        <f t="shared" si="147"/>
        <v>45190</v>
      </c>
      <c r="F1912" s="531" t="s">
        <v>1383</v>
      </c>
      <c r="G1912" s="262" t="s">
        <v>1245</v>
      </c>
      <c r="H1912" s="263"/>
      <c r="I1912" s="263" t="s">
        <v>1253</v>
      </c>
      <c r="J1912" s="259" t="s">
        <v>1476</v>
      </c>
      <c r="K1912" s="264">
        <v>6945.1</v>
      </c>
      <c r="L1912" s="264"/>
    </row>
    <row r="1913" spans="1:13" ht="11.25" customHeight="1" x14ac:dyDescent="0.2">
      <c r="A1913" s="265">
        <v>2023</v>
      </c>
      <c r="B1913" s="265">
        <v>9</v>
      </c>
      <c r="C1913" s="265">
        <v>21</v>
      </c>
      <c r="D1913" s="266">
        <f t="shared" si="144"/>
        <v>45190</v>
      </c>
      <c r="E1913" s="267">
        <f t="shared" si="147"/>
        <v>45190</v>
      </c>
      <c r="F1913" s="532"/>
      <c r="G1913" s="268" t="s">
        <v>1245</v>
      </c>
      <c r="H1913" s="269"/>
      <c r="I1913" s="269" t="s">
        <v>1253</v>
      </c>
      <c r="J1913" s="265" t="s">
        <v>153</v>
      </c>
      <c r="K1913" s="270"/>
      <c r="L1913" s="270">
        <v>6945.1</v>
      </c>
    </row>
    <row r="1914" spans="1:13" ht="11.25" customHeight="1" x14ac:dyDescent="0.2">
      <c r="A1914" s="259">
        <v>2023</v>
      </c>
      <c r="B1914" s="259">
        <v>9</v>
      </c>
      <c r="C1914" s="259">
        <v>21</v>
      </c>
      <c r="D1914" s="260">
        <f t="shared" si="144"/>
        <v>45190</v>
      </c>
      <c r="E1914" s="261">
        <f t="shared" si="147"/>
        <v>45190</v>
      </c>
      <c r="F1914" s="531" t="s">
        <v>1388</v>
      </c>
      <c r="G1914" s="262" t="s">
        <v>1245</v>
      </c>
      <c r="H1914" s="263"/>
      <c r="I1914" s="263" t="s">
        <v>1253</v>
      </c>
      <c r="J1914" s="259" t="s">
        <v>1476</v>
      </c>
      <c r="K1914" s="264">
        <v>3114.785555555537</v>
      </c>
      <c r="L1914" s="264"/>
    </row>
    <row r="1915" spans="1:13" ht="11.25" customHeight="1" x14ac:dyDescent="0.2">
      <c r="A1915" s="265">
        <v>2023</v>
      </c>
      <c r="B1915" s="265">
        <v>9</v>
      </c>
      <c r="C1915" s="265">
        <v>21</v>
      </c>
      <c r="D1915" s="266">
        <f t="shared" si="144"/>
        <v>45190</v>
      </c>
      <c r="E1915" s="267">
        <f t="shared" si="147"/>
        <v>45190</v>
      </c>
      <c r="F1915" s="532"/>
      <c r="G1915" s="268" t="s">
        <v>1245</v>
      </c>
      <c r="H1915" s="269"/>
      <c r="I1915" s="269" t="s">
        <v>1253</v>
      </c>
      <c r="J1915" s="265" t="s">
        <v>153</v>
      </c>
      <c r="K1915" s="270"/>
      <c r="L1915" s="270">
        <v>3114.785555555537</v>
      </c>
    </row>
    <row r="1916" spans="1:13" ht="11.25" customHeight="1" x14ac:dyDescent="0.2">
      <c r="A1916" s="259">
        <v>2023</v>
      </c>
      <c r="B1916" s="259">
        <v>9</v>
      </c>
      <c r="C1916" s="259">
        <v>21</v>
      </c>
      <c r="D1916" s="260">
        <f t="shared" si="144"/>
        <v>45190</v>
      </c>
      <c r="E1916" s="261">
        <f t="shared" si="147"/>
        <v>45190</v>
      </c>
      <c r="F1916" s="531" t="s">
        <v>1359</v>
      </c>
      <c r="G1916" s="262" t="s">
        <v>1245</v>
      </c>
      <c r="H1916" s="263"/>
      <c r="I1916" s="263" t="s">
        <v>1253</v>
      </c>
      <c r="J1916" s="259" t="s">
        <v>1476</v>
      </c>
      <c r="K1916" s="264">
        <v>8341.8499999999385</v>
      </c>
      <c r="L1916" s="264"/>
    </row>
    <row r="1917" spans="1:13" ht="11.25" customHeight="1" x14ac:dyDescent="0.2">
      <c r="A1917" s="265">
        <v>2023</v>
      </c>
      <c r="B1917" s="265">
        <v>9</v>
      </c>
      <c r="C1917" s="265">
        <v>21</v>
      </c>
      <c r="D1917" s="266">
        <f t="shared" si="144"/>
        <v>45190</v>
      </c>
      <c r="E1917" s="267">
        <f t="shared" si="147"/>
        <v>45190</v>
      </c>
      <c r="F1917" s="532"/>
      <c r="G1917" s="268" t="s">
        <v>1245</v>
      </c>
      <c r="H1917" s="269"/>
      <c r="I1917" s="269" t="s">
        <v>1253</v>
      </c>
      <c r="J1917" s="265" t="s">
        <v>153</v>
      </c>
      <c r="K1917" s="270"/>
      <c r="L1917" s="270">
        <v>8341.8499999999385</v>
      </c>
    </row>
    <row r="1918" spans="1:13" ht="11.25" customHeight="1" x14ac:dyDescent="0.2">
      <c r="A1918" s="259">
        <v>2023</v>
      </c>
      <c r="B1918" s="259">
        <v>9</v>
      </c>
      <c r="C1918" s="259">
        <v>21</v>
      </c>
      <c r="D1918" s="260">
        <f t="shared" si="144"/>
        <v>45190</v>
      </c>
      <c r="E1918" s="261">
        <f>DATE(A1918,B1918,C1918)</f>
        <v>45190</v>
      </c>
      <c r="F1918" s="531" t="s">
        <v>1442</v>
      </c>
      <c r="G1918" s="262" t="s">
        <v>1245</v>
      </c>
      <c r="H1918" s="263"/>
      <c r="I1918" s="263" t="s">
        <v>1253</v>
      </c>
      <c r="J1918" s="259" t="s">
        <v>1476</v>
      </c>
      <c r="K1918" s="264">
        <v>16921.37777777782</v>
      </c>
      <c r="L1918" s="264"/>
    </row>
    <row r="1919" spans="1:13" ht="11.25" customHeight="1" x14ac:dyDescent="0.2">
      <c r="A1919" s="265">
        <v>2023</v>
      </c>
      <c r="B1919" s="265">
        <v>9</v>
      </c>
      <c r="C1919" s="265">
        <v>21</v>
      </c>
      <c r="D1919" s="266">
        <f t="shared" si="144"/>
        <v>45190</v>
      </c>
      <c r="E1919" s="267">
        <f>DATE(A1919,B1919,C1919)</f>
        <v>45190</v>
      </c>
      <c r="F1919" s="532"/>
      <c r="G1919" s="268" t="s">
        <v>1245</v>
      </c>
      <c r="H1919" s="269"/>
      <c r="I1919" s="269" t="s">
        <v>1253</v>
      </c>
      <c r="J1919" s="265" t="s">
        <v>153</v>
      </c>
      <c r="K1919" s="270"/>
      <c r="L1919" s="270">
        <v>16921.37777777782</v>
      </c>
    </row>
    <row r="1920" spans="1:13" ht="11.25" customHeight="1" x14ac:dyDescent="0.2">
      <c r="A1920" s="222">
        <v>2023</v>
      </c>
      <c r="B1920" s="222">
        <v>9</v>
      </c>
      <c r="C1920" s="222">
        <v>21</v>
      </c>
      <c r="D1920" s="223">
        <f t="shared" si="144"/>
        <v>45190</v>
      </c>
      <c r="E1920" s="240">
        <f t="shared" si="147"/>
        <v>45190</v>
      </c>
      <c r="F1920" s="511" t="s">
        <v>1244</v>
      </c>
      <c r="G1920" s="225" t="s">
        <v>1245</v>
      </c>
      <c r="H1920" s="226"/>
      <c r="I1920" s="226" t="s">
        <v>1253</v>
      </c>
      <c r="J1920" s="222" t="s">
        <v>87</v>
      </c>
      <c r="K1920" s="227">
        <v>30981.381904762238</v>
      </c>
      <c r="L1920" s="227"/>
    </row>
    <row r="1921" spans="1:12" ht="11.25" customHeight="1" x14ac:dyDescent="0.2">
      <c r="A1921" s="228">
        <v>2023</v>
      </c>
      <c r="B1921" s="228">
        <v>9</v>
      </c>
      <c r="C1921" s="228">
        <v>21</v>
      </c>
      <c r="D1921" s="229">
        <f t="shared" si="144"/>
        <v>45190</v>
      </c>
      <c r="E1921" s="241">
        <f t="shared" si="147"/>
        <v>45190</v>
      </c>
      <c r="F1921" s="512"/>
      <c r="G1921" s="231" t="s">
        <v>1245</v>
      </c>
      <c r="H1921" s="232"/>
      <c r="I1921" s="232" t="s">
        <v>1253</v>
      </c>
      <c r="J1921" s="228" t="s">
        <v>72</v>
      </c>
      <c r="K1921" s="233"/>
      <c r="L1921" s="233">
        <v>30981.381904762238</v>
      </c>
    </row>
    <row r="1922" spans="1:12" ht="11.25" customHeight="1" x14ac:dyDescent="0.2">
      <c r="A1922" s="222">
        <v>2023</v>
      </c>
      <c r="B1922" s="222">
        <v>9</v>
      </c>
      <c r="C1922" s="222">
        <v>21</v>
      </c>
      <c r="D1922" s="223">
        <f t="shared" si="144"/>
        <v>45190</v>
      </c>
      <c r="E1922" s="240">
        <f t="shared" si="147"/>
        <v>45190</v>
      </c>
      <c r="F1922" s="511" t="s">
        <v>1246</v>
      </c>
      <c r="G1922" s="225" t="s">
        <v>1245</v>
      </c>
      <c r="H1922" s="226"/>
      <c r="I1922" s="226" t="s">
        <v>1253</v>
      </c>
      <c r="J1922" s="222" t="s">
        <v>75</v>
      </c>
      <c r="K1922" s="227">
        <v>3623.123846153846</v>
      </c>
      <c r="L1922" s="227"/>
    </row>
    <row r="1923" spans="1:12" ht="11.25" customHeight="1" x14ac:dyDescent="0.2">
      <c r="A1923" s="228">
        <v>2023</v>
      </c>
      <c r="B1923" s="228">
        <v>9</v>
      </c>
      <c r="C1923" s="228">
        <v>21</v>
      </c>
      <c r="D1923" s="229">
        <f t="shared" si="144"/>
        <v>45190</v>
      </c>
      <c r="E1923" s="241">
        <f t="shared" si="147"/>
        <v>45190</v>
      </c>
      <c r="F1923" s="512"/>
      <c r="G1923" s="231" t="s">
        <v>1245</v>
      </c>
      <c r="H1923" s="232"/>
      <c r="I1923" s="232" t="s">
        <v>1253</v>
      </c>
      <c r="J1923" s="228" t="s">
        <v>55</v>
      </c>
      <c r="K1923" s="233"/>
      <c r="L1923" s="233">
        <v>3623.123846153846</v>
      </c>
    </row>
    <row r="1924" spans="1:12" ht="11.25" customHeight="1" x14ac:dyDescent="0.2">
      <c r="A1924" s="222">
        <v>2023</v>
      </c>
      <c r="B1924" s="222">
        <v>9</v>
      </c>
      <c r="C1924" s="222">
        <v>21</v>
      </c>
      <c r="D1924" s="223">
        <f t="shared" si="144"/>
        <v>45190</v>
      </c>
      <c r="E1924" s="240">
        <f t="shared" si="147"/>
        <v>45190</v>
      </c>
      <c r="F1924" s="511" t="s">
        <v>1247</v>
      </c>
      <c r="G1924" s="225" t="s">
        <v>1245</v>
      </c>
      <c r="H1924" s="226"/>
      <c r="I1924" s="226" t="s">
        <v>1253</v>
      </c>
      <c r="J1924" s="222" t="s">
        <v>77</v>
      </c>
      <c r="K1924" s="227"/>
      <c r="L1924" s="227"/>
    </row>
    <row r="1925" spans="1:12" ht="11.25" customHeight="1" x14ac:dyDescent="0.2">
      <c r="A1925" s="228">
        <v>2023</v>
      </c>
      <c r="B1925" s="228">
        <v>9</v>
      </c>
      <c r="C1925" s="228">
        <v>21</v>
      </c>
      <c r="D1925" s="229">
        <f t="shared" si="144"/>
        <v>45190</v>
      </c>
      <c r="E1925" s="241">
        <f t="shared" si="147"/>
        <v>45190</v>
      </c>
      <c r="F1925" s="512"/>
      <c r="G1925" s="231" t="s">
        <v>1245</v>
      </c>
      <c r="H1925" s="232"/>
      <c r="I1925" s="232" t="s">
        <v>1253</v>
      </c>
      <c r="J1925" s="228" t="s">
        <v>41</v>
      </c>
      <c r="K1925" s="233"/>
      <c r="L1925" s="233"/>
    </row>
    <row r="1926" spans="1:12" ht="11.25" customHeight="1" x14ac:dyDescent="0.2">
      <c r="A1926" s="222">
        <v>2023</v>
      </c>
      <c r="B1926" s="222">
        <v>9</v>
      </c>
      <c r="C1926" s="222">
        <v>21</v>
      </c>
      <c r="D1926" s="223">
        <f t="shared" si="144"/>
        <v>45190</v>
      </c>
      <c r="E1926" s="240">
        <f t="shared" si="147"/>
        <v>45190</v>
      </c>
      <c r="F1926" s="511" t="s">
        <v>1248</v>
      </c>
      <c r="G1926" s="225" t="s">
        <v>1245</v>
      </c>
      <c r="H1926" s="226"/>
      <c r="I1926" s="226" t="s">
        <v>1253</v>
      </c>
      <c r="J1926" s="222" t="s">
        <v>80</v>
      </c>
      <c r="K1926" s="227">
        <v>1151.0396758274928</v>
      </c>
      <c r="L1926" s="227"/>
    </row>
    <row r="1927" spans="1:12" ht="11.25" customHeight="1" x14ac:dyDescent="0.2">
      <c r="A1927" s="228">
        <v>2023</v>
      </c>
      <c r="B1927" s="228">
        <v>9</v>
      </c>
      <c r="C1927" s="228">
        <v>21</v>
      </c>
      <c r="D1927" s="229">
        <f t="shared" si="144"/>
        <v>45190</v>
      </c>
      <c r="E1927" s="241">
        <f t="shared" si="147"/>
        <v>45190</v>
      </c>
      <c r="F1927" s="512"/>
      <c r="G1927" s="231" t="s">
        <v>1245</v>
      </c>
      <c r="H1927" s="232"/>
      <c r="I1927" s="232" t="s">
        <v>1253</v>
      </c>
      <c r="J1927" s="228" t="s">
        <v>42</v>
      </c>
      <c r="K1927" s="233"/>
      <c r="L1927" s="233">
        <v>1151.0396758274928</v>
      </c>
    </row>
    <row r="1928" spans="1:12" ht="11.25" customHeight="1" x14ac:dyDescent="0.2">
      <c r="A1928" s="197">
        <v>2023</v>
      </c>
      <c r="B1928" s="197">
        <v>9</v>
      </c>
      <c r="C1928" s="197">
        <v>24</v>
      </c>
      <c r="D1928" s="198">
        <f t="shared" si="144"/>
        <v>45193</v>
      </c>
      <c r="E1928" s="209">
        <f t="shared" si="147"/>
        <v>45193</v>
      </c>
      <c r="F1928" s="513" t="s">
        <v>1443</v>
      </c>
      <c r="G1928" s="200" t="s">
        <v>1209</v>
      </c>
      <c r="H1928" s="201"/>
      <c r="I1928" s="201" t="s">
        <v>335</v>
      </c>
      <c r="J1928" s="197" t="s">
        <v>16</v>
      </c>
      <c r="K1928" s="202">
        <v>165670</v>
      </c>
      <c r="L1928" s="202"/>
    </row>
    <row r="1929" spans="1:12" ht="11.25" customHeight="1" x14ac:dyDescent="0.2">
      <c r="A1929" s="120">
        <v>2023</v>
      </c>
      <c r="B1929" s="120">
        <v>9</v>
      </c>
      <c r="C1929" s="120">
        <v>24</v>
      </c>
      <c r="D1929" s="208">
        <f t="shared" si="144"/>
        <v>45193</v>
      </c>
      <c r="E1929" s="209">
        <f t="shared" si="147"/>
        <v>45193</v>
      </c>
      <c r="F1929" s="515"/>
      <c r="G1929" s="132" t="s">
        <v>1209</v>
      </c>
      <c r="I1929" s="128" t="s">
        <v>335</v>
      </c>
      <c r="J1929" s="120" t="s">
        <v>47</v>
      </c>
      <c r="K1929" s="207">
        <v>7736.79</v>
      </c>
      <c r="L1929" s="207"/>
    </row>
    <row r="1930" spans="1:12" ht="11.25" customHeight="1" x14ac:dyDescent="0.2">
      <c r="A1930" s="191">
        <v>2023</v>
      </c>
      <c r="B1930" s="191">
        <v>9</v>
      </c>
      <c r="C1930" s="191">
        <v>24</v>
      </c>
      <c r="D1930" s="192">
        <f t="shared" si="144"/>
        <v>45193</v>
      </c>
      <c r="E1930" s="193">
        <f t="shared" si="147"/>
        <v>45193</v>
      </c>
      <c r="F1930" s="514"/>
      <c r="G1930" s="194" t="s">
        <v>1209</v>
      </c>
      <c r="H1930" s="195"/>
      <c r="I1930" s="195" t="s">
        <v>335</v>
      </c>
      <c r="J1930" s="191" t="s">
        <v>46</v>
      </c>
      <c r="K1930" s="196"/>
      <c r="L1930" s="196">
        <v>173406.79</v>
      </c>
    </row>
    <row r="1931" spans="1:12" ht="11.25" customHeight="1" x14ac:dyDescent="0.2">
      <c r="A1931" s="197">
        <v>2023</v>
      </c>
      <c r="B1931" s="197">
        <v>9</v>
      </c>
      <c r="C1931" s="197">
        <v>25</v>
      </c>
      <c r="D1931" s="198">
        <f t="shared" si="144"/>
        <v>45194</v>
      </c>
      <c r="E1931" s="209">
        <f t="shared" si="147"/>
        <v>45194</v>
      </c>
      <c r="F1931" s="513" t="s">
        <v>1210</v>
      </c>
      <c r="G1931" s="200" t="s">
        <v>1209</v>
      </c>
      <c r="H1931" s="201"/>
      <c r="I1931" s="201" t="s">
        <v>694</v>
      </c>
      <c r="J1931" s="197" t="s">
        <v>46</v>
      </c>
      <c r="K1931" s="202">
        <v>1300000</v>
      </c>
      <c r="L1931" s="202"/>
    </row>
    <row r="1932" spans="1:12" ht="11.25" customHeight="1" x14ac:dyDescent="0.2">
      <c r="A1932" s="120">
        <v>2023</v>
      </c>
      <c r="B1932" s="120">
        <v>9</v>
      </c>
      <c r="C1932" s="120">
        <v>25</v>
      </c>
      <c r="D1932" s="208">
        <f t="shared" si="144"/>
        <v>45194</v>
      </c>
      <c r="E1932" s="209">
        <f t="shared" si="147"/>
        <v>45194</v>
      </c>
      <c r="F1932" s="515"/>
      <c r="G1932" s="132" t="s">
        <v>1209</v>
      </c>
      <c r="I1932" s="128" t="s">
        <v>694</v>
      </c>
      <c r="J1932" s="120" t="s">
        <v>16</v>
      </c>
      <c r="K1932" s="207"/>
      <c r="L1932" s="207">
        <v>1240100</v>
      </c>
    </row>
    <row r="1933" spans="1:12" ht="11.25" customHeight="1" x14ac:dyDescent="0.2">
      <c r="A1933" s="191">
        <v>2023</v>
      </c>
      <c r="B1933" s="191">
        <v>9</v>
      </c>
      <c r="C1933" s="191">
        <v>25</v>
      </c>
      <c r="D1933" s="192">
        <f t="shared" ref="D1933:D1994" si="148">DATE(A1933,B1933,C1933)</f>
        <v>45194</v>
      </c>
      <c r="E1933" s="193">
        <f t="shared" si="147"/>
        <v>45194</v>
      </c>
      <c r="F1933" s="514"/>
      <c r="G1933" s="194" t="s">
        <v>1209</v>
      </c>
      <c r="H1933" s="195"/>
      <c r="I1933" s="195" t="s">
        <v>694</v>
      </c>
      <c r="J1933" s="191" t="s">
        <v>47</v>
      </c>
      <c r="K1933" s="196"/>
      <c r="L1933" s="196">
        <v>59900</v>
      </c>
    </row>
    <row r="1934" spans="1:12" ht="11.25" customHeight="1" x14ac:dyDescent="0.2">
      <c r="A1934" s="197">
        <v>2023</v>
      </c>
      <c r="B1934" s="197">
        <v>9</v>
      </c>
      <c r="C1934" s="197">
        <v>25</v>
      </c>
      <c r="D1934" s="198">
        <f t="shared" si="148"/>
        <v>45194</v>
      </c>
      <c r="E1934" s="199">
        <f>DATE(A1934,B1934,C1934)</f>
        <v>45194</v>
      </c>
      <c r="F1934" s="513" t="s">
        <v>1323</v>
      </c>
      <c r="G1934" s="200" t="s">
        <v>1209</v>
      </c>
      <c r="H1934" s="201"/>
      <c r="I1934" s="201"/>
      <c r="J1934" s="197" t="s">
        <v>54</v>
      </c>
      <c r="K1934" s="202">
        <v>25</v>
      </c>
      <c r="L1934" s="202"/>
    </row>
    <row r="1935" spans="1:12" ht="11.25" customHeight="1" x14ac:dyDescent="0.2">
      <c r="A1935" s="191">
        <v>2023</v>
      </c>
      <c r="B1935" s="191">
        <v>9</v>
      </c>
      <c r="C1935" s="191">
        <v>25</v>
      </c>
      <c r="D1935" s="192">
        <f t="shared" si="148"/>
        <v>45194</v>
      </c>
      <c r="E1935" s="193">
        <f>DATE(A1935,B1935,C1935)</f>
        <v>45194</v>
      </c>
      <c r="F1935" s="514"/>
      <c r="G1935" s="194" t="s">
        <v>1209</v>
      </c>
      <c r="H1935" s="195"/>
      <c r="I1935" s="195"/>
      <c r="J1935" s="191" t="s">
        <v>46</v>
      </c>
      <c r="K1935" s="196"/>
      <c r="L1935" s="196">
        <v>25</v>
      </c>
    </row>
    <row r="1936" spans="1:12" ht="11.25" customHeight="1" x14ac:dyDescent="0.2">
      <c r="A1936" s="197">
        <v>2023</v>
      </c>
      <c r="B1936" s="197">
        <v>9</v>
      </c>
      <c r="C1936" s="197">
        <v>25</v>
      </c>
      <c r="D1936" s="198">
        <f t="shared" si="148"/>
        <v>45194</v>
      </c>
      <c r="E1936" s="199">
        <f>DATE(A1936,B1936,C1936)</f>
        <v>45194</v>
      </c>
      <c r="F1936" s="513" t="s">
        <v>1323</v>
      </c>
      <c r="G1936" s="200" t="s">
        <v>1209</v>
      </c>
      <c r="H1936" s="201"/>
      <c r="I1936" s="201"/>
      <c r="J1936" s="197" t="s">
        <v>54</v>
      </c>
      <c r="K1936" s="202">
        <v>100</v>
      </c>
      <c r="L1936" s="202"/>
    </row>
    <row r="1937" spans="1:14" ht="11.25" customHeight="1" x14ac:dyDescent="0.2">
      <c r="A1937" s="191">
        <v>2023</v>
      </c>
      <c r="B1937" s="191">
        <v>9</v>
      </c>
      <c r="C1937" s="191">
        <v>25</v>
      </c>
      <c r="D1937" s="192">
        <f t="shared" si="148"/>
        <v>45194</v>
      </c>
      <c r="E1937" s="193">
        <f>DATE(A1937,B1937,C1937)</f>
        <v>45194</v>
      </c>
      <c r="F1937" s="514"/>
      <c r="G1937" s="194" t="s">
        <v>1209</v>
      </c>
      <c r="H1937" s="195"/>
      <c r="I1937" s="195"/>
      <c r="J1937" s="191" t="s">
        <v>46</v>
      </c>
      <c r="K1937" s="196"/>
      <c r="L1937" s="196">
        <v>100</v>
      </c>
    </row>
    <row r="1938" spans="1:14" ht="11.25" customHeight="1" x14ac:dyDescent="0.2">
      <c r="A1938" s="197">
        <v>2023</v>
      </c>
      <c r="B1938" s="197">
        <v>9</v>
      </c>
      <c r="C1938" s="197">
        <v>25</v>
      </c>
      <c r="D1938" s="198">
        <f t="shared" si="148"/>
        <v>45194</v>
      </c>
      <c r="E1938" s="209">
        <f t="shared" ref="E1938:E1948" si="149">DATE(A1938,B1938,C1938)</f>
        <v>45194</v>
      </c>
      <c r="F1938" s="513" t="s">
        <v>1280</v>
      </c>
      <c r="G1938" s="200" t="s">
        <v>1209</v>
      </c>
      <c r="H1938" s="201"/>
      <c r="I1938" s="201" t="s">
        <v>299</v>
      </c>
      <c r="J1938" s="197" t="s">
        <v>16</v>
      </c>
      <c r="K1938" s="202">
        <v>1106330</v>
      </c>
      <c r="L1938" s="202"/>
    </row>
    <row r="1939" spans="1:14" ht="11.25" customHeight="1" x14ac:dyDescent="0.2">
      <c r="A1939" s="120">
        <v>2023</v>
      </c>
      <c r="B1939" s="120">
        <v>9</v>
      </c>
      <c r="C1939" s="120">
        <v>25</v>
      </c>
      <c r="D1939" s="208">
        <f t="shared" si="148"/>
        <v>45194</v>
      </c>
      <c r="E1939" s="209">
        <f t="shared" si="149"/>
        <v>45194</v>
      </c>
      <c r="F1939" s="515"/>
      <c r="G1939" s="132" t="s">
        <v>1209</v>
      </c>
      <c r="I1939" s="128" t="s">
        <v>299</v>
      </c>
      <c r="J1939" s="120" t="s">
        <v>47</v>
      </c>
      <c r="K1939" s="207">
        <v>51666</v>
      </c>
      <c r="L1939" s="207"/>
    </row>
    <row r="1940" spans="1:14" ht="11.25" customHeight="1" x14ac:dyDescent="0.2">
      <c r="A1940" s="191">
        <v>2023</v>
      </c>
      <c r="B1940" s="191">
        <v>9</v>
      </c>
      <c r="C1940" s="191">
        <v>25</v>
      </c>
      <c r="D1940" s="192">
        <f t="shared" si="148"/>
        <v>45194</v>
      </c>
      <c r="E1940" s="193">
        <f t="shared" si="149"/>
        <v>45194</v>
      </c>
      <c r="F1940" s="514"/>
      <c r="G1940" s="194" t="s">
        <v>1209</v>
      </c>
      <c r="H1940" s="195"/>
      <c r="I1940" s="195" t="s">
        <v>299</v>
      </c>
      <c r="J1940" s="191" t="s">
        <v>46</v>
      </c>
      <c r="K1940" s="196"/>
      <c r="L1940" s="196">
        <v>1157996</v>
      </c>
    </row>
    <row r="1941" spans="1:14" ht="11.25" customHeight="1" x14ac:dyDescent="0.2">
      <c r="A1941" s="197">
        <v>2023</v>
      </c>
      <c r="B1941" s="197">
        <v>9</v>
      </c>
      <c r="C1941" s="197">
        <v>25</v>
      </c>
      <c r="D1941" s="198">
        <f t="shared" si="148"/>
        <v>45194</v>
      </c>
      <c r="E1941" s="199">
        <f t="shared" si="149"/>
        <v>45194</v>
      </c>
      <c r="F1941" s="513" t="s">
        <v>1445</v>
      </c>
      <c r="G1941" s="200" t="s">
        <v>1209</v>
      </c>
      <c r="H1941" s="201"/>
      <c r="I1941" s="201" t="s">
        <v>1253</v>
      </c>
      <c r="J1941" s="197" t="s">
        <v>46</v>
      </c>
      <c r="K1941" s="202">
        <v>5436110</v>
      </c>
      <c r="L1941" s="202"/>
    </row>
    <row r="1942" spans="1:14" ht="11.25" customHeight="1" x14ac:dyDescent="0.2">
      <c r="A1942" s="120">
        <v>2023</v>
      </c>
      <c r="B1942" s="120">
        <v>9</v>
      </c>
      <c r="C1942" s="120">
        <v>25</v>
      </c>
      <c r="D1942" s="208">
        <f t="shared" si="148"/>
        <v>45194</v>
      </c>
      <c r="E1942" s="209">
        <f t="shared" si="149"/>
        <v>45194</v>
      </c>
      <c r="F1942" s="515"/>
      <c r="G1942" s="132" t="s">
        <v>1209</v>
      </c>
      <c r="J1942" s="120" t="s">
        <v>1476</v>
      </c>
      <c r="K1942" s="207"/>
      <c r="L1942" s="207">
        <f>74940+1190</f>
        <v>76130</v>
      </c>
    </row>
    <row r="1943" spans="1:14" ht="11.25" customHeight="1" x14ac:dyDescent="0.2">
      <c r="A1943" s="191">
        <v>2023</v>
      </c>
      <c r="B1943" s="191">
        <v>9</v>
      </c>
      <c r="C1943" s="191">
        <v>25</v>
      </c>
      <c r="D1943" s="192">
        <f t="shared" si="148"/>
        <v>45194</v>
      </c>
      <c r="E1943" s="193">
        <f t="shared" si="149"/>
        <v>45194</v>
      </c>
      <c r="F1943" s="514"/>
      <c r="G1943" s="194" t="s">
        <v>1209</v>
      </c>
      <c r="H1943" s="195"/>
      <c r="I1943" s="195" t="s">
        <v>1253</v>
      </c>
      <c r="J1943" s="191" t="s">
        <v>1475</v>
      </c>
      <c r="K1943" s="196"/>
      <c r="L1943" s="196">
        <v>5359980</v>
      </c>
      <c r="N1943" s="130"/>
    </row>
    <row r="1944" spans="1:14" ht="11.25" customHeight="1" x14ac:dyDescent="0.2">
      <c r="A1944" s="197">
        <v>2023</v>
      </c>
      <c r="B1944" s="197">
        <v>9</v>
      </c>
      <c r="C1944" s="197">
        <v>25</v>
      </c>
      <c r="D1944" s="198">
        <f t="shared" si="148"/>
        <v>45194</v>
      </c>
      <c r="E1944" s="199">
        <f t="shared" si="149"/>
        <v>45194</v>
      </c>
      <c r="F1944" s="513" t="s">
        <v>1446</v>
      </c>
      <c r="G1944" s="200" t="s">
        <v>1209</v>
      </c>
      <c r="H1944" s="201"/>
      <c r="I1944" s="201" t="s">
        <v>1253</v>
      </c>
      <c r="J1944" s="197" t="s">
        <v>46</v>
      </c>
      <c r="K1944" s="202">
        <v>2529870.71</v>
      </c>
      <c r="L1944" s="202"/>
    </row>
    <row r="1945" spans="1:14" ht="11.25" customHeight="1" x14ac:dyDescent="0.2">
      <c r="A1945" s="120">
        <v>2023</v>
      </c>
      <c r="B1945" s="120">
        <v>9</v>
      </c>
      <c r="C1945" s="120">
        <v>25</v>
      </c>
      <c r="D1945" s="208">
        <f t="shared" si="148"/>
        <v>45194</v>
      </c>
      <c r="E1945" s="209">
        <f t="shared" si="149"/>
        <v>45194</v>
      </c>
      <c r="F1945" s="515"/>
      <c r="G1945" s="132" t="s">
        <v>1209</v>
      </c>
      <c r="J1945" s="120" t="s">
        <v>1476</v>
      </c>
      <c r="K1945" s="207"/>
      <c r="L1945" s="207">
        <v>33240.979999999981</v>
      </c>
    </row>
    <row r="1946" spans="1:14" ht="11.25" customHeight="1" x14ac:dyDescent="0.2">
      <c r="A1946" s="191">
        <v>2023</v>
      </c>
      <c r="B1946" s="191">
        <v>9</v>
      </c>
      <c r="C1946" s="191">
        <v>25</v>
      </c>
      <c r="D1946" s="192">
        <f t="shared" si="148"/>
        <v>45194</v>
      </c>
      <c r="E1946" s="193">
        <f t="shared" si="149"/>
        <v>45194</v>
      </c>
      <c r="F1946" s="514"/>
      <c r="G1946" s="194" t="s">
        <v>1209</v>
      </c>
      <c r="H1946" s="195"/>
      <c r="I1946" s="195" t="s">
        <v>1253</v>
      </c>
      <c r="J1946" s="191" t="s">
        <v>1475</v>
      </c>
      <c r="K1946" s="196"/>
      <c r="L1946" s="196">
        <v>2496629.73</v>
      </c>
      <c r="N1946" s="130"/>
    </row>
    <row r="1947" spans="1:14" ht="11.25" customHeight="1" x14ac:dyDescent="0.2">
      <c r="A1947" s="197">
        <v>2023</v>
      </c>
      <c r="B1947" s="197">
        <v>9</v>
      </c>
      <c r="C1947" s="197">
        <v>17</v>
      </c>
      <c r="D1947" s="198">
        <f t="shared" si="148"/>
        <v>45186</v>
      </c>
      <c r="E1947" s="199">
        <f t="shared" si="149"/>
        <v>45186</v>
      </c>
      <c r="F1947" s="513" t="s">
        <v>1447</v>
      </c>
      <c r="G1947" s="200" t="s">
        <v>1209</v>
      </c>
      <c r="H1947" s="201"/>
      <c r="I1947" s="201" t="s">
        <v>1253</v>
      </c>
      <c r="J1947" s="197" t="s">
        <v>1475</v>
      </c>
      <c r="K1947" s="202">
        <v>8000795.04</v>
      </c>
      <c r="L1947" s="202"/>
    </row>
    <row r="1948" spans="1:14" ht="11.25" customHeight="1" x14ac:dyDescent="0.2">
      <c r="A1948" s="191">
        <v>2023</v>
      </c>
      <c r="B1948" s="191">
        <v>9</v>
      </c>
      <c r="C1948" s="191">
        <v>17</v>
      </c>
      <c r="D1948" s="192">
        <f t="shared" si="148"/>
        <v>45186</v>
      </c>
      <c r="E1948" s="193">
        <f t="shared" si="149"/>
        <v>45186</v>
      </c>
      <c r="F1948" s="514"/>
      <c r="G1948" s="194" t="s">
        <v>1209</v>
      </c>
      <c r="H1948" s="195"/>
      <c r="I1948" s="195" t="s">
        <v>1253</v>
      </c>
      <c r="J1948" s="191" t="s">
        <v>46</v>
      </c>
      <c r="K1948" s="196"/>
      <c r="L1948" s="196">
        <v>8000795.04</v>
      </c>
      <c r="N1948" s="130"/>
    </row>
    <row r="1949" spans="1:14" ht="11.25" customHeight="1" x14ac:dyDescent="0.2">
      <c r="A1949" s="197">
        <v>2023</v>
      </c>
      <c r="B1949" s="197">
        <v>9</v>
      </c>
      <c r="C1949" s="197">
        <v>26</v>
      </c>
      <c r="D1949" s="198">
        <f t="shared" si="148"/>
        <v>45195</v>
      </c>
      <c r="E1949" s="209">
        <f>DATE(A1949,B1949,C1949)</f>
        <v>45195</v>
      </c>
      <c r="F1949" s="513" t="s">
        <v>1210</v>
      </c>
      <c r="G1949" s="200" t="s">
        <v>1209</v>
      </c>
      <c r="H1949" s="201"/>
      <c r="I1949" s="201" t="s">
        <v>379</v>
      </c>
      <c r="J1949" s="197" t="s">
        <v>46</v>
      </c>
      <c r="K1949" s="202">
        <v>1200000</v>
      </c>
      <c r="L1949" s="202"/>
    </row>
    <row r="1950" spans="1:14" ht="11.25" customHeight="1" x14ac:dyDescent="0.2">
      <c r="A1950" s="120">
        <v>2023</v>
      </c>
      <c r="B1950" s="120">
        <v>9</v>
      </c>
      <c r="C1950" s="120">
        <v>26</v>
      </c>
      <c r="D1950" s="208">
        <f t="shared" si="148"/>
        <v>45195</v>
      </c>
      <c r="E1950" s="209">
        <f>DATE(A1950,B1950,C1950)</f>
        <v>45195</v>
      </c>
      <c r="F1950" s="515"/>
      <c r="G1950" s="132" t="s">
        <v>1209</v>
      </c>
      <c r="I1950" s="128" t="s">
        <v>379</v>
      </c>
      <c r="J1950" s="120" t="s">
        <v>16</v>
      </c>
      <c r="K1950" s="207"/>
      <c r="L1950" s="207">
        <v>1144710</v>
      </c>
    </row>
    <row r="1951" spans="1:14" ht="11.25" customHeight="1" x14ac:dyDescent="0.2">
      <c r="A1951" s="191">
        <v>2023</v>
      </c>
      <c r="B1951" s="191">
        <v>9</v>
      </c>
      <c r="C1951" s="191">
        <v>26</v>
      </c>
      <c r="D1951" s="192">
        <f t="shared" si="148"/>
        <v>45195</v>
      </c>
      <c r="E1951" s="193">
        <f>DATE(A1951,B1951,C1951)</f>
        <v>45195</v>
      </c>
      <c r="F1951" s="514"/>
      <c r="G1951" s="194" t="s">
        <v>1209</v>
      </c>
      <c r="H1951" s="195"/>
      <c r="I1951" s="195" t="s">
        <v>379</v>
      </c>
      <c r="J1951" s="191" t="s">
        <v>47</v>
      </c>
      <c r="K1951" s="196"/>
      <c r="L1951" s="196">
        <v>55290</v>
      </c>
    </row>
    <row r="1952" spans="1:14" ht="11.25" customHeight="1" x14ac:dyDescent="0.2">
      <c r="A1952" s="197">
        <v>2023</v>
      </c>
      <c r="B1952" s="197">
        <v>9</v>
      </c>
      <c r="C1952" s="197">
        <v>26</v>
      </c>
      <c r="D1952" s="198">
        <f t="shared" si="148"/>
        <v>45195</v>
      </c>
      <c r="E1952" s="199">
        <f>DATE(A1952,B1952,C1952)</f>
        <v>45195</v>
      </c>
      <c r="F1952" s="513" t="s">
        <v>1323</v>
      </c>
      <c r="G1952" s="200" t="s">
        <v>1209</v>
      </c>
      <c r="H1952" s="201"/>
      <c r="I1952" s="201"/>
      <c r="J1952" s="197" t="s">
        <v>54</v>
      </c>
      <c r="K1952" s="202">
        <v>60</v>
      </c>
      <c r="L1952" s="202"/>
    </row>
    <row r="1953" spans="1:12" ht="11.25" customHeight="1" x14ac:dyDescent="0.2">
      <c r="A1953" s="191">
        <v>2023</v>
      </c>
      <c r="B1953" s="191">
        <v>9</v>
      </c>
      <c r="C1953" s="191">
        <v>26</v>
      </c>
      <c r="D1953" s="192">
        <f t="shared" si="148"/>
        <v>45195</v>
      </c>
      <c r="E1953" s="193">
        <f>DATE(A1953,B1953,C1953)</f>
        <v>45195</v>
      </c>
      <c r="F1953" s="514"/>
      <c r="G1953" s="194" t="s">
        <v>1209</v>
      </c>
      <c r="H1953" s="195"/>
      <c r="I1953" s="195"/>
      <c r="J1953" s="191" t="s">
        <v>46</v>
      </c>
      <c r="K1953" s="196"/>
      <c r="L1953" s="196">
        <v>60</v>
      </c>
    </row>
    <row r="1954" spans="1:12" ht="11.25" customHeight="1" x14ac:dyDescent="0.2">
      <c r="A1954" s="197">
        <v>2023</v>
      </c>
      <c r="B1954" s="197">
        <v>9</v>
      </c>
      <c r="C1954" s="197">
        <v>26</v>
      </c>
      <c r="D1954" s="198">
        <f t="shared" si="148"/>
        <v>45195</v>
      </c>
      <c r="E1954" s="209">
        <f t="shared" ref="E1954:E1985" si="150">DATE(A1954,B1954,C1954)</f>
        <v>45195</v>
      </c>
      <c r="F1954" s="513" t="s">
        <v>1210</v>
      </c>
      <c r="G1954" s="200" t="s">
        <v>1209</v>
      </c>
      <c r="H1954" s="201"/>
      <c r="I1954" s="201" t="s">
        <v>379</v>
      </c>
      <c r="J1954" s="197" t="s">
        <v>46</v>
      </c>
      <c r="K1954" s="202">
        <v>25000</v>
      </c>
      <c r="L1954" s="202"/>
    </row>
    <row r="1955" spans="1:12" ht="11.25" customHeight="1" x14ac:dyDescent="0.2">
      <c r="A1955" s="120">
        <v>2023</v>
      </c>
      <c r="B1955" s="120">
        <v>9</v>
      </c>
      <c r="C1955" s="120">
        <v>26</v>
      </c>
      <c r="D1955" s="208">
        <f t="shared" si="148"/>
        <v>45195</v>
      </c>
      <c r="E1955" s="209">
        <f t="shared" si="150"/>
        <v>45195</v>
      </c>
      <c r="F1955" s="515"/>
      <c r="G1955" s="132" t="s">
        <v>1209</v>
      </c>
      <c r="I1955" s="128" t="s">
        <v>379</v>
      </c>
      <c r="J1955" s="120" t="s">
        <v>16</v>
      </c>
      <c r="K1955" s="207"/>
      <c r="L1955" s="207">
        <v>23850</v>
      </c>
    </row>
    <row r="1956" spans="1:12" ht="11.25" customHeight="1" x14ac:dyDescent="0.2">
      <c r="A1956" s="191">
        <v>2023</v>
      </c>
      <c r="B1956" s="191">
        <v>9</v>
      </c>
      <c r="C1956" s="191">
        <v>26</v>
      </c>
      <c r="D1956" s="192">
        <f t="shared" si="148"/>
        <v>45195</v>
      </c>
      <c r="E1956" s="193">
        <f t="shared" si="150"/>
        <v>45195</v>
      </c>
      <c r="F1956" s="514"/>
      <c r="G1956" s="194" t="s">
        <v>1209</v>
      </c>
      <c r="H1956" s="195"/>
      <c r="I1956" s="195" t="s">
        <v>379</v>
      </c>
      <c r="J1956" s="191" t="s">
        <v>47</v>
      </c>
      <c r="K1956" s="196"/>
      <c r="L1956" s="196">
        <v>1150</v>
      </c>
    </row>
    <row r="1957" spans="1:12" ht="11.25" customHeight="1" x14ac:dyDescent="0.2">
      <c r="A1957" s="197">
        <v>2023</v>
      </c>
      <c r="B1957" s="197">
        <v>9</v>
      </c>
      <c r="C1957" s="197">
        <v>26</v>
      </c>
      <c r="D1957" s="198">
        <f t="shared" si="148"/>
        <v>45195</v>
      </c>
      <c r="E1957" s="209">
        <f t="shared" ref="E1957:E1962" si="151">DATE(A1957,B1957,C1957)</f>
        <v>45195</v>
      </c>
      <c r="F1957" s="513" t="s">
        <v>1296</v>
      </c>
      <c r="G1957" s="200" t="s">
        <v>1209</v>
      </c>
      <c r="H1957" s="201"/>
      <c r="I1957" s="201"/>
      <c r="J1957" s="197" t="s">
        <v>46</v>
      </c>
      <c r="K1957" s="202">
        <v>36000</v>
      </c>
      <c r="L1957" s="202"/>
    </row>
    <row r="1958" spans="1:12" ht="11.25" customHeight="1" x14ac:dyDescent="0.2">
      <c r="A1958" s="120">
        <v>2023</v>
      </c>
      <c r="B1958" s="120">
        <v>9</v>
      </c>
      <c r="C1958" s="120">
        <v>26</v>
      </c>
      <c r="D1958" s="208">
        <f t="shared" si="148"/>
        <v>45195</v>
      </c>
      <c r="E1958" s="209">
        <f t="shared" si="151"/>
        <v>45195</v>
      </c>
      <c r="F1958" s="515"/>
      <c r="G1958" s="132" t="s">
        <v>1209</v>
      </c>
      <c r="J1958" s="120" t="s">
        <v>16</v>
      </c>
      <c r="K1958" s="207"/>
      <c r="L1958" s="207">
        <v>34340</v>
      </c>
    </row>
    <row r="1959" spans="1:12" ht="11.25" customHeight="1" x14ac:dyDescent="0.2">
      <c r="A1959" s="191">
        <v>2023</v>
      </c>
      <c r="B1959" s="191">
        <v>9</v>
      </c>
      <c r="C1959" s="191">
        <v>26</v>
      </c>
      <c r="D1959" s="192">
        <f t="shared" si="148"/>
        <v>45195</v>
      </c>
      <c r="E1959" s="193">
        <f t="shared" si="151"/>
        <v>45195</v>
      </c>
      <c r="F1959" s="514"/>
      <c r="G1959" s="194" t="s">
        <v>1209</v>
      </c>
      <c r="H1959" s="195"/>
      <c r="I1959" s="195"/>
      <c r="J1959" s="191" t="s">
        <v>47</v>
      </c>
      <c r="K1959" s="196"/>
      <c r="L1959" s="196">
        <v>1660</v>
      </c>
    </row>
    <row r="1960" spans="1:12" ht="11.25" customHeight="1" x14ac:dyDescent="0.2">
      <c r="A1960" s="197">
        <v>2023</v>
      </c>
      <c r="B1960" s="197">
        <v>9</v>
      </c>
      <c r="C1960" s="197">
        <v>27</v>
      </c>
      <c r="D1960" s="198">
        <f t="shared" si="148"/>
        <v>45196</v>
      </c>
      <c r="E1960" s="209">
        <f t="shared" si="151"/>
        <v>45196</v>
      </c>
      <c r="F1960" s="513" t="s">
        <v>1296</v>
      </c>
      <c r="G1960" s="200" t="s">
        <v>1209</v>
      </c>
      <c r="H1960" s="201"/>
      <c r="I1960" s="201"/>
      <c r="J1960" s="197" t="s">
        <v>46</v>
      </c>
      <c r="K1960" s="202">
        <v>193540</v>
      </c>
      <c r="L1960" s="202"/>
    </row>
    <row r="1961" spans="1:12" ht="11.25" customHeight="1" x14ac:dyDescent="0.2">
      <c r="A1961" s="120">
        <v>2023</v>
      </c>
      <c r="B1961" s="120">
        <v>9</v>
      </c>
      <c r="C1961" s="120">
        <v>27</v>
      </c>
      <c r="D1961" s="208">
        <f t="shared" si="148"/>
        <v>45196</v>
      </c>
      <c r="E1961" s="209">
        <f t="shared" si="151"/>
        <v>45196</v>
      </c>
      <c r="F1961" s="515"/>
      <c r="G1961" s="132" t="s">
        <v>1209</v>
      </c>
      <c r="J1961" s="120" t="s">
        <v>16</v>
      </c>
      <c r="K1961" s="207"/>
      <c r="L1961" s="207">
        <v>184620</v>
      </c>
    </row>
    <row r="1962" spans="1:12" ht="11.25" customHeight="1" x14ac:dyDescent="0.2">
      <c r="A1962" s="191">
        <v>2023</v>
      </c>
      <c r="B1962" s="191">
        <v>9</v>
      </c>
      <c r="C1962" s="191">
        <v>27</v>
      </c>
      <c r="D1962" s="192">
        <f t="shared" si="148"/>
        <v>45196</v>
      </c>
      <c r="E1962" s="193">
        <f t="shared" si="151"/>
        <v>45196</v>
      </c>
      <c r="F1962" s="514"/>
      <c r="G1962" s="194" t="s">
        <v>1209</v>
      </c>
      <c r="H1962" s="195"/>
      <c r="I1962" s="195"/>
      <c r="J1962" s="191" t="s">
        <v>47</v>
      </c>
      <c r="K1962" s="196"/>
      <c r="L1962" s="196">
        <v>8920</v>
      </c>
    </row>
    <row r="1963" spans="1:12" ht="11.25" customHeight="1" x14ac:dyDescent="0.2">
      <c r="A1963" s="197">
        <v>2023</v>
      </c>
      <c r="B1963" s="197">
        <v>9</v>
      </c>
      <c r="C1963" s="197">
        <v>27</v>
      </c>
      <c r="D1963" s="198">
        <f t="shared" si="148"/>
        <v>45196</v>
      </c>
      <c r="E1963" s="209">
        <f t="shared" si="150"/>
        <v>45196</v>
      </c>
      <c r="F1963" s="513" t="s">
        <v>1280</v>
      </c>
      <c r="G1963" s="200" t="s">
        <v>1209</v>
      </c>
      <c r="H1963" s="201"/>
      <c r="I1963" s="201" t="s">
        <v>926</v>
      </c>
      <c r="J1963" s="197" t="s">
        <v>16</v>
      </c>
      <c r="K1963" s="202">
        <v>156040</v>
      </c>
      <c r="L1963" s="202"/>
    </row>
    <row r="1964" spans="1:12" ht="11.25" customHeight="1" x14ac:dyDescent="0.2">
      <c r="A1964" s="120">
        <v>2023</v>
      </c>
      <c r="B1964" s="120">
        <v>9</v>
      </c>
      <c r="C1964" s="120">
        <v>27</v>
      </c>
      <c r="D1964" s="208">
        <f t="shared" si="148"/>
        <v>45196</v>
      </c>
      <c r="E1964" s="209">
        <f t="shared" si="150"/>
        <v>45196</v>
      </c>
      <c r="F1964" s="515"/>
      <c r="G1964" s="132" t="s">
        <v>1209</v>
      </c>
      <c r="I1964" s="128" t="s">
        <v>926</v>
      </c>
      <c r="J1964" s="120" t="s">
        <v>47</v>
      </c>
      <c r="K1964" s="207">
        <v>7536.7300000000105</v>
      </c>
      <c r="L1964" s="207"/>
    </row>
    <row r="1965" spans="1:12" ht="11.25" customHeight="1" x14ac:dyDescent="0.2">
      <c r="A1965" s="191">
        <v>2023</v>
      </c>
      <c r="B1965" s="191">
        <v>9</v>
      </c>
      <c r="C1965" s="191">
        <v>27</v>
      </c>
      <c r="D1965" s="192">
        <f t="shared" si="148"/>
        <v>45196</v>
      </c>
      <c r="E1965" s="193">
        <f t="shared" si="150"/>
        <v>45196</v>
      </c>
      <c r="F1965" s="514"/>
      <c r="G1965" s="194" t="s">
        <v>1209</v>
      </c>
      <c r="H1965" s="195"/>
      <c r="I1965" s="195" t="s">
        <v>926</v>
      </c>
      <c r="J1965" s="191" t="s">
        <v>46</v>
      </c>
      <c r="K1965" s="196"/>
      <c r="L1965" s="196">
        <v>163576.73000000001</v>
      </c>
    </row>
    <row r="1966" spans="1:12" ht="11.25" customHeight="1" x14ac:dyDescent="0.2">
      <c r="A1966" s="210">
        <v>2023</v>
      </c>
      <c r="B1966" s="210">
        <v>9</v>
      </c>
      <c r="C1966" s="210">
        <v>27</v>
      </c>
      <c r="D1966" s="211">
        <f t="shared" si="148"/>
        <v>45196</v>
      </c>
      <c r="E1966" s="238">
        <f t="shared" si="150"/>
        <v>45196</v>
      </c>
      <c r="F1966" s="520" t="s">
        <v>1278</v>
      </c>
      <c r="G1966" s="213" t="s">
        <v>1245</v>
      </c>
      <c r="H1966" s="214"/>
      <c r="I1966" s="214" t="s">
        <v>1253</v>
      </c>
      <c r="J1966" s="210" t="s">
        <v>1529</v>
      </c>
      <c r="K1966" s="215">
        <v>6512.28</v>
      </c>
      <c r="L1966" s="215"/>
    </row>
    <row r="1967" spans="1:12" ht="11.25" customHeight="1" x14ac:dyDescent="0.2">
      <c r="A1967" s="216">
        <v>2023</v>
      </c>
      <c r="B1967" s="216">
        <v>9</v>
      </c>
      <c r="C1967" s="216">
        <v>27</v>
      </c>
      <c r="D1967" s="217">
        <f t="shared" si="148"/>
        <v>45196</v>
      </c>
      <c r="E1967" s="239">
        <f t="shared" si="150"/>
        <v>45196</v>
      </c>
      <c r="F1967" s="521"/>
      <c r="G1967" s="219" t="s">
        <v>1245</v>
      </c>
      <c r="H1967" s="220"/>
      <c r="I1967" s="220" t="s">
        <v>1253</v>
      </c>
      <c r="J1967" s="216" t="s">
        <v>1581</v>
      </c>
      <c r="K1967" s="221"/>
      <c r="L1967" s="221">
        <v>6512.28</v>
      </c>
    </row>
    <row r="1968" spans="1:12" ht="11.25" customHeight="1" x14ac:dyDescent="0.2">
      <c r="A1968" s="210">
        <v>2023</v>
      </c>
      <c r="B1968" s="210">
        <v>9</v>
      </c>
      <c r="C1968" s="210">
        <v>27</v>
      </c>
      <c r="D1968" s="211">
        <f t="shared" si="148"/>
        <v>45196</v>
      </c>
      <c r="E1968" s="238">
        <f t="shared" si="150"/>
        <v>45196</v>
      </c>
      <c r="F1968" s="520" t="s">
        <v>1285</v>
      </c>
      <c r="G1968" s="213" t="s">
        <v>1245</v>
      </c>
      <c r="H1968" s="214"/>
      <c r="I1968" s="214" t="s">
        <v>1253</v>
      </c>
      <c r="J1968" s="210" t="s">
        <v>1284</v>
      </c>
      <c r="K1968" s="215">
        <v>13771.15</v>
      </c>
      <c r="L1968" s="215"/>
    </row>
    <row r="1969" spans="1:12" ht="11.25" customHeight="1" x14ac:dyDescent="0.2">
      <c r="A1969" s="242">
        <v>2023</v>
      </c>
      <c r="B1969" s="216">
        <v>9</v>
      </c>
      <c r="C1969" s="216">
        <v>27</v>
      </c>
      <c r="D1969" s="243">
        <f t="shared" si="148"/>
        <v>45196</v>
      </c>
      <c r="E1969" s="244">
        <f>DATE(A1969,B1969,C1969)</f>
        <v>45196</v>
      </c>
      <c r="F1969" s="524"/>
      <c r="G1969" s="245" t="s">
        <v>1245</v>
      </c>
      <c r="H1969" s="246"/>
      <c r="I1969" s="246"/>
      <c r="J1969" s="242" t="s">
        <v>1582</v>
      </c>
      <c r="K1969" s="247"/>
      <c r="L1969" s="247">
        <v>13771.15</v>
      </c>
    </row>
    <row r="1970" spans="1:12" ht="11.25" customHeight="1" x14ac:dyDescent="0.2">
      <c r="A1970" s="210">
        <v>2023</v>
      </c>
      <c r="B1970" s="210">
        <v>9</v>
      </c>
      <c r="C1970" s="210">
        <v>27</v>
      </c>
      <c r="D1970" s="211">
        <f t="shared" si="148"/>
        <v>45196</v>
      </c>
      <c r="E1970" s="238">
        <f t="shared" si="150"/>
        <v>45196</v>
      </c>
      <c r="F1970" s="520" t="s">
        <v>1259</v>
      </c>
      <c r="G1970" s="213" t="s">
        <v>1245</v>
      </c>
      <c r="H1970" s="214"/>
      <c r="I1970" s="214" t="s">
        <v>1253</v>
      </c>
      <c r="J1970" s="210" t="s">
        <v>58</v>
      </c>
      <c r="K1970" s="215">
        <v>4259.59</v>
      </c>
      <c r="L1970" s="215"/>
    </row>
    <row r="1971" spans="1:12" ht="11.25" customHeight="1" x14ac:dyDescent="0.2">
      <c r="A1971" s="216">
        <v>2023</v>
      </c>
      <c r="B1971" s="216">
        <v>9</v>
      </c>
      <c r="C1971" s="216">
        <v>27</v>
      </c>
      <c r="D1971" s="217">
        <f t="shared" si="148"/>
        <v>45196</v>
      </c>
      <c r="E1971" s="239">
        <f t="shared" si="150"/>
        <v>45196</v>
      </c>
      <c r="F1971" s="521"/>
      <c r="G1971" s="219" t="s">
        <v>1245</v>
      </c>
      <c r="H1971" s="220"/>
      <c r="I1971" s="220" t="s">
        <v>1253</v>
      </c>
      <c r="J1971" s="216" t="s">
        <v>153</v>
      </c>
      <c r="K1971" s="221"/>
      <c r="L1971" s="221">
        <v>4259.59</v>
      </c>
    </row>
    <row r="1972" spans="1:12" ht="11.25" customHeight="1" x14ac:dyDescent="0.2">
      <c r="A1972" s="210">
        <v>2023</v>
      </c>
      <c r="B1972" s="210">
        <v>9</v>
      </c>
      <c r="C1972" s="210">
        <v>27</v>
      </c>
      <c r="D1972" s="211">
        <f t="shared" si="148"/>
        <v>45196</v>
      </c>
      <c r="E1972" s="238">
        <f t="shared" si="150"/>
        <v>45196</v>
      </c>
      <c r="F1972" s="520" t="s">
        <v>1255</v>
      </c>
      <c r="G1972" s="213" t="s">
        <v>1245</v>
      </c>
      <c r="H1972" s="214"/>
      <c r="I1972" s="214" t="s">
        <v>1253</v>
      </c>
      <c r="J1972" s="210" t="s">
        <v>113</v>
      </c>
      <c r="K1972" s="215">
        <v>44961.54</v>
      </c>
      <c r="L1972" s="215"/>
    </row>
    <row r="1973" spans="1:12" ht="11.25" customHeight="1" x14ac:dyDescent="0.2">
      <c r="A1973" s="216">
        <v>2023</v>
      </c>
      <c r="B1973" s="216">
        <v>9</v>
      </c>
      <c r="C1973" s="216">
        <v>27</v>
      </c>
      <c r="D1973" s="217">
        <f t="shared" si="148"/>
        <v>45196</v>
      </c>
      <c r="E1973" s="239">
        <f t="shared" si="150"/>
        <v>45196</v>
      </c>
      <c r="F1973" s="521"/>
      <c r="G1973" s="219" t="s">
        <v>1245</v>
      </c>
      <c r="H1973" s="220"/>
      <c r="I1973" s="220" t="s">
        <v>1253</v>
      </c>
      <c r="J1973" s="216" t="s">
        <v>153</v>
      </c>
      <c r="K1973" s="221"/>
      <c r="L1973" s="221">
        <v>44961.54</v>
      </c>
    </row>
    <row r="1974" spans="1:12" ht="11.25" customHeight="1" x14ac:dyDescent="0.2">
      <c r="A1974" s="210">
        <v>2023</v>
      </c>
      <c r="B1974" s="210">
        <v>9</v>
      </c>
      <c r="C1974" s="210">
        <v>27</v>
      </c>
      <c r="D1974" s="211">
        <f t="shared" si="148"/>
        <v>45196</v>
      </c>
      <c r="E1974" s="238">
        <f t="shared" si="150"/>
        <v>45196</v>
      </c>
      <c r="F1974" s="520" t="s">
        <v>1256</v>
      </c>
      <c r="G1974" s="213" t="s">
        <v>1245</v>
      </c>
      <c r="H1974" s="214"/>
      <c r="I1974" s="214" t="s">
        <v>1253</v>
      </c>
      <c r="J1974" s="210" t="s">
        <v>113</v>
      </c>
      <c r="K1974" s="215">
        <v>5925.93</v>
      </c>
      <c r="L1974" s="215"/>
    </row>
    <row r="1975" spans="1:12" ht="11.25" customHeight="1" x14ac:dyDescent="0.2">
      <c r="A1975" s="216">
        <v>2023</v>
      </c>
      <c r="B1975" s="216">
        <v>9</v>
      </c>
      <c r="C1975" s="216">
        <v>27</v>
      </c>
      <c r="D1975" s="217">
        <f t="shared" si="148"/>
        <v>45196</v>
      </c>
      <c r="E1975" s="239">
        <f t="shared" si="150"/>
        <v>45196</v>
      </c>
      <c r="F1975" s="521"/>
      <c r="G1975" s="219" t="s">
        <v>1245</v>
      </c>
      <c r="H1975" s="220"/>
      <c r="I1975" s="220" t="s">
        <v>1253</v>
      </c>
      <c r="J1975" s="216" t="s">
        <v>153</v>
      </c>
      <c r="K1975" s="221"/>
      <c r="L1975" s="221">
        <v>5925.93</v>
      </c>
    </row>
    <row r="1976" spans="1:12" ht="11.25" customHeight="1" x14ac:dyDescent="0.2">
      <c r="A1976" s="210">
        <v>2023</v>
      </c>
      <c r="B1976" s="210">
        <v>9</v>
      </c>
      <c r="C1976" s="210">
        <v>27</v>
      </c>
      <c r="D1976" s="211">
        <f t="shared" si="148"/>
        <v>45196</v>
      </c>
      <c r="E1976" s="238">
        <f t="shared" si="150"/>
        <v>45196</v>
      </c>
      <c r="F1976" s="520" t="s">
        <v>1257</v>
      </c>
      <c r="G1976" s="213" t="s">
        <v>1245</v>
      </c>
      <c r="H1976" s="214"/>
      <c r="I1976" s="214" t="s">
        <v>1253</v>
      </c>
      <c r="J1976" s="210" t="s">
        <v>113</v>
      </c>
      <c r="K1976" s="215">
        <v>27692.31</v>
      </c>
      <c r="L1976" s="215"/>
    </row>
    <row r="1977" spans="1:12" ht="11.25" customHeight="1" x14ac:dyDescent="0.2">
      <c r="A1977" s="216">
        <v>2023</v>
      </c>
      <c r="B1977" s="216">
        <v>9</v>
      </c>
      <c r="C1977" s="216">
        <v>27</v>
      </c>
      <c r="D1977" s="217">
        <f t="shared" si="148"/>
        <v>45196</v>
      </c>
      <c r="E1977" s="239">
        <f t="shared" si="150"/>
        <v>45196</v>
      </c>
      <c r="F1977" s="521"/>
      <c r="G1977" s="219" t="s">
        <v>1245</v>
      </c>
      <c r="H1977" s="220"/>
      <c r="I1977" s="220" t="s">
        <v>1253</v>
      </c>
      <c r="J1977" s="216" t="s">
        <v>153</v>
      </c>
      <c r="K1977" s="221"/>
      <c r="L1977" s="221">
        <v>27692.31</v>
      </c>
    </row>
    <row r="1978" spans="1:12" ht="11.25" customHeight="1" x14ac:dyDescent="0.2">
      <c r="A1978" s="259">
        <v>2023</v>
      </c>
      <c r="B1978" s="259">
        <v>9</v>
      </c>
      <c r="C1978" s="259">
        <v>27</v>
      </c>
      <c r="D1978" s="260">
        <f t="shared" si="148"/>
        <v>45196</v>
      </c>
      <c r="E1978" s="261">
        <f t="shared" si="150"/>
        <v>45196</v>
      </c>
      <c r="F1978" s="531" t="s">
        <v>1424</v>
      </c>
      <c r="G1978" s="262" t="s">
        <v>1245</v>
      </c>
      <c r="H1978" s="263"/>
      <c r="I1978" s="263" t="s">
        <v>1253</v>
      </c>
      <c r="J1978" s="259" t="s">
        <v>1476</v>
      </c>
      <c r="K1978" s="264">
        <v>6058.53</v>
      </c>
      <c r="L1978" s="264"/>
    </row>
    <row r="1979" spans="1:12" ht="11.25" customHeight="1" x14ac:dyDescent="0.2">
      <c r="A1979" s="265">
        <v>2023</v>
      </c>
      <c r="B1979" s="265">
        <v>9</v>
      </c>
      <c r="C1979" s="265">
        <v>27</v>
      </c>
      <c r="D1979" s="266">
        <f t="shared" si="148"/>
        <v>45196</v>
      </c>
      <c r="E1979" s="267">
        <f t="shared" si="150"/>
        <v>45196</v>
      </c>
      <c r="F1979" s="532"/>
      <c r="G1979" s="268" t="s">
        <v>1245</v>
      </c>
      <c r="H1979" s="269"/>
      <c r="I1979" s="269" t="s">
        <v>1253</v>
      </c>
      <c r="J1979" s="265" t="s">
        <v>153</v>
      </c>
      <c r="K1979" s="270"/>
      <c r="L1979" s="270">
        <v>6058.53</v>
      </c>
    </row>
    <row r="1980" spans="1:12" ht="11.25" customHeight="1" x14ac:dyDescent="0.2">
      <c r="A1980" s="259">
        <v>2023</v>
      </c>
      <c r="B1980" s="259">
        <v>9</v>
      </c>
      <c r="C1980" s="259">
        <v>27</v>
      </c>
      <c r="D1980" s="260">
        <f t="shared" si="148"/>
        <v>45196</v>
      </c>
      <c r="E1980" s="261">
        <f t="shared" si="150"/>
        <v>45196</v>
      </c>
      <c r="F1980" s="531" t="s">
        <v>1383</v>
      </c>
      <c r="G1980" s="262" t="s">
        <v>1245</v>
      </c>
      <c r="H1980" s="263"/>
      <c r="I1980" s="263" t="s">
        <v>1253</v>
      </c>
      <c r="J1980" s="259" t="s">
        <v>1476</v>
      </c>
      <c r="K1980" s="264">
        <v>6945.1</v>
      </c>
      <c r="L1980" s="264"/>
    </row>
    <row r="1981" spans="1:12" ht="11.25" customHeight="1" x14ac:dyDescent="0.2">
      <c r="A1981" s="265">
        <v>2023</v>
      </c>
      <c r="B1981" s="265">
        <v>9</v>
      </c>
      <c r="C1981" s="265">
        <v>27</v>
      </c>
      <c r="D1981" s="266">
        <f t="shared" si="148"/>
        <v>45196</v>
      </c>
      <c r="E1981" s="267">
        <f t="shared" si="150"/>
        <v>45196</v>
      </c>
      <c r="F1981" s="532"/>
      <c r="G1981" s="268" t="s">
        <v>1245</v>
      </c>
      <c r="H1981" s="269"/>
      <c r="I1981" s="269" t="s">
        <v>1253</v>
      </c>
      <c r="J1981" s="265" t="s">
        <v>153</v>
      </c>
      <c r="K1981" s="270"/>
      <c r="L1981" s="270">
        <v>6945.1</v>
      </c>
    </row>
    <row r="1982" spans="1:12" ht="11.25" customHeight="1" x14ac:dyDescent="0.2">
      <c r="A1982" s="259">
        <v>2023</v>
      </c>
      <c r="B1982" s="259">
        <v>9</v>
      </c>
      <c r="C1982" s="259">
        <v>27</v>
      </c>
      <c r="D1982" s="260">
        <f t="shared" si="148"/>
        <v>45196</v>
      </c>
      <c r="E1982" s="261">
        <f t="shared" si="150"/>
        <v>45196</v>
      </c>
      <c r="F1982" s="531" t="s">
        <v>1388</v>
      </c>
      <c r="G1982" s="262" t="s">
        <v>1245</v>
      </c>
      <c r="H1982" s="263"/>
      <c r="I1982" s="263" t="s">
        <v>1253</v>
      </c>
      <c r="J1982" s="259" t="s">
        <v>1476</v>
      </c>
      <c r="K1982" s="264">
        <v>3114.785555555537</v>
      </c>
      <c r="L1982" s="264"/>
    </row>
    <row r="1983" spans="1:12" ht="11.25" customHeight="1" x14ac:dyDescent="0.2">
      <c r="A1983" s="265">
        <v>2023</v>
      </c>
      <c r="B1983" s="265">
        <v>9</v>
      </c>
      <c r="C1983" s="265">
        <v>27</v>
      </c>
      <c r="D1983" s="266">
        <f t="shared" si="148"/>
        <v>45196</v>
      </c>
      <c r="E1983" s="267">
        <f t="shared" si="150"/>
        <v>45196</v>
      </c>
      <c r="F1983" s="532"/>
      <c r="G1983" s="268" t="s">
        <v>1245</v>
      </c>
      <c r="H1983" s="269"/>
      <c r="I1983" s="269" t="s">
        <v>1253</v>
      </c>
      <c r="J1983" s="265" t="s">
        <v>153</v>
      </c>
      <c r="K1983" s="270"/>
      <c r="L1983" s="270">
        <v>3114.785555555537</v>
      </c>
    </row>
    <row r="1984" spans="1:12" ht="11.25" customHeight="1" x14ac:dyDescent="0.2">
      <c r="A1984" s="259">
        <v>2023</v>
      </c>
      <c r="B1984" s="259">
        <v>9</v>
      </c>
      <c r="C1984" s="259">
        <v>27</v>
      </c>
      <c r="D1984" s="260">
        <f t="shared" si="148"/>
        <v>45196</v>
      </c>
      <c r="E1984" s="261">
        <f t="shared" si="150"/>
        <v>45196</v>
      </c>
      <c r="F1984" s="531" t="s">
        <v>1359</v>
      </c>
      <c r="G1984" s="262" t="s">
        <v>1245</v>
      </c>
      <c r="H1984" s="263"/>
      <c r="I1984" s="263" t="s">
        <v>1253</v>
      </c>
      <c r="J1984" s="259" t="s">
        <v>1476</v>
      </c>
      <c r="K1984" s="264">
        <v>8341.8499999999385</v>
      </c>
      <c r="L1984" s="264"/>
    </row>
    <row r="1985" spans="1:12" ht="11.25" customHeight="1" x14ac:dyDescent="0.2">
      <c r="A1985" s="265">
        <v>2023</v>
      </c>
      <c r="B1985" s="265">
        <v>9</v>
      </c>
      <c r="C1985" s="265">
        <v>27</v>
      </c>
      <c r="D1985" s="266">
        <f t="shared" si="148"/>
        <v>45196</v>
      </c>
      <c r="E1985" s="267">
        <f t="shared" si="150"/>
        <v>45196</v>
      </c>
      <c r="F1985" s="532"/>
      <c r="G1985" s="268" t="s">
        <v>1245</v>
      </c>
      <c r="H1985" s="269"/>
      <c r="I1985" s="269" t="s">
        <v>1253</v>
      </c>
      <c r="J1985" s="265" t="s">
        <v>153</v>
      </c>
      <c r="K1985" s="270"/>
      <c r="L1985" s="270">
        <v>8341.8499999999385</v>
      </c>
    </row>
    <row r="1986" spans="1:12" ht="11.25" customHeight="1" x14ac:dyDescent="0.2">
      <c r="A1986" s="259">
        <v>2023</v>
      </c>
      <c r="B1986" s="259">
        <v>9</v>
      </c>
      <c r="C1986" s="259">
        <v>27</v>
      </c>
      <c r="D1986" s="260">
        <f t="shared" si="148"/>
        <v>45196</v>
      </c>
      <c r="E1986" s="261">
        <f>DATE(A1986,B1986,C1986)</f>
        <v>45196</v>
      </c>
      <c r="F1986" s="531" t="s">
        <v>1442</v>
      </c>
      <c r="G1986" s="262" t="s">
        <v>1245</v>
      </c>
      <c r="H1986" s="263"/>
      <c r="I1986" s="263" t="s">
        <v>1253</v>
      </c>
      <c r="J1986" s="259" t="s">
        <v>1476</v>
      </c>
      <c r="K1986" s="264">
        <v>16921.37777777782</v>
      </c>
      <c r="L1986" s="264"/>
    </row>
    <row r="1987" spans="1:12" ht="11.25" customHeight="1" x14ac:dyDescent="0.2">
      <c r="A1987" s="265">
        <v>2023</v>
      </c>
      <c r="B1987" s="265">
        <v>9</v>
      </c>
      <c r="C1987" s="265">
        <v>27</v>
      </c>
      <c r="D1987" s="266">
        <f t="shared" si="148"/>
        <v>45196</v>
      </c>
      <c r="E1987" s="267">
        <f>DATE(A1987,B1987,C1987)</f>
        <v>45196</v>
      </c>
      <c r="F1987" s="532"/>
      <c r="G1987" s="268" t="s">
        <v>1245</v>
      </c>
      <c r="H1987" s="269"/>
      <c r="I1987" s="269" t="s">
        <v>1253</v>
      </c>
      <c r="J1987" s="265" t="s">
        <v>153</v>
      </c>
      <c r="K1987" s="270"/>
      <c r="L1987" s="270">
        <v>16921.37777777782</v>
      </c>
    </row>
    <row r="1988" spans="1:12" ht="11.25" customHeight="1" x14ac:dyDescent="0.2">
      <c r="A1988" s="259">
        <v>2023</v>
      </c>
      <c r="B1988" s="259">
        <v>9</v>
      </c>
      <c r="C1988" s="259">
        <v>27</v>
      </c>
      <c r="D1988" s="260">
        <f t="shared" si="148"/>
        <v>45196</v>
      </c>
      <c r="E1988" s="261">
        <f>DATE(A1988,B1988,C1988)</f>
        <v>45196</v>
      </c>
      <c r="F1988" s="531" t="s">
        <v>1448</v>
      </c>
      <c r="G1988" s="262" t="s">
        <v>1245</v>
      </c>
      <c r="H1988" s="263"/>
      <c r="I1988" s="263" t="s">
        <v>1253</v>
      </c>
      <c r="J1988" s="259" t="s">
        <v>1476</v>
      </c>
      <c r="K1988" s="264">
        <v>12458.888888888889</v>
      </c>
      <c r="L1988" s="264"/>
    </row>
    <row r="1989" spans="1:12" ht="11.25" customHeight="1" x14ac:dyDescent="0.2">
      <c r="A1989" s="265">
        <v>2023</v>
      </c>
      <c r="B1989" s="265">
        <v>9</v>
      </c>
      <c r="C1989" s="265">
        <v>27</v>
      </c>
      <c r="D1989" s="266">
        <f t="shared" si="148"/>
        <v>45196</v>
      </c>
      <c r="E1989" s="267">
        <f>DATE(A1989,B1989,C1989)</f>
        <v>45196</v>
      </c>
      <c r="F1989" s="532"/>
      <c r="G1989" s="268" t="s">
        <v>1245</v>
      </c>
      <c r="H1989" s="269"/>
      <c r="I1989" s="269" t="s">
        <v>1253</v>
      </c>
      <c r="J1989" s="265" t="s">
        <v>153</v>
      </c>
      <c r="K1989" s="270"/>
      <c r="L1989" s="270">
        <v>12458.888888888889</v>
      </c>
    </row>
    <row r="1990" spans="1:12" ht="11.25" customHeight="1" x14ac:dyDescent="0.2">
      <c r="A1990" s="222">
        <v>2023</v>
      </c>
      <c r="B1990" s="222">
        <v>9</v>
      </c>
      <c r="C1990" s="222">
        <v>27</v>
      </c>
      <c r="D1990" s="223">
        <f t="shared" si="148"/>
        <v>45196</v>
      </c>
      <c r="E1990" s="240">
        <f t="shared" ref="E1990:E2000" si="152">DATE(A1990,B1990,C1990)</f>
        <v>45196</v>
      </c>
      <c r="F1990" s="511" t="s">
        <v>1244</v>
      </c>
      <c r="G1990" s="225" t="s">
        <v>1245</v>
      </c>
      <c r="H1990" s="226"/>
      <c r="I1990" s="226" t="s">
        <v>1253</v>
      </c>
      <c r="J1990" s="222" t="s">
        <v>87</v>
      </c>
      <c r="K1990" s="227">
        <v>12243.071904763579</v>
      </c>
      <c r="L1990" s="227"/>
    </row>
    <row r="1991" spans="1:12" ht="11.25" customHeight="1" x14ac:dyDescent="0.2">
      <c r="A1991" s="228">
        <v>2023</v>
      </c>
      <c r="B1991" s="228">
        <v>9</v>
      </c>
      <c r="C1991" s="228">
        <v>27</v>
      </c>
      <c r="D1991" s="229">
        <f t="shared" si="148"/>
        <v>45196</v>
      </c>
      <c r="E1991" s="241">
        <f t="shared" si="152"/>
        <v>45196</v>
      </c>
      <c r="F1991" s="512"/>
      <c r="G1991" s="231" t="s">
        <v>1245</v>
      </c>
      <c r="H1991" s="232"/>
      <c r="I1991" s="232" t="s">
        <v>1253</v>
      </c>
      <c r="J1991" s="228" t="s">
        <v>72</v>
      </c>
      <c r="K1991" s="233"/>
      <c r="L1991" s="233">
        <v>12243.071904763579</v>
      </c>
    </row>
    <row r="1992" spans="1:12" ht="11.25" customHeight="1" x14ac:dyDescent="0.2">
      <c r="A1992" s="222">
        <v>2023</v>
      </c>
      <c r="B1992" s="222">
        <v>9</v>
      </c>
      <c r="C1992" s="222">
        <v>27</v>
      </c>
      <c r="D1992" s="223">
        <f t="shared" si="148"/>
        <v>45196</v>
      </c>
      <c r="E1992" s="240">
        <f t="shared" si="152"/>
        <v>45196</v>
      </c>
      <c r="F1992" s="511" t="s">
        <v>1246</v>
      </c>
      <c r="G1992" s="225" t="s">
        <v>1245</v>
      </c>
      <c r="H1992" s="226"/>
      <c r="I1992" s="226" t="s">
        <v>1253</v>
      </c>
      <c r="J1992" s="222" t="s">
        <v>75</v>
      </c>
      <c r="K1992" s="227">
        <v>3623.123846153846</v>
      </c>
      <c r="L1992" s="227"/>
    </row>
    <row r="1993" spans="1:12" ht="11.25" customHeight="1" x14ac:dyDescent="0.2">
      <c r="A1993" s="228">
        <v>2023</v>
      </c>
      <c r="B1993" s="228">
        <v>9</v>
      </c>
      <c r="C1993" s="228">
        <v>27</v>
      </c>
      <c r="D1993" s="229">
        <f t="shared" si="148"/>
        <v>45196</v>
      </c>
      <c r="E1993" s="241">
        <f t="shared" si="152"/>
        <v>45196</v>
      </c>
      <c r="F1993" s="512"/>
      <c r="G1993" s="231" t="s">
        <v>1245</v>
      </c>
      <c r="H1993" s="232"/>
      <c r="I1993" s="232" t="s">
        <v>1253</v>
      </c>
      <c r="J1993" s="228" t="s">
        <v>55</v>
      </c>
      <c r="K1993" s="233"/>
      <c r="L1993" s="233">
        <v>3623.123846153846</v>
      </c>
    </row>
    <row r="1994" spans="1:12" ht="11.25" customHeight="1" x14ac:dyDescent="0.2">
      <c r="A1994" s="222">
        <v>2023</v>
      </c>
      <c r="B1994" s="222">
        <v>9</v>
      </c>
      <c r="C1994" s="222">
        <v>27</v>
      </c>
      <c r="D1994" s="223">
        <f t="shared" si="148"/>
        <v>45196</v>
      </c>
      <c r="E1994" s="240">
        <f t="shared" si="152"/>
        <v>45196</v>
      </c>
      <c r="F1994" s="511" t="s">
        <v>1247</v>
      </c>
      <c r="G1994" s="225" t="s">
        <v>1245</v>
      </c>
      <c r="H1994" s="226"/>
      <c r="I1994" s="226" t="s">
        <v>1253</v>
      </c>
      <c r="J1994" s="222" t="s">
        <v>77</v>
      </c>
      <c r="K1994" s="227"/>
      <c r="L1994" s="227"/>
    </row>
    <row r="1995" spans="1:12" ht="11.25" customHeight="1" x14ac:dyDescent="0.2">
      <c r="A1995" s="228">
        <v>2023</v>
      </c>
      <c r="B1995" s="228">
        <v>9</v>
      </c>
      <c r="C1995" s="228">
        <v>27</v>
      </c>
      <c r="D1995" s="229">
        <f t="shared" ref="D1995:D2056" si="153">DATE(A1995,B1995,C1995)</f>
        <v>45196</v>
      </c>
      <c r="E1995" s="241">
        <f t="shared" si="152"/>
        <v>45196</v>
      </c>
      <c r="F1995" s="512"/>
      <c r="G1995" s="231" t="s">
        <v>1245</v>
      </c>
      <c r="H1995" s="232"/>
      <c r="I1995" s="232" t="s">
        <v>1253</v>
      </c>
      <c r="J1995" s="228" t="s">
        <v>41</v>
      </c>
      <c r="K1995" s="233"/>
      <c r="L1995" s="233"/>
    </row>
    <row r="1996" spans="1:12" ht="11.25" customHeight="1" x14ac:dyDescent="0.2">
      <c r="A1996" s="222">
        <v>2023</v>
      </c>
      <c r="B1996" s="222">
        <v>9</v>
      </c>
      <c r="C1996" s="222">
        <v>27</v>
      </c>
      <c r="D1996" s="223">
        <f t="shared" si="153"/>
        <v>45196</v>
      </c>
      <c r="E1996" s="240">
        <f t="shared" si="152"/>
        <v>45196</v>
      </c>
      <c r="F1996" s="511" t="s">
        <v>1248</v>
      </c>
      <c r="G1996" s="225" t="s">
        <v>1245</v>
      </c>
      <c r="H1996" s="226"/>
      <c r="I1996" s="226" t="s">
        <v>1253</v>
      </c>
      <c r="J1996" s="222" t="s">
        <v>80</v>
      </c>
      <c r="K1996" s="227">
        <v>1164.8739152830965</v>
      </c>
      <c r="L1996" s="227"/>
    </row>
    <row r="1997" spans="1:12" ht="11.25" customHeight="1" x14ac:dyDescent="0.2">
      <c r="A1997" s="228">
        <v>2023</v>
      </c>
      <c r="B1997" s="228">
        <v>9</v>
      </c>
      <c r="C1997" s="228">
        <v>27</v>
      </c>
      <c r="D1997" s="229">
        <f t="shared" si="153"/>
        <v>45196</v>
      </c>
      <c r="E1997" s="241">
        <f t="shared" si="152"/>
        <v>45196</v>
      </c>
      <c r="F1997" s="512"/>
      <c r="G1997" s="231" t="s">
        <v>1245</v>
      </c>
      <c r="H1997" s="232"/>
      <c r="I1997" s="232" t="s">
        <v>1253</v>
      </c>
      <c r="J1997" s="228" t="s">
        <v>42</v>
      </c>
      <c r="K1997" s="233"/>
      <c r="L1997" s="233">
        <v>1164.8739152830965</v>
      </c>
    </row>
    <row r="1998" spans="1:12" ht="11.25" customHeight="1" x14ac:dyDescent="0.2">
      <c r="A1998" s="197">
        <v>2023</v>
      </c>
      <c r="B1998" s="197">
        <v>10</v>
      </c>
      <c r="C1998" s="197">
        <v>1</v>
      </c>
      <c r="D1998" s="198">
        <f t="shared" si="153"/>
        <v>45200</v>
      </c>
      <c r="E1998" s="209">
        <f t="shared" si="152"/>
        <v>45200</v>
      </c>
      <c r="F1998" s="513" t="s">
        <v>1210</v>
      </c>
      <c r="G1998" s="200" t="s">
        <v>1209</v>
      </c>
      <c r="H1998" s="201"/>
      <c r="I1998" s="201" t="s">
        <v>424</v>
      </c>
      <c r="J1998" s="197" t="s">
        <v>46</v>
      </c>
      <c r="K1998" s="202">
        <v>126000</v>
      </c>
      <c r="L1998" s="202"/>
    </row>
    <row r="1999" spans="1:12" ht="11.25" customHeight="1" x14ac:dyDescent="0.2">
      <c r="A1999" s="120">
        <v>2023</v>
      </c>
      <c r="B1999" s="120">
        <v>10</v>
      </c>
      <c r="C1999" s="120">
        <v>1</v>
      </c>
      <c r="D1999" s="208">
        <f t="shared" si="153"/>
        <v>45200</v>
      </c>
      <c r="E1999" s="209">
        <f t="shared" si="152"/>
        <v>45200</v>
      </c>
      <c r="F1999" s="515"/>
      <c r="G1999" s="132" t="s">
        <v>1209</v>
      </c>
      <c r="I1999" s="128" t="s">
        <v>424</v>
      </c>
      <c r="J1999" s="120" t="s">
        <v>16</v>
      </c>
      <c r="K1999" s="207"/>
      <c r="L1999" s="207">
        <v>120020</v>
      </c>
    </row>
    <row r="2000" spans="1:12" ht="11.25" customHeight="1" x14ac:dyDescent="0.2">
      <c r="A2000" s="191">
        <v>2023</v>
      </c>
      <c r="B2000" s="191">
        <v>10</v>
      </c>
      <c r="C2000" s="191">
        <v>1</v>
      </c>
      <c r="D2000" s="192">
        <f t="shared" si="153"/>
        <v>45200</v>
      </c>
      <c r="E2000" s="193">
        <f t="shared" si="152"/>
        <v>45200</v>
      </c>
      <c r="F2000" s="514"/>
      <c r="G2000" s="194" t="s">
        <v>1209</v>
      </c>
      <c r="H2000" s="195"/>
      <c r="I2000" s="195" t="s">
        <v>424</v>
      </c>
      <c r="J2000" s="191" t="s">
        <v>47</v>
      </c>
      <c r="K2000" s="196"/>
      <c r="L2000" s="196">
        <v>5980</v>
      </c>
    </row>
    <row r="2001" spans="1:12" ht="11.25" customHeight="1" x14ac:dyDescent="0.2">
      <c r="A2001" s="197">
        <v>2023</v>
      </c>
      <c r="B2001" s="197">
        <v>10</v>
      </c>
      <c r="C2001" s="197">
        <v>2</v>
      </c>
      <c r="D2001" s="198">
        <f t="shared" si="153"/>
        <v>45201</v>
      </c>
      <c r="E2001" s="209">
        <f t="shared" ref="E2001:E2009" si="154">DATE(A2001,B2001,C2001)</f>
        <v>45201</v>
      </c>
      <c r="F2001" s="513" t="s">
        <v>1210</v>
      </c>
      <c r="G2001" s="200" t="s">
        <v>1209</v>
      </c>
      <c r="H2001" s="201"/>
      <c r="I2001" s="201"/>
      <c r="J2001" s="197" t="s">
        <v>46</v>
      </c>
      <c r="K2001" s="202">
        <v>100000</v>
      </c>
      <c r="L2001" s="202"/>
    </row>
    <row r="2002" spans="1:12" ht="11.25" customHeight="1" x14ac:dyDescent="0.2">
      <c r="A2002" s="120">
        <v>2023</v>
      </c>
      <c r="B2002" s="120">
        <v>10</v>
      </c>
      <c r="C2002" s="120">
        <v>2</v>
      </c>
      <c r="D2002" s="208">
        <f t="shared" si="153"/>
        <v>45201</v>
      </c>
      <c r="E2002" s="209">
        <f t="shared" si="154"/>
        <v>45201</v>
      </c>
      <c r="F2002" s="515"/>
      <c r="G2002" s="132" t="s">
        <v>1209</v>
      </c>
      <c r="J2002" s="120" t="s">
        <v>16</v>
      </c>
      <c r="K2002" s="207"/>
      <c r="L2002" s="207">
        <v>95260</v>
      </c>
    </row>
    <row r="2003" spans="1:12" ht="11.25" customHeight="1" x14ac:dyDescent="0.2">
      <c r="A2003" s="191">
        <v>2023</v>
      </c>
      <c r="B2003" s="191">
        <v>10</v>
      </c>
      <c r="C2003" s="191">
        <v>2</v>
      </c>
      <c r="D2003" s="192">
        <f t="shared" si="153"/>
        <v>45201</v>
      </c>
      <c r="E2003" s="193">
        <f t="shared" si="154"/>
        <v>45201</v>
      </c>
      <c r="F2003" s="514"/>
      <c r="G2003" s="194" t="s">
        <v>1209</v>
      </c>
      <c r="H2003" s="195"/>
      <c r="I2003" s="195"/>
      <c r="J2003" s="191" t="s">
        <v>47</v>
      </c>
      <c r="K2003" s="196"/>
      <c r="L2003" s="196">
        <v>4740</v>
      </c>
    </row>
    <row r="2004" spans="1:12" ht="11.25" customHeight="1" x14ac:dyDescent="0.2">
      <c r="A2004" s="197">
        <v>2023</v>
      </c>
      <c r="B2004" s="197">
        <v>10</v>
      </c>
      <c r="C2004" s="197">
        <v>2</v>
      </c>
      <c r="D2004" s="198">
        <f t="shared" si="153"/>
        <v>45201</v>
      </c>
      <c r="E2004" s="209">
        <f>DATE(A2004,B2004,C2004)</f>
        <v>45201</v>
      </c>
      <c r="F2004" s="513" t="s">
        <v>1423</v>
      </c>
      <c r="G2004" s="200" t="s">
        <v>1209</v>
      </c>
      <c r="H2004" s="201"/>
      <c r="I2004" s="201" t="s">
        <v>1137</v>
      </c>
      <c r="J2004" s="197" t="s">
        <v>16</v>
      </c>
      <c r="K2004" s="202">
        <v>38100</v>
      </c>
      <c r="L2004" s="202"/>
    </row>
    <row r="2005" spans="1:12" ht="11.25" customHeight="1" x14ac:dyDescent="0.2">
      <c r="A2005" s="120">
        <v>2023</v>
      </c>
      <c r="B2005" s="120">
        <v>10</v>
      </c>
      <c r="C2005" s="120">
        <v>2</v>
      </c>
      <c r="D2005" s="208">
        <f t="shared" si="153"/>
        <v>45201</v>
      </c>
      <c r="E2005" s="209">
        <f>DATE(A2005,B2005,C2005)</f>
        <v>45201</v>
      </c>
      <c r="F2005" s="515"/>
      <c r="G2005" s="132" t="s">
        <v>1209</v>
      </c>
      <c r="I2005" s="128" t="s">
        <v>1137</v>
      </c>
      <c r="J2005" s="120" t="s">
        <v>47</v>
      </c>
      <c r="K2005" s="207">
        <v>1900</v>
      </c>
      <c r="L2005" s="207"/>
    </row>
    <row r="2006" spans="1:12" ht="11.25" customHeight="1" x14ac:dyDescent="0.2">
      <c r="A2006" s="191">
        <v>2023</v>
      </c>
      <c r="B2006" s="191">
        <v>10</v>
      </c>
      <c r="C2006" s="191">
        <v>2</v>
      </c>
      <c r="D2006" s="192">
        <f t="shared" si="153"/>
        <v>45201</v>
      </c>
      <c r="E2006" s="193">
        <f>DATE(A2006,B2006,C2006)</f>
        <v>45201</v>
      </c>
      <c r="F2006" s="514"/>
      <c r="G2006" s="194" t="s">
        <v>1209</v>
      </c>
      <c r="H2006" s="195"/>
      <c r="I2006" s="195" t="s">
        <v>1137</v>
      </c>
      <c r="J2006" s="191" t="s">
        <v>46</v>
      </c>
      <c r="K2006" s="196"/>
      <c r="L2006" s="196">
        <v>40000</v>
      </c>
    </row>
    <row r="2007" spans="1:12" ht="11.25" customHeight="1" x14ac:dyDescent="0.2">
      <c r="A2007" s="197">
        <v>2023</v>
      </c>
      <c r="B2007" s="197">
        <v>10</v>
      </c>
      <c r="C2007" s="197">
        <v>3</v>
      </c>
      <c r="D2007" s="198">
        <f t="shared" si="153"/>
        <v>45202</v>
      </c>
      <c r="E2007" s="209">
        <f t="shared" si="154"/>
        <v>45202</v>
      </c>
      <c r="F2007" s="513" t="s">
        <v>1280</v>
      </c>
      <c r="G2007" s="200" t="s">
        <v>1209</v>
      </c>
      <c r="H2007" s="201"/>
      <c r="I2007" s="201" t="s">
        <v>1229</v>
      </c>
      <c r="J2007" s="197" t="s">
        <v>16</v>
      </c>
      <c r="K2007" s="202">
        <v>100000</v>
      </c>
      <c r="L2007" s="202"/>
    </row>
    <row r="2008" spans="1:12" ht="11.25" customHeight="1" x14ac:dyDescent="0.2">
      <c r="A2008" s="120">
        <v>2023</v>
      </c>
      <c r="B2008" s="120">
        <v>10</v>
      </c>
      <c r="C2008" s="120">
        <v>3</v>
      </c>
      <c r="D2008" s="208">
        <f t="shared" si="153"/>
        <v>45202</v>
      </c>
      <c r="E2008" s="209">
        <f t="shared" si="154"/>
        <v>45202</v>
      </c>
      <c r="F2008" s="515"/>
      <c r="G2008" s="132" t="s">
        <v>1209</v>
      </c>
      <c r="I2008" s="128" t="s">
        <v>1229</v>
      </c>
      <c r="J2008" s="120" t="s">
        <v>47</v>
      </c>
      <c r="K2008" s="207">
        <v>4980</v>
      </c>
      <c r="L2008" s="207"/>
    </row>
    <row r="2009" spans="1:12" ht="11.25" customHeight="1" x14ac:dyDescent="0.2">
      <c r="A2009" s="191">
        <v>2023</v>
      </c>
      <c r="B2009" s="191">
        <v>10</v>
      </c>
      <c r="C2009" s="191">
        <v>3</v>
      </c>
      <c r="D2009" s="192">
        <f t="shared" si="153"/>
        <v>45202</v>
      </c>
      <c r="E2009" s="193">
        <f t="shared" si="154"/>
        <v>45202</v>
      </c>
      <c r="F2009" s="514"/>
      <c r="G2009" s="194" t="s">
        <v>1209</v>
      </c>
      <c r="H2009" s="195"/>
      <c r="I2009" s="195" t="s">
        <v>1229</v>
      </c>
      <c r="J2009" s="191" t="s">
        <v>46</v>
      </c>
      <c r="K2009" s="196"/>
      <c r="L2009" s="196">
        <v>104980</v>
      </c>
    </row>
    <row r="2010" spans="1:12" ht="11.25" customHeight="1" x14ac:dyDescent="0.2">
      <c r="A2010" s="197">
        <v>2023</v>
      </c>
      <c r="B2010" s="197">
        <v>10</v>
      </c>
      <c r="C2010" s="197">
        <v>3</v>
      </c>
      <c r="D2010" s="198">
        <f t="shared" si="153"/>
        <v>45202</v>
      </c>
      <c r="E2010" s="209">
        <f>DATE(A2010,B2010,C2010)</f>
        <v>45202</v>
      </c>
      <c r="F2010" s="513" t="s">
        <v>1280</v>
      </c>
      <c r="G2010" s="200" t="s">
        <v>1209</v>
      </c>
      <c r="H2010" s="201"/>
      <c r="I2010" s="201" t="s">
        <v>408</v>
      </c>
      <c r="J2010" s="197" t="s">
        <v>16</v>
      </c>
      <c r="K2010" s="202">
        <v>100000</v>
      </c>
      <c r="L2010" s="202"/>
    </row>
    <row r="2011" spans="1:12" ht="11.25" customHeight="1" x14ac:dyDescent="0.2">
      <c r="A2011" s="120">
        <v>2023</v>
      </c>
      <c r="B2011" s="120">
        <v>10</v>
      </c>
      <c r="C2011" s="120">
        <v>3</v>
      </c>
      <c r="D2011" s="208">
        <f t="shared" si="153"/>
        <v>45202</v>
      </c>
      <c r="E2011" s="209">
        <f>DATE(A2011,B2011,C2011)</f>
        <v>45202</v>
      </c>
      <c r="F2011" s="515"/>
      <c r="G2011" s="132" t="s">
        <v>1209</v>
      </c>
      <c r="I2011" s="128" t="s">
        <v>408</v>
      </c>
      <c r="J2011" s="120" t="s">
        <v>47</v>
      </c>
      <c r="K2011" s="207">
        <v>4980</v>
      </c>
      <c r="L2011" s="207"/>
    </row>
    <row r="2012" spans="1:12" ht="11.25" customHeight="1" x14ac:dyDescent="0.2">
      <c r="A2012" s="191">
        <v>2023</v>
      </c>
      <c r="B2012" s="191">
        <v>10</v>
      </c>
      <c r="C2012" s="191">
        <v>3</v>
      </c>
      <c r="D2012" s="192">
        <f t="shared" si="153"/>
        <v>45202</v>
      </c>
      <c r="E2012" s="193">
        <f>DATE(A2012,B2012,C2012)</f>
        <v>45202</v>
      </c>
      <c r="F2012" s="514"/>
      <c r="G2012" s="194" t="s">
        <v>1209</v>
      </c>
      <c r="H2012" s="195"/>
      <c r="I2012" s="195" t="s">
        <v>408</v>
      </c>
      <c r="J2012" s="191" t="s">
        <v>46</v>
      </c>
      <c r="K2012" s="196"/>
      <c r="L2012" s="196">
        <v>104980</v>
      </c>
    </row>
    <row r="2013" spans="1:12" ht="11.25" customHeight="1" x14ac:dyDescent="0.2">
      <c r="A2013" s="197">
        <v>2023</v>
      </c>
      <c r="B2013" s="197">
        <v>10</v>
      </c>
      <c r="C2013" s="197">
        <v>3</v>
      </c>
      <c r="D2013" s="198">
        <f t="shared" si="153"/>
        <v>45202</v>
      </c>
      <c r="E2013" s="209">
        <f t="shared" ref="E2013:E2041" si="155">DATE(A2013,B2013,C2013)</f>
        <v>45202</v>
      </c>
      <c r="F2013" s="513" t="s">
        <v>1280</v>
      </c>
      <c r="G2013" s="200" t="s">
        <v>1209</v>
      </c>
      <c r="H2013" s="201"/>
      <c r="I2013" s="201" t="s">
        <v>1335</v>
      </c>
      <c r="J2013" s="197" t="s">
        <v>16</v>
      </c>
      <c r="K2013" s="202">
        <v>24000</v>
      </c>
      <c r="L2013" s="202"/>
    </row>
    <row r="2014" spans="1:12" ht="11.25" customHeight="1" x14ac:dyDescent="0.2">
      <c r="A2014" s="120">
        <v>2023</v>
      </c>
      <c r="B2014" s="120">
        <v>10</v>
      </c>
      <c r="C2014" s="120">
        <v>3</v>
      </c>
      <c r="D2014" s="208">
        <f t="shared" si="153"/>
        <v>45202</v>
      </c>
      <c r="E2014" s="209">
        <f t="shared" si="155"/>
        <v>45202</v>
      </c>
      <c r="F2014" s="515"/>
      <c r="G2014" s="132" t="s">
        <v>1209</v>
      </c>
      <c r="I2014" s="128" t="s">
        <v>1335</v>
      </c>
      <c r="J2014" s="120" t="s">
        <v>47</v>
      </c>
      <c r="K2014" s="207">
        <v>1195.2000000000007</v>
      </c>
      <c r="L2014" s="207"/>
    </row>
    <row r="2015" spans="1:12" ht="11.25" customHeight="1" x14ac:dyDescent="0.2">
      <c r="A2015" s="191">
        <v>2023</v>
      </c>
      <c r="B2015" s="191">
        <v>10</v>
      </c>
      <c r="C2015" s="191">
        <v>3</v>
      </c>
      <c r="D2015" s="192">
        <f t="shared" si="153"/>
        <v>45202</v>
      </c>
      <c r="E2015" s="193">
        <f t="shared" si="155"/>
        <v>45202</v>
      </c>
      <c r="F2015" s="514"/>
      <c r="G2015" s="194" t="s">
        <v>1209</v>
      </c>
      <c r="H2015" s="195"/>
      <c r="I2015" s="195" t="s">
        <v>1335</v>
      </c>
      <c r="J2015" s="191" t="s">
        <v>46</v>
      </c>
      <c r="K2015" s="196"/>
      <c r="L2015" s="196">
        <v>25195.200000000001</v>
      </c>
    </row>
    <row r="2016" spans="1:12" ht="11.25" customHeight="1" x14ac:dyDescent="0.2">
      <c r="A2016" s="197">
        <v>2023</v>
      </c>
      <c r="B2016" s="197">
        <v>10</v>
      </c>
      <c r="C2016" s="197">
        <v>3</v>
      </c>
      <c r="D2016" s="198">
        <f t="shared" si="153"/>
        <v>45202</v>
      </c>
      <c r="E2016" s="209">
        <f t="shared" si="155"/>
        <v>45202</v>
      </c>
      <c r="F2016" s="513" t="s">
        <v>1210</v>
      </c>
      <c r="G2016" s="200" t="s">
        <v>1209</v>
      </c>
      <c r="H2016" s="201"/>
      <c r="I2016" s="201" t="s">
        <v>1137</v>
      </c>
      <c r="J2016" s="197" t="s">
        <v>46</v>
      </c>
      <c r="K2016" s="202">
        <v>15000</v>
      </c>
      <c r="L2016" s="202"/>
    </row>
    <row r="2017" spans="1:12" ht="11.25" customHeight="1" x14ac:dyDescent="0.2">
      <c r="A2017" s="120">
        <v>2023</v>
      </c>
      <c r="B2017" s="120">
        <v>10</v>
      </c>
      <c r="C2017" s="120">
        <v>3</v>
      </c>
      <c r="D2017" s="208">
        <f t="shared" si="153"/>
        <v>45202</v>
      </c>
      <c r="E2017" s="209">
        <f t="shared" si="155"/>
        <v>45202</v>
      </c>
      <c r="F2017" s="515"/>
      <c r="G2017" s="132" t="s">
        <v>1209</v>
      </c>
      <c r="I2017" s="128" t="s">
        <v>1137</v>
      </c>
      <c r="J2017" s="120" t="s">
        <v>16</v>
      </c>
      <c r="K2017" s="207"/>
      <c r="L2017" s="207">
        <v>14300</v>
      </c>
    </row>
    <row r="2018" spans="1:12" ht="11.25" customHeight="1" x14ac:dyDescent="0.2">
      <c r="A2018" s="191">
        <v>2023</v>
      </c>
      <c r="B2018" s="191">
        <v>10</v>
      </c>
      <c r="C2018" s="191">
        <v>3</v>
      </c>
      <c r="D2018" s="192">
        <f t="shared" si="153"/>
        <v>45202</v>
      </c>
      <c r="E2018" s="193">
        <f t="shared" si="155"/>
        <v>45202</v>
      </c>
      <c r="F2018" s="514"/>
      <c r="G2018" s="194" t="s">
        <v>1209</v>
      </c>
      <c r="H2018" s="195"/>
      <c r="I2018" s="195" t="s">
        <v>1137</v>
      </c>
      <c r="J2018" s="191" t="s">
        <v>47</v>
      </c>
      <c r="K2018" s="196"/>
      <c r="L2018" s="196">
        <v>700</v>
      </c>
    </row>
    <row r="2019" spans="1:12" ht="11.25" customHeight="1" x14ac:dyDescent="0.2">
      <c r="A2019" s="197">
        <v>2023</v>
      </c>
      <c r="B2019" s="197">
        <v>10</v>
      </c>
      <c r="C2019" s="197">
        <v>4</v>
      </c>
      <c r="D2019" s="198">
        <f t="shared" si="153"/>
        <v>45203</v>
      </c>
      <c r="E2019" s="209">
        <f t="shared" si="155"/>
        <v>45203</v>
      </c>
      <c r="F2019" s="513" t="s">
        <v>1210</v>
      </c>
      <c r="G2019" s="200" t="s">
        <v>1209</v>
      </c>
      <c r="H2019" s="201"/>
      <c r="I2019" s="201" t="s">
        <v>481</v>
      </c>
      <c r="J2019" s="197" t="s">
        <v>46</v>
      </c>
      <c r="K2019" s="202">
        <v>14000</v>
      </c>
      <c r="L2019" s="202"/>
    </row>
    <row r="2020" spans="1:12" ht="11.25" customHeight="1" x14ac:dyDescent="0.2">
      <c r="A2020" s="120">
        <v>2023</v>
      </c>
      <c r="B2020" s="120">
        <v>10</v>
      </c>
      <c r="C2020" s="120">
        <v>4</v>
      </c>
      <c r="D2020" s="208">
        <f t="shared" si="153"/>
        <v>45203</v>
      </c>
      <c r="E2020" s="209">
        <f t="shared" si="155"/>
        <v>45203</v>
      </c>
      <c r="F2020" s="515"/>
      <c r="G2020" s="132" t="s">
        <v>1209</v>
      </c>
      <c r="I2020" s="128" t="s">
        <v>481</v>
      </c>
      <c r="J2020" s="120" t="s">
        <v>16</v>
      </c>
      <c r="K2020" s="207"/>
      <c r="L2020" s="207">
        <v>13340</v>
      </c>
    </row>
    <row r="2021" spans="1:12" ht="11.25" customHeight="1" x14ac:dyDescent="0.2">
      <c r="A2021" s="191">
        <v>2023</v>
      </c>
      <c r="B2021" s="191">
        <v>10</v>
      </c>
      <c r="C2021" s="191">
        <v>4</v>
      </c>
      <c r="D2021" s="192">
        <f t="shared" si="153"/>
        <v>45203</v>
      </c>
      <c r="E2021" s="193">
        <f t="shared" si="155"/>
        <v>45203</v>
      </c>
      <c r="F2021" s="514"/>
      <c r="G2021" s="194" t="s">
        <v>1209</v>
      </c>
      <c r="H2021" s="195"/>
      <c r="I2021" s="195" t="s">
        <v>481</v>
      </c>
      <c r="J2021" s="191" t="s">
        <v>47</v>
      </c>
      <c r="K2021" s="196"/>
      <c r="L2021" s="196">
        <v>660</v>
      </c>
    </row>
    <row r="2022" spans="1:12" ht="11.25" customHeight="1" x14ac:dyDescent="0.2">
      <c r="A2022" s="210">
        <v>2023</v>
      </c>
      <c r="B2022" s="210">
        <v>10</v>
      </c>
      <c r="C2022" s="210">
        <v>5</v>
      </c>
      <c r="D2022" s="211">
        <f t="shared" si="153"/>
        <v>45204</v>
      </c>
      <c r="E2022" s="238">
        <f t="shared" si="155"/>
        <v>45204</v>
      </c>
      <c r="F2022" s="520" t="s">
        <v>1278</v>
      </c>
      <c r="G2022" s="213" t="s">
        <v>1245</v>
      </c>
      <c r="H2022" s="214"/>
      <c r="I2022" s="214" t="s">
        <v>1253</v>
      </c>
      <c r="J2022" s="210" t="s">
        <v>1529</v>
      </c>
      <c r="K2022" s="215">
        <v>6512.28</v>
      </c>
      <c r="L2022" s="215"/>
    </row>
    <row r="2023" spans="1:12" ht="11.25" customHeight="1" x14ac:dyDescent="0.2">
      <c r="A2023" s="216">
        <v>2023</v>
      </c>
      <c r="B2023" s="216">
        <v>10</v>
      </c>
      <c r="C2023" s="216">
        <v>5</v>
      </c>
      <c r="D2023" s="217">
        <f t="shared" si="153"/>
        <v>45204</v>
      </c>
      <c r="E2023" s="239">
        <f t="shared" si="155"/>
        <v>45204</v>
      </c>
      <c r="F2023" s="521"/>
      <c r="G2023" s="219" t="s">
        <v>1245</v>
      </c>
      <c r="H2023" s="220"/>
      <c r="I2023" s="220" t="s">
        <v>1253</v>
      </c>
      <c r="J2023" s="216" t="s">
        <v>1581</v>
      </c>
      <c r="K2023" s="221"/>
      <c r="L2023" s="221">
        <v>6512.28</v>
      </c>
    </row>
    <row r="2024" spans="1:12" ht="11.25" customHeight="1" x14ac:dyDescent="0.2">
      <c r="A2024" s="210">
        <v>2023</v>
      </c>
      <c r="B2024" s="210">
        <v>10</v>
      </c>
      <c r="C2024" s="210">
        <v>5</v>
      </c>
      <c r="D2024" s="211">
        <f t="shared" si="153"/>
        <v>45204</v>
      </c>
      <c r="E2024" s="238">
        <f t="shared" si="155"/>
        <v>45204</v>
      </c>
      <c r="F2024" s="520" t="s">
        <v>1285</v>
      </c>
      <c r="G2024" s="213" t="s">
        <v>1245</v>
      </c>
      <c r="H2024" s="214"/>
      <c r="I2024" s="214" t="s">
        <v>1253</v>
      </c>
      <c r="J2024" s="210" t="s">
        <v>1284</v>
      </c>
      <c r="K2024" s="215">
        <v>13771.15</v>
      </c>
      <c r="L2024" s="215"/>
    </row>
    <row r="2025" spans="1:12" ht="11.25" customHeight="1" x14ac:dyDescent="0.2">
      <c r="A2025" s="242">
        <v>2023</v>
      </c>
      <c r="B2025" s="216">
        <v>10</v>
      </c>
      <c r="C2025" s="216">
        <v>5</v>
      </c>
      <c r="D2025" s="243">
        <f t="shared" si="153"/>
        <v>45204</v>
      </c>
      <c r="E2025" s="244">
        <f>DATE(A2025,B2025,C2025)</f>
        <v>45204</v>
      </c>
      <c r="F2025" s="524"/>
      <c r="G2025" s="245" t="s">
        <v>1245</v>
      </c>
      <c r="H2025" s="246"/>
      <c r="I2025" s="246"/>
      <c r="J2025" s="242" t="s">
        <v>1582</v>
      </c>
      <c r="K2025" s="247"/>
      <c r="L2025" s="247">
        <v>13771.15</v>
      </c>
    </row>
    <row r="2026" spans="1:12" ht="11.25" customHeight="1" x14ac:dyDescent="0.2">
      <c r="A2026" s="210">
        <v>2023</v>
      </c>
      <c r="B2026" s="210">
        <v>10</v>
      </c>
      <c r="C2026" s="210">
        <v>5</v>
      </c>
      <c r="D2026" s="211">
        <f t="shared" si="153"/>
        <v>45204</v>
      </c>
      <c r="E2026" s="238">
        <f t="shared" si="155"/>
        <v>45204</v>
      </c>
      <c r="F2026" s="520" t="s">
        <v>1259</v>
      </c>
      <c r="G2026" s="213" t="s">
        <v>1245</v>
      </c>
      <c r="H2026" s="214"/>
      <c r="I2026" s="214" t="s">
        <v>1253</v>
      </c>
      <c r="J2026" s="210" t="s">
        <v>58</v>
      </c>
      <c r="K2026" s="215">
        <v>6292.78</v>
      </c>
      <c r="L2026" s="215"/>
    </row>
    <row r="2027" spans="1:12" ht="11.25" customHeight="1" x14ac:dyDescent="0.2">
      <c r="A2027" s="216">
        <v>2023</v>
      </c>
      <c r="B2027" s="216">
        <v>10</v>
      </c>
      <c r="C2027" s="216">
        <v>5</v>
      </c>
      <c r="D2027" s="217">
        <f t="shared" si="153"/>
        <v>45204</v>
      </c>
      <c r="E2027" s="239">
        <f t="shared" si="155"/>
        <v>45204</v>
      </c>
      <c r="F2027" s="521"/>
      <c r="G2027" s="219" t="s">
        <v>1245</v>
      </c>
      <c r="H2027" s="220"/>
      <c r="I2027" s="220" t="s">
        <v>1253</v>
      </c>
      <c r="J2027" s="216" t="s">
        <v>153</v>
      </c>
      <c r="K2027" s="221"/>
      <c r="L2027" s="221">
        <v>6292.78</v>
      </c>
    </row>
    <row r="2028" spans="1:12" ht="11.25" customHeight="1" x14ac:dyDescent="0.2">
      <c r="A2028" s="210">
        <v>2023</v>
      </c>
      <c r="B2028" s="210">
        <v>10</v>
      </c>
      <c r="C2028" s="210">
        <v>5</v>
      </c>
      <c r="D2028" s="211">
        <f t="shared" si="153"/>
        <v>45204</v>
      </c>
      <c r="E2028" s="238">
        <f t="shared" si="155"/>
        <v>45204</v>
      </c>
      <c r="F2028" s="520" t="s">
        <v>1255</v>
      </c>
      <c r="G2028" s="213" t="s">
        <v>1245</v>
      </c>
      <c r="H2028" s="214"/>
      <c r="I2028" s="214" t="s">
        <v>1253</v>
      </c>
      <c r="J2028" s="210" t="s">
        <v>113</v>
      </c>
      <c r="K2028" s="215">
        <v>40144.230000000003</v>
      </c>
      <c r="L2028" s="215"/>
    </row>
    <row r="2029" spans="1:12" ht="11.25" customHeight="1" x14ac:dyDescent="0.2">
      <c r="A2029" s="216">
        <v>2023</v>
      </c>
      <c r="B2029" s="216">
        <v>10</v>
      </c>
      <c r="C2029" s="216">
        <v>5</v>
      </c>
      <c r="D2029" s="217">
        <f t="shared" si="153"/>
        <v>45204</v>
      </c>
      <c r="E2029" s="239">
        <f t="shared" si="155"/>
        <v>45204</v>
      </c>
      <c r="F2029" s="521"/>
      <c r="G2029" s="219" t="s">
        <v>1245</v>
      </c>
      <c r="H2029" s="220"/>
      <c r="I2029" s="220" t="s">
        <v>1253</v>
      </c>
      <c r="J2029" s="216" t="s">
        <v>153</v>
      </c>
      <c r="K2029" s="221"/>
      <c r="L2029" s="221">
        <v>40144.230000000003</v>
      </c>
    </row>
    <row r="2030" spans="1:12" ht="11.25" customHeight="1" x14ac:dyDescent="0.2">
      <c r="A2030" s="210">
        <v>2023</v>
      </c>
      <c r="B2030" s="210">
        <v>10</v>
      </c>
      <c r="C2030" s="210">
        <v>5</v>
      </c>
      <c r="D2030" s="211">
        <f t="shared" si="153"/>
        <v>45204</v>
      </c>
      <c r="E2030" s="238">
        <f t="shared" si="155"/>
        <v>45204</v>
      </c>
      <c r="F2030" s="520" t="s">
        <v>1256</v>
      </c>
      <c r="G2030" s="213" t="s">
        <v>1245</v>
      </c>
      <c r="H2030" s="214"/>
      <c r="I2030" s="214" t="s">
        <v>1253</v>
      </c>
      <c r="J2030" s="210" t="s">
        <v>113</v>
      </c>
      <c r="K2030" s="215">
        <v>5925.93</v>
      </c>
      <c r="L2030" s="215"/>
    </row>
    <row r="2031" spans="1:12" ht="11.25" customHeight="1" x14ac:dyDescent="0.2">
      <c r="A2031" s="216">
        <v>2023</v>
      </c>
      <c r="B2031" s="216">
        <v>10</v>
      </c>
      <c r="C2031" s="216">
        <v>5</v>
      </c>
      <c r="D2031" s="217">
        <f t="shared" si="153"/>
        <v>45204</v>
      </c>
      <c r="E2031" s="239">
        <f t="shared" si="155"/>
        <v>45204</v>
      </c>
      <c r="F2031" s="521"/>
      <c r="G2031" s="219" t="s">
        <v>1245</v>
      </c>
      <c r="H2031" s="220"/>
      <c r="I2031" s="220" t="s">
        <v>1253</v>
      </c>
      <c r="J2031" s="216" t="s">
        <v>153</v>
      </c>
      <c r="K2031" s="221"/>
      <c r="L2031" s="221">
        <v>5925.93</v>
      </c>
    </row>
    <row r="2032" spans="1:12" ht="11.25" customHeight="1" x14ac:dyDescent="0.2">
      <c r="A2032" s="210">
        <v>2023</v>
      </c>
      <c r="B2032" s="210">
        <v>10</v>
      </c>
      <c r="C2032" s="210">
        <v>5</v>
      </c>
      <c r="D2032" s="211">
        <f t="shared" si="153"/>
        <v>45204</v>
      </c>
      <c r="E2032" s="238">
        <f t="shared" si="155"/>
        <v>45204</v>
      </c>
      <c r="F2032" s="520" t="s">
        <v>1257</v>
      </c>
      <c r="G2032" s="213" t="s">
        <v>1245</v>
      </c>
      <c r="H2032" s="214"/>
      <c r="I2032" s="214" t="s">
        <v>1253</v>
      </c>
      <c r="J2032" s="210" t="s">
        <v>113</v>
      </c>
      <c r="K2032" s="215">
        <v>27692.31</v>
      </c>
      <c r="L2032" s="215"/>
    </row>
    <row r="2033" spans="1:12" ht="11.25" customHeight="1" x14ac:dyDescent="0.2">
      <c r="A2033" s="216">
        <v>2023</v>
      </c>
      <c r="B2033" s="216">
        <v>10</v>
      </c>
      <c r="C2033" s="216">
        <v>5</v>
      </c>
      <c r="D2033" s="217">
        <f t="shared" si="153"/>
        <v>45204</v>
      </c>
      <c r="E2033" s="239">
        <f t="shared" si="155"/>
        <v>45204</v>
      </c>
      <c r="F2033" s="521"/>
      <c r="G2033" s="219" t="s">
        <v>1245</v>
      </c>
      <c r="H2033" s="220"/>
      <c r="I2033" s="220" t="s">
        <v>1253</v>
      </c>
      <c r="J2033" s="216" t="s">
        <v>153</v>
      </c>
      <c r="K2033" s="221"/>
      <c r="L2033" s="221">
        <v>27692.31</v>
      </c>
    </row>
    <row r="2034" spans="1:12" ht="11.25" customHeight="1" x14ac:dyDescent="0.2">
      <c r="A2034" s="259">
        <v>2023</v>
      </c>
      <c r="B2034" s="259">
        <v>10</v>
      </c>
      <c r="C2034" s="259">
        <v>5</v>
      </c>
      <c r="D2034" s="260">
        <f t="shared" si="153"/>
        <v>45204</v>
      </c>
      <c r="E2034" s="261">
        <f t="shared" si="155"/>
        <v>45204</v>
      </c>
      <c r="F2034" s="531" t="s">
        <v>1424</v>
      </c>
      <c r="G2034" s="262" t="s">
        <v>1245</v>
      </c>
      <c r="H2034" s="263"/>
      <c r="I2034" s="263" t="s">
        <v>1253</v>
      </c>
      <c r="J2034" s="259" t="s">
        <v>1476</v>
      </c>
      <c r="K2034" s="264">
        <v>6058.53</v>
      </c>
      <c r="L2034" s="264"/>
    </row>
    <row r="2035" spans="1:12" ht="11.25" customHeight="1" x14ac:dyDescent="0.2">
      <c r="A2035" s="265">
        <v>2023</v>
      </c>
      <c r="B2035" s="265">
        <v>10</v>
      </c>
      <c r="C2035" s="265">
        <v>5</v>
      </c>
      <c r="D2035" s="266">
        <f t="shared" si="153"/>
        <v>45204</v>
      </c>
      <c r="E2035" s="267">
        <f t="shared" si="155"/>
        <v>45204</v>
      </c>
      <c r="F2035" s="532"/>
      <c r="G2035" s="268" t="s">
        <v>1245</v>
      </c>
      <c r="H2035" s="269"/>
      <c r="I2035" s="269" t="s">
        <v>1253</v>
      </c>
      <c r="J2035" s="265" t="s">
        <v>153</v>
      </c>
      <c r="K2035" s="270"/>
      <c r="L2035" s="270">
        <v>6058.53</v>
      </c>
    </row>
    <row r="2036" spans="1:12" ht="11.25" customHeight="1" x14ac:dyDescent="0.2">
      <c r="A2036" s="259">
        <v>2023</v>
      </c>
      <c r="B2036" s="259">
        <v>10</v>
      </c>
      <c r="C2036" s="259">
        <v>5</v>
      </c>
      <c r="D2036" s="260">
        <f t="shared" si="153"/>
        <v>45204</v>
      </c>
      <c r="E2036" s="261">
        <f t="shared" si="155"/>
        <v>45204</v>
      </c>
      <c r="F2036" s="531" t="s">
        <v>1383</v>
      </c>
      <c r="G2036" s="262" t="s">
        <v>1245</v>
      </c>
      <c r="H2036" s="263"/>
      <c r="I2036" s="263" t="s">
        <v>1253</v>
      </c>
      <c r="J2036" s="259" t="s">
        <v>1476</v>
      </c>
      <c r="K2036" s="264">
        <v>6945.1</v>
      </c>
      <c r="L2036" s="264"/>
    </row>
    <row r="2037" spans="1:12" ht="11.25" customHeight="1" x14ac:dyDescent="0.2">
      <c r="A2037" s="265">
        <v>2023</v>
      </c>
      <c r="B2037" s="265">
        <v>10</v>
      </c>
      <c r="C2037" s="265">
        <v>5</v>
      </c>
      <c r="D2037" s="266">
        <f t="shared" si="153"/>
        <v>45204</v>
      </c>
      <c r="E2037" s="267">
        <f t="shared" si="155"/>
        <v>45204</v>
      </c>
      <c r="F2037" s="532"/>
      <c r="G2037" s="268" t="s">
        <v>1245</v>
      </c>
      <c r="H2037" s="269"/>
      <c r="I2037" s="269" t="s">
        <v>1253</v>
      </c>
      <c r="J2037" s="265" t="s">
        <v>153</v>
      </c>
      <c r="K2037" s="270"/>
      <c r="L2037" s="270">
        <v>6945.1</v>
      </c>
    </row>
    <row r="2038" spans="1:12" ht="11.25" customHeight="1" x14ac:dyDescent="0.2">
      <c r="A2038" s="259">
        <v>2023</v>
      </c>
      <c r="B2038" s="259">
        <v>10</v>
      </c>
      <c r="C2038" s="259">
        <v>5</v>
      </c>
      <c r="D2038" s="260">
        <f t="shared" si="153"/>
        <v>45204</v>
      </c>
      <c r="E2038" s="261">
        <f t="shared" si="155"/>
        <v>45204</v>
      </c>
      <c r="F2038" s="531" t="s">
        <v>1388</v>
      </c>
      <c r="G2038" s="262" t="s">
        <v>1245</v>
      </c>
      <c r="H2038" s="263"/>
      <c r="I2038" s="263" t="s">
        <v>1253</v>
      </c>
      <c r="J2038" s="259" t="s">
        <v>1476</v>
      </c>
      <c r="K2038" s="264">
        <v>3114.785555555537</v>
      </c>
      <c r="L2038" s="264"/>
    </row>
    <row r="2039" spans="1:12" ht="11.25" customHeight="1" x14ac:dyDescent="0.2">
      <c r="A2039" s="265">
        <v>2023</v>
      </c>
      <c r="B2039" s="265">
        <v>10</v>
      </c>
      <c r="C2039" s="265">
        <v>5</v>
      </c>
      <c r="D2039" s="266">
        <f t="shared" si="153"/>
        <v>45204</v>
      </c>
      <c r="E2039" s="267">
        <f t="shared" si="155"/>
        <v>45204</v>
      </c>
      <c r="F2039" s="532"/>
      <c r="G2039" s="268" t="s">
        <v>1245</v>
      </c>
      <c r="H2039" s="269"/>
      <c r="I2039" s="269" t="s">
        <v>1253</v>
      </c>
      <c r="J2039" s="265" t="s">
        <v>153</v>
      </c>
      <c r="K2039" s="270"/>
      <c r="L2039" s="270">
        <v>3114.785555555537</v>
      </c>
    </row>
    <row r="2040" spans="1:12" ht="11.25" customHeight="1" x14ac:dyDescent="0.2">
      <c r="A2040" s="259">
        <v>2023</v>
      </c>
      <c r="B2040" s="259">
        <v>10</v>
      </c>
      <c r="C2040" s="259">
        <v>5</v>
      </c>
      <c r="D2040" s="260">
        <f t="shared" si="153"/>
        <v>45204</v>
      </c>
      <c r="E2040" s="261">
        <f t="shared" si="155"/>
        <v>45204</v>
      </c>
      <c r="F2040" s="531" t="s">
        <v>1359</v>
      </c>
      <c r="G2040" s="262" t="s">
        <v>1245</v>
      </c>
      <c r="H2040" s="263"/>
      <c r="I2040" s="263" t="s">
        <v>1253</v>
      </c>
      <c r="J2040" s="259" t="s">
        <v>1476</v>
      </c>
      <c r="K2040" s="264">
        <v>8341.8499999999385</v>
      </c>
      <c r="L2040" s="264"/>
    </row>
    <row r="2041" spans="1:12" ht="11.25" customHeight="1" x14ac:dyDescent="0.2">
      <c r="A2041" s="265">
        <v>2023</v>
      </c>
      <c r="B2041" s="265">
        <v>10</v>
      </c>
      <c r="C2041" s="265">
        <v>5</v>
      </c>
      <c r="D2041" s="266">
        <f t="shared" si="153"/>
        <v>45204</v>
      </c>
      <c r="E2041" s="267">
        <f t="shared" si="155"/>
        <v>45204</v>
      </c>
      <c r="F2041" s="532"/>
      <c r="G2041" s="268" t="s">
        <v>1245</v>
      </c>
      <c r="H2041" s="269"/>
      <c r="I2041" s="269" t="s">
        <v>1253</v>
      </c>
      <c r="J2041" s="265" t="s">
        <v>153</v>
      </c>
      <c r="K2041" s="270"/>
      <c r="L2041" s="270">
        <v>8341.8499999999385</v>
      </c>
    </row>
    <row r="2042" spans="1:12" ht="11.25" customHeight="1" x14ac:dyDescent="0.2">
      <c r="A2042" s="259">
        <v>2023</v>
      </c>
      <c r="B2042" s="259">
        <v>10</v>
      </c>
      <c r="C2042" s="259">
        <v>5</v>
      </c>
      <c r="D2042" s="260">
        <f t="shared" si="153"/>
        <v>45204</v>
      </c>
      <c r="E2042" s="261">
        <f>DATE(A2042,B2042,C2042)</f>
        <v>45204</v>
      </c>
      <c r="F2042" s="531" t="s">
        <v>1442</v>
      </c>
      <c r="G2042" s="262" t="s">
        <v>1245</v>
      </c>
      <c r="H2042" s="263"/>
      <c r="I2042" s="263" t="s">
        <v>1253</v>
      </c>
      <c r="J2042" s="259" t="s">
        <v>1476</v>
      </c>
      <c r="K2042" s="264">
        <v>16921.37777777782</v>
      </c>
      <c r="L2042" s="264"/>
    </row>
    <row r="2043" spans="1:12" ht="11.25" customHeight="1" x14ac:dyDescent="0.2">
      <c r="A2043" s="265">
        <v>2023</v>
      </c>
      <c r="B2043" s="265">
        <v>10</v>
      </c>
      <c r="C2043" s="265">
        <v>5</v>
      </c>
      <c r="D2043" s="266">
        <f t="shared" si="153"/>
        <v>45204</v>
      </c>
      <c r="E2043" s="267">
        <f>DATE(A2043,B2043,C2043)</f>
        <v>45204</v>
      </c>
      <c r="F2043" s="532"/>
      <c r="G2043" s="268" t="s">
        <v>1245</v>
      </c>
      <c r="H2043" s="269"/>
      <c r="I2043" s="269" t="s">
        <v>1253</v>
      </c>
      <c r="J2043" s="265" t="s">
        <v>153</v>
      </c>
      <c r="K2043" s="270"/>
      <c r="L2043" s="270">
        <v>16921.37777777782</v>
      </c>
    </row>
    <row r="2044" spans="1:12" ht="11.25" customHeight="1" x14ac:dyDescent="0.2">
      <c r="A2044" s="259">
        <v>2023</v>
      </c>
      <c r="B2044" s="259">
        <v>10</v>
      </c>
      <c r="C2044" s="259">
        <v>5</v>
      </c>
      <c r="D2044" s="260">
        <f t="shared" si="153"/>
        <v>45204</v>
      </c>
      <c r="E2044" s="261">
        <f>DATE(A2044,B2044,C2044)</f>
        <v>45204</v>
      </c>
      <c r="F2044" s="531" t="s">
        <v>1448</v>
      </c>
      <c r="G2044" s="262" t="s">
        <v>1245</v>
      </c>
      <c r="H2044" s="263"/>
      <c r="I2044" s="263" t="s">
        <v>1253</v>
      </c>
      <c r="J2044" s="259" t="s">
        <v>1476</v>
      </c>
      <c r="K2044" s="264">
        <v>12458.888888888889</v>
      </c>
      <c r="L2044" s="264"/>
    </row>
    <row r="2045" spans="1:12" ht="11.25" customHeight="1" x14ac:dyDescent="0.2">
      <c r="A2045" s="265">
        <v>2023</v>
      </c>
      <c r="B2045" s="265">
        <v>10</v>
      </c>
      <c r="C2045" s="265">
        <v>5</v>
      </c>
      <c r="D2045" s="266">
        <f t="shared" si="153"/>
        <v>45204</v>
      </c>
      <c r="E2045" s="267">
        <f>DATE(A2045,B2045,C2045)</f>
        <v>45204</v>
      </c>
      <c r="F2045" s="532"/>
      <c r="G2045" s="268" t="s">
        <v>1245</v>
      </c>
      <c r="H2045" s="269"/>
      <c r="I2045" s="269" t="s">
        <v>1253</v>
      </c>
      <c r="J2045" s="265" t="s">
        <v>153</v>
      </c>
      <c r="K2045" s="270"/>
      <c r="L2045" s="270">
        <v>12458.888888888889</v>
      </c>
    </row>
    <row r="2046" spans="1:12" ht="11.25" customHeight="1" x14ac:dyDescent="0.2">
      <c r="A2046" s="222">
        <v>2023</v>
      </c>
      <c r="B2046" s="222">
        <v>10</v>
      </c>
      <c r="C2046" s="222">
        <v>5</v>
      </c>
      <c r="D2046" s="223">
        <f t="shared" si="153"/>
        <v>45204</v>
      </c>
      <c r="E2046" s="240">
        <f t="shared" ref="E2046:E2065" si="156">DATE(A2046,B2046,C2046)</f>
        <v>45204</v>
      </c>
      <c r="F2046" s="511" t="s">
        <v>1244</v>
      </c>
      <c r="G2046" s="225" t="s">
        <v>1245</v>
      </c>
      <c r="H2046" s="226"/>
      <c r="I2046" s="226" t="s">
        <v>1253</v>
      </c>
      <c r="J2046" s="222" t="s">
        <v>87</v>
      </c>
      <c r="K2046" s="227">
        <v>12243.071904763579</v>
      </c>
      <c r="L2046" s="227"/>
    </row>
    <row r="2047" spans="1:12" ht="11.25" customHeight="1" x14ac:dyDescent="0.2">
      <c r="A2047" s="228">
        <v>2023</v>
      </c>
      <c r="B2047" s="228">
        <v>10</v>
      </c>
      <c r="C2047" s="228">
        <v>5</v>
      </c>
      <c r="D2047" s="229">
        <f t="shared" si="153"/>
        <v>45204</v>
      </c>
      <c r="E2047" s="241">
        <f t="shared" si="156"/>
        <v>45204</v>
      </c>
      <c r="F2047" s="512"/>
      <c r="G2047" s="231" t="s">
        <v>1245</v>
      </c>
      <c r="H2047" s="232"/>
      <c r="I2047" s="232" t="s">
        <v>1253</v>
      </c>
      <c r="J2047" s="228" t="s">
        <v>72</v>
      </c>
      <c r="K2047" s="233"/>
      <c r="L2047" s="233">
        <v>12243.071904763579</v>
      </c>
    </row>
    <row r="2048" spans="1:12" ht="11.25" customHeight="1" x14ac:dyDescent="0.2">
      <c r="A2048" s="222">
        <v>2023</v>
      </c>
      <c r="B2048" s="222">
        <v>10</v>
      </c>
      <c r="C2048" s="222">
        <v>5</v>
      </c>
      <c r="D2048" s="223">
        <f t="shared" si="153"/>
        <v>45204</v>
      </c>
      <c r="E2048" s="240">
        <f t="shared" si="156"/>
        <v>45204</v>
      </c>
      <c r="F2048" s="511" t="s">
        <v>1246</v>
      </c>
      <c r="G2048" s="225" t="s">
        <v>1245</v>
      </c>
      <c r="H2048" s="226"/>
      <c r="I2048" s="226" t="s">
        <v>1253</v>
      </c>
      <c r="J2048" s="222" t="s">
        <v>75</v>
      </c>
      <c r="K2048" s="227">
        <v>3623.123846153846</v>
      </c>
      <c r="L2048" s="227"/>
    </row>
    <row r="2049" spans="1:12" ht="11.25" customHeight="1" x14ac:dyDescent="0.2">
      <c r="A2049" s="228">
        <v>2023</v>
      </c>
      <c r="B2049" s="228">
        <v>10</v>
      </c>
      <c r="C2049" s="228">
        <v>5</v>
      </c>
      <c r="D2049" s="229">
        <f t="shared" si="153"/>
        <v>45204</v>
      </c>
      <c r="E2049" s="241">
        <f t="shared" si="156"/>
        <v>45204</v>
      </c>
      <c r="F2049" s="512"/>
      <c r="G2049" s="231" t="s">
        <v>1245</v>
      </c>
      <c r="H2049" s="232"/>
      <c r="I2049" s="232" t="s">
        <v>1253</v>
      </c>
      <c r="J2049" s="228" t="s">
        <v>55</v>
      </c>
      <c r="K2049" s="233"/>
      <c r="L2049" s="233">
        <v>3623.123846153846</v>
      </c>
    </row>
    <row r="2050" spans="1:12" ht="11.25" customHeight="1" x14ac:dyDescent="0.2">
      <c r="A2050" s="222">
        <v>2023</v>
      </c>
      <c r="B2050" s="222">
        <v>10</v>
      </c>
      <c r="C2050" s="222">
        <v>5</v>
      </c>
      <c r="D2050" s="223">
        <f t="shared" si="153"/>
        <v>45204</v>
      </c>
      <c r="E2050" s="240">
        <f t="shared" si="156"/>
        <v>45204</v>
      </c>
      <c r="F2050" s="511" t="s">
        <v>1247</v>
      </c>
      <c r="G2050" s="225" t="s">
        <v>1245</v>
      </c>
      <c r="H2050" s="226"/>
      <c r="I2050" s="226" t="s">
        <v>1253</v>
      </c>
      <c r="J2050" s="222" t="s">
        <v>77</v>
      </c>
      <c r="K2050" s="227"/>
      <c r="L2050" s="227"/>
    </row>
    <row r="2051" spans="1:12" ht="11.25" customHeight="1" x14ac:dyDescent="0.2">
      <c r="A2051" s="228">
        <v>2023</v>
      </c>
      <c r="B2051" s="228">
        <v>10</v>
      </c>
      <c r="C2051" s="228">
        <v>5</v>
      </c>
      <c r="D2051" s="229">
        <f t="shared" si="153"/>
        <v>45204</v>
      </c>
      <c r="E2051" s="241">
        <f t="shared" si="156"/>
        <v>45204</v>
      </c>
      <c r="F2051" s="512"/>
      <c r="G2051" s="231" t="s">
        <v>1245</v>
      </c>
      <c r="H2051" s="232"/>
      <c r="I2051" s="232" t="s">
        <v>1253</v>
      </c>
      <c r="J2051" s="228" t="s">
        <v>41</v>
      </c>
      <c r="K2051" s="233"/>
      <c r="L2051" s="233"/>
    </row>
    <row r="2052" spans="1:12" ht="11.25" customHeight="1" x14ac:dyDescent="0.2">
      <c r="A2052" s="222">
        <v>2023</v>
      </c>
      <c r="B2052" s="222">
        <v>10</v>
      </c>
      <c r="C2052" s="222">
        <v>5</v>
      </c>
      <c r="D2052" s="223">
        <f t="shared" si="153"/>
        <v>45204</v>
      </c>
      <c r="E2052" s="240">
        <f t="shared" si="156"/>
        <v>45204</v>
      </c>
      <c r="F2052" s="511" t="s">
        <v>1248</v>
      </c>
      <c r="G2052" s="225" t="s">
        <v>1245</v>
      </c>
      <c r="H2052" s="226"/>
      <c r="I2052" s="226" t="s">
        <v>1253</v>
      </c>
      <c r="J2052" s="222" t="s">
        <v>80</v>
      </c>
      <c r="K2052" s="227">
        <v>1166.2806114019959</v>
      </c>
      <c r="L2052" s="227"/>
    </row>
    <row r="2053" spans="1:12" ht="11.25" customHeight="1" x14ac:dyDescent="0.2">
      <c r="A2053" s="228">
        <v>2023</v>
      </c>
      <c r="B2053" s="228">
        <v>10</v>
      </c>
      <c r="C2053" s="228">
        <v>5</v>
      </c>
      <c r="D2053" s="229">
        <f t="shared" si="153"/>
        <v>45204</v>
      </c>
      <c r="E2053" s="241">
        <f t="shared" si="156"/>
        <v>45204</v>
      </c>
      <c r="F2053" s="512"/>
      <c r="G2053" s="231" t="s">
        <v>1245</v>
      </c>
      <c r="H2053" s="232"/>
      <c r="I2053" s="232" t="s">
        <v>1253</v>
      </c>
      <c r="J2053" s="228" t="s">
        <v>42</v>
      </c>
      <c r="K2053" s="233"/>
      <c r="L2053" s="233">
        <v>1166.2806114019959</v>
      </c>
    </row>
    <row r="2054" spans="1:12" ht="11.25" customHeight="1" x14ac:dyDescent="0.2">
      <c r="A2054" s="197">
        <v>2023</v>
      </c>
      <c r="B2054" s="197">
        <v>10</v>
      </c>
      <c r="C2054" s="197">
        <v>5</v>
      </c>
      <c r="D2054" s="198">
        <f t="shared" si="153"/>
        <v>45204</v>
      </c>
      <c r="E2054" s="209">
        <f t="shared" si="156"/>
        <v>45204</v>
      </c>
      <c r="F2054" s="513" t="s">
        <v>1296</v>
      </c>
      <c r="G2054" s="200" t="s">
        <v>1209</v>
      </c>
      <c r="H2054" s="201"/>
      <c r="I2054" s="201"/>
      <c r="J2054" s="197" t="s">
        <v>46</v>
      </c>
      <c r="K2054" s="202">
        <v>103000</v>
      </c>
      <c r="L2054" s="202"/>
    </row>
    <row r="2055" spans="1:12" ht="11.25" customHeight="1" x14ac:dyDescent="0.2">
      <c r="A2055" s="120">
        <v>2023</v>
      </c>
      <c r="B2055" s="120">
        <v>10</v>
      </c>
      <c r="C2055" s="120">
        <v>5</v>
      </c>
      <c r="D2055" s="208">
        <f t="shared" si="153"/>
        <v>45204</v>
      </c>
      <c r="E2055" s="209">
        <f t="shared" si="156"/>
        <v>45204</v>
      </c>
      <c r="F2055" s="515"/>
      <c r="G2055" s="132" t="s">
        <v>1209</v>
      </c>
      <c r="J2055" s="120" t="s">
        <v>16</v>
      </c>
      <c r="K2055" s="207"/>
      <c r="L2055" s="207">
        <v>97980</v>
      </c>
    </row>
    <row r="2056" spans="1:12" ht="11.25" customHeight="1" x14ac:dyDescent="0.2">
      <c r="A2056" s="191">
        <v>2023</v>
      </c>
      <c r="B2056" s="191">
        <v>10</v>
      </c>
      <c r="C2056" s="191">
        <v>5</v>
      </c>
      <c r="D2056" s="192">
        <f t="shared" si="153"/>
        <v>45204</v>
      </c>
      <c r="E2056" s="193">
        <f t="shared" si="156"/>
        <v>45204</v>
      </c>
      <c r="F2056" s="514"/>
      <c r="G2056" s="194" t="s">
        <v>1209</v>
      </c>
      <c r="H2056" s="195"/>
      <c r="I2056" s="195"/>
      <c r="J2056" s="191" t="s">
        <v>47</v>
      </c>
      <c r="K2056" s="196"/>
      <c r="L2056" s="196">
        <v>5020</v>
      </c>
    </row>
    <row r="2057" spans="1:12" ht="11.25" customHeight="1" x14ac:dyDescent="0.2">
      <c r="A2057" s="197">
        <v>2023</v>
      </c>
      <c r="B2057" s="197">
        <v>10</v>
      </c>
      <c r="C2057" s="197">
        <v>8</v>
      </c>
      <c r="D2057" s="198">
        <f t="shared" ref="D2057:D2120" si="157">DATE(A2057,B2057,C2057)</f>
        <v>45207</v>
      </c>
      <c r="E2057" s="209">
        <f t="shared" si="156"/>
        <v>45207</v>
      </c>
      <c r="F2057" s="513" t="s">
        <v>1296</v>
      </c>
      <c r="G2057" s="200" t="s">
        <v>1209</v>
      </c>
      <c r="H2057" s="201"/>
      <c r="I2057" s="201"/>
      <c r="J2057" s="197" t="s">
        <v>46</v>
      </c>
      <c r="K2057" s="202">
        <v>155000</v>
      </c>
      <c r="L2057" s="202"/>
    </row>
    <row r="2058" spans="1:12" ht="11.25" customHeight="1" x14ac:dyDescent="0.2">
      <c r="A2058" s="120">
        <v>2023</v>
      </c>
      <c r="B2058" s="120">
        <v>10</v>
      </c>
      <c r="C2058" s="120">
        <v>8</v>
      </c>
      <c r="D2058" s="208">
        <f t="shared" si="157"/>
        <v>45207</v>
      </c>
      <c r="E2058" s="209">
        <f t="shared" si="156"/>
        <v>45207</v>
      </c>
      <c r="F2058" s="515"/>
      <c r="G2058" s="132" t="s">
        <v>1209</v>
      </c>
      <c r="J2058" s="120" t="s">
        <v>16</v>
      </c>
      <c r="K2058" s="207"/>
      <c r="L2058" s="207">
        <v>147460</v>
      </c>
    </row>
    <row r="2059" spans="1:12" ht="11.25" customHeight="1" x14ac:dyDescent="0.2">
      <c r="A2059" s="191">
        <v>2023</v>
      </c>
      <c r="B2059" s="191">
        <v>10</v>
      </c>
      <c r="C2059" s="191">
        <v>8</v>
      </c>
      <c r="D2059" s="192">
        <f t="shared" si="157"/>
        <v>45207</v>
      </c>
      <c r="E2059" s="193">
        <f t="shared" si="156"/>
        <v>45207</v>
      </c>
      <c r="F2059" s="514"/>
      <c r="G2059" s="194" t="s">
        <v>1209</v>
      </c>
      <c r="H2059" s="195"/>
      <c r="I2059" s="195"/>
      <c r="J2059" s="191" t="s">
        <v>47</v>
      </c>
      <c r="K2059" s="196"/>
      <c r="L2059" s="196">
        <v>7540</v>
      </c>
    </row>
    <row r="2060" spans="1:12" ht="11.25" customHeight="1" x14ac:dyDescent="0.2">
      <c r="A2060" s="197">
        <v>2023</v>
      </c>
      <c r="B2060" s="197">
        <v>10</v>
      </c>
      <c r="C2060" s="197">
        <v>8</v>
      </c>
      <c r="D2060" s="198">
        <f t="shared" si="157"/>
        <v>45207</v>
      </c>
      <c r="E2060" s="209">
        <f t="shared" si="156"/>
        <v>45207</v>
      </c>
      <c r="F2060" s="513" t="s">
        <v>1210</v>
      </c>
      <c r="G2060" s="200" t="s">
        <v>1209</v>
      </c>
      <c r="H2060" s="201"/>
      <c r="I2060" s="201" t="s">
        <v>1238</v>
      </c>
      <c r="J2060" s="197" t="s">
        <v>46</v>
      </c>
      <c r="K2060" s="202">
        <v>1454093</v>
      </c>
      <c r="L2060" s="202"/>
    </row>
    <row r="2061" spans="1:12" ht="11.25" customHeight="1" x14ac:dyDescent="0.2">
      <c r="A2061" s="120">
        <v>2023</v>
      </c>
      <c r="B2061" s="120">
        <v>10</v>
      </c>
      <c r="C2061" s="120">
        <v>8</v>
      </c>
      <c r="D2061" s="208">
        <f t="shared" si="157"/>
        <v>45207</v>
      </c>
      <c r="E2061" s="209">
        <f t="shared" si="156"/>
        <v>45207</v>
      </c>
      <c r="F2061" s="515"/>
      <c r="G2061" s="132" t="s">
        <v>1209</v>
      </c>
      <c r="I2061" s="128" t="s">
        <v>1238</v>
      </c>
      <c r="J2061" s="120" t="s">
        <v>16</v>
      </c>
      <c r="K2061" s="207"/>
      <c r="L2061" s="207">
        <v>1385110</v>
      </c>
    </row>
    <row r="2062" spans="1:12" ht="11.25" customHeight="1" x14ac:dyDescent="0.2">
      <c r="A2062" s="191">
        <v>2023</v>
      </c>
      <c r="B2062" s="191">
        <v>10</v>
      </c>
      <c r="C2062" s="191">
        <v>8</v>
      </c>
      <c r="D2062" s="192">
        <f t="shared" si="157"/>
        <v>45207</v>
      </c>
      <c r="E2062" s="193">
        <f t="shared" si="156"/>
        <v>45207</v>
      </c>
      <c r="F2062" s="514"/>
      <c r="G2062" s="194" t="s">
        <v>1209</v>
      </c>
      <c r="H2062" s="195"/>
      <c r="I2062" s="195" t="s">
        <v>1238</v>
      </c>
      <c r="J2062" s="191" t="s">
        <v>47</v>
      </c>
      <c r="K2062" s="196"/>
      <c r="L2062" s="196">
        <v>68983</v>
      </c>
    </row>
    <row r="2063" spans="1:12" ht="11.25" customHeight="1" x14ac:dyDescent="0.2">
      <c r="A2063" s="197">
        <v>2023</v>
      </c>
      <c r="B2063" s="197">
        <v>10</v>
      </c>
      <c r="C2063" s="197">
        <v>8</v>
      </c>
      <c r="D2063" s="198">
        <f t="shared" si="157"/>
        <v>45207</v>
      </c>
      <c r="E2063" s="209">
        <f t="shared" si="156"/>
        <v>45207</v>
      </c>
      <c r="F2063" s="513" t="s">
        <v>1280</v>
      </c>
      <c r="G2063" s="200" t="s">
        <v>1209</v>
      </c>
      <c r="H2063" s="201"/>
      <c r="I2063" s="201" t="s">
        <v>1356</v>
      </c>
      <c r="J2063" s="197" t="s">
        <v>16</v>
      </c>
      <c r="K2063" s="202">
        <v>93140</v>
      </c>
      <c r="L2063" s="202"/>
    </row>
    <row r="2064" spans="1:12" ht="11.25" customHeight="1" x14ac:dyDescent="0.2">
      <c r="A2064" s="120">
        <v>2023</v>
      </c>
      <c r="B2064" s="120">
        <v>10</v>
      </c>
      <c r="C2064" s="120">
        <v>8</v>
      </c>
      <c r="D2064" s="208">
        <f t="shared" si="157"/>
        <v>45207</v>
      </c>
      <c r="E2064" s="209">
        <f t="shared" si="156"/>
        <v>45207</v>
      </c>
      <c r="F2064" s="515"/>
      <c r="G2064" s="132" t="s">
        <v>1209</v>
      </c>
      <c r="I2064" s="128" t="s">
        <v>1356</v>
      </c>
      <c r="J2064" s="120" t="s">
        <v>47</v>
      </c>
      <c r="K2064" s="207">
        <v>4768.7700000000041</v>
      </c>
      <c r="L2064" s="207"/>
    </row>
    <row r="2065" spans="1:12" ht="11.25" customHeight="1" x14ac:dyDescent="0.2">
      <c r="A2065" s="191">
        <v>2023</v>
      </c>
      <c r="B2065" s="191">
        <v>10</v>
      </c>
      <c r="C2065" s="191">
        <v>8</v>
      </c>
      <c r="D2065" s="192">
        <f t="shared" si="157"/>
        <v>45207</v>
      </c>
      <c r="E2065" s="193">
        <f t="shared" si="156"/>
        <v>45207</v>
      </c>
      <c r="F2065" s="514"/>
      <c r="G2065" s="194" t="s">
        <v>1209</v>
      </c>
      <c r="H2065" s="195"/>
      <c r="I2065" s="195" t="s">
        <v>1356</v>
      </c>
      <c r="J2065" s="191" t="s">
        <v>46</v>
      </c>
      <c r="K2065" s="196"/>
      <c r="L2065" s="196">
        <v>97908.77</v>
      </c>
    </row>
    <row r="2066" spans="1:12" ht="11.25" customHeight="1" x14ac:dyDescent="0.2">
      <c r="A2066" s="197">
        <v>2023</v>
      </c>
      <c r="B2066" s="197">
        <v>10</v>
      </c>
      <c r="C2066" s="197">
        <v>8</v>
      </c>
      <c r="D2066" s="198">
        <f t="shared" si="157"/>
        <v>45207</v>
      </c>
      <c r="E2066" s="209">
        <f t="shared" ref="E2066:E2071" si="158">DATE(A2066,B2066,C2066)</f>
        <v>45207</v>
      </c>
      <c r="F2066" s="513" t="s">
        <v>1280</v>
      </c>
      <c r="G2066" s="200" t="s">
        <v>1209</v>
      </c>
      <c r="H2066" s="201"/>
      <c r="I2066" s="201" t="s">
        <v>318</v>
      </c>
      <c r="J2066" s="197" t="s">
        <v>16</v>
      </c>
      <c r="K2066" s="202">
        <v>850000</v>
      </c>
      <c r="L2066" s="202"/>
    </row>
    <row r="2067" spans="1:12" ht="11.25" customHeight="1" x14ac:dyDescent="0.2">
      <c r="A2067" s="120">
        <v>2023</v>
      </c>
      <c r="B2067" s="120">
        <v>10</v>
      </c>
      <c r="C2067" s="120">
        <v>8</v>
      </c>
      <c r="D2067" s="208">
        <f t="shared" si="157"/>
        <v>45207</v>
      </c>
      <c r="E2067" s="209">
        <f t="shared" si="158"/>
        <v>45207</v>
      </c>
      <c r="F2067" s="515"/>
      <c r="G2067" s="132" t="s">
        <v>1209</v>
      </c>
      <c r="I2067" s="128" t="s">
        <v>318</v>
      </c>
      <c r="J2067" s="120" t="s">
        <v>47</v>
      </c>
      <c r="K2067" s="207">
        <v>42330</v>
      </c>
      <c r="L2067" s="207"/>
    </row>
    <row r="2068" spans="1:12" ht="11.25" customHeight="1" x14ac:dyDescent="0.2">
      <c r="A2068" s="191">
        <v>2023</v>
      </c>
      <c r="B2068" s="191">
        <v>10</v>
      </c>
      <c r="C2068" s="191">
        <v>8</v>
      </c>
      <c r="D2068" s="192">
        <f t="shared" si="157"/>
        <v>45207</v>
      </c>
      <c r="E2068" s="193">
        <f t="shared" si="158"/>
        <v>45207</v>
      </c>
      <c r="F2068" s="514"/>
      <c r="G2068" s="194" t="s">
        <v>1209</v>
      </c>
      <c r="H2068" s="195"/>
      <c r="I2068" s="195" t="s">
        <v>318</v>
      </c>
      <c r="J2068" s="191" t="s">
        <v>46</v>
      </c>
      <c r="K2068" s="196"/>
      <c r="L2068" s="196">
        <v>892330</v>
      </c>
    </row>
    <row r="2069" spans="1:12" ht="11.25" customHeight="1" x14ac:dyDescent="0.2">
      <c r="A2069" s="197">
        <v>2023</v>
      </c>
      <c r="B2069" s="197">
        <v>10</v>
      </c>
      <c r="C2069" s="197">
        <v>8</v>
      </c>
      <c r="D2069" s="198">
        <f t="shared" si="157"/>
        <v>45207</v>
      </c>
      <c r="E2069" s="209">
        <f t="shared" si="158"/>
        <v>45207</v>
      </c>
      <c r="F2069" s="513" t="s">
        <v>1210</v>
      </c>
      <c r="G2069" s="200" t="s">
        <v>1209</v>
      </c>
      <c r="H2069" s="201"/>
      <c r="I2069" s="201" t="s">
        <v>391</v>
      </c>
      <c r="J2069" s="197" t="s">
        <v>46</v>
      </c>
      <c r="K2069" s="202">
        <v>45000</v>
      </c>
      <c r="L2069" s="202"/>
    </row>
    <row r="2070" spans="1:12" ht="11.25" customHeight="1" x14ac:dyDescent="0.2">
      <c r="A2070" s="120">
        <v>2023</v>
      </c>
      <c r="B2070" s="120">
        <v>10</v>
      </c>
      <c r="C2070" s="120">
        <v>8</v>
      </c>
      <c r="D2070" s="208">
        <f t="shared" si="157"/>
        <v>45207</v>
      </c>
      <c r="E2070" s="209">
        <f t="shared" si="158"/>
        <v>45207</v>
      </c>
      <c r="F2070" s="515"/>
      <c r="G2070" s="132" t="s">
        <v>1209</v>
      </c>
      <c r="I2070" s="128" t="s">
        <v>391</v>
      </c>
      <c r="J2070" s="120" t="s">
        <v>16</v>
      </c>
      <c r="K2070" s="207"/>
      <c r="L2070" s="207">
        <v>42810</v>
      </c>
    </row>
    <row r="2071" spans="1:12" ht="11.25" customHeight="1" x14ac:dyDescent="0.2">
      <c r="A2071" s="191">
        <v>2023</v>
      </c>
      <c r="B2071" s="191">
        <v>10</v>
      </c>
      <c r="C2071" s="191">
        <v>8</v>
      </c>
      <c r="D2071" s="192">
        <f t="shared" si="157"/>
        <v>45207</v>
      </c>
      <c r="E2071" s="193">
        <f t="shared" si="158"/>
        <v>45207</v>
      </c>
      <c r="F2071" s="514"/>
      <c r="G2071" s="194" t="s">
        <v>1209</v>
      </c>
      <c r="H2071" s="195"/>
      <c r="I2071" s="195" t="s">
        <v>391</v>
      </c>
      <c r="J2071" s="191" t="s">
        <v>47</v>
      </c>
      <c r="K2071" s="196"/>
      <c r="L2071" s="196">
        <v>2190</v>
      </c>
    </row>
    <row r="2072" spans="1:12" ht="11.25" customHeight="1" x14ac:dyDescent="0.2">
      <c r="A2072" s="197">
        <v>2023</v>
      </c>
      <c r="B2072" s="197">
        <v>10</v>
      </c>
      <c r="C2072" s="197">
        <v>8</v>
      </c>
      <c r="D2072" s="198">
        <f t="shared" si="157"/>
        <v>45207</v>
      </c>
      <c r="E2072" s="209">
        <f>DATE(A2072,B2072,C2072)</f>
        <v>45207</v>
      </c>
      <c r="F2072" s="513" t="s">
        <v>1210</v>
      </c>
      <c r="G2072" s="200" t="s">
        <v>1209</v>
      </c>
      <c r="H2072" s="201"/>
      <c r="I2072" s="201" t="s">
        <v>328</v>
      </c>
      <c r="J2072" s="197" t="s">
        <v>46</v>
      </c>
      <c r="K2072" s="202">
        <v>50000</v>
      </c>
      <c r="L2072" s="202"/>
    </row>
    <row r="2073" spans="1:12" ht="11.25" customHeight="1" x14ac:dyDescent="0.2">
      <c r="A2073" s="120">
        <v>2023</v>
      </c>
      <c r="B2073" s="120">
        <v>10</v>
      </c>
      <c r="C2073" s="120">
        <v>8</v>
      </c>
      <c r="D2073" s="208">
        <f t="shared" si="157"/>
        <v>45207</v>
      </c>
      <c r="E2073" s="209">
        <f>DATE(A2073,B2073,C2073)</f>
        <v>45207</v>
      </c>
      <c r="F2073" s="515"/>
      <c r="G2073" s="132" t="s">
        <v>1209</v>
      </c>
      <c r="I2073" s="128" t="s">
        <v>328</v>
      </c>
      <c r="J2073" s="120" t="s">
        <v>16</v>
      </c>
      <c r="K2073" s="207"/>
      <c r="L2073" s="207">
        <v>47560</v>
      </c>
    </row>
    <row r="2074" spans="1:12" ht="11.25" customHeight="1" x14ac:dyDescent="0.2">
      <c r="A2074" s="191">
        <v>2023</v>
      </c>
      <c r="B2074" s="191">
        <v>10</v>
      </c>
      <c r="C2074" s="191">
        <v>8</v>
      </c>
      <c r="D2074" s="192">
        <f t="shared" si="157"/>
        <v>45207</v>
      </c>
      <c r="E2074" s="193">
        <f>DATE(A2074,B2074,C2074)</f>
        <v>45207</v>
      </c>
      <c r="F2074" s="514"/>
      <c r="G2074" s="194" t="s">
        <v>1209</v>
      </c>
      <c r="H2074" s="195"/>
      <c r="I2074" s="195" t="s">
        <v>328</v>
      </c>
      <c r="J2074" s="191" t="s">
        <v>47</v>
      </c>
      <c r="K2074" s="196"/>
      <c r="L2074" s="196">
        <v>2440</v>
      </c>
    </row>
    <row r="2075" spans="1:12" ht="11.25" customHeight="1" x14ac:dyDescent="0.2">
      <c r="A2075" s="197">
        <v>2023</v>
      </c>
      <c r="B2075" s="197">
        <v>10</v>
      </c>
      <c r="C2075" s="197">
        <v>8</v>
      </c>
      <c r="D2075" s="198">
        <f t="shared" si="157"/>
        <v>45207</v>
      </c>
      <c r="E2075" s="209">
        <f t="shared" ref="E2075:E2084" si="159">DATE(A2075,B2075,C2075)</f>
        <v>45207</v>
      </c>
      <c r="F2075" s="513" t="s">
        <v>1210</v>
      </c>
      <c r="G2075" s="200" t="s">
        <v>1209</v>
      </c>
      <c r="H2075" s="201"/>
      <c r="I2075" s="201" t="s">
        <v>407</v>
      </c>
      <c r="J2075" s="197" t="s">
        <v>46</v>
      </c>
      <c r="K2075" s="202">
        <v>300000</v>
      </c>
      <c r="L2075" s="202"/>
    </row>
    <row r="2076" spans="1:12" ht="11.25" customHeight="1" x14ac:dyDescent="0.2">
      <c r="A2076" s="120">
        <v>2023</v>
      </c>
      <c r="B2076" s="120">
        <v>10</v>
      </c>
      <c r="C2076" s="120">
        <v>8</v>
      </c>
      <c r="D2076" s="208">
        <f t="shared" si="157"/>
        <v>45207</v>
      </c>
      <c r="E2076" s="209">
        <f t="shared" si="159"/>
        <v>45207</v>
      </c>
      <c r="F2076" s="515"/>
      <c r="G2076" s="132" t="s">
        <v>1209</v>
      </c>
      <c r="I2076" s="128" t="s">
        <v>407</v>
      </c>
      <c r="J2076" s="120" t="s">
        <v>16</v>
      </c>
      <c r="K2076" s="207"/>
      <c r="L2076" s="207">
        <v>285390</v>
      </c>
    </row>
    <row r="2077" spans="1:12" ht="11.25" customHeight="1" x14ac:dyDescent="0.2">
      <c r="A2077" s="191">
        <v>2023</v>
      </c>
      <c r="B2077" s="191">
        <v>10</v>
      </c>
      <c r="C2077" s="191">
        <v>8</v>
      </c>
      <c r="D2077" s="192">
        <f t="shared" si="157"/>
        <v>45207</v>
      </c>
      <c r="E2077" s="193">
        <f t="shared" si="159"/>
        <v>45207</v>
      </c>
      <c r="F2077" s="514"/>
      <c r="G2077" s="194" t="s">
        <v>1209</v>
      </c>
      <c r="H2077" s="195"/>
      <c r="I2077" s="195" t="s">
        <v>407</v>
      </c>
      <c r="J2077" s="191" t="s">
        <v>47</v>
      </c>
      <c r="K2077" s="196"/>
      <c r="L2077" s="196">
        <v>14610</v>
      </c>
    </row>
    <row r="2078" spans="1:12" ht="11.25" customHeight="1" x14ac:dyDescent="0.2">
      <c r="A2078" s="197">
        <v>2023</v>
      </c>
      <c r="B2078" s="197">
        <v>10</v>
      </c>
      <c r="C2078" s="197">
        <v>8</v>
      </c>
      <c r="D2078" s="198">
        <f t="shared" si="157"/>
        <v>45207</v>
      </c>
      <c r="E2078" s="199">
        <f>DATE(A2078,B2078,C2078)</f>
        <v>45207</v>
      </c>
      <c r="F2078" s="513" t="s">
        <v>1323</v>
      </c>
      <c r="G2078" s="200" t="s">
        <v>1209</v>
      </c>
      <c r="H2078" s="201"/>
      <c r="I2078" s="201"/>
      <c r="J2078" s="197" t="s">
        <v>54</v>
      </c>
      <c r="K2078" s="202">
        <v>10</v>
      </c>
      <c r="L2078" s="202"/>
    </row>
    <row r="2079" spans="1:12" ht="11.25" customHeight="1" x14ac:dyDescent="0.2">
      <c r="A2079" s="191">
        <v>2023</v>
      </c>
      <c r="B2079" s="191">
        <v>10</v>
      </c>
      <c r="C2079" s="191">
        <v>8</v>
      </c>
      <c r="D2079" s="192">
        <f t="shared" si="157"/>
        <v>45207</v>
      </c>
      <c r="E2079" s="193">
        <f>DATE(A2079,B2079,C2079)</f>
        <v>45207</v>
      </c>
      <c r="F2079" s="514"/>
      <c r="G2079" s="194" t="s">
        <v>1209</v>
      </c>
      <c r="H2079" s="195"/>
      <c r="I2079" s="195"/>
      <c r="J2079" s="191" t="s">
        <v>46</v>
      </c>
      <c r="K2079" s="196"/>
      <c r="L2079" s="196">
        <v>10</v>
      </c>
    </row>
    <row r="2080" spans="1:12" ht="11.25" customHeight="1" x14ac:dyDescent="0.2">
      <c r="A2080" s="197">
        <v>2023</v>
      </c>
      <c r="B2080" s="197">
        <v>10</v>
      </c>
      <c r="C2080" s="197">
        <v>8</v>
      </c>
      <c r="D2080" s="198">
        <f t="shared" si="157"/>
        <v>45207</v>
      </c>
      <c r="E2080" s="199">
        <f>DATE(A2080,B2080,C2080)</f>
        <v>45207</v>
      </c>
      <c r="F2080" s="513" t="s">
        <v>1323</v>
      </c>
      <c r="G2080" s="200" t="s">
        <v>1209</v>
      </c>
      <c r="H2080" s="201"/>
      <c r="I2080" s="201"/>
      <c r="J2080" s="197" t="s">
        <v>54</v>
      </c>
      <c r="K2080" s="202">
        <v>10</v>
      </c>
      <c r="L2080" s="202"/>
    </row>
    <row r="2081" spans="1:13" ht="11.25" customHeight="1" x14ac:dyDescent="0.2">
      <c r="A2081" s="191">
        <v>2023</v>
      </c>
      <c r="B2081" s="191">
        <v>10</v>
      </c>
      <c r="C2081" s="191">
        <v>8</v>
      </c>
      <c r="D2081" s="192">
        <f t="shared" si="157"/>
        <v>45207</v>
      </c>
      <c r="E2081" s="193">
        <f>DATE(A2081,B2081,C2081)</f>
        <v>45207</v>
      </c>
      <c r="F2081" s="514"/>
      <c r="G2081" s="194" t="s">
        <v>1209</v>
      </c>
      <c r="H2081" s="195"/>
      <c r="I2081" s="195"/>
      <c r="J2081" s="191" t="s">
        <v>46</v>
      </c>
      <c r="K2081" s="196"/>
      <c r="L2081" s="196">
        <v>10</v>
      </c>
    </row>
    <row r="2082" spans="1:13" ht="11.25" customHeight="1" x14ac:dyDescent="0.2">
      <c r="A2082" s="197">
        <v>2023</v>
      </c>
      <c r="B2082" s="197">
        <v>10</v>
      </c>
      <c r="C2082" s="197">
        <v>9</v>
      </c>
      <c r="D2082" s="198">
        <f t="shared" si="157"/>
        <v>45208</v>
      </c>
      <c r="E2082" s="209">
        <f t="shared" si="159"/>
        <v>45208</v>
      </c>
      <c r="F2082" s="513" t="s">
        <v>1210</v>
      </c>
      <c r="G2082" s="200" t="s">
        <v>1209</v>
      </c>
      <c r="H2082" s="201"/>
      <c r="I2082" s="201" t="s">
        <v>349</v>
      </c>
      <c r="J2082" s="197" t="s">
        <v>46</v>
      </c>
      <c r="K2082" s="202">
        <v>60000</v>
      </c>
      <c r="L2082" s="202"/>
    </row>
    <row r="2083" spans="1:13" ht="11.25" customHeight="1" x14ac:dyDescent="0.2">
      <c r="A2083" s="120">
        <v>2023</v>
      </c>
      <c r="B2083" s="120">
        <v>10</v>
      </c>
      <c r="C2083" s="120">
        <v>9</v>
      </c>
      <c r="D2083" s="208">
        <f t="shared" si="157"/>
        <v>45208</v>
      </c>
      <c r="E2083" s="209">
        <f t="shared" si="159"/>
        <v>45208</v>
      </c>
      <c r="F2083" s="515"/>
      <c r="G2083" s="132" t="s">
        <v>1209</v>
      </c>
      <c r="I2083" s="128" t="s">
        <v>349</v>
      </c>
      <c r="J2083" s="120" t="s">
        <v>16</v>
      </c>
      <c r="K2083" s="207"/>
      <c r="L2083" s="207">
        <v>57080</v>
      </c>
    </row>
    <row r="2084" spans="1:13" ht="11.25" customHeight="1" x14ac:dyDescent="0.2">
      <c r="A2084" s="191">
        <v>2023</v>
      </c>
      <c r="B2084" s="191">
        <v>10</v>
      </c>
      <c r="C2084" s="191">
        <v>9</v>
      </c>
      <c r="D2084" s="192">
        <f t="shared" si="157"/>
        <v>45208</v>
      </c>
      <c r="E2084" s="193">
        <f t="shared" si="159"/>
        <v>45208</v>
      </c>
      <c r="F2084" s="514"/>
      <c r="G2084" s="194" t="s">
        <v>1209</v>
      </c>
      <c r="H2084" s="195"/>
      <c r="I2084" s="195" t="s">
        <v>349</v>
      </c>
      <c r="J2084" s="191" t="s">
        <v>47</v>
      </c>
      <c r="K2084" s="196"/>
      <c r="L2084" s="196">
        <v>2920</v>
      </c>
    </row>
    <row r="2085" spans="1:13" ht="11.25" customHeight="1" x14ac:dyDescent="0.2">
      <c r="A2085" s="197">
        <v>2023</v>
      </c>
      <c r="B2085" s="197">
        <v>10</v>
      </c>
      <c r="C2085" s="197">
        <v>9</v>
      </c>
      <c r="D2085" s="198">
        <f t="shared" si="157"/>
        <v>45208</v>
      </c>
      <c r="E2085" s="209">
        <f t="shared" ref="E2085:E2091" si="160">DATE(A2085,B2085,C2085)</f>
        <v>45208</v>
      </c>
      <c r="F2085" s="513" t="s">
        <v>1210</v>
      </c>
      <c r="G2085" s="200" t="s">
        <v>1209</v>
      </c>
      <c r="H2085" s="201"/>
      <c r="I2085" s="201" t="s">
        <v>394</v>
      </c>
      <c r="J2085" s="197" t="s">
        <v>46</v>
      </c>
      <c r="K2085" s="202">
        <v>200000</v>
      </c>
      <c r="L2085" s="202"/>
    </row>
    <row r="2086" spans="1:13" ht="11.25" customHeight="1" x14ac:dyDescent="0.2">
      <c r="A2086" s="120">
        <v>2023</v>
      </c>
      <c r="B2086" s="120">
        <v>10</v>
      </c>
      <c r="C2086" s="120">
        <v>9</v>
      </c>
      <c r="D2086" s="208">
        <f t="shared" si="157"/>
        <v>45208</v>
      </c>
      <c r="E2086" s="209">
        <f t="shared" si="160"/>
        <v>45208</v>
      </c>
      <c r="F2086" s="515"/>
      <c r="G2086" s="132" t="s">
        <v>1209</v>
      </c>
      <c r="I2086" s="128" t="s">
        <v>394</v>
      </c>
      <c r="J2086" s="120" t="s">
        <v>16</v>
      </c>
      <c r="K2086" s="207"/>
      <c r="L2086" s="207">
        <v>190260</v>
      </c>
    </row>
    <row r="2087" spans="1:13" ht="11.25" customHeight="1" x14ac:dyDescent="0.2">
      <c r="A2087" s="191">
        <v>2023</v>
      </c>
      <c r="B2087" s="191">
        <v>10</v>
      </c>
      <c r="C2087" s="191">
        <v>9</v>
      </c>
      <c r="D2087" s="192">
        <f t="shared" si="157"/>
        <v>45208</v>
      </c>
      <c r="E2087" s="193">
        <f t="shared" si="160"/>
        <v>45208</v>
      </c>
      <c r="F2087" s="514"/>
      <c r="G2087" s="194" t="s">
        <v>1209</v>
      </c>
      <c r="H2087" s="195"/>
      <c r="I2087" s="195" t="s">
        <v>394</v>
      </c>
      <c r="J2087" s="191" t="s">
        <v>47</v>
      </c>
      <c r="K2087" s="196"/>
      <c r="L2087" s="196">
        <v>9740</v>
      </c>
    </row>
    <row r="2088" spans="1:13" ht="11.25" customHeight="1" x14ac:dyDescent="0.2">
      <c r="A2088" s="197">
        <v>2023</v>
      </c>
      <c r="B2088" s="197">
        <v>10</v>
      </c>
      <c r="C2088" s="197">
        <v>9</v>
      </c>
      <c r="D2088" s="198">
        <f t="shared" si="157"/>
        <v>45208</v>
      </c>
      <c r="E2088" s="209">
        <f t="shared" si="160"/>
        <v>45208</v>
      </c>
      <c r="F2088" s="513" t="s">
        <v>1451</v>
      </c>
      <c r="G2088" s="200" t="s">
        <v>1209</v>
      </c>
      <c r="H2088" s="201"/>
      <c r="I2088" s="201"/>
      <c r="J2088" s="248" t="s">
        <v>46</v>
      </c>
      <c r="K2088" s="202">
        <v>1014743.75</v>
      </c>
      <c r="L2088" s="202"/>
      <c r="M2088" s="251"/>
    </row>
    <row r="2089" spans="1:13" ht="11.25" customHeight="1" x14ac:dyDescent="0.2">
      <c r="A2089" s="120">
        <v>2023</v>
      </c>
      <c r="B2089" s="120">
        <v>10</v>
      </c>
      <c r="C2089" s="120">
        <v>9</v>
      </c>
      <c r="D2089" s="208">
        <f t="shared" si="157"/>
        <v>45208</v>
      </c>
      <c r="E2089" s="209">
        <f t="shared" si="160"/>
        <v>45208</v>
      </c>
      <c r="F2089" s="515"/>
      <c r="G2089" s="132" t="s">
        <v>1209</v>
      </c>
      <c r="J2089" s="129" t="s">
        <v>54</v>
      </c>
      <c r="K2089" s="207">
        <v>6131.25</v>
      </c>
      <c r="L2089" s="207"/>
      <c r="M2089" s="251"/>
    </row>
    <row r="2090" spans="1:13" ht="11.25" customHeight="1" x14ac:dyDescent="0.2">
      <c r="A2090" s="120">
        <v>2023</v>
      </c>
      <c r="B2090" s="120">
        <v>10</v>
      </c>
      <c r="C2090" s="120">
        <v>9</v>
      </c>
      <c r="D2090" s="208">
        <f t="shared" si="157"/>
        <v>45208</v>
      </c>
      <c r="E2090" s="209">
        <f t="shared" si="160"/>
        <v>45208</v>
      </c>
      <c r="F2090" s="515"/>
      <c r="G2090" s="132" t="s">
        <v>1209</v>
      </c>
      <c r="J2090" s="129" t="s">
        <v>113</v>
      </c>
      <c r="K2090" s="207"/>
      <c r="L2090" s="207">
        <v>20875</v>
      </c>
      <c r="M2090" s="251"/>
    </row>
    <row r="2091" spans="1:13" ht="11.25" customHeight="1" x14ac:dyDescent="0.2">
      <c r="A2091" s="191">
        <v>2023</v>
      </c>
      <c r="B2091" s="191">
        <v>10</v>
      </c>
      <c r="C2091" s="191">
        <v>9</v>
      </c>
      <c r="D2091" s="192">
        <f t="shared" si="157"/>
        <v>45208</v>
      </c>
      <c r="E2091" s="193">
        <f t="shared" si="160"/>
        <v>45208</v>
      </c>
      <c r="F2091" s="514"/>
      <c r="G2091" s="194" t="s">
        <v>1209</v>
      </c>
      <c r="H2091" s="195"/>
      <c r="I2091" s="195"/>
      <c r="J2091" s="250" t="s">
        <v>76</v>
      </c>
      <c r="K2091" s="196"/>
      <c r="L2091" s="196">
        <v>1000000</v>
      </c>
    </row>
    <row r="2092" spans="1:13" ht="11.25" customHeight="1" x14ac:dyDescent="0.2">
      <c r="A2092" s="197">
        <v>2023</v>
      </c>
      <c r="B2092" s="197">
        <v>10</v>
      </c>
      <c r="C2092" s="197">
        <v>9</v>
      </c>
      <c r="D2092" s="198">
        <f t="shared" si="157"/>
        <v>45208</v>
      </c>
      <c r="E2092" s="209">
        <f>DATE(A2092,B2092,C2092)</f>
        <v>45208</v>
      </c>
      <c r="F2092" s="513" t="s">
        <v>1452</v>
      </c>
      <c r="G2092" s="200" t="s">
        <v>1209</v>
      </c>
      <c r="H2092" s="201"/>
      <c r="I2092" s="201"/>
      <c r="J2092" s="248" t="s">
        <v>46</v>
      </c>
      <c r="K2092" s="202">
        <v>1014743.75</v>
      </c>
      <c r="L2092" s="202"/>
      <c r="M2092" s="251"/>
    </row>
    <row r="2093" spans="1:13" ht="11.25" customHeight="1" x14ac:dyDescent="0.2">
      <c r="A2093" s="120">
        <v>2023</v>
      </c>
      <c r="B2093" s="120">
        <v>10</v>
      </c>
      <c r="C2093" s="120">
        <v>9</v>
      </c>
      <c r="D2093" s="208">
        <f t="shared" si="157"/>
        <v>45208</v>
      </c>
      <c r="E2093" s="209">
        <f>DATE(A2093,B2093,C2093)</f>
        <v>45208</v>
      </c>
      <c r="F2093" s="515"/>
      <c r="G2093" s="132" t="s">
        <v>1209</v>
      </c>
      <c r="J2093" s="129" t="s">
        <v>54</v>
      </c>
      <c r="K2093" s="207">
        <v>6131.25</v>
      </c>
      <c r="L2093" s="207"/>
      <c r="M2093" s="251"/>
    </row>
    <row r="2094" spans="1:13" ht="11.25" customHeight="1" x14ac:dyDescent="0.2">
      <c r="A2094" s="120">
        <v>2023</v>
      </c>
      <c r="B2094" s="120">
        <v>10</v>
      </c>
      <c r="C2094" s="120">
        <v>9</v>
      </c>
      <c r="D2094" s="208">
        <f t="shared" si="157"/>
        <v>45208</v>
      </c>
      <c r="E2094" s="209">
        <f>DATE(A2094,B2094,C2094)</f>
        <v>45208</v>
      </c>
      <c r="F2094" s="515"/>
      <c r="G2094" s="132" t="s">
        <v>1209</v>
      </c>
      <c r="J2094" s="129" t="s">
        <v>113</v>
      </c>
      <c r="K2094" s="207"/>
      <c r="L2094" s="207">
        <v>20875</v>
      </c>
      <c r="M2094" s="251"/>
    </row>
    <row r="2095" spans="1:13" ht="11.25" customHeight="1" x14ac:dyDescent="0.2">
      <c r="A2095" s="191">
        <v>2023</v>
      </c>
      <c r="B2095" s="191">
        <v>10</v>
      </c>
      <c r="C2095" s="191">
        <v>9</v>
      </c>
      <c r="D2095" s="192">
        <f t="shared" si="157"/>
        <v>45208</v>
      </c>
      <c r="E2095" s="193">
        <f>DATE(A2095,B2095,C2095)</f>
        <v>45208</v>
      </c>
      <c r="F2095" s="514"/>
      <c r="G2095" s="194" t="s">
        <v>1209</v>
      </c>
      <c r="H2095" s="195"/>
      <c r="I2095" s="195"/>
      <c r="J2095" s="250" t="s">
        <v>76</v>
      </c>
      <c r="K2095" s="196"/>
      <c r="L2095" s="196">
        <v>1000000</v>
      </c>
    </row>
    <row r="2096" spans="1:13" ht="11.25" customHeight="1" x14ac:dyDescent="0.2">
      <c r="A2096" s="197">
        <v>2023</v>
      </c>
      <c r="B2096" s="197">
        <v>10</v>
      </c>
      <c r="C2096" s="197">
        <v>9</v>
      </c>
      <c r="D2096" s="198">
        <f t="shared" si="157"/>
        <v>45208</v>
      </c>
      <c r="E2096" s="209">
        <f t="shared" ref="E2096:E2102" si="161">DATE(A2096,B2096,C2096)</f>
        <v>45208</v>
      </c>
      <c r="F2096" s="513" t="s">
        <v>1453</v>
      </c>
      <c r="G2096" s="200" t="s">
        <v>1209</v>
      </c>
      <c r="H2096" s="201"/>
      <c r="I2096" s="201"/>
      <c r="J2096" s="248" t="s">
        <v>46</v>
      </c>
      <c r="K2096" s="202">
        <v>1014743.75</v>
      </c>
      <c r="L2096" s="202"/>
      <c r="M2096" s="251"/>
    </row>
    <row r="2097" spans="1:14" ht="11.25" customHeight="1" x14ac:dyDescent="0.2">
      <c r="A2097" s="120">
        <v>2023</v>
      </c>
      <c r="B2097" s="120">
        <v>10</v>
      </c>
      <c r="C2097" s="120">
        <v>9</v>
      </c>
      <c r="D2097" s="208">
        <f t="shared" si="157"/>
        <v>45208</v>
      </c>
      <c r="E2097" s="209">
        <f t="shared" si="161"/>
        <v>45208</v>
      </c>
      <c r="F2097" s="515"/>
      <c r="G2097" s="132" t="s">
        <v>1209</v>
      </c>
      <c r="J2097" s="129" t="s">
        <v>54</v>
      </c>
      <c r="K2097" s="207">
        <v>6131.25</v>
      </c>
      <c r="L2097" s="207"/>
      <c r="M2097" s="251"/>
    </row>
    <row r="2098" spans="1:14" ht="11.25" customHeight="1" x14ac:dyDescent="0.2">
      <c r="A2098" s="120">
        <v>2023</v>
      </c>
      <c r="B2098" s="120">
        <v>10</v>
      </c>
      <c r="C2098" s="120">
        <v>9</v>
      </c>
      <c r="D2098" s="208">
        <f t="shared" si="157"/>
        <v>45208</v>
      </c>
      <c r="E2098" s="209">
        <f t="shared" si="161"/>
        <v>45208</v>
      </c>
      <c r="F2098" s="515"/>
      <c r="G2098" s="132" t="s">
        <v>1209</v>
      </c>
      <c r="J2098" s="129" t="s">
        <v>113</v>
      </c>
      <c r="K2098" s="207"/>
      <c r="L2098" s="207">
        <v>20875</v>
      </c>
      <c r="M2098" s="251"/>
    </row>
    <row r="2099" spans="1:14" ht="11.25" customHeight="1" x14ac:dyDescent="0.2">
      <c r="A2099" s="191">
        <v>2023</v>
      </c>
      <c r="B2099" s="191">
        <v>10</v>
      </c>
      <c r="C2099" s="191">
        <v>9</v>
      </c>
      <c r="D2099" s="192">
        <f t="shared" si="157"/>
        <v>45208</v>
      </c>
      <c r="E2099" s="193">
        <f t="shared" si="161"/>
        <v>45208</v>
      </c>
      <c r="F2099" s="514"/>
      <c r="G2099" s="194" t="s">
        <v>1209</v>
      </c>
      <c r="H2099" s="195"/>
      <c r="I2099" s="195"/>
      <c r="J2099" s="250" t="s">
        <v>76</v>
      </c>
      <c r="K2099" s="196"/>
      <c r="L2099" s="196">
        <v>1000000</v>
      </c>
    </row>
    <row r="2100" spans="1:14" ht="11.25" customHeight="1" x14ac:dyDescent="0.2">
      <c r="A2100" s="197">
        <v>2023</v>
      </c>
      <c r="B2100" s="197">
        <v>10</v>
      </c>
      <c r="C2100" s="197">
        <v>9</v>
      </c>
      <c r="D2100" s="198">
        <f t="shared" si="157"/>
        <v>45208</v>
      </c>
      <c r="E2100" s="209">
        <f t="shared" si="161"/>
        <v>45208</v>
      </c>
      <c r="F2100" s="513" t="s">
        <v>1210</v>
      </c>
      <c r="G2100" s="200" t="s">
        <v>1209</v>
      </c>
      <c r="H2100" s="201"/>
      <c r="I2100" s="201" t="s">
        <v>389</v>
      </c>
      <c r="J2100" s="197" t="s">
        <v>46</v>
      </c>
      <c r="K2100" s="202">
        <v>1500000</v>
      </c>
      <c r="L2100" s="202"/>
    </row>
    <row r="2101" spans="1:14" ht="11.25" customHeight="1" x14ac:dyDescent="0.2">
      <c r="A2101" s="120">
        <v>2023</v>
      </c>
      <c r="B2101" s="120">
        <v>10</v>
      </c>
      <c r="C2101" s="120">
        <v>9</v>
      </c>
      <c r="D2101" s="208">
        <f t="shared" si="157"/>
        <v>45208</v>
      </c>
      <c r="E2101" s="209">
        <f t="shared" si="161"/>
        <v>45208</v>
      </c>
      <c r="F2101" s="515"/>
      <c r="G2101" s="132" t="s">
        <v>1209</v>
      </c>
      <c r="I2101" s="128" t="s">
        <v>389</v>
      </c>
      <c r="J2101" s="120" t="s">
        <v>16</v>
      </c>
      <c r="K2101" s="207"/>
      <c r="L2101" s="207">
        <v>1426940</v>
      </c>
    </row>
    <row r="2102" spans="1:14" ht="11.25" customHeight="1" x14ac:dyDescent="0.2">
      <c r="A2102" s="191">
        <v>2023</v>
      </c>
      <c r="B2102" s="191">
        <v>10</v>
      </c>
      <c r="C2102" s="191">
        <v>9</v>
      </c>
      <c r="D2102" s="192">
        <f t="shared" si="157"/>
        <v>45208</v>
      </c>
      <c r="E2102" s="193">
        <f t="shared" si="161"/>
        <v>45208</v>
      </c>
      <c r="F2102" s="514"/>
      <c r="G2102" s="194" t="s">
        <v>1209</v>
      </c>
      <c r="H2102" s="195"/>
      <c r="I2102" s="195" t="s">
        <v>389</v>
      </c>
      <c r="J2102" s="191" t="s">
        <v>47</v>
      </c>
      <c r="K2102" s="196"/>
      <c r="L2102" s="196">
        <v>73060</v>
      </c>
    </row>
    <row r="2103" spans="1:14" ht="11.25" customHeight="1" x14ac:dyDescent="0.2">
      <c r="A2103" s="197">
        <v>2023</v>
      </c>
      <c r="B2103" s="197">
        <v>10</v>
      </c>
      <c r="C2103" s="197">
        <v>9</v>
      </c>
      <c r="D2103" s="198">
        <f t="shared" si="157"/>
        <v>45208</v>
      </c>
      <c r="E2103" s="199">
        <f>DATE(A2103,B2103,C2103)</f>
        <v>45208</v>
      </c>
      <c r="F2103" s="513" t="s">
        <v>1323</v>
      </c>
      <c r="G2103" s="200" t="s">
        <v>1209</v>
      </c>
      <c r="H2103" s="201"/>
      <c r="I2103" s="201"/>
      <c r="J2103" s="197" t="s">
        <v>54</v>
      </c>
      <c r="K2103" s="202">
        <v>60</v>
      </c>
      <c r="L2103" s="202"/>
    </row>
    <row r="2104" spans="1:14" ht="11.25" customHeight="1" x14ac:dyDescent="0.2">
      <c r="A2104" s="191">
        <v>2023</v>
      </c>
      <c r="B2104" s="191">
        <v>10</v>
      </c>
      <c r="C2104" s="191">
        <v>9</v>
      </c>
      <c r="D2104" s="192">
        <f t="shared" si="157"/>
        <v>45208</v>
      </c>
      <c r="E2104" s="193">
        <f>DATE(A2104,B2104,C2104)</f>
        <v>45208</v>
      </c>
      <c r="F2104" s="514"/>
      <c r="G2104" s="194" t="s">
        <v>1209</v>
      </c>
      <c r="H2104" s="195"/>
      <c r="I2104" s="195"/>
      <c r="J2104" s="191" t="s">
        <v>46</v>
      </c>
      <c r="K2104" s="196"/>
      <c r="L2104" s="196">
        <v>60</v>
      </c>
    </row>
    <row r="2105" spans="1:14" ht="11.25" customHeight="1" x14ac:dyDescent="0.2">
      <c r="A2105" s="197">
        <v>2023</v>
      </c>
      <c r="B2105" s="197">
        <v>10</v>
      </c>
      <c r="C2105" s="197">
        <v>9</v>
      </c>
      <c r="D2105" s="198">
        <f t="shared" si="157"/>
        <v>45208</v>
      </c>
      <c r="E2105" s="199">
        <f t="shared" ref="E2105:E2112" si="162">DATE(A2105,B2105,C2105)</f>
        <v>45208</v>
      </c>
      <c r="F2105" s="513" t="s">
        <v>1457</v>
      </c>
      <c r="G2105" s="200" t="s">
        <v>1209</v>
      </c>
      <c r="H2105" s="201"/>
      <c r="I2105" s="201" t="s">
        <v>1253</v>
      </c>
      <c r="J2105" s="197" t="s">
        <v>46</v>
      </c>
      <c r="K2105" s="202">
        <v>4078644.28</v>
      </c>
      <c r="L2105" s="202"/>
    </row>
    <row r="2106" spans="1:14" ht="11.25" customHeight="1" x14ac:dyDescent="0.2">
      <c r="A2106" s="120">
        <v>2023</v>
      </c>
      <c r="B2106" s="120">
        <v>10</v>
      </c>
      <c r="C2106" s="120">
        <v>9</v>
      </c>
      <c r="D2106" s="208">
        <f t="shared" si="157"/>
        <v>45208</v>
      </c>
      <c r="E2106" s="209">
        <f t="shared" si="162"/>
        <v>45208</v>
      </c>
      <c r="F2106" s="515"/>
      <c r="G2106" s="132" t="s">
        <v>1209</v>
      </c>
      <c r="J2106" s="120" t="s">
        <v>1476</v>
      </c>
      <c r="K2106" s="207">
        <v>3547.76</v>
      </c>
      <c r="L2106" s="207"/>
    </row>
    <row r="2107" spans="1:14" ht="11.25" customHeight="1" x14ac:dyDescent="0.2">
      <c r="A2107" s="120">
        <v>2023</v>
      </c>
      <c r="B2107" s="120">
        <v>10</v>
      </c>
      <c r="C2107" s="120">
        <v>9</v>
      </c>
      <c r="D2107" s="208">
        <f t="shared" si="157"/>
        <v>45208</v>
      </c>
      <c r="E2107" s="209">
        <f>DATE(A2107,B2107,C2107)</f>
        <v>45208</v>
      </c>
      <c r="F2107" s="515"/>
      <c r="G2107" s="132" t="s">
        <v>1209</v>
      </c>
      <c r="J2107" s="120" t="s">
        <v>153</v>
      </c>
      <c r="K2107" s="207"/>
      <c r="L2107" s="207">
        <v>3547.76</v>
      </c>
    </row>
    <row r="2108" spans="1:14" ht="11.25" customHeight="1" x14ac:dyDescent="0.2">
      <c r="A2108" s="120">
        <v>2023</v>
      </c>
      <c r="B2108" s="120">
        <v>10</v>
      </c>
      <c r="C2108" s="120">
        <v>9</v>
      </c>
      <c r="D2108" s="208">
        <f t="shared" si="157"/>
        <v>45208</v>
      </c>
      <c r="E2108" s="209">
        <f>DATE(A2108,B2108,C2108)</f>
        <v>45208</v>
      </c>
      <c r="F2108" s="515"/>
      <c r="G2108" s="132" t="s">
        <v>1209</v>
      </c>
      <c r="J2108" s="120" t="s">
        <v>1476</v>
      </c>
      <c r="K2108" s="207"/>
      <c r="L2108" s="207">
        <v>3547.76</v>
      </c>
    </row>
    <row r="2109" spans="1:14" ht="11.25" customHeight="1" x14ac:dyDescent="0.2">
      <c r="A2109" s="120">
        <v>2023</v>
      </c>
      <c r="B2109" s="120">
        <v>10</v>
      </c>
      <c r="C2109" s="120">
        <v>9</v>
      </c>
      <c r="D2109" s="208">
        <f t="shared" si="157"/>
        <v>45208</v>
      </c>
      <c r="E2109" s="209">
        <f t="shared" si="162"/>
        <v>45208</v>
      </c>
      <c r="F2109" s="515"/>
      <c r="G2109" s="132" t="s">
        <v>1209</v>
      </c>
      <c r="J2109" s="120" t="s">
        <v>1476</v>
      </c>
      <c r="K2109" s="207"/>
      <c r="L2109" s="207">
        <v>54526.760000000242</v>
      </c>
    </row>
    <row r="2110" spans="1:14" ht="11.25" customHeight="1" x14ac:dyDescent="0.2">
      <c r="A2110" s="191">
        <v>2023</v>
      </c>
      <c r="B2110" s="191">
        <v>10</v>
      </c>
      <c r="C2110" s="191">
        <v>9</v>
      </c>
      <c r="D2110" s="192">
        <f t="shared" si="157"/>
        <v>45208</v>
      </c>
      <c r="E2110" s="193">
        <f t="shared" si="162"/>
        <v>45208</v>
      </c>
      <c r="F2110" s="514"/>
      <c r="G2110" s="194" t="s">
        <v>1209</v>
      </c>
      <c r="H2110" s="195"/>
      <c r="I2110" s="195" t="s">
        <v>1253</v>
      </c>
      <c r="J2110" s="191" t="s">
        <v>1475</v>
      </c>
      <c r="K2110" s="196"/>
      <c r="L2110" s="196">
        <v>4020569.76</v>
      </c>
      <c r="N2110" s="130"/>
    </row>
    <row r="2111" spans="1:14" ht="11.25" customHeight="1" x14ac:dyDescent="0.2">
      <c r="A2111" s="197">
        <v>2023</v>
      </c>
      <c r="B2111" s="197">
        <v>10</v>
      </c>
      <c r="C2111" s="197">
        <v>9</v>
      </c>
      <c r="D2111" s="198">
        <f t="shared" si="157"/>
        <v>45208</v>
      </c>
      <c r="E2111" s="199">
        <f t="shared" si="162"/>
        <v>45208</v>
      </c>
      <c r="F2111" s="513" t="s">
        <v>1440</v>
      </c>
      <c r="G2111" s="200" t="s">
        <v>1209</v>
      </c>
      <c r="H2111" s="201"/>
      <c r="I2111" s="201" t="s">
        <v>1253</v>
      </c>
      <c r="J2111" s="197" t="s">
        <v>1475</v>
      </c>
      <c r="K2111" s="202">
        <v>3228724.92</v>
      </c>
      <c r="L2111" s="202"/>
    </row>
    <row r="2112" spans="1:14" ht="11.25" customHeight="1" x14ac:dyDescent="0.2">
      <c r="A2112" s="191">
        <v>2023</v>
      </c>
      <c r="B2112" s="191">
        <v>10</v>
      </c>
      <c r="C2112" s="191">
        <v>9</v>
      </c>
      <c r="D2112" s="192">
        <f t="shared" si="157"/>
        <v>45208</v>
      </c>
      <c r="E2112" s="193">
        <f t="shared" si="162"/>
        <v>45208</v>
      </c>
      <c r="F2112" s="514"/>
      <c r="G2112" s="194" t="s">
        <v>1209</v>
      </c>
      <c r="H2112" s="195"/>
      <c r="I2112" s="195" t="s">
        <v>1253</v>
      </c>
      <c r="J2112" s="191" t="s">
        <v>46</v>
      </c>
      <c r="K2112" s="196"/>
      <c r="L2112" s="196">
        <v>3228724.92</v>
      </c>
      <c r="N2112" s="130"/>
    </row>
    <row r="2113" spans="1:14" ht="11.25" customHeight="1" x14ac:dyDescent="0.2">
      <c r="A2113" s="197">
        <v>2023</v>
      </c>
      <c r="B2113" s="197">
        <v>10</v>
      </c>
      <c r="C2113" s="197">
        <v>9</v>
      </c>
      <c r="D2113" s="198">
        <f t="shared" si="157"/>
        <v>45208</v>
      </c>
      <c r="E2113" s="199">
        <f t="shared" ref="E2113:E2132" si="163">DATE(A2113,B2113,C2113)</f>
        <v>45208</v>
      </c>
      <c r="F2113" s="513" t="s">
        <v>1439</v>
      </c>
      <c r="G2113" s="200" t="s">
        <v>1209</v>
      </c>
      <c r="H2113" s="201"/>
      <c r="I2113" s="201" t="s">
        <v>1253</v>
      </c>
      <c r="J2113" s="197" t="s">
        <v>46</v>
      </c>
      <c r="K2113" s="202">
        <v>4679707.5</v>
      </c>
      <c r="L2113" s="202"/>
    </row>
    <row r="2114" spans="1:14" ht="11.25" customHeight="1" x14ac:dyDescent="0.2">
      <c r="A2114" s="120">
        <v>2023</v>
      </c>
      <c r="B2114" s="120">
        <v>10</v>
      </c>
      <c r="C2114" s="120">
        <v>9</v>
      </c>
      <c r="D2114" s="208">
        <f t="shared" si="157"/>
        <v>45208</v>
      </c>
      <c r="E2114" s="209">
        <f t="shared" si="163"/>
        <v>45208</v>
      </c>
      <c r="F2114" s="515"/>
      <c r="G2114" s="132" t="s">
        <v>1209</v>
      </c>
      <c r="J2114" s="120" t="s">
        <v>1476</v>
      </c>
      <c r="K2114" s="207"/>
      <c r="L2114" s="207">
        <v>62505.900000000373</v>
      </c>
    </row>
    <row r="2115" spans="1:14" ht="11.25" customHeight="1" x14ac:dyDescent="0.2">
      <c r="A2115" s="191">
        <v>2023</v>
      </c>
      <c r="B2115" s="191">
        <v>10</v>
      </c>
      <c r="C2115" s="191">
        <v>9</v>
      </c>
      <c r="D2115" s="192">
        <f t="shared" si="157"/>
        <v>45208</v>
      </c>
      <c r="E2115" s="193">
        <f t="shared" si="163"/>
        <v>45208</v>
      </c>
      <c r="F2115" s="514"/>
      <c r="G2115" s="194" t="s">
        <v>1209</v>
      </c>
      <c r="H2115" s="195"/>
      <c r="I2115" s="195" t="s">
        <v>1253</v>
      </c>
      <c r="J2115" s="191" t="s">
        <v>1475</v>
      </c>
      <c r="K2115" s="196"/>
      <c r="L2115" s="196">
        <v>4617201.5999999996</v>
      </c>
      <c r="N2115" s="130"/>
    </row>
    <row r="2116" spans="1:14" ht="11.25" customHeight="1" x14ac:dyDescent="0.2">
      <c r="A2116" s="197">
        <v>2023</v>
      </c>
      <c r="B2116" s="197">
        <v>10</v>
      </c>
      <c r="C2116" s="197">
        <v>10</v>
      </c>
      <c r="D2116" s="198">
        <f t="shared" si="157"/>
        <v>45209</v>
      </c>
      <c r="E2116" s="209">
        <f t="shared" si="163"/>
        <v>45209</v>
      </c>
      <c r="F2116" s="513" t="s">
        <v>1280</v>
      </c>
      <c r="G2116" s="200" t="s">
        <v>1209</v>
      </c>
      <c r="H2116" s="201"/>
      <c r="I2116" s="201" t="s">
        <v>1333</v>
      </c>
      <c r="J2116" s="197" t="s">
        <v>16</v>
      </c>
      <c r="K2116" s="202">
        <v>390090</v>
      </c>
      <c r="L2116" s="202"/>
    </row>
    <row r="2117" spans="1:14" ht="11.25" customHeight="1" x14ac:dyDescent="0.2">
      <c r="A2117" s="120">
        <v>2023</v>
      </c>
      <c r="B2117" s="120">
        <v>10</v>
      </c>
      <c r="C2117" s="120">
        <v>10</v>
      </c>
      <c r="D2117" s="208">
        <f t="shared" si="157"/>
        <v>45209</v>
      </c>
      <c r="E2117" s="209">
        <f t="shared" si="163"/>
        <v>45209</v>
      </c>
      <c r="F2117" s="515"/>
      <c r="G2117" s="132" t="s">
        <v>1209</v>
      </c>
      <c r="I2117" s="128" t="s">
        <v>1333</v>
      </c>
      <c r="J2117" s="120" t="s">
        <v>47</v>
      </c>
      <c r="K2117" s="207">
        <v>19972.609999999986</v>
      </c>
      <c r="L2117" s="207"/>
    </row>
    <row r="2118" spans="1:14" ht="11.25" customHeight="1" x14ac:dyDescent="0.2">
      <c r="A2118" s="191">
        <v>2023</v>
      </c>
      <c r="B2118" s="191">
        <v>10</v>
      </c>
      <c r="C2118" s="191">
        <v>10</v>
      </c>
      <c r="D2118" s="192">
        <f t="shared" si="157"/>
        <v>45209</v>
      </c>
      <c r="E2118" s="193">
        <f t="shared" si="163"/>
        <v>45209</v>
      </c>
      <c r="F2118" s="514"/>
      <c r="G2118" s="194" t="s">
        <v>1209</v>
      </c>
      <c r="H2118" s="195"/>
      <c r="I2118" s="195" t="s">
        <v>1333</v>
      </c>
      <c r="J2118" s="191" t="s">
        <v>46</v>
      </c>
      <c r="K2118" s="196"/>
      <c r="L2118" s="196">
        <v>410062.61</v>
      </c>
    </row>
    <row r="2119" spans="1:14" ht="11.25" customHeight="1" x14ac:dyDescent="0.2">
      <c r="A2119" s="197">
        <v>2023</v>
      </c>
      <c r="B2119" s="197">
        <v>10</v>
      </c>
      <c r="C2119" s="197">
        <v>10</v>
      </c>
      <c r="D2119" s="198">
        <f t="shared" si="157"/>
        <v>45209</v>
      </c>
      <c r="E2119" s="199">
        <f t="shared" si="163"/>
        <v>45209</v>
      </c>
      <c r="F2119" s="513" t="s">
        <v>1323</v>
      </c>
      <c r="G2119" s="200" t="s">
        <v>1209</v>
      </c>
      <c r="H2119" s="201"/>
      <c r="I2119" s="201"/>
      <c r="J2119" s="197" t="s">
        <v>54</v>
      </c>
      <c r="K2119" s="202">
        <v>100</v>
      </c>
      <c r="L2119" s="202"/>
    </row>
    <row r="2120" spans="1:14" ht="11.25" customHeight="1" x14ac:dyDescent="0.2">
      <c r="A2120" s="191">
        <v>2023</v>
      </c>
      <c r="B2120" s="191">
        <v>10</v>
      </c>
      <c r="C2120" s="191">
        <v>10</v>
      </c>
      <c r="D2120" s="192">
        <f t="shared" si="157"/>
        <v>45209</v>
      </c>
      <c r="E2120" s="193">
        <f t="shared" si="163"/>
        <v>45209</v>
      </c>
      <c r="F2120" s="514"/>
      <c r="G2120" s="194" t="s">
        <v>1209</v>
      </c>
      <c r="H2120" s="195"/>
      <c r="I2120" s="195"/>
      <c r="J2120" s="191" t="s">
        <v>46</v>
      </c>
      <c r="K2120" s="196"/>
      <c r="L2120" s="196">
        <v>100</v>
      </c>
    </row>
    <row r="2121" spans="1:14" ht="11.25" customHeight="1" x14ac:dyDescent="0.2">
      <c r="A2121" s="197">
        <v>2023</v>
      </c>
      <c r="B2121" s="197">
        <v>10</v>
      </c>
      <c r="C2121" s="197">
        <v>10</v>
      </c>
      <c r="D2121" s="198">
        <f t="shared" ref="D2121:D2182" si="164">DATE(A2121,B2121,C2121)</f>
        <v>45209</v>
      </c>
      <c r="E2121" s="209">
        <f t="shared" si="163"/>
        <v>45209</v>
      </c>
      <c r="F2121" s="513" t="s">
        <v>1210</v>
      </c>
      <c r="G2121" s="200" t="s">
        <v>1209</v>
      </c>
      <c r="H2121" s="201"/>
      <c r="I2121" s="201" t="s">
        <v>384</v>
      </c>
      <c r="J2121" s="197" t="s">
        <v>46</v>
      </c>
      <c r="K2121" s="202">
        <v>1200000</v>
      </c>
      <c r="L2121" s="202"/>
    </row>
    <row r="2122" spans="1:14" ht="11.25" customHeight="1" x14ac:dyDescent="0.2">
      <c r="A2122" s="120">
        <v>2023</v>
      </c>
      <c r="B2122" s="120">
        <v>10</v>
      </c>
      <c r="C2122" s="120">
        <v>10</v>
      </c>
      <c r="D2122" s="208">
        <f t="shared" si="164"/>
        <v>45209</v>
      </c>
      <c r="E2122" s="209">
        <f t="shared" si="163"/>
        <v>45209</v>
      </c>
      <c r="F2122" s="515"/>
      <c r="G2122" s="132" t="s">
        <v>1209</v>
      </c>
      <c r="I2122" s="128" t="s">
        <v>384</v>
      </c>
      <c r="J2122" s="120" t="s">
        <v>16</v>
      </c>
      <c r="K2122" s="207"/>
      <c r="L2122" s="207">
        <v>1141550</v>
      </c>
    </row>
    <row r="2123" spans="1:14" ht="11.25" customHeight="1" x14ac:dyDescent="0.2">
      <c r="A2123" s="191">
        <v>2023</v>
      </c>
      <c r="B2123" s="191">
        <v>10</v>
      </c>
      <c r="C2123" s="191">
        <v>10</v>
      </c>
      <c r="D2123" s="192">
        <f t="shared" si="164"/>
        <v>45209</v>
      </c>
      <c r="E2123" s="193">
        <f t="shared" si="163"/>
        <v>45209</v>
      </c>
      <c r="F2123" s="514"/>
      <c r="G2123" s="194" t="s">
        <v>1209</v>
      </c>
      <c r="H2123" s="195"/>
      <c r="I2123" s="195" t="s">
        <v>384</v>
      </c>
      <c r="J2123" s="191" t="s">
        <v>47</v>
      </c>
      <c r="K2123" s="196"/>
      <c r="L2123" s="196">
        <v>58450</v>
      </c>
    </row>
    <row r="2124" spans="1:14" ht="11.25" customHeight="1" x14ac:dyDescent="0.2">
      <c r="A2124" s="197">
        <v>2023</v>
      </c>
      <c r="B2124" s="197">
        <v>10</v>
      </c>
      <c r="C2124" s="197">
        <v>10</v>
      </c>
      <c r="D2124" s="198">
        <f t="shared" si="164"/>
        <v>45209</v>
      </c>
      <c r="E2124" s="199">
        <f t="shared" si="163"/>
        <v>45209</v>
      </c>
      <c r="F2124" s="513" t="s">
        <v>1323</v>
      </c>
      <c r="G2124" s="200" t="s">
        <v>1209</v>
      </c>
      <c r="H2124" s="201"/>
      <c r="I2124" s="201"/>
      <c r="J2124" s="197" t="s">
        <v>54</v>
      </c>
      <c r="K2124" s="202">
        <v>60</v>
      </c>
      <c r="L2124" s="202"/>
    </row>
    <row r="2125" spans="1:14" ht="11.25" customHeight="1" x14ac:dyDescent="0.2">
      <c r="A2125" s="191">
        <v>2023</v>
      </c>
      <c r="B2125" s="191">
        <v>10</v>
      </c>
      <c r="C2125" s="191">
        <v>10</v>
      </c>
      <c r="D2125" s="192">
        <f t="shared" si="164"/>
        <v>45209</v>
      </c>
      <c r="E2125" s="193">
        <f t="shared" si="163"/>
        <v>45209</v>
      </c>
      <c r="F2125" s="514"/>
      <c r="G2125" s="194" t="s">
        <v>1209</v>
      </c>
      <c r="H2125" s="195"/>
      <c r="I2125" s="195"/>
      <c r="J2125" s="191" t="s">
        <v>46</v>
      </c>
      <c r="K2125" s="196"/>
      <c r="L2125" s="196">
        <v>60</v>
      </c>
    </row>
    <row r="2126" spans="1:14" ht="11.25" customHeight="1" x14ac:dyDescent="0.2">
      <c r="A2126" s="197">
        <v>2023</v>
      </c>
      <c r="B2126" s="197">
        <v>10</v>
      </c>
      <c r="C2126" s="197">
        <v>10</v>
      </c>
      <c r="D2126" s="198">
        <f t="shared" si="164"/>
        <v>45209</v>
      </c>
      <c r="E2126" s="199">
        <f t="shared" si="163"/>
        <v>45209</v>
      </c>
      <c r="F2126" s="513" t="s">
        <v>1454</v>
      </c>
      <c r="G2126" s="200" t="s">
        <v>1209</v>
      </c>
      <c r="H2126" s="201"/>
      <c r="I2126" s="201" t="s">
        <v>1253</v>
      </c>
      <c r="J2126" s="197" t="s">
        <v>1455</v>
      </c>
      <c r="K2126" s="202">
        <v>4775500</v>
      </c>
      <c r="L2126" s="202"/>
    </row>
    <row r="2127" spans="1:14" ht="11.25" customHeight="1" x14ac:dyDescent="0.2">
      <c r="A2127" s="191">
        <v>2023</v>
      </c>
      <c r="B2127" s="191">
        <v>10</v>
      </c>
      <c r="C2127" s="191">
        <v>10</v>
      </c>
      <c r="D2127" s="192">
        <f t="shared" si="164"/>
        <v>45209</v>
      </c>
      <c r="E2127" s="193">
        <f t="shared" si="163"/>
        <v>45209</v>
      </c>
      <c r="F2127" s="514"/>
      <c r="G2127" s="194" t="s">
        <v>1209</v>
      </c>
      <c r="H2127" s="195"/>
      <c r="I2127" s="195" t="s">
        <v>1253</v>
      </c>
      <c r="J2127" s="191" t="s">
        <v>46</v>
      </c>
      <c r="K2127" s="196"/>
      <c r="L2127" s="196">
        <v>4775500</v>
      </c>
      <c r="N2127" s="130"/>
    </row>
    <row r="2128" spans="1:14" ht="11.25" customHeight="1" x14ac:dyDescent="0.2">
      <c r="A2128" s="197">
        <v>2023</v>
      </c>
      <c r="B2128" s="197">
        <v>10</v>
      </c>
      <c r="C2128" s="197">
        <v>12</v>
      </c>
      <c r="D2128" s="198">
        <f t="shared" si="164"/>
        <v>45211</v>
      </c>
      <c r="E2128" s="209">
        <f t="shared" si="163"/>
        <v>45211</v>
      </c>
      <c r="F2128" s="513" t="s">
        <v>1210</v>
      </c>
      <c r="G2128" s="200" t="s">
        <v>1209</v>
      </c>
      <c r="H2128" s="201"/>
      <c r="I2128" s="201" t="s">
        <v>384</v>
      </c>
      <c r="J2128" s="197" t="s">
        <v>46</v>
      </c>
      <c r="K2128" s="202">
        <v>200000</v>
      </c>
      <c r="L2128" s="202"/>
    </row>
    <row r="2129" spans="1:12" ht="11.25" customHeight="1" x14ac:dyDescent="0.2">
      <c r="A2129" s="120">
        <v>2023</v>
      </c>
      <c r="B2129" s="120">
        <v>10</v>
      </c>
      <c r="C2129" s="120">
        <v>12</v>
      </c>
      <c r="D2129" s="208">
        <f t="shared" si="164"/>
        <v>45211</v>
      </c>
      <c r="E2129" s="209">
        <f t="shared" si="163"/>
        <v>45211</v>
      </c>
      <c r="F2129" s="515"/>
      <c r="G2129" s="132" t="s">
        <v>1209</v>
      </c>
      <c r="I2129" s="128" t="s">
        <v>384</v>
      </c>
      <c r="J2129" s="120" t="s">
        <v>16</v>
      </c>
      <c r="K2129" s="207"/>
      <c r="L2129" s="207">
        <v>190260</v>
      </c>
    </row>
    <row r="2130" spans="1:12" ht="11.25" customHeight="1" x14ac:dyDescent="0.2">
      <c r="A2130" s="191">
        <v>2023</v>
      </c>
      <c r="B2130" s="191">
        <v>10</v>
      </c>
      <c r="C2130" s="191">
        <v>12</v>
      </c>
      <c r="D2130" s="192">
        <f t="shared" si="164"/>
        <v>45211</v>
      </c>
      <c r="E2130" s="193">
        <f t="shared" si="163"/>
        <v>45211</v>
      </c>
      <c r="F2130" s="514"/>
      <c r="G2130" s="194" t="s">
        <v>1209</v>
      </c>
      <c r="H2130" s="195"/>
      <c r="I2130" s="195" t="s">
        <v>384</v>
      </c>
      <c r="J2130" s="191" t="s">
        <v>47</v>
      </c>
      <c r="K2130" s="196"/>
      <c r="L2130" s="196">
        <v>9740</v>
      </c>
    </row>
    <row r="2131" spans="1:12" ht="11.25" customHeight="1" x14ac:dyDescent="0.2">
      <c r="A2131" s="197">
        <v>2023</v>
      </c>
      <c r="B2131" s="197">
        <v>10</v>
      </c>
      <c r="C2131" s="197">
        <v>12</v>
      </c>
      <c r="D2131" s="198">
        <f t="shared" si="164"/>
        <v>45211</v>
      </c>
      <c r="E2131" s="199">
        <f t="shared" si="163"/>
        <v>45211</v>
      </c>
      <c r="F2131" s="513" t="s">
        <v>1323</v>
      </c>
      <c r="G2131" s="200" t="s">
        <v>1209</v>
      </c>
      <c r="H2131" s="201"/>
      <c r="I2131" s="201"/>
      <c r="J2131" s="197" t="s">
        <v>54</v>
      </c>
      <c r="K2131" s="202">
        <v>10</v>
      </c>
      <c r="L2131" s="202"/>
    </row>
    <row r="2132" spans="1:12" ht="11.25" customHeight="1" x14ac:dyDescent="0.2">
      <c r="A2132" s="191">
        <v>2023</v>
      </c>
      <c r="B2132" s="191">
        <v>10</v>
      </c>
      <c r="C2132" s="191">
        <v>12</v>
      </c>
      <c r="D2132" s="192">
        <f t="shared" si="164"/>
        <v>45211</v>
      </c>
      <c r="E2132" s="193">
        <f t="shared" si="163"/>
        <v>45211</v>
      </c>
      <c r="F2132" s="514"/>
      <c r="G2132" s="194" t="s">
        <v>1209</v>
      </c>
      <c r="H2132" s="195"/>
      <c r="I2132" s="195"/>
      <c r="J2132" s="191" t="s">
        <v>46</v>
      </c>
      <c r="K2132" s="196"/>
      <c r="L2132" s="196">
        <v>10</v>
      </c>
    </row>
    <row r="2133" spans="1:12" ht="11.25" customHeight="1" x14ac:dyDescent="0.2">
      <c r="A2133" s="210">
        <v>2023</v>
      </c>
      <c r="B2133" s="210">
        <v>10</v>
      </c>
      <c r="C2133" s="210">
        <v>12</v>
      </c>
      <c r="D2133" s="211">
        <f t="shared" si="164"/>
        <v>45211</v>
      </c>
      <c r="E2133" s="238">
        <f t="shared" ref="E2133:E2148" si="165">DATE(A2133,B2133,C2133)</f>
        <v>45211</v>
      </c>
      <c r="F2133" s="520" t="s">
        <v>1278</v>
      </c>
      <c r="G2133" s="213" t="s">
        <v>1245</v>
      </c>
      <c r="H2133" s="214"/>
      <c r="I2133" s="214" t="s">
        <v>1253</v>
      </c>
      <c r="J2133" s="210" t="s">
        <v>1529</v>
      </c>
      <c r="K2133" s="215">
        <v>6512.28</v>
      </c>
      <c r="L2133" s="215"/>
    </row>
    <row r="2134" spans="1:12" ht="11.25" customHeight="1" x14ac:dyDescent="0.2">
      <c r="A2134" s="216">
        <v>2023</v>
      </c>
      <c r="B2134" s="216">
        <v>10</v>
      </c>
      <c r="C2134" s="216">
        <v>12</v>
      </c>
      <c r="D2134" s="217">
        <f t="shared" si="164"/>
        <v>45211</v>
      </c>
      <c r="E2134" s="239">
        <f t="shared" si="165"/>
        <v>45211</v>
      </c>
      <c r="F2134" s="521"/>
      <c r="G2134" s="219" t="s">
        <v>1245</v>
      </c>
      <c r="H2134" s="220"/>
      <c r="I2134" s="220" t="s">
        <v>1253</v>
      </c>
      <c r="J2134" s="216" t="s">
        <v>1581</v>
      </c>
      <c r="K2134" s="221"/>
      <c r="L2134" s="221">
        <v>6512.28</v>
      </c>
    </row>
    <row r="2135" spans="1:12" ht="11.25" customHeight="1" x14ac:dyDescent="0.2">
      <c r="A2135" s="210">
        <v>2023</v>
      </c>
      <c r="B2135" s="210">
        <v>10</v>
      </c>
      <c r="C2135" s="210">
        <v>12</v>
      </c>
      <c r="D2135" s="211">
        <f t="shared" si="164"/>
        <v>45211</v>
      </c>
      <c r="E2135" s="238">
        <f t="shared" si="165"/>
        <v>45211</v>
      </c>
      <c r="F2135" s="520" t="s">
        <v>1285</v>
      </c>
      <c r="G2135" s="213" t="s">
        <v>1245</v>
      </c>
      <c r="H2135" s="214"/>
      <c r="I2135" s="214" t="s">
        <v>1253</v>
      </c>
      <c r="J2135" s="210" t="s">
        <v>1284</v>
      </c>
      <c r="K2135" s="215">
        <v>13771.15</v>
      </c>
      <c r="L2135" s="215"/>
    </row>
    <row r="2136" spans="1:12" ht="11.25" customHeight="1" x14ac:dyDescent="0.2">
      <c r="A2136" s="242">
        <v>2023</v>
      </c>
      <c r="B2136" s="216">
        <v>10</v>
      </c>
      <c r="C2136" s="216">
        <v>12</v>
      </c>
      <c r="D2136" s="243">
        <f t="shared" si="164"/>
        <v>45211</v>
      </c>
      <c r="E2136" s="244">
        <f>DATE(A2136,B2136,C2136)</f>
        <v>45211</v>
      </c>
      <c r="F2136" s="524"/>
      <c r="G2136" s="245" t="s">
        <v>1245</v>
      </c>
      <c r="H2136" s="246"/>
      <c r="I2136" s="246"/>
      <c r="J2136" s="242" t="s">
        <v>1582</v>
      </c>
      <c r="K2136" s="247"/>
      <c r="L2136" s="247">
        <v>13771.15</v>
      </c>
    </row>
    <row r="2137" spans="1:12" ht="11.25" customHeight="1" x14ac:dyDescent="0.2">
      <c r="A2137" s="210">
        <v>2023</v>
      </c>
      <c r="B2137" s="210">
        <v>10</v>
      </c>
      <c r="C2137" s="210">
        <v>12</v>
      </c>
      <c r="D2137" s="211">
        <f t="shared" si="164"/>
        <v>45211</v>
      </c>
      <c r="E2137" s="238">
        <f t="shared" si="165"/>
        <v>45211</v>
      </c>
      <c r="F2137" s="520" t="s">
        <v>1259</v>
      </c>
      <c r="G2137" s="213" t="s">
        <v>1245</v>
      </c>
      <c r="H2137" s="214"/>
      <c r="I2137" s="214" t="s">
        <v>1253</v>
      </c>
      <c r="J2137" s="210" t="s">
        <v>58</v>
      </c>
      <c r="K2137" s="215">
        <v>9270.16</v>
      </c>
      <c r="L2137" s="215"/>
    </row>
    <row r="2138" spans="1:12" ht="11.25" customHeight="1" x14ac:dyDescent="0.2">
      <c r="A2138" s="216">
        <v>2023</v>
      </c>
      <c r="B2138" s="216">
        <v>10</v>
      </c>
      <c r="C2138" s="216">
        <v>12</v>
      </c>
      <c r="D2138" s="217">
        <f t="shared" si="164"/>
        <v>45211</v>
      </c>
      <c r="E2138" s="239">
        <f t="shared" si="165"/>
        <v>45211</v>
      </c>
      <c r="F2138" s="521"/>
      <c r="G2138" s="219" t="s">
        <v>1245</v>
      </c>
      <c r="H2138" s="220"/>
      <c r="I2138" s="220" t="s">
        <v>1253</v>
      </c>
      <c r="J2138" s="216" t="s">
        <v>153</v>
      </c>
      <c r="K2138" s="221"/>
      <c r="L2138" s="221">
        <v>9270.16</v>
      </c>
    </row>
    <row r="2139" spans="1:12" ht="11.25" customHeight="1" x14ac:dyDescent="0.2">
      <c r="A2139" s="210">
        <v>2023</v>
      </c>
      <c r="B2139" s="210">
        <v>10</v>
      </c>
      <c r="C2139" s="210">
        <v>12</v>
      </c>
      <c r="D2139" s="211">
        <f t="shared" si="164"/>
        <v>45211</v>
      </c>
      <c r="E2139" s="238">
        <f t="shared" si="165"/>
        <v>45211</v>
      </c>
      <c r="F2139" s="520" t="s">
        <v>1255</v>
      </c>
      <c r="G2139" s="213" t="s">
        <v>1245</v>
      </c>
      <c r="H2139" s="214"/>
      <c r="I2139" s="214" t="s">
        <v>1253</v>
      </c>
      <c r="J2139" s="210" t="s">
        <v>113</v>
      </c>
      <c r="K2139" s="215">
        <v>43489.58</v>
      </c>
      <c r="L2139" s="215"/>
    </row>
    <row r="2140" spans="1:12" ht="11.25" customHeight="1" x14ac:dyDescent="0.2">
      <c r="A2140" s="216">
        <v>2023</v>
      </c>
      <c r="B2140" s="216">
        <v>10</v>
      </c>
      <c r="C2140" s="216">
        <v>12</v>
      </c>
      <c r="D2140" s="217">
        <f t="shared" si="164"/>
        <v>45211</v>
      </c>
      <c r="E2140" s="239">
        <f t="shared" si="165"/>
        <v>45211</v>
      </c>
      <c r="F2140" s="521"/>
      <c r="G2140" s="219" t="s">
        <v>1245</v>
      </c>
      <c r="H2140" s="220"/>
      <c r="I2140" s="220" t="s">
        <v>1253</v>
      </c>
      <c r="J2140" s="216" t="s">
        <v>153</v>
      </c>
      <c r="K2140" s="221"/>
      <c r="L2140" s="221">
        <v>43489.58</v>
      </c>
    </row>
    <row r="2141" spans="1:12" ht="11.25" customHeight="1" x14ac:dyDescent="0.2">
      <c r="A2141" s="210">
        <v>2023</v>
      </c>
      <c r="B2141" s="210">
        <v>10</v>
      </c>
      <c r="C2141" s="210">
        <v>12</v>
      </c>
      <c r="D2141" s="211">
        <f t="shared" si="164"/>
        <v>45211</v>
      </c>
      <c r="E2141" s="238">
        <f t="shared" si="165"/>
        <v>45211</v>
      </c>
      <c r="F2141" s="520" t="s">
        <v>1256</v>
      </c>
      <c r="G2141" s="213" t="s">
        <v>1245</v>
      </c>
      <c r="H2141" s="214"/>
      <c r="I2141" s="214" t="s">
        <v>1253</v>
      </c>
      <c r="J2141" s="210" t="s">
        <v>113</v>
      </c>
      <c r="K2141" s="215">
        <v>5925.93</v>
      </c>
      <c r="L2141" s="215"/>
    </row>
    <row r="2142" spans="1:12" ht="11.25" customHeight="1" x14ac:dyDescent="0.2">
      <c r="A2142" s="216">
        <v>2023</v>
      </c>
      <c r="B2142" s="216">
        <v>10</v>
      </c>
      <c r="C2142" s="216">
        <v>12</v>
      </c>
      <c r="D2142" s="217">
        <f t="shared" si="164"/>
        <v>45211</v>
      </c>
      <c r="E2142" s="239">
        <f t="shared" si="165"/>
        <v>45211</v>
      </c>
      <c r="F2142" s="521"/>
      <c r="G2142" s="219" t="s">
        <v>1245</v>
      </c>
      <c r="H2142" s="220"/>
      <c r="I2142" s="220" t="s">
        <v>1253</v>
      </c>
      <c r="J2142" s="216" t="s">
        <v>153</v>
      </c>
      <c r="K2142" s="221"/>
      <c r="L2142" s="221">
        <v>5925.93</v>
      </c>
    </row>
    <row r="2143" spans="1:12" ht="11.25" customHeight="1" x14ac:dyDescent="0.2">
      <c r="A2143" s="210">
        <v>2023</v>
      </c>
      <c r="B2143" s="210">
        <v>10</v>
      </c>
      <c r="C2143" s="210">
        <v>12</v>
      </c>
      <c r="D2143" s="211">
        <f t="shared" si="164"/>
        <v>45211</v>
      </c>
      <c r="E2143" s="238">
        <f t="shared" si="165"/>
        <v>45211</v>
      </c>
      <c r="F2143" s="520" t="s">
        <v>1257</v>
      </c>
      <c r="G2143" s="213" t="s">
        <v>1245</v>
      </c>
      <c r="H2143" s="214"/>
      <c r="I2143" s="214" t="s">
        <v>1253</v>
      </c>
      <c r="J2143" s="210" t="s">
        <v>113</v>
      </c>
      <c r="K2143" s="215">
        <v>30000</v>
      </c>
      <c r="L2143" s="215"/>
    </row>
    <row r="2144" spans="1:12" ht="11.25" customHeight="1" x14ac:dyDescent="0.2">
      <c r="A2144" s="216">
        <v>2023</v>
      </c>
      <c r="B2144" s="216">
        <v>10</v>
      </c>
      <c r="C2144" s="216">
        <v>12</v>
      </c>
      <c r="D2144" s="217">
        <f t="shared" si="164"/>
        <v>45211</v>
      </c>
      <c r="E2144" s="239">
        <f t="shared" si="165"/>
        <v>45211</v>
      </c>
      <c r="F2144" s="521"/>
      <c r="G2144" s="219" t="s">
        <v>1245</v>
      </c>
      <c r="H2144" s="220"/>
      <c r="I2144" s="220" t="s">
        <v>1253</v>
      </c>
      <c r="J2144" s="216" t="s">
        <v>153</v>
      </c>
      <c r="K2144" s="221"/>
      <c r="L2144" s="221">
        <v>30000</v>
      </c>
    </row>
    <row r="2145" spans="1:12" ht="11.25" customHeight="1" x14ac:dyDescent="0.2">
      <c r="A2145" s="259">
        <v>2023</v>
      </c>
      <c r="B2145" s="259">
        <v>10</v>
      </c>
      <c r="C2145" s="259">
        <v>12</v>
      </c>
      <c r="D2145" s="260">
        <f t="shared" si="164"/>
        <v>45211</v>
      </c>
      <c r="E2145" s="261">
        <f t="shared" si="165"/>
        <v>45211</v>
      </c>
      <c r="F2145" s="531" t="s">
        <v>1388</v>
      </c>
      <c r="G2145" s="262" t="s">
        <v>1245</v>
      </c>
      <c r="H2145" s="263"/>
      <c r="I2145" s="263" t="s">
        <v>1253</v>
      </c>
      <c r="J2145" s="259" t="s">
        <v>1476</v>
      </c>
      <c r="K2145" s="264">
        <v>3114.785555555537</v>
      </c>
      <c r="L2145" s="264"/>
    </row>
    <row r="2146" spans="1:12" ht="11.25" customHeight="1" x14ac:dyDescent="0.2">
      <c r="A2146" s="265">
        <v>2023</v>
      </c>
      <c r="B2146" s="265">
        <v>10</v>
      </c>
      <c r="C2146" s="265">
        <v>12</v>
      </c>
      <c r="D2146" s="266">
        <f t="shared" si="164"/>
        <v>45211</v>
      </c>
      <c r="E2146" s="267">
        <f t="shared" si="165"/>
        <v>45211</v>
      </c>
      <c r="F2146" s="532"/>
      <c r="G2146" s="268" t="s">
        <v>1245</v>
      </c>
      <c r="H2146" s="269"/>
      <c r="I2146" s="269" t="s">
        <v>1253</v>
      </c>
      <c r="J2146" s="265" t="s">
        <v>153</v>
      </c>
      <c r="K2146" s="270"/>
      <c r="L2146" s="270">
        <v>3114.785555555537</v>
      </c>
    </row>
    <row r="2147" spans="1:12" ht="11.25" customHeight="1" x14ac:dyDescent="0.2">
      <c r="A2147" s="259">
        <v>2023</v>
      </c>
      <c r="B2147" s="259">
        <v>10</v>
      </c>
      <c r="C2147" s="259">
        <v>12</v>
      </c>
      <c r="D2147" s="260">
        <f t="shared" si="164"/>
        <v>45211</v>
      </c>
      <c r="E2147" s="261">
        <f t="shared" si="165"/>
        <v>45211</v>
      </c>
      <c r="F2147" s="531" t="s">
        <v>1359</v>
      </c>
      <c r="G2147" s="262" t="s">
        <v>1245</v>
      </c>
      <c r="H2147" s="263"/>
      <c r="I2147" s="263" t="s">
        <v>1253</v>
      </c>
      <c r="J2147" s="259" t="s">
        <v>1476</v>
      </c>
      <c r="K2147" s="264">
        <v>8341.8499999999385</v>
      </c>
      <c r="L2147" s="264"/>
    </row>
    <row r="2148" spans="1:12" ht="11.25" customHeight="1" x14ac:dyDescent="0.2">
      <c r="A2148" s="265">
        <v>2023</v>
      </c>
      <c r="B2148" s="265">
        <v>10</v>
      </c>
      <c r="C2148" s="265">
        <v>12</v>
      </c>
      <c r="D2148" s="266">
        <f t="shared" si="164"/>
        <v>45211</v>
      </c>
      <c r="E2148" s="267">
        <f t="shared" si="165"/>
        <v>45211</v>
      </c>
      <c r="F2148" s="532"/>
      <c r="G2148" s="268" t="s">
        <v>1245</v>
      </c>
      <c r="H2148" s="269"/>
      <c r="I2148" s="269" t="s">
        <v>1253</v>
      </c>
      <c r="J2148" s="265" t="s">
        <v>153</v>
      </c>
      <c r="K2148" s="270"/>
      <c r="L2148" s="270">
        <v>8341.8499999999385</v>
      </c>
    </row>
    <row r="2149" spans="1:12" ht="11.25" customHeight="1" x14ac:dyDescent="0.2">
      <c r="A2149" s="259">
        <v>2023</v>
      </c>
      <c r="B2149" s="259">
        <v>10</v>
      </c>
      <c r="C2149" s="259">
        <v>12</v>
      </c>
      <c r="D2149" s="260">
        <f t="shared" si="164"/>
        <v>45211</v>
      </c>
      <c r="E2149" s="261">
        <f t="shared" ref="E2149:E2154" si="166">DATE(A2149,B2149,C2149)</f>
        <v>45211</v>
      </c>
      <c r="F2149" s="531" t="s">
        <v>1442</v>
      </c>
      <c r="G2149" s="262" t="s">
        <v>1245</v>
      </c>
      <c r="H2149" s="263"/>
      <c r="I2149" s="263" t="s">
        <v>1253</v>
      </c>
      <c r="J2149" s="259" t="s">
        <v>1476</v>
      </c>
      <c r="K2149" s="264">
        <v>16921.37777777782</v>
      </c>
      <c r="L2149" s="264"/>
    </row>
    <row r="2150" spans="1:12" ht="11.25" customHeight="1" x14ac:dyDescent="0.2">
      <c r="A2150" s="265">
        <v>2023</v>
      </c>
      <c r="B2150" s="265">
        <v>10</v>
      </c>
      <c r="C2150" s="265">
        <v>12</v>
      </c>
      <c r="D2150" s="266">
        <f t="shared" si="164"/>
        <v>45211</v>
      </c>
      <c r="E2150" s="267">
        <f t="shared" si="166"/>
        <v>45211</v>
      </c>
      <c r="F2150" s="532"/>
      <c r="G2150" s="268" t="s">
        <v>1245</v>
      </c>
      <c r="H2150" s="269"/>
      <c r="I2150" s="269" t="s">
        <v>1253</v>
      </c>
      <c r="J2150" s="265" t="s">
        <v>153</v>
      </c>
      <c r="K2150" s="270"/>
      <c r="L2150" s="270">
        <v>16921.37777777782</v>
      </c>
    </row>
    <row r="2151" spans="1:12" ht="11.25" customHeight="1" x14ac:dyDescent="0.2">
      <c r="A2151" s="259">
        <v>2023</v>
      </c>
      <c r="B2151" s="259">
        <v>10</v>
      </c>
      <c r="C2151" s="259">
        <v>12</v>
      </c>
      <c r="D2151" s="260">
        <f t="shared" si="164"/>
        <v>45211</v>
      </c>
      <c r="E2151" s="261">
        <f t="shared" si="166"/>
        <v>45211</v>
      </c>
      <c r="F2151" s="531" t="s">
        <v>1448</v>
      </c>
      <c r="G2151" s="262" t="s">
        <v>1245</v>
      </c>
      <c r="H2151" s="263"/>
      <c r="I2151" s="263" t="s">
        <v>1253</v>
      </c>
      <c r="J2151" s="259" t="s">
        <v>1476</v>
      </c>
      <c r="K2151" s="264">
        <v>12458.888888888889</v>
      </c>
      <c r="L2151" s="264"/>
    </row>
    <row r="2152" spans="1:12" ht="11.25" customHeight="1" x14ac:dyDescent="0.2">
      <c r="A2152" s="265">
        <v>2023</v>
      </c>
      <c r="B2152" s="265">
        <v>10</v>
      </c>
      <c r="C2152" s="265">
        <v>12</v>
      </c>
      <c r="D2152" s="266">
        <f t="shared" si="164"/>
        <v>45211</v>
      </c>
      <c r="E2152" s="267">
        <f t="shared" si="166"/>
        <v>45211</v>
      </c>
      <c r="F2152" s="532"/>
      <c r="G2152" s="268" t="s">
        <v>1245</v>
      </c>
      <c r="H2152" s="269"/>
      <c r="I2152" s="269" t="s">
        <v>1253</v>
      </c>
      <c r="J2152" s="265" t="s">
        <v>153</v>
      </c>
      <c r="K2152" s="270"/>
      <c r="L2152" s="270">
        <v>12458.888888888889</v>
      </c>
    </row>
    <row r="2153" spans="1:12" ht="11.25" customHeight="1" x14ac:dyDescent="0.2">
      <c r="A2153" s="259">
        <v>2023</v>
      </c>
      <c r="B2153" s="259">
        <v>10</v>
      </c>
      <c r="C2153" s="259">
        <v>12</v>
      </c>
      <c r="D2153" s="260">
        <f t="shared" si="164"/>
        <v>45211</v>
      </c>
      <c r="E2153" s="261">
        <f t="shared" si="166"/>
        <v>45211</v>
      </c>
      <c r="F2153" s="531" t="s">
        <v>1442</v>
      </c>
      <c r="G2153" s="262" t="s">
        <v>1245</v>
      </c>
      <c r="H2153" s="263"/>
      <c r="I2153" s="263" t="s">
        <v>1253</v>
      </c>
      <c r="J2153" s="259" t="s">
        <v>1476</v>
      </c>
      <c r="K2153" s="264">
        <v>5245.7199999999975</v>
      </c>
      <c r="L2153" s="264"/>
    </row>
    <row r="2154" spans="1:12" ht="11.25" customHeight="1" x14ac:dyDescent="0.2">
      <c r="A2154" s="265">
        <v>2023</v>
      </c>
      <c r="B2154" s="265">
        <v>10</v>
      </c>
      <c r="C2154" s="265">
        <v>12</v>
      </c>
      <c r="D2154" s="266">
        <f t="shared" si="164"/>
        <v>45211</v>
      </c>
      <c r="E2154" s="267">
        <f t="shared" si="166"/>
        <v>45211</v>
      </c>
      <c r="F2154" s="532"/>
      <c r="G2154" s="268" t="s">
        <v>1245</v>
      </c>
      <c r="H2154" s="269"/>
      <c r="I2154" s="269" t="s">
        <v>1253</v>
      </c>
      <c r="J2154" s="265" t="s">
        <v>153</v>
      </c>
      <c r="K2154" s="270"/>
      <c r="L2154" s="270">
        <v>5245.7199999999975</v>
      </c>
    </row>
    <row r="2155" spans="1:12" ht="11.25" customHeight="1" x14ac:dyDescent="0.2">
      <c r="A2155" s="222">
        <v>2023</v>
      </c>
      <c r="B2155" s="222">
        <v>10</v>
      </c>
      <c r="C2155" s="222">
        <v>12</v>
      </c>
      <c r="D2155" s="223">
        <f t="shared" si="164"/>
        <v>45211</v>
      </c>
      <c r="E2155" s="240">
        <f t="shared" ref="E2155:E2165" si="167">DATE(A2155,B2155,C2155)</f>
        <v>45211</v>
      </c>
      <c r="F2155" s="511" t="s">
        <v>1244</v>
      </c>
      <c r="G2155" s="225" t="s">
        <v>1245</v>
      </c>
      <c r="H2155" s="226"/>
      <c r="I2155" s="226" t="s">
        <v>1253</v>
      </c>
      <c r="J2155" s="222" t="s">
        <v>72</v>
      </c>
      <c r="K2155" s="227">
        <v>193878.33809524029</v>
      </c>
      <c r="L2155" s="227"/>
    </row>
    <row r="2156" spans="1:12" ht="11.25" customHeight="1" x14ac:dyDescent="0.2">
      <c r="A2156" s="228">
        <v>2023</v>
      </c>
      <c r="B2156" s="228">
        <v>10</v>
      </c>
      <c r="C2156" s="228">
        <v>12</v>
      </c>
      <c r="D2156" s="229">
        <f t="shared" si="164"/>
        <v>45211</v>
      </c>
      <c r="E2156" s="241">
        <f t="shared" si="167"/>
        <v>45211</v>
      </c>
      <c r="F2156" s="512"/>
      <c r="G2156" s="231" t="s">
        <v>1245</v>
      </c>
      <c r="H2156" s="232"/>
      <c r="I2156" s="232" t="s">
        <v>1253</v>
      </c>
      <c r="J2156" s="228" t="s">
        <v>87</v>
      </c>
      <c r="K2156" s="233"/>
      <c r="L2156" s="233">
        <v>193878.33809524029</v>
      </c>
    </row>
    <row r="2157" spans="1:12" ht="11.25" customHeight="1" x14ac:dyDescent="0.2">
      <c r="A2157" s="222">
        <v>2023</v>
      </c>
      <c r="B2157" s="222">
        <v>10</v>
      </c>
      <c r="C2157" s="222">
        <v>12</v>
      </c>
      <c r="D2157" s="223">
        <f t="shared" si="164"/>
        <v>45211</v>
      </c>
      <c r="E2157" s="240">
        <f t="shared" si="167"/>
        <v>45211</v>
      </c>
      <c r="F2157" s="511" t="s">
        <v>1246</v>
      </c>
      <c r="G2157" s="225" t="s">
        <v>1245</v>
      </c>
      <c r="H2157" s="226"/>
      <c r="I2157" s="226" t="s">
        <v>1253</v>
      </c>
      <c r="J2157" s="222" t="s">
        <v>75</v>
      </c>
      <c r="K2157" s="227">
        <v>3623.123846153846</v>
      </c>
      <c r="L2157" s="227"/>
    </row>
    <row r="2158" spans="1:12" ht="11.25" customHeight="1" x14ac:dyDescent="0.2">
      <c r="A2158" s="228">
        <v>2023</v>
      </c>
      <c r="B2158" s="228">
        <v>10</v>
      </c>
      <c r="C2158" s="228">
        <v>12</v>
      </c>
      <c r="D2158" s="229">
        <f t="shared" si="164"/>
        <v>45211</v>
      </c>
      <c r="E2158" s="241">
        <f t="shared" si="167"/>
        <v>45211</v>
      </c>
      <c r="F2158" s="512"/>
      <c r="G2158" s="231" t="s">
        <v>1245</v>
      </c>
      <c r="H2158" s="232"/>
      <c r="I2158" s="232" t="s">
        <v>1253</v>
      </c>
      <c r="J2158" s="228" t="s">
        <v>55</v>
      </c>
      <c r="K2158" s="233"/>
      <c r="L2158" s="233">
        <v>3623.123846153846</v>
      </c>
    </row>
    <row r="2159" spans="1:12" ht="11.25" customHeight="1" x14ac:dyDescent="0.2">
      <c r="A2159" s="222">
        <v>2023</v>
      </c>
      <c r="B2159" s="222">
        <v>10</v>
      </c>
      <c r="C2159" s="222">
        <v>12</v>
      </c>
      <c r="D2159" s="223">
        <f t="shared" si="164"/>
        <v>45211</v>
      </c>
      <c r="E2159" s="240">
        <f t="shared" si="167"/>
        <v>45211</v>
      </c>
      <c r="F2159" s="511" t="s">
        <v>1247</v>
      </c>
      <c r="G2159" s="225" t="s">
        <v>1245</v>
      </c>
      <c r="H2159" s="226"/>
      <c r="I2159" s="226" t="s">
        <v>1253</v>
      </c>
      <c r="J2159" s="222" t="s">
        <v>77</v>
      </c>
      <c r="K2159" s="227"/>
      <c r="L2159" s="227"/>
    </row>
    <row r="2160" spans="1:12" ht="11.25" customHeight="1" x14ac:dyDescent="0.2">
      <c r="A2160" s="228">
        <v>2023</v>
      </c>
      <c r="B2160" s="228">
        <v>10</v>
      </c>
      <c r="C2160" s="228">
        <v>12</v>
      </c>
      <c r="D2160" s="229">
        <f t="shared" si="164"/>
        <v>45211</v>
      </c>
      <c r="E2160" s="241">
        <f t="shared" si="167"/>
        <v>45211</v>
      </c>
      <c r="F2160" s="512"/>
      <c r="G2160" s="231" t="s">
        <v>1245</v>
      </c>
      <c r="H2160" s="232"/>
      <c r="I2160" s="232" t="s">
        <v>1253</v>
      </c>
      <c r="J2160" s="228" t="s">
        <v>41</v>
      </c>
      <c r="K2160" s="233"/>
      <c r="L2160" s="233"/>
    </row>
    <row r="2161" spans="1:14" ht="11.25" customHeight="1" x14ac:dyDescent="0.2">
      <c r="A2161" s="222">
        <v>2023</v>
      </c>
      <c r="B2161" s="222">
        <v>10</v>
      </c>
      <c r="C2161" s="222">
        <v>12</v>
      </c>
      <c r="D2161" s="223">
        <f t="shared" si="164"/>
        <v>45211</v>
      </c>
      <c r="E2161" s="240">
        <f t="shared" si="167"/>
        <v>45211</v>
      </c>
      <c r="F2161" s="511" t="s">
        <v>1248</v>
      </c>
      <c r="G2161" s="225" t="s">
        <v>1245</v>
      </c>
      <c r="H2161" s="226"/>
      <c r="I2161" s="226" t="s">
        <v>1253</v>
      </c>
      <c r="J2161" s="222" t="s">
        <v>80</v>
      </c>
      <c r="K2161" s="227">
        <v>1202.8952020201191</v>
      </c>
      <c r="L2161" s="227"/>
    </row>
    <row r="2162" spans="1:14" ht="11.25" customHeight="1" x14ac:dyDescent="0.2">
      <c r="A2162" s="228">
        <v>2023</v>
      </c>
      <c r="B2162" s="228">
        <v>10</v>
      </c>
      <c r="C2162" s="228">
        <v>12</v>
      </c>
      <c r="D2162" s="229">
        <f t="shared" si="164"/>
        <v>45211</v>
      </c>
      <c r="E2162" s="241">
        <f t="shared" si="167"/>
        <v>45211</v>
      </c>
      <c r="F2162" s="512"/>
      <c r="G2162" s="231" t="s">
        <v>1245</v>
      </c>
      <c r="H2162" s="232"/>
      <c r="I2162" s="232" t="s">
        <v>1253</v>
      </c>
      <c r="J2162" s="228" t="s">
        <v>42</v>
      </c>
      <c r="K2162" s="233"/>
      <c r="L2162" s="233">
        <v>1202.8952020201191</v>
      </c>
    </row>
    <row r="2163" spans="1:14" ht="11.25" customHeight="1" x14ac:dyDescent="0.2">
      <c r="A2163" s="197">
        <v>2023</v>
      </c>
      <c r="B2163" s="197">
        <v>10</v>
      </c>
      <c r="C2163" s="197">
        <v>15</v>
      </c>
      <c r="D2163" s="198">
        <f t="shared" si="164"/>
        <v>45214</v>
      </c>
      <c r="E2163" s="209">
        <f t="shared" si="167"/>
        <v>45214</v>
      </c>
      <c r="F2163" s="513" t="s">
        <v>1296</v>
      </c>
      <c r="G2163" s="200" t="s">
        <v>1209</v>
      </c>
      <c r="H2163" s="201"/>
      <c r="I2163" s="201"/>
      <c r="J2163" s="197" t="s">
        <v>46</v>
      </c>
      <c r="K2163" s="202">
        <v>5000</v>
      </c>
      <c r="L2163" s="202"/>
    </row>
    <row r="2164" spans="1:14" ht="11.25" customHeight="1" x14ac:dyDescent="0.2">
      <c r="A2164" s="120">
        <v>2023</v>
      </c>
      <c r="B2164" s="120">
        <v>10</v>
      </c>
      <c r="C2164" s="120">
        <v>15</v>
      </c>
      <c r="D2164" s="208">
        <f t="shared" si="164"/>
        <v>45214</v>
      </c>
      <c r="E2164" s="209">
        <f t="shared" si="167"/>
        <v>45214</v>
      </c>
      <c r="F2164" s="515"/>
      <c r="G2164" s="132" t="s">
        <v>1209</v>
      </c>
      <c r="J2164" s="120" t="s">
        <v>16</v>
      </c>
      <c r="K2164" s="207"/>
      <c r="L2164" s="207">
        <v>4760</v>
      </c>
    </row>
    <row r="2165" spans="1:14" ht="11.25" customHeight="1" x14ac:dyDescent="0.2">
      <c r="A2165" s="191">
        <v>2023</v>
      </c>
      <c r="B2165" s="191">
        <v>10</v>
      </c>
      <c r="C2165" s="191">
        <v>15</v>
      </c>
      <c r="D2165" s="192">
        <f t="shared" si="164"/>
        <v>45214</v>
      </c>
      <c r="E2165" s="193">
        <f t="shared" si="167"/>
        <v>45214</v>
      </c>
      <c r="F2165" s="514"/>
      <c r="G2165" s="194" t="s">
        <v>1209</v>
      </c>
      <c r="H2165" s="195"/>
      <c r="I2165" s="195"/>
      <c r="J2165" s="191" t="s">
        <v>47</v>
      </c>
      <c r="K2165" s="196"/>
      <c r="L2165" s="196">
        <v>240</v>
      </c>
    </row>
    <row r="2166" spans="1:14" ht="11.25" customHeight="1" x14ac:dyDescent="0.2">
      <c r="A2166" s="197">
        <v>2023</v>
      </c>
      <c r="B2166" s="197">
        <v>10</v>
      </c>
      <c r="C2166" s="197">
        <v>16</v>
      </c>
      <c r="D2166" s="198">
        <f t="shared" si="164"/>
        <v>45215</v>
      </c>
      <c r="E2166" s="209">
        <f t="shared" ref="E2166:E2180" si="168">DATE(A2166,B2166,C2166)</f>
        <v>45215</v>
      </c>
      <c r="F2166" s="513" t="s">
        <v>1296</v>
      </c>
      <c r="G2166" s="200" t="s">
        <v>1209</v>
      </c>
      <c r="H2166" s="201"/>
      <c r="I2166" s="201"/>
      <c r="J2166" s="197" t="s">
        <v>46</v>
      </c>
      <c r="K2166" s="202">
        <v>35000</v>
      </c>
      <c r="L2166" s="202"/>
    </row>
    <row r="2167" spans="1:14" ht="11.25" customHeight="1" x14ac:dyDescent="0.2">
      <c r="A2167" s="120">
        <v>2023</v>
      </c>
      <c r="B2167" s="120">
        <v>10</v>
      </c>
      <c r="C2167" s="120">
        <v>16</v>
      </c>
      <c r="D2167" s="208">
        <f t="shared" si="164"/>
        <v>45215</v>
      </c>
      <c r="E2167" s="209">
        <f t="shared" si="168"/>
        <v>45215</v>
      </c>
      <c r="F2167" s="515"/>
      <c r="G2167" s="132" t="s">
        <v>1209</v>
      </c>
      <c r="J2167" s="120" t="s">
        <v>16</v>
      </c>
      <c r="K2167" s="207"/>
      <c r="L2167" s="207">
        <v>33300</v>
      </c>
    </row>
    <row r="2168" spans="1:14" ht="11.25" customHeight="1" x14ac:dyDescent="0.2">
      <c r="A2168" s="191">
        <v>2023</v>
      </c>
      <c r="B2168" s="191">
        <v>10</v>
      </c>
      <c r="C2168" s="191">
        <v>16</v>
      </c>
      <c r="D2168" s="192">
        <f t="shared" si="164"/>
        <v>45215</v>
      </c>
      <c r="E2168" s="193">
        <f t="shared" si="168"/>
        <v>45215</v>
      </c>
      <c r="F2168" s="514"/>
      <c r="G2168" s="194" t="s">
        <v>1209</v>
      </c>
      <c r="H2168" s="195"/>
      <c r="I2168" s="195"/>
      <c r="J2168" s="191" t="s">
        <v>47</v>
      </c>
      <c r="K2168" s="196"/>
      <c r="L2168" s="196">
        <v>1700</v>
      </c>
    </row>
    <row r="2169" spans="1:14" ht="11.25" customHeight="1" x14ac:dyDescent="0.2">
      <c r="A2169" s="197">
        <v>2023</v>
      </c>
      <c r="B2169" s="197">
        <v>10</v>
      </c>
      <c r="C2169" s="197">
        <v>16</v>
      </c>
      <c r="D2169" s="198">
        <f t="shared" si="164"/>
        <v>45215</v>
      </c>
      <c r="E2169" s="199">
        <f t="shared" si="168"/>
        <v>45215</v>
      </c>
      <c r="F2169" s="513" t="s">
        <v>1323</v>
      </c>
      <c r="G2169" s="200" t="s">
        <v>1209</v>
      </c>
      <c r="H2169" s="201"/>
      <c r="I2169" s="201"/>
      <c r="J2169" s="197" t="s">
        <v>54</v>
      </c>
      <c r="K2169" s="202">
        <v>100</v>
      </c>
      <c r="L2169" s="202"/>
    </row>
    <row r="2170" spans="1:14" ht="11.25" customHeight="1" x14ac:dyDescent="0.2">
      <c r="A2170" s="191">
        <v>2023</v>
      </c>
      <c r="B2170" s="191">
        <v>10</v>
      </c>
      <c r="C2170" s="191">
        <v>16</v>
      </c>
      <c r="D2170" s="192">
        <f t="shared" si="164"/>
        <v>45215</v>
      </c>
      <c r="E2170" s="193">
        <f t="shared" si="168"/>
        <v>45215</v>
      </c>
      <c r="F2170" s="514"/>
      <c r="G2170" s="194" t="s">
        <v>1209</v>
      </c>
      <c r="H2170" s="195"/>
      <c r="I2170" s="195"/>
      <c r="J2170" s="191" t="s">
        <v>46</v>
      </c>
      <c r="K2170" s="196"/>
      <c r="L2170" s="196">
        <v>100</v>
      </c>
    </row>
    <row r="2171" spans="1:14" ht="11.25" customHeight="1" x14ac:dyDescent="0.2">
      <c r="A2171" s="197">
        <v>2023</v>
      </c>
      <c r="B2171" s="197">
        <v>10</v>
      </c>
      <c r="C2171" s="197">
        <v>16</v>
      </c>
      <c r="D2171" s="198">
        <f t="shared" si="164"/>
        <v>45215</v>
      </c>
      <c r="E2171" s="199">
        <f t="shared" si="168"/>
        <v>45215</v>
      </c>
      <c r="F2171" s="513" t="s">
        <v>1454</v>
      </c>
      <c r="G2171" s="200" t="s">
        <v>1209</v>
      </c>
      <c r="H2171" s="201"/>
      <c r="I2171" s="201" t="s">
        <v>1253</v>
      </c>
      <c r="J2171" s="197" t="s">
        <v>1455</v>
      </c>
      <c r="K2171" s="202">
        <v>7651488</v>
      </c>
      <c r="L2171" s="202"/>
    </row>
    <row r="2172" spans="1:14" ht="11.25" customHeight="1" x14ac:dyDescent="0.2">
      <c r="A2172" s="191">
        <v>2023</v>
      </c>
      <c r="B2172" s="191">
        <v>10</v>
      </c>
      <c r="C2172" s="191">
        <v>16</v>
      </c>
      <c r="D2172" s="192">
        <f t="shared" si="164"/>
        <v>45215</v>
      </c>
      <c r="E2172" s="193">
        <f t="shared" si="168"/>
        <v>45215</v>
      </c>
      <c r="F2172" s="514"/>
      <c r="G2172" s="194" t="s">
        <v>1209</v>
      </c>
      <c r="H2172" s="195"/>
      <c r="I2172" s="195" t="s">
        <v>1253</v>
      </c>
      <c r="J2172" s="191" t="s">
        <v>46</v>
      </c>
      <c r="K2172" s="196"/>
      <c r="L2172" s="196">
        <v>7651488</v>
      </c>
      <c r="N2172" s="130"/>
    </row>
    <row r="2173" spans="1:14" ht="11.25" customHeight="1" x14ac:dyDescent="0.2">
      <c r="A2173" s="197">
        <v>2023</v>
      </c>
      <c r="B2173" s="197">
        <v>10</v>
      </c>
      <c r="C2173" s="197">
        <v>18</v>
      </c>
      <c r="D2173" s="198">
        <f t="shared" si="164"/>
        <v>45217</v>
      </c>
      <c r="E2173" s="209">
        <f t="shared" si="168"/>
        <v>45217</v>
      </c>
      <c r="F2173" s="513" t="s">
        <v>1280</v>
      </c>
      <c r="G2173" s="200" t="s">
        <v>1209</v>
      </c>
      <c r="H2173" s="201"/>
      <c r="I2173" s="201" t="s">
        <v>387</v>
      </c>
      <c r="J2173" s="197" t="s">
        <v>16</v>
      </c>
      <c r="K2173" s="202">
        <v>87540</v>
      </c>
      <c r="L2173" s="202"/>
    </row>
    <row r="2174" spans="1:14" ht="11.25" customHeight="1" x14ac:dyDescent="0.2">
      <c r="A2174" s="120">
        <v>2023</v>
      </c>
      <c r="B2174" s="120">
        <v>10</v>
      </c>
      <c r="C2174" s="120">
        <v>18</v>
      </c>
      <c r="D2174" s="208">
        <f t="shared" si="164"/>
        <v>45217</v>
      </c>
      <c r="E2174" s="209">
        <f t="shared" si="168"/>
        <v>45217</v>
      </c>
      <c r="F2174" s="515"/>
      <c r="G2174" s="132" t="s">
        <v>1209</v>
      </c>
      <c r="I2174" s="128" t="s">
        <v>387</v>
      </c>
      <c r="J2174" s="120" t="s">
        <v>47</v>
      </c>
      <c r="K2174" s="207">
        <v>4447.6699999999983</v>
      </c>
      <c r="L2174" s="207"/>
    </row>
    <row r="2175" spans="1:14" ht="11.25" customHeight="1" x14ac:dyDescent="0.2">
      <c r="A2175" s="191">
        <v>2023</v>
      </c>
      <c r="B2175" s="191">
        <v>10</v>
      </c>
      <c r="C2175" s="191">
        <v>18</v>
      </c>
      <c r="D2175" s="192">
        <f t="shared" si="164"/>
        <v>45217</v>
      </c>
      <c r="E2175" s="193">
        <f t="shared" si="168"/>
        <v>45217</v>
      </c>
      <c r="F2175" s="514"/>
      <c r="G2175" s="194" t="s">
        <v>1209</v>
      </c>
      <c r="H2175" s="195"/>
      <c r="I2175" s="195" t="s">
        <v>387</v>
      </c>
      <c r="J2175" s="191" t="s">
        <v>46</v>
      </c>
      <c r="K2175" s="196"/>
      <c r="L2175" s="196">
        <v>91987.67</v>
      </c>
    </row>
    <row r="2176" spans="1:14" ht="11.25" customHeight="1" x14ac:dyDescent="0.2">
      <c r="A2176" s="197">
        <v>2023</v>
      </c>
      <c r="B2176" s="197">
        <v>10</v>
      </c>
      <c r="C2176" s="197">
        <v>19</v>
      </c>
      <c r="D2176" s="198">
        <f t="shared" si="164"/>
        <v>45218</v>
      </c>
      <c r="E2176" s="199">
        <f t="shared" si="168"/>
        <v>45218</v>
      </c>
      <c r="F2176" s="513" t="s">
        <v>1323</v>
      </c>
      <c r="G2176" s="200" t="s">
        <v>1209</v>
      </c>
      <c r="H2176" s="201"/>
      <c r="I2176" s="201"/>
      <c r="J2176" s="197" t="s">
        <v>54</v>
      </c>
      <c r="K2176" s="202">
        <v>60</v>
      </c>
      <c r="L2176" s="202"/>
    </row>
    <row r="2177" spans="1:12" ht="11.25" customHeight="1" x14ac:dyDescent="0.2">
      <c r="A2177" s="191">
        <v>2023</v>
      </c>
      <c r="B2177" s="191">
        <v>10</v>
      </c>
      <c r="C2177" s="191">
        <v>19</v>
      </c>
      <c r="D2177" s="192">
        <f t="shared" si="164"/>
        <v>45218</v>
      </c>
      <c r="E2177" s="193">
        <f t="shared" si="168"/>
        <v>45218</v>
      </c>
      <c r="F2177" s="514"/>
      <c r="G2177" s="194" t="s">
        <v>1209</v>
      </c>
      <c r="H2177" s="195"/>
      <c r="I2177" s="195"/>
      <c r="J2177" s="191" t="s">
        <v>46</v>
      </c>
      <c r="K2177" s="196"/>
      <c r="L2177" s="196">
        <v>60</v>
      </c>
    </row>
    <row r="2178" spans="1:12" ht="11.25" customHeight="1" x14ac:dyDescent="0.2">
      <c r="A2178" s="197">
        <v>2023</v>
      </c>
      <c r="B2178" s="197">
        <v>10</v>
      </c>
      <c r="C2178" s="197">
        <v>19</v>
      </c>
      <c r="D2178" s="198">
        <f t="shared" si="164"/>
        <v>45218</v>
      </c>
      <c r="E2178" s="209">
        <f t="shared" si="168"/>
        <v>45218</v>
      </c>
      <c r="F2178" s="513" t="s">
        <v>1210</v>
      </c>
      <c r="G2178" s="200" t="s">
        <v>1209</v>
      </c>
      <c r="H2178" s="201"/>
      <c r="I2178" s="201"/>
      <c r="J2178" s="197" t="s">
        <v>46</v>
      </c>
      <c r="K2178" s="202">
        <v>50000000</v>
      </c>
      <c r="L2178" s="202"/>
    </row>
    <row r="2179" spans="1:12" ht="11.25" customHeight="1" x14ac:dyDescent="0.2">
      <c r="A2179" s="120">
        <v>2023</v>
      </c>
      <c r="B2179" s="120">
        <v>10</v>
      </c>
      <c r="C2179" s="120">
        <v>19</v>
      </c>
      <c r="D2179" s="208">
        <f t="shared" si="164"/>
        <v>45218</v>
      </c>
      <c r="E2179" s="209">
        <f t="shared" si="168"/>
        <v>45218</v>
      </c>
      <c r="F2179" s="515"/>
      <c r="G2179" s="132" t="s">
        <v>1209</v>
      </c>
      <c r="J2179" s="120" t="s">
        <v>16</v>
      </c>
      <c r="K2179" s="207"/>
      <c r="L2179" s="207">
        <v>47519480</v>
      </c>
    </row>
    <row r="2180" spans="1:12" ht="11.25" customHeight="1" x14ac:dyDescent="0.2">
      <c r="A2180" s="191">
        <v>2023</v>
      </c>
      <c r="B2180" s="191">
        <v>10</v>
      </c>
      <c r="C2180" s="191">
        <v>19</v>
      </c>
      <c r="D2180" s="192">
        <f t="shared" si="164"/>
        <v>45218</v>
      </c>
      <c r="E2180" s="193">
        <f t="shared" si="168"/>
        <v>45218</v>
      </c>
      <c r="F2180" s="514"/>
      <c r="G2180" s="194" t="s">
        <v>1209</v>
      </c>
      <c r="H2180" s="195"/>
      <c r="I2180" s="195"/>
      <c r="J2180" s="191" t="s">
        <v>47</v>
      </c>
      <c r="K2180" s="196"/>
      <c r="L2180" s="196">
        <v>2480520</v>
      </c>
    </row>
    <row r="2181" spans="1:12" ht="11.25" customHeight="1" x14ac:dyDescent="0.2">
      <c r="A2181" s="210">
        <v>2023</v>
      </c>
      <c r="B2181" s="210">
        <v>10</v>
      </c>
      <c r="C2181" s="210">
        <v>19</v>
      </c>
      <c r="D2181" s="211">
        <f t="shared" si="164"/>
        <v>45218</v>
      </c>
      <c r="E2181" s="238">
        <f t="shared" ref="E2181:E2215" si="169">DATE(A2181,B2181,C2181)</f>
        <v>45218</v>
      </c>
      <c r="F2181" s="520" t="s">
        <v>1278</v>
      </c>
      <c r="G2181" s="213" t="s">
        <v>1245</v>
      </c>
      <c r="H2181" s="214"/>
      <c r="I2181" s="214" t="s">
        <v>1253</v>
      </c>
      <c r="J2181" s="210" t="s">
        <v>1529</v>
      </c>
      <c r="K2181" s="215">
        <v>6512.28</v>
      </c>
      <c r="L2181" s="215"/>
    </row>
    <row r="2182" spans="1:12" ht="11.25" customHeight="1" x14ac:dyDescent="0.2">
      <c r="A2182" s="216">
        <v>2023</v>
      </c>
      <c r="B2182" s="216">
        <v>10</v>
      </c>
      <c r="C2182" s="216">
        <v>19</v>
      </c>
      <c r="D2182" s="217">
        <f t="shared" si="164"/>
        <v>45218</v>
      </c>
      <c r="E2182" s="239">
        <f t="shared" si="169"/>
        <v>45218</v>
      </c>
      <c r="F2182" s="521"/>
      <c r="G2182" s="219" t="s">
        <v>1245</v>
      </c>
      <c r="H2182" s="220"/>
      <c r="I2182" s="220" t="s">
        <v>1253</v>
      </c>
      <c r="J2182" s="216" t="s">
        <v>1581</v>
      </c>
      <c r="K2182" s="221"/>
      <c r="L2182" s="221">
        <v>6512.28</v>
      </c>
    </row>
    <row r="2183" spans="1:12" ht="11.25" customHeight="1" x14ac:dyDescent="0.2">
      <c r="A2183" s="210">
        <v>2023</v>
      </c>
      <c r="B2183" s="242">
        <v>10</v>
      </c>
      <c r="C2183" s="242">
        <v>19</v>
      </c>
      <c r="D2183" s="211">
        <f t="shared" ref="D2183:D2244" si="170">DATE(A2183,B2183,C2183)</f>
        <v>45218</v>
      </c>
      <c r="E2183" s="238">
        <f t="shared" si="169"/>
        <v>45218</v>
      </c>
      <c r="F2183" s="520" t="s">
        <v>1285</v>
      </c>
      <c r="G2183" s="213" t="s">
        <v>1245</v>
      </c>
      <c r="H2183" s="214"/>
      <c r="I2183" s="214" t="s">
        <v>1253</v>
      </c>
      <c r="J2183" s="210" t="s">
        <v>1284</v>
      </c>
      <c r="K2183" s="215">
        <v>13771.15</v>
      </c>
      <c r="L2183" s="215"/>
    </row>
    <row r="2184" spans="1:12" ht="11.25" customHeight="1" x14ac:dyDescent="0.2">
      <c r="A2184" s="242">
        <v>2023</v>
      </c>
      <c r="B2184" s="242">
        <v>10</v>
      </c>
      <c r="C2184" s="242">
        <v>19</v>
      </c>
      <c r="D2184" s="243">
        <f t="shared" si="170"/>
        <v>45218</v>
      </c>
      <c r="E2184" s="244">
        <f>DATE(A2184,B2184,C2184)</f>
        <v>45218</v>
      </c>
      <c r="F2184" s="524"/>
      <c r="G2184" s="245" t="s">
        <v>1245</v>
      </c>
      <c r="H2184" s="246"/>
      <c r="I2184" s="246"/>
      <c r="J2184" s="242" t="s">
        <v>1582</v>
      </c>
      <c r="K2184" s="247"/>
      <c r="L2184" s="247">
        <v>13771.15</v>
      </c>
    </row>
    <row r="2185" spans="1:12" ht="11.25" customHeight="1" x14ac:dyDescent="0.2">
      <c r="A2185" s="210">
        <v>2023</v>
      </c>
      <c r="B2185" s="210">
        <v>10</v>
      </c>
      <c r="C2185" s="210">
        <v>19</v>
      </c>
      <c r="D2185" s="211">
        <f t="shared" si="170"/>
        <v>45218</v>
      </c>
      <c r="E2185" s="238">
        <f t="shared" si="169"/>
        <v>45218</v>
      </c>
      <c r="F2185" s="520" t="s">
        <v>1259</v>
      </c>
      <c r="G2185" s="213" t="s">
        <v>1245</v>
      </c>
      <c r="H2185" s="214"/>
      <c r="I2185" s="214" t="s">
        <v>1253</v>
      </c>
      <c r="J2185" s="210" t="s">
        <v>58</v>
      </c>
      <c r="K2185" s="215">
        <v>17144.419999999998</v>
      </c>
      <c r="L2185" s="215"/>
    </row>
    <row r="2186" spans="1:12" ht="11.25" customHeight="1" x14ac:dyDescent="0.2">
      <c r="A2186" s="216">
        <v>2023</v>
      </c>
      <c r="B2186" s="216">
        <v>10</v>
      </c>
      <c r="C2186" s="216">
        <v>19</v>
      </c>
      <c r="D2186" s="217">
        <f t="shared" si="170"/>
        <v>45218</v>
      </c>
      <c r="E2186" s="239">
        <f t="shared" si="169"/>
        <v>45218</v>
      </c>
      <c r="F2186" s="521"/>
      <c r="G2186" s="219" t="s">
        <v>1245</v>
      </c>
      <c r="H2186" s="220"/>
      <c r="I2186" s="220" t="s">
        <v>1253</v>
      </c>
      <c r="J2186" s="216" t="s">
        <v>153</v>
      </c>
      <c r="K2186" s="221"/>
      <c r="L2186" s="221">
        <v>17144.419999999998</v>
      </c>
    </row>
    <row r="2187" spans="1:12" ht="11.25" customHeight="1" x14ac:dyDescent="0.2">
      <c r="A2187" s="210">
        <v>2023</v>
      </c>
      <c r="B2187" s="210">
        <v>10</v>
      </c>
      <c r="C2187" s="210">
        <v>19</v>
      </c>
      <c r="D2187" s="211">
        <f t="shared" si="170"/>
        <v>45218</v>
      </c>
      <c r="E2187" s="238">
        <f t="shared" si="169"/>
        <v>45218</v>
      </c>
      <c r="F2187" s="520" t="s">
        <v>1255</v>
      </c>
      <c r="G2187" s="213" t="s">
        <v>1245</v>
      </c>
      <c r="H2187" s="214"/>
      <c r="I2187" s="214" t="s">
        <v>1253</v>
      </c>
      <c r="J2187" s="210" t="s">
        <v>113</v>
      </c>
      <c r="K2187" s="215">
        <v>43489.58</v>
      </c>
      <c r="L2187" s="215"/>
    </row>
    <row r="2188" spans="1:12" ht="11.25" customHeight="1" x14ac:dyDescent="0.2">
      <c r="A2188" s="216">
        <v>2023</v>
      </c>
      <c r="B2188" s="216">
        <v>10</v>
      </c>
      <c r="C2188" s="216">
        <v>19</v>
      </c>
      <c r="D2188" s="217">
        <f t="shared" si="170"/>
        <v>45218</v>
      </c>
      <c r="E2188" s="239">
        <f t="shared" si="169"/>
        <v>45218</v>
      </c>
      <c r="F2188" s="521"/>
      <c r="G2188" s="219" t="s">
        <v>1245</v>
      </c>
      <c r="H2188" s="220"/>
      <c r="I2188" s="220" t="s">
        <v>1253</v>
      </c>
      <c r="J2188" s="216" t="s">
        <v>153</v>
      </c>
      <c r="K2188" s="221"/>
      <c r="L2188" s="221">
        <v>43489.58</v>
      </c>
    </row>
    <row r="2189" spans="1:12" ht="11.25" customHeight="1" x14ac:dyDescent="0.2">
      <c r="A2189" s="210">
        <v>2023</v>
      </c>
      <c r="B2189" s="210">
        <v>10</v>
      </c>
      <c r="C2189" s="210">
        <v>19</v>
      </c>
      <c r="D2189" s="211">
        <f t="shared" si="170"/>
        <v>45218</v>
      </c>
      <c r="E2189" s="238">
        <f t="shared" si="169"/>
        <v>45218</v>
      </c>
      <c r="F2189" s="520" t="s">
        <v>1256</v>
      </c>
      <c r="G2189" s="213" t="s">
        <v>1245</v>
      </c>
      <c r="H2189" s="214"/>
      <c r="I2189" s="214" t="s">
        <v>1253</v>
      </c>
      <c r="J2189" s="210" t="s">
        <v>113</v>
      </c>
      <c r="K2189" s="215">
        <v>5925.93</v>
      </c>
      <c r="L2189" s="215"/>
    </row>
    <row r="2190" spans="1:12" ht="11.25" customHeight="1" x14ac:dyDescent="0.2">
      <c r="A2190" s="216">
        <v>2023</v>
      </c>
      <c r="B2190" s="216">
        <v>10</v>
      </c>
      <c r="C2190" s="216">
        <v>19</v>
      </c>
      <c r="D2190" s="217">
        <f t="shared" si="170"/>
        <v>45218</v>
      </c>
      <c r="E2190" s="239">
        <f t="shared" si="169"/>
        <v>45218</v>
      </c>
      <c r="F2190" s="521"/>
      <c r="G2190" s="219" t="s">
        <v>1245</v>
      </c>
      <c r="H2190" s="220"/>
      <c r="I2190" s="220" t="s">
        <v>1253</v>
      </c>
      <c r="J2190" s="216" t="s">
        <v>153</v>
      </c>
      <c r="K2190" s="221"/>
      <c r="L2190" s="221">
        <v>5925.93</v>
      </c>
    </row>
    <row r="2191" spans="1:12" ht="11.25" customHeight="1" x14ac:dyDescent="0.2">
      <c r="A2191" s="210">
        <v>2023</v>
      </c>
      <c r="B2191" s="210">
        <v>10</v>
      </c>
      <c r="C2191" s="210">
        <v>19</v>
      </c>
      <c r="D2191" s="211">
        <f t="shared" si="170"/>
        <v>45218</v>
      </c>
      <c r="E2191" s="238">
        <f t="shared" si="169"/>
        <v>45218</v>
      </c>
      <c r="F2191" s="520" t="s">
        <v>1257</v>
      </c>
      <c r="G2191" s="213" t="s">
        <v>1245</v>
      </c>
      <c r="H2191" s="214"/>
      <c r="I2191" s="214" t="s">
        <v>1253</v>
      </c>
      <c r="J2191" s="210" t="s">
        <v>113</v>
      </c>
      <c r="K2191" s="215">
        <v>30000</v>
      </c>
      <c r="L2191" s="215"/>
    </row>
    <row r="2192" spans="1:12" ht="11.25" customHeight="1" x14ac:dyDescent="0.2">
      <c r="A2192" s="216">
        <v>2023</v>
      </c>
      <c r="B2192" s="216">
        <v>10</v>
      </c>
      <c r="C2192" s="216">
        <v>19</v>
      </c>
      <c r="D2192" s="217">
        <f t="shared" si="170"/>
        <v>45218</v>
      </c>
      <c r="E2192" s="239">
        <f t="shared" si="169"/>
        <v>45218</v>
      </c>
      <c r="F2192" s="521"/>
      <c r="G2192" s="219" t="s">
        <v>1245</v>
      </c>
      <c r="H2192" s="220"/>
      <c r="I2192" s="220" t="s">
        <v>1253</v>
      </c>
      <c r="J2192" s="216" t="s">
        <v>153</v>
      </c>
      <c r="K2192" s="221"/>
      <c r="L2192" s="221">
        <v>30000</v>
      </c>
    </row>
    <row r="2193" spans="1:12" ht="11.25" customHeight="1" x14ac:dyDescent="0.2">
      <c r="A2193" s="259">
        <v>2023</v>
      </c>
      <c r="B2193" s="259">
        <v>10</v>
      </c>
      <c r="C2193" s="259">
        <v>19</v>
      </c>
      <c r="D2193" s="260">
        <f t="shared" si="170"/>
        <v>45218</v>
      </c>
      <c r="E2193" s="261">
        <f t="shared" si="169"/>
        <v>45218</v>
      </c>
      <c r="F2193" s="531" t="s">
        <v>1388</v>
      </c>
      <c r="G2193" s="262" t="s">
        <v>1245</v>
      </c>
      <c r="H2193" s="263"/>
      <c r="I2193" s="263" t="s">
        <v>1253</v>
      </c>
      <c r="J2193" s="259" t="s">
        <v>1476</v>
      </c>
      <c r="K2193" s="264">
        <v>3114.785555555537</v>
      </c>
      <c r="L2193" s="264"/>
    </row>
    <row r="2194" spans="1:12" ht="11.25" customHeight="1" x14ac:dyDescent="0.2">
      <c r="A2194" s="265">
        <v>2023</v>
      </c>
      <c r="B2194" s="265">
        <v>10</v>
      </c>
      <c r="C2194" s="265">
        <v>19</v>
      </c>
      <c r="D2194" s="266">
        <f t="shared" si="170"/>
        <v>45218</v>
      </c>
      <c r="E2194" s="267">
        <f t="shared" si="169"/>
        <v>45218</v>
      </c>
      <c r="F2194" s="532"/>
      <c r="G2194" s="268" t="s">
        <v>1245</v>
      </c>
      <c r="H2194" s="269"/>
      <c r="I2194" s="269" t="s">
        <v>1253</v>
      </c>
      <c r="J2194" s="265" t="s">
        <v>153</v>
      </c>
      <c r="K2194" s="270"/>
      <c r="L2194" s="270">
        <v>3114.785555555537</v>
      </c>
    </row>
    <row r="2195" spans="1:12" ht="11.25" customHeight="1" x14ac:dyDescent="0.2">
      <c r="A2195" s="259">
        <v>2023</v>
      </c>
      <c r="B2195" s="259">
        <v>10</v>
      </c>
      <c r="C2195" s="259">
        <v>19</v>
      </c>
      <c r="D2195" s="260">
        <f t="shared" si="170"/>
        <v>45218</v>
      </c>
      <c r="E2195" s="261">
        <f t="shared" si="169"/>
        <v>45218</v>
      </c>
      <c r="F2195" s="531" t="s">
        <v>1359</v>
      </c>
      <c r="G2195" s="262" t="s">
        <v>1245</v>
      </c>
      <c r="H2195" s="263"/>
      <c r="I2195" s="263" t="s">
        <v>1253</v>
      </c>
      <c r="J2195" s="259" t="s">
        <v>1476</v>
      </c>
      <c r="K2195" s="264">
        <v>8341.8499999999385</v>
      </c>
      <c r="L2195" s="264"/>
    </row>
    <row r="2196" spans="1:12" ht="11.25" customHeight="1" x14ac:dyDescent="0.2">
      <c r="A2196" s="265">
        <v>2023</v>
      </c>
      <c r="B2196" s="265">
        <v>10</v>
      </c>
      <c r="C2196" s="265">
        <v>19</v>
      </c>
      <c r="D2196" s="266">
        <f t="shared" si="170"/>
        <v>45218</v>
      </c>
      <c r="E2196" s="267">
        <f t="shared" si="169"/>
        <v>45218</v>
      </c>
      <c r="F2196" s="532"/>
      <c r="G2196" s="268" t="s">
        <v>1245</v>
      </c>
      <c r="H2196" s="269"/>
      <c r="I2196" s="269" t="s">
        <v>1253</v>
      </c>
      <c r="J2196" s="265" t="s">
        <v>153</v>
      </c>
      <c r="K2196" s="270"/>
      <c r="L2196" s="270">
        <v>8341.8499999999385</v>
      </c>
    </row>
    <row r="2197" spans="1:12" ht="11.25" customHeight="1" x14ac:dyDescent="0.2">
      <c r="A2197" s="259">
        <v>2023</v>
      </c>
      <c r="B2197" s="259">
        <v>10</v>
      </c>
      <c r="C2197" s="259">
        <v>19</v>
      </c>
      <c r="D2197" s="260">
        <f t="shared" si="170"/>
        <v>45218</v>
      </c>
      <c r="E2197" s="261">
        <f t="shared" si="169"/>
        <v>45218</v>
      </c>
      <c r="F2197" s="531" t="s">
        <v>1442</v>
      </c>
      <c r="G2197" s="262" t="s">
        <v>1245</v>
      </c>
      <c r="H2197" s="263"/>
      <c r="I2197" s="263" t="s">
        <v>1253</v>
      </c>
      <c r="J2197" s="259" t="s">
        <v>1476</v>
      </c>
      <c r="K2197" s="264">
        <v>16921.37777777782</v>
      </c>
      <c r="L2197" s="264"/>
    </row>
    <row r="2198" spans="1:12" ht="11.25" customHeight="1" x14ac:dyDescent="0.2">
      <c r="A2198" s="265">
        <v>2023</v>
      </c>
      <c r="B2198" s="265">
        <v>10</v>
      </c>
      <c r="C2198" s="265">
        <v>19</v>
      </c>
      <c r="D2198" s="266">
        <f t="shared" si="170"/>
        <v>45218</v>
      </c>
      <c r="E2198" s="267">
        <f t="shared" si="169"/>
        <v>45218</v>
      </c>
      <c r="F2198" s="532"/>
      <c r="G2198" s="268" t="s">
        <v>1245</v>
      </c>
      <c r="H2198" s="269"/>
      <c r="I2198" s="269" t="s">
        <v>1253</v>
      </c>
      <c r="J2198" s="265" t="s">
        <v>153</v>
      </c>
      <c r="K2198" s="270"/>
      <c r="L2198" s="270">
        <v>16921.37777777782</v>
      </c>
    </row>
    <row r="2199" spans="1:12" ht="11.25" customHeight="1" x14ac:dyDescent="0.2">
      <c r="A2199" s="259">
        <v>2023</v>
      </c>
      <c r="B2199" s="259">
        <v>10</v>
      </c>
      <c r="C2199" s="259">
        <v>19</v>
      </c>
      <c r="D2199" s="260">
        <f t="shared" si="170"/>
        <v>45218</v>
      </c>
      <c r="E2199" s="261">
        <f t="shared" si="169"/>
        <v>45218</v>
      </c>
      <c r="F2199" s="531" t="s">
        <v>1448</v>
      </c>
      <c r="G2199" s="262" t="s">
        <v>1245</v>
      </c>
      <c r="H2199" s="263"/>
      <c r="I2199" s="263" t="s">
        <v>1253</v>
      </c>
      <c r="J2199" s="259" t="s">
        <v>1476</v>
      </c>
      <c r="K2199" s="264">
        <v>12458.888888888889</v>
      </c>
      <c r="L2199" s="264"/>
    </row>
    <row r="2200" spans="1:12" ht="11.25" customHeight="1" x14ac:dyDescent="0.2">
      <c r="A2200" s="265">
        <v>2023</v>
      </c>
      <c r="B2200" s="265">
        <v>10</v>
      </c>
      <c r="C2200" s="265">
        <v>19</v>
      </c>
      <c r="D2200" s="266">
        <f t="shared" si="170"/>
        <v>45218</v>
      </c>
      <c r="E2200" s="267">
        <f t="shared" si="169"/>
        <v>45218</v>
      </c>
      <c r="F2200" s="532"/>
      <c r="G2200" s="268" t="s">
        <v>1245</v>
      </c>
      <c r="H2200" s="269"/>
      <c r="I2200" s="269" t="s">
        <v>1253</v>
      </c>
      <c r="J2200" s="265" t="s">
        <v>153</v>
      </c>
      <c r="K2200" s="270"/>
      <c r="L2200" s="270">
        <v>12458.888888888889</v>
      </c>
    </row>
    <row r="2201" spans="1:12" ht="11.25" customHeight="1" x14ac:dyDescent="0.2">
      <c r="A2201" s="259">
        <v>2023</v>
      </c>
      <c r="B2201" s="259">
        <v>10</v>
      </c>
      <c r="C2201" s="259">
        <v>19</v>
      </c>
      <c r="D2201" s="260">
        <f t="shared" si="170"/>
        <v>45218</v>
      </c>
      <c r="E2201" s="261">
        <f t="shared" si="169"/>
        <v>45218</v>
      </c>
      <c r="F2201" s="531" t="s">
        <v>1442</v>
      </c>
      <c r="G2201" s="262" t="s">
        <v>1245</v>
      </c>
      <c r="H2201" s="263"/>
      <c r="I2201" s="263" t="s">
        <v>1253</v>
      </c>
      <c r="J2201" s="259" t="s">
        <v>1476</v>
      </c>
      <c r="K2201" s="264">
        <v>5245.7199999999975</v>
      </c>
      <c r="L2201" s="264"/>
    </row>
    <row r="2202" spans="1:12" ht="11.25" customHeight="1" x14ac:dyDescent="0.2">
      <c r="A2202" s="265">
        <v>2023</v>
      </c>
      <c r="B2202" s="265">
        <v>10</v>
      </c>
      <c r="C2202" s="265">
        <v>19</v>
      </c>
      <c r="D2202" s="266">
        <f t="shared" si="170"/>
        <v>45218</v>
      </c>
      <c r="E2202" s="267">
        <f t="shared" si="169"/>
        <v>45218</v>
      </c>
      <c r="F2202" s="532"/>
      <c r="G2202" s="268" t="s">
        <v>1245</v>
      </c>
      <c r="H2202" s="269"/>
      <c r="I2202" s="269" t="s">
        <v>1253</v>
      </c>
      <c r="J2202" s="265" t="s">
        <v>153</v>
      </c>
      <c r="K2202" s="270"/>
      <c r="L2202" s="270">
        <v>5245.7199999999975</v>
      </c>
    </row>
    <row r="2203" spans="1:12" ht="11.25" customHeight="1" x14ac:dyDescent="0.2">
      <c r="A2203" s="312">
        <v>2023</v>
      </c>
      <c r="B2203" s="312">
        <v>10</v>
      </c>
      <c r="C2203" s="312">
        <v>19</v>
      </c>
      <c r="D2203" s="313">
        <f t="shared" si="170"/>
        <v>45218</v>
      </c>
      <c r="E2203" s="314">
        <f t="shared" si="169"/>
        <v>45218</v>
      </c>
      <c r="F2203" s="522" t="s">
        <v>1477</v>
      </c>
      <c r="G2203" s="315" t="s">
        <v>1245</v>
      </c>
      <c r="H2203" s="316"/>
      <c r="I2203" s="316" t="s">
        <v>1253</v>
      </c>
      <c r="J2203" s="312" t="s">
        <v>1460</v>
      </c>
      <c r="K2203" s="317">
        <v>12218</v>
      </c>
      <c r="L2203" s="317"/>
    </row>
    <row r="2204" spans="1:12" ht="11.25" customHeight="1" x14ac:dyDescent="0.2">
      <c r="A2204" s="318">
        <v>2023</v>
      </c>
      <c r="B2204" s="318">
        <v>10</v>
      </c>
      <c r="C2204" s="318">
        <v>19</v>
      </c>
      <c r="D2204" s="319">
        <f t="shared" si="170"/>
        <v>45218</v>
      </c>
      <c r="E2204" s="320">
        <f t="shared" si="169"/>
        <v>45218</v>
      </c>
      <c r="F2204" s="523"/>
      <c r="G2204" s="321" t="s">
        <v>1245</v>
      </c>
      <c r="H2204" s="322"/>
      <c r="I2204" s="322" t="s">
        <v>1253</v>
      </c>
      <c r="J2204" s="318" t="s">
        <v>1458</v>
      </c>
      <c r="K2204" s="323"/>
      <c r="L2204" s="323">
        <v>12218</v>
      </c>
    </row>
    <row r="2205" spans="1:12" ht="11.25" customHeight="1" x14ac:dyDescent="0.2">
      <c r="A2205" s="222">
        <v>2023</v>
      </c>
      <c r="B2205" s="222">
        <v>10</v>
      </c>
      <c r="C2205" s="222">
        <v>19</v>
      </c>
      <c r="D2205" s="223">
        <f t="shared" si="170"/>
        <v>45218</v>
      </c>
      <c r="E2205" s="240">
        <f t="shared" si="169"/>
        <v>45218</v>
      </c>
      <c r="F2205" s="511" t="s">
        <v>1244</v>
      </c>
      <c r="G2205" s="225" t="s">
        <v>1245</v>
      </c>
      <c r="H2205" s="226"/>
      <c r="I2205" s="226" t="s">
        <v>1253</v>
      </c>
      <c r="J2205" s="222" t="s">
        <v>87</v>
      </c>
      <c r="K2205" s="227">
        <v>12243.071904763579</v>
      </c>
      <c r="L2205" s="227"/>
    </row>
    <row r="2206" spans="1:12" ht="11.25" customHeight="1" x14ac:dyDescent="0.2">
      <c r="A2206" s="228">
        <v>2023</v>
      </c>
      <c r="B2206" s="228">
        <v>10</v>
      </c>
      <c r="C2206" s="228">
        <v>19</v>
      </c>
      <c r="D2206" s="229">
        <f t="shared" si="170"/>
        <v>45218</v>
      </c>
      <c r="E2206" s="241">
        <f t="shared" si="169"/>
        <v>45218</v>
      </c>
      <c r="F2206" s="512"/>
      <c r="G2206" s="231" t="s">
        <v>1245</v>
      </c>
      <c r="H2206" s="232"/>
      <c r="I2206" s="232" t="s">
        <v>1253</v>
      </c>
      <c r="J2206" s="228" t="s">
        <v>72</v>
      </c>
      <c r="K2206" s="233"/>
      <c r="L2206" s="233">
        <v>12243.071904763579</v>
      </c>
    </row>
    <row r="2207" spans="1:12" ht="11.25" customHeight="1" x14ac:dyDescent="0.2">
      <c r="A2207" s="222">
        <v>2023</v>
      </c>
      <c r="B2207" s="222">
        <v>10</v>
      </c>
      <c r="C2207" s="222">
        <v>19</v>
      </c>
      <c r="D2207" s="223">
        <f t="shared" si="170"/>
        <v>45218</v>
      </c>
      <c r="E2207" s="240">
        <f t="shared" si="169"/>
        <v>45218</v>
      </c>
      <c r="F2207" s="511" t="s">
        <v>1246</v>
      </c>
      <c r="G2207" s="225" t="s">
        <v>1245</v>
      </c>
      <c r="H2207" s="226"/>
      <c r="I2207" s="226" t="s">
        <v>1253</v>
      </c>
      <c r="J2207" s="222" t="s">
        <v>75</v>
      </c>
      <c r="K2207" s="227">
        <v>3623.123846153846</v>
      </c>
      <c r="L2207" s="227"/>
    </row>
    <row r="2208" spans="1:12" ht="11.25" customHeight="1" x14ac:dyDescent="0.2">
      <c r="A2208" s="228">
        <v>2023</v>
      </c>
      <c r="B2208" s="228">
        <v>10</v>
      </c>
      <c r="C2208" s="228">
        <v>19</v>
      </c>
      <c r="D2208" s="229">
        <f t="shared" si="170"/>
        <v>45218</v>
      </c>
      <c r="E2208" s="241">
        <f t="shared" si="169"/>
        <v>45218</v>
      </c>
      <c r="F2208" s="512"/>
      <c r="G2208" s="231" t="s">
        <v>1245</v>
      </c>
      <c r="H2208" s="232"/>
      <c r="I2208" s="232" t="s">
        <v>1253</v>
      </c>
      <c r="J2208" s="228" t="s">
        <v>55</v>
      </c>
      <c r="K2208" s="233"/>
      <c r="L2208" s="233">
        <v>3623.123846153846</v>
      </c>
    </row>
    <row r="2209" spans="1:12" ht="11.25" customHeight="1" x14ac:dyDescent="0.2">
      <c r="A2209" s="222">
        <v>2023</v>
      </c>
      <c r="B2209" s="222">
        <v>10</v>
      </c>
      <c r="C2209" s="222">
        <v>19</v>
      </c>
      <c r="D2209" s="223">
        <f t="shared" si="170"/>
        <v>45218</v>
      </c>
      <c r="E2209" s="240">
        <f t="shared" si="169"/>
        <v>45218</v>
      </c>
      <c r="F2209" s="511" t="s">
        <v>1247</v>
      </c>
      <c r="G2209" s="225" t="s">
        <v>1245</v>
      </c>
      <c r="H2209" s="226"/>
      <c r="I2209" s="226" t="s">
        <v>1253</v>
      </c>
      <c r="J2209" s="222" t="s">
        <v>77</v>
      </c>
      <c r="K2209" s="227"/>
      <c r="L2209" s="227"/>
    </row>
    <row r="2210" spans="1:12" ht="11.25" customHeight="1" x14ac:dyDescent="0.2">
      <c r="A2210" s="228">
        <v>2023</v>
      </c>
      <c r="B2210" s="228">
        <v>10</v>
      </c>
      <c r="C2210" s="228">
        <v>19</v>
      </c>
      <c r="D2210" s="229">
        <f t="shared" si="170"/>
        <v>45218</v>
      </c>
      <c r="E2210" s="241">
        <f t="shared" si="169"/>
        <v>45218</v>
      </c>
      <c r="F2210" s="512"/>
      <c r="G2210" s="231" t="s">
        <v>1245</v>
      </c>
      <c r="H2210" s="232"/>
      <c r="I2210" s="232" t="s">
        <v>1253</v>
      </c>
      <c r="J2210" s="228" t="s">
        <v>41</v>
      </c>
      <c r="K2210" s="233"/>
      <c r="L2210" s="233"/>
    </row>
    <row r="2211" spans="1:12" ht="11.25" customHeight="1" x14ac:dyDescent="0.2">
      <c r="A2211" s="222">
        <v>2023</v>
      </c>
      <c r="B2211" s="222">
        <v>10</v>
      </c>
      <c r="C2211" s="222">
        <v>19</v>
      </c>
      <c r="D2211" s="223">
        <f t="shared" si="170"/>
        <v>45218</v>
      </c>
      <c r="E2211" s="240">
        <f t="shared" si="169"/>
        <v>45218</v>
      </c>
      <c r="F2211" s="511" t="s">
        <v>1248</v>
      </c>
      <c r="G2211" s="225" t="s">
        <v>1245</v>
      </c>
      <c r="H2211" s="226"/>
      <c r="I2211" s="226" t="s">
        <v>1253</v>
      </c>
      <c r="J2211" s="222" t="s">
        <v>80</v>
      </c>
      <c r="K2211" s="227">
        <v>1204.0703027938061</v>
      </c>
      <c r="L2211" s="227"/>
    </row>
    <row r="2212" spans="1:12" ht="11.25" customHeight="1" x14ac:dyDescent="0.2">
      <c r="A2212" s="228">
        <v>2023</v>
      </c>
      <c r="B2212" s="228">
        <v>10</v>
      </c>
      <c r="C2212" s="228">
        <v>19</v>
      </c>
      <c r="D2212" s="229">
        <f t="shared" si="170"/>
        <v>45218</v>
      </c>
      <c r="E2212" s="241">
        <f t="shared" si="169"/>
        <v>45218</v>
      </c>
      <c r="F2212" s="512"/>
      <c r="G2212" s="231" t="s">
        <v>1245</v>
      </c>
      <c r="H2212" s="232"/>
      <c r="I2212" s="232" t="s">
        <v>1253</v>
      </c>
      <c r="J2212" s="228" t="s">
        <v>42</v>
      </c>
      <c r="K2212" s="233"/>
      <c r="L2212" s="233">
        <v>1204.0703027938061</v>
      </c>
    </row>
    <row r="2213" spans="1:12" ht="11.25" customHeight="1" x14ac:dyDescent="0.2">
      <c r="A2213" s="197">
        <v>2023</v>
      </c>
      <c r="B2213" s="197">
        <v>10</v>
      </c>
      <c r="C2213" s="197">
        <v>22</v>
      </c>
      <c r="D2213" s="198">
        <f t="shared" si="170"/>
        <v>45221</v>
      </c>
      <c r="E2213" s="209">
        <f t="shared" si="169"/>
        <v>45221</v>
      </c>
      <c r="F2213" s="513" t="s">
        <v>1280</v>
      </c>
      <c r="G2213" s="200" t="s">
        <v>1209</v>
      </c>
      <c r="H2213" s="201"/>
      <c r="I2213" s="201" t="s">
        <v>422</v>
      </c>
      <c r="J2213" s="197" t="s">
        <v>16</v>
      </c>
      <c r="K2213" s="202">
        <v>598110</v>
      </c>
      <c r="L2213" s="202"/>
    </row>
    <row r="2214" spans="1:12" ht="11.25" customHeight="1" x14ac:dyDescent="0.2">
      <c r="A2214" s="120">
        <v>2023</v>
      </c>
      <c r="B2214" s="120">
        <v>10</v>
      </c>
      <c r="C2214" s="120">
        <v>22</v>
      </c>
      <c r="D2214" s="208">
        <f t="shared" si="170"/>
        <v>45221</v>
      </c>
      <c r="E2214" s="209">
        <f t="shared" si="169"/>
        <v>45221</v>
      </c>
      <c r="F2214" s="515"/>
      <c r="G2214" s="132" t="s">
        <v>1209</v>
      </c>
      <c r="I2214" s="128" t="s">
        <v>422</v>
      </c>
      <c r="J2214" s="120" t="s">
        <v>47</v>
      </c>
      <c r="K2214" s="207">
        <v>31221.34</v>
      </c>
      <c r="L2214" s="207"/>
    </row>
    <row r="2215" spans="1:12" ht="11.25" customHeight="1" x14ac:dyDescent="0.2">
      <c r="A2215" s="191">
        <v>2023</v>
      </c>
      <c r="B2215" s="191">
        <v>10</v>
      </c>
      <c r="C2215" s="191">
        <v>22</v>
      </c>
      <c r="D2215" s="192">
        <f t="shared" si="170"/>
        <v>45221</v>
      </c>
      <c r="E2215" s="193">
        <f t="shared" si="169"/>
        <v>45221</v>
      </c>
      <c r="F2215" s="514"/>
      <c r="G2215" s="194" t="s">
        <v>1209</v>
      </c>
      <c r="H2215" s="195"/>
      <c r="I2215" s="195" t="s">
        <v>422</v>
      </c>
      <c r="J2215" s="191" t="s">
        <v>46</v>
      </c>
      <c r="K2215" s="196"/>
      <c r="L2215" s="196">
        <v>629331.34</v>
      </c>
    </row>
    <row r="2216" spans="1:12" ht="11.25" customHeight="1" x14ac:dyDescent="0.2">
      <c r="A2216" s="197">
        <v>2023</v>
      </c>
      <c r="B2216" s="197">
        <v>10</v>
      </c>
      <c r="C2216" s="197">
        <v>22</v>
      </c>
      <c r="D2216" s="198">
        <f t="shared" si="170"/>
        <v>45221</v>
      </c>
      <c r="E2216" s="199">
        <f>DATE(A2216,B2216,C2216)</f>
        <v>45221</v>
      </c>
      <c r="F2216" s="513" t="s">
        <v>1323</v>
      </c>
      <c r="G2216" s="200" t="s">
        <v>1209</v>
      </c>
      <c r="H2216" s="201"/>
      <c r="I2216" s="201"/>
      <c r="J2216" s="197" t="s">
        <v>54</v>
      </c>
      <c r="K2216" s="202">
        <v>59.995999811915702</v>
      </c>
      <c r="L2216" s="202"/>
    </row>
    <row r="2217" spans="1:12" ht="11.25" customHeight="1" x14ac:dyDescent="0.2">
      <c r="A2217" s="191">
        <v>2023</v>
      </c>
      <c r="B2217" s="191">
        <v>10</v>
      </c>
      <c r="C2217" s="191">
        <v>22</v>
      </c>
      <c r="D2217" s="192">
        <f t="shared" si="170"/>
        <v>45221</v>
      </c>
      <c r="E2217" s="193">
        <f>DATE(A2217,B2217,C2217)</f>
        <v>45221</v>
      </c>
      <c r="F2217" s="514"/>
      <c r="G2217" s="194" t="s">
        <v>1209</v>
      </c>
      <c r="H2217" s="195"/>
      <c r="I2217" s="195"/>
      <c r="J2217" s="191" t="s">
        <v>46</v>
      </c>
      <c r="K2217" s="196"/>
      <c r="L2217" s="196">
        <v>59.995999811915702</v>
      </c>
    </row>
    <row r="2218" spans="1:12" ht="11.25" customHeight="1" x14ac:dyDescent="0.2">
      <c r="A2218" s="197">
        <v>2023</v>
      </c>
      <c r="B2218" s="197">
        <v>10</v>
      </c>
      <c r="C2218" s="197">
        <v>22</v>
      </c>
      <c r="D2218" s="198">
        <f t="shared" si="170"/>
        <v>45221</v>
      </c>
      <c r="E2218" s="209">
        <f t="shared" ref="E2218:E2227" si="171">DATE(A2218,B2218,C2218)</f>
        <v>45221</v>
      </c>
      <c r="F2218" s="513" t="s">
        <v>1210</v>
      </c>
      <c r="G2218" s="200" t="s">
        <v>1209</v>
      </c>
      <c r="H2218" s="201"/>
      <c r="I2218" s="201" t="s">
        <v>422</v>
      </c>
      <c r="J2218" s="197" t="s">
        <v>46</v>
      </c>
      <c r="K2218" s="202">
        <v>50000000</v>
      </c>
      <c r="L2218" s="202"/>
    </row>
    <row r="2219" spans="1:12" ht="11.25" customHeight="1" x14ac:dyDescent="0.2">
      <c r="A2219" s="120">
        <v>2023</v>
      </c>
      <c r="B2219" s="120">
        <v>10</v>
      </c>
      <c r="C2219" s="120">
        <v>22</v>
      </c>
      <c r="D2219" s="208">
        <f t="shared" si="170"/>
        <v>45221</v>
      </c>
      <c r="E2219" s="209">
        <f t="shared" si="171"/>
        <v>45221</v>
      </c>
      <c r="F2219" s="515"/>
      <c r="G2219" s="132" t="s">
        <v>1209</v>
      </c>
      <c r="I2219" s="128" t="s">
        <v>422</v>
      </c>
      <c r="J2219" s="120" t="s">
        <v>16</v>
      </c>
      <c r="K2219" s="207"/>
      <c r="L2219" s="207">
        <v>47519480</v>
      </c>
    </row>
    <row r="2220" spans="1:12" ht="11.25" customHeight="1" x14ac:dyDescent="0.2">
      <c r="A2220" s="191">
        <v>2023</v>
      </c>
      <c r="B2220" s="191">
        <v>10</v>
      </c>
      <c r="C2220" s="191">
        <v>22</v>
      </c>
      <c r="D2220" s="192">
        <f t="shared" si="170"/>
        <v>45221</v>
      </c>
      <c r="E2220" s="193">
        <f t="shared" si="171"/>
        <v>45221</v>
      </c>
      <c r="F2220" s="514"/>
      <c r="G2220" s="194" t="s">
        <v>1209</v>
      </c>
      <c r="H2220" s="195"/>
      <c r="I2220" s="195" t="s">
        <v>422</v>
      </c>
      <c r="J2220" s="191" t="s">
        <v>47</v>
      </c>
      <c r="K2220" s="196"/>
      <c r="L2220" s="196">
        <v>2480520</v>
      </c>
    </row>
    <row r="2221" spans="1:12" ht="11.25" customHeight="1" x14ac:dyDescent="0.2">
      <c r="A2221" s="197">
        <v>2023</v>
      </c>
      <c r="B2221" s="197">
        <v>10</v>
      </c>
      <c r="C2221" s="197">
        <v>22</v>
      </c>
      <c r="D2221" s="198">
        <f t="shared" si="170"/>
        <v>45221</v>
      </c>
      <c r="E2221" s="199">
        <f t="shared" si="171"/>
        <v>45221</v>
      </c>
      <c r="F2221" s="513" t="s">
        <v>1279</v>
      </c>
      <c r="G2221" s="200" t="s">
        <v>1209</v>
      </c>
      <c r="H2221" s="201"/>
      <c r="I2221" s="201" t="s">
        <v>1253</v>
      </c>
      <c r="J2221" s="197" t="s">
        <v>76</v>
      </c>
      <c r="K2221" s="202">
        <v>9000000</v>
      </c>
      <c r="L2221" s="202"/>
    </row>
    <row r="2222" spans="1:12" ht="11.25" customHeight="1" x14ac:dyDescent="0.2">
      <c r="A2222" s="120">
        <v>2023</v>
      </c>
      <c r="B2222" s="120">
        <v>10</v>
      </c>
      <c r="C2222" s="120">
        <v>22</v>
      </c>
      <c r="D2222" s="208">
        <f t="shared" si="170"/>
        <v>45221</v>
      </c>
      <c r="E2222" s="209">
        <f>DATE(A2222,B2222,C2222)</f>
        <v>45221</v>
      </c>
      <c r="F2222" s="515"/>
      <c r="G2222" s="132" t="s">
        <v>1209</v>
      </c>
      <c r="J2222" s="120" t="s">
        <v>76</v>
      </c>
      <c r="K2222" s="207">
        <v>9000000</v>
      </c>
      <c r="L2222" s="207"/>
    </row>
    <row r="2223" spans="1:12" ht="11.25" customHeight="1" x14ac:dyDescent="0.2">
      <c r="A2223" s="120">
        <v>2023</v>
      </c>
      <c r="B2223" s="120">
        <v>10</v>
      </c>
      <c r="C2223" s="120">
        <v>22</v>
      </c>
      <c r="D2223" s="208">
        <f t="shared" si="170"/>
        <v>45221</v>
      </c>
      <c r="E2223" s="209">
        <f>DATE(A2223,B2223,C2223)</f>
        <v>45221</v>
      </c>
      <c r="F2223" s="515"/>
      <c r="G2223" s="132" t="s">
        <v>1209</v>
      </c>
      <c r="J2223" s="120" t="s">
        <v>76</v>
      </c>
      <c r="K2223" s="207">
        <v>9000000</v>
      </c>
      <c r="L2223" s="207"/>
    </row>
    <row r="2224" spans="1:12" ht="11.25" customHeight="1" x14ac:dyDescent="0.2">
      <c r="A2224" s="120">
        <v>2023</v>
      </c>
      <c r="B2224" s="120">
        <v>10</v>
      </c>
      <c r="C2224" s="120">
        <v>22</v>
      </c>
      <c r="D2224" s="208">
        <f t="shared" si="170"/>
        <v>45221</v>
      </c>
      <c r="E2224" s="209">
        <f>DATE(A2224,B2224,C2224)</f>
        <v>45221</v>
      </c>
      <c r="F2224" s="515"/>
      <c r="G2224" s="132" t="s">
        <v>1209</v>
      </c>
      <c r="J2224" s="120" t="s">
        <v>76</v>
      </c>
      <c r="K2224" s="207">
        <v>9000000</v>
      </c>
      <c r="L2224" s="207"/>
    </row>
    <row r="2225" spans="1:12" ht="11.25" customHeight="1" x14ac:dyDescent="0.2">
      <c r="A2225" s="120">
        <v>2023</v>
      </c>
      <c r="B2225" s="120">
        <v>10</v>
      </c>
      <c r="C2225" s="120">
        <v>22</v>
      </c>
      <c r="D2225" s="208">
        <f t="shared" si="170"/>
        <v>45221</v>
      </c>
      <c r="E2225" s="209">
        <f>DATE(A2225,B2225,C2225)</f>
        <v>45221</v>
      </c>
      <c r="F2225" s="515"/>
      <c r="G2225" s="132" t="s">
        <v>1209</v>
      </c>
      <c r="J2225" s="120" t="s">
        <v>76</v>
      </c>
      <c r="K2225" s="207">
        <v>9000000</v>
      </c>
      <c r="L2225" s="207"/>
    </row>
    <row r="2226" spans="1:12" ht="11.25" customHeight="1" x14ac:dyDescent="0.2">
      <c r="A2226" s="120">
        <v>2023</v>
      </c>
      <c r="B2226" s="120">
        <v>10</v>
      </c>
      <c r="C2226" s="120">
        <v>22</v>
      </c>
      <c r="D2226" s="208">
        <f t="shared" si="170"/>
        <v>45221</v>
      </c>
      <c r="E2226" s="209">
        <f>DATE(A2226,B2226,C2226)</f>
        <v>45221</v>
      </c>
      <c r="F2226" s="515"/>
      <c r="G2226" s="132" t="s">
        <v>1209</v>
      </c>
      <c r="J2226" s="120" t="s">
        <v>76</v>
      </c>
      <c r="K2226" s="207">
        <v>5000000</v>
      </c>
      <c r="L2226" s="207"/>
    </row>
    <row r="2227" spans="1:12" ht="11.25" customHeight="1" x14ac:dyDescent="0.2">
      <c r="A2227" s="191">
        <v>2023</v>
      </c>
      <c r="B2227" s="191">
        <v>10</v>
      </c>
      <c r="C2227" s="191">
        <v>22</v>
      </c>
      <c r="D2227" s="192">
        <f t="shared" si="170"/>
        <v>45221</v>
      </c>
      <c r="E2227" s="193">
        <f t="shared" si="171"/>
        <v>45221</v>
      </c>
      <c r="F2227" s="514"/>
      <c r="G2227" s="194" t="s">
        <v>1209</v>
      </c>
      <c r="H2227" s="195"/>
      <c r="I2227" s="195" t="s">
        <v>1253</v>
      </c>
      <c r="J2227" s="191" t="s">
        <v>46</v>
      </c>
      <c r="K2227" s="196"/>
      <c r="L2227" s="196">
        <v>50000000</v>
      </c>
    </row>
    <row r="2228" spans="1:12" ht="11.25" customHeight="1" x14ac:dyDescent="0.2">
      <c r="A2228" s="197">
        <v>2023</v>
      </c>
      <c r="B2228" s="197">
        <v>10</v>
      </c>
      <c r="C2228" s="197">
        <v>23</v>
      </c>
      <c r="D2228" s="198">
        <f t="shared" si="170"/>
        <v>45222</v>
      </c>
      <c r="E2228" s="199">
        <f t="shared" ref="E2228:E2234" si="172">DATE(A2228,B2228,C2228)</f>
        <v>45222</v>
      </c>
      <c r="F2228" s="513" t="s">
        <v>1279</v>
      </c>
      <c r="G2228" s="200" t="s">
        <v>1209</v>
      </c>
      <c r="H2228" s="201"/>
      <c r="I2228" s="201" t="s">
        <v>1253</v>
      </c>
      <c r="J2228" s="197" t="s">
        <v>76</v>
      </c>
      <c r="K2228" s="202">
        <v>9000000</v>
      </c>
      <c r="L2228" s="202"/>
    </row>
    <row r="2229" spans="1:12" ht="11.25" customHeight="1" x14ac:dyDescent="0.2">
      <c r="A2229" s="120">
        <v>2023</v>
      </c>
      <c r="B2229" s="120">
        <v>10</v>
      </c>
      <c r="C2229" s="120">
        <v>23</v>
      </c>
      <c r="D2229" s="208">
        <f t="shared" si="170"/>
        <v>45222</v>
      </c>
      <c r="E2229" s="209">
        <f t="shared" si="172"/>
        <v>45222</v>
      </c>
      <c r="F2229" s="515"/>
      <c r="G2229" s="132" t="s">
        <v>1209</v>
      </c>
      <c r="J2229" s="120" t="s">
        <v>76</v>
      </c>
      <c r="K2229" s="207">
        <v>9000000</v>
      </c>
      <c r="L2229" s="207"/>
    </row>
    <row r="2230" spans="1:12" ht="11.25" customHeight="1" x14ac:dyDescent="0.2">
      <c r="A2230" s="120">
        <v>2023</v>
      </c>
      <c r="B2230" s="120">
        <v>10</v>
      </c>
      <c r="C2230" s="120">
        <v>23</v>
      </c>
      <c r="D2230" s="208">
        <f t="shared" si="170"/>
        <v>45222</v>
      </c>
      <c r="E2230" s="209">
        <f t="shared" si="172"/>
        <v>45222</v>
      </c>
      <c r="F2230" s="515"/>
      <c r="G2230" s="132" t="s">
        <v>1209</v>
      </c>
      <c r="J2230" s="120" t="s">
        <v>76</v>
      </c>
      <c r="K2230" s="207">
        <v>9000000</v>
      </c>
      <c r="L2230" s="207"/>
    </row>
    <row r="2231" spans="1:12" ht="11.25" customHeight="1" x14ac:dyDescent="0.2">
      <c r="A2231" s="120">
        <v>2023</v>
      </c>
      <c r="B2231" s="120">
        <v>10</v>
      </c>
      <c r="C2231" s="120">
        <v>23</v>
      </c>
      <c r="D2231" s="208">
        <f t="shared" si="170"/>
        <v>45222</v>
      </c>
      <c r="E2231" s="209">
        <f t="shared" si="172"/>
        <v>45222</v>
      </c>
      <c r="F2231" s="515"/>
      <c r="G2231" s="132" t="s">
        <v>1209</v>
      </c>
      <c r="J2231" s="120" t="s">
        <v>76</v>
      </c>
      <c r="K2231" s="207">
        <v>9000000</v>
      </c>
      <c r="L2231" s="207"/>
    </row>
    <row r="2232" spans="1:12" ht="11.25" customHeight="1" x14ac:dyDescent="0.2">
      <c r="A2232" s="120">
        <v>2023</v>
      </c>
      <c r="B2232" s="120">
        <v>10</v>
      </c>
      <c r="C2232" s="120">
        <v>23</v>
      </c>
      <c r="D2232" s="208">
        <f t="shared" si="170"/>
        <v>45222</v>
      </c>
      <c r="E2232" s="209">
        <f t="shared" si="172"/>
        <v>45222</v>
      </c>
      <c r="F2232" s="515"/>
      <c r="G2232" s="132" t="s">
        <v>1209</v>
      </c>
      <c r="J2232" s="120" t="s">
        <v>76</v>
      </c>
      <c r="K2232" s="207">
        <v>9000000</v>
      </c>
      <c r="L2232" s="207"/>
    </row>
    <row r="2233" spans="1:12" ht="11.25" customHeight="1" x14ac:dyDescent="0.2">
      <c r="A2233" s="120">
        <v>2023</v>
      </c>
      <c r="B2233" s="120">
        <v>10</v>
      </c>
      <c r="C2233" s="120">
        <v>23</v>
      </c>
      <c r="D2233" s="208">
        <f t="shared" si="170"/>
        <v>45222</v>
      </c>
      <c r="E2233" s="209">
        <f t="shared" si="172"/>
        <v>45222</v>
      </c>
      <c r="F2233" s="515"/>
      <c r="G2233" s="132" t="s">
        <v>1209</v>
      </c>
      <c r="J2233" s="120" t="s">
        <v>76</v>
      </c>
      <c r="K2233" s="207">
        <v>5000000</v>
      </c>
      <c r="L2233" s="207"/>
    </row>
    <row r="2234" spans="1:12" ht="11.25" customHeight="1" x14ac:dyDescent="0.2">
      <c r="A2234" s="191">
        <v>2023</v>
      </c>
      <c r="B2234" s="191">
        <v>10</v>
      </c>
      <c r="C2234" s="191">
        <v>23</v>
      </c>
      <c r="D2234" s="192">
        <f t="shared" si="170"/>
        <v>45222</v>
      </c>
      <c r="E2234" s="193">
        <f t="shared" si="172"/>
        <v>45222</v>
      </c>
      <c r="F2234" s="514"/>
      <c r="G2234" s="194" t="s">
        <v>1209</v>
      </c>
      <c r="H2234" s="195"/>
      <c r="I2234" s="195" t="s">
        <v>1253</v>
      </c>
      <c r="J2234" s="191" t="s">
        <v>46</v>
      </c>
      <c r="K2234" s="196"/>
      <c r="L2234" s="196">
        <v>50000000</v>
      </c>
    </row>
    <row r="2235" spans="1:12" ht="11.25" customHeight="1" x14ac:dyDescent="0.2">
      <c r="A2235" s="197">
        <v>2023</v>
      </c>
      <c r="B2235" s="197">
        <v>10</v>
      </c>
      <c r="C2235" s="197">
        <v>23</v>
      </c>
      <c r="D2235" s="198">
        <f t="shared" si="170"/>
        <v>45222</v>
      </c>
      <c r="E2235" s="199">
        <f t="shared" ref="E2235:E2242" si="173">DATE(A2235,B2235,C2235)</f>
        <v>45222</v>
      </c>
      <c r="F2235" s="513" t="s">
        <v>1323</v>
      </c>
      <c r="G2235" s="200" t="s">
        <v>1209</v>
      </c>
      <c r="H2235" s="201"/>
      <c r="I2235" s="201"/>
      <c r="J2235" s="197" t="s">
        <v>54</v>
      </c>
      <c r="K2235" s="202">
        <v>60</v>
      </c>
      <c r="L2235" s="202"/>
    </row>
    <row r="2236" spans="1:12" ht="11.25" customHeight="1" x14ac:dyDescent="0.2">
      <c r="A2236" s="191">
        <v>2023</v>
      </c>
      <c r="B2236" s="191">
        <v>10</v>
      </c>
      <c r="C2236" s="191">
        <v>23</v>
      </c>
      <c r="D2236" s="192">
        <f t="shared" si="170"/>
        <v>45222</v>
      </c>
      <c r="E2236" s="193">
        <f t="shared" si="173"/>
        <v>45222</v>
      </c>
      <c r="F2236" s="514"/>
      <c r="G2236" s="194" t="s">
        <v>1209</v>
      </c>
      <c r="H2236" s="195"/>
      <c r="I2236" s="195"/>
      <c r="J2236" s="191" t="s">
        <v>46</v>
      </c>
      <c r="K2236" s="196"/>
      <c r="L2236" s="196">
        <v>60</v>
      </c>
    </row>
    <row r="2237" spans="1:12" ht="11.25" customHeight="1" x14ac:dyDescent="0.2">
      <c r="A2237" s="197">
        <v>2023</v>
      </c>
      <c r="B2237" s="197">
        <v>10</v>
      </c>
      <c r="C2237" s="197">
        <v>23</v>
      </c>
      <c r="D2237" s="198">
        <f t="shared" si="170"/>
        <v>45222</v>
      </c>
      <c r="E2237" s="209">
        <f t="shared" si="173"/>
        <v>45222</v>
      </c>
      <c r="F2237" s="513" t="s">
        <v>1210</v>
      </c>
      <c r="G2237" s="200" t="s">
        <v>1209</v>
      </c>
      <c r="H2237" s="201"/>
      <c r="I2237" s="201" t="s">
        <v>453</v>
      </c>
      <c r="J2237" s="197" t="s">
        <v>46</v>
      </c>
      <c r="K2237" s="202">
        <v>3000000</v>
      </c>
      <c r="L2237" s="202"/>
    </row>
    <row r="2238" spans="1:12" ht="11.25" customHeight="1" x14ac:dyDescent="0.2">
      <c r="A2238" s="120">
        <v>2023</v>
      </c>
      <c r="B2238" s="120">
        <v>10</v>
      </c>
      <c r="C2238" s="120">
        <v>23</v>
      </c>
      <c r="D2238" s="208">
        <f t="shared" si="170"/>
        <v>45222</v>
      </c>
      <c r="E2238" s="209">
        <f t="shared" si="173"/>
        <v>45222</v>
      </c>
      <c r="F2238" s="515"/>
      <c r="G2238" s="132" t="s">
        <v>1209</v>
      </c>
      <c r="I2238" s="128" t="s">
        <v>453</v>
      </c>
      <c r="J2238" s="120" t="s">
        <v>16</v>
      </c>
      <c r="K2238" s="207"/>
      <c r="L2238" s="207">
        <v>2851170</v>
      </c>
    </row>
    <row r="2239" spans="1:12" ht="11.25" customHeight="1" x14ac:dyDescent="0.2">
      <c r="A2239" s="191">
        <v>2023</v>
      </c>
      <c r="B2239" s="191">
        <v>10</v>
      </c>
      <c r="C2239" s="191">
        <v>23</v>
      </c>
      <c r="D2239" s="192">
        <f t="shared" si="170"/>
        <v>45222</v>
      </c>
      <c r="E2239" s="193">
        <f t="shared" si="173"/>
        <v>45222</v>
      </c>
      <c r="F2239" s="514"/>
      <c r="G2239" s="194" t="s">
        <v>1209</v>
      </c>
      <c r="H2239" s="195"/>
      <c r="I2239" s="195" t="s">
        <v>453</v>
      </c>
      <c r="J2239" s="191" t="s">
        <v>47</v>
      </c>
      <c r="K2239" s="196"/>
      <c r="L2239" s="196">
        <v>148830</v>
      </c>
    </row>
    <row r="2240" spans="1:12" ht="11.25" customHeight="1" x14ac:dyDescent="0.2">
      <c r="A2240" s="197">
        <v>2023</v>
      </c>
      <c r="B2240" s="197">
        <v>10</v>
      </c>
      <c r="C2240" s="197">
        <v>23</v>
      </c>
      <c r="D2240" s="198">
        <f t="shared" si="170"/>
        <v>45222</v>
      </c>
      <c r="E2240" s="199">
        <f t="shared" si="173"/>
        <v>45222</v>
      </c>
      <c r="F2240" s="513" t="s">
        <v>1441</v>
      </c>
      <c r="G2240" s="200" t="s">
        <v>1209</v>
      </c>
      <c r="H2240" s="201"/>
      <c r="I2240" s="201" t="s">
        <v>1253</v>
      </c>
      <c r="J2240" s="197" t="s">
        <v>46</v>
      </c>
      <c r="K2240" s="202">
        <v>2098830.5099999998</v>
      </c>
      <c r="L2240" s="202"/>
    </row>
    <row r="2241" spans="1:14" ht="11.25" customHeight="1" x14ac:dyDescent="0.2">
      <c r="A2241" s="120">
        <v>2023</v>
      </c>
      <c r="B2241" s="120">
        <v>10</v>
      </c>
      <c r="C2241" s="120">
        <v>23</v>
      </c>
      <c r="D2241" s="208">
        <f t="shared" si="170"/>
        <v>45222</v>
      </c>
      <c r="E2241" s="209">
        <f t="shared" si="173"/>
        <v>45222</v>
      </c>
      <c r="F2241" s="515"/>
      <c r="G2241" s="132" t="s">
        <v>1209</v>
      </c>
      <c r="J2241" s="120" t="s">
        <v>1476</v>
      </c>
      <c r="K2241" s="207"/>
      <c r="L2241" s="207">
        <v>28033.07</v>
      </c>
    </row>
    <row r="2242" spans="1:14" ht="11.25" customHeight="1" x14ac:dyDescent="0.2">
      <c r="A2242" s="191">
        <v>2023</v>
      </c>
      <c r="B2242" s="191">
        <v>10</v>
      </c>
      <c r="C2242" s="191">
        <v>23</v>
      </c>
      <c r="D2242" s="192">
        <f t="shared" si="170"/>
        <v>45222</v>
      </c>
      <c r="E2242" s="193">
        <f t="shared" si="173"/>
        <v>45222</v>
      </c>
      <c r="F2242" s="514"/>
      <c r="G2242" s="194" t="s">
        <v>1209</v>
      </c>
      <c r="H2242" s="195"/>
      <c r="I2242" s="195" t="s">
        <v>1253</v>
      </c>
      <c r="J2242" s="191" t="s">
        <v>1475</v>
      </c>
      <c r="K2242" s="196"/>
      <c r="L2242" s="196">
        <v>2070797.44</v>
      </c>
      <c r="N2242" s="130"/>
    </row>
    <row r="2243" spans="1:14" ht="11.25" customHeight="1" x14ac:dyDescent="0.2">
      <c r="A2243" s="197">
        <v>2023</v>
      </c>
      <c r="B2243" s="197">
        <v>10</v>
      </c>
      <c r="C2243" s="197">
        <v>25</v>
      </c>
      <c r="D2243" s="198">
        <f t="shared" si="170"/>
        <v>45224</v>
      </c>
      <c r="E2243" s="209">
        <f t="shared" ref="E2243:E2249" si="174">DATE(A2243,B2243,C2243)</f>
        <v>45224</v>
      </c>
      <c r="F2243" s="513" t="s">
        <v>1280</v>
      </c>
      <c r="G2243" s="200" t="s">
        <v>1209</v>
      </c>
      <c r="H2243" s="201"/>
      <c r="I2243" s="201" t="s">
        <v>422</v>
      </c>
      <c r="J2243" s="197" t="s">
        <v>16</v>
      </c>
      <c r="K2243" s="202">
        <v>391470</v>
      </c>
      <c r="L2243" s="202"/>
    </row>
    <row r="2244" spans="1:14" ht="11.25" customHeight="1" x14ac:dyDescent="0.2">
      <c r="A2244" s="120">
        <v>2023</v>
      </c>
      <c r="B2244" s="120">
        <v>10</v>
      </c>
      <c r="C2244" s="120">
        <v>25</v>
      </c>
      <c r="D2244" s="208">
        <f t="shared" si="170"/>
        <v>45224</v>
      </c>
      <c r="E2244" s="209">
        <f t="shared" si="174"/>
        <v>45224</v>
      </c>
      <c r="F2244" s="515"/>
      <c r="G2244" s="132" t="s">
        <v>1209</v>
      </c>
      <c r="I2244" s="128" t="s">
        <v>422</v>
      </c>
      <c r="J2244" s="120" t="s">
        <v>47</v>
      </c>
      <c r="K2244" s="207">
        <v>20434.729999999981</v>
      </c>
      <c r="L2244" s="207"/>
    </row>
    <row r="2245" spans="1:14" ht="11.25" customHeight="1" x14ac:dyDescent="0.2">
      <c r="A2245" s="191">
        <v>2023</v>
      </c>
      <c r="B2245" s="191">
        <v>10</v>
      </c>
      <c r="C2245" s="191">
        <v>25</v>
      </c>
      <c r="D2245" s="192">
        <f t="shared" ref="D2245:D2304" si="175">DATE(A2245,B2245,C2245)</f>
        <v>45224</v>
      </c>
      <c r="E2245" s="193">
        <f t="shared" si="174"/>
        <v>45224</v>
      </c>
      <c r="F2245" s="514"/>
      <c r="G2245" s="194" t="s">
        <v>1209</v>
      </c>
      <c r="H2245" s="195"/>
      <c r="I2245" s="195" t="s">
        <v>422</v>
      </c>
      <c r="J2245" s="191" t="s">
        <v>46</v>
      </c>
      <c r="K2245" s="196"/>
      <c r="L2245" s="196">
        <v>411904.73</v>
      </c>
    </row>
    <row r="2246" spans="1:14" ht="11.25" customHeight="1" x14ac:dyDescent="0.2">
      <c r="A2246" s="197">
        <v>2023</v>
      </c>
      <c r="B2246" s="197">
        <v>10</v>
      </c>
      <c r="C2246" s="197">
        <v>26</v>
      </c>
      <c r="D2246" s="198">
        <f t="shared" si="175"/>
        <v>45225</v>
      </c>
      <c r="E2246" s="199">
        <f t="shared" si="174"/>
        <v>45225</v>
      </c>
      <c r="F2246" s="513" t="s">
        <v>1279</v>
      </c>
      <c r="G2246" s="200" t="s">
        <v>1209</v>
      </c>
      <c r="H2246" s="201"/>
      <c r="I2246" s="201" t="s">
        <v>1253</v>
      </c>
      <c r="J2246" s="197" t="s">
        <v>76</v>
      </c>
      <c r="K2246" s="202">
        <v>6500000</v>
      </c>
      <c r="L2246" s="202"/>
    </row>
    <row r="2247" spans="1:14" ht="11.25" customHeight="1" x14ac:dyDescent="0.2">
      <c r="A2247" s="191">
        <v>2023</v>
      </c>
      <c r="B2247" s="191">
        <v>10</v>
      </c>
      <c r="C2247" s="191">
        <v>26</v>
      </c>
      <c r="D2247" s="192">
        <f t="shared" si="175"/>
        <v>45225</v>
      </c>
      <c r="E2247" s="193">
        <f t="shared" si="174"/>
        <v>45225</v>
      </c>
      <c r="F2247" s="514"/>
      <c r="G2247" s="194" t="s">
        <v>1209</v>
      </c>
      <c r="H2247" s="195"/>
      <c r="I2247" s="195" t="s">
        <v>1253</v>
      </c>
      <c r="J2247" s="191" t="s">
        <v>46</v>
      </c>
      <c r="K2247" s="196"/>
      <c r="L2247" s="196">
        <v>6500000</v>
      </c>
    </row>
    <row r="2248" spans="1:14" ht="11.25" customHeight="1" x14ac:dyDescent="0.2">
      <c r="A2248" s="197">
        <v>2023</v>
      </c>
      <c r="B2248" s="197">
        <v>10</v>
      </c>
      <c r="C2248" s="197">
        <v>23</v>
      </c>
      <c r="D2248" s="198">
        <f t="shared" si="175"/>
        <v>45222</v>
      </c>
      <c r="E2248" s="290">
        <f t="shared" si="174"/>
        <v>45222</v>
      </c>
      <c r="F2248" s="513" t="s">
        <v>1359</v>
      </c>
      <c r="G2248" s="200" t="s">
        <v>1245</v>
      </c>
      <c r="H2248" s="201"/>
      <c r="I2248" s="201" t="s">
        <v>1253</v>
      </c>
      <c r="J2248" s="197" t="s">
        <v>1476</v>
      </c>
      <c r="K2248" s="202">
        <v>8341.8499999999385</v>
      </c>
      <c r="L2248" s="202"/>
    </row>
    <row r="2249" spans="1:14" ht="11.25" customHeight="1" x14ac:dyDescent="0.2">
      <c r="A2249" s="191">
        <v>2023</v>
      </c>
      <c r="B2249" s="191">
        <v>10</v>
      </c>
      <c r="C2249" s="191">
        <v>23</v>
      </c>
      <c r="D2249" s="192">
        <f t="shared" si="175"/>
        <v>45222</v>
      </c>
      <c r="E2249" s="291">
        <f t="shared" si="174"/>
        <v>45222</v>
      </c>
      <c r="F2249" s="514"/>
      <c r="G2249" s="194" t="s">
        <v>1245</v>
      </c>
      <c r="H2249" s="195"/>
      <c r="I2249" s="195" t="s">
        <v>1253</v>
      </c>
      <c r="J2249" s="191" t="s">
        <v>153</v>
      </c>
      <c r="K2249" s="196"/>
      <c r="L2249" s="196">
        <v>8341.8499999999385</v>
      </c>
    </row>
    <row r="2250" spans="1:14" ht="11.25" customHeight="1" x14ac:dyDescent="0.2">
      <c r="A2250" s="197">
        <v>2023</v>
      </c>
      <c r="B2250" s="197">
        <v>10</v>
      </c>
      <c r="C2250" s="197">
        <v>23</v>
      </c>
      <c r="D2250" s="198">
        <f t="shared" si="175"/>
        <v>45222</v>
      </c>
      <c r="E2250" s="199">
        <f t="shared" ref="E2250:E2255" si="176">DATE(A2250,B2250,C2250)</f>
        <v>45222</v>
      </c>
      <c r="F2250" s="513" t="s">
        <v>1478</v>
      </c>
      <c r="G2250" s="200" t="s">
        <v>1209</v>
      </c>
      <c r="H2250" s="201"/>
      <c r="I2250" s="201" t="s">
        <v>1253</v>
      </c>
      <c r="J2250" s="197" t="s">
        <v>46</v>
      </c>
      <c r="K2250" s="202">
        <v>5713380.2599999998</v>
      </c>
      <c r="L2250" s="202"/>
    </row>
    <row r="2251" spans="1:14" ht="11.25" customHeight="1" x14ac:dyDescent="0.2">
      <c r="A2251" s="120">
        <v>2023</v>
      </c>
      <c r="B2251" s="120">
        <v>10</v>
      </c>
      <c r="C2251" s="120">
        <v>23</v>
      </c>
      <c r="D2251" s="208">
        <f t="shared" si="175"/>
        <v>45222</v>
      </c>
      <c r="E2251" s="209">
        <f t="shared" si="176"/>
        <v>45222</v>
      </c>
      <c r="F2251" s="515"/>
      <c r="G2251" s="132" t="s">
        <v>1209</v>
      </c>
      <c r="J2251" s="120" t="s">
        <v>1476</v>
      </c>
      <c r="K2251" s="207"/>
      <c r="L2251" s="207">
        <v>75076.649999999994</v>
      </c>
    </row>
    <row r="2252" spans="1:14" ht="11.25" customHeight="1" x14ac:dyDescent="0.2">
      <c r="A2252" s="191">
        <v>2023</v>
      </c>
      <c r="B2252" s="191">
        <v>10</v>
      </c>
      <c r="C2252" s="191">
        <v>23</v>
      </c>
      <c r="D2252" s="192">
        <f t="shared" si="175"/>
        <v>45222</v>
      </c>
      <c r="E2252" s="193">
        <f t="shared" si="176"/>
        <v>45222</v>
      </c>
      <c r="F2252" s="514"/>
      <c r="G2252" s="194" t="s">
        <v>1209</v>
      </c>
      <c r="H2252" s="195"/>
      <c r="I2252" s="195" t="s">
        <v>1253</v>
      </c>
      <c r="J2252" s="191" t="s">
        <v>1475</v>
      </c>
      <c r="K2252" s="196"/>
      <c r="L2252" s="196">
        <v>5638303.6100000003</v>
      </c>
      <c r="N2252" s="130"/>
    </row>
    <row r="2253" spans="1:14" ht="11.25" customHeight="1" x14ac:dyDescent="0.2">
      <c r="A2253" s="197">
        <v>2023</v>
      </c>
      <c r="B2253" s="197">
        <v>10</v>
      </c>
      <c r="C2253" s="197">
        <v>26</v>
      </c>
      <c r="D2253" s="198">
        <f t="shared" si="175"/>
        <v>45225</v>
      </c>
      <c r="E2253" s="209">
        <f t="shared" si="176"/>
        <v>45225</v>
      </c>
      <c r="F2253" s="513" t="s">
        <v>1296</v>
      </c>
      <c r="G2253" s="200" t="s">
        <v>1209</v>
      </c>
      <c r="H2253" s="201"/>
      <c r="I2253" s="201"/>
      <c r="J2253" s="197" t="s">
        <v>46</v>
      </c>
      <c r="K2253" s="202">
        <v>36000</v>
      </c>
      <c r="L2253" s="202"/>
    </row>
    <row r="2254" spans="1:14" ht="11.25" customHeight="1" x14ac:dyDescent="0.2">
      <c r="A2254" s="120">
        <v>2023</v>
      </c>
      <c r="B2254" s="120">
        <v>10</v>
      </c>
      <c r="C2254" s="120">
        <v>26</v>
      </c>
      <c r="D2254" s="208">
        <f t="shared" si="175"/>
        <v>45225</v>
      </c>
      <c r="E2254" s="209">
        <f t="shared" si="176"/>
        <v>45225</v>
      </c>
      <c r="F2254" s="515"/>
      <c r="G2254" s="132" t="s">
        <v>1209</v>
      </c>
      <c r="J2254" s="120" t="s">
        <v>16</v>
      </c>
      <c r="K2254" s="207"/>
      <c r="L2254" s="207">
        <v>34150</v>
      </c>
    </row>
    <row r="2255" spans="1:14" ht="11.25" customHeight="1" x14ac:dyDescent="0.2">
      <c r="A2255" s="191">
        <v>2023</v>
      </c>
      <c r="B2255" s="191">
        <v>10</v>
      </c>
      <c r="C2255" s="191">
        <v>26</v>
      </c>
      <c r="D2255" s="192">
        <f t="shared" si="175"/>
        <v>45225</v>
      </c>
      <c r="E2255" s="193">
        <f t="shared" si="176"/>
        <v>45225</v>
      </c>
      <c r="F2255" s="514"/>
      <c r="G2255" s="194" t="s">
        <v>1209</v>
      </c>
      <c r="H2255" s="195"/>
      <c r="I2255" s="195"/>
      <c r="J2255" s="191" t="s">
        <v>47</v>
      </c>
      <c r="K2255" s="196"/>
      <c r="L2255" s="196">
        <v>1850</v>
      </c>
    </row>
    <row r="2256" spans="1:14" ht="11.25" customHeight="1" x14ac:dyDescent="0.2">
      <c r="A2256" s="210">
        <v>2023</v>
      </c>
      <c r="B2256" s="210">
        <v>10</v>
      </c>
      <c r="C2256" s="210">
        <v>26</v>
      </c>
      <c r="D2256" s="211">
        <f t="shared" si="175"/>
        <v>45225</v>
      </c>
      <c r="E2256" s="238">
        <f t="shared" ref="E2256:E2289" si="177">DATE(A2256,B2256,C2256)</f>
        <v>45225</v>
      </c>
      <c r="F2256" s="520" t="s">
        <v>1278</v>
      </c>
      <c r="G2256" s="213" t="s">
        <v>1245</v>
      </c>
      <c r="H2256" s="214"/>
      <c r="I2256" s="214" t="s">
        <v>1253</v>
      </c>
      <c r="J2256" s="210" t="s">
        <v>1529</v>
      </c>
      <c r="K2256" s="215">
        <v>6512.28</v>
      </c>
      <c r="L2256" s="215"/>
    </row>
    <row r="2257" spans="1:14" ht="11.25" customHeight="1" x14ac:dyDescent="0.2">
      <c r="A2257" s="216">
        <v>2023</v>
      </c>
      <c r="B2257" s="216">
        <v>10</v>
      </c>
      <c r="C2257" s="216">
        <v>26</v>
      </c>
      <c r="D2257" s="217">
        <f t="shared" si="175"/>
        <v>45225</v>
      </c>
      <c r="E2257" s="239">
        <f t="shared" si="177"/>
        <v>45225</v>
      </c>
      <c r="F2257" s="521"/>
      <c r="G2257" s="219" t="s">
        <v>1245</v>
      </c>
      <c r="H2257" s="220"/>
      <c r="I2257" s="220" t="s">
        <v>1253</v>
      </c>
      <c r="J2257" s="216" t="s">
        <v>1581</v>
      </c>
      <c r="K2257" s="221"/>
      <c r="L2257" s="221">
        <v>6512.28</v>
      </c>
    </row>
    <row r="2258" spans="1:14" ht="11.25" customHeight="1" x14ac:dyDescent="0.2">
      <c r="A2258" s="210">
        <v>2023</v>
      </c>
      <c r="B2258" s="210">
        <v>10</v>
      </c>
      <c r="C2258" s="210">
        <v>26</v>
      </c>
      <c r="D2258" s="211">
        <f t="shared" si="175"/>
        <v>45225</v>
      </c>
      <c r="E2258" s="238">
        <f t="shared" si="177"/>
        <v>45225</v>
      </c>
      <c r="F2258" s="520" t="s">
        <v>1285</v>
      </c>
      <c r="G2258" s="213" t="s">
        <v>1245</v>
      </c>
      <c r="H2258" s="214"/>
      <c r="I2258" s="214" t="s">
        <v>1253</v>
      </c>
      <c r="J2258" s="210" t="s">
        <v>1284</v>
      </c>
      <c r="K2258" s="215">
        <v>13771.15</v>
      </c>
      <c r="L2258" s="215"/>
    </row>
    <row r="2259" spans="1:14" ht="11.25" customHeight="1" x14ac:dyDescent="0.2">
      <c r="A2259" s="242">
        <v>2023</v>
      </c>
      <c r="B2259" s="216">
        <v>10</v>
      </c>
      <c r="C2259" s="216">
        <v>26</v>
      </c>
      <c r="D2259" s="243">
        <f t="shared" si="175"/>
        <v>45225</v>
      </c>
      <c r="E2259" s="244">
        <f>DATE(A2259,B2259,C2259)</f>
        <v>45225</v>
      </c>
      <c r="F2259" s="524"/>
      <c r="G2259" s="245" t="s">
        <v>1245</v>
      </c>
      <c r="H2259" s="246"/>
      <c r="I2259" s="246"/>
      <c r="J2259" s="242" t="s">
        <v>1582</v>
      </c>
      <c r="K2259" s="247"/>
      <c r="L2259" s="247">
        <v>13771.15</v>
      </c>
    </row>
    <row r="2260" spans="1:14" ht="11.25" customHeight="1" x14ac:dyDescent="0.2">
      <c r="A2260" s="210">
        <v>2023</v>
      </c>
      <c r="B2260" s="210">
        <v>10</v>
      </c>
      <c r="C2260" s="210">
        <v>26</v>
      </c>
      <c r="D2260" s="211">
        <f t="shared" si="175"/>
        <v>45225</v>
      </c>
      <c r="E2260" s="238">
        <f t="shared" si="177"/>
        <v>45225</v>
      </c>
      <c r="F2260" s="520" t="s">
        <v>1259</v>
      </c>
      <c r="G2260" s="213" t="s">
        <v>1245</v>
      </c>
      <c r="H2260" s="214"/>
      <c r="I2260" s="214" t="s">
        <v>1253</v>
      </c>
      <c r="J2260" s="210" t="s">
        <v>58</v>
      </c>
      <c r="K2260" s="215">
        <v>31574.78</v>
      </c>
      <c r="L2260" s="215"/>
    </row>
    <row r="2261" spans="1:14" ht="11.25" customHeight="1" x14ac:dyDescent="0.2">
      <c r="A2261" s="216">
        <v>2023</v>
      </c>
      <c r="B2261" s="216">
        <v>10</v>
      </c>
      <c r="C2261" s="216">
        <v>26</v>
      </c>
      <c r="D2261" s="217">
        <f t="shared" si="175"/>
        <v>45225</v>
      </c>
      <c r="E2261" s="239">
        <f t="shared" si="177"/>
        <v>45225</v>
      </c>
      <c r="F2261" s="521"/>
      <c r="G2261" s="219" t="s">
        <v>1245</v>
      </c>
      <c r="H2261" s="220"/>
      <c r="I2261" s="220" t="s">
        <v>1253</v>
      </c>
      <c r="J2261" s="216" t="s">
        <v>153</v>
      </c>
      <c r="K2261" s="221"/>
      <c r="L2261" s="221">
        <v>31574.78</v>
      </c>
    </row>
    <row r="2262" spans="1:14" ht="11.25" customHeight="1" x14ac:dyDescent="0.2">
      <c r="A2262" s="210">
        <v>2023</v>
      </c>
      <c r="B2262" s="210">
        <v>10</v>
      </c>
      <c r="C2262" s="210">
        <v>26</v>
      </c>
      <c r="D2262" s="211">
        <f t="shared" si="175"/>
        <v>45225</v>
      </c>
      <c r="E2262" s="238">
        <f t="shared" si="177"/>
        <v>45225</v>
      </c>
      <c r="F2262" s="520" t="s">
        <v>1255</v>
      </c>
      <c r="G2262" s="213" t="s">
        <v>1245</v>
      </c>
      <c r="H2262" s="214"/>
      <c r="I2262" s="214" t="s">
        <v>1253</v>
      </c>
      <c r="J2262" s="210" t="s">
        <v>113</v>
      </c>
      <c r="K2262" s="215">
        <v>43489.58</v>
      </c>
      <c r="L2262" s="215"/>
    </row>
    <row r="2263" spans="1:14" ht="11.25" customHeight="1" x14ac:dyDescent="0.2">
      <c r="A2263" s="216">
        <v>2023</v>
      </c>
      <c r="B2263" s="216">
        <v>10</v>
      </c>
      <c r="C2263" s="216">
        <v>26</v>
      </c>
      <c r="D2263" s="217">
        <f t="shared" si="175"/>
        <v>45225</v>
      </c>
      <c r="E2263" s="239">
        <f t="shared" si="177"/>
        <v>45225</v>
      </c>
      <c r="F2263" s="521"/>
      <c r="G2263" s="219" t="s">
        <v>1245</v>
      </c>
      <c r="H2263" s="220"/>
      <c r="I2263" s="220" t="s">
        <v>1253</v>
      </c>
      <c r="J2263" s="216" t="s">
        <v>153</v>
      </c>
      <c r="K2263" s="221"/>
      <c r="L2263" s="221">
        <v>43489.58</v>
      </c>
    </row>
    <row r="2264" spans="1:14" ht="11.25" customHeight="1" x14ac:dyDescent="0.2">
      <c r="A2264" s="210">
        <v>2023</v>
      </c>
      <c r="B2264" s="210">
        <v>10</v>
      </c>
      <c r="C2264" s="210">
        <v>26</v>
      </c>
      <c r="D2264" s="211">
        <f t="shared" si="175"/>
        <v>45225</v>
      </c>
      <c r="E2264" s="238">
        <f t="shared" si="177"/>
        <v>45225</v>
      </c>
      <c r="F2264" s="520" t="s">
        <v>1256</v>
      </c>
      <c r="G2264" s="213" t="s">
        <v>1245</v>
      </c>
      <c r="H2264" s="214"/>
      <c r="I2264" s="214" t="s">
        <v>1253</v>
      </c>
      <c r="J2264" s="210" t="s">
        <v>113</v>
      </c>
      <c r="K2264" s="215">
        <v>197546.12</v>
      </c>
      <c r="L2264" s="215"/>
      <c r="N2264" s="130"/>
    </row>
    <row r="2265" spans="1:14" ht="11.25" customHeight="1" x14ac:dyDescent="0.2">
      <c r="A2265" s="216">
        <v>2023</v>
      </c>
      <c r="B2265" s="216">
        <v>10</v>
      </c>
      <c r="C2265" s="216">
        <v>26</v>
      </c>
      <c r="D2265" s="217">
        <f t="shared" si="175"/>
        <v>45225</v>
      </c>
      <c r="E2265" s="239">
        <f t="shared" si="177"/>
        <v>45225</v>
      </c>
      <c r="F2265" s="521"/>
      <c r="G2265" s="219" t="s">
        <v>1245</v>
      </c>
      <c r="H2265" s="220"/>
      <c r="I2265" s="220" t="s">
        <v>1253</v>
      </c>
      <c r="J2265" s="216" t="s">
        <v>153</v>
      </c>
      <c r="K2265" s="221"/>
      <c r="L2265" s="221">
        <v>197546.12</v>
      </c>
    </row>
    <row r="2266" spans="1:14" ht="11.25" customHeight="1" x14ac:dyDescent="0.2">
      <c r="A2266" s="210">
        <v>2023</v>
      </c>
      <c r="B2266" s="210">
        <v>10</v>
      </c>
      <c r="C2266" s="210">
        <v>26</v>
      </c>
      <c r="D2266" s="211">
        <f t="shared" si="175"/>
        <v>45225</v>
      </c>
      <c r="E2266" s="238">
        <f t="shared" si="177"/>
        <v>45225</v>
      </c>
      <c r="F2266" s="520" t="s">
        <v>1257</v>
      </c>
      <c r="G2266" s="213" t="s">
        <v>1245</v>
      </c>
      <c r="H2266" s="214"/>
      <c r="I2266" s="214" t="s">
        <v>1253</v>
      </c>
      <c r="J2266" s="210" t="s">
        <v>113</v>
      </c>
      <c r="K2266" s="215"/>
      <c r="L2266" s="215"/>
    </row>
    <row r="2267" spans="1:14" ht="11.25" customHeight="1" x14ac:dyDescent="0.2">
      <c r="A2267" s="216">
        <v>2023</v>
      </c>
      <c r="B2267" s="216">
        <v>10</v>
      </c>
      <c r="C2267" s="216">
        <v>26</v>
      </c>
      <c r="D2267" s="217">
        <f t="shared" si="175"/>
        <v>45225</v>
      </c>
      <c r="E2267" s="239">
        <f t="shared" si="177"/>
        <v>45225</v>
      </c>
      <c r="F2267" s="521"/>
      <c r="G2267" s="219" t="s">
        <v>1245</v>
      </c>
      <c r="H2267" s="220"/>
      <c r="I2267" s="220" t="s">
        <v>1253</v>
      </c>
      <c r="J2267" s="216" t="s">
        <v>153</v>
      </c>
      <c r="K2267" s="221"/>
      <c r="L2267" s="221"/>
    </row>
    <row r="2268" spans="1:14" ht="11.25" customHeight="1" x14ac:dyDescent="0.2">
      <c r="A2268" s="259">
        <v>2023</v>
      </c>
      <c r="B2268" s="259">
        <v>10</v>
      </c>
      <c r="C2268" s="259">
        <v>26</v>
      </c>
      <c r="D2268" s="260">
        <f t="shared" si="175"/>
        <v>45225</v>
      </c>
      <c r="E2268" s="261">
        <f t="shared" si="177"/>
        <v>45225</v>
      </c>
      <c r="F2268" s="531" t="s">
        <v>1442</v>
      </c>
      <c r="G2268" s="262" t="s">
        <v>1245</v>
      </c>
      <c r="H2268" s="263"/>
      <c r="I2268" s="263" t="s">
        <v>1253</v>
      </c>
      <c r="J2268" s="259" t="s">
        <v>1476</v>
      </c>
      <c r="K2268" s="264">
        <v>16921.37777777782</v>
      </c>
      <c r="L2268" s="264"/>
    </row>
    <row r="2269" spans="1:14" ht="11.25" customHeight="1" x14ac:dyDescent="0.2">
      <c r="A2269" s="265">
        <v>2023</v>
      </c>
      <c r="B2269" s="265">
        <v>10</v>
      </c>
      <c r="C2269" s="265">
        <v>26</v>
      </c>
      <c r="D2269" s="266">
        <f t="shared" si="175"/>
        <v>45225</v>
      </c>
      <c r="E2269" s="267">
        <f t="shared" si="177"/>
        <v>45225</v>
      </c>
      <c r="F2269" s="532"/>
      <c r="G2269" s="268" t="s">
        <v>1245</v>
      </c>
      <c r="H2269" s="269"/>
      <c r="I2269" s="269" t="s">
        <v>1253</v>
      </c>
      <c r="J2269" s="265" t="s">
        <v>153</v>
      </c>
      <c r="K2269" s="270"/>
      <c r="L2269" s="270">
        <v>16921.37777777782</v>
      </c>
    </row>
    <row r="2270" spans="1:14" ht="11.25" customHeight="1" x14ac:dyDescent="0.2">
      <c r="A2270" s="259">
        <v>2023</v>
      </c>
      <c r="B2270" s="259">
        <v>10</v>
      </c>
      <c r="C2270" s="259">
        <v>26</v>
      </c>
      <c r="D2270" s="260">
        <f t="shared" si="175"/>
        <v>45225</v>
      </c>
      <c r="E2270" s="261">
        <f t="shared" si="177"/>
        <v>45225</v>
      </c>
      <c r="F2270" s="531" t="s">
        <v>1448</v>
      </c>
      <c r="G2270" s="262" t="s">
        <v>1245</v>
      </c>
      <c r="H2270" s="263"/>
      <c r="I2270" s="263" t="s">
        <v>1253</v>
      </c>
      <c r="J2270" s="259" t="s">
        <v>1476</v>
      </c>
      <c r="K2270" s="264">
        <v>12458.888888888889</v>
      </c>
      <c r="L2270" s="264"/>
    </row>
    <row r="2271" spans="1:14" ht="11.25" customHeight="1" x14ac:dyDescent="0.2">
      <c r="A2271" s="265">
        <v>2023</v>
      </c>
      <c r="B2271" s="265">
        <v>10</v>
      </c>
      <c r="C2271" s="265">
        <v>26</v>
      </c>
      <c r="D2271" s="266">
        <f t="shared" si="175"/>
        <v>45225</v>
      </c>
      <c r="E2271" s="267">
        <f t="shared" si="177"/>
        <v>45225</v>
      </c>
      <c r="F2271" s="532"/>
      <c r="G2271" s="268" t="s">
        <v>1245</v>
      </c>
      <c r="H2271" s="269"/>
      <c r="I2271" s="269" t="s">
        <v>1253</v>
      </c>
      <c r="J2271" s="265" t="s">
        <v>153</v>
      </c>
      <c r="K2271" s="270"/>
      <c r="L2271" s="270">
        <v>12458.888888888889</v>
      </c>
    </row>
    <row r="2272" spans="1:14" ht="11.25" customHeight="1" x14ac:dyDescent="0.2">
      <c r="A2272" s="259">
        <v>2023</v>
      </c>
      <c r="B2272" s="259">
        <v>10</v>
      </c>
      <c r="C2272" s="259">
        <v>26</v>
      </c>
      <c r="D2272" s="260">
        <f t="shared" si="175"/>
        <v>45225</v>
      </c>
      <c r="E2272" s="261">
        <f t="shared" si="177"/>
        <v>45225</v>
      </c>
      <c r="F2272" s="531" t="s">
        <v>1442</v>
      </c>
      <c r="G2272" s="262" t="s">
        <v>1245</v>
      </c>
      <c r="H2272" s="263"/>
      <c r="I2272" s="263" t="s">
        <v>1253</v>
      </c>
      <c r="J2272" s="259" t="s">
        <v>1476</v>
      </c>
      <c r="K2272" s="264">
        <v>5245.7199999999975</v>
      </c>
      <c r="L2272" s="264"/>
    </row>
    <row r="2273" spans="1:12" ht="11.25" customHeight="1" x14ac:dyDescent="0.2">
      <c r="A2273" s="265">
        <v>2023</v>
      </c>
      <c r="B2273" s="265">
        <v>10</v>
      </c>
      <c r="C2273" s="265">
        <v>26</v>
      </c>
      <c r="D2273" s="266">
        <f t="shared" si="175"/>
        <v>45225</v>
      </c>
      <c r="E2273" s="267">
        <f t="shared" si="177"/>
        <v>45225</v>
      </c>
      <c r="F2273" s="532"/>
      <c r="G2273" s="268" t="s">
        <v>1245</v>
      </c>
      <c r="H2273" s="269"/>
      <c r="I2273" s="269" t="s">
        <v>1253</v>
      </c>
      <c r="J2273" s="265" t="s">
        <v>153</v>
      </c>
      <c r="K2273" s="270"/>
      <c r="L2273" s="270">
        <v>5245.7199999999975</v>
      </c>
    </row>
    <row r="2274" spans="1:12" ht="11.25" customHeight="1" x14ac:dyDescent="0.2">
      <c r="A2274" s="312">
        <v>2023</v>
      </c>
      <c r="B2274" s="312">
        <v>10</v>
      </c>
      <c r="C2274" s="312">
        <v>26</v>
      </c>
      <c r="D2274" s="313">
        <f t="shared" si="175"/>
        <v>45225</v>
      </c>
      <c r="E2274" s="314">
        <f t="shared" si="177"/>
        <v>45225</v>
      </c>
      <c r="F2274" s="522" t="s">
        <v>1477</v>
      </c>
      <c r="G2274" s="315" t="s">
        <v>1245</v>
      </c>
      <c r="H2274" s="316"/>
      <c r="I2274" s="316" t="s">
        <v>1253</v>
      </c>
      <c r="J2274" s="312" t="s">
        <v>1460</v>
      </c>
      <c r="K2274" s="317">
        <v>17719</v>
      </c>
      <c r="L2274" s="317"/>
    </row>
    <row r="2275" spans="1:12" ht="11.25" customHeight="1" x14ac:dyDescent="0.2">
      <c r="A2275" s="318">
        <v>2023</v>
      </c>
      <c r="B2275" s="318">
        <v>10</v>
      </c>
      <c r="C2275" s="318">
        <v>26</v>
      </c>
      <c r="D2275" s="319">
        <f t="shared" si="175"/>
        <v>45225</v>
      </c>
      <c r="E2275" s="320">
        <f t="shared" si="177"/>
        <v>45225</v>
      </c>
      <c r="F2275" s="523"/>
      <c r="G2275" s="321" t="s">
        <v>1245</v>
      </c>
      <c r="H2275" s="322"/>
      <c r="I2275" s="322" t="s">
        <v>1253</v>
      </c>
      <c r="J2275" s="318" t="s">
        <v>1458</v>
      </c>
      <c r="K2275" s="323"/>
      <c r="L2275" s="323">
        <v>17719</v>
      </c>
    </row>
    <row r="2276" spans="1:12" ht="11.25" customHeight="1" x14ac:dyDescent="0.2">
      <c r="A2276" s="222">
        <v>2023</v>
      </c>
      <c r="B2276" s="222">
        <v>10</v>
      </c>
      <c r="C2276" s="222">
        <v>26</v>
      </c>
      <c r="D2276" s="223">
        <f t="shared" si="175"/>
        <v>45225</v>
      </c>
      <c r="E2276" s="240">
        <f t="shared" si="177"/>
        <v>45225</v>
      </c>
      <c r="F2276" s="511" t="s">
        <v>1244</v>
      </c>
      <c r="G2276" s="225" t="s">
        <v>1245</v>
      </c>
      <c r="H2276" s="226"/>
      <c r="I2276" s="226" t="s">
        <v>1253</v>
      </c>
      <c r="J2276" s="222" t="s">
        <v>87</v>
      </c>
      <c r="K2276" s="227">
        <v>12243.071904763579</v>
      </c>
      <c r="L2276" s="227"/>
    </row>
    <row r="2277" spans="1:12" ht="11.25" customHeight="1" x14ac:dyDescent="0.2">
      <c r="A2277" s="228">
        <v>2023</v>
      </c>
      <c r="B2277" s="228">
        <v>10</v>
      </c>
      <c r="C2277" s="228">
        <v>26</v>
      </c>
      <c r="D2277" s="229">
        <f t="shared" si="175"/>
        <v>45225</v>
      </c>
      <c r="E2277" s="241">
        <f t="shared" si="177"/>
        <v>45225</v>
      </c>
      <c r="F2277" s="512"/>
      <c r="G2277" s="231" t="s">
        <v>1245</v>
      </c>
      <c r="H2277" s="232"/>
      <c r="I2277" s="232" t="s">
        <v>1253</v>
      </c>
      <c r="J2277" s="228" t="s">
        <v>72</v>
      </c>
      <c r="K2277" s="233"/>
      <c r="L2277" s="233">
        <v>12243.071904763579</v>
      </c>
    </row>
    <row r="2278" spans="1:12" ht="11.25" customHeight="1" x14ac:dyDescent="0.2">
      <c r="A2278" s="222">
        <v>2023</v>
      </c>
      <c r="B2278" s="222">
        <v>10</v>
      </c>
      <c r="C2278" s="222">
        <v>26</v>
      </c>
      <c r="D2278" s="223">
        <f t="shared" si="175"/>
        <v>45225</v>
      </c>
      <c r="E2278" s="240">
        <f t="shared" si="177"/>
        <v>45225</v>
      </c>
      <c r="F2278" s="511" t="s">
        <v>1246</v>
      </c>
      <c r="G2278" s="225" t="s">
        <v>1245</v>
      </c>
      <c r="H2278" s="226"/>
      <c r="I2278" s="226" t="s">
        <v>1253</v>
      </c>
      <c r="J2278" s="222" t="s">
        <v>75</v>
      </c>
      <c r="K2278" s="227">
        <v>3623.123846153846</v>
      </c>
      <c r="L2278" s="227"/>
    </row>
    <row r="2279" spans="1:12" ht="11.25" customHeight="1" x14ac:dyDescent="0.2">
      <c r="A2279" s="228">
        <v>2023</v>
      </c>
      <c r="B2279" s="228">
        <v>10</v>
      </c>
      <c r="C2279" s="228">
        <v>26</v>
      </c>
      <c r="D2279" s="229">
        <f t="shared" si="175"/>
        <v>45225</v>
      </c>
      <c r="E2279" s="241">
        <f t="shared" si="177"/>
        <v>45225</v>
      </c>
      <c r="F2279" s="512"/>
      <c r="G2279" s="231" t="s">
        <v>1245</v>
      </c>
      <c r="H2279" s="232"/>
      <c r="I2279" s="232" t="s">
        <v>1253</v>
      </c>
      <c r="J2279" s="228" t="s">
        <v>55</v>
      </c>
      <c r="K2279" s="233"/>
      <c r="L2279" s="233">
        <v>3623.123846153846</v>
      </c>
    </row>
    <row r="2280" spans="1:12" ht="11.25" customHeight="1" x14ac:dyDescent="0.2">
      <c r="A2280" s="222">
        <v>2023</v>
      </c>
      <c r="B2280" s="222">
        <v>10</v>
      </c>
      <c r="C2280" s="222">
        <v>26</v>
      </c>
      <c r="D2280" s="223">
        <f t="shared" si="175"/>
        <v>45225</v>
      </c>
      <c r="E2280" s="240">
        <f t="shared" si="177"/>
        <v>45225</v>
      </c>
      <c r="F2280" s="511" t="s">
        <v>1247</v>
      </c>
      <c r="G2280" s="225" t="s">
        <v>1245</v>
      </c>
      <c r="H2280" s="226"/>
      <c r="I2280" s="226" t="s">
        <v>1253</v>
      </c>
      <c r="J2280" s="222" t="s">
        <v>77</v>
      </c>
      <c r="K2280" s="227"/>
      <c r="L2280" s="227"/>
    </row>
    <row r="2281" spans="1:12" ht="11.25" customHeight="1" x14ac:dyDescent="0.2">
      <c r="A2281" s="228">
        <v>2023</v>
      </c>
      <c r="B2281" s="228">
        <v>10</v>
      </c>
      <c r="C2281" s="228">
        <v>26</v>
      </c>
      <c r="D2281" s="229">
        <f t="shared" si="175"/>
        <v>45225</v>
      </c>
      <c r="E2281" s="241">
        <f t="shared" si="177"/>
        <v>45225</v>
      </c>
      <c r="F2281" s="512"/>
      <c r="G2281" s="231" t="s">
        <v>1245</v>
      </c>
      <c r="H2281" s="232"/>
      <c r="I2281" s="232" t="s">
        <v>1253</v>
      </c>
      <c r="J2281" s="228" t="s">
        <v>41</v>
      </c>
      <c r="K2281" s="233"/>
      <c r="L2281" s="233"/>
    </row>
    <row r="2282" spans="1:12" ht="11.25" customHeight="1" x14ac:dyDescent="0.2">
      <c r="A2282" s="222">
        <v>2023</v>
      </c>
      <c r="B2282" s="222">
        <v>10</v>
      </c>
      <c r="C2282" s="222">
        <v>26</v>
      </c>
      <c r="D2282" s="223">
        <f t="shared" si="175"/>
        <v>45225</v>
      </c>
      <c r="E2282" s="240">
        <f t="shared" si="177"/>
        <v>45225</v>
      </c>
      <c r="F2282" s="511" t="s">
        <v>1248</v>
      </c>
      <c r="G2282" s="225" t="s">
        <v>1245</v>
      </c>
      <c r="H2282" s="226"/>
      <c r="I2282" s="226" t="s">
        <v>1253</v>
      </c>
      <c r="J2282" s="222" t="s">
        <v>80</v>
      </c>
      <c r="K2282" s="227">
        <v>2188.2083286055604</v>
      </c>
      <c r="L2282" s="227"/>
    </row>
    <row r="2283" spans="1:12" ht="11.25" customHeight="1" x14ac:dyDescent="0.2">
      <c r="A2283" s="228">
        <v>2023</v>
      </c>
      <c r="B2283" s="228">
        <v>10</v>
      </c>
      <c r="C2283" s="228">
        <v>26</v>
      </c>
      <c r="D2283" s="229">
        <f t="shared" si="175"/>
        <v>45225</v>
      </c>
      <c r="E2283" s="241">
        <f t="shared" si="177"/>
        <v>45225</v>
      </c>
      <c r="F2283" s="512"/>
      <c r="G2283" s="231" t="s">
        <v>1245</v>
      </c>
      <c r="H2283" s="232"/>
      <c r="I2283" s="232" t="s">
        <v>1253</v>
      </c>
      <c r="J2283" s="228" t="s">
        <v>42</v>
      </c>
      <c r="K2283" s="233"/>
      <c r="L2283" s="233">
        <v>2188.2083286055604</v>
      </c>
    </row>
    <row r="2284" spans="1:12" ht="11.25" customHeight="1" x14ac:dyDescent="0.2">
      <c r="A2284" s="197">
        <v>2023</v>
      </c>
      <c r="B2284" s="197">
        <v>10</v>
      </c>
      <c r="C2284" s="197">
        <v>29</v>
      </c>
      <c r="D2284" s="198">
        <f t="shared" si="175"/>
        <v>45228</v>
      </c>
      <c r="E2284" s="209">
        <f t="shared" si="177"/>
        <v>45228</v>
      </c>
      <c r="F2284" s="513" t="s">
        <v>1296</v>
      </c>
      <c r="G2284" s="200" t="s">
        <v>1209</v>
      </c>
      <c r="H2284" s="201"/>
      <c r="I2284" s="201"/>
      <c r="J2284" s="197" t="s">
        <v>46</v>
      </c>
      <c r="K2284" s="202">
        <v>213540</v>
      </c>
      <c r="L2284" s="202"/>
    </row>
    <row r="2285" spans="1:12" ht="11.25" customHeight="1" x14ac:dyDescent="0.2">
      <c r="A2285" s="120">
        <v>2023</v>
      </c>
      <c r="B2285" s="120">
        <v>10</v>
      </c>
      <c r="C2285" s="120">
        <v>29</v>
      </c>
      <c r="D2285" s="208">
        <f t="shared" si="175"/>
        <v>45228</v>
      </c>
      <c r="E2285" s="209">
        <f t="shared" si="177"/>
        <v>45228</v>
      </c>
      <c r="F2285" s="515"/>
      <c r="G2285" s="132" t="s">
        <v>1209</v>
      </c>
      <c r="J2285" s="120" t="s">
        <v>16</v>
      </c>
      <c r="K2285" s="207"/>
      <c r="L2285" s="207">
        <v>202570</v>
      </c>
    </row>
    <row r="2286" spans="1:12" ht="11.25" customHeight="1" x14ac:dyDescent="0.2">
      <c r="A2286" s="191">
        <v>2023</v>
      </c>
      <c r="B2286" s="191">
        <v>10</v>
      </c>
      <c r="C2286" s="191">
        <v>29</v>
      </c>
      <c r="D2286" s="192">
        <f t="shared" si="175"/>
        <v>45228</v>
      </c>
      <c r="E2286" s="193">
        <f t="shared" si="177"/>
        <v>45228</v>
      </c>
      <c r="F2286" s="514"/>
      <c r="G2286" s="194" t="s">
        <v>1209</v>
      </c>
      <c r="H2286" s="195"/>
      <c r="I2286" s="195"/>
      <c r="J2286" s="191" t="s">
        <v>47</v>
      </c>
      <c r="K2286" s="196"/>
      <c r="L2286" s="196">
        <v>10970</v>
      </c>
    </row>
    <row r="2287" spans="1:12" ht="11.25" customHeight="1" x14ac:dyDescent="0.2">
      <c r="A2287" s="197">
        <v>2023</v>
      </c>
      <c r="B2287" s="197">
        <v>10</v>
      </c>
      <c r="C2287" s="197">
        <v>29</v>
      </c>
      <c r="D2287" s="198">
        <f t="shared" si="175"/>
        <v>45228</v>
      </c>
      <c r="E2287" s="209">
        <f t="shared" si="177"/>
        <v>45228</v>
      </c>
      <c r="F2287" s="513" t="s">
        <v>1210</v>
      </c>
      <c r="G2287" s="200" t="s">
        <v>1209</v>
      </c>
      <c r="H2287" s="201"/>
      <c r="I2287" s="201" t="s">
        <v>821</v>
      </c>
      <c r="J2287" s="197" t="s">
        <v>46</v>
      </c>
      <c r="K2287" s="202">
        <v>1000000</v>
      </c>
      <c r="L2287" s="202"/>
    </row>
    <row r="2288" spans="1:12" ht="11.25" customHeight="1" x14ac:dyDescent="0.2">
      <c r="A2288" s="120">
        <v>2023</v>
      </c>
      <c r="B2288" s="120">
        <v>10</v>
      </c>
      <c r="C2288" s="120">
        <v>29</v>
      </c>
      <c r="D2288" s="208">
        <f t="shared" si="175"/>
        <v>45228</v>
      </c>
      <c r="E2288" s="209">
        <f t="shared" si="177"/>
        <v>45228</v>
      </c>
      <c r="F2288" s="515"/>
      <c r="G2288" s="132" t="s">
        <v>1209</v>
      </c>
      <c r="I2288" s="128" t="s">
        <v>821</v>
      </c>
      <c r="J2288" s="120" t="s">
        <v>16</v>
      </c>
      <c r="K2288" s="207"/>
      <c r="L2288" s="207">
        <v>948860</v>
      </c>
    </row>
    <row r="2289" spans="1:14" ht="11.25" customHeight="1" x14ac:dyDescent="0.2">
      <c r="A2289" s="191">
        <v>2023</v>
      </c>
      <c r="B2289" s="191">
        <v>10</v>
      </c>
      <c r="C2289" s="191">
        <v>29</v>
      </c>
      <c r="D2289" s="192">
        <f t="shared" si="175"/>
        <v>45228</v>
      </c>
      <c r="E2289" s="193">
        <f t="shared" si="177"/>
        <v>45228</v>
      </c>
      <c r="F2289" s="514"/>
      <c r="G2289" s="194" t="s">
        <v>1209</v>
      </c>
      <c r="H2289" s="195"/>
      <c r="I2289" s="195" t="s">
        <v>821</v>
      </c>
      <c r="J2289" s="191" t="s">
        <v>47</v>
      </c>
      <c r="K2289" s="196"/>
      <c r="L2289" s="196">
        <v>51140</v>
      </c>
    </row>
    <row r="2290" spans="1:14" ht="11.25" customHeight="1" x14ac:dyDescent="0.2">
      <c r="A2290" s="197">
        <v>2023</v>
      </c>
      <c r="B2290" s="197">
        <v>10</v>
      </c>
      <c r="C2290" s="197">
        <v>29</v>
      </c>
      <c r="D2290" s="198">
        <f t="shared" si="175"/>
        <v>45228</v>
      </c>
      <c r="E2290" s="209">
        <f t="shared" ref="E2290:E2298" si="178">DATE(A2290,B2290,C2290)</f>
        <v>45228</v>
      </c>
      <c r="F2290" s="513" t="s">
        <v>1210</v>
      </c>
      <c r="G2290" s="200" t="s">
        <v>1209</v>
      </c>
      <c r="H2290" s="201"/>
      <c r="I2290" s="201" t="s">
        <v>1427</v>
      </c>
      <c r="J2290" s="197" t="s">
        <v>46</v>
      </c>
      <c r="K2290" s="202">
        <v>100000</v>
      </c>
      <c r="L2290" s="202"/>
    </row>
    <row r="2291" spans="1:14" ht="11.25" customHeight="1" x14ac:dyDescent="0.2">
      <c r="A2291" s="120">
        <v>2023</v>
      </c>
      <c r="B2291" s="120">
        <v>10</v>
      </c>
      <c r="C2291" s="120">
        <v>29</v>
      </c>
      <c r="D2291" s="208">
        <f t="shared" si="175"/>
        <v>45228</v>
      </c>
      <c r="E2291" s="209">
        <f t="shared" si="178"/>
        <v>45228</v>
      </c>
      <c r="F2291" s="515"/>
      <c r="G2291" s="132" t="s">
        <v>1209</v>
      </c>
      <c r="I2291" s="128" t="s">
        <v>1427</v>
      </c>
      <c r="J2291" s="120" t="s">
        <v>16</v>
      </c>
      <c r="K2291" s="207"/>
      <c r="L2291" s="207">
        <v>94890</v>
      </c>
    </row>
    <row r="2292" spans="1:14" ht="11.25" customHeight="1" x14ac:dyDescent="0.2">
      <c r="A2292" s="191">
        <v>2023</v>
      </c>
      <c r="B2292" s="191">
        <v>10</v>
      </c>
      <c r="C2292" s="191">
        <v>29</v>
      </c>
      <c r="D2292" s="192">
        <f t="shared" si="175"/>
        <v>45228</v>
      </c>
      <c r="E2292" s="193">
        <f t="shared" si="178"/>
        <v>45228</v>
      </c>
      <c r="F2292" s="514"/>
      <c r="G2292" s="194" t="s">
        <v>1209</v>
      </c>
      <c r="H2292" s="195"/>
      <c r="I2292" s="195" t="s">
        <v>1427</v>
      </c>
      <c r="J2292" s="191" t="s">
        <v>47</v>
      </c>
      <c r="K2292" s="196"/>
      <c r="L2292" s="196">
        <v>5110</v>
      </c>
    </row>
    <row r="2293" spans="1:14" ht="11.25" customHeight="1" x14ac:dyDescent="0.2">
      <c r="A2293" s="197">
        <v>2023</v>
      </c>
      <c r="B2293" s="197">
        <v>10</v>
      </c>
      <c r="C2293" s="197">
        <v>29</v>
      </c>
      <c r="D2293" s="198">
        <f t="shared" si="175"/>
        <v>45228</v>
      </c>
      <c r="E2293" s="199">
        <f>DATE(A2293,B2293,C2293)</f>
        <v>45228</v>
      </c>
      <c r="F2293" s="513" t="s">
        <v>1323</v>
      </c>
      <c r="G2293" s="200" t="s">
        <v>1209</v>
      </c>
      <c r="H2293" s="201"/>
      <c r="I2293" s="201"/>
      <c r="J2293" s="197" t="s">
        <v>54</v>
      </c>
      <c r="K2293" s="202">
        <v>60</v>
      </c>
      <c r="L2293" s="202"/>
    </row>
    <row r="2294" spans="1:14" ht="11.25" customHeight="1" x14ac:dyDescent="0.2">
      <c r="A2294" s="191">
        <v>2023</v>
      </c>
      <c r="B2294" s="191">
        <v>10</v>
      </c>
      <c r="C2294" s="191">
        <v>29</v>
      </c>
      <c r="D2294" s="192">
        <f t="shared" si="175"/>
        <v>45228</v>
      </c>
      <c r="E2294" s="193">
        <f>DATE(A2294,B2294,C2294)</f>
        <v>45228</v>
      </c>
      <c r="F2294" s="514"/>
      <c r="G2294" s="194" t="s">
        <v>1209</v>
      </c>
      <c r="H2294" s="195"/>
      <c r="I2294" s="195"/>
      <c r="J2294" s="191" t="s">
        <v>46</v>
      </c>
      <c r="K2294" s="196"/>
      <c r="L2294" s="196">
        <v>60</v>
      </c>
    </row>
    <row r="2295" spans="1:14" ht="11.25" customHeight="1" x14ac:dyDescent="0.2">
      <c r="A2295" s="197">
        <v>2023</v>
      </c>
      <c r="B2295" s="197">
        <v>10</v>
      </c>
      <c r="C2295" s="197">
        <v>30</v>
      </c>
      <c r="D2295" s="198">
        <f t="shared" si="175"/>
        <v>45229</v>
      </c>
      <c r="E2295" s="199">
        <f t="shared" si="178"/>
        <v>45229</v>
      </c>
      <c r="F2295" s="513" t="s">
        <v>1454</v>
      </c>
      <c r="G2295" s="200" t="s">
        <v>1209</v>
      </c>
      <c r="H2295" s="201"/>
      <c r="I2295" s="201" t="s">
        <v>1253</v>
      </c>
      <c r="J2295" s="197" t="s">
        <v>1455</v>
      </c>
      <c r="K2295" s="202">
        <v>3419307.5</v>
      </c>
      <c r="L2295" s="202"/>
    </row>
    <row r="2296" spans="1:14" ht="11.25" customHeight="1" x14ac:dyDescent="0.2">
      <c r="A2296" s="191">
        <v>2023</v>
      </c>
      <c r="B2296" s="191">
        <v>10</v>
      </c>
      <c r="C2296" s="191">
        <v>30</v>
      </c>
      <c r="D2296" s="192">
        <f t="shared" si="175"/>
        <v>45229</v>
      </c>
      <c r="E2296" s="193">
        <f t="shared" si="178"/>
        <v>45229</v>
      </c>
      <c r="F2296" s="514"/>
      <c r="G2296" s="194" t="s">
        <v>1209</v>
      </c>
      <c r="H2296" s="195"/>
      <c r="I2296" s="195" t="s">
        <v>1253</v>
      </c>
      <c r="J2296" s="191" t="s">
        <v>46</v>
      </c>
      <c r="K2296" s="196"/>
      <c r="L2296" s="196">
        <v>3419307.5</v>
      </c>
      <c r="N2296" s="130"/>
    </row>
    <row r="2297" spans="1:14" ht="11.25" customHeight="1" x14ac:dyDescent="0.2">
      <c r="A2297" s="197">
        <v>2023</v>
      </c>
      <c r="B2297" s="197">
        <v>10</v>
      </c>
      <c r="C2297" s="197">
        <v>30</v>
      </c>
      <c r="D2297" s="198">
        <f t="shared" si="175"/>
        <v>45229</v>
      </c>
      <c r="E2297" s="199">
        <f t="shared" si="178"/>
        <v>45229</v>
      </c>
      <c r="F2297" s="513" t="s">
        <v>1279</v>
      </c>
      <c r="G2297" s="200" t="s">
        <v>1209</v>
      </c>
      <c r="H2297" s="201"/>
      <c r="I2297" s="201" t="s">
        <v>1253</v>
      </c>
      <c r="J2297" s="197" t="s">
        <v>76</v>
      </c>
      <c r="K2297" s="202">
        <v>5000000</v>
      </c>
      <c r="L2297" s="202"/>
    </row>
    <row r="2298" spans="1:14" ht="11.25" customHeight="1" x14ac:dyDescent="0.2">
      <c r="A2298" s="191">
        <v>2023</v>
      </c>
      <c r="B2298" s="191">
        <v>10</v>
      </c>
      <c r="C2298" s="191">
        <v>30</v>
      </c>
      <c r="D2298" s="192">
        <f t="shared" si="175"/>
        <v>45229</v>
      </c>
      <c r="E2298" s="193">
        <f t="shared" si="178"/>
        <v>45229</v>
      </c>
      <c r="F2298" s="514"/>
      <c r="G2298" s="194" t="s">
        <v>1209</v>
      </c>
      <c r="H2298" s="195"/>
      <c r="I2298" s="195" t="s">
        <v>1253</v>
      </c>
      <c r="J2298" s="191" t="s">
        <v>46</v>
      </c>
      <c r="K2298" s="196"/>
      <c r="L2298" s="196">
        <v>5000000</v>
      </c>
    </row>
    <row r="2299" spans="1:14" ht="11.25" customHeight="1" x14ac:dyDescent="0.2">
      <c r="A2299" s="197">
        <v>2023</v>
      </c>
      <c r="B2299" s="197">
        <v>10</v>
      </c>
      <c r="C2299" s="197">
        <v>30</v>
      </c>
      <c r="D2299" s="198">
        <f t="shared" si="175"/>
        <v>45229</v>
      </c>
      <c r="E2299" s="199">
        <f>DATE(A2299,B2299,C2299)</f>
        <v>45229</v>
      </c>
      <c r="F2299" s="513" t="s">
        <v>1323</v>
      </c>
      <c r="G2299" s="200" t="s">
        <v>1209</v>
      </c>
      <c r="H2299" s="201"/>
      <c r="I2299" s="201"/>
      <c r="J2299" s="197" t="s">
        <v>54</v>
      </c>
      <c r="K2299" s="202">
        <v>100</v>
      </c>
      <c r="L2299" s="202"/>
    </row>
    <row r="2300" spans="1:14" ht="11.25" customHeight="1" x14ac:dyDescent="0.2">
      <c r="A2300" s="191">
        <v>2023</v>
      </c>
      <c r="B2300" s="191">
        <v>10</v>
      </c>
      <c r="C2300" s="191">
        <v>30</v>
      </c>
      <c r="D2300" s="192">
        <f t="shared" si="175"/>
        <v>45229</v>
      </c>
      <c r="E2300" s="193">
        <f>DATE(A2300,B2300,C2300)</f>
        <v>45229</v>
      </c>
      <c r="F2300" s="514"/>
      <c r="G2300" s="194" t="s">
        <v>1209</v>
      </c>
      <c r="H2300" s="195"/>
      <c r="I2300" s="195"/>
      <c r="J2300" s="191" t="s">
        <v>46</v>
      </c>
      <c r="K2300" s="196"/>
      <c r="L2300" s="196">
        <v>100</v>
      </c>
    </row>
    <row r="2301" spans="1:14" ht="11.25" customHeight="1" x14ac:dyDescent="0.2">
      <c r="A2301" s="210">
        <v>2023</v>
      </c>
      <c r="B2301" s="210">
        <v>11</v>
      </c>
      <c r="C2301" s="210">
        <v>2</v>
      </c>
      <c r="D2301" s="211">
        <f t="shared" si="175"/>
        <v>45232</v>
      </c>
      <c r="E2301" s="238">
        <f t="shared" ref="E2301:E2334" si="179">DATE(A2301,B2301,C2301)</f>
        <v>45232</v>
      </c>
      <c r="F2301" s="520" t="s">
        <v>1278</v>
      </c>
      <c r="G2301" s="213" t="s">
        <v>1245</v>
      </c>
      <c r="H2301" s="214"/>
      <c r="I2301" s="214" t="s">
        <v>1253</v>
      </c>
      <c r="J2301" s="210" t="s">
        <v>1529</v>
      </c>
      <c r="K2301" s="215">
        <v>6512.28</v>
      </c>
      <c r="L2301" s="215"/>
    </row>
    <row r="2302" spans="1:14" ht="11.25" customHeight="1" x14ac:dyDescent="0.2">
      <c r="A2302" s="216">
        <v>2023</v>
      </c>
      <c r="B2302" s="216">
        <v>11</v>
      </c>
      <c r="C2302" s="216">
        <v>2</v>
      </c>
      <c r="D2302" s="217">
        <f t="shared" si="175"/>
        <v>45232</v>
      </c>
      <c r="E2302" s="239">
        <f t="shared" si="179"/>
        <v>45232</v>
      </c>
      <c r="F2302" s="521"/>
      <c r="G2302" s="219" t="s">
        <v>1245</v>
      </c>
      <c r="H2302" s="220"/>
      <c r="I2302" s="220" t="s">
        <v>1253</v>
      </c>
      <c r="J2302" s="216" t="s">
        <v>1581</v>
      </c>
      <c r="K2302" s="221"/>
      <c r="L2302" s="221">
        <v>6512.28</v>
      </c>
    </row>
    <row r="2303" spans="1:14" ht="11.25" customHeight="1" x14ac:dyDescent="0.2">
      <c r="A2303" s="210">
        <v>2023</v>
      </c>
      <c r="B2303" s="210">
        <v>11</v>
      </c>
      <c r="C2303" s="210">
        <v>2</v>
      </c>
      <c r="D2303" s="211">
        <f t="shared" si="175"/>
        <v>45232</v>
      </c>
      <c r="E2303" s="238">
        <f t="shared" si="179"/>
        <v>45232</v>
      </c>
      <c r="F2303" s="520" t="s">
        <v>1285</v>
      </c>
      <c r="G2303" s="213" t="s">
        <v>1245</v>
      </c>
      <c r="H2303" s="214"/>
      <c r="I2303" s="214" t="s">
        <v>1253</v>
      </c>
      <c r="J2303" s="210" t="s">
        <v>1284</v>
      </c>
      <c r="K2303" s="215">
        <v>13771.15</v>
      </c>
      <c r="L2303" s="215"/>
    </row>
    <row r="2304" spans="1:14" ht="11.25" customHeight="1" x14ac:dyDescent="0.2">
      <c r="A2304" s="242">
        <v>2023</v>
      </c>
      <c r="B2304" s="216">
        <v>11</v>
      </c>
      <c r="C2304" s="216">
        <v>2</v>
      </c>
      <c r="D2304" s="243">
        <f t="shared" si="175"/>
        <v>45232</v>
      </c>
      <c r="E2304" s="244">
        <f>DATE(A2304,B2304,C2304)</f>
        <v>45232</v>
      </c>
      <c r="F2304" s="524"/>
      <c r="G2304" s="245" t="s">
        <v>1245</v>
      </c>
      <c r="H2304" s="246"/>
      <c r="I2304" s="246"/>
      <c r="J2304" s="242" t="s">
        <v>1582</v>
      </c>
      <c r="K2304" s="247"/>
      <c r="L2304" s="247">
        <v>13771.15</v>
      </c>
    </row>
    <row r="2305" spans="1:12" ht="11.25" customHeight="1" x14ac:dyDescent="0.2">
      <c r="A2305" s="210">
        <v>2023</v>
      </c>
      <c r="B2305" s="210">
        <v>11</v>
      </c>
      <c r="C2305" s="210">
        <v>2</v>
      </c>
      <c r="D2305" s="211">
        <f t="shared" ref="D2305:D2366" si="180">DATE(A2305,B2305,C2305)</f>
        <v>45232</v>
      </c>
      <c r="E2305" s="238">
        <f t="shared" si="179"/>
        <v>45232</v>
      </c>
      <c r="F2305" s="520" t="s">
        <v>1259</v>
      </c>
      <c r="G2305" s="213" t="s">
        <v>1245</v>
      </c>
      <c r="H2305" s="214"/>
      <c r="I2305" s="214" t="s">
        <v>1253</v>
      </c>
      <c r="J2305" s="210" t="s">
        <v>58</v>
      </c>
      <c r="K2305" s="215">
        <v>2272.38</v>
      </c>
      <c r="L2305" s="215"/>
    </row>
    <row r="2306" spans="1:12" ht="11.25" customHeight="1" x14ac:dyDescent="0.2">
      <c r="A2306" s="216">
        <v>2023</v>
      </c>
      <c r="B2306" s="216">
        <v>11</v>
      </c>
      <c r="C2306" s="216">
        <v>2</v>
      </c>
      <c r="D2306" s="217">
        <f t="shared" si="180"/>
        <v>45232</v>
      </c>
      <c r="E2306" s="239">
        <f t="shared" si="179"/>
        <v>45232</v>
      </c>
      <c r="F2306" s="521"/>
      <c r="G2306" s="219" t="s">
        <v>1245</v>
      </c>
      <c r="H2306" s="220"/>
      <c r="I2306" s="220" t="s">
        <v>1253</v>
      </c>
      <c r="J2306" s="216" t="s">
        <v>153</v>
      </c>
      <c r="K2306" s="221"/>
      <c r="L2306" s="221">
        <v>2272.38</v>
      </c>
    </row>
    <row r="2307" spans="1:12" ht="11.25" customHeight="1" x14ac:dyDescent="0.2">
      <c r="A2307" s="210">
        <v>2023</v>
      </c>
      <c r="B2307" s="210">
        <v>11</v>
      </c>
      <c r="C2307" s="210">
        <v>2</v>
      </c>
      <c r="D2307" s="211">
        <f t="shared" si="180"/>
        <v>45232</v>
      </c>
      <c r="E2307" s="238">
        <f t="shared" si="179"/>
        <v>45232</v>
      </c>
      <c r="F2307" s="520" t="s">
        <v>1255</v>
      </c>
      <c r="G2307" s="213" t="s">
        <v>1245</v>
      </c>
      <c r="H2307" s="214"/>
      <c r="I2307" s="214" t="s">
        <v>1253</v>
      </c>
      <c r="J2307" s="210" t="s">
        <v>113</v>
      </c>
      <c r="K2307" s="215">
        <v>43489.58</v>
      </c>
      <c r="L2307" s="215"/>
    </row>
    <row r="2308" spans="1:12" ht="11.25" customHeight="1" x14ac:dyDescent="0.2">
      <c r="A2308" s="216">
        <v>2023</v>
      </c>
      <c r="B2308" s="216">
        <v>11</v>
      </c>
      <c r="C2308" s="216">
        <v>2</v>
      </c>
      <c r="D2308" s="217">
        <f t="shared" si="180"/>
        <v>45232</v>
      </c>
      <c r="E2308" s="239">
        <f t="shared" si="179"/>
        <v>45232</v>
      </c>
      <c r="F2308" s="521"/>
      <c r="G2308" s="219" t="s">
        <v>1245</v>
      </c>
      <c r="H2308" s="220"/>
      <c r="I2308" s="220" t="s">
        <v>1253</v>
      </c>
      <c r="J2308" s="216" t="s">
        <v>153</v>
      </c>
      <c r="K2308" s="221"/>
      <c r="L2308" s="221">
        <v>43489.58</v>
      </c>
    </row>
    <row r="2309" spans="1:12" ht="11.25" customHeight="1" x14ac:dyDescent="0.2">
      <c r="A2309" s="210">
        <v>2023</v>
      </c>
      <c r="B2309" s="210">
        <v>11</v>
      </c>
      <c r="C2309" s="210">
        <v>2</v>
      </c>
      <c r="D2309" s="211">
        <f t="shared" si="180"/>
        <v>45232</v>
      </c>
      <c r="E2309" s="238">
        <f t="shared" si="179"/>
        <v>45232</v>
      </c>
      <c r="F2309" s="520" t="s">
        <v>1256</v>
      </c>
      <c r="G2309" s="213" t="s">
        <v>1245</v>
      </c>
      <c r="H2309" s="214"/>
      <c r="I2309" s="214" t="s">
        <v>1253</v>
      </c>
      <c r="J2309" s="210" t="s">
        <v>113</v>
      </c>
      <c r="K2309" s="215">
        <v>206728.81</v>
      </c>
      <c r="L2309" s="215"/>
    </row>
    <row r="2310" spans="1:12" ht="11.25" customHeight="1" x14ac:dyDescent="0.2">
      <c r="A2310" s="216">
        <v>2023</v>
      </c>
      <c r="B2310" s="216">
        <v>11</v>
      </c>
      <c r="C2310" s="216">
        <v>2</v>
      </c>
      <c r="D2310" s="217">
        <f t="shared" si="180"/>
        <v>45232</v>
      </c>
      <c r="E2310" s="239">
        <f t="shared" si="179"/>
        <v>45232</v>
      </c>
      <c r="F2310" s="521"/>
      <c r="G2310" s="219" t="s">
        <v>1245</v>
      </c>
      <c r="H2310" s="220"/>
      <c r="I2310" s="220" t="s">
        <v>1253</v>
      </c>
      <c r="J2310" s="216" t="s">
        <v>153</v>
      </c>
      <c r="K2310" s="221"/>
      <c r="L2310" s="221">
        <v>206728.81</v>
      </c>
    </row>
    <row r="2311" spans="1:12" ht="11.25" customHeight="1" x14ac:dyDescent="0.2">
      <c r="A2311" s="210">
        <v>2023</v>
      </c>
      <c r="B2311" s="210">
        <v>11</v>
      </c>
      <c r="C2311" s="210">
        <v>2</v>
      </c>
      <c r="D2311" s="211">
        <f t="shared" si="180"/>
        <v>45232</v>
      </c>
      <c r="E2311" s="238">
        <f t="shared" si="179"/>
        <v>45232</v>
      </c>
      <c r="F2311" s="520" t="s">
        <v>1257</v>
      </c>
      <c r="G2311" s="213" t="s">
        <v>1245</v>
      </c>
      <c r="H2311" s="214"/>
      <c r="I2311" s="214" t="s">
        <v>1253</v>
      </c>
      <c r="J2311" s="210" t="s">
        <v>113</v>
      </c>
      <c r="K2311" s="215">
        <v>30000</v>
      </c>
      <c r="L2311" s="215"/>
    </row>
    <row r="2312" spans="1:12" ht="11.25" customHeight="1" x14ac:dyDescent="0.2">
      <c r="A2312" s="216">
        <v>2023</v>
      </c>
      <c r="B2312" s="216">
        <v>11</v>
      </c>
      <c r="C2312" s="216">
        <v>2</v>
      </c>
      <c r="D2312" s="217">
        <f t="shared" si="180"/>
        <v>45232</v>
      </c>
      <c r="E2312" s="239">
        <f t="shared" si="179"/>
        <v>45232</v>
      </c>
      <c r="F2312" s="521"/>
      <c r="G2312" s="219" t="s">
        <v>1245</v>
      </c>
      <c r="H2312" s="220"/>
      <c r="I2312" s="220" t="s">
        <v>1253</v>
      </c>
      <c r="J2312" s="216" t="s">
        <v>153</v>
      </c>
      <c r="K2312" s="221"/>
      <c r="L2312" s="221">
        <v>30000</v>
      </c>
    </row>
    <row r="2313" spans="1:12" ht="11.25" customHeight="1" x14ac:dyDescent="0.2">
      <c r="A2313" s="259">
        <v>2023</v>
      </c>
      <c r="B2313" s="259">
        <v>11</v>
      </c>
      <c r="C2313" s="259">
        <v>2</v>
      </c>
      <c r="D2313" s="260">
        <f t="shared" si="180"/>
        <v>45232</v>
      </c>
      <c r="E2313" s="261">
        <f t="shared" si="179"/>
        <v>45232</v>
      </c>
      <c r="F2313" s="531" t="s">
        <v>1442</v>
      </c>
      <c r="G2313" s="262" t="s">
        <v>1245</v>
      </c>
      <c r="H2313" s="263"/>
      <c r="I2313" s="263" t="s">
        <v>1253</v>
      </c>
      <c r="J2313" s="259" t="s">
        <v>1476</v>
      </c>
      <c r="K2313" s="264">
        <v>16921.37777777782</v>
      </c>
      <c r="L2313" s="264"/>
    </row>
    <row r="2314" spans="1:12" ht="11.25" customHeight="1" x14ac:dyDescent="0.2">
      <c r="A2314" s="265">
        <v>2023</v>
      </c>
      <c r="B2314" s="265">
        <v>11</v>
      </c>
      <c r="C2314" s="265">
        <v>2</v>
      </c>
      <c r="D2314" s="266">
        <f t="shared" si="180"/>
        <v>45232</v>
      </c>
      <c r="E2314" s="267">
        <f t="shared" si="179"/>
        <v>45232</v>
      </c>
      <c r="F2314" s="532"/>
      <c r="G2314" s="268" t="s">
        <v>1245</v>
      </c>
      <c r="H2314" s="269"/>
      <c r="I2314" s="269" t="s">
        <v>1253</v>
      </c>
      <c r="J2314" s="265" t="s">
        <v>153</v>
      </c>
      <c r="K2314" s="270"/>
      <c r="L2314" s="270">
        <v>16921.37777777782</v>
      </c>
    </row>
    <row r="2315" spans="1:12" ht="11.25" customHeight="1" x14ac:dyDescent="0.2">
      <c r="A2315" s="259">
        <v>2023</v>
      </c>
      <c r="B2315" s="259">
        <v>11</v>
      </c>
      <c r="C2315" s="259">
        <v>2</v>
      </c>
      <c r="D2315" s="260">
        <f t="shared" si="180"/>
        <v>45232</v>
      </c>
      <c r="E2315" s="261">
        <f t="shared" si="179"/>
        <v>45232</v>
      </c>
      <c r="F2315" s="531" t="s">
        <v>1448</v>
      </c>
      <c r="G2315" s="262" t="s">
        <v>1245</v>
      </c>
      <c r="H2315" s="263"/>
      <c r="I2315" s="263" t="s">
        <v>1253</v>
      </c>
      <c r="J2315" s="259" t="s">
        <v>1476</v>
      </c>
      <c r="K2315" s="264">
        <v>12458.888888888889</v>
      </c>
      <c r="L2315" s="264"/>
    </row>
    <row r="2316" spans="1:12" ht="11.25" customHeight="1" x14ac:dyDescent="0.2">
      <c r="A2316" s="265">
        <v>2023</v>
      </c>
      <c r="B2316" s="265">
        <v>11</v>
      </c>
      <c r="C2316" s="265">
        <v>2</v>
      </c>
      <c r="D2316" s="266">
        <f t="shared" si="180"/>
        <v>45232</v>
      </c>
      <c r="E2316" s="267">
        <f t="shared" si="179"/>
        <v>45232</v>
      </c>
      <c r="F2316" s="532"/>
      <c r="G2316" s="268" t="s">
        <v>1245</v>
      </c>
      <c r="H2316" s="269"/>
      <c r="I2316" s="269" t="s">
        <v>1253</v>
      </c>
      <c r="J2316" s="265" t="s">
        <v>153</v>
      </c>
      <c r="K2316" s="270"/>
      <c r="L2316" s="270">
        <v>12458.888888888889</v>
      </c>
    </row>
    <row r="2317" spans="1:12" ht="11.25" customHeight="1" x14ac:dyDescent="0.2">
      <c r="A2317" s="259">
        <v>2023</v>
      </c>
      <c r="B2317" s="259">
        <v>11</v>
      </c>
      <c r="C2317" s="259">
        <v>2</v>
      </c>
      <c r="D2317" s="260">
        <f t="shared" si="180"/>
        <v>45232</v>
      </c>
      <c r="E2317" s="261">
        <f t="shared" si="179"/>
        <v>45232</v>
      </c>
      <c r="F2317" s="531" t="s">
        <v>1442</v>
      </c>
      <c r="G2317" s="262" t="s">
        <v>1245</v>
      </c>
      <c r="H2317" s="263"/>
      <c r="I2317" s="263" t="s">
        <v>1253</v>
      </c>
      <c r="J2317" s="259" t="s">
        <v>1476</v>
      </c>
      <c r="K2317" s="264">
        <v>5245.7199999999975</v>
      </c>
      <c r="L2317" s="264"/>
    </row>
    <row r="2318" spans="1:12" ht="11.25" customHeight="1" x14ac:dyDescent="0.2">
      <c r="A2318" s="265">
        <v>2023</v>
      </c>
      <c r="B2318" s="265">
        <v>11</v>
      </c>
      <c r="C2318" s="265">
        <v>2</v>
      </c>
      <c r="D2318" s="266">
        <f t="shared" si="180"/>
        <v>45232</v>
      </c>
      <c r="E2318" s="267">
        <f t="shared" si="179"/>
        <v>45232</v>
      </c>
      <c r="F2318" s="532"/>
      <c r="G2318" s="268" t="s">
        <v>1245</v>
      </c>
      <c r="H2318" s="269"/>
      <c r="I2318" s="269" t="s">
        <v>1253</v>
      </c>
      <c r="J2318" s="265" t="s">
        <v>153</v>
      </c>
      <c r="K2318" s="270"/>
      <c r="L2318" s="270">
        <v>5245.7199999999975</v>
      </c>
    </row>
    <row r="2319" spans="1:12" ht="11.25" customHeight="1" x14ac:dyDescent="0.2">
      <c r="A2319" s="312">
        <v>2023</v>
      </c>
      <c r="B2319" s="312">
        <v>11</v>
      </c>
      <c r="C2319" s="312">
        <v>2</v>
      </c>
      <c r="D2319" s="313">
        <f t="shared" si="180"/>
        <v>45232</v>
      </c>
      <c r="E2319" s="314">
        <f t="shared" si="179"/>
        <v>45232</v>
      </c>
      <c r="F2319" s="522" t="s">
        <v>1477</v>
      </c>
      <c r="G2319" s="315" t="s">
        <v>1245</v>
      </c>
      <c r="H2319" s="316"/>
      <c r="I2319" s="316" t="s">
        <v>1253</v>
      </c>
      <c r="J2319" s="312" t="s">
        <v>1460</v>
      </c>
      <c r="K2319" s="317">
        <v>18341.5</v>
      </c>
      <c r="L2319" s="317"/>
    </row>
    <row r="2320" spans="1:12" ht="11.25" customHeight="1" x14ac:dyDescent="0.2">
      <c r="A2320" s="318">
        <v>2023</v>
      </c>
      <c r="B2320" s="318">
        <v>11</v>
      </c>
      <c r="C2320" s="318">
        <v>2</v>
      </c>
      <c r="D2320" s="319">
        <f t="shared" si="180"/>
        <v>45232</v>
      </c>
      <c r="E2320" s="320">
        <f t="shared" si="179"/>
        <v>45232</v>
      </c>
      <c r="F2320" s="523"/>
      <c r="G2320" s="321" t="s">
        <v>1245</v>
      </c>
      <c r="H2320" s="322"/>
      <c r="I2320" s="322" t="s">
        <v>1253</v>
      </c>
      <c r="J2320" s="318" t="s">
        <v>1458</v>
      </c>
      <c r="K2320" s="323"/>
      <c r="L2320" s="323">
        <v>18341.5</v>
      </c>
    </row>
    <row r="2321" spans="1:12" ht="11.25" customHeight="1" x14ac:dyDescent="0.2">
      <c r="A2321" s="222">
        <v>2023</v>
      </c>
      <c r="B2321" s="222">
        <v>11</v>
      </c>
      <c r="C2321" s="222">
        <v>2</v>
      </c>
      <c r="D2321" s="223">
        <f t="shared" si="180"/>
        <v>45232</v>
      </c>
      <c r="E2321" s="240">
        <f t="shared" si="179"/>
        <v>45232</v>
      </c>
      <c r="F2321" s="511" t="s">
        <v>1244</v>
      </c>
      <c r="G2321" s="225" t="s">
        <v>1245</v>
      </c>
      <c r="H2321" s="226"/>
      <c r="I2321" s="226" t="s">
        <v>1253</v>
      </c>
      <c r="J2321" s="222" t="s">
        <v>87</v>
      </c>
      <c r="K2321" s="227">
        <v>12243.071904763579</v>
      </c>
      <c r="L2321" s="227"/>
    </row>
    <row r="2322" spans="1:12" ht="11.25" customHeight="1" x14ac:dyDescent="0.2">
      <c r="A2322" s="228">
        <v>2023</v>
      </c>
      <c r="B2322" s="228">
        <v>11</v>
      </c>
      <c r="C2322" s="228">
        <v>2</v>
      </c>
      <c r="D2322" s="229">
        <f t="shared" si="180"/>
        <v>45232</v>
      </c>
      <c r="E2322" s="241">
        <f t="shared" si="179"/>
        <v>45232</v>
      </c>
      <c r="F2322" s="512"/>
      <c r="G2322" s="231" t="s">
        <v>1245</v>
      </c>
      <c r="H2322" s="232"/>
      <c r="I2322" s="232" t="s">
        <v>1253</v>
      </c>
      <c r="J2322" s="228" t="s">
        <v>72</v>
      </c>
      <c r="K2322" s="233"/>
      <c r="L2322" s="233">
        <v>12243.071904763579</v>
      </c>
    </row>
    <row r="2323" spans="1:12" ht="11.25" customHeight="1" x14ac:dyDescent="0.2">
      <c r="A2323" s="222">
        <v>2023</v>
      </c>
      <c r="B2323" s="222">
        <v>11</v>
      </c>
      <c r="C2323" s="222">
        <v>2</v>
      </c>
      <c r="D2323" s="223">
        <f t="shared" si="180"/>
        <v>45232</v>
      </c>
      <c r="E2323" s="240">
        <f t="shared" si="179"/>
        <v>45232</v>
      </c>
      <c r="F2323" s="511" t="s">
        <v>1246</v>
      </c>
      <c r="G2323" s="225" t="s">
        <v>1245</v>
      </c>
      <c r="H2323" s="226"/>
      <c r="I2323" s="226" t="s">
        <v>1253</v>
      </c>
      <c r="J2323" s="222" t="s">
        <v>75</v>
      </c>
      <c r="K2323" s="227">
        <v>3623.123846153846</v>
      </c>
      <c r="L2323" s="227"/>
    </row>
    <row r="2324" spans="1:12" ht="11.25" customHeight="1" x14ac:dyDescent="0.2">
      <c r="A2324" s="228">
        <v>2023</v>
      </c>
      <c r="B2324" s="228">
        <v>11</v>
      </c>
      <c r="C2324" s="228">
        <v>2</v>
      </c>
      <c r="D2324" s="229">
        <f t="shared" si="180"/>
        <v>45232</v>
      </c>
      <c r="E2324" s="241">
        <f t="shared" si="179"/>
        <v>45232</v>
      </c>
      <c r="F2324" s="512"/>
      <c r="G2324" s="231" t="s">
        <v>1245</v>
      </c>
      <c r="H2324" s="232"/>
      <c r="I2324" s="232" t="s">
        <v>1253</v>
      </c>
      <c r="J2324" s="228" t="s">
        <v>55</v>
      </c>
      <c r="K2324" s="233"/>
      <c r="L2324" s="233">
        <v>3623.123846153846</v>
      </c>
    </row>
    <row r="2325" spans="1:12" ht="11.25" customHeight="1" x14ac:dyDescent="0.2">
      <c r="A2325" s="222">
        <v>2023</v>
      </c>
      <c r="B2325" s="222">
        <v>11</v>
      </c>
      <c r="C2325" s="222">
        <v>2</v>
      </c>
      <c r="D2325" s="223">
        <f t="shared" si="180"/>
        <v>45232</v>
      </c>
      <c r="E2325" s="240">
        <f t="shared" si="179"/>
        <v>45232</v>
      </c>
      <c r="F2325" s="511" t="s">
        <v>1247</v>
      </c>
      <c r="G2325" s="225" t="s">
        <v>1245</v>
      </c>
      <c r="H2325" s="226"/>
      <c r="I2325" s="226" t="s">
        <v>1253</v>
      </c>
      <c r="J2325" s="222" t="s">
        <v>77</v>
      </c>
      <c r="K2325" s="227">
        <v>22039.313271687755</v>
      </c>
      <c r="L2325" s="227"/>
    </row>
    <row r="2326" spans="1:12" ht="11.25" customHeight="1" x14ac:dyDescent="0.2">
      <c r="A2326" s="228">
        <v>2023</v>
      </c>
      <c r="B2326" s="228">
        <v>11</v>
      </c>
      <c r="C2326" s="228">
        <v>2</v>
      </c>
      <c r="D2326" s="229">
        <f t="shared" si="180"/>
        <v>45232</v>
      </c>
      <c r="E2326" s="241">
        <f t="shared" si="179"/>
        <v>45232</v>
      </c>
      <c r="F2326" s="512"/>
      <c r="G2326" s="231" t="s">
        <v>1245</v>
      </c>
      <c r="H2326" s="232"/>
      <c r="I2326" s="232" t="s">
        <v>1253</v>
      </c>
      <c r="J2326" s="228" t="s">
        <v>41</v>
      </c>
      <c r="K2326" s="233"/>
      <c r="L2326" s="233">
        <v>22039.313271687755</v>
      </c>
    </row>
    <row r="2327" spans="1:12" ht="11.25" customHeight="1" x14ac:dyDescent="0.2">
      <c r="A2327" s="222">
        <v>2023</v>
      </c>
      <c r="B2327" s="222">
        <v>11</v>
      </c>
      <c r="C2327" s="222">
        <v>2</v>
      </c>
      <c r="D2327" s="223">
        <f t="shared" si="180"/>
        <v>45232</v>
      </c>
      <c r="E2327" s="240">
        <f t="shared" si="179"/>
        <v>45232</v>
      </c>
      <c r="F2327" s="511" t="s">
        <v>1248</v>
      </c>
      <c r="G2327" s="225" t="s">
        <v>1245</v>
      </c>
      <c r="H2327" s="226"/>
      <c r="I2327" s="226" t="s">
        <v>1253</v>
      </c>
      <c r="J2327" s="222" t="s">
        <v>80</v>
      </c>
      <c r="K2327" s="227">
        <v>2204.3719761670673</v>
      </c>
      <c r="L2327" s="227"/>
    </row>
    <row r="2328" spans="1:12" ht="11.25" customHeight="1" x14ac:dyDescent="0.2">
      <c r="A2328" s="228">
        <v>2023</v>
      </c>
      <c r="B2328" s="228">
        <v>11</v>
      </c>
      <c r="C2328" s="228">
        <v>2</v>
      </c>
      <c r="D2328" s="229">
        <f t="shared" si="180"/>
        <v>45232</v>
      </c>
      <c r="E2328" s="241">
        <f t="shared" si="179"/>
        <v>45232</v>
      </c>
      <c r="F2328" s="512"/>
      <c r="G2328" s="231" t="s">
        <v>1245</v>
      </c>
      <c r="H2328" s="232"/>
      <c r="I2328" s="232" t="s">
        <v>1253</v>
      </c>
      <c r="J2328" s="228" t="s">
        <v>42</v>
      </c>
      <c r="K2328" s="233"/>
      <c r="L2328" s="233">
        <v>2204.3719761670673</v>
      </c>
    </row>
    <row r="2329" spans="1:12" ht="11.25" customHeight="1" x14ac:dyDescent="0.2">
      <c r="A2329" s="197">
        <v>2023</v>
      </c>
      <c r="B2329" s="197">
        <v>11</v>
      </c>
      <c r="C2329" s="197">
        <v>5</v>
      </c>
      <c r="D2329" s="198">
        <f t="shared" si="180"/>
        <v>45235</v>
      </c>
      <c r="E2329" s="209">
        <f t="shared" si="179"/>
        <v>45235</v>
      </c>
      <c r="F2329" s="513" t="s">
        <v>1280</v>
      </c>
      <c r="G2329" s="200" t="s">
        <v>1209</v>
      </c>
      <c r="H2329" s="201"/>
      <c r="I2329" s="201" t="s">
        <v>1479</v>
      </c>
      <c r="J2329" s="197" t="s">
        <v>16</v>
      </c>
      <c r="K2329" s="202">
        <v>297130</v>
      </c>
      <c r="L2329" s="202"/>
    </row>
    <row r="2330" spans="1:12" ht="11.25" customHeight="1" x14ac:dyDescent="0.2">
      <c r="A2330" s="120">
        <v>2023</v>
      </c>
      <c r="B2330" s="120">
        <v>11</v>
      </c>
      <c r="C2330" s="120">
        <v>5</v>
      </c>
      <c r="D2330" s="208">
        <f t="shared" si="180"/>
        <v>45235</v>
      </c>
      <c r="E2330" s="209">
        <f t="shared" si="179"/>
        <v>45235</v>
      </c>
      <c r="F2330" s="515"/>
      <c r="G2330" s="132" t="s">
        <v>1209</v>
      </c>
      <c r="I2330" s="128" t="s">
        <v>1479</v>
      </c>
      <c r="J2330" s="120" t="s">
        <v>47</v>
      </c>
      <c r="K2330" s="207">
        <v>16492.280000000028</v>
      </c>
      <c r="L2330" s="207"/>
    </row>
    <row r="2331" spans="1:12" ht="11.25" customHeight="1" x14ac:dyDescent="0.2">
      <c r="A2331" s="191">
        <v>2023</v>
      </c>
      <c r="B2331" s="191">
        <v>11</v>
      </c>
      <c r="C2331" s="191">
        <v>5</v>
      </c>
      <c r="D2331" s="192">
        <f t="shared" si="180"/>
        <v>45235</v>
      </c>
      <c r="E2331" s="193">
        <f t="shared" si="179"/>
        <v>45235</v>
      </c>
      <c r="F2331" s="514"/>
      <c r="G2331" s="194" t="s">
        <v>1209</v>
      </c>
      <c r="H2331" s="195"/>
      <c r="I2331" s="195" t="s">
        <v>1479</v>
      </c>
      <c r="J2331" s="191" t="s">
        <v>46</v>
      </c>
      <c r="K2331" s="196"/>
      <c r="L2331" s="196">
        <v>313622.28000000003</v>
      </c>
    </row>
    <row r="2332" spans="1:12" ht="11.25" customHeight="1" x14ac:dyDescent="0.2">
      <c r="A2332" s="197">
        <v>2023</v>
      </c>
      <c r="B2332" s="197">
        <v>11</v>
      </c>
      <c r="C2332" s="197">
        <v>5</v>
      </c>
      <c r="D2332" s="198">
        <f t="shared" si="180"/>
        <v>45235</v>
      </c>
      <c r="E2332" s="209">
        <f t="shared" si="179"/>
        <v>45235</v>
      </c>
      <c r="F2332" s="513" t="s">
        <v>1296</v>
      </c>
      <c r="G2332" s="200" t="s">
        <v>1209</v>
      </c>
      <c r="H2332" s="201"/>
      <c r="I2332" s="201"/>
      <c r="J2332" s="197" t="s">
        <v>46</v>
      </c>
      <c r="K2332" s="202">
        <v>103000</v>
      </c>
      <c r="L2332" s="202"/>
    </row>
    <row r="2333" spans="1:12" ht="11.25" customHeight="1" x14ac:dyDescent="0.2">
      <c r="A2333" s="120">
        <v>2023</v>
      </c>
      <c r="B2333" s="120">
        <v>11</v>
      </c>
      <c r="C2333" s="120">
        <v>5</v>
      </c>
      <c r="D2333" s="208">
        <f t="shared" si="180"/>
        <v>45235</v>
      </c>
      <c r="E2333" s="209">
        <f t="shared" si="179"/>
        <v>45235</v>
      </c>
      <c r="F2333" s="515"/>
      <c r="G2333" s="132" t="s">
        <v>1209</v>
      </c>
      <c r="J2333" s="120" t="s">
        <v>16</v>
      </c>
      <c r="K2333" s="207"/>
      <c r="L2333" s="207">
        <v>97580</v>
      </c>
    </row>
    <row r="2334" spans="1:12" ht="11.25" customHeight="1" x14ac:dyDescent="0.2">
      <c r="A2334" s="191">
        <v>2023</v>
      </c>
      <c r="B2334" s="191">
        <v>11</v>
      </c>
      <c r="C2334" s="191">
        <v>5</v>
      </c>
      <c r="D2334" s="192">
        <f t="shared" si="180"/>
        <v>45235</v>
      </c>
      <c r="E2334" s="193">
        <f t="shared" si="179"/>
        <v>45235</v>
      </c>
      <c r="F2334" s="514"/>
      <c r="G2334" s="194" t="s">
        <v>1209</v>
      </c>
      <c r="H2334" s="195"/>
      <c r="I2334" s="195"/>
      <c r="J2334" s="191" t="s">
        <v>47</v>
      </c>
      <c r="K2334" s="196"/>
      <c r="L2334" s="196">
        <v>5420</v>
      </c>
    </row>
    <row r="2335" spans="1:12" ht="11.25" customHeight="1" x14ac:dyDescent="0.2">
      <c r="A2335" s="197">
        <v>2023</v>
      </c>
      <c r="B2335" s="197">
        <v>11</v>
      </c>
      <c r="C2335" s="197">
        <v>6</v>
      </c>
      <c r="D2335" s="198">
        <f t="shared" si="180"/>
        <v>45236</v>
      </c>
      <c r="E2335" s="209">
        <f t="shared" ref="E2335:E2340" si="181">DATE(A2335,B2335,C2335)</f>
        <v>45236</v>
      </c>
      <c r="F2335" s="513" t="s">
        <v>1280</v>
      </c>
      <c r="G2335" s="200" t="s">
        <v>1209</v>
      </c>
      <c r="H2335" s="201"/>
      <c r="I2335" s="201" t="s">
        <v>494</v>
      </c>
      <c r="J2335" s="197" t="s">
        <v>16</v>
      </c>
      <c r="K2335" s="202">
        <v>100000</v>
      </c>
      <c r="L2335" s="202"/>
    </row>
    <row r="2336" spans="1:12" ht="11.25" customHeight="1" x14ac:dyDescent="0.2">
      <c r="A2336" s="120">
        <v>2023</v>
      </c>
      <c r="B2336" s="120">
        <v>11</v>
      </c>
      <c r="C2336" s="120">
        <v>6</v>
      </c>
      <c r="D2336" s="208">
        <f t="shared" si="180"/>
        <v>45236</v>
      </c>
      <c r="E2336" s="209">
        <f t="shared" si="181"/>
        <v>45236</v>
      </c>
      <c r="F2336" s="515"/>
      <c r="G2336" s="132" t="s">
        <v>1209</v>
      </c>
      <c r="I2336" s="128" t="s">
        <v>494</v>
      </c>
      <c r="J2336" s="120" t="s">
        <v>47</v>
      </c>
      <c r="K2336" s="207">
        <v>5550</v>
      </c>
      <c r="L2336" s="207"/>
    </row>
    <row r="2337" spans="1:13" ht="11.25" customHeight="1" x14ac:dyDescent="0.2">
      <c r="A2337" s="191">
        <v>2023</v>
      </c>
      <c r="B2337" s="191">
        <v>11</v>
      </c>
      <c r="C2337" s="191">
        <v>6</v>
      </c>
      <c r="D2337" s="192">
        <f t="shared" si="180"/>
        <v>45236</v>
      </c>
      <c r="E2337" s="193">
        <f t="shared" si="181"/>
        <v>45236</v>
      </c>
      <c r="F2337" s="514"/>
      <c r="G2337" s="194" t="s">
        <v>1209</v>
      </c>
      <c r="H2337" s="195"/>
      <c r="I2337" s="195" t="s">
        <v>494</v>
      </c>
      <c r="J2337" s="191" t="s">
        <v>46</v>
      </c>
      <c r="K2337" s="196"/>
      <c r="L2337" s="196">
        <v>105550</v>
      </c>
    </row>
    <row r="2338" spans="1:13" ht="11.25" customHeight="1" x14ac:dyDescent="0.2">
      <c r="A2338" s="197">
        <v>2023</v>
      </c>
      <c r="B2338" s="197">
        <v>11</v>
      </c>
      <c r="C2338" s="197">
        <v>6</v>
      </c>
      <c r="D2338" s="198">
        <f t="shared" si="180"/>
        <v>45236</v>
      </c>
      <c r="E2338" s="209">
        <f t="shared" si="181"/>
        <v>45236</v>
      </c>
      <c r="F2338" s="513" t="s">
        <v>1210</v>
      </c>
      <c r="G2338" s="200" t="s">
        <v>1209</v>
      </c>
      <c r="H2338" s="201"/>
      <c r="I2338" s="201" t="s">
        <v>415</v>
      </c>
      <c r="J2338" s="197" t="s">
        <v>46</v>
      </c>
      <c r="K2338" s="202">
        <v>200000</v>
      </c>
      <c r="L2338" s="202"/>
    </row>
    <row r="2339" spans="1:13" ht="11.25" customHeight="1" x14ac:dyDescent="0.2">
      <c r="A2339" s="120">
        <v>2023</v>
      </c>
      <c r="B2339" s="120">
        <v>11</v>
      </c>
      <c r="C2339" s="120">
        <v>6</v>
      </c>
      <c r="D2339" s="208">
        <f t="shared" si="180"/>
        <v>45236</v>
      </c>
      <c r="E2339" s="209">
        <f t="shared" si="181"/>
        <v>45236</v>
      </c>
      <c r="F2339" s="515"/>
      <c r="G2339" s="132" t="s">
        <v>1209</v>
      </c>
      <c r="I2339" s="128" t="s">
        <v>415</v>
      </c>
      <c r="J2339" s="120" t="s">
        <v>16</v>
      </c>
      <c r="K2339" s="120"/>
      <c r="L2339" s="207">
        <v>189480</v>
      </c>
    </row>
    <row r="2340" spans="1:13" ht="11.25" customHeight="1" x14ac:dyDescent="0.2">
      <c r="A2340" s="191">
        <v>2023</v>
      </c>
      <c r="B2340" s="191">
        <v>11</v>
      </c>
      <c r="C2340" s="191">
        <v>6</v>
      </c>
      <c r="D2340" s="192">
        <f t="shared" si="180"/>
        <v>45236</v>
      </c>
      <c r="E2340" s="193">
        <f t="shared" si="181"/>
        <v>45236</v>
      </c>
      <c r="F2340" s="514"/>
      <c r="G2340" s="194" t="s">
        <v>1209</v>
      </c>
      <c r="H2340" s="195"/>
      <c r="I2340" s="195" t="s">
        <v>415</v>
      </c>
      <c r="J2340" s="191" t="s">
        <v>47</v>
      </c>
      <c r="K2340" s="196"/>
      <c r="L2340" s="196">
        <v>10520</v>
      </c>
    </row>
    <row r="2341" spans="1:13" ht="11.25" customHeight="1" x14ac:dyDescent="0.2">
      <c r="A2341" s="197">
        <v>2023</v>
      </c>
      <c r="B2341" s="197">
        <v>11</v>
      </c>
      <c r="C2341" s="197">
        <v>6</v>
      </c>
      <c r="D2341" s="198">
        <f t="shared" si="180"/>
        <v>45236</v>
      </c>
      <c r="E2341" s="209">
        <f t="shared" ref="E2341:E2350" si="182">DATE(A2341,B2341,C2341)</f>
        <v>45236</v>
      </c>
      <c r="F2341" s="513" t="s">
        <v>1296</v>
      </c>
      <c r="G2341" s="200" t="s">
        <v>1209</v>
      </c>
      <c r="H2341" s="201"/>
      <c r="I2341" s="201"/>
      <c r="J2341" s="197" t="s">
        <v>46</v>
      </c>
      <c r="K2341" s="202">
        <v>157000</v>
      </c>
      <c r="L2341" s="202"/>
    </row>
    <row r="2342" spans="1:13" ht="11.25" customHeight="1" x14ac:dyDescent="0.2">
      <c r="A2342" s="120">
        <v>2023</v>
      </c>
      <c r="B2342" s="120">
        <v>11</v>
      </c>
      <c r="C2342" s="120">
        <v>6</v>
      </c>
      <c r="D2342" s="208">
        <f t="shared" si="180"/>
        <v>45236</v>
      </c>
      <c r="E2342" s="209">
        <f t="shared" si="182"/>
        <v>45236</v>
      </c>
      <c r="F2342" s="515"/>
      <c r="G2342" s="132" t="s">
        <v>1209</v>
      </c>
      <c r="J2342" s="120" t="s">
        <v>16</v>
      </c>
      <c r="K2342" s="207"/>
      <c r="L2342" s="207">
        <v>148740</v>
      </c>
    </row>
    <row r="2343" spans="1:13" ht="11.25" customHeight="1" x14ac:dyDescent="0.2">
      <c r="A2343" s="191">
        <v>2023</v>
      </c>
      <c r="B2343" s="191">
        <v>11</v>
      </c>
      <c r="C2343" s="191">
        <v>6</v>
      </c>
      <c r="D2343" s="192">
        <f t="shared" si="180"/>
        <v>45236</v>
      </c>
      <c r="E2343" s="193">
        <f t="shared" si="182"/>
        <v>45236</v>
      </c>
      <c r="F2343" s="514"/>
      <c r="G2343" s="194" t="s">
        <v>1209</v>
      </c>
      <c r="H2343" s="195"/>
      <c r="I2343" s="195"/>
      <c r="J2343" s="191" t="s">
        <v>47</v>
      </c>
      <c r="K2343" s="196"/>
      <c r="L2343" s="196">
        <v>8260</v>
      </c>
    </row>
    <row r="2344" spans="1:13" ht="11.25" customHeight="1" x14ac:dyDescent="0.2">
      <c r="A2344" s="197">
        <v>2023</v>
      </c>
      <c r="B2344" s="197">
        <v>11</v>
      </c>
      <c r="C2344" s="197">
        <v>8</v>
      </c>
      <c r="D2344" s="198">
        <f t="shared" si="180"/>
        <v>45238</v>
      </c>
      <c r="E2344" s="209">
        <f>DATE(A2344,B2344,C2344)</f>
        <v>45238</v>
      </c>
      <c r="F2344" s="513" t="s">
        <v>1480</v>
      </c>
      <c r="G2344" s="200" t="s">
        <v>1209</v>
      </c>
      <c r="H2344" s="201"/>
      <c r="I2344" s="201"/>
      <c r="J2344" s="248" t="s">
        <v>46</v>
      </c>
      <c r="K2344" s="202">
        <v>4105916.7</v>
      </c>
      <c r="L2344" s="202"/>
      <c r="M2344" s="251"/>
    </row>
    <row r="2345" spans="1:13" ht="11.25" customHeight="1" x14ac:dyDescent="0.2">
      <c r="A2345" s="120">
        <v>2023</v>
      </c>
      <c r="B2345" s="120">
        <v>11</v>
      </c>
      <c r="C2345" s="120">
        <v>8</v>
      </c>
      <c r="D2345" s="208">
        <f t="shared" si="180"/>
        <v>45238</v>
      </c>
      <c r="E2345" s="209">
        <f>DATE(A2345,B2345,C2345)</f>
        <v>45238</v>
      </c>
      <c r="F2345" s="515"/>
      <c r="G2345" s="132" t="s">
        <v>1209</v>
      </c>
      <c r="J2345" s="129" t="s">
        <v>54</v>
      </c>
      <c r="K2345" s="207">
        <v>750</v>
      </c>
      <c r="L2345" s="207"/>
      <c r="M2345" s="251"/>
    </row>
    <row r="2346" spans="1:13" ht="11.25" customHeight="1" x14ac:dyDescent="0.2">
      <c r="A2346" s="120">
        <v>2023</v>
      </c>
      <c r="B2346" s="120">
        <v>11</v>
      </c>
      <c r="C2346" s="120">
        <v>8</v>
      </c>
      <c r="D2346" s="208">
        <f t="shared" si="180"/>
        <v>45238</v>
      </c>
      <c r="E2346" s="209">
        <f>DATE(A2346,B2346,C2346)</f>
        <v>45238</v>
      </c>
      <c r="F2346" s="515"/>
      <c r="G2346" s="132" t="s">
        <v>1209</v>
      </c>
      <c r="J2346" s="129" t="s">
        <v>113</v>
      </c>
      <c r="K2346" s="207"/>
      <c r="L2346" s="207">
        <v>106666.7</v>
      </c>
      <c r="M2346" s="251"/>
    </row>
    <row r="2347" spans="1:13" ht="11.25" customHeight="1" x14ac:dyDescent="0.2">
      <c r="A2347" s="191">
        <v>2023</v>
      </c>
      <c r="B2347" s="191">
        <v>11</v>
      </c>
      <c r="C2347" s="191">
        <v>8</v>
      </c>
      <c r="D2347" s="192">
        <f t="shared" si="180"/>
        <v>45238</v>
      </c>
      <c r="E2347" s="193">
        <f>DATE(A2347,B2347,C2347)</f>
        <v>45238</v>
      </c>
      <c r="F2347" s="514"/>
      <c r="G2347" s="194" t="s">
        <v>1209</v>
      </c>
      <c r="H2347" s="195"/>
      <c r="I2347" s="195"/>
      <c r="J2347" s="250" t="s">
        <v>76</v>
      </c>
      <c r="K2347" s="196"/>
      <c r="L2347" s="196">
        <v>4000000</v>
      </c>
    </row>
    <row r="2348" spans="1:13" ht="11.25" customHeight="1" x14ac:dyDescent="0.2">
      <c r="A2348" s="197">
        <v>2023</v>
      </c>
      <c r="B2348" s="197">
        <v>11</v>
      </c>
      <c r="C2348" s="197">
        <v>9</v>
      </c>
      <c r="D2348" s="198">
        <f t="shared" si="180"/>
        <v>45239</v>
      </c>
      <c r="E2348" s="209">
        <f t="shared" si="182"/>
        <v>45239</v>
      </c>
      <c r="F2348" s="513" t="s">
        <v>1280</v>
      </c>
      <c r="G2348" s="200" t="s">
        <v>1209</v>
      </c>
      <c r="H2348" s="201"/>
      <c r="I2348" s="201" t="s">
        <v>670</v>
      </c>
      <c r="J2348" s="197" t="s">
        <v>16</v>
      </c>
      <c r="K2348" s="202">
        <v>293140</v>
      </c>
      <c r="L2348" s="202"/>
    </row>
    <row r="2349" spans="1:13" ht="11.25" customHeight="1" x14ac:dyDescent="0.2">
      <c r="A2349" s="120">
        <v>2023</v>
      </c>
      <c r="B2349" s="120">
        <v>11</v>
      </c>
      <c r="C2349" s="120">
        <v>9</v>
      </c>
      <c r="D2349" s="208">
        <f t="shared" si="180"/>
        <v>45239</v>
      </c>
      <c r="E2349" s="209">
        <f t="shared" si="182"/>
        <v>45239</v>
      </c>
      <c r="F2349" s="515"/>
      <c r="G2349" s="132" t="s">
        <v>1209</v>
      </c>
      <c r="I2349" s="128" t="s">
        <v>670</v>
      </c>
      <c r="J2349" s="120" t="s">
        <v>47</v>
      </c>
      <c r="K2349" s="207">
        <v>16269.270000000019</v>
      </c>
      <c r="L2349" s="207"/>
    </row>
    <row r="2350" spans="1:13" ht="11.25" customHeight="1" x14ac:dyDescent="0.2">
      <c r="A2350" s="191">
        <v>2023</v>
      </c>
      <c r="B2350" s="191">
        <v>11</v>
      </c>
      <c r="C2350" s="191">
        <v>9</v>
      </c>
      <c r="D2350" s="192">
        <f t="shared" si="180"/>
        <v>45239</v>
      </c>
      <c r="E2350" s="193">
        <f t="shared" si="182"/>
        <v>45239</v>
      </c>
      <c r="F2350" s="514"/>
      <c r="G2350" s="194" t="s">
        <v>1209</v>
      </c>
      <c r="H2350" s="195"/>
      <c r="I2350" s="195" t="s">
        <v>670</v>
      </c>
      <c r="J2350" s="191" t="s">
        <v>46</v>
      </c>
      <c r="K2350" s="196"/>
      <c r="L2350" s="196">
        <v>309409.27</v>
      </c>
    </row>
    <row r="2351" spans="1:13" ht="11.25" customHeight="1" x14ac:dyDescent="0.2">
      <c r="A2351" s="197">
        <v>2023</v>
      </c>
      <c r="B2351" s="197">
        <v>11</v>
      </c>
      <c r="C2351" s="197">
        <v>9</v>
      </c>
      <c r="D2351" s="198">
        <f t="shared" si="180"/>
        <v>45239</v>
      </c>
      <c r="E2351" s="209">
        <f t="shared" ref="E2351:E2358" si="183">DATE(A2351,B2351,C2351)</f>
        <v>45239</v>
      </c>
      <c r="F2351" s="513" t="s">
        <v>1481</v>
      </c>
      <c r="G2351" s="200" t="s">
        <v>1209</v>
      </c>
      <c r="H2351" s="201"/>
      <c r="I2351" s="201"/>
      <c r="J2351" s="248" t="s">
        <v>46</v>
      </c>
      <c r="K2351" s="202">
        <v>25650833.309999999</v>
      </c>
      <c r="L2351" s="202"/>
      <c r="M2351" s="251"/>
    </row>
    <row r="2352" spans="1:13" ht="11.25" customHeight="1" x14ac:dyDescent="0.2">
      <c r="A2352" s="120">
        <v>2023</v>
      </c>
      <c r="B2352" s="120">
        <v>11</v>
      </c>
      <c r="C2352" s="120">
        <v>9</v>
      </c>
      <c r="D2352" s="208">
        <f t="shared" si="180"/>
        <v>45239</v>
      </c>
      <c r="E2352" s="209">
        <f t="shared" si="183"/>
        <v>45239</v>
      </c>
      <c r="F2352" s="515"/>
      <c r="G2352" s="132" t="s">
        <v>1209</v>
      </c>
      <c r="J2352" s="129" t="s">
        <v>54</v>
      </c>
      <c r="K2352" s="207">
        <v>45000.02</v>
      </c>
      <c r="L2352" s="207"/>
      <c r="M2352" s="251"/>
    </row>
    <row r="2353" spans="1:14" ht="11.25" customHeight="1" x14ac:dyDescent="0.2">
      <c r="A2353" s="120">
        <v>2023</v>
      </c>
      <c r="B2353" s="120">
        <v>11</v>
      </c>
      <c r="C2353" s="120">
        <v>9</v>
      </c>
      <c r="D2353" s="208">
        <f t="shared" si="180"/>
        <v>45239</v>
      </c>
      <c r="E2353" s="209">
        <f t="shared" si="183"/>
        <v>45239</v>
      </c>
      <c r="F2353" s="515"/>
      <c r="G2353" s="132" t="s">
        <v>1209</v>
      </c>
      <c r="J2353" s="129" t="s">
        <v>113</v>
      </c>
      <c r="K2353" s="207"/>
      <c r="L2353" s="207">
        <v>695833.33</v>
      </c>
      <c r="M2353" s="251"/>
    </row>
    <row r="2354" spans="1:14" ht="11.25" customHeight="1" x14ac:dyDescent="0.2">
      <c r="A2354" s="191">
        <v>2023</v>
      </c>
      <c r="B2354" s="191">
        <v>11</v>
      </c>
      <c r="C2354" s="191">
        <v>9</v>
      </c>
      <c r="D2354" s="192">
        <f t="shared" si="180"/>
        <v>45239</v>
      </c>
      <c r="E2354" s="193">
        <f t="shared" si="183"/>
        <v>45239</v>
      </c>
      <c r="F2354" s="514"/>
      <c r="G2354" s="194" t="s">
        <v>1209</v>
      </c>
      <c r="H2354" s="195"/>
      <c r="I2354" s="195"/>
      <c r="J2354" s="250" t="s">
        <v>76</v>
      </c>
      <c r="K2354" s="196"/>
      <c r="L2354" s="196">
        <v>25000000</v>
      </c>
    </row>
    <row r="2355" spans="1:14" ht="11.25" customHeight="1" x14ac:dyDescent="0.2">
      <c r="A2355" s="197">
        <v>2023</v>
      </c>
      <c r="B2355" s="197">
        <v>11</v>
      </c>
      <c r="C2355" s="197">
        <v>9</v>
      </c>
      <c r="D2355" s="198">
        <f t="shared" si="180"/>
        <v>45239</v>
      </c>
      <c r="E2355" s="209">
        <f t="shared" si="183"/>
        <v>45239</v>
      </c>
      <c r="F2355" s="513" t="s">
        <v>1482</v>
      </c>
      <c r="G2355" s="200" t="s">
        <v>1209</v>
      </c>
      <c r="H2355" s="201"/>
      <c r="I2355" s="201"/>
      <c r="J2355" s="248" t="s">
        <v>46</v>
      </c>
      <c r="K2355" s="202">
        <v>18432000</v>
      </c>
      <c r="L2355" s="202"/>
      <c r="M2355" s="251"/>
    </row>
    <row r="2356" spans="1:14" ht="11.25" customHeight="1" x14ac:dyDescent="0.2">
      <c r="A2356" s="120">
        <v>2023</v>
      </c>
      <c r="B2356" s="120">
        <v>11</v>
      </c>
      <c r="C2356" s="120">
        <v>9</v>
      </c>
      <c r="D2356" s="208">
        <f t="shared" si="180"/>
        <v>45239</v>
      </c>
      <c r="E2356" s="209">
        <f t="shared" si="183"/>
        <v>45239</v>
      </c>
      <c r="F2356" s="515"/>
      <c r="G2356" s="132" t="s">
        <v>1209</v>
      </c>
      <c r="J2356" s="129" t="s">
        <v>54</v>
      </c>
      <c r="K2356" s="207">
        <v>18000</v>
      </c>
      <c r="L2356" s="207"/>
      <c r="M2356" s="251"/>
    </row>
    <row r="2357" spans="1:14" ht="11.25" customHeight="1" x14ac:dyDescent="0.2">
      <c r="A2357" s="120">
        <v>2023</v>
      </c>
      <c r="B2357" s="120">
        <v>11</v>
      </c>
      <c r="C2357" s="120">
        <v>9</v>
      </c>
      <c r="D2357" s="208">
        <f t="shared" si="180"/>
        <v>45239</v>
      </c>
      <c r="E2357" s="209">
        <f t="shared" si="183"/>
        <v>45239</v>
      </c>
      <c r="F2357" s="515"/>
      <c r="G2357" s="132" t="s">
        <v>1209</v>
      </c>
      <c r="J2357" s="129" t="s">
        <v>113</v>
      </c>
      <c r="K2357" s="207"/>
      <c r="L2357" s="207">
        <v>450000</v>
      </c>
      <c r="M2357" s="251"/>
    </row>
    <row r="2358" spans="1:14" ht="11.25" customHeight="1" x14ac:dyDescent="0.2">
      <c r="A2358" s="191">
        <v>2023</v>
      </c>
      <c r="B2358" s="191">
        <v>11</v>
      </c>
      <c r="C2358" s="191">
        <v>9</v>
      </c>
      <c r="D2358" s="192">
        <f t="shared" si="180"/>
        <v>45239</v>
      </c>
      <c r="E2358" s="193">
        <f t="shared" si="183"/>
        <v>45239</v>
      </c>
      <c r="F2358" s="514"/>
      <c r="G2358" s="194" t="s">
        <v>1209</v>
      </c>
      <c r="H2358" s="195"/>
      <c r="I2358" s="195"/>
      <c r="J2358" s="250" t="s">
        <v>76</v>
      </c>
      <c r="K2358" s="196"/>
      <c r="L2358" s="196">
        <v>18000000</v>
      </c>
      <c r="N2358" s="328"/>
    </row>
    <row r="2359" spans="1:14" ht="11.25" customHeight="1" x14ac:dyDescent="0.2">
      <c r="A2359" s="210">
        <v>2023</v>
      </c>
      <c r="B2359" s="210">
        <v>11</v>
      </c>
      <c r="C2359" s="210">
        <v>9</v>
      </c>
      <c r="D2359" s="211">
        <f t="shared" si="180"/>
        <v>45239</v>
      </c>
      <c r="E2359" s="238">
        <f t="shared" ref="E2359:E2412" si="184">DATE(A2359,B2359,C2359)</f>
        <v>45239</v>
      </c>
      <c r="F2359" s="520" t="s">
        <v>1278</v>
      </c>
      <c r="G2359" s="213" t="s">
        <v>1245</v>
      </c>
      <c r="H2359" s="214"/>
      <c r="I2359" s="214" t="s">
        <v>1253</v>
      </c>
      <c r="J2359" s="210" t="s">
        <v>1529</v>
      </c>
      <c r="K2359" s="215">
        <v>6512.28</v>
      </c>
      <c r="L2359" s="215"/>
    </row>
    <row r="2360" spans="1:14" ht="11.25" customHeight="1" x14ac:dyDescent="0.2">
      <c r="A2360" s="216">
        <v>2023</v>
      </c>
      <c r="B2360" s="216">
        <v>11</v>
      </c>
      <c r="C2360" s="216">
        <v>9</v>
      </c>
      <c r="D2360" s="217">
        <f t="shared" si="180"/>
        <v>45239</v>
      </c>
      <c r="E2360" s="239">
        <f t="shared" si="184"/>
        <v>45239</v>
      </c>
      <c r="F2360" s="521"/>
      <c r="G2360" s="219" t="s">
        <v>1245</v>
      </c>
      <c r="H2360" s="220"/>
      <c r="I2360" s="220" t="s">
        <v>1253</v>
      </c>
      <c r="J2360" s="216" t="s">
        <v>1581</v>
      </c>
      <c r="K2360" s="221"/>
      <c r="L2360" s="221">
        <v>6512.28</v>
      </c>
    </row>
    <row r="2361" spans="1:14" ht="11.25" customHeight="1" x14ac:dyDescent="0.2">
      <c r="A2361" s="210">
        <v>2023</v>
      </c>
      <c r="B2361" s="210">
        <v>11</v>
      </c>
      <c r="C2361" s="210">
        <v>9</v>
      </c>
      <c r="D2361" s="211">
        <f t="shared" si="180"/>
        <v>45239</v>
      </c>
      <c r="E2361" s="238">
        <f t="shared" si="184"/>
        <v>45239</v>
      </c>
      <c r="F2361" s="520" t="s">
        <v>1285</v>
      </c>
      <c r="G2361" s="213" t="s">
        <v>1245</v>
      </c>
      <c r="H2361" s="214"/>
      <c r="I2361" s="214" t="s">
        <v>1253</v>
      </c>
      <c r="J2361" s="210" t="s">
        <v>1284</v>
      </c>
      <c r="K2361" s="215">
        <v>13771.15</v>
      </c>
      <c r="L2361" s="215"/>
    </row>
    <row r="2362" spans="1:14" ht="11.25" customHeight="1" x14ac:dyDescent="0.2">
      <c r="A2362" s="242">
        <v>2023</v>
      </c>
      <c r="B2362" s="216">
        <v>11</v>
      </c>
      <c r="C2362" s="216">
        <v>9</v>
      </c>
      <c r="D2362" s="243">
        <f t="shared" si="180"/>
        <v>45239</v>
      </c>
      <c r="E2362" s="244">
        <f>DATE(A2362,B2362,C2362)</f>
        <v>45239</v>
      </c>
      <c r="F2362" s="524"/>
      <c r="G2362" s="245" t="s">
        <v>1245</v>
      </c>
      <c r="H2362" s="246"/>
      <c r="I2362" s="246"/>
      <c r="J2362" s="242" t="s">
        <v>1582</v>
      </c>
      <c r="K2362" s="247"/>
      <c r="L2362" s="247">
        <v>13771.15</v>
      </c>
    </row>
    <row r="2363" spans="1:14" ht="11.25" customHeight="1" x14ac:dyDescent="0.2">
      <c r="A2363" s="210">
        <v>2023</v>
      </c>
      <c r="B2363" s="210">
        <v>11</v>
      </c>
      <c r="C2363" s="210">
        <v>9</v>
      </c>
      <c r="D2363" s="211">
        <f t="shared" si="180"/>
        <v>45239</v>
      </c>
      <c r="E2363" s="238">
        <f t="shared" si="184"/>
        <v>45239</v>
      </c>
      <c r="F2363" s="520" t="s">
        <v>1259</v>
      </c>
      <c r="G2363" s="213" t="s">
        <v>1245</v>
      </c>
      <c r="H2363" s="214"/>
      <c r="I2363" s="214" t="s">
        <v>1253</v>
      </c>
      <c r="J2363" s="210" t="s">
        <v>58</v>
      </c>
      <c r="K2363" s="215">
        <v>10037.17</v>
      </c>
      <c r="L2363" s="215"/>
    </row>
    <row r="2364" spans="1:14" ht="11.25" customHeight="1" x14ac:dyDescent="0.2">
      <c r="A2364" s="216">
        <v>2023</v>
      </c>
      <c r="B2364" s="216">
        <v>11</v>
      </c>
      <c r="C2364" s="216">
        <v>9</v>
      </c>
      <c r="D2364" s="217">
        <f t="shared" si="180"/>
        <v>45239</v>
      </c>
      <c r="E2364" s="239">
        <f t="shared" si="184"/>
        <v>45239</v>
      </c>
      <c r="F2364" s="521"/>
      <c r="G2364" s="219" t="s">
        <v>1245</v>
      </c>
      <c r="H2364" s="220"/>
      <c r="I2364" s="220" t="s">
        <v>1253</v>
      </c>
      <c r="J2364" s="216" t="s">
        <v>153</v>
      </c>
      <c r="K2364" s="221"/>
      <c r="L2364" s="221">
        <v>10037.17</v>
      </c>
    </row>
    <row r="2365" spans="1:14" ht="11.25" customHeight="1" x14ac:dyDescent="0.2">
      <c r="A2365" s="210">
        <v>2023</v>
      </c>
      <c r="B2365" s="210">
        <v>11</v>
      </c>
      <c r="C2365" s="210">
        <v>9</v>
      </c>
      <c r="D2365" s="211">
        <f t="shared" si="180"/>
        <v>45239</v>
      </c>
      <c r="E2365" s="238">
        <f t="shared" si="184"/>
        <v>45239</v>
      </c>
      <c r="F2365" s="520" t="s">
        <v>1255</v>
      </c>
      <c r="G2365" s="213" t="s">
        <v>1245</v>
      </c>
      <c r="H2365" s="214"/>
      <c r="I2365" s="214" t="s">
        <v>1253</v>
      </c>
      <c r="J2365" s="210" t="s">
        <v>113</v>
      </c>
      <c r="K2365" s="215"/>
      <c r="L2365" s="215"/>
    </row>
    <row r="2366" spans="1:14" ht="11.25" customHeight="1" x14ac:dyDescent="0.2">
      <c r="A2366" s="216">
        <v>2023</v>
      </c>
      <c r="B2366" s="216">
        <v>11</v>
      </c>
      <c r="C2366" s="216">
        <v>9</v>
      </c>
      <c r="D2366" s="217">
        <f t="shared" si="180"/>
        <v>45239</v>
      </c>
      <c r="E2366" s="239">
        <f t="shared" si="184"/>
        <v>45239</v>
      </c>
      <c r="F2366" s="521"/>
      <c r="G2366" s="219" t="s">
        <v>1245</v>
      </c>
      <c r="H2366" s="220"/>
      <c r="I2366" s="220" t="s">
        <v>1253</v>
      </c>
      <c r="J2366" s="216" t="s">
        <v>153</v>
      </c>
      <c r="K2366" s="221"/>
      <c r="L2366" s="221"/>
    </row>
    <row r="2367" spans="1:14" ht="11.25" customHeight="1" x14ac:dyDescent="0.2">
      <c r="A2367" s="210">
        <v>2023</v>
      </c>
      <c r="B2367" s="210">
        <v>11</v>
      </c>
      <c r="C2367" s="210">
        <v>9</v>
      </c>
      <c r="D2367" s="211">
        <f t="shared" ref="D2367:D2428" si="185">DATE(A2367,B2367,C2367)</f>
        <v>45239</v>
      </c>
      <c r="E2367" s="238">
        <f t="shared" si="184"/>
        <v>45239</v>
      </c>
      <c r="F2367" s="520" t="s">
        <v>1256</v>
      </c>
      <c r="G2367" s="213" t="s">
        <v>1245</v>
      </c>
      <c r="H2367" s="214"/>
      <c r="I2367" s="214" t="s">
        <v>1253</v>
      </c>
      <c r="J2367" s="210" t="s">
        <v>113</v>
      </c>
      <c r="K2367" s="215">
        <v>206728.81</v>
      </c>
      <c r="L2367" s="215"/>
    </row>
    <row r="2368" spans="1:14" ht="11.25" customHeight="1" x14ac:dyDescent="0.2">
      <c r="A2368" s="216">
        <v>2023</v>
      </c>
      <c r="B2368" s="216">
        <v>11</v>
      </c>
      <c r="C2368" s="216">
        <v>9</v>
      </c>
      <c r="D2368" s="217">
        <f t="shared" si="185"/>
        <v>45239</v>
      </c>
      <c r="E2368" s="239">
        <f t="shared" si="184"/>
        <v>45239</v>
      </c>
      <c r="F2368" s="521"/>
      <c r="G2368" s="219" t="s">
        <v>1245</v>
      </c>
      <c r="H2368" s="220"/>
      <c r="I2368" s="220" t="s">
        <v>1253</v>
      </c>
      <c r="J2368" s="216" t="s">
        <v>153</v>
      </c>
      <c r="K2368" s="221"/>
      <c r="L2368" s="221">
        <v>206728.81</v>
      </c>
    </row>
    <row r="2369" spans="1:12" ht="11.25" customHeight="1" x14ac:dyDescent="0.2">
      <c r="A2369" s="210">
        <v>2023</v>
      </c>
      <c r="B2369" s="210">
        <v>11</v>
      </c>
      <c r="C2369" s="210">
        <v>9</v>
      </c>
      <c r="D2369" s="211">
        <f t="shared" si="185"/>
        <v>45239</v>
      </c>
      <c r="E2369" s="238">
        <f t="shared" si="184"/>
        <v>45239</v>
      </c>
      <c r="F2369" s="520" t="s">
        <v>1257</v>
      </c>
      <c r="G2369" s="213" t="s">
        <v>1245</v>
      </c>
      <c r="H2369" s="214"/>
      <c r="I2369" s="214" t="s">
        <v>1253</v>
      </c>
      <c r="J2369" s="210" t="s">
        <v>113</v>
      </c>
      <c r="K2369" s="215"/>
      <c r="L2369" s="215"/>
    </row>
    <row r="2370" spans="1:12" ht="11.25" customHeight="1" x14ac:dyDescent="0.2">
      <c r="A2370" s="216">
        <v>2023</v>
      </c>
      <c r="B2370" s="216">
        <v>11</v>
      </c>
      <c r="C2370" s="216">
        <v>9</v>
      </c>
      <c r="D2370" s="217">
        <f t="shared" si="185"/>
        <v>45239</v>
      </c>
      <c r="E2370" s="239">
        <f t="shared" si="184"/>
        <v>45239</v>
      </c>
      <c r="F2370" s="521"/>
      <c r="G2370" s="219" t="s">
        <v>1245</v>
      </c>
      <c r="H2370" s="220"/>
      <c r="I2370" s="220" t="s">
        <v>1253</v>
      </c>
      <c r="J2370" s="216" t="s">
        <v>153</v>
      </c>
      <c r="K2370" s="221"/>
      <c r="L2370" s="221"/>
    </row>
    <row r="2371" spans="1:12" ht="11.25" customHeight="1" x14ac:dyDescent="0.2">
      <c r="A2371" s="259">
        <v>2023</v>
      </c>
      <c r="B2371" s="259">
        <v>11</v>
      </c>
      <c r="C2371" s="259">
        <v>9</v>
      </c>
      <c r="D2371" s="260">
        <f t="shared" si="185"/>
        <v>45239</v>
      </c>
      <c r="E2371" s="261">
        <f t="shared" si="184"/>
        <v>45239</v>
      </c>
      <c r="F2371" s="531" t="s">
        <v>1442</v>
      </c>
      <c r="G2371" s="262" t="s">
        <v>1245</v>
      </c>
      <c r="H2371" s="263"/>
      <c r="I2371" s="263" t="s">
        <v>1253</v>
      </c>
      <c r="J2371" s="259" t="s">
        <v>1476</v>
      </c>
      <c r="K2371" s="264">
        <v>16921.37777777782</v>
      </c>
      <c r="L2371" s="264"/>
    </row>
    <row r="2372" spans="1:12" ht="11.25" customHeight="1" x14ac:dyDescent="0.2">
      <c r="A2372" s="265">
        <v>2023</v>
      </c>
      <c r="B2372" s="265">
        <v>11</v>
      </c>
      <c r="C2372" s="265">
        <v>9</v>
      </c>
      <c r="D2372" s="266">
        <f t="shared" si="185"/>
        <v>45239</v>
      </c>
      <c r="E2372" s="267">
        <f t="shared" si="184"/>
        <v>45239</v>
      </c>
      <c r="F2372" s="532"/>
      <c r="G2372" s="268" t="s">
        <v>1245</v>
      </c>
      <c r="H2372" s="269"/>
      <c r="I2372" s="269" t="s">
        <v>1253</v>
      </c>
      <c r="J2372" s="265" t="s">
        <v>153</v>
      </c>
      <c r="K2372" s="270"/>
      <c r="L2372" s="270">
        <v>16921.37777777782</v>
      </c>
    </row>
    <row r="2373" spans="1:12" ht="11.25" customHeight="1" x14ac:dyDescent="0.2">
      <c r="A2373" s="259">
        <v>2023</v>
      </c>
      <c r="B2373" s="259">
        <v>11</v>
      </c>
      <c r="C2373" s="259">
        <v>9</v>
      </c>
      <c r="D2373" s="260">
        <f t="shared" si="185"/>
        <v>45239</v>
      </c>
      <c r="E2373" s="261">
        <f t="shared" si="184"/>
        <v>45239</v>
      </c>
      <c r="F2373" s="531" t="s">
        <v>1448</v>
      </c>
      <c r="G2373" s="262" t="s">
        <v>1245</v>
      </c>
      <c r="H2373" s="263"/>
      <c r="I2373" s="263" t="s">
        <v>1253</v>
      </c>
      <c r="J2373" s="259" t="s">
        <v>1476</v>
      </c>
      <c r="K2373" s="264">
        <v>12458.888888888889</v>
      </c>
      <c r="L2373" s="264"/>
    </row>
    <row r="2374" spans="1:12" ht="11.25" customHeight="1" x14ac:dyDescent="0.2">
      <c r="A2374" s="265">
        <v>2023</v>
      </c>
      <c r="B2374" s="265">
        <v>11</v>
      </c>
      <c r="C2374" s="265">
        <v>9</v>
      </c>
      <c r="D2374" s="266">
        <f t="shared" si="185"/>
        <v>45239</v>
      </c>
      <c r="E2374" s="267">
        <f t="shared" si="184"/>
        <v>45239</v>
      </c>
      <c r="F2374" s="532"/>
      <c r="G2374" s="268" t="s">
        <v>1245</v>
      </c>
      <c r="H2374" s="269"/>
      <c r="I2374" s="269" t="s">
        <v>1253</v>
      </c>
      <c r="J2374" s="265" t="s">
        <v>153</v>
      </c>
      <c r="K2374" s="270"/>
      <c r="L2374" s="270">
        <v>12458.888888888889</v>
      </c>
    </row>
    <row r="2375" spans="1:12" ht="11.25" customHeight="1" x14ac:dyDescent="0.2">
      <c r="A2375" s="259">
        <v>2023</v>
      </c>
      <c r="B2375" s="259">
        <v>11</v>
      </c>
      <c r="C2375" s="259">
        <v>9</v>
      </c>
      <c r="D2375" s="260">
        <f t="shared" si="185"/>
        <v>45239</v>
      </c>
      <c r="E2375" s="261">
        <f t="shared" si="184"/>
        <v>45239</v>
      </c>
      <c r="F2375" s="531" t="s">
        <v>1442</v>
      </c>
      <c r="G2375" s="262" t="s">
        <v>1245</v>
      </c>
      <c r="H2375" s="263"/>
      <c r="I2375" s="263" t="s">
        <v>1253</v>
      </c>
      <c r="J2375" s="259" t="s">
        <v>1476</v>
      </c>
      <c r="K2375" s="264">
        <v>5245.7199999999975</v>
      </c>
      <c r="L2375" s="264"/>
    </row>
    <row r="2376" spans="1:12" ht="11.25" customHeight="1" x14ac:dyDescent="0.2">
      <c r="A2376" s="265">
        <v>2023</v>
      </c>
      <c r="B2376" s="265">
        <v>11</v>
      </c>
      <c r="C2376" s="265">
        <v>9</v>
      </c>
      <c r="D2376" s="266">
        <f t="shared" si="185"/>
        <v>45239</v>
      </c>
      <c r="E2376" s="267">
        <f t="shared" si="184"/>
        <v>45239</v>
      </c>
      <c r="F2376" s="532"/>
      <c r="G2376" s="268" t="s">
        <v>1245</v>
      </c>
      <c r="H2376" s="269"/>
      <c r="I2376" s="269" t="s">
        <v>1253</v>
      </c>
      <c r="J2376" s="265" t="s">
        <v>153</v>
      </c>
      <c r="K2376" s="270"/>
      <c r="L2376" s="270">
        <v>5245.7199999999975</v>
      </c>
    </row>
    <row r="2377" spans="1:12" ht="11.25" customHeight="1" x14ac:dyDescent="0.2">
      <c r="A2377" s="312">
        <v>2023</v>
      </c>
      <c r="B2377" s="312">
        <v>11</v>
      </c>
      <c r="C2377" s="312">
        <v>9</v>
      </c>
      <c r="D2377" s="313">
        <f t="shared" si="185"/>
        <v>45239</v>
      </c>
      <c r="E2377" s="314">
        <f t="shared" si="184"/>
        <v>45239</v>
      </c>
      <c r="F2377" s="522" t="s">
        <v>1477</v>
      </c>
      <c r="G2377" s="315" t="s">
        <v>1245</v>
      </c>
      <c r="H2377" s="316"/>
      <c r="I2377" s="316" t="s">
        <v>1253</v>
      </c>
      <c r="J2377" s="312" t="s">
        <v>1460</v>
      </c>
      <c r="K2377" s="317">
        <v>17102</v>
      </c>
      <c r="L2377" s="317"/>
    </row>
    <row r="2378" spans="1:12" ht="11.25" customHeight="1" x14ac:dyDescent="0.2">
      <c r="A2378" s="318">
        <v>2023</v>
      </c>
      <c r="B2378" s="318">
        <v>11</v>
      </c>
      <c r="C2378" s="318">
        <v>9</v>
      </c>
      <c r="D2378" s="319">
        <f t="shared" si="185"/>
        <v>45239</v>
      </c>
      <c r="E2378" s="320">
        <f t="shared" si="184"/>
        <v>45239</v>
      </c>
      <c r="F2378" s="523"/>
      <c r="G2378" s="321" t="s">
        <v>1245</v>
      </c>
      <c r="H2378" s="322"/>
      <c r="I2378" s="322" t="s">
        <v>1253</v>
      </c>
      <c r="J2378" s="318" t="s">
        <v>1458</v>
      </c>
      <c r="K2378" s="323"/>
      <c r="L2378" s="323">
        <v>17102</v>
      </c>
    </row>
    <row r="2379" spans="1:12" ht="11.25" customHeight="1" x14ac:dyDescent="0.2">
      <c r="A2379" s="222">
        <v>2023</v>
      </c>
      <c r="B2379" s="222">
        <v>11</v>
      </c>
      <c r="C2379" s="222">
        <v>9</v>
      </c>
      <c r="D2379" s="223">
        <f t="shared" si="185"/>
        <v>45239</v>
      </c>
      <c r="E2379" s="240">
        <f t="shared" si="184"/>
        <v>45239</v>
      </c>
      <c r="F2379" s="511" t="s">
        <v>1244</v>
      </c>
      <c r="G2379" s="225" t="s">
        <v>1245</v>
      </c>
      <c r="H2379" s="226"/>
      <c r="I2379" s="226" t="s">
        <v>1253</v>
      </c>
      <c r="J2379" s="222" t="s">
        <v>72</v>
      </c>
      <c r="K2379" s="227">
        <v>6495.2380952388048</v>
      </c>
      <c r="L2379" s="227"/>
    </row>
    <row r="2380" spans="1:12" ht="11.25" customHeight="1" x14ac:dyDescent="0.2">
      <c r="A2380" s="228">
        <v>2023</v>
      </c>
      <c r="B2380" s="228">
        <v>11</v>
      </c>
      <c r="C2380" s="228">
        <v>9</v>
      </c>
      <c r="D2380" s="229">
        <f t="shared" si="185"/>
        <v>45239</v>
      </c>
      <c r="E2380" s="241">
        <f t="shared" si="184"/>
        <v>45239</v>
      </c>
      <c r="F2380" s="512"/>
      <c r="G2380" s="231" t="s">
        <v>1245</v>
      </c>
      <c r="H2380" s="232"/>
      <c r="I2380" s="232" t="s">
        <v>1253</v>
      </c>
      <c r="J2380" s="228" t="s">
        <v>87</v>
      </c>
      <c r="K2380" s="233"/>
      <c r="L2380" s="233">
        <v>6495.2380952388048</v>
      </c>
    </row>
    <row r="2381" spans="1:12" ht="11.25" customHeight="1" x14ac:dyDescent="0.2">
      <c r="A2381" s="222">
        <v>2023</v>
      </c>
      <c r="B2381" s="222">
        <v>11</v>
      </c>
      <c r="C2381" s="222">
        <v>9</v>
      </c>
      <c r="D2381" s="223">
        <f t="shared" si="185"/>
        <v>45239</v>
      </c>
      <c r="E2381" s="240">
        <f t="shared" si="184"/>
        <v>45239</v>
      </c>
      <c r="F2381" s="511" t="s">
        <v>1246</v>
      </c>
      <c r="G2381" s="225" t="s">
        <v>1245</v>
      </c>
      <c r="H2381" s="226"/>
      <c r="I2381" s="226" t="s">
        <v>1253</v>
      </c>
      <c r="J2381" s="222" t="s">
        <v>75</v>
      </c>
      <c r="K2381" s="227">
        <v>3623.123846153846</v>
      </c>
      <c r="L2381" s="227"/>
    </row>
    <row r="2382" spans="1:12" ht="11.25" customHeight="1" x14ac:dyDescent="0.2">
      <c r="A2382" s="228">
        <v>2023</v>
      </c>
      <c r="B2382" s="228">
        <v>11</v>
      </c>
      <c r="C2382" s="228">
        <v>9</v>
      </c>
      <c r="D2382" s="229">
        <f t="shared" si="185"/>
        <v>45239</v>
      </c>
      <c r="E2382" s="241">
        <f t="shared" si="184"/>
        <v>45239</v>
      </c>
      <c r="F2382" s="512"/>
      <c r="G2382" s="231" t="s">
        <v>1245</v>
      </c>
      <c r="H2382" s="232"/>
      <c r="I2382" s="232" t="s">
        <v>1253</v>
      </c>
      <c r="J2382" s="228" t="s">
        <v>55</v>
      </c>
      <c r="K2382" s="233"/>
      <c r="L2382" s="233">
        <v>3623.123846153846</v>
      </c>
    </row>
    <row r="2383" spans="1:12" ht="11.25" customHeight="1" x14ac:dyDescent="0.2">
      <c r="A2383" s="222">
        <v>2023</v>
      </c>
      <c r="B2383" s="222">
        <v>11</v>
      </c>
      <c r="C2383" s="222">
        <v>9</v>
      </c>
      <c r="D2383" s="223">
        <f t="shared" si="185"/>
        <v>45239</v>
      </c>
      <c r="E2383" s="240">
        <f t="shared" si="184"/>
        <v>45239</v>
      </c>
      <c r="F2383" s="511" t="s">
        <v>1247</v>
      </c>
      <c r="G2383" s="225" t="s">
        <v>1245</v>
      </c>
      <c r="H2383" s="226"/>
      <c r="I2383" s="226" t="s">
        <v>1253</v>
      </c>
      <c r="J2383" s="222" t="s">
        <v>77</v>
      </c>
      <c r="K2383" s="227"/>
      <c r="L2383" s="227"/>
    </row>
    <row r="2384" spans="1:12" ht="11.25" customHeight="1" x14ac:dyDescent="0.2">
      <c r="A2384" s="228">
        <v>2023</v>
      </c>
      <c r="B2384" s="228">
        <v>11</v>
      </c>
      <c r="C2384" s="228">
        <v>9</v>
      </c>
      <c r="D2384" s="229">
        <f t="shared" si="185"/>
        <v>45239</v>
      </c>
      <c r="E2384" s="241">
        <f t="shared" si="184"/>
        <v>45239</v>
      </c>
      <c r="F2384" s="512"/>
      <c r="G2384" s="231" t="s">
        <v>1245</v>
      </c>
      <c r="H2384" s="232"/>
      <c r="I2384" s="232" t="s">
        <v>1253</v>
      </c>
      <c r="J2384" s="228" t="s">
        <v>41</v>
      </c>
      <c r="K2384" s="233"/>
      <c r="L2384" s="233"/>
    </row>
    <row r="2385" spans="1:14" ht="11.25" customHeight="1" x14ac:dyDescent="0.2">
      <c r="A2385" s="222">
        <v>2023</v>
      </c>
      <c r="B2385" s="222">
        <v>11</v>
      </c>
      <c r="C2385" s="222">
        <v>9</v>
      </c>
      <c r="D2385" s="223">
        <f t="shared" si="185"/>
        <v>45239</v>
      </c>
      <c r="E2385" s="240">
        <f t="shared" si="184"/>
        <v>45239</v>
      </c>
      <c r="F2385" s="511" t="s">
        <v>1248</v>
      </c>
      <c r="G2385" s="225" t="s">
        <v>1245</v>
      </c>
      <c r="H2385" s="226"/>
      <c r="I2385" s="226" t="s">
        <v>1253</v>
      </c>
      <c r="J2385" s="222" t="s">
        <v>80</v>
      </c>
      <c r="K2385" s="227">
        <v>2203.5675332774267</v>
      </c>
      <c r="L2385" s="227"/>
    </row>
    <row r="2386" spans="1:14" ht="11.25" customHeight="1" x14ac:dyDescent="0.2">
      <c r="A2386" s="228">
        <v>2023</v>
      </c>
      <c r="B2386" s="228">
        <v>11</v>
      </c>
      <c r="C2386" s="228">
        <v>9</v>
      </c>
      <c r="D2386" s="229">
        <f t="shared" si="185"/>
        <v>45239</v>
      </c>
      <c r="E2386" s="241">
        <f t="shared" si="184"/>
        <v>45239</v>
      </c>
      <c r="F2386" s="512"/>
      <c r="G2386" s="231" t="s">
        <v>1245</v>
      </c>
      <c r="H2386" s="232"/>
      <c r="I2386" s="232" t="s">
        <v>1253</v>
      </c>
      <c r="J2386" s="228" t="s">
        <v>42</v>
      </c>
      <c r="K2386" s="233"/>
      <c r="L2386" s="233">
        <v>2203.5675332774267</v>
      </c>
    </row>
    <row r="2387" spans="1:14" ht="11.25" customHeight="1" x14ac:dyDescent="0.2">
      <c r="A2387" s="197">
        <v>2023</v>
      </c>
      <c r="B2387" s="197">
        <v>11</v>
      </c>
      <c r="C2387" s="197">
        <v>12</v>
      </c>
      <c r="D2387" s="198">
        <f t="shared" si="185"/>
        <v>45242</v>
      </c>
      <c r="E2387" s="209">
        <f t="shared" si="184"/>
        <v>45242</v>
      </c>
      <c r="F2387" s="513" t="s">
        <v>1210</v>
      </c>
      <c r="G2387" s="200" t="s">
        <v>1209</v>
      </c>
      <c r="H2387" s="201"/>
      <c r="I2387" s="201"/>
      <c r="J2387" s="197" t="s">
        <v>46</v>
      </c>
      <c r="K2387" s="202">
        <v>120000</v>
      </c>
      <c r="L2387" s="202"/>
    </row>
    <row r="2388" spans="1:14" ht="11.25" customHeight="1" x14ac:dyDescent="0.2">
      <c r="A2388" s="120">
        <v>2023</v>
      </c>
      <c r="B2388" s="120">
        <v>11</v>
      </c>
      <c r="C2388" s="120">
        <v>12</v>
      </c>
      <c r="D2388" s="208">
        <f t="shared" si="185"/>
        <v>45242</v>
      </c>
      <c r="E2388" s="209">
        <f t="shared" si="184"/>
        <v>45242</v>
      </c>
      <c r="F2388" s="515"/>
      <c r="G2388" s="132" t="s">
        <v>1209</v>
      </c>
      <c r="J2388" s="120" t="s">
        <v>16</v>
      </c>
      <c r="K2388" s="120"/>
      <c r="L2388" s="207">
        <v>113590</v>
      </c>
    </row>
    <row r="2389" spans="1:14" ht="11.25" customHeight="1" x14ac:dyDescent="0.2">
      <c r="A2389" s="191">
        <v>2023</v>
      </c>
      <c r="B2389" s="191">
        <v>11</v>
      </c>
      <c r="C2389" s="191">
        <v>12</v>
      </c>
      <c r="D2389" s="192">
        <f t="shared" si="185"/>
        <v>45242</v>
      </c>
      <c r="E2389" s="193">
        <f t="shared" si="184"/>
        <v>45242</v>
      </c>
      <c r="F2389" s="514"/>
      <c r="G2389" s="194" t="s">
        <v>1209</v>
      </c>
      <c r="H2389" s="195"/>
      <c r="I2389" s="195"/>
      <c r="J2389" s="191" t="s">
        <v>47</v>
      </c>
      <c r="K2389" s="196"/>
      <c r="L2389" s="196">
        <v>6410</v>
      </c>
    </row>
    <row r="2390" spans="1:14" ht="11.25" customHeight="1" x14ac:dyDescent="0.2">
      <c r="A2390" s="197">
        <v>2023</v>
      </c>
      <c r="B2390" s="197">
        <v>11</v>
      </c>
      <c r="C2390" s="197">
        <v>12</v>
      </c>
      <c r="D2390" s="198">
        <f t="shared" si="185"/>
        <v>45242</v>
      </c>
      <c r="E2390" s="199">
        <f t="shared" ref="E2390:E2399" si="186">DATE(A2390,B2390,C2390)</f>
        <v>45242</v>
      </c>
      <c r="F2390" s="513" t="s">
        <v>1323</v>
      </c>
      <c r="G2390" s="200" t="s">
        <v>1209</v>
      </c>
      <c r="H2390" s="201"/>
      <c r="I2390" s="201"/>
      <c r="J2390" s="197" t="s">
        <v>54</v>
      </c>
      <c r="K2390" s="202">
        <v>10</v>
      </c>
      <c r="L2390" s="202"/>
    </row>
    <row r="2391" spans="1:14" ht="11.25" customHeight="1" x14ac:dyDescent="0.2">
      <c r="A2391" s="191">
        <v>2023</v>
      </c>
      <c r="B2391" s="191">
        <v>11</v>
      </c>
      <c r="C2391" s="191">
        <v>12</v>
      </c>
      <c r="D2391" s="192">
        <f t="shared" si="185"/>
        <v>45242</v>
      </c>
      <c r="E2391" s="193">
        <f t="shared" si="186"/>
        <v>45242</v>
      </c>
      <c r="F2391" s="514"/>
      <c r="G2391" s="194" t="s">
        <v>1209</v>
      </c>
      <c r="H2391" s="195"/>
      <c r="I2391" s="195"/>
      <c r="J2391" s="191" t="s">
        <v>46</v>
      </c>
      <c r="K2391" s="196"/>
      <c r="L2391" s="196">
        <v>10</v>
      </c>
    </row>
    <row r="2392" spans="1:14" ht="11.25" customHeight="1" x14ac:dyDescent="0.2">
      <c r="A2392" s="197">
        <v>2023</v>
      </c>
      <c r="B2392" s="197">
        <v>11</v>
      </c>
      <c r="C2392" s="197">
        <v>12</v>
      </c>
      <c r="D2392" s="198">
        <f t="shared" si="185"/>
        <v>45242</v>
      </c>
      <c r="E2392" s="199">
        <f t="shared" si="186"/>
        <v>45242</v>
      </c>
      <c r="F2392" s="513" t="s">
        <v>1454</v>
      </c>
      <c r="G2392" s="200" t="s">
        <v>1209</v>
      </c>
      <c r="H2392" s="201"/>
      <c r="I2392" s="201" t="s">
        <v>1253</v>
      </c>
      <c r="J2392" s="197" t="s">
        <v>1455</v>
      </c>
      <c r="K2392" s="202">
        <v>7806528</v>
      </c>
      <c r="L2392" s="202"/>
    </row>
    <row r="2393" spans="1:14" ht="11.25" customHeight="1" x14ac:dyDescent="0.2">
      <c r="A2393" s="191">
        <v>2023</v>
      </c>
      <c r="B2393" s="191">
        <v>11</v>
      </c>
      <c r="C2393" s="191">
        <v>12</v>
      </c>
      <c r="D2393" s="192">
        <f t="shared" si="185"/>
        <v>45242</v>
      </c>
      <c r="E2393" s="193">
        <f t="shared" si="186"/>
        <v>45242</v>
      </c>
      <c r="F2393" s="514"/>
      <c r="G2393" s="194" t="s">
        <v>1209</v>
      </c>
      <c r="H2393" s="195"/>
      <c r="I2393" s="195" t="s">
        <v>1253</v>
      </c>
      <c r="J2393" s="191" t="s">
        <v>46</v>
      </c>
      <c r="K2393" s="196"/>
      <c r="L2393" s="196">
        <v>7806528</v>
      </c>
      <c r="N2393" s="130"/>
    </row>
    <row r="2394" spans="1:14" ht="11.25" customHeight="1" x14ac:dyDescent="0.2">
      <c r="A2394" s="197">
        <v>2023</v>
      </c>
      <c r="B2394" s="197">
        <v>11</v>
      </c>
      <c r="C2394" s="197">
        <v>12</v>
      </c>
      <c r="D2394" s="198">
        <f t="shared" si="185"/>
        <v>45242</v>
      </c>
      <c r="E2394" s="199">
        <f t="shared" si="186"/>
        <v>45242</v>
      </c>
      <c r="F2394" s="513" t="s">
        <v>1454</v>
      </c>
      <c r="G2394" s="200" t="s">
        <v>1209</v>
      </c>
      <c r="H2394" s="201"/>
      <c r="I2394" s="201" t="s">
        <v>1253</v>
      </c>
      <c r="J2394" s="197" t="s">
        <v>1455</v>
      </c>
      <c r="K2394" s="202">
        <v>39856280</v>
      </c>
      <c r="L2394" s="202"/>
    </row>
    <row r="2395" spans="1:14" ht="11.25" customHeight="1" x14ac:dyDescent="0.2">
      <c r="A2395" s="191">
        <v>2023</v>
      </c>
      <c r="B2395" s="191">
        <v>11</v>
      </c>
      <c r="C2395" s="191">
        <v>12</v>
      </c>
      <c r="D2395" s="192">
        <f t="shared" si="185"/>
        <v>45242</v>
      </c>
      <c r="E2395" s="193">
        <f t="shared" si="186"/>
        <v>45242</v>
      </c>
      <c r="F2395" s="514"/>
      <c r="G2395" s="194" t="s">
        <v>1209</v>
      </c>
      <c r="H2395" s="195"/>
      <c r="I2395" s="195" t="s">
        <v>1253</v>
      </c>
      <c r="J2395" s="191" t="s">
        <v>46</v>
      </c>
      <c r="K2395" s="196"/>
      <c r="L2395" s="196">
        <v>39856280</v>
      </c>
      <c r="N2395" s="130"/>
    </row>
    <row r="2396" spans="1:14" ht="11.25" customHeight="1" x14ac:dyDescent="0.2">
      <c r="A2396" s="197">
        <v>2023</v>
      </c>
      <c r="B2396" s="197">
        <v>11</v>
      </c>
      <c r="C2396" s="197">
        <v>12</v>
      </c>
      <c r="D2396" s="198">
        <f t="shared" si="185"/>
        <v>45242</v>
      </c>
      <c r="E2396" s="199">
        <f t="shared" si="186"/>
        <v>45242</v>
      </c>
      <c r="F2396" s="513" t="s">
        <v>1484</v>
      </c>
      <c r="G2396" s="200" t="s">
        <v>1209</v>
      </c>
      <c r="H2396" s="201"/>
      <c r="I2396" s="201"/>
      <c r="J2396" s="197" t="s">
        <v>54</v>
      </c>
      <c r="K2396" s="202">
        <v>115</v>
      </c>
      <c r="L2396" s="202"/>
    </row>
    <row r="2397" spans="1:14" ht="11.25" customHeight="1" x14ac:dyDescent="0.2">
      <c r="A2397" s="191">
        <v>2023</v>
      </c>
      <c r="B2397" s="191">
        <v>11</v>
      </c>
      <c r="C2397" s="191">
        <v>12</v>
      </c>
      <c r="D2397" s="192">
        <f t="shared" si="185"/>
        <v>45242</v>
      </c>
      <c r="E2397" s="193">
        <f t="shared" si="186"/>
        <v>45242</v>
      </c>
      <c r="F2397" s="514"/>
      <c r="G2397" s="194" t="s">
        <v>1209</v>
      </c>
      <c r="H2397" s="195"/>
      <c r="I2397" s="195"/>
      <c r="J2397" s="191" t="s">
        <v>46</v>
      </c>
      <c r="K2397" s="196"/>
      <c r="L2397" s="196">
        <v>115</v>
      </c>
    </row>
    <row r="2398" spans="1:14" ht="11.25" customHeight="1" x14ac:dyDescent="0.2">
      <c r="A2398" s="197">
        <v>2023</v>
      </c>
      <c r="B2398" s="197">
        <v>11</v>
      </c>
      <c r="C2398" s="197">
        <v>13</v>
      </c>
      <c r="D2398" s="198">
        <f t="shared" si="185"/>
        <v>45243</v>
      </c>
      <c r="E2398" s="199">
        <f t="shared" si="186"/>
        <v>45243</v>
      </c>
      <c r="F2398" s="513" t="s">
        <v>1323</v>
      </c>
      <c r="G2398" s="200" t="s">
        <v>1209</v>
      </c>
      <c r="H2398" s="201"/>
      <c r="I2398" s="201"/>
      <c r="J2398" s="197" t="s">
        <v>54</v>
      </c>
      <c r="K2398" s="202">
        <v>110</v>
      </c>
      <c r="L2398" s="202"/>
    </row>
    <row r="2399" spans="1:14" ht="11.25" customHeight="1" x14ac:dyDescent="0.2">
      <c r="A2399" s="191">
        <v>2023</v>
      </c>
      <c r="B2399" s="191">
        <v>11</v>
      </c>
      <c r="C2399" s="191">
        <v>13</v>
      </c>
      <c r="D2399" s="192">
        <f t="shared" si="185"/>
        <v>45243</v>
      </c>
      <c r="E2399" s="193">
        <f t="shared" si="186"/>
        <v>45243</v>
      </c>
      <c r="F2399" s="514"/>
      <c r="G2399" s="194" t="s">
        <v>1209</v>
      </c>
      <c r="H2399" s="195"/>
      <c r="I2399" s="195"/>
      <c r="J2399" s="191" t="s">
        <v>46</v>
      </c>
      <c r="K2399" s="196"/>
      <c r="L2399" s="196">
        <v>110</v>
      </c>
    </row>
    <row r="2400" spans="1:14" ht="11.25" customHeight="1" x14ac:dyDescent="0.2">
      <c r="A2400" s="197">
        <v>2023</v>
      </c>
      <c r="B2400" s="197">
        <v>11</v>
      </c>
      <c r="C2400" s="197">
        <v>13</v>
      </c>
      <c r="D2400" s="198">
        <f t="shared" si="185"/>
        <v>45243</v>
      </c>
      <c r="E2400" s="209">
        <f t="shared" si="184"/>
        <v>45243</v>
      </c>
      <c r="F2400" s="513" t="s">
        <v>1280</v>
      </c>
      <c r="G2400" s="200" t="s">
        <v>1209</v>
      </c>
      <c r="H2400" s="201"/>
      <c r="I2400" s="201" t="s">
        <v>1483</v>
      </c>
      <c r="J2400" s="197" t="s">
        <v>16</v>
      </c>
      <c r="K2400" s="202">
        <v>4740</v>
      </c>
      <c r="L2400" s="202"/>
    </row>
    <row r="2401" spans="1:12" ht="11.25" customHeight="1" x14ac:dyDescent="0.2">
      <c r="A2401" s="120">
        <v>2023</v>
      </c>
      <c r="B2401" s="120">
        <v>11</v>
      </c>
      <c r="C2401" s="120">
        <v>13</v>
      </c>
      <c r="D2401" s="208">
        <f t="shared" si="185"/>
        <v>45243</v>
      </c>
      <c r="E2401" s="209">
        <f t="shared" si="184"/>
        <v>45243</v>
      </c>
      <c r="F2401" s="515"/>
      <c r="G2401" s="132" t="s">
        <v>1209</v>
      </c>
      <c r="I2401" s="128" t="s">
        <v>1483</v>
      </c>
      <c r="J2401" s="120" t="s">
        <v>47</v>
      </c>
      <c r="K2401" s="207">
        <v>260</v>
      </c>
      <c r="L2401" s="207"/>
    </row>
    <row r="2402" spans="1:12" ht="11.25" customHeight="1" x14ac:dyDescent="0.2">
      <c r="A2402" s="191">
        <v>2023</v>
      </c>
      <c r="B2402" s="191">
        <v>11</v>
      </c>
      <c r="C2402" s="191">
        <v>13</v>
      </c>
      <c r="D2402" s="192">
        <f t="shared" si="185"/>
        <v>45243</v>
      </c>
      <c r="E2402" s="193">
        <f t="shared" si="184"/>
        <v>45243</v>
      </c>
      <c r="F2402" s="514"/>
      <c r="G2402" s="194" t="s">
        <v>1209</v>
      </c>
      <c r="H2402" s="195"/>
      <c r="I2402" s="195" t="s">
        <v>1483</v>
      </c>
      <c r="J2402" s="191" t="s">
        <v>46</v>
      </c>
      <c r="K2402" s="196"/>
      <c r="L2402" s="196">
        <v>5000</v>
      </c>
    </row>
    <row r="2403" spans="1:12" ht="11.25" customHeight="1" x14ac:dyDescent="0.2">
      <c r="A2403" s="197">
        <v>2023</v>
      </c>
      <c r="B2403" s="197">
        <v>11</v>
      </c>
      <c r="C2403" s="197">
        <v>13</v>
      </c>
      <c r="D2403" s="198">
        <f t="shared" si="185"/>
        <v>45243</v>
      </c>
      <c r="E2403" s="199">
        <f t="shared" si="184"/>
        <v>45243</v>
      </c>
      <c r="F2403" s="513" t="s">
        <v>1254</v>
      </c>
      <c r="G2403" s="200" t="s">
        <v>1209</v>
      </c>
      <c r="H2403" s="201"/>
      <c r="I2403" s="201" t="s">
        <v>1253</v>
      </c>
      <c r="J2403" s="197" t="s">
        <v>70</v>
      </c>
      <c r="K2403" s="202">
        <v>100006.39999999999</v>
      </c>
      <c r="L2403" s="202"/>
    </row>
    <row r="2404" spans="1:12" ht="11.25" customHeight="1" x14ac:dyDescent="0.2">
      <c r="A2404" s="191">
        <v>2023</v>
      </c>
      <c r="B2404" s="191">
        <v>11</v>
      </c>
      <c r="C2404" s="191">
        <v>13</v>
      </c>
      <c r="D2404" s="192">
        <f t="shared" si="185"/>
        <v>45243</v>
      </c>
      <c r="E2404" s="193">
        <f t="shared" si="184"/>
        <v>45243</v>
      </c>
      <c r="F2404" s="514"/>
      <c r="G2404" s="194" t="s">
        <v>1209</v>
      </c>
      <c r="H2404" s="195"/>
      <c r="I2404" s="195" t="s">
        <v>1253</v>
      </c>
      <c r="J2404" s="191" t="s">
        <v>46</v>
      </c>
      <c r="K2404" s="196"/>
      <c r="L2404" s="196">
        <v>100006.39999999999</v>
      </c>
    </row>
    <row r="2405" spans="1:12" ht="11.25" customHeight="1" x14ac:dyDescent="0.2">
      <c r="A2405" s="197">
        <v>2023</v>
      </c>
      <c r="B2405" s="197">
        <v>11</v>
      </c>
      <c r="C2405" s="197">
        <v>14</v>
      </c>
      <c r="D2405" s="198">
        <f t="shared" si="185"/>
        <v>45244</v>
      </c>
      <c r="E2405" s="199">
        <f>DATE(A2405,B2405,C2405)</f>
        <v>45244</v>
      </c>
      <c r="F2405" s="513" t="s">
        <v>1323</v>
      </c>
      <c r="G2405" s="200" t="s">
        <v>1209</v>
      </c>
      <c r="H2405" s="201"/>
      <c r="I2405" s="201"/>
      <c r="J2405" s="197" t="s">
        <v>54</v>
      </c>
      <c r="K2405" s="202">
        <v>60</v>
      </c>
      <c r="L2405" s="202"/>
    </row>
    <row r="2406" spans="1:12" ht="11.25" customHeight="1" x14ac:dyDescent="0.2">
      <c r="A2406" s="191">
        <v>2023</v>
      </c>
      <c r="B2406" s="191">
        <v>11</v>
      </c>
      <c r="C2406" s="191">
        <v>14</v>
      </c>
      <c r="D2406" s="192">
        <f t="shared" si="185"/>
        <v>45244</v>
      </c>
      <c r="E2406" s="193">
        <f>DATE(A2406,B2406,C2406)</f>
        <v>45244</v>
      </c>
      <c r="F2406" s="514"/>
      <c r="G2406" s="194" t="s">
        <v>1209</v>
      </c>
      <c r="H2406" s="195"/>
      <c r="I2406" s="195"/>
      <c r="J2406" s="191" t="s">
        <v>46</v>
      </c>
      <c r="K2406" s="196"/>
      <c r="L2406" s="196">
        <v>60</v>
      </c>
    </row>
    <row r="2407" spans="1:12" ht="11.25" customHeight="1" x14ac:dyDescent="0.2">
      <c r="A2407" s="197">
        <v>2023</v>
      </c>
      <c r="B2407" s="197">
        <v>11</v>
      </c>
      <c r="C2407" s="197">
        <v>14</v>
      </c>
      <c r="D2407" s="198">
        <f t="shared" si="185"/>
        <v>45244</v>
      </c>
      <c r="E2407" s="209">
        <f>DATE(A2407,B2407,C2407)</f>
        <v>45244</v>
      </c>
      <c r="F2407" s="513" t="s">
        <v>1210</v>
      </c>
      <c r="G2407" s="200" t="s">
        <v>1209</v>
      </c>
      <c r="H2407" s="201"/>
      <c r="I2407" s="201" t="s">
        <v>301</v>
      </c>
      <c r="J2407" s="197" t="s">
        <v>46</v>
      </c>
      <c r="K2407" s="202">
        <v>1000000</v>
      </c>
      <c r="L2407" s="202"/>
    </row>
    <row r="2408" spans="1:12" ht="11.25" customHeight="1" x14ac:dyDescent="0.2">
      <c r="A2408" s="120">
        <v>2023</v>
      </c>
      <c r="B2408" s="120">
        <v>11</v>
      </c>
      <c r="C2408" s="120">
        <v>14</v>
      </c>
      <c r="D2408" s="208">
        <f t="shared" si="185"/>
        <v>45244</v>
      </c>
      <c r="E2408" s="209">
        <f>DATE(A2408,B2408,C2408)</f>
        <v>45244</v>
      </c>
      <c r="F2408" s="515"/>
      <c r="G2408" s="132" t="s">
        <v>1209</v>
      </c>
      <c r="I2408" s="128" t="s">
        <v>301</v>
      </c>
      <c r="J2408" s="120" t="s">
        <v>16</v>
      </c>
      <c r="K2408" s="120"/>
      <c r="L2408" s="207">
        <v>946610</v>
      </c>
    </row>
    <row r="2409" spans="1:12" ht="11.25" customHeight="1" x14ac:dyDescent="0.2">
      <c r="A2409" s="191">
        <v>2023</v>
      </c>
      <c r="B2409" s="191">
        <v>11</v>
      </c>
      <c r="C2409" s="191">
        <v>14</v>
      </c>
      <c r="D2409" s="192">
        <f t="shared" si="185"/>
        <v>45244</v>
      </c>
      <c r="E2409" s="193">
        <f>DATE(A2409,B2409,C2409)</f>
        <v>45244</v>
      </c>
      <c r="F2409" s="514"/>
      <c r="G2409" s="194" t="s">
        <v>1209</v>
      </c>
      <c r="H2409" s="195"/>
      <c r="I2409" s="195" t="s">
        <v>301</v>
      </c>
      <c r="J2409" s="191" t="s">
        <v>47</v>
      </c>
      <c r="K2409" s="196"/>
      <c r="L2409" s="196">
        <v>53390</v>
      </c>
    </row>
    <row r="2410" spans="1:12" ht="11.25" customHeight="1" x14ac:dyDescent="0.2">
      <c r="A2410" s="197">
        <v>2023</v>
      </c>
      <c r="B2410" s="197">
        <v>11</v>
      </c>
      <c r="C2410" s="197">
        <v>15</v>
      </c>
      <c r="D2410" s="198">
        <f t="shared" si="185"/>
        <v>45245</v>
      </c>
      <c r="E2410" s="209">
        <f t="shared" si="184"/>
        <v>45245</v>
      </c>
      <c r="F2410" s="513" t="s">
        <v>1296</v>
      </c>
      <c r="G2410" s="200" t="s">
        <v>1209</v>
      </c>
      <c r="H2410" s="201"/>
      <c r="I2410" s="201"/>
      <c r="J2410" s="197" t="s">
        <v>46</v>
      </c>
      <c r="K2410" s="202">
        <v>40000</v>
      </c>
      <c r="L2410" s="202"/>
    </row>
    <row r="2411" spans="1:12" ht="11.25" customHeight="1" x14ac:dyDescent="0.2">
      <c r="A2411" s="120">
        <v>2023</v>
      </c>
      <c r="B2411" s="120">
        <v>11</v>
      </c>
      <c r="C2411" s="120">
        <v>15</v>
      </c>
      <c r="D2411" s="208">
        <f t="shared" si="185"/>
        <v>45245</v>
      </c>
      <c r="E2411" s="209">
        <f t="shared" si="184"/>
        <v>45245</v>
      </c>
      <c r="F2411" s="515"/>
      <c r="G2411" s="132" t="s">
        <v>1209</v>
      </c>
      <c r="J2411" s="120" t="s">
        <v>16</v>
      </c>
      <c r="K2411" s="207"/>
      <c r="L2411" s="207">
        <v>37860</v>
      </c>
    </row>
    <row r="2412" spans="1:12" ht="11.25" customHeight="1" x14ac:dyDescent="0.2">
      <c r="A2412" s="191">
        <v>2023</v>
      </c>
      <c r="B2412" s="191">
        <v>11</v>
      </c>
      <c r="C2412" s="191">
        <v>15</v>
      </c>
      <c r="D2412" s="192">
        <f t="shared" si="185"/>
        <v>45245</v>
      </c>
      <c r="E2412" s="193">
        <f t="shared" si="184"/>
        <v>45245</v>
      </c>
      <c r="F2412" s="514"/>
      <c r="G2412" s="194" t="s">
        <v>1209</v>
      </c>
      <c r="H2412" s="195"/>
      <c r="I2412" s="195"/>
      <c r="J2412" s="191" t="s">
        <v>47</v>
      </c>
      <c r="K2412" s="196"/>
      <c r="L2412" s="196">
        <v>2140</v>
      </c>
    </row>
    <row r="2413" spans="1:12" ht="11.25" customHeight="1" x14ac:dyDescent="0.2">
      <c r="A2413" s="197">
        <v>2023</v>
      </c>
      <c r="B2413" s="197">
        <v>11</v>
      </c>
      <c r="C2413" s="197">
        <v>16</v>
      </c>
      <c r="D2413" s="198">
        <f t="shared" si="185"/>
        <v>45246</v>
      </c>
      <c r="E2413" s="290">
        <f t="shared" ref="E2413:E2424" si="187">DATE(A2413,B2413,C2413)</f>
        <v>45246</v>
      </c>
      <c r="F2413" s="513" t="s">
        <v>1485</v>
      </c>
      <c r="G2413" s="200" t="s">
        <v>1209</v>
      </c>
      <c r="H2413" s="201"/>
      <c r="I2413" s="201" t="s">
        <v>1253</v>
      </c>
      <c r="J2413" s="197" t="s">
        <v>41</v>
      </c>
      <c r="K2413" s="202">
        <v>120000</v>
      </c>
      <c r="L2413" s="202"/>
    </row>
    <row r="2414" spans="1:12" ht="11.25" customHeight="1" x14ac:dyDescent="0.2">
      <c r="A2414" s="191">
        <v>2023</v>
      </c>
      <c r="B2414" s="191">
        <v>11</v>
      </c>
      <c r="C2414" s="191">
        <v>16</v>
      </c>
      <c r="D2414" s="192">
        <f t="shared" si="185"/>
        <v>45246</v>
      </c>
      <c r="E2414" s="291">
        <f t="shared" si="187"/>
        <v>45246</v>
      </c>
      <c r="F2414" s="514"/>
      <c r="G2414" s="194" t="s">
        <v>1209</v>
      </c>
      <c r="H2414" s="195"/>
      <c r="I2414" s="195" t="s">
        <v>1253</v>
      </c>
      <c r="J2414" s="191" t="s">
        <v>46</v>
      </c>
      <c r="K2414" s="196"/>
      <c r="L2414" s="196">
        <v>120000</v>
      </c>
    </row>
    <row r="2415" spans="1:12" ht="11.25" customHeight="1" x14ac:dyDescent="0.2">
      <c r="A2415" s="197">
        <v>2023</v>
      </c>
      <c r="B2415" s="197">
        <v>11</v>
      </c>
      <c r="C2415" s="197">
        <v>16</v>
      </c>
      <c r="D2415" s="198">
        <f t="shared" si="185"/>
        <v>45246</v>
      </c>
      <c r="E2415" s="199">
        <f t="shared" si="187"/>
        <v>45246</v>
      </c>
      <c r="F2415" s="513" t="s">
        <v>1323</v>
      </c>
      <c r="G2415" s="200" t="s">
        <v>1209</v>
      </c>
      <c r="H2415" s="201"/>
      <c r="I2415" s="201"/>
      <c r="J2415" s="197" t="s">
        <v>54</v>
      </c>
      <c r="K2415" s="202">
        <v>58</v>
      </c>
      <c r="L2415" s="202"/>
    </row>
    <row r="2416" spans="1:12" ht="11.25" customHeight="1" x14ac:dyDescent="0.2">
      <c r="A2416" s="191">
        <v>2023</v>
      </c>
      <c r="B2416" s="191">
        <v>11</v>
      </c>
      <c r="C2416" s="191">
        <v>16</v>
      </c>
      <c r="D2416" s="192">
        <f t="shared" si="185"/>
        <v>45246</v>
      </c>
      <c r="E2416" s="193">
        <f t="shared" si="187"/>
        <v>45246</v>
      </c>
      <c r="F2416" s="514"/>
      <c r="G2416" s="194" t="s">
        <v>1209</v>
      </c>
      <c r="H2416" s="195"/>
      <c r="I2416" s="195"/>
      <c r="J2416" s="191" t="s">
        <v>46</v>
      </c>
      <c r="K2416" s="196"/>
      <c r="L2416" s="196">
        <v>58</v>
      </c>
    </row>
    <row r="2417" spans="1:14" ht="11.25" customHeight="1" x14ac:dyDescent="0.2">
      <c r="A2417" s="197">
        <v>2023</v>
      </c>
      <c r="B2417" s="197">
        <v>11</v>
      </c>
      <c r="C2417" s="197">
        <v>16</v>
      </c>
      <c r="D2417" s="198">
        <f t="shared" si="185"/>
        <v>45246</v>
      </c>
      <c r="E2417" s="209">
        <f t="shared" si="187"/>
        <v>45246</v>
      </c>
      <c r="F2417" s="513" t="s">
        <v>1210</v>
      </c>
      <c r="G2417" s="200" t="s">
        <v>1209</v>
      </c>
      <c r="H2417" s="201"/>
      <c r="I2417" s="201" t="s">
        <v>596</v>
      </c>
      <c r="J2417" s="197" t="s">
        <v>46</v>
      </c>
      <c r="K2417" s="202">
        <v>450000</v>
      </c>
      <c r="L2417" s="202"/>
    </row>
    <row r="2418" spans="1:14" ht="11.25" customHeight="1" x14ac:dyDescent="0.2">
      <c r="A2418" s="120">
        <v>2023</v>
      </c>
      <c r="B2418" s="120">
        <v>11</v>
      </c>
      <c r="C2418" s="120">
        <v>16</v>
      </c>
      <c r="D2418" s="208">
        <f t="shared" si="185"/>
        <v>45246</v>
      </c>
      <c r="E2418" s="209">
        <f t="shared" si="187"/>
        <v>45246</v>
      </c>
      <c r="F2418" s="515"/>
      <c r="G2418" s="132" t="s">
        <v>1209</v>
      </c>
      <c r="I2418" s="128" t="s">
        <v>596</v>
      </c>
      <c r="J2418" s="120" t="s">
        <v>16</v>
      </c>
      <c r="K2418" s="120"/>
      <c r="L2418" s="207">
        <v>425980</v>
      </c>
    </row>
    <row r="2419" spans="1:14" ht="11.25" customHeight="1" x14ac:dyDescent="0.2">
      <c r="A2419" s="191">
        <v>2023</v>
      </c>
      <c r="B2419" s="191">
        <v>11</v>
      </c>
      <c r="C2419" s="191">
        <v>16</v>
      </c>
      <c r="D2419" s="192">
        <f t="shared" si="185"/>
        <v>45246</v>
      </c>
      <c r="E2419" s="193">
        <f t="shared" si="187"/>
        <v>45246</v>
      </c>
      <c r="F2419" s="514"/>
      <c r="G2419" s="194" t="s">
        <v>1209</v>
      </c>
      <c r="H2419" s="195"/>
      <c r="I2419" s="195" t="s">
        <v>596</v>
      </c>
      <c r="J2419" s="191" t="s">
        <v>47</v>
      </c>
      <c r="K2419" s="196"/>
      <c r="L2419" s="196">
        <v>24020</v>
      </c>
    </row>
    <row r="2420" spans="1:14" ht="11.25" customHeight="1" x14ac:dyDescent="0.2">
      <c r="A2420" s="197">
        <v>2023</v>
      </c>
      <c r="B2420" s="197">
        <v>11</v>
      </c>
      <c r="C2420" s="197">
        <v>16</v>
      </c>
      <c r="D2420" s="198">
        <f t="shared" si="185"/>
        <v>45246</v>
      </c>
      <c r="E2420" s="199">
        <f t="shared" si="187"/>
        <v>45246</v>
      </c>
      <c r="F2420" s="513" t="s">
        <v>1323</v>
      </c>
      <c r="G2420" s="200" t="s">
        <v>1209</v>
      </c>
      <c r="H2420" s="201"/>
      <c r="I2420" s="201"/>
      <c r="J2420" s="197" t="s">
        <v>54</v>
      </c>
      <c r="K2420" s="202">
        <v>60</v>
      </c>
      <c r="L2420" s="202"/>
    </row>
    <row r="2421" spans="1:14" ht="11.25" customHeight="1" x14ac:dyDescent="0.2">
      <c r="A2421" s="191">
        <v>2023</v>
      </c>
      <c r="B2421" s="191">
        <v>11</v>
      </c>
      <c r="C2421" s="191">
        <v>16</v>
      </c>
      <c r="D2421" s="192">
        <f t="shared" si="185"/>
        <v>45246</v>
      </c>
      <c r="E2421" s="193">
        <f t="shared" si="187"/>
        <v>45246</v>
      </c>
      <c r="F2421" s="514"/>
      <c r="G2421" s="194" t="s">
        <v>1209</v>
      </c>
      <c r="H2421" s="195"/>
      <c r="I2421" s="195"/>
      <c r="J2421" s="191" t="s">
        <v>46</v>
      </c>
      <c r="K2421" s="196"/>
      <c r="L2421" s="196">
        <v>60</v>
      </c>
    </row>
    <row r="2422" spans="1:14" ht="11.25" customHeight="1" x14ac:dyDescent="0.2">
      <c r="A2422" s="197">
        <v>2023</v>
      </c>
      <c r="B2422" s="197">
        <v>11</v>
      </c>
      <c r="C2422" s="197">
        <v>16</v>
      </c>
      <c r="D2422" s="198">
        <f t="shared" si="185"/>
        <v>45246</v>
      </c>
      <c r="E2422" s="199">
        <f t="shared" si="187"/>
        <v>45246</v>
      </c>
      <c r="F2422" s="513" t="s">
        <v>1487</v>
      </c>
      <c r="G2422" s="200" t="s">
        <v>1209</v>
      </c>
      <c r="H2422" s="201"/>
      <c r="I2422" s="201" t="s">
        <v>1253</v>
      </c>
      <c r="J2422" s="197" t="s">
        <v>46</v>
      </c>
      <c r="K2422" s="202">
        <v>10858869.9</v>
      </c>
      <c r="L2422" s="202"/>
    </row>
    <row r="2423" spans="1:14" ht="11.25" customHeight="1" x14ac:dyDescent="0.2">
      <c r="A2423" s="120">
        <v>2023</v>
      </c>
      <c r="B2423" s="120">
        <v>11</v>
      </c>
      <c r="C2423" s="120">
        <v>16</v>
      </c>
      <c r="D2423" s="208">
        <f t="shared" si="185"/>
        <v>45246</v>
      </c>
      <c r="E2423" s="209">
        <f t="shared" si="187"/>
        <v>45246</v>
      </c>
      <c r="F2423" s="515"/>
      <c r="G2423" s="132" t="s">
        <v>1209</v>
      </c>
      <c r="J2423" s="120" t="s">
        <v>1476</v>
      </c>
      <c r="K2423" s="207"/>
      <c r="L2423" s="207">
        <v>152295</v>
      </c>
    </row>
    <row r="2424" spans="1:14" ht="11.25" customHeight="1" x14ac:dyDescent="0.2">
      <c r="A2424" s="191">
        <v>2023</v>
      </c>
      <c r="B2424" s="191">
        <v>11</v>
      </c>
      <c r="C2424" s="191">
        <v>16</v>
      </c>
      <c r="D2424" s="192">
        <f t="shared" si="185"/>
        <v>45246</v>
      </c>
      <c r="E2424" s="193">
        <f t="shared" si="187"/>
        <v>45246</v>
      </c>
      <c r="F2424" s="514"/>
      <c r="G2424" s="194" t="s">
        <v>1209</v>
      </c>
      <c r="H2424" s="195"/>
      <c r="I2424" s="195" t="s">
        <v>1253</v>
      </c>
      <c r="J2424" s="191" t="s">
        <v>1475</v>
      </c>
      <c r="K2424" s="196"/>
      <c r="L2424" s="196">
        <v>10706574.9</v>
      </c>
      <c r="N2424" s="130"/>
    </row>
    <row r="2425" spans="1:14" ht="11.25" customHeight="1" x14ac:dyDescent="0.2">
      <c r="A2425" s="210">
        <v>2023</v>
      </c>
      <c r="B2425" s="210">
        <v>11</v>
      </c>
      <c r="C2425" s="210">
        <v>16</v>
      </c>
      <c r="D2425" s="211">
        <f t="shared" si="185"/>
        <v>45246</v>
      </c>
      <c r="E2425" s="238">
        <f t="shared" ref="E2425:E2450" si="188">DATE(A2425,B2425,C2425)</f>
        <v>45246</v>
      </c>
      <c r="F2425" s="520" t="s">
        <v>1278</v>
      </c>
      <c r="G2425" s="213" t="s">
        <v>1245</v>
      </c>
      <c r="H2425" s="214"/>
      <c r="I2425" s="214" t="s">
        <v>1253</v>
      </c>
      <c r="J2425" s="210" t="s">
        <v>1529</v>
      </c>
      <c r="K2425" s="215">
        <v>6512.28</v>
      </c>
      <c r="L2425" s="215"/>
    </row>
    <row r="2426" spans="1:14" ht="11.25" customHeight="1" x14ac:dyDescent="0.2">
      <c r="A2426" s="216">
        <v>2023</v>
      </c>
      <c r="B2426" s="216">
        <v>11</v>
      </c>
      <c r="C2426" s="216">
        <v>16</v>
      </c>
      <c r="D2426" s="217">
        <f t="shared" si="185"/>
        <v>45246</v>
      </c>
      <c r="E2426" s="239">
        <f t="shared" si="188"/>
        <v>45246</v>
      </c>
      <c r="F2426" s="521"/>
      <c r="G2426" s="219" t="s">
        <v>1245</v>
      </c>
      <c r="H2426" s="220"/>
      <c r="I2426" s="220" t="s">
        <v>1253</v>
      </c>
      <c r="J2426" s="216" t="s">
        <v>1581</v>
      </c>
      <c r="K2426" s="221"/>
      <c r="L2426" s="221">
        <v>6512.28</v>
      </c>
    </row>
    <row r="2427" spans="1:14" ht="11.25" customHeight="1" x14ac:dyDescent="0.2">
      <c r="A2427" s="210">
        <v>2023</v>
      </c>
      <c r="B2427" s="210">
        <v>11</v>
      </c>
      <c r="C2427" s="210">
        <v>16</v>
      </c>
      <c r="D2427" s="211">
        <f t="shared" si="185"/>
        <v>45246</v>
      </c>
      <c r="E2427" s="238">
        <f t="shared" si="188"/>
        <v>45246</v>
      </c>
      <c r="F2427" s="520" t="s">
        <v>1285</v>
      </c>
      <c r="G2427" s="213" t="s">
        <v>1245</v>
      </c>
      <c r="H2427" s="214"/>
      <c r="I2427" s="214" t="s">
        <v>1253</v>
      </c>
      <c r="J2427" s="210" t="s">
        <v>1284</v>
      </c>
      <c r="K2427" s="215">
        <v>13771.15</v>
      </c>
      <c r="L2427" s="215"/>
    </row>
    <row r="2428" spans="1:14" ht="11.25" customHeight="1" x14ac:dyDescent="0.2">
      <c r="A2428" s="242">
        <v>2023</v>
      </c>
      <c r="B2428" s="216">
        <v>11</v>
      </c>
      <c r="C2428" s="216">
        <v>16</v>
      </c>
      <c r="D2428" s="243">
        <f t="shared" si="185"/>
        <v>45246</v>
      </c>
      <c r="E2428" s="244">
        <f>DATE(A2428,B2428,C2428)</f>
        <v>45246</v>
      </c>
      <c r="F2428" s="524"/>
      <c r="G2428" s="245" t="s">
        <v>1245</v>
      </c>
      <c r="H2428" s="246"/>
      <c r="I2428" s="246"/>
      <c r="J2428" s="242" t="s">
        <v>1582</v>
      </c>
      <c r="K2428" s="247"/>
      <c r="L2428" s="247">
        <v>13771.15</v>
      </c>
    </row>
    <row r="2429" spans="1:14" ht="11.25" customHeight="1" x14ac:dyDescent="0.2">
      <c r="A2429" s="210">
        <v>2023</v>
      </c>
      <c r="B2429" s="210">
        <v>11</v>
      </c>
      <c r="C2429" s="210">
        <v>16</v>
      </c>
      <c r="D2429" s="211">
        <f t="shared" ref="D2429:D2490" si="189">DATE(A2429,B2429,C2429)</f>
        <v>45246</v>
      </c>
      <c r="E2429" s="238">
        <f t="shared" si="188"/>
        <v>45246</v>
      </c>
      <c r="F2429" s="520" t="s">
        <v>1259</v>
      </c>
      <c r="G2429" s="213" t="s">
        <v>1245</v>
      </c>
      <c r="H2429" s="214"/>
      <c r="I2429" s="214" t="s">
        <v>1253</v>
      </c>
      <c r="J2429" s="210" t="s">
        <v>58</v>
      </c>
      <c r="K2429" s="215">
        <v>20718.240000000002</v>
      </c>
      <c r="L2429" s="215"/>
    </row>
    <row r="2430" spans="1:14" ht="11.25" customHeight="1" x14ac:dyDescent="0.2">
      <c r="A2430" s="216">
        <v>2023</v>
      </c>
      <c r="B2430" s="216">
        <v>11</v>
      </c>
      <c r="C2430" s="216">
        <v>16</v>
      </c>
      <c r="D2430" s="217">
        <f t="shared" si="189"/>
        <v>45246</v>
      </c>
      <c r="E2430" s="239">
        <f t="shared" si="188"/>
        <v>45246</v>
      </c>
      <c r="F2430" s="521"/>
      <c r="G2430" s="219" t="s">
        <v>1245</v>
      </c>
      <c r="H2430" s="220"/>
      <c r="I2430" s="220" t="s">
        <v>1253</v>
      </c>
      <c r="J2430" s="216" t="s">
        <v>153</v>
      </c>
      <c r="K2430" s="221"/>
      <c r="L2430" s="221">
        <v>20718.240000000002</v>
      </c>
    </row>
    <row r="2431" spans="1:14" ht="11.25" customHeight="1" x14ac:dyDescent="0.2">
      <c r="A2431" s="210">
        <v>2023</v>
      </c>
      <c r="B2431" s="210">
        <v>11</v>
      </c>
      <c r="C2431" s="210">
        <v>16</v>
      </c>
      <c r="D2431" s="211">
        <f t="shared" si="189"/>
        <v>45246</v>
      </c>
      <c r="E2431" s="238">
        <f t="shared" si="188"/>
        <v>45246</v>
      </c>
      <c r="F2431" s="520" t="s">
        <v>1256</v>
      </c>
      <c r="G2431" s="213" t="s">
        <v>1245</v>
      </c>
      <c r="H2431" s="214"/>
      <c r="I2431" s="214" t="s">
        <v>1253</v>
      </c>
      <c r="J2431" s="210" t="s">
        <v>113</v>
      </c>
      <c r="K2431" s="215">
        <v>200802.88461538462</v>
      </c>
      <c r="L2431" s="215"/>
    </row>
    <row r="2432" spans="1:14" ht="11.25" customHeight="1" x14ac:dyDescent="0.2">
      <c r="A2432" s="216">
        <v>2023</v>
      </c>
      <c r="B2432" s="216">
        <v>11</v>
      </c>
      <c r="C2432" s="216">
        <v>16</v>
      </c>
      <c r="D2432" s="217">
        <f t="shared" si="189"/>
        <v>45246</v>
      </c>
      <c r="E2432" s="239">
        <f t="shared" si="188"/>
        <v>45246</v>
      </c>
      <c r="F2432" s="521"/>
      <c r="G2432" s="219" t="s">
        <v>1245</v>
      </c>
      <c r="H2432" s="220"/>
      <c r="I2432" s="220" t="s">
        <v>1253</v>
      </c>
      <c r="J2432" s="216" t="s">
        <v>153</v>
      </c>
      <c r="K2432" s="221"/>
      <c r="L2432" s="221">
        <v>200802.88461538462</v>
      </c>
    </row>
    <row r="2433" spans="1:13" ht="11.25" customHeight="1" x14ac:dyDescent="0.2">
      <c r="A2433" s="259">
        <v>2023</v>
      </c>
      <c r="B2433" s="259">
        <v>11</v>
      </c>
      <c r="C2433" s="259">
        <v>16</v>
      </c>
      <c r="D2433" s="260">
        <f t="shared" si="189"/>
        <v>45246</v>
      </c>
      <c r="E2433" s="261">
        <f t="shared" si="188"/>
        <v>45246</v>
      </c>
      <c r="F2433" s="531" t="s">
        <v>1442</v>
      </c>
      <c r="G2433" s="262" t="s">
        <v>1245</v>
      </c>
      <c r="H2433" s="263"/>
      <c r="I2433" s="263" t="s">
        <v>1253</v>
      </c>
      <c r="J2433" s="259" t="s">
        <v>1476</v>
      </c>
      <c r="K2433" s="264">
        <v>16923.977777777818</v>
      </c>
      <c r="L2433" s="264"/>
      <c r="M2433" s="130"/>
    </row>
    <row r="2434" spans="1:13" ht="11.25" customHeight="1" x14ac:dyDescent="0.2">
      <c r="A2434" s="265">
        <v>2023</v>
      </c>
      <c r="B2434" s="265">
        <v>11</v>
      </c>
      <c r="C2434" s="265">
        <v>16</v>
      </c>
      <c r="D2434" s="266">
        <f t="shared" si="189"/>
        <v>45246</v>
      </c>
      <c r="E2434" s="267">
        <f t="shared" si="188"/>
        <v>45246</v>
      </c>
      <c r="F2434" s="532"/>
      <c r="G2434" s="268" t="s">
        <v>1245</v>
      </c>
      <c r="H2434" s="269"/>
      <c r="I2434" s="269" t="s">
        <v>1253</v>
      </c>
      <c r="J2434" s="265" t="s">
        <v>153</v>
      </c>
      <c r="K2434" s="270"/>
      <c r="L2434" s="270">
        <v>16923.977777777818</v>
      </c>
    </row>
    <row r="2435" spans="1:13" ht="11.25" customHeight="1" x14ac:dyDescent="0.2">
      <c r="A2435" s="259">
        <v>2023</v>
      </c>
      <c r="B2435" s="259">
        <v>11</v>
      </c>
      <c r="C2435" s="259">
        <v>16</v>
      </c>
      <c r="D2435" s="260">
        <f t="shared" si="189"/>
        <v>45246</v>
      </c>
      <c r="E2435" s="261">
        <f t="shared" si="188"/>
        <v>45246</v>
      </c>
      <c r="F2435" s="531" t="s">
        <v>1448</v>
      </c>
      <c r="G2435" s="262" t="s">
        <v>1245</v>
      </c>
      <c r="H2435" s="263"/>
      <c r="I2435" s="263" t="s">
        <v>1253</v>
      </c>
      <c r="J2435" s="259" t="s">
        <v>1476</v>
      </c>
      <c r="K2435" s="264">
        <v>12458.888888888889</v>
      </c>
      <c r="L2435" s="264"/>
    </row>
    <row r="2436" spans="1:13" ht="11.25" customHeight="1" x14ac:dyDescent="0.2">
      <c r="A2436" s="265">
        <v>2023</v>
      </c>
      <c r="B2436" s="265">
        <v>11</v>
      </c>
      <c r="C2436" s="265">
        <v>16</v>
      </c>
      <c r="D2436" s="266">
        <f t="shared" si="189"/>
        <v>45246</v>
      </c>
      <c r="E2436" s="267">
        <f t="shared" si="188"/>
        <v>45246</v>
      </c>
      <c r="F2436" s="532"/>
      <c r="G2436" s="268" t="s">
        <v>1245</v>
      </c>
      <c r="H2436" s="269"/>
      <c r="I2436" s="269" t="s">
        <v>1253</v>
      </c>
      <c r="J2436" s="265" t="s">
        <v>153</v>
      </c>
      <c r="K2436" s="270"/>
      <c r="L2436" s="270">
        <v>12458.888888888889</v>
      </c>
    </row>
    <row r="2437" spans="1:13" ht="11.25" customHeight="1" x14ac:dyDescent="0.2">
      <c r="A2437" s="259">
        <v>2023</v>
      </c>
      <c r="B2437" s="259">
        <v>11</v>
      </c>
      <c r="C2437" s="259">
        <v>16</v>
      </c>
      <c r="D2437" s="260">
        <f t="shared" si="189"/>
        <v>45246</v>
      </c>
      <c r="E2437" s="261">
        <f t="shared" si="188"/>
        <v>45246</v>
      </c>
      <c r="F2437" s="531" t="s">
        <v>1442</v>
      </c>
      <c r="G2437" s="262" t="s">
        <v>1245</v>
      </c>
      <c r="H2437" s="263"/>
      <c r="I2437" s="263" t="s">
        <v>1253</v>
      </c>
      <c r="J2437" s="259" t="s">
        <v>1476</v>
      </c>
      <c r="K2437" s="264">
        <v>5245.7199999999975</v>
      </c>
      <c r="L2437" s="264"/>
    </row>
    <row r="2438" spans="1:13" ht="11.25" customHeight="1" x14ac:dyDescent="0.2">
      <c r="A2438" s="265">
        <v>2023</v>
      </c>
      <c r="B2438" s="265">
        <v>11</v>
      </c>
      <c r="C2438" s="265">
        <v>16</v>
      </c>
      <c r="D2438" s="266">
        <f t="shared" si="189"/>
        <v>45246</v>
      </c>
      <c r="E2438" s="267">
        <f t="shared" si="188"/>
        <v>45246</v>
      </c>
      <c r="F2438" s="532"/>
      <c r="G2438" s="268" t="s">
        <v>1245</v>
      </c>
      <c r="H2438" s="269"/>
      <c r="I2438" s="269" t="s">
        <v>1253</v>
      </c>
      <c r="J2438" s="265" t="s">
        <v>153</v>
      </c>
      <c r="K2438" s="270"/>
      <c r="L2438" s="270">
        <v>5245.7199999999975</v>
      </c>
    </row>
    <row r="2439" spans="1:13" ht="11.25" customHeight="1" x14ac:dyDescent="0.2">
      <c r="A2439" s="312">
        <v>2023</v>
      </c>
      <c r="B2439" s="312">
        <v>11</v>
      </c>
      <c r="C2439" s="312">
        <v>16</v>
      </c>
      <c r="D2439" s="313">
        <f t="shared" si="189"/>
        <v>45246</v>
      </c>
      <c r="E2439" s="314">
        <f t="shared" si="188"/>
        <v>45246</v>
      </c>
      <c r="F2439" s="522" t="s">
        <v>1477</v>
      </c>
      <c r="G2439" s="315" t="s">
        <v>1245</v>
      </c>
      <c r="H2439" s="316"/>
      <c r="I2439" s="316" t="s">
        <v>1253</v>
      </c>
      <c r="J2439" s="312" t="s">
        <v>1460</v>
      </c>
      <c r="K2439" s="317">
        <v>14774</v>
      </c>
      <c r="L2439" s="317"/>
    </row>
    <row r="2440" spans="1:13" ht="11.25" customHeight="1" x14ac:dyDescent="0.2">
      <c r="A2440" s="318">
        <v>2023</v>
      </c>
      <c r="B2440" s="318">
        <v>11</v>
      </c>
      <c r="C2440" s="318">
        <v>16</v>
      </c>
      <c r="D2440" s="319">
        <f t="shared" si="189"/>
        <v>45246</v>
      </c>
      <c r="E2440" s="320">
        <f t="shared" si="188"/>
        <v>45246</v>
      </c>
      <c r="F2440" s="523"/>
      <c r="G2440" s="321" t="s">
        <v>1245</v>
      </c>
      <c r="H2440" s="322"/>
      <c r="I2440" s="322" t="s">
        <v>1253</v>
      </c>
      <c r="J2440" s="318" t="s">
        <v>1458</v>
      </c>
      <c r="K2440" s="323"/>
      <c r="L2440" s="323">
        <v>14774</v>
      </c>
    </row>
    <row r="2441" spans="1:13" ht="11.25" customHeight="1" x14ac:dyDescent="0.2">
      <c r="A2441" s="222">
        <v>2023</v>
      </c>
      <c r="B2441" s="222">
        <v>11</v>
      </c>
      <c r="C2441" s="222">
        <v>16</v>
      </c>
      <c r="D2441" s="223">
        <f t="shared" si="189"/>
        <v>45246</v>
      </c>
      <c r="E2441" s="240">
        <f t="shared" si="188"/>
        <v>45246</v>
      </c>
      <c r="F2441" s="511" t="s">
        <v>1244</v>
      </c>
      <c r="G2441" s="225" t="s">
        <v>1245</v>
      </c>
      <c r="H2441" s="226"/>
      <c r="I2441" s="226" t="s">
        <v>1253</v>
      </c>
      <c r="J2441" s="222" t="s">
        <v>72</v>
      </c>
      <c r="K2441" s="227">
        <v>6495.2380952388048</v>
      </c>
      <c r="L2441" s="227"/>
    </row>
    <row r="2442" spans="1:13" ht="11.25" customHeight="1" x14ac:dyDescent="0.2">
      <c r="A2442" s="228">
        <v>2023</v>
      </c>
      <c r="B2442" s="228">
        <v>11</v>
      </c>
      <c r="C2442" s="228">
        <v>16</v>
      </c>
      <c r="D2442" s="229">
        <f t="shared" si="189"/>
        <v>45246</v>
      </c>
      <c r="E2442" s="241">
        <f t="shared" si="188"/>
        <v>45246</v>
      </c>
      <c r="F2442" s="512"/>
      <c r="G2442" s="231" t="s">
        <v>1245</v>
      </c>
      <c r="H2442" s="232"/>
      <c r="I2442" s="232" t="s">
        <v>1253</v>
      </c>
      <c r="J2442" s="228" t="s">
        <v>87</v>
      </c>
      <c r="K2442" s="233"/>
      <c r="L2442" s="233">
        <v>6495.2380952388048</v>
      </c>
    </row>
    <row r="2443" spans="1:13" ht="11.25" customHeight="1" x14ac:dyDescent="0.2">
      <c r="A2443" s="222">
        <v>2023</v>
      </c>
      <c r="B2443" s="222">
        <v>11</v>
      </c>
      <c r="C2443" s="222">
        <v>16</v>
      </c>
      <c r="D2443" s="223">
        <f t="shared" si="189"/>
        <v>45246</v>
      </c>
      <c r="E2443" s="240">
        <f t="shared" si="188"/>
        <v>45246</v>
      </c>
      <c r="F2443" s="511" t="s">
        <v>1246</v>
      </c>
      <c r="G2443" s="225" t="s">
        <v>1245</v>
      </c>
      <c r="H2443" s="226"/>
      <c r="I2443" s="226" t="s">
        <v>1253</v>
      </c>
      <c r="J2443" s="222" t="s">
        <v>75</v>
      </c>
      <c r="K2443" s="227">
        <v>3623.123846153846</v>
      </c>
      <c r="L2443" s="227"/>
    </row>
    <row r="2444" spans="1:13" ht="11.25" customHeight="1" x14ac:dyDescent="0.2">
      <c r="A2444" s="228">
        <v>2023</v>
      </c>
      <c r="B2444" s="228">
        <v>11</v>
      </c>
      <c r="C2444" s="228">
        <v>16</v>
      </c>
      <c r="D2444" s="229">
        <f t="shared" si="189"/>
        <v>45246</v>
      </c>
      <c r="E2444" s="241">
        <f t="shared" si="188"/>
        <v>45246</v>
      </c>
      <c r="F2444" s="512"/>
      <c r="G2444" s="231" t="s">
        <v>1245</v>
      </c>
      <c r="H2444" s="232"/>
      <c r="I2444" s="232" t="s">
        <v>1253</v>
      </c>
      <c r="J2444" s="228" t="s">
        <v>55</v>
      </c>
      <c r="K2444" s="233"/>
      <c r="L2444" s="233">
        <v>3623.123846153846</v>
      </c>
    </row>
    <row r="2445" spans="1:13" ht="11.25" customHeight="1" x14ac:dyDescent="0.2">
      <c r="A2445" s="222">
        <v>2023</v>
      </c>
      <c r="B2445" s="222">
        <v>11</v>
      </c>
      <c r="C2445" s="222">
        <v>16</v>
      </c>
      <c r="D2445" s="223">
        <f t="shared" si="189"/>
        <v>45246</v>
      </c>
      <c r="E2445" s="240">
        <f t="shared" si="188"/>
        <v>45246</v>
      </c>
      <c r="F2445" s="511" t="s">
        <v>1247</v>
      </c>
      <c r="G2445" s="225" t="s">
        <v>1245</v>
      </c>
      <c r="H2445" s="226"/>
      <c r="I2445" s="226" t="s">
        <v>1253</v>
      </c>
      <c r="J2445" s="222" t="s">
        <v>77</v>
      </c>
      <c r="K2445" s="227">
        <v>22217.169652178825</v>
      </c>
      <c r="L2445" s="227"/>
    </row>
    <row r="2446" spans="1:13" ht="11.25" customHeight="1" x14ac:dyDescent="0.2">
      <c r="A2446" s="228">
        <v>2023</v>
      </c>
      <c r="B2446" s="228">
        <v>11</v>
      </c>
      <c r="C2446" s="228">
        <v>16</v>
      </c>
      <c r="D2446" s="229">
        <f t="shared" si="189"/>
        <v>45246</v>
      </c>
      <c r="E2446" s="241">
        <f t="shared" si="188"/>
        <v>45246</v>
      </c>
      <c r="F2446" s="512"/>
      <c r="G2446" s="231" t="s">
        <v>1245</v>
      </c>
      <c r="H2446" s="232"/>
      <c r="I2446" s="232" t="s">
        <v>1253</v>
      </c>
      <c r="J2446" s="228" t="s">
        <v>41</v>
      </c>
      <c r="K2446" s="233"/>
      <c r="L2446" s="233">
        <v>22217.169652178825</v>
      </c>
    </row>
    <row r="2447" spans="1:13" ht="11.25" customHeight="1" x14ac:dyDescent="0.2">
      <c r="A2447" s="222">
        <v>2023</v>
      </c>
      <c r="B2447" s="222">
        <v>11</v>
      </c>
      <c r="C2447" s="222">
        <v>16</v>
      </c>
      <c r="D2447" s="223">
        <f t="shared" si="189"/>
        <v>45246</v>
      </c>
      <c r="E2447" s="240">
        <f t="shared" si="188"/>
        <v>45246</v>
      </c>
      <c r="F2447" s="511" t="s">
        <v>1248</v>
      </c>
      <c r="G2447" s="225" t="s">
        <v>1245</v>
      </c>
      <c r="H2447" s="226"/>
      <c r="I2447" s="226" t="s">
        <v>1253</v>
      </c>
      <c r="J2447" s="222" t="s">
        <v>80</v>
      </c>
      <c r="K2447" s="227">
        <v>2221.7169652178823</v>
      </c>
      <c r="L2447" s="227"/>
    </row>
    <row r="2448" spans="1:13" ht="11.25" customHeight="1" x14ac:dyDescent="0.2">
      <c r="A2448" s="228">
        <v>2023</v>
      </c>
      <c r="B2448" s="228">
        <v>11</v>
      </c>
      <c r="C2448" s="228">
        <v>16</v>
      </c>
      <c r="D2448" s="229">
        <f t="shared" si="189"/>
        <v>45246</v>
      </c>
      <c r="E2448" s="241">
        <f t="shared" si="188"/>
        <v>45246</v>
      </c>
      <c r="F2448" s="512"/>
      <c r="G2448" s="231" t="s">
        <v>1245</v>
      </c>
      <c r="H2448" s="232"/>
      <c r="I2448" s="232" t="s">
        <v>1253</v>
      </c>
      <c r="J2448" s="228" t="s">
        <v>42</v>
      </c>
      <c r="K2448" s="233"/>
      <c r="L2448" s="233">
        <v>2221.7169652178823</v>
      </c>
    </row>
    <row r="2449" spans="1:14" x14ac:dyDescent="0.2">
      <c r="A2449" s="197">
        <v>2023</v>
      </c>
      <c r="B2449" s="197">
        <v>11</v>
      </c>
      <c r="C2449" s="197">
        <v>19</v>
      </c>
      <c r="D2449" s="198">
        <f t="shared" si="189"/>
        <v>45249</v>
      </c>
      <c r="E2449" s="290">
        <f t="shared" si="188"/>
        <v>45249</v>
      </c>
      <c r="F2449" s="513" t="s">
        <v>1486</v>
      </c>
      <c r="G2449" s="200" t="s">
        <v>1209</v>
      </c>
      <c r="H2449" s="201"/>
      <c r="I2449" s="201" t="s">
        <v>1253</v>
      </c>
      <c r="J2449" s="197" t="s">
        <v>46</v>
      </c>
      <c r="K2449" s="202">
        <v>8162.94</v>
      </c>
      <c r="L2449" s="202"/>
    </row>
    <row r="2450" spans="1:14" ht="11.25" customHeight="1" x14ac:dyDescent="0.2">
      <c r="A2450" s="191">
        <v>2023</v>
      </c>
      <c r="B2450" s="191">
        <v>11</v>
      </c>
      <c r="C2450" s="191">
        <v>19</v>
      </c>
      <c r="D2450" s="192">
        <f t="shared" si="189"/>
        <v>45249</v>
      </c>
      <c r="E2450" s="291">
        <f t="shared" si="188"/>
        <v>45249</v>
      </c>
      <c r="F2450" s="514"/>
      <c r="G2450" s="194" t="s">
        <v>1209</v>
      </c>
      <c r="H2450" s="195"/>
      <c r="I2450" s="195" t="s">
        <v>1253</v>
      </c>
      <c r="J2450" s="191" t="s">
        <v>1530</v>
      </c>
      <c r="K2450" s="196"/>
      <c r="L2450" s="196">
        <v>8162.94</v>
      </c>
    </row>
    <row r="2451" spans="1:14" ht="11.25" customHeight="1" x14ac:dyDescent="0.2">
      <c r="A2451" s="197">
        <v>2023</v>
      </c>
      <c r="B2451" s="197">
        <v>11</v>
      </c>
      <c r="C2451" s="197">
        <v>19</v>
      </c>
      <c r="D2451" s="198">
        <f t="shared" si="189"/>
        <v>45249</v>
      </c>
      <c r="E2451" s="199">
        <f>DATE(A2451,B2451,C2451)</f>
        <v>45249</v>
      </c>
      <c r="F2451" s="513" t="s">
        <v>1323</v>
      </c>
      <c r="G2451" s="200" t="s">
        <v>1209</v>
      </c>
      <c r="H2451" s="201"/>
      <c r="I2451" s="201"/>
      <c r="J2451" s="197" t="s">
        <v>54</v>
      </c>
      <c r="K2451" s="202">
        <v>100</v>
      </c>
      <c r="L2451" s="202"/>
    </row>
    <row r="2452" spans="1:14" ht="11.25" customHeight="1" x14ac:dyDescent="0.2">
      <c r="A2452" s="191">
        <v>2023</v>
      </c>
      <c r="B2452" s="191">
        <v>11</v>
      </c>
      <c r="C2452" s="191">
        <v>19</v>
      </c>
      <c r="D2452" s="192">
        <f t="shared" si="189"/>
        <v>45249</v>
      </c>
      <c r="E2452" s="193">
        <f>DATE(A2452,B2452,C2452)</f>
        <v>45249</v>
      </c>
      <c r="F2452" s="514"/>
      <c r="G2452" s="194" t="s">
        <v>1209</v>
      </c>
      <c r="H2452" s="195"/>
      <c r="I2452" s="195"/>
      <c r="J2452" s="191" t="s">
        <v>46</v>
      </c>
      <c r="K2452" s="196"/>
      <c r="L2452" s="196">
        <v>100</v>
      </c>
    </row>
    <row r="2453" spans="1:14" ht="11.25" customHeight="1" x14ac:dyDescent="0.2">
      <c r="A2453" s="197">
        <v>2023</v>
      </c>
      <c r="B2453" s="197">
        <v>11</v>
      </c>
      <c r="C2453" s="197">
        <v>20</v>
      </c>
      <c r="D2453" s="198">
        <f t="shared" si="189"/>
        <v>45250</v>
      </c>
      <c r="E2453" s="199">
        <f t="shared" ref="E2453:E2462" si="190">DATE(A2453,B2453,C2453)</f>
        <v>45250</v>
      </c>
      <c r="F2453" s="513" t="s">
        <v>1454</v>
      </c>
      <c r="G2453" s="200" t="s">
        <v>1209</v>
      </c>
      <c r="H2453" s="201"/>
      <c r="I2453" s="201" t="s">
        <v>1253</v>
      </c>
      <c r="J2453" s="197" t="s">
        <v>1455</v>
      </c>
      <c r="K2453" s="202">
        <v>10534989.6</v>
      </c>
      <c r="L2453" s="202"/>
    </row>
    <row r="2454" spans="1:14" ht="11.25" customHeight="1" x14ac:dyDescent="0.2">
      <c r="A2454" s="191">
        <v>2023</v>
      </c>
      <c r="B2454" s="191">
        <v>11</v>
      </c>
      <c r="C2454" s="191">
        <v>20</v>
      </c>
      <c r="D2454" s="192">
        <f t="shared" si="189"/>
        <v>45250</v>
      </c>
      <c r="E2454" s="193">
        <f t="shared" si="190"/>
        <v>45250</v>
      </c>
      <c r="F2454" s="514"/>
      <c r="G2454" s="194" t="s">
        <v>1209</v>
      </c>
      <c r="H2454" s="195"/>
      <c r="I2454" s="195" t="s">
        <v>1253</v>
      </c>
      <c r="J2454" s="191" t="s">
        <v>46</v>
      </c>
      <c r="K2454" s="196"/>
      <c r="L2454" s="196">
        <v>10534989.6</v>
      </c>
      <c r="N2454" s="130"/>
    </row>
    <row r="2455" spans="1:14" ht="11.25" customHeight="1" x14ac:dyDescent="0.2">
      <c r="A2455" s="197">
        <v>2023</v>
      </c>
      <c r="B2455" s="197">
        <v>11</v>
      </c>
      <c r="C2455" s="197">
        <v>22</v>
      </c>
      <c r="D2455" s="198">
        <f t="shared" si="189"/>
        <v>45252</v>
      </c>
      <c r="E2455" s="209">
        <f t="shared" si="190"/>
        <v>45252</v>
      </c>
      <c r="F2455" s="513" t="s">
        <v>1210</v>
      </c>
      <c r="G2455" s="200" t="s">
        <v>1209</v>
      </c>
      <c r="H2455" s="201"/>
      <c r="I2455" s="201" t="s">
        <v>1488</v>
      </c>
      <c r="J2455" s="197" t="s">
        <v>46</v>
      </c>
      <c r="K2455" s="202">
        <v>2000000</v>
      </c>
      <c r="L2455" s="202"/>
    </row>
    <row r="2456" spans="1:14" ht="11.25" customHeight="1" x14ac:dyDescent="0.2">
      <c r="A2456" s="120">
        <v>2023</v>
      </c>
      <c r="B2456" s="120">
        <v>11</v>
      </c>
      <c r="C2456" s="120">
        <v>22</v>
      </c>
      <c r="D2456" s="208">
        <f t="shared" si="189"/>
        <v>45252</v>
      </c>
      <c r="E2456" s="209">
        <f t="shared" si="190"/>
        <v>45252</v>
      </c>
      <c r="F2456" s="515"/>
      <c r="G2456" s="132" t="s">
        <v>1209</v>
      </c>
      <c r="I2456" s="128" t="s">
        <v>1488</v>
      </c>
      <c r="J2456" s="120" t="s">
        <v>16</v>
      </c>
      <c r="K2456" s="120"/>
      <c r="L2456" s="207">
        <v>1891070</v>
      </c>
    </row>
    <row r="2457" spans="1:14" ht="11.25" customHeight="1" x14ac:dyDescent="0.2">
      <c r="A2457" s="191">
        <v>2023</v>
      </c>
      <c r="B2457" s="191">
        <v>11</v>
      </c>
      <c r="C2457" s="191">
        <v>22</v>
      </c>
      <c r="D2457" s="192">
        <f t="shared" si="189"/>
        <v>45252</v>
      </c>
      <c r="E2457" s="193">
        <f t="shared" si="190"/>
        <v>45252</v>
      </c>
      <c r="F2457" s="514"/>
      <c r="G2457" s="194" t="s">
        <v>1209</v>
      </c>
      <c r="H2457" s="195"/>
      <c r="I2457" s="195" t="s">
        <v>1488</v>
      </c>
      <c r="J2457" s="191" t="s">
        <v>47</v>
      </c>
      <c r="K2457" s="196"/>
      <c r="L2457" s="196">
        <v>108930</v>
      </c>
    </row>
    <row r="2458" spans="1:14" ht="11.25" customHeight="1" x14ac:dyDescent="0.2">
      <c r="A2458" s="197">
        <v>2023</v>
      </c>
      <c r="B2458" s="197">
        <v>11</v>
      </c>
      <c r="C2458" s="197">
        <v>22</v>
      </c>
      <c r="D2458" s="198">
        <f t="shared" si="189"/>
        <v>45252</v>
      </c>
      <c r="E2458" s="199">
        <f>DATE(A2458,B2458,C2458)</f>
        <v>45252</v>
      </c>
      <c r="F2458" s="513" t="s">
        <v>1323</v>
      </c>
      <c r="G2458" s="200" t="s">
        <v>1209</v>
      </c>
      <c r="H2458" s="201"/>
      <c r="I2458" s="201"/>
      <c r="J2458" s="197" t="s">
        <v>54</v>
      </c>
      <c r="K2458" s="202">
        <v>60</v>
      </c>
      <c r="L2458" s="202"/>
    </row>
    <row r="2459" spans="1:14" ht="11.25" customHeight="1" x14ac:dyDescent="0.2">
      <c r="A2459" s="191">
        <v>2023</v>
      </c>
      <c r="B2459" s="191">
        <v>11</v>
      </c>
      <c r="C2459" s="191">
        <v>22</v>
      </c>
      <c r="D2459" s="192">
        <f t="shared" si="189"/>
        <v>45252</v>
      </c>
      <c r="E2459" s="193">
        <f>DATE(A2459,B2459,C2459)</f>
        <v>45252</v>
      </c>
      <c r="F2459" s="514"/>
      <c r="G2459" s="194" t="s">
        <v>1209</v>
      </c>
      <c r="H2459" s="195"/>
      <c r="I2459" s="195"/>
      <c r="J2459" s="191" t="s">
        <v>46</v>
      </c>
      <c r="K2459" s="196"/>
      <c r="L2459" s="196">
        <v>60</v>
      </c>
    </row>
    <row r="2460" spans="1:14" ht="11.25" customHeight="1" x14ac:dyDescent="0.2">
      <c r="A2460" s="197">
        <v>2023</v>
      </c>
      <c r="B2460" s="197">
        <v>11</v>
      </c>
      <c r="C2460" s="197">
        <v>23</v>
      </c>
      <c r="D2460" s="198">
        <f t="shared" si="189"/>
        <v>45253</v>
      </c>
      <c r="E2460" s="209">
        <f t="shared" si="190"/>
        <v>45253</v>
      </c>
      <c r="F2460" s="513" t="s">
        <v>1280</v>
      </c>
      <c r="G2460" s="200" t="s">
        <v>1209</v>
      </c>
      <c r="H2460" s="201"/>
      <c r="I2460" s="201" t="s">
        <v>1230</v>
      </c>
      <c r="J2460" s="197" t="s">
        <v>16</v>
      </c>
      <c r="K2460" s="202">
        <v>2647500</v>
      </c>
      <c r="L2460" s="202"/>
    </row>
    <row r="2461" spans="1:14" ht="11.25" customHeight="1" x14ac:dyDescent="0.2">
      <c r="A2461" s="120">
        <v>2023</v>
      </c>
      <c r="B2461" s="120">
        <v>11</v>
      </c>
      <c r="C2461" s="120">
        <v>23</v>
      </c>
      <c r="D2461" s="208">
        <f t="shared" si="189"/>
        <v>45253</v>
      </c>
      <c r="E2461" s="209">
        <f t="shared" si="190"/>
        <v>45253</v>
      </c>
      <c r="F2461" s="515"/>
      <c r="G2461" s="132" t="s">
        <v>1209</v>
      </c>
      <c r="I2461" s="128" t="s">
        <v>1230</v>
      </c>
      <c r="J2461" s="120" t="s">
        <v>47</v>
      </c>
      <c r="K2461" s="207">
        <v>152500</v>
      </c>
      <c r="L2461" s="207"/>
    </row>
    <row r="2462" spans="1:14" ht="22.5" x14ac:dyDescent="0.2">
      <c r="A2462" s="191">
        <v>2023</v>
      </c>
      <c r="B2462" s="191">
        <v>11</v>
      </c>
      <c r="C2462" s="191">
        <v>23</v>
      </c>
      <c r="D2462" s="192">
        <f t="shared" si="189"/>
        <v>45253</v>
      </c>
      <c r="E2462" s="193">
        <f t="shared" si="190"/>
        <v>45253</v>
      </c>
      <c r="F2462" s="514"/>
      <c r="G2462" s="194" t="s">
        <v>1209</v>
      </c>
      <c r="H2462" s="195"/>
      <c r="I2462" s="195" t="s">
        <v>1230</v>
      </c>
      <c r="J2462" s="191" t="s">
        <v>46</v>
      </c>
      <c r="K2462" s="196"/>
      <c r="L2462" s="196">
        <v>2800000</v>
      </c>
    </row>
    <row r="2463" spans="1:14" ht="11.25" customHeight="1" x14ac:dyDescent="0.2">
      <c r="A2463" s="197">
        <v>2023</v>
      </c>
      <c r="B2463" s="197">
        <v>11</v>
      </c>
      <c r="C2463" s="197">
        <v>23</v>
      </c>
      <c r="D2463" s="198">
        <f t="shared" si="189"/>
        <v>45253</v>
      </c>
      <c r="E2463" s="209">
        <f>DATE(A2463,B2463,C2463)</f>
        <v>45253</v>
      </c>
      <c r="F2463" s="513" t="s">
        <v>1210</v>
      </c>
      <c r="G2463" s="200" t="s">
        <v>1209</v>
      </c>
      <c r="H2463" s="201"/>
      <c r="I2463" s="201" t="s">
        <v>384</v>
      </c>
      <c r="J2463" s="197" t="s">
        <v>46</v>
      </c>
      <c r="K2463" s="202">
        <v>600000</v>
      </c>
      <c r="L2463" s="202"/>
    </row>
    <row r="2464" spans="1:14" ht="11.25" customHeight="1" x14ac:dyDescent="0.2">
      <c r="A2464" s="120">
        <v>2023</v>
      </c>
      <c r="B2464" s="120">
        <v>11</v>
      </c>
      <c r="C2464" s="120">
        <v>23</v>
      </c>
      <c r="D2464" s="208">
        <f t="shared" si="189"/>
        <v>45253</v>
      </c>
      <c r="E2464" s="209">
        <f>DATE(A2464,B2464,C2464)</f>
        <v>45253</v>
      </c>
      <c r="F2464" s="515"/>
      <c r="G2464" s="132" t="s">
        <v>1209</v>
      </c>
      <c r="I2464" s="128" t="s">
        <v>384</v>
      </c>
      <c r="J2464" s="120" t="s">
        <v>16</v>
      </c>
      <c r="K2464" s="120"/>
      <c r="L2464" s="207">
        <v>567320</v>
      </c>
    </row>
    <row r="2465" spans="1:12" ht="11.25" customHeight="1" x14ac:dyDescent="0.2">
      <c r="A2465" s="191">
        <v>2023</v>
      </c>
      <c r="B2465" s="191">
        <v>11</v>
      </c>
      <c r="C2465" s="191">
        <v>23</v>
      </c>
      <c r="D2465" s="192">
        <f t="shared" si="189"/>
        <v>45253</v>
      </c>
      <c r="E2465" s="193">
        <f>DATE(A2465,B2465,C2465)</f>
        <v>45253</v>
      </c>
      <c r="F2465" s="514"/>
      <c r="G2465" s="194" t="s">
        <v>1209</v>
      </c>
      <c r="H2465" s="195"/>
      <c r="I2465" s="195" t="s">
        <v>384</v>
      </c>
      <c r="J2465" s="191" t="s">
        <v>47</v>
      </c>
      <c r="K2465" s="196"/>
      <c r="L2465" s="196">
        <v>32680</v>
      </c>
    </row>
    <row r="2466" spans="1:12" ht="11.25" customHeight="1" x14ac:dyDescent="0.2">
      <c r="A2466" s="210">
        <v>2023</v>
      </c>
      <c r="B2466" s="210">
        <v>11</v>
      </c>
      <c r="C2466" s="210">
        <v>23</v>
      </c>
      <c r="D2466" s="211">
        <f t="shared" si="189"/>
        <v>45253</v>
      </c>
      <c r="E2466" s="238">
        <f t="shared" ref="E2466:E2487" si="191">DATE(A2466,B2466,C2466)</f>
        <v>45253</v>
      </c>
      <c r="F2466" s="520" t="s">
        <v>1278</v>
      </c>
      <c r="G2466" s="213" t="s">
        <v>1245</v>
      </c>
      <c r="H2466" s="214"/>
      <c r="I2466" s="214" t="s">
        <v>1253</v>
      </c>
      <c r="J2466" s="210" t="s">
        <v>1529</v>
      </c>
      <c r="K2466" s="215">
        <v>6512.28</v>
      </c>
      <c r="L2466" s="215"/>
    </row>
    <row r="2467" spans="1:12" ht="11.25" customHeight="1" x14ac:dyDescent="0.2">
      <c r="A2467" s="216">
        <v>2023</v>
      </c>
      <c r="B2467" s="216">
        <v>11</v>
      </c>
      <c r="C2467" s="216">
        <v>23</v>
      </c>
      <c r="D2467" s="217">
        <f t="shared" si="189"/>
        <v>45253</v>
      </c>
      <c r="E2467" s="239">
        <f t="shared" si="191"/>
        <v>45253</v>
      </c>
      <c r="F2467" s="521"/>
      <c r="G2467" s="219" t="s">
        <v>1245</v>
      </c>
      <c r="H2467" s="220"/>
      <c r="I2467" s="220" t="s">
        <v>1253</v>
      </c>
      <c r="J2467" s="216" t="s">
        <v>1581</v>
      </c>
      <c r="K2467" s="221"/>
      <c r="L2467" s="221">
        <v>6512.28</v>
      </c>
    </row>
    <row r="2468" spans="1:12" ht="11.25" customHeight="1" x14ac:dyDescent="0.2">
      <c r="A2468" s="210">
        <v>2023</v>
      </c>
      <c r="B2468" s="210">
        <v>11</v>
      </c>
      <c r="C2468" s="210">
        <v>23</v>
      </c>
      <c r="D2468" s="211">
        <f t="shared" si="189"/>
        <v>45253</v>
      </c>
      <c r="E2468" s="238">
        <f t="shared" si="191"/>
        <v>45253</v>
      </c>
      <c r="F2468" s="520" t="s">
        <v>1285</v>
      </c>
      <c r="G2468" s="213" t="s">
        <v>1245</v>
      </c>
      <c r="H2468" s="214"/>
      <c r="I2468" s="214" t="s">
        <v>1253</v>
      </c>
      <c r="J2468" s="210" t="s">
        <v>1284</v>
      </c>
      <c r="K2468" s="215">
        <v>13771.15</v>
      </c>
      <c r="L2468" s="215"/>
    </row>
    <row r="2469" spans="1:12" ht="11.25" customHeight="1" x14ac:dyDescent="0.2">
      <c r="A2469" s="242">
        <v>2023</v>
      </c>
      <c r="B2469" s="216">
        <v>11</v>
      </c>
      <c r="C2469" s="216">
        <v>23</v>
      </c>
      <c r="D2469" s="243">
        <f t="shared" si="189"/>
        <v>45253</v>
      </c>
      <c r="E2469" s="244">
        <f>DATE(A2469,B2469,C2469)</f>
        <v>45253</v>
      </c>
      <c r="F2469" s="524"/>
      <c r="G2469" s="245" t="s">
        <v>1245</v>
      </c>
      <c r="H2469" s="246"/>
      <c r="I2469" s="246"/>
      <c r="J2469" s="242" t="s">
        <v>1582</v>
      </c>
      <c r="K2469" s="247"/>
      <c r="L2469" s="247">
        <v>13771.15</v>
      </c>
    </row>
    <row r="2470" spans="1:12" ht="11.25" customHeight="1" x14ac:dyDescent="0.2">
      <c r="A2470" s="210">
        <v>2023</v>
      </c>
      <c r="B2470" s="210">
        <v>11</v>
      </c>
      <c r="C2470" s="210">
        <v>23</v>
      </c>
      <c r="D2470" s="211">
        <f t="shared" si="189"/>
        <v>45253</v>
      </c>
      <c r="E2470" s="238">
        <f t="shared" si="191"/>
        <v>45253</v>
      </c>
      <c r="F2470" s="520" t="s">
        <v>1259</v>
      </c>
      <c r="G2470" s="213" t="s">
        <v>1245</v>
      </c>
      <c r="H2470" s="214"/>
      <c r="I2470" s="214" t="s">
        <v>1253</v>
      </c>
      <c r="J2470" s="210" t="s">
        <v>58</v>
      </c>
      <c r="K2470" s="215">
        <v>8271.68</v>
      </c>
      <c r="L2470" s="215"/>
    </row>
    <row r="2471" spans="1:12" ht="11.25" customHeight="1" x14ac:dyDescent="0.2">
      <c r="A2471" s="216">
        <v>2023</v>
      </c>
      <c r="B2471" s="216">
        <v>11</v>
      </c>
      <c r="C2471" s="216">
        <v>23</v>
      </c>
      <c r="D2471" s="217">
        <f t="shared" si="189"/>
        <v>45253</v>
      </c>
      <c r="E2471" s="239">
        <f t="shared" si="191"/>
        <v>45253</v>
      </c>
      <c r="F2471" s="521"/>
      <c r="G2471" s="219" t="s">
        <v>1245</v>
      </c>
      <c r="H2471" s="220"/>
      <c r="I2471" s="220" t="s">
        <v>1253</v>
      </c>
      <c r="J2471" s="216" t="s">
        <v>153</v>
      </c>
      <c r="K2471" s="221"/>
      <c r="L2471" s="221">
        <v>8271.68</v>
      </c>
    </row>
    <row r="2472" spans="1:12" ht="11.25" customHeight="1" x14ac:dyDescent="0.2">
      <c r="A2472" s="210">
        <v>2023</v>
      </c>
      <c r="B2472" s="210">
        <v>11</v>
      </c>
      <c r="C2472" s="210">
        <v>23</v>
      </c>
      <c r="D2472" s="211">
        <f t="shared" si="189"/>
        <v>45253</v>
      </c>
      <c r="E2472" s="238">
        <f t="shared" si="191"/>
        <v>45253</v>
      </c>
      <c r="F2472" s="520" t="s">
        <v>1256</v>
      </c>
      <c r="G2472" s="213" t="s">
        <v>1245</v>
      </c>
      <c r="H2472" s="214"/>
      <c r="I2472" s="214" t="s">
        <v>1253</v>
      </c>
      <c r="J2472" s="210" t="s">
        <v>113</v>
      </c>
      <c r="K2472" s="215">
        <v>200802.88461538462</v>
      </c>
      <c r="L2472" s="215"/>
    </row>
    <row r="2473" spans="1:12" ht="11.25" customHeight="1" x14ac:dyDescent="0.2">
      <c r="A2473" s="216">
        <v>2023</v>
      </c>
      <c r="B2473" s="216">
        <v>11</v>
      </c>
      <c r="C2473" s="216">
        <v>23</v>
      </c>
      <c r="D2473" s="217">
        <f t="shared" si="189"/>
        <v>45253</v>
      </c>
      <c r="E2473" s="239">
        <f t="shared" si="191"/>
        <v>45253</v>
      </c>
      <c r="F2473" s="521"/>
      <c r="G2473" s="219" t="s">
        <v>1245</v>
      </c>
      <c r="H2473" s="220"/>
      <c r="I2473" s="220" t="s">
        <v>1253</v>
      </c>
      <c r="J2473" s="216" t="s">
        <v>153</v>
      </c>
      <c r="K2473" s="221"/>
      <c r="L2473" s="221">
        <v>200802.88461538462</v>
      </c>
    </row>
    <row r="2474" spans="1:12" ht="11.25" customHeight="1" x14ac:dyDescent="0.2">
      <c r="A2474" s="259">
        <v>2023</v>
      </c>
      <c r="B2474" s="259">
        <v>11</v>
      </c>
      <c r="C2474" s="259">
        <v>23</v>
      </c>
      <c r="D2474" s="260">
        <f t="shared" si="189"/>
        <v>45253</v>
      </c>
      <c r="E2474" s="261">
        <f t="shared" si="191"/>
        <v>45253</v>
      </c>
      <c r="F2474" s="531" t="s">
        <v>1448</v>
      </c>
      <c r="G2474" s="262" t="s">
        <v>1245</v>
      </c>
      <c r="H2474" s="263"/>
      <c r="I2474" s="263" t="s">
        <v>1253</v>
      </c>
      <c r="J2474" s="259" t="s">
        <v>1476</v>
      </c>
      <c r="K2474" s="264">
        <v>12458.888888888889</v>
      </c>
      <c r="L2474" s="264"/>
    </row>
    <row r="2475" spans="1:12" ht="11.25" customHeight="1" x14ac:dyDescent="0.2">
      <c r="A2475" s="265">
        <v>2023</v>
      </c>
      <c r="B2475" s="265">
        <v>11</v>
      </c>
      <c r="C2475" s="265">
        <v>23</v>
      </c>
      <c r="D2475" s="266">
        <f t="shared" si="189"/>
        <v>45253</v>
      </c>
      <c r="E2475" s="267">
        <f t="shared" si="191"/>
        <v>45253</v>
      </c>
      <c r="F2475" s="532"/>
      <c r="G2475" s="268" t="s">
        <v>1245</v>
      </c>
      <c r="H2475" s="269"/>
      <c r="I2475" s="269" t="s">
        <v>1253</v>
      </c>
      <c r="J2475" s="265" t="s">
        <v>153</v>
      </c>
      <c r="K2475" s="270"/>
      <c r="L2475" s="270">
        <v>12458.888888888889</v>
      </c>
    </row>
    <row r="2476" spans="1:12" ht="11.25" customHeight="1" x14ac:dyDescent="0.2">
      <c r="A2476" s="259">
        <v>2023</v>
      </c>
      <c r="B2476" s="259">
        <v>11</v>
      </c>
      <c r="C2476" s="259">
        <v>23</v>
      </c>
      <c r="D2476" s="260">
        <f t="shared" si="189"/>
        <v>45253</v>
      </c>
      <c r="E2476" s="261">
        <f t="shared" si="191"/>
        <v>45253</v>
      </c>
      <c r="F2476" s="531" t="s">
        <v>1442</v>
      </c>
      <c r="G2476" s="262" t="s">
        <v>1245</v>
      </c>
      <c r="H2476" s="263"/>
      <c r="I2476" s="263" t="s">
        <v>1253</v>
      </c>
      <c r="J2476" s="259" t="s">
        <v>1476</v>
      </c>
      <c r="K2476" s="264">
        <v>5245.7199999999975</v>
      </c>
      <c r="L2476" s="264"/>
    </row>
    <row r="2477" spans="1:12" ht="11.25" customHeight="1" x14ac:dyDescent="0.2">
      <c r="A2477" s="265">
        <v>2023</v>
      </c>
      <c r="B2477" s="265">
        <v>11</v>
      </c>
      <c r="C2477" s="265">
        <v>23</v>
      </c>
      <c r="D2477" s="266">
        <f t="shared" si="189"/>
        <v>45253</v>
      </c>
      <c r="E2477" s="267">
        <f t="shared" si="191"/>
        <v>45253</v>
      </c>
      <c r="F2477" s="532"/>
      <c r="G2477" s="268" t="s">
        <v>1245</v>
      </c>
      <c r="H2477" s="269"/>
      <c r="I2477" s="269" t="s">
        <v>1253</v>
      </c>
      <c r="J2477" s="265" t="s">
        <v>153</v>
      </c>
      <c r="K2477" s="270"/>
      <c r="L2477" s="270">
        <v>5245.7199999999975</v>
      </c>
    </row>
    <row r="2478" spans="1:12" ht="11.25" customHeight="1" x14ac:dyDescent="0.2">
      <c r="A2478" s="312">
        <v>2023</v>
      </c>
      <c r="B2478" s="312">
        <v>11</v>
      </c>
      <c r="C2478" s="312">
        <v>23</v>
      </c>
      <c r="D2478" s="313">
        <f t="shared" si="189"/>
        <v>45253</v>
      </c>
      <c r="E2478" s="314">
        <f t="shared" si="191"/>
        <v>45253</v>
      </c>
      <c r="F2478" s="522" t="s">
        <v>1477</v>
      </c>
      <c r="G2478" s="315" t="s">
        <v>1245</v>
      </c>
      <c r="H2478" s="316"/>
      <c r="I2478" s="316" t="s">
        <v>1253</v>
      </c>
      <c r="J2478" s="312" t="s">
        <v>1460</v>
      </c>
      <c r="K2478" s="317">
        <v>163894.70000000298</v>
      </c>
      <c r="L2478" s="317"/>
    </row>
    <row r="2479" spans="1:12" ht="11.25" customHeight="1" x14ac:dyDescent="0.2">
      <c r="A2479" s="318">
        <v>2023</v>
      </c>
      <c r="B2479" s="318">
        <v>11</v>
      </c>
      <c r="C2479" s="318">
        <v>23</v>
      </c>
      <c r="D2479" s="319">
        <f t="shared" si="189"/>
        <v>45253</v>
      </c>
      <c r="E2479" s="320">
        <f t="shared" si="191"/>
        <v>45253</v>
      </c>
      <c r="F2479" s="523"/>
      <c r="G2479" s="321" t="s">
        <v>1245</v>
      </c>
      <c r="H2479" s="322"/>
      <c r="I2479" s="322" t="s">
        <v>1253</v>
      </c>
      <c r="J2479" s="318" t="s">
        <v>1458</v>
      </c>
      <c r="K2479" s="323"/>
      <c r="L2479" s="323">
        <v>163894.70000000298</v>
      </c>
    </row>
    <row r="2480" spans="1:12" ht="11.25" customHeight="1" x14ac:dyDescent="0.2">
      <c r="A2480" s="222">
        <v>2023</v>
      </c>
      <c r="B2480" s="222">
        <v>11</v>
      </c>
      <c r="C2480" s="222">
        <v>23</v>
      </c>
      <c r="D2480" s="223">
        <f t="shared" si="189"/>
        <v>45253</v>
      </c>
      <c r="E2480" s="240">
        <f t="shared" si="191"/>
        <v>45253</v>
      </c>
      <c r="F2480" s="511" t="s">
        <v>1244</v>
      </c>
      <c r="G2480" s="225" t="s">
        <v>1245</v>
      </c>
      <c r="H2480" s="226"/>
      <c r="I2480" s="226" t="s">
        <v>1253</v>
      </c>
      <c r="J2480" s="222" t="s">
        <v>87</v>
      </c>
      <c r="K2480" s="227">
        <v>12339.231904760003</v>
      </c>
      <c r="L2480" s="227"/>
    </row>
    <row r="2481" spans="1:14" ht="11.25" customHeight="1" x14ac:dyDescent="0.2">
      <c r="A2481" s="228">
        <v>2023</v>
      </c>
      <c r="B2481" s="228">
        <v>11</v>
      </c>
      <c r="C2481" s="228">
        <v>23</v>
      </c>
      <c r="D2481" s="229">
        <f t="shared" si="189"/>
        <v>45253</v>
      </c>
      <c r="E2481" s="241">
        <f t="shared" si="191"/>
        <v>45253</v>
      </c>
      <c r="F2481" s="512"/>
      <c r="G2481" s="231" t="s">
        <v>1245</v>
      </c>
      <c r="H2481" s="232"/>
      <c r="I2481" s="232" t="s">
        <v>1253</v>
      </c>
      <c r="J2481" s="228" t="s">
        <v>72</v>
      </c>
      <c r="K2481" s="233"/>
      <c r="L2481" s="233">
        <v>12339.231904760003</v>
      </c>
    </row>
    <row r="2482" spans="1:14" ht="11.25" customHeight="1" x14ac:dyDescent="0.2">
      <c r="A2482" s="222">
        <v>2023</v>
      </c>
      <c r="B2482" s="222">
        <v>11</v>
      </c>
      <c r="C2482" s="222">
        <v>23</v>
      </c>
      <c r="D2482" s="223">
        <f t="shared" si="189"/>
        <v>45253</v>
      </c>
      <c r="E2482" s="240">
        <f t="shared" si="191"/>
        <v>45253</v>
      </c>
      <c r="F2482" s="511" t="s">
        <v>1246</v>
      </c>
      <c r="G2482" s="225" t="s">
        <v>1245</v>
      </c>
      <c r="H2482" s="226"/>
      <c r="I2482" s="226" t="s">
        <v>1253</v>
      </c>
      <c r="J2482" s="222" t="s">
        <v>75</v>
      </c>
      <c r="K2482" s="227">
        <v>3623.123846153846</v>
      </c>
      <c r="L2482" s="227"/>
    </row>
    <row r="2483" spans="1:14" ht="11.25" customHeight="1" x14ac:dyDescent="0.2">
      <c r="A2483" s="228">
        <v>2023</v>
      </c>
      <c r="B2483" s="228">
        <v>11</v>
      </c>
      <c r="C2483" s="228">
        <v>23</v>
      </c>
      <c r="D2483" s="229">
        <f t="shared" si="189"/>
        <v>45253</v>
      </c>
      <c r="E2483" s="241">
        <f t="shared" si="191"/>
        <v>45253</v>
      </c>
      <c r="F2483" s="512"/>
      <c r="G2483" s="231" t="s">
        <v>1245</v>
      </c>
      <c r="H2483" s="232"/>
      <c r="I2483" s="232" t="s">
        <v>1253</v>
      </c>
      <c r="J2483" s="228" t="s">
        <v>55</v>
      </c>
      <c r="K2483" s="233"/>
      <c r="L2483" s="233">
        <v>3623.123846153846</v>
      </c>
    </row>
    <row r="2484" spans="1:14" ht="11.25" customHeight="1" x14ac:dyDescent="0.2">
      <c r="A2484" s="222">
        <v>2023</v>
      </c>
      <c r="B2484" s="222">
        <v>11</v>
      </c>
      <c r="C2484" s="222">
        <v>23</v>
      </c>
      <c r="D2484" s="223">
        <f t="shared" si="189"/>
        <v>45253</v>
      </c>
      <c r="E2484" s="240">
        <f t="shared" si="191"/>
        <v>45253</v>
      </c>
      <c r="F2484" s="511" t="s">
        <v>1247</v>
      </c>
      <c r="G2484" s="225" t="s">
        <v>1245</v>
      </c>
      <c r="H2484" s="226"/>
      <c r="I2484" s="226" t="s">
        <v>1253</v>
      </c>
      <c r="J2484" s="222" t="s">
        <v>77</v>
      </c>
      <c r="K2484" s="227">
        <v>22234.493313826511</v>
      </c>
      <c r="L2484" s="227"/>
    </row>
    <row r="2485" spans="1:14" ht="11.25" customHeight="1" x14ac:dyDescent="0.2">
      <c r="A2485" s="228">
        <v>2023</v>
      </c>
      <c r="B2485" s="228">
        <v>11</v>
      </c>
      <c r="C2485" s="228">
        <v>23</v>
      </c>
      <c r="D2485" s="229">
        <f t="shared" si="189"/>
        <v>45253</v>
      </c>
      <c r="E2485" s="241">
        <f t="shared" si="191"/>
        <v>45253</v>
      </c>
      <c r="F2485" s="512"/>
      <c r="G2485" s="231" t="s">
        <v>1245</v>
      </c>
      <c r="H2485" s="232"/>
      <c r="I2485" s="232" t="s">
        <v>1253</v>
      </c>
      <c r="J2485" s="228" t="s">
        <v>41</v>
      </c>
      <c r="K2485" s="233"/>
      <c r="L2485" s="233">
        <v>22234.493313826511</v>
      </c>
    </row>
    <row r="2486" spans="1:14" ht="11.25" customHeight="1" x14ac:dyDescent="0.2">
      <c r="A2486" s="222">
        <v>2023</v>
      </c>
      <c r="B2486" s="222">
        <v>11</v>
      </c>
      <c r="C2486" s="222">
        <v>23</v>
      </c>
      <c r="D2486" s="223">
        <f t="shared" si="189"/>
        <v>45253</v>
      </c>
      <c r="E2486" s="240">
        <f t="shared" si="191"/>
        <v>45253</v>
      </c>
      <c r="F2486" s="511" t="s">
        <v>1248</v>
      </c>
      <c r="G2486" s="225" t="s">
        <v>1245</v>
      </c>
      <c r="H2486" s="226"/>
      <c r="I2486" s="226" t="s">
        <v>1253</v>
      </c>
      <c r="J2486" s="222" t="s">
        <v>80</v>
      </c>
      <c r="K2486" s="227">
        <v>2223.4493313826511</v>
      </c>
      <c r="L2486" s="227"/>
    </row>
    <row r="2487" spans="1:14" ht="11.25" customHeight="1" x14ac:dyDescent="0.2">
      <c r="A2487" s="228">
        <v>2023</v>
      </c>
      <c r="B2487" s="228">
        <v>11</v>
      </c>
      <c r="C2487" s="228">
        <v>23</v>
      </c>
      <c r="D2487" s="229">
        <f t="shared" si="189"/>
        <v>45253</v>
      </c>
      <c r="E2487" s="241">
        <f t="shared" si="191"/>
        <v>45253</v>
      </c>
      <c r="F2487" s="512"/>
      <c r="G2487" s="231" t="s">
        <v>1245</v>
      </c>
      <c r="H2487" s="232"/>
      <c r="I2487" s="232" t="s">
        <v>1253</v>
      </c>
      <c r="J2487" s="228" t="s">
        <v>42</v>
      </c>
      <c r="K2487" s="233"/>
      <c r="L2487" s="233">
        <v>2223.4493313826511</v>
      </c>
    </row>
    <row r="2488" spans="1:14" ht="11.25" customHeight="1" x14ac:dyDescent="0.2">
      <c r="A2488" s="197">
        <v>2023</v>
      </c>
      <c r="B2488" s="197">
        <v>11</v>
      </c>
      <c r="C2488" s="197">
        <v>26</v>
      </c>
      <c r="D2488" s="198">
        <f t="shared" si="189"/>
        <v>45256</v>
      </c>
      <c r="E2488" s="209">
        <f t="shared" ref="E2488:E2527" si="192">DATE(A2488,B2488,C2488)</f>
        <v>45256</v>
      </c>
      <c r="F2488" s="513" t="s">
        <v>1210</v>
      </c>
      <c r="G2488" s="200" t="s">
        <v>1209</v>
      </c>
      <c r="H2488" s="201"/>
      <c r="I2488" s="201" t="s">
        <v>366</v>
      </c>
      <c r="J2488" s="197" t="s">
        <v>46</v>
      </c>
      <c r="K2488" s="202">
        <v>60000</v>
      </c>
      <c r="L2488" s="202"/>
    </row>
    <row r="2489" spans="1:14" ht="11.25" customHeight="1" x14ac:dyDescent="0.2">
      <c r="A2489" s="120">
        <v>2023</v>
      </c>
      <c r="B2489" s="120">
        <v>11</v>
      </c>
      <c r="C2489" s="120">
        <v>26</v>
      </c>
      <c r="D2489" s="208">
        <f t="shared" si="189"/>
        <v>45256</v>
      </c>
      <c r="E2489" s="209">
        <f t="shared" si="192"/>
        <v>45256</v>
      </c>
      <c r="F2489" s="515"/>
      <c r="G2489" s="132" t="s">
        <v>1209</v>
      </c>
      <c r="I2489" s="128" t="s">
        <v>366</v>
      </c>
      <c r="J2489" s="120" t="s">
        <v>16</v>
      </c>
      <c r="K2489" s="120"/>
      <c r="L2489" s="207">
        <v>56630</v>
      </c>
    </row>
    <row r="2490" spans="1:14" ht="11.25" customHeight="1" x14ac:dyDescent="0.2">
      <c r="A2490" s="191">
        <v>2023</v>
      </c>
      <c r="B2490" s="191">
        <v>11</v>
      </c>
      <c r="C2490" s="191">
        <v>26</v>
      </c>
      <c r="D2490" s="192">
        <f t="shared" si="189"/>
        <v>45256</v>
      </c>
      <c r="E2490" s="193">
        <f t="shared" si="192"/>
        <v>45256</v>
      </c>
      <c r="F2490" s="514"/>
      <c r="G2490" s="194" t="s">
        <v>1209</v>
      </c>
      <c r="H2490" s="195"/>
      <c r="I2490" s="195" t="s">
        <v>366</v>
      </c>
      <c r="J2490" s="191" t="s">
        <v>47</v>
      </c>
      <c r="K2490" s="196"/>
      <c r="L2490" s="196">
        <v>3370</v>
      </c>
    </row>
    <row r="2491" spans="1:14" ht="11.25" customHeight="1" x14ac:dyDescent="0.2">
      <c r="A2491" s="197">
        <v>2023</v>
      </c>
      <c r="B2491" s="197">
        <v>11</v>
      </c>
      <c r="C2491" s="197">
        <v>26</v>
      </c>
      <c r="D2491" s="198">
        <f t="shared" ref="D2491:D2553" si="193">DATE(A2491,B2491,C2491)</f>
        <v>45256</v>
      </c>
      <c r="E2491" s="199">
        <f t="shared" si="192"/>
        <v>45256</v>
      </c>
      <c r="F2491" s="513" t="s">
        <v>1489</v>
      </c>
      <c r="G2491" s="200" t="s">
        <v>1209</v>
      </c>
      <c r="H2491" s="201"/>
      <c r="I2491" s="201" t="s">
        <v>1253</v>
      </c>
      <c r="J2491" s="197" t="s">
        <v>46</v>
      </c>
      <c r="K2491" s="202">
        <v>40000000</v>
      </c>
      <c r="L2491" s="202"/>
    </row>
    <row r="2492" spans="1:14" ht="11.25" customHeight="1" x14ac:dyDescent="0.2">
      <c r="A2492" s="120">
        <v>2023</v>
      </c>
      <c r="B2492" s="120">
        <v>11</v>
      </c>
      <c r="C2492" s="120">
        <v>26</v>
      </c>
      <c r="D2492" s="208">
        <f t="shared" si="193"/>
        <v>45256</v>
      </c>
      <c r="E2492" s="209">
        <f t="shared" si="192"/>
        <v>45256</v>
      </c>
      <c r="F2492" s="515"/>
      <c r="G2492" s="132" t="s">
        <v>1209</v>
      </c>
      <c r="J2492" s="120" t="s">
        <v>1462</v>
      </c>
      <c r="K2492" s="120"/>
      <c r="L2492" s="207">
        <v>143720</v>
      </c>
    </row>
    <row r="2493" spans="1:14" ht="11.25" customHeight="1" x14ac:dyDescent="0.2">
      <c r="A2493" s="191">
        <v>2023</v>
      </c>
      <c r="B2493" s="191">
        <v>11</v>
      </c>
      <c r="C2493" s="191">
        <v>26</v>
      </c>
      <c r="D2493" s="192">
        <f t="shared" si="193"/>
        <v>45256</v>
      </c>
      <c r="E2493" s="193">
        <f t="shared" si="192"/>
        <v>45256</v>
      </c>
      <c r="F2493" s="514"/>
      <c r="G2493" s="194" t="s">
        <v>1209</v>
      </c>
      <c r="H2493" s="195"/>
      <c r="I2493" s="195" t="s">
        <v>1253</v>
      </c>
      <c r="J2493" s="191" t="s">
        <v>1455</v>
      </c>
      <c r="K2493" s="196"/>
      <c r="L2493" s="196">
        <v>39856280</v>
      </c>
      <c r="N2493" s="130"/>
    </row>
    <row r="2494" spans="1:14" ht="11.25" customHeight="1" x14ac:dyDescent="0.2">
      <c r="A2494" s="197">
        <v>2023</v>
      </c>
      <c r="B2494" s="197">
        <v>11</v>
      </c>
      <c r="C2494" s="197">
        <v>26</v>
      </c>
      <c r="D2494" s="198">
        <f t="shared" si="193"/>
        <v>45256</v>
      </c>
      <c r="E2494" s="199">
        <f t="shared" si="192"/>
        <v>45256</v>
      </c>
      <c r="F2494" s="513" t="s">
        <v>1454</v>
      </c>
      <c r="G2494" s="200" t="s">
        <v>1209</v>
      </c>
      <c r="H2494" s="201"/>
      <c r="I2494" s="201" t="s">
        <v>1253</v>
      </c>
      <c r="J2494" s="197" t="s">
        <v>1455</v>
      </c>
      <c r="K2494" s="202">
        <v>42843222</v>
      </c>
      <c r="L2494" s="202"/>
    </row>
    <row r="2495" spans="1:14" ht="11.25" customHeight="1" x14ac:dyDescent="0.2">
      <c r="A2495" s="191">
        <v>2023</v>
      </c>
      <c r="B2495" s="191">
        <v>11</v>
      </c>
      <c r="C2495" s="191">
        <v>26</v>
      </c>
      <c r="D2495" s="192">
        <f t="shared" si="193"/>
        <v>45256</v>
      </c>
      <c r="E2495" s="193">
        <f t="shared" si="192"/>
        <v>45256</v>
      </c>
      <c r="F2495" s="514"/>
      <c r="G2495" s="194" t="s">
        <v>1209</v>
      </c>
      <c r="H2495" s="195"/>
      <c r="I2495" s="195" t="s">
        <v>1253</v>
      </c>
      <c r="J2495" s="191" t="s">
        <v>46</v>
      </c>
      <c r="K2495" s="196"/>
      <c r="L2495" s="196">
        <v>42843222</v>
      </c>
      <c r="N2495" s="130"/>
    </row>
    <row r="2496" spans="1:14" ht="11.25" customHeight="1" x14ac:dyDescent="0.2">
      <c r="A2496" s="197">
        <v>2023</v>
      </c>
      <c r="B2496" s="197">
        <v>11</v>
      </c>
      <c r="C2496" s="197">
        <v>26</v>
      </c>
      <c r="D2496" s="198">
        <f t="shared" si="193"/>
        <v>45256</v>
      </c>
      <c r="E2496" s="199">
        <f t="shared" si="192"/>
        <v>45256</v>
      </c>
      <c r="F2496" s="513" t="s">
        <v>1490</v>
      </c>
      <c r="G2496" s="200" t="s">
        <v>1209</v>
      </c>
      <c r="H2496" s="201"/>
      <c r="I2496" s="201" t="s">
        <v>1253</v>
      </c>
      <c r="J2496" s="197" t="s">
        <v>46</v>
      </c>
      <c r="K2496" s="202">
        <v>8116663.8399999999</v>
      </c>
      <c r="L2496" s="202"/>
    </row>
    <row r="2497" spans="1:14" ht="11.25" customHeight="1" x14ac:dyDescent="0.2">
      <c r="A2497" s="120">
        <v>2023</v>
      </c>
      <c r="B2497" s="120">
        <v>11</v>
      </c>
      <c r="C2497" s="120">
        <v>26</v>
      </c>
      <c r="D2497" s="208">
        <f t="shared" si="193"/>
        <v>45256</v>
      </c>
      <c r="E2497" s="209">
        <f t="shared" si="192"/>
        <v>45256</v>
      </c>
      <c r="F2497" s="515"/>
      <c r="G2497" s="132" t="s">
        <v>1209</v>
      </c>
      <c r="J2497" s="120" t="s">
        <v>53</v>
      </c>
      <c r="K2497" s="207"/>
      <c r="L2497" s="207">
        <v>3738.8</v>
      </c>
    </row>
    <row r="2498" spans="1:14" ht="11.25" customHeight="1" x14ac:dyDescent="0.2">
      <c r="A2498" s="120">
        <v>2023</v>
      </c>
      <c r="B2498" s="120">
        <v>11</v>
      </c>
      <c r="C2498" s="120">
        <v>26</v>
      </c>
      <c r="D2498" s="208">
        <f t="shared" si="193"/>
        <v>45256</v>
      </c>
      <c r="E2498" s="209">
        <f t="shared" si="192"/>
        <v>45256</v>
      </c>
      <c r="F2498" s="515"/>
      <c r="G2498" s="132" t="s">
        <v>1209</v>
      </c>
      <c r="J2498" s="120" t="s">
        <v>1476</v>
      </c>
      <c r="K2498" s="207"/>
      <c r="L2498" s="207">
        <v>112130</v>
      </c>
    </row>
    <row r="2499" spans="1:14" ht="11.25" customHeight="1" x14ac:dyDescent="0.2">
      <c r="A2499" s="191">
        <v>2023</v>
      </c>
      <c r="B2499" s="191">
        <v>11</v>
      </c>
      <c r="C2499" s="191">
        <v>26</v>
      </c>
      <c r="D2499" s="192">
        <f t="shared" si="193"/>
        <v>45256</v>
      </c>
      <c r="E2499" s="193">
        <f t="shared" si="192"/>
        <v>45256</v>
      </c>
      <c r="F2499" s="514"/>
      <c r="G2499" s="194" t="s">
        <v>1209</v>
      </c>
      <c r="H2499" s="195"/>
      <c r="I2499" s="195" t="s">
        <v>1253</v>
      </c>
      <c r="J2499" s="191" t="s">
        <v>1475</v>
      </c>
      <c r="K2499" s="196"/>
      <c r="L2499" s="196">
        <v>8000795.04</v>
      </c>
      <c r="N2499" s="130"/>
    </row>
    <row r="2500" spans="1:14" ht="11.25" customHeight="1" x14ac:dyDescent="0.2">
      <c r="A2500" s="197">
        <v>2023</v>
      </c>
      <c r="B2500" s="197">
        <v>11</v>
      </c>
      <c r="C2500" s="197">
        <v>26</v>
      </c>
      <c r="D2500" s="198">
        <f t="shared" si="193"/>
        <v>45256</v>
      </c>
      <c r="E2500" s="209">
        <f t="shared" si="192"/>
        <v>45256</v>
      </c>
      <c r="F2500" s="513" t="s">
        <v>1296</v>
      </c>
      <c r="G2500" s="200" t="s">
        <v>1209</v>
      </c>
      <c r="H2500" s="201"/>
      <c r="I2500" s="201"/>
      <c r="J2500" s="197" t="s">
        <v>46</v>
      </c>
      <c r="K2500" s="202">
        <v>200540</v>
      </c>
      <c r="L2500" s="202"/>
    </row>
    <row r="2501" spans="1:14" ht="11.25" customHeight="1" x14ac:dyDescent="0.2">
      <c r="A2501" s="120">
        <v>2023</v>
      </c>
      <c r="B2501" s="120">
        <v>11</v>
      </c>
      <c r="C2501" s="120">
        <v>26</v>
      </c>
      <c r="D2501" s="208">
        <f t="shared" si="193"/>
        <v>45256</v>
      </c>
      <c r="E2501" s="209">
        <f t="shared" si="192"/>
        <v>45256</v>
      </c>
      <c r="F2501" s="515"/>
      <c r="G2501" s="132" t="s">
        <v>1209</v>
      </c>
      <c r="J2501" s="120" t="s">
        <v>16</v>
      </c>
      <c r="K2501" s="207"/>
      <c r="L2501" s="207">
        <v>189300</v>
      </c>
    </row>
    <row r="2502" spans="1:14" ht="11.25" customHeight="1" x14ac:dyDescent="0.2">
      <c r="A2502" s="191">
        <v>2023</v>
      </c>
      <c r="B2502" s="191">
        <v>11</v>
      </c>
      <c r="C2502" s="191">
        <v>26</v>
      </c>
      <c r="D2502" s="192">
        <f t="shared" si="193"/>
        <v>45256</v>
      </c>
      <c r="E2502" s="193">
        <f t="shared" si="192"/>
        <v>45256</v>
      </c>
      <c r="F2502" s="514"/>
      <c r="G2502" s="194" t="s">
        <v>1209</v>
      </c>
      <c r="H2502" s="195"/>
      <c r="I2502" s="195"/>
      <c r="J2502" s="191" t="s">
        <v>47</v>
      </c>
      <c r="K2502" s="196"/>
      <c r="L2502" s="196">
        <v>11240</v>
      </c>
    </row>
    <row r="2503" spans="1:14" ht="11.25" customHeight="1" x14ac:dyDescent="0.2">
      <c r="A2503" s="197">
        <v>2023</v>
      </c>
      <c r="B2503" s="197">
        <v>11</v>
      </c>
      <c r="C2503" s="197">
        <v>27</v>
      </c>
      <c r="D2503" s="198">
        <f t="shared" si="193"/>
        <v>45257</v>
      </c>
      <c r="E2503" s="199">
        <f t="shared" si="192"/>
        <v>45257</v>
      </c>
      <c r="F2503" s="513" t="s">
        <v>1454</v>
      </c>
      <c r="G2503" s="200" t="s">
        <v>1209</v>
      </c>
      <c r="H2503" s="201"/>
      <c r="I2503" s="201" t="s">
        <v>1253</v>
      </c>
      <c r="J2503" s="197" t="s">
        <v>1455</v>
      </c>
      <c r="K2503" s="202">
        <v>4875490</v>
      </c>
      <c r="L2503" s="202"/>
    </row>
    <row r="2504" spans="1:14" ht="11.25" customHeight="1" x14ac:dyDescent="0.2">
      <c r="A2504" s="191">
        <v>2023</v>
      </c>
      <c r="B2504" s="191">
        <v>11</v>
      </c>
      <c r="C2504" s="191">
        <v>27</v>
      </c>
      <c r="D2504" s="192">
        <f t="shared" si="193"/>
        <v>45257</v>
      </c>
      <c r="E2504" s="193">
        <f t="shared" si="192"/>
        <v>45257</v>
      </c>
      <c r="F2504" s="514"/>
      <c r="G2504" s="194" t="s">
        <v>1209</v>
      </c>
      <c r="H2504" s="195"/>
      <c r="I2504" s="195" t="s">
        <v>1253</v>
      </c>
      <c r="J2504" s="191" t="s">
        <v>46</v>
      </c>
      <c r="K2504" s="196"/>
      <c r="L2504" s="196">
        <v>4875490</v>
      </c>
      <c r="N2504" s="130"/>
    </row>
    <row r="2505" spans="1:14" ht="11.25" customHeight="1" x14ac:dyDescent="0.2">
      <c r="A2505" s="197">
        <v>2023</v>
      </c>
      <c r="B2505" s="197">
        <v>11</v>
      </c>
      <c r="C2505" s="197">
        <v>27</v>
      </c>
      <c r="D2505" s="198">
        <f t="shared" si="193"/>
        <v>45257</v>
      </c>
      <c r="E2505" s="209">
        <f t="shared" si="192"/>
        <v>45257</v>
      </c>
      <c r="F2505" s="513" t="s">
        <v>1210</v>
      </c>
      <c r="G2505" s="200" t="s">
        <v>1209</v>
      </c>
      <c r="H2505" s="201"/>
      <c r="I2505" s="201" t="s">
        <v>389</v>
      </c>
      <c r="J2505" s="197" t="s">
        <v>46</v>
      </c>
      <c r="K2505" s="202">
        <v>2000000</v>
      </c>
      <c r="L2505" s="202"/>
    </row>
    <row r="2506" spans="1:14" ht="11.25" customHeight="1" x14ac:dyDescent="0.2">
      <c r="A2506" s="120">
        <v>2023</v>
      </c>
      <c r="B2506" s="120">
        <v>11</v>
      </c>
      <c r="C2506" s="120">
        <v>27</v>
      </c>
      <c r="D2506" s="208">
        <f t="shared" si="193"/>
        <v>45257</v>
      </c>
      <c r="E2506" s="209">
        <f t="shared" si="192"/>
        <v>45257</v>
      </c>
      <c r="F2506" s="515"/>
      <c r="G2506" s="132" t="s">
        <v>1209</v>
      </c>
      <c r="I2506" s="128" t="s">
        <v>389</v>
      </c>
      <c r="J2506" s="120" t="s">
        <v>16</v>
      </c>
      <c r="K2506" s="120"/>
      <c r="L2506" s="207">
        <v>1887680</v>
      </c>
    </row>
    <row r="2507" spans="1:14" ht="11.25" customHeight="1" x14ac:dyDescent="0.2">
      <c r="A2507" s="191">
        <v>2023</v>
      </c>
      <c r="B2507" s="191">
        <v>11</v>
      </c>
      <c r="C2507" s="191">
        <v>27</v>
      </c>
      <c r="D2507" s="192">
        <f t="shared" si="193"/>
        <v>45257</v>
      </c>
      <c r="E2507" s="193">
        <f t="shared" si="192"/>
        <v>45257</v>
      </c>
      <c r="F2507" s="514"/>
      <c r="G2507" s="194" t="s">
        <v>1209</v>
      </c>
      <c r="H2507" s="195"/>
      <c r="I2507" s="195" t="s">
        <v>389</v>
      </c>
      <c r="J2507" s="191" t="s">
        <v>47</v>
      </c>
      <c r="K2507" s="196"/>
      <c r="L2507" s="196">
        <v>112320</v>
      </c>
    </row>
    <row r="2508" spans="1:14" ht="11.25" customHeight="1" x14ac:dyDescent="0.2">
      <c r="A2508" s="197">
        <v>2023</v>
      </c>
      <c r="B2508" s="197">
        <v>11</v>
      </c>
      <c r="C2508" s="197">
        <v>27</v>
      </c>
      <c r="D2508" s="198">
        <f t="shared" si="193"/>
        <v>45257</v>
      </c>
      <c r="E2508" s="199">
        <f t="shared" si="192"/>
        <v>45257</v>
      </c>
      <c r="F2508" s="513" t="s">
        <v>1323</v>
      </c>
      <c r="G2508" s="200" t="s">
        <v>1209</v>
      </c>
      <c r="H2508" s="201"/>
      <c r="I2508" s="201"/>
      <c r="J2508" s="197" t="s">
        <v>54</v>
      </c>
      <c r="K2508" s="202">
        <v>60</v>
      </c>
      <c r="L2508" s="202"/>
    </row>
    <row r="2509" spans="1:14" ht="11.25" customHeight="1" x14ac:dyDescent="0.2">
      <c r="A2509" s="191">
        <v>2023</v>
      </c>
      <c r="B2509" s="191">
        <v>11</v>
      </c>
      <c r="C2509" s="191">
        <v>27</v>
      </c>
      <c r="D2509" s="192">
        <f t="shared" si="193"/>
        <v>45257</v>
      </c>
      <c r="E2509" s="193">
        <f t="shared" si="192"/>
        <v>45257</v>
      </c>
      <c r="F2509" s="514"/>
      <c r="G2509" s="194" t="s">
        <v>1209</v>
      </c>
      <c r="H2509" s="195"/>
      <c r="I2509" s="195"/>
      <c r="J2509" s="191" t="s">
        <v>46</v>
      </c>
      <c r="K2509" s="196"/>
      <c r="L2509" s="196">
        <v>60</v>
      </c>
    </row>
    <row r="2510" spans="1:14" ht="11.25" customHeight="1" x14ac:dyDescent="0.2">
      <c r="A2510" s="197">
        <v>2023</v>
      </c>
      <c r="B2510" s="197">
        <v>11</v>
      </c>
      <c r="C2510" s="197">
        <v>28</v>
      </c>
      <c r="D2510" s="198">
        <f t="shared" si="193"/>
        <v>45258</v>
      </c>
      <c r="E2510" s="209">
        <f t="shared" si="192"/>
        <v>45258</v>
      </c>
      <c r="F2510" s="513" t="s">
        <v>1296</v>
      </c>
      <c r="G2510" s="200" t="s">
        <v>1209</v>
      </c>
      <c r="H2510" s="201"/>
      <c r="I2510" s="201"/>
      <c r="J2510" s="197" t="s">
        <v>46</v>
      </c>
      <c r="K2510" s="202">
        <v>10000</v>
      </c>
      <c r="L2510" s="202"/>
    </row>
    <row r="2511" spans="1:14" ht="11.25" customHeight="1" x14ac:dyDescent="0.2">
      <c r="A2511" s="120">
        <v>2023</v>
      </c>
      <c r="B2511" s="120">
        <v>11</v>
      </c>
      <c r="C2511" s="120">
        <v>28</v>
      </c>
      <c r="D2511" s="208">
        <f t="shared" si="193"/>
        <v>45258</v>
      </c>
      <c r="E2511" s="209">
        <f t="shared" si="192"/>
        <v>45258</v>
      </c>
      <c r="F2511" s="515"/>
      <c r="G2511" s="132" t="s">
        <v>1209</v>
      </c>
      <c r="J2511" s="120" t="s">
        <v>16</v>
      </c>
      <c r="K2511" s="207"/>
      <c r="L2511" s="207">
        <v>9440</v>
      </c>
    </row>
    <row r="2512" spans="1:14" ht="11.25" customHeight="1" x14ac:dyDescent="0.2">
      <c r="A2512" s="191">
        <v>2023</v>
      </c>
      <c r="B2512" s="191">
        <v>11</v>
      </c>
      <c r="C2512" s="191">
        <v>28</v>
      </c>
      <c r="D2512" s="192">
        <f t="shared" si="193"/>
        <v>45258</v>
      </c>
      <c r="E2512" s="193">
        <f t="shared" si="192"/>
        <v>45258</v>
      </c>
      <c r="F2512" s="514"/>
      <c r="G2512" s="194" t="s">
        <v>1209</v>
      </c>
      <c r="H2512" s="195"/>
      <c r="I2512" s="195"/>
      <c r="J2512" s="191" t="s">
        <v>47</v>
      </c>
      <c r="K2512" s="196"/>
      <c r="L2512" s="196">
        <v>560</v>
      </c>
    </row>
    <row r="2513" spans="1:13" ht="11.25" customHeight="1" x14ac:dyDescent="0.2">
      <c r="A2513" s="197">
        <v>2023</v>
      </c>
      <c r="B2513" s="197">
        <v>11</v>
      </c>
      <c r="C2513" s="197">
        <v>28</v>
      </c>
      <c r="D2513" s="198">
        <f t="shared" si="193"/>
        <v>45258</v>
      </c>
      <c r="E2513" s="209">
        <f t="shared" si="192"/>
        <v>45258</v>
      </c>
      <c r="F2513" s="513" t="s">
        <v>1280</v>
      </c>
      <c r="G2513" s="200" t="s">
        <v>1209</v>
      </c>
      <c r="H2513" s="201"/>
      <c r="I2513" s="201" t="s">
        <v>301</v>
      </c>
      <c r="J2513" s="197" t="s">
        <v>16</v>
      </c>
      <c r="K2513" s="202">
        <v>471930</v>
      </c>
      <c r="L2513" s="202"/>
    </row>
    <row r="2514" spans="1:13" ht="11.25" customHeight="1" x14ac:dyDescent="0.2">
      <c r="A2514" s="120">
        <v>2023</v>
      </c>
      <c r="B2514" s="120">
        <v>11</v>
      </c>
      <c r="C2514" s="120">
        <v>28</v>
      </c>
      <c r="D2514" s="208">
        <f t="shared" si="193"/>
        <v>45258</v>
      </c>
      <c r="E2514" s="209">
        <f t="shared" si="192"/>
        <v>45258</v>
      </c>
      <c r="F2514" s="515"/>
      <c r="G2514" s="132" t="s">
        <v>1209</v>
      </c>
      <c r="I2514" s="128" t="s">
        <v>301</v>
      </c>
      <c r="J2514" s="120" t="s">
        <v>47</v>
      </c>
      <c r="K2514" s="207">
        <v>28080</v>
      </c>
      <c r="L2514" s="207"/>
    </row>
    <row r="2515" spans="1:13" ht="22.5" x14ac:dyDescent="0.2">
      <c r="A2515" s="191">
        <v>2023</v>
      </c>
      <c r="B2515" s="191">
        <v>11</v>
      </c>
      <c r="C2515" s="191">
        <v>28</v>
      </c>
      <c r="D2515" s="192">
        <f t="shared" si="193"/>
        <v>45258</v>
      </c>
      <c r="E2515" s="193">
        <f t="shared" si="192"/>
        <v>45258</v>
      </c>
      <c r="F2515" s="514"/>
      <c r="G2515" s="194" t="s">
        <v>1209</v>
      </c>
      <c r="H2515" s="195"/>
      <c r="I2515" s="195" t="s">
        <v>301</v>
      </c>
      <c r="J2515" s="191" t="s">
        <v>46</v>
      </c>
      <c r="K2515" s="196"/>
      <c r="L2515" s="196">
        <v>500010</v>
      </c>
    </row>
    <row r="2516" spans="1:13" ht="11.25" customHeight="1" x14ac:dyDescent="0.2">
      <c r="A2516" s="197">
        <v>2023</v>
      </c>
      <c r="B2516" s="197">
        <v>11</v>
      </c>
      <c r="C2516" s="197">
        <v>28</v>
      </c>
      <c r="D2516" s="198">
        <f t="shared" si="193"/>
        <v>45258</v>
      </c>
      <c r="E2516" s="209">
        <f t="shared" si="192"/>
        <v>45258</v>
      </c>
      <c r="F2516" s="513" t="s">
        <v>1210</v>
      </c>
      <c r="G2516" s="200" t="s">
        <v>1209</v>
      </c>
      <c r="H2516" s="201"/>
      <c r="I2516" s="201" t="s">
        <v>1491</v>
      </c>
      <c r="J2516" s="197" t="s">
        <v>46</v>
      </c>
      <c r="K2516" s="202">
        <v>2000</v>
      </c>
      <c r="L2516" s="202"/>
    </row>
    <row r="2517" spans="1:13" ht="11.25" customHeight="1" x14ac:dyDescent="0.2">
      <c r="A2517" s="120">
        <v>2023</v>
      </c>
      <c r="B2517" s="120">
        <v>11</v>
      </c>
      <c r="C2517" s="120">
        <v>28</v>
      </c>
      <c r="D2517" s="208">
        <f t="shared" si="193"/>
        <v>45258</v>
      </c>
      <c r="E2517" s="209">
        <f t="shared" si="192"/>
        <v>45258</v>
      </c>
      <c r="F2517" s="515"/>
      <c r="G2517" s="132" t="s">
        <v>1209</v>
      </c>
      <c r="I2517" s="128" t="s">
        <v>1491</v>
      </c>
      <c r="J2517" s="120" t="s">
        <v>16</v>
      </c>
      <c r="K2517" s="120"/>
      <c r="L2517" s="207">
        <v>1890</v>
      </c>
    </row>
    <row r="2518" spans="1:13" ht="11.25" customHeight="1" x14ac:dyDescent="0.2">
      <c r="A2518" s="191">
        <v>2023</v>
      </c>
      <c r="B2518" s="191">
        <v>11</v>
      </c>
      <c r="C2518" s="191">
        <v>28</v>
      </c>
      <c r="D2518" s="192">
        <f t="shared" si="193"/>
        <v>45258</v>
      </c>
      <c r="E2518" s="193">
        <f t="shared" si="192"/>
        <v>45258</v>
      </c>
      <c r="F2518" s="514"/>
      <c r="G2518" s="194" t="s">
        <v>1209</v>
      </c>
      <c r="H2518" s="195"/>
      <c r="I2518" s="195" t="s">
        <v>1491</v>
      </c>
      <c r="J2518" s="191" t="s">
        <v>47</v>
      </c>
      <c r="K2518" s="196"/>
      <c r="L2518" s="196">
        <v>110</v>
      </c>
    </row>
    <row r="2519" spans="1:13" ht="11.25" customHeight="1" x14ac:dyDescent="0.2">
      <c r="A2519" s="197">
        <v>2023</v>
      </c>
      <c r="B2519" s="197">
        <v>11</v>
      </c>
      <c r="C2519" s="197">
        <v>28</v>
      </c>
      <c r="D2519" s="198">
        <f t="shared" si="193"/>
        <v>45258</v>
      </c>
      <c r="E2519" s="209">
        <f t="shared" si="192"/>
        <v>45258</v>
      </c>
      <c r="F2519" s="513" t="s">
        <v>1280</v>
      </c>
      <c r="G2519" s="200" t="s">
        <v>1209</v>
      </c>
      <c r="H2519" s="201"/>
      <c r="I2519" s="201" t="s">
        <v>1293</v>
      </c>
      <c r="J2519" s="197" t="s">
        <v>16</v>
      </c>
      <c r="K2519" s="202">
        <v>717140</v>
      </c>
      <c r="L2519" s="202"/>
    </row>
    <row r="2520" spans="1:13" ht="11.25" customHeight="1" x14ac:dyDescent="0.2">
      <c r="A2520" s="120">
        <v>2023</v>
      </c>
      <c r="B2520" s="120">
        <v>11</v>
      </c>
      <c r="C2520" s="120">
        <v>28</v>
      </c>
      <c r="D2520" s="208">
        <f t="shared" si="193"/>
        <v>45258</v>
      </c>
      <c r="E2520" s="209">
        <f t="shared" si="192"/>
        <v>45258</v>
      </c>
      <c r="F2520" s="515"/>
      <c r="G2520" s="132" t="s">
        <v>1209</v>
      </c>
      <c r="I2520" s="128" t="s">
        <v>1293</v>
      </c>
      <c r="J2520" s="120" t="s">
        <v>47</v>
      </c>
      <c r="K2520" s="207">
        <v>42669.829999999958</v>
      </c>
      <c r="L2520" s="207"/>
    </row>
    <row r="2521" spans="1:13" ht="22.5" x14ac:dyDescent="0.2">
      <c r="A2521" s="191">
        <v>2023</v>
      </c>
      <c r="B2521" s="191">
        <v>11</v>
      </c>
      <c r="C2521" s="191">
        <v>28</v>
      </c>
      <c r="D2521" s="192">
        <f t="shared" si="193"/>
        <v>45258</v>
      </c>
      <c r="E2521" s="193">
        <f t="shared" si="192"/>
        <v>45258</v>
      </c>
      <c r="F2521" s="514"/>
      <c r="G2521" s="194" t="s">
        <v>1209</v>
      </c>
      <c r="H2521" s="195"/>
      <c r="I2521" s="195" t="s">
        <v>1293</v>
      </c>
      <c r="J2521" s="191" t="s">
        <v>46</v>
      </c>
      <c r="K2521" s="196"/>
      <c r="L2521" s="196">
        <v>759809.83</v>
      </c>
    </row>
    <row r="2522" spans="1:13" ht="11.25" customHeight="1" x14ac:dyDescent="0.2">
      <c r="A2522" s="197">
        <v>2023</v>
      </c>
      <c r="B2522" s="197">
        <v>11</v>
      </c>
      <c r="C2522" s="197">
        <v>28</v>
      </c>
      <c r="D2522" s="198">
        <f t="shared" si="193"/>
        <v>45258</v>
      </c>
      <c r="E2522" s="209">
        <f t="shared" si="192"/>
        <v>45258</v>
      </c>
      <c r="F2522" s="513" t="s">
        <v>1280</v>
      </c>
      <c r="G2522" s="200" t="s">
        <v>1209</v>
      </c>
      <c r="H2522" s="201"/>
      <c r="I2522" s="201" t="s">
        <v>299</v>
      </c>
      <c r="J2522" s="197" t="s">
        <v>16</v>
      </c>
      <c r="K2522" s="202">
        <v>759790</v>
      </c>
      <c r="L2522" s="202"/>
    </row>
    <row r="2523" spans="1:13" ht="11.25" customHeight="1" x14ac:dyDescent="0.2">
      <c r="A2523" s="120">
        <v>2023</v>
      </c>
      <c r="B2523" s="120">
        <v>11</v>
      </c>
      <c r="C2523" s="120">
        <v>28</v>
      </c>
      <c r="D2523" s="208">
        <f t="shared" si="193"/>
        <v>45258</v>
      </c>
      <c r="E2523" s="209">
        <f t="shared" si="192"/>
        <v>45258</v>
      </c>
      <c r="F2523" s="515"/>
      <c r="G2523" s="132" t="s">
        <v>1209</v>
      </c>
      <c r="I2523" s="128" t="s">
        <v>299</v>
      </c>
      <c r="J2523" s="120" t="s">
        <v>47</v>
      </c>
      <c r="K2523" s="207">
        <v>45210</v>
      </c>
      <c r="L2523" s="207"/>
    </row>
    <row r="2524" spans="1:13" ht="11.25" customHeight="1" x14ac:dyDescent="0.2">
      <c r="A2524" s="191">
        <v>2023</v>
      </c>
      <c r="B2524" s="191">
        <v>11</v>
      </c>
      <c r="C2524" s="191">
        <v>28</v>
      </c>
      <c r="D2524" s="192">
        <f t="shared" si="193"/>
        <v>45258</v>
      </c>
      <c r="E2524" s="193">
        <f t="shared" si="192"/>
        <v>45258</v>
      </c>
      <c r="F2524" s="514"/>
      <c r="G2524" s="194" t="s">
        <v>1209</v>
      </c>
      <c r="H2524" s="195"/>
      <c r="I2524" s="195" t="s">
        <v>299</v>
      </c>
      <c r="J2524" s="191" t="s">
        <v>46</v>
      </c>
      <c r="K2524" s="196"/>
      <c r="L2524" s="196">
        <v>805000</v>
      </c>
    </row>
    <row r="2525" spans="1:13" ht="11.25" customHeight="1" x14ac:dyDescent="0.2">
      <c r="A2525" s="197">
        <v>2023</v>
      </c>
      <c r="B2525" s="120">
        <v>11</v>
      </c>
      <c r="C2525" s="120">
        <v>29</v>
      </c>
      <c r="D2525" s="198">
        <f t="shared" si="193"/>
        <v>45259</v>
      </c>
      <c r="E2525" s="199">
        <f t="shared" si="192"/>
        <v>45259</v>
      </c>
      <c r="F2525" s="513" t="s">
        <v>1492</v>
      </c>
      <c r="G2525" s="200" t="s">
        <v>1209</v>
      </c>
      <c r="H2525" s="200"/>
      <c r="I2525" s="201" t="s">
        <v>1253</v>
      </c>
      <c r="J2525" s="248" t="s">
        <v>175</v>
      </c>
      <c r="K2525" s="202">
        <v>2400000</v>
      </c>
      <c r="L2525" s="202"/>
    </row>
    <row r="2526" spans="1:13" ht="11.25" customHeight="1" x14ac:dyDescent="0.2">
      <c r="A2526" s="120">
        <v>2023</v>
      </c>
      <c r="B2526" s="120">
        <v>11</v>
      </c>
      <c r="C2526" s="120">
        <v>29</v>
      </c>
      <c r="D2526" s="208">
        <f t="shared" si="193"/>
        <v>45259</v>
      </c>
      <c r="E2526" s="209">
        <f t="shared" si="192"/>
        <v>45259</v>
      </c>
      <c r="F2526" s="515"/>
      <c r="G2526" s="132" t="s">
        <v>1209</v>
      </c>
      <c r="H2526" s="132"/>
      <c r="J2526" s="129" t="s">
        <v>54</v>
      </c>
      <c r="K2526" s="207">
        <v>115</v>
      </c>
      <c r="L2526" s="207"/>
    </row>
    <row r="2527" spans="1:13" ht="11.25" customHeight="1" x14ac:dyDescent="0.2">
      <c r="A2527" s="191">
        <v>2023</v>
      </c>
      <c r="B2527" s="191">
        <v>11</v>
      </c>
      <c r="C2527" s="191">
        <v>29</v>
      </c>
      <c r="D2527" s="192">
        <f t="shared" si="193"/>
        <v>45259</v>
      </c>
      <c r="E2527" s="193">
        <f t="shared" si="192"/>
        <v>45259</v>
      </c>
      <c r="F2527" s="514"/>
      <c r="G2527" s="194" t="s">
        <v>1209</v>
      </c>
      <c r="H2527" s="194"/>
      <c r="I2527" s="195" t="s">
        <v>1253</v>
      </c>
      <c r="J2527" s="250" t="s">
        <v>46</v>
      </c>
      <c r="K2527" s="196"/>
      <c r="L2527" s="196">
        <v>2400115</v>
      </c>
      <c r="M2527" s="251"/>
    </row>
    <row r="2528" spans="1:13" ht="11.25" customHeight="1" x14ac:dyDescent="0.2">
      <c r="A2528" s="197">
        <v>2023</v>
      </c>
      <c r="B2528" s="197">
        <v>11</v>
      </c>
      <c r="C2528" s="197">
        <v>29</v>
      </c>
      <c r="D2528" s="198">
        <f t="shared" si="193"/>
        <v>45259</v>
      </c>
      <c r="E2528" s="209">
        <f t="shared" ref="E2528:E2543" si="194">DATE(A2528,B2528,C2528)</f>
        <v>45259</v>
      </c>
      <c r="F2528" s="513" t="s">
        <v>1210</v>
      </c>
      <c r="G2528" s="200" t="s">
        <v>1209</v>
      </c>
      <c r="H2528" s="201"/>
      <c r="I2528" s="201" t="s">
        <v>1223</v>
      </c>
      <c r="J2528" s="197" t="s">
        <v>46</v>
      </c>
      <c r="K2528" s="202">
        <v>3500000</v>
      </c>
      <c r="L2528" s="202"/>
    </row>
    <row r="2529" spans="1:12" ht="11.25" customHeight="1" x14ac:dyDescent="0.2">
      <c r="A2529" s="120">
        <v>2023</v>
      </c>
      <c r="B2529" s="120">
        <v>11</v>
      </c>
      <c r="C2529" s="120">
        <v>29</v>
      </c>
      <c r="D2529" s="208">
        <f t="shared" si="193"/>
        <v>45259</v>
      </c>
      <c r="E2529" s="209">
        <f t="shared" si="194"/>
        <v>45259</v>
      </c>
      <c r="F2529" s="515"/>
      <c r="G2529" s="132" t="s">
        <v>1209</v>
      </c>
      <c r="I2529" s="128" t="s">
        <v>1223</v>
      </c>
      <c r="J2529" s="120" t="s">
        <v>16</v>
      </c>
      <c r="K2529" s="207"/>
      <c r="L2529" s="207">
        <v>3303450</v>
      </c>
    </row>
    <row r="2530" spans="1:12" ht="11.25" customHeight="1" x14ac:dyDescent="0.2">
      <c r="A2530" s="191">
        <v>2023</v>
      </c>
      <c r="B2530" s="191">
        <v>11</v>
      </c>
      <c r="C2530" s="191">
        <v>29</v>
      </c>
      <c r="D2530" s="192">
        <f t="shared" si="193"/>
        <v>45259</v>
      </c>
      <c r="E2530" s="193">
        <f t="shared" si="194"/>
        <v>45259</v>
      </c>
      <c r="F2530" s="514"/>
      <c r="G2530" s="194" t="s">
        <v>1209</v>
      </c>
      <c r="H2530" s="195"/>
      <c r="I2530" s="195" t="s">
        <v>1223</v>
      </c>
      <c r="J2530" s="191" t="s">
        <v>47</v>
      </c>
      <c r="K2530" s="196"/>
      <c r="L2530" s="196">
        <v>196550</v>
      </c>
    </row>
    <row r="2531" spans="1:12" ht="11.25" customHeight="1" x14ac:dyDescent="0.2">
      <c r="A2531" s="197">
        <v>2023</v>
      </c>
      <c r="B2531" s="197">
        <v>11</v>
      </c>
      <c r="C2531" s="197">
        <v>29</v>
      </c>
      <c r="D2531" s="198">
        <f t="shared" si="193"/>
        <v>45259</v>
      </c>
      <c r="E2531" s="199">
        <f t="shared" si="194"/>
        <v>45259</v>
      </c>
      <c r="F2531" s="513" t="s">
        <v>1323</v>
      </c>
      <c r="G2531" s="200" t="s">
        <v>1209</v>
      </c>
      <c r="H2531" s="201"/>
      <c r="I2531" s="201"/>
      <c r="J2531" s="197" t="s">
        <v>54</v>
      </c>
      <c r="K2531" s="202">
        <v>60</v>
      </c>
      <c r="L2531" s="202"/>
    </row>
    <row r="2532" spans="1:12" ht="11.25" customHeight="1" x14ac:dyDescent="0.2">
      <c r="A2532" s="191">
        <v>2023</v>
      </c>
      <c r="B2532" s="191">
        <v>11</v>
      </c>
      <c r="C2532" s="191">
        <v>29</v>
      </c>
      <c r="D2532" s="192">
        <f t="shared" si="193"/>
        <v>45259</v>
      </c>
      <c r="E2532" s="193">
        <f t="shared" si="194"/>
        <v>45259</v>
      </c>
      <c r="F2532" s="514"/>
      <c r="G2532" s="194" t="s">
        <v>1209</v>
      </c>
      <c r="H2532" s="195"/>
      <c r="I2532" s="195"/>
      <c r="J2532" s="191" t="s">
        <v>46</v>
      </c>
      <c r="K2532" s="196"/>
      <c r="L2532" s="196">
        <v>60</v>
      </c>
    </row>
    <row r="2533" spans="1:12" ht="11.25" customHeight="1" x14ac:dyDescent="0.2">
      <c r="A2533" s="197">
        <v>2023</v>
      </c>
      <c r="B2533" s="197">
        <v>11</v>
      </c>
      <c r="C2533" s="197">
        <v>30</v>
      </c>
      <c r="D2533" s="198">
        <f t="shared" si="193"/>
        <v>45260</v>
      </c>
      <c r="E2533" s="209">
        <f t="shared" si="194"/>
        <v>45260</v>
      </c>
      <c r="F2533" s="513" t="s">
        <v>1280</v>
      </c>
      <c r="G2533" s="200" t="s">
        <v>1209</v>
      </c>
      <c r="H2533" s="201"/>
      <c r="I2533" s="201" t="s">
        <v>299</v>
      </c>
      <c r="J2533" s="197" t="s">
        <v>16</v>
      </c>
      <c r="K2533" s="202">
        <v>471920</v>
      </c>
      <c r="L2533" s="202"/>
    </row>
    <row r="2534" spans="1:12" ht="11.25" customHeight="1" x14ac:dyDescent="0.2">
      <c r="A2534" s="120">
        <v>2023</v>
      </c>
      <c r="B2534" s="120">
        <v>11</v>
      </c>
      <c r="C2534" s="120">
        <v>30</v>
      </c>
      <c r="D2534" s="208">
        <f t="shared" si="193"/>
        <v>45260</v>
      </c>
      <c r="E2534" s="209">
        <f t="shared" si="194"/>
        <v>45260</v>
      </c>
      <c r="F2534" s="515"/>
      <c r="G2534" s="132" t="s">
        <v>1209</v>
      </c>
      <c r="I2534" s="128" t="s">
        <v>299</v>
      </c>
      <c r="J2534" s="120" t="s">
        <v>47</v>
      </c>
      <c r="K2534" s="207">
        <v>28080</v>
      </c>
      <c r="L2534" s="207"/>
    </row>
    <row r="2535" spans="1:12" ht="11.25" customHeight="1" x14ac:dyDescent="0.2">
      <c r="A2535" s="191">
        <v>2023</v>
      </c>
      <c r="B2535" s="191">
        <v>11</v>
      </c>
      <c r="C2535" s="191">
        <v>30</v>
      </c>
      <c r="D2535" s="192">
        <f t="shared" si="193"/>
        <v>45260</v>
      </c>
      <c r="E2535" s="193">
        <f t="shared" si="194"/>
        <v>45260</v>
      </c>
      <c r="F2535" s="514"/>
      <c r="G2535" s="194" t="s">
        <v>1209</v>
      </c>
      <c r="H2535" s="195"/>
      <c r="I2535" s="195" t="s">
        <v>299</v>
      </c>
      <c r="J2535" s="191" t="s">
        <v>46</v>
      </c>
      <c r="K2535" s="196"/>
      <c r="L2535" s="196">
        <v>500000</v>
      </c>
    </row>
    <row r="2536" spans="1:12" ht="11.25" customHeight="1" x14ac:dyDescent="0.2">
      <c r="A2536" s="197">
        <v>2023</v>
      </c>
      <c r="B2536" s="197">
        <v>11</v>
      </c>
      <c r="C2536" s="197">
        <v>30</v>
      </c>
      <c r="D2536" s="198">
        <f t="shared" si="193"/>
        <v>45260</v>
      </c>
      <c r="E2536" s="209">
        <f t="shared" si="194"/>
        <v>45260</v>
      </c>
      <c r="F2536" s="513" t="s">
        <v>1280</v>
      </c>
      <c r="G2536" s="200" t="s">
        <v>1209</v>
      </c>
      <c r="H2536" s="201"/>
      <c r="I2536" s="201" t="s">
        <v>428</v>
      </c>
      <c r="J2536" s="197" t="s">
        <v>16</v>
      </c>
      <c r="K2536" s="202">
        <v>800000</v>
      </c>
      <c r="L2536" s="202"/>
    </row>
    <row r="2537" spans="1:12" ht="11.25" customHeight="1" x14ac:dyDescent="0.2">
      <c r="A2537" s="120">
        <v>2023</v>
      </c>
      <c r="B2537" s="120">
        <v>11</v>
      </c>
      <c r="C2537" s="120">
        <v>30</v>
      </c>
      <c r="D2537" s="208">
        <f t="shared" si="193"/>
        <v>45260</v>
      </c>
      <c r="E2537" s="209">
        <f t="shared" si="194"/>
        <v>45260</v>
      </c>
      <c r="F2537" s="515"/>
      <c r="G2537" s="132" t="s">
        <v>1209</v>
      </c>
      <c r="I2537" s="128" t="s">
        <v>428</v>
      </c>
      <c r="J2537" s="120" t="s">
        <v>47</v>
      </c>
      <c r="K2537" s="207">
        <v>47600</v>
      </c>
      <c r="L2537" s="207"/>
    </row>
    <row r="2538" spans="1:12" ht="11.25" customHeight="1" x14ac:dyDescent="0.2">
      <c r="A2538" s="191">
        <v>2023</v>
      </c>
      <c r="B2538" s="191">
        <v>11</v>
      </c>
      <c r="C2538" s="191">
        <v>30</v>
      </c>
      <c r="D2538" s="192">
        <f t="shared" si="193"/>
        <v>45260</v>
      </c>
      <c r="E2538" s="193">
        <f t="shared" si="194"/>
        <v>45260</v>
      </c>
      <c r="F2538" s="514"/>
      <c r="G2538" s="194" t="s">
        <v>1209</v>
      </c>
      <c r="H2538" s="195"/>
      <c r="I2538" s="195" t="s">
        <v>428</v>
      </c>
      <c r="J2538" s="191" t="s">
        <v>46</v>
      </c>
      <c r="K2538" s="196"/>
      <c r="L2538" s="196">
        <v>847600</v>
      </c>
    </row>
    <row r="2539" spans="1:12" ht="11.25" customHeight="1" x14ac:dyDescent="0.2">
      <c r="A2539" s="197">
        <v>2023</v>
      </c>
      <c r="B2539" s="197">
        <v>11</v>
      </c>
      <c r="C2539" s="197">
        <v>30</v>
      </c>
      <c r="D2539" s="198">
        <f t="shared" si="193"/>
        <v>45260</v>
      </c>
      <c r="E2539" s="209">
        <f t="shared" si="194"/>
        <v>45260</v>
      </c>
      <c r="F2539" s="513" t="s">
        <v>1280</v>
      </c>
      <c r="G2539" s="200" t="s">
        <v>1209</v>
      </c>
      <c r="H2539" s="201"/>
      <c r="I2539" s="201" t="s">
        <v>523</v>
      </c>
      <c r="J2539" s="197" t="s">
        <v>16</v>
      </c>
      <c r="K2539" s="202">
        <v>300000</v>
      </c>
      <c r="L2539" s="202"/>
    </row>
    <row r="2540" spans="1:12" ht="11.25" customHeight="1" x14ac:dyDescent="0.2">
      <c r="A2540" s="120">
        <v>2023</v>
      </c>
      <c r="B2540" s="120">
        <v>11</v>
      </c>
      <c r="C2540" s="120">
        <v>30</v>
      </c>
      <c r="D2540" s="208">
        <f t="shared" si="193"/>
        <v>45260</v>
      </c>
      <c r="E2540" s="209">
        <f t="shared" si="194"/>
        <v>45260</v>
      </c>
      <c r="F2540" s="515"/>
      <c r="G2540" s="132" t="s">
        <v>1209</v>
      </c>
      <c r="I2540" s="128" t="s">
        <v>523</v>
      </c>
      <c r="J2540" s="120" t="s">
        <v>47</v>
      </c>
      <c r="K2540" s="207">
        <v>17850</v>
      </c>
      <c r="L2540" s="207"/>
    </row>
    <row r="2541" spans="1:12" ht="11.25" customHeight="1" x14ac:dyDescent="0.2">
      <c r="A2541" s="191">
        <v>2023</v>
      </c>
      <c r="B2541" s="191">
        <v>11</v>
      </c>
      <c r="C2541" s="191">
        <v>30</v>
      </c>
      <c r="D2541" s="192">
        <f t="shared" si="193"/>
        <v>45260</v>
      </c>
      <c r="E2541" s="193">
        <f t="shared" si="194"/>
        <v>45260</v>
      </c>
      <c r="F2541" s="514"/>
      <c r="G2541" s="194" t="s">
        <v>1209</v>
      </c>
      <c r="H2541" s="195"/>
      <c r="I2541" s="195" t="s">
        <v>523</v>
      </c>
      <c r="J2541" s="191" t="s">
        <v>46</v>
      </c>
      <c r="K2541" s="196"/>
      <c r="L2541" s="196">
        <v>317850</v>
      </c>
    </row>
    <row r="2542" spans="1:12" ht="11.25" customHeight="1" x14ac:dyDescent="0.2">
      <c r="A2542" s="197">
        <v>2023</v>
      </c>
      <c r="B2542" s="197">
        <v>11</v>
      </c>
      <c r="C2542" s="197">
        <v>30</v>
      </c>
      <c r="D2542" s="198">
        <f t="shared" si="193"/>
        <v>45260</v>
      </c>
      <c r="E2542" s="199">
        <f t="shared" si="194"/>
        <v>45260</v>
      </c>
      <c r="F2542" s="513" t="s">
        <v>1323</v>
      </c>
      <c r="G2542" s="200" t="s">
        <v>1209</v>
      </c>
      <c r="H2542" s="201"/>
      <c r="I2542" s="201"/>
      <c r="J2542" s="197" t="s">
        <v>54</v>
      </c>
      <c r="K2542" s="202">
        <v>58</v>
      </c>
      <c r="L2542" s="202"/>
    </row>
    <row r="2543" spans="1:12" ht="11.25" customHeight="1" x14ac:dyDescent="0.2">
      <c r="A2543" s="191">
        <v>2023</v>
      </c>
      <c r="B2543" s="191">
        <v>11</v>
      </c>
      <c r="C2543" s="191">
        <v>30</v>
      </c>
      <c r="D2543" s="192">
        <f t="shared" si="193"/>
        <v>45260</v>
      </c>
      <c r="E2543" s="193">
        <f t="shared" si="194"/>
        <v>45260</v>
      </c>
      <c r="F2543" s="514"/>
      <c r="G2543" s="194" t="s">
        <v>1209</v>
      </c>
      <c r="H2543" s="195"/>
      <c r="I2543" s="195"/>
      <c r="J2543" s="191" t="s">
        <v>46</v>
      </c>
      <c r="K2543" s="196"/>
      <c r="L2543" s="196">
        <v>58</v>
      </c>
    </row>
    <row r="2544" spans="1:12" ht="11.25" customHeight="1" x14ac:dyDescent="0.2">
      <c r="A2544" s="197">
        <v>2023</v>
      </c>
      <c r="B2544" s="197">
        <v>11</v>
      </c>
      <c r="C2544" s="197">
        <v>30</v>
      </c>
      <c r="D2544" s="198">
        <f t="shared" si="193"/>
        <v>45260</v>
      </c>
      <c r="E2544" s="209">
        <f t="shared" ref="E2544:E2549" si="195">DATE(A2544,B2544,C2544)</f>
        <v>45260</v>
      </c>
      <c r="F2544" s="513" t="s">
        <v>1210</v>
      </c>
      <c r="G2544" s="200" t="s">
        <v>1209</v>
      </c>
      <c r="H2544" s="201"/>
      <c r="I2544" s="201" t="s">
        <v>1493</v>
      </c>
      <c r="J2544" s="197" t="s">
        <v>46</v>
      </c>
      <c r="K2544" s="202">
        <v>49820</v>
      </c>
      <c r="L2544" s="202"/>
    </row>
    <row r="2545" spans="1:12" ht="11.25" customHeight="1" x14ac:dyDescent="0.2">
      <c r="A2545" s="120">
        <v>2023</v>
      </c>
      <c r="B2545" s="120">
        <v>11</v>
      </c>
      <c r="C2545" s="120">
        <v>30</v>
      </c>
      <c r="D2545" s="208">
        <f t="shared" si="193"/>
        <v>45260</v>
      </c>
      <c r="E2545" s="209">
        <f t="shared" si="195"/>
        <v>45260</v>
      </c>
      <c r="F2545" s="515"/>
      <c r="G2545" s="132" t="s">
        <v>1209</v>
      </c>
      <c r="I2545" s="128" t="s">
        <v>1493</v>
      </c>
      <c r="J2545" s="120" t="s">
        <v>16</v>
      </c>
      <c r="K2545" s="207"/>
      <c r="L2545" s="207">
        <v>47020</v>
      </c>
    </row>
    <row r="2546" spans="1:12" ht="11.25" customHeight="1" x14ac:dyDescent="0.2">
      <c r="A2546" s="191">
        <v>2023</v>
      </c>
      <c r="B2546" s="191">
        <v>11</v>
      </c>
      <c r="C2546" s="191">
        <v>30</v>
      </c>
      <c r="D2546" s="192">
        <f t="shared" si="193"/>
        <v>45260</v>
      </c>
      <c r="E2546" s="193">
        <f t="shared" si="195"/>
        <v>45260</v>
      </c>
      <c r="F2546" s="514"/>
      <c r="G2546" s="194" t="s">
        <v>1209</v>
      </c>
      <c r="H2546" s="195"/>
      <c r="I2546" s="195" t="s">
        <v>1493</v>
      </c>
      <c r="J2546" s="191" t="s">
        <v>47</v>
      </c>
      <c r="K2546" s="196"/>
      <c r="L2546" s="196">
        <v>2800</v>
      </c>
    </row>
    <row r="2547" spans="1:12" ht="11.25" customHeight="1" x14ac:dyDescent="0.2">
      <c r="A2547" s="197">
        <v>2023</v>
      </c>
      <c r="B2547" s="197">
        <v>11</v>
      </c>
      <c r="C2547" s="197">
        <v>30</v>
      </c>
      <c r="D2547" s="198">
        <f t="shared" si="193"/>
        <v>45260</v>
      </c>
      <c r="E2547" s="209">
        <f t="shared" si="195"/>
        <v>45260</v>
      </c>
      <c r="F2547" s="513" t="s">
        <v>1296</v>
      </c>
      <c r="G2547" s="200" t="s">
        <v>1209</v>
      </c>
      <c r="H2547" s="201"/>
      <c r="I2547" s="201"/>
      <c r="J2547" s="197" t="s">
        <v>46</v>
      </c>
      <c r="K2547" s="202">
        <v>65000</v>
      </c>
      <c r="L2547" s="202"/>
    </row>
    <row r="2548" spans="1:12" ht="11.25" customHeight="1" x14ac:dyDescent="0.2">
      <c r="A2548" s="120">
        <v>2023</v>
      </c>
      <c r="B2548" s="120">
        <v>11</v>
      </c>
      <c r="C2548" s="120">
        <v>30</v>
      </c>
      <c r="D2548" s="208">
        <f t="shared" si="193"/>
        <v>45260</v>
      </c>
      <c r="E2548" s="209">
        <f t="shared" si="195"/>
        <v>45260</v>
      </c>
      <c r="F2548" s="515"/>
      <c r="G2548" s="132" t="s">
        <v>1209</v>
      </c>
      <c r="J2548" s="120" t="s">
        <v>16</v>
      </c>
      <c r="K2548" s="207"/>
      <c r="L2548" s="207">
        <v>61350</v>
      </c>
    </row>
    <row r="2549" spans="1:12" ht="11.25" customHeight="1" x14ac:dyDescent="0.2">
      <c r="A2549" s="191">
        <v>2023</v>
      </c>
      <c r="B2549" s="191">
        <v>11</v>
      </c>
      <c r="C2549" s="191">
        <v>30</v>
      </c>
      <c r="D2549" s="192">
        <f t="shared" si="193"/>
        <v>45260</v>
      </c>
      <c r="E2549" s="193">
        <f t="shared" si="195"/>
        <v>45260</v>
      </c>
      <c r="F2549" s="514"/>
      <c r="G2549" s="194" t="s">
        <v>1209</v>
      </c>
      <c r="H2549" s="195"/>
      <c r="I2549" s="195"/>
      <c r="J2549" s="191" t="s">
        <v>47</v>
      </c>
      <c r="K2549" s="196"/>
      <c r="L2549" s="196">
        <v>3650</v>
      </c>
    </row>
    <row r="2550" spans="1:12" ht="11.25" customHeight="1" x14ac:dyDescent="0.2">
      <c r="A2550" s="210">
        <v>2023</v>
      </c>
      <c r="B2550" s="210">
        <v>11</v>
      </c>
      <c r="C2550" s="210">
        <v>30</v>
      </c>
      <c r="D2550" s="211">
        <f t="shared" si="193"/>
        <v>45260</v>
      </c>
      <c r="E2550" s="238">
        <f t="shared" ref="E2550:E2583" si="196">DATE(A2550,B2550,C2550)</f>
        <v>45260</v>
      </c>
      <c r="F2550" s="520" t="s">
        <v>1278</v>
      </c>
      <c r="G2550" s="213" t="s">
        <v>1245</v>
      </c>
      <c r="H2550" s="214"/>
      <c r="I2550" s="214" t="s">
        <v>1253</v>
      </c>
      <c r="J2550" s="210" t="s">
        <v>1529</v>
      </c>
      <c r="K2550" s="215">
        <v>6512.28</v>
      </c>
      <c r="L2550" s="215"/>
    </row>
    <row r="2551" spans="1:12" ht="11.25" customHeight="1" x14ac:dyDescent="0.2">
      <c r="A2551" s="216">
        <v>2023</v>
      </c>
      <c r="B2551" s="216">
        <v>11</v>
      </c>
      <c r="C2551" s="216">
        <v>30</v>
      </c>
      <c r="D2551" s="217">
        <f t="shared" si="193"/>
        <v>45260</v>
      </c>
      <c r="E2551" s="239">
        <f t="shared" si="196"/>
        <v>45260</v>
      </c>
      <c r="F2551" s="521"/>
      <c r="G2551" s="219" t="s">
        <v>1245</v>
      </c>
      <c r="H2551" s="220"/>
      <c r="I2551" s="220" t="s">
        <v>1253</v>
      </c>
      <c r="J2551" s="216" t="s">
        <v>1581</v>
      </c>
      <c r="K2551" s="221"/>
      <c r="L2551" s="221">
        <v>6512.28</v>
      </c>
    </row>
    <row r="2552" spans="1:12" ht="11.25" customHeight="1" x14ac:dyDescent="0.2">
      <c r="A2552" s="210">
        <v>2023</v>
      </c>
      <c r="B2552" s="210">
        <v>11</v>
      </c>
      <c r="C2552" s="210">
        <v>30</v>
      </c>
      <c r="D2552" s="211">
        <f t="shared" si="193"/>
        <v>45260</v>
      </c>
      <c r="E2552" s="238">
        <f t="shared" si="196"/>
        <v>45260</v>
      </c>
      <c r="F2552" s="520" t="s">
        <v>1285</v>
      </c>
      <c r="G2552" s="213" t="s">
        <v>1245</v>
      </c>
      <c r="H2552" s="214"/>
      <c r="I2552" s="214" t="s">
        <v>1253</v>
      </c>
      <c r="J2552" s="210" t="s">
        <v>1284</v>
      </c>
      <c r="K2552" s="215">
        <v>13771.15</v>
      </c>
      <c r="L2552" s="215"/>
    </row>
    <row r="2553" spans="1:12" ht="11.25" customHeight="1" x14ac:dyDescent="0.2">
      <c r="A2553" s="242">
        <v>2023</v>
      </c>
      <c r="B2553" s="216">
        <v>11</v>
      </c>
      <c r="C2553" s="216">
        <v>30</v>
      </c>
      <c r="D2553" s="243">
        <f t="shared" si="193"/>
        <v>45260</v>
      </c>
      <c r="E2553" s="244">
        <f>DATE(A2553,B2553,C2553)</f>
        <v>45260</v>
      </c>
      <c r="F2553" s="524"/>
      <c r="G2553" s="245" t="s">
        <v>1245</v>
      </c>
      <c r="H2553" s="246"/>
      <c r="I2553" s="246"/>
      <c r="J2553" s="242" t="s">
        <v>1582</v>
      </c>
      <c r="K2553" s="247"/>
      <c r="L2553" s="247">
        <v>13771.15</v>
      </c>
    </row>
    <row r="2554" spans="1:12" ht="11.25" customHeight="1" x14ac:dyDescent="0.2">
      <c r="A2554" s="210">
        <v>2023</v>
      </c>
      <c r="B2554" s="210">
        <v>11</v>
      </c>
      <c r="C2554" s="210">
        <v>30</v>
      </c>
      <c r="D2554" s="211">
        <f t="shared" ref="D2554:D2614" si="197">DATE(A2554,B2554,C2554)</f>
        <v>45260</v>
      </c>
      <c r="E2554" s="238">
        <f t="shared" si="196"/>
        <v>45260</v>
      </c>
      <c r="F2554" s="520" t="s">
        <v>1259</v>
      </c>
      <c r="G2554" s="213" t="s">
        <v>1245</v>
      </c>
      <c r="H2554" s="214"/>
      <c r="I2554" s="214" t="s">
        <v>1253</v>
      </c>
      <c r="J2554" s="210" t="s">
        <v>58</v>
      </c>
      <c r="K2554" s="215">
        <v>3807.2</v>
      </c>
      <c r="L2554" s="215"/>
    </row>
    <row r="2555" spans="1:12" ht="11.25" customHeight="1" x14ac:dyDescent="0.2">
      <c r="A2555" s="216">
        <v>2023</v>
      </c>
      <c r="B2555" s="216">
        <v>11</v>
      </c>
      <c r="C2555" s="216">
        <v>30</v>
      </c>
      <c r="D2555" s="217">
        <f t="shared" si="197"/>
        <v>45260</v>
      </c>
      <c r="E2555" s="239">
        <f t="shared" si="196"/>
        <v>45260</v>
      </c>
      <c r="F2555" s="521"/>
      <c r="G2555" s="219" t="s">
        <v>1245</v>
      </c>
      <c r="H2555" s="220"/>
      <c r="I2555" s="220" t="s">
        <v>1253</v>
      </c>
      <c r="J2555" s="216" t="s">
        <v>153</v>
      </c>
      <c r="K2555" s="221"/>
      <c r="L2555" s="221">
        <v>3807.2</v>
      </c>
    </row>
    <row r="2556" spans="1:12" ht="11.25" customHeight="1" x14ac:dyDescent="0.2">
      <c r="A2556" s="210">
        <v>2023</v>
      </c>
      <c r="B2556" s="210">
        <v>11</v>
      </c>
      <c r="C2556" s="210">
        <v>30</v>
      </c>
      <c r="D2556" s="211">
        <f t="shared" si="197"/>
        <v>45260</v>
      </c>
      <c r="E2556" s="238">
        <f t="shared" si="196"/>
        <v>45260</v>
      </c>
      <c r="F2556" s="520" t="s">
        <v>1256</v>
      </c>
      <c r="G2556" s="213" t="s">
        <v>1245</v>
      </c>
      <c r="H2556" s="214"/>
      <c r="I2556" s="214" t="s">
        <v>1253</v>
      </c>
      <c r="J2556" s="210" t="s">
        <v>113</v>
      </c>
      <c r="K2556" s="215">
        <v>200802.88461538462</v>
      </c>
      <c r="L2556" s="215"/>
    </row>
    <row r="2557" spans="1:12" ht="11.25" customHeight="1" x14ac:dyDescent="0.2">
      <c r="A2557" s="216">
        <v>2023</v>
      </c>
      <c r="B2557" s="216">
        <v>11</v>
      </c>
      <c r="C2557" s="216">
        <v>30</v>
      </c>
      <c r="D2557" s="217">
        <f t="shared" si="197"/>
        <v>45260</v>
      </c>
      <c r="E2557" s="239">
        <f t="shared" si="196"/>
        <v>45260</v>
      </c>
      <c r="F2557" s="521"/>
      <c r="G2557" s="219" t="s">
        <v>1245</v>
      </c>
      <c r="H2557" s="220"/>
      <c r="I2557" s="220" t="s">
        <v>1253</v>
      </c>
      <c r="J2557" s="216" t="s">
        <v>153</v>
      </c>
      <c r="K2557" s="221"/>
      <c r="L2557" s="221">
        <v>200802.88461538462</v>
      </c>
    </row>
    <row r="2558" spans="1:12" ht="11.25" customHeight="1" x14ac:dyDescent="0.2">
      <c r="A2558" s="259">
        <v>2023</v>
      </c>
      <c r="B2558" s="259">
        <v>11</v>
      </c>
      <c r="C2558" s="259">
        <v>30</v>
      </c>
      <c r="D2558" s="260">
        <f t="shared" si="197"/>
        <v>45260</v>
      </c>
      <c r="E2558" s="261">
        <f t="shared" si="196"/>
        <v>45260</v>
      </c>
      <c r="F2558" s="531" t="s">
        <v>1442</v>
      </c>
      <c r="G2558" s="262" t="s">
        <v>1245</v>
      </c>
      <c r="H2558" s="263"/>
      <c r="I2558" s="263" t="s">
        <v>1253</v>
      </c>
      <c r="J2558" s="259" t="s">
        <v>1476</v>
      </c>
      <c r="K2558" s="264">
        <v>5245.7199999999975</v>
      </c>
      <c r="L2558" s="264"/>
    </row>
    <row r="2559" spans="1:12" ht="11.25" customHeight="1" x14ac:dyDescent="0.2">
      <c r="A2559" s="265">
        <v>2023</v>
      </c>
      <c r="B2559" s="265">
        <v>11</v>
      </c>
      <c r="C2559" s="265">
        <v>30</v>
      </c>
      <c r="D2559" s="266">
        <f t="shared" si="197"/>
        <v>45260</v>
      </c>
      <c r="E2559" s="267">
        <f t="shared" si="196"/>
        <v>45260</v>
      </c>
      <c r="F2559" s="532"/>
      <c r="G2559" s="268" t="s">
        <v>1245</v>
      </c>
      <c r="H2559" s="269"/>
      <c r="I2559" s="269" t="s">
        <v>1253</v>
      </c>
      <c r="J2559" s="265" t="s">
        <v>153</v>
      </c>
      <c r="K2559" s="270"/>
      <c r="L2559" s="270">
        <v>5245.7199999999975</v>
      </c>
    </row>
    <row r="2560" spans="1:12" ht="11.25" customHeight="1" x14ac:dyDescent="0.2">
      <c r="A2560" s="312">
        <v>2023</v>
      </c>
      <c r="B2560" s="312">
        <v>11</v>
      </c>
      <c r="C2560" s="312">
        <v>30</v>
      </c>
      <c r="D2560" s="313">
        <f t="shared" si="197"/>
        <v>45260</v>
      </c>
      <c r="E2560" s="314">
        <f t="shared" si="196"/>
        <v>45260</v>
      </c>
      <c r="F2560" s="522" t="s">
        <v>1477</v>
      </c>
      <c r="G2560" s="315" t="s">
        <v>1245</v>
      </c>
      <c r="H2560" s="316"/>
      <c r="I2560" s="316" t="s">
        <v>1253</v>
      </c>
      <c r="J2560" s="312" t="s">
        <v>1460</v>
      </c>
      <c r="K2560" s="317">
        <v>25269.20000000298</v>
      </c>
      <c r="L2560" s="317"/>
    </row>
    <row r="2561" spans="1:14" ht="11.25" customHeight="1" x14ac:dyDescent="0.2">
      <c r="A2561" s="318">
        <v>2023</v>
      </c>
      <c r="B2561" s="318">
        <v>11</v>
      </c>
      <c r="C2561" s="318">
        <v>30</v>
      </c>
      <c r="D2561" s="319">
        <f t="shared" si="197"/>
        <v>45260</v>
      </c>
      <c r="E2561" s="320">
        <f t="shared" si="196"/>
        <v>45260</v>
      </c>
      <c r="F2561" s="523"/>
      <c r="G2561" s="321" t="s">
        <v>1245</v>
      </c>
      <c r="H2561" s="322"/>
      <c r="I2561" s="322" t="s">
        <v>1253</v>
      </c>
      <c r="J2561" s="318" t="s">
        <v>1458</v>
      </c>
      <c r="K2561" s="323"/>
      <c r="L2561" s="323">
        <v>25269.20000000298</v>
      </c>
    </row>
    <row r="2562" spans="1:14" ht="11.25" customHeight="1" x14ac:dyDescent="0.2">
      <c r="A2562" s="222">
        <v>2023</v>
      </c>
      <c r="B2562" s="222">
        <v>11</v>
      </c>
      <c r="C2562" s="222">
        <v>30</v>
      </c>
      <c r="D2562" s="223">
        <f t="shared" si="197"/>
        <v>45260</v>
      </c>
      <c r="E2562" s="240">
        <f t="shared" si="196"/>
        <v>45260</v>
      </c>
      <c r="F2562" s="511" t="s">
        <v>1244</v>
      </c>
      <c r="G2562" s="225" t="s">
        <v>1245</v>
      </c>
      <c r="H2562" s="226"/>
      <c r="I2562" s="226" t="s">
        <v>1253</v>
      </c>
      <c r="J2562" s="222" t="s">
        <v>87</v>
      </c>
      <c r="K2562" s="227">
        <v>12339.231904760003</v>
      </c>
      <c r="L2562" s="227"/>
    </row>
    <row r="2563" spans="1:14" ht="11.25" customHeight="1" x14ac:dyDescent="0.2">
      <c r="A2563" s="228">
        <v>2023</v>
      </c>
      <c r="B2563" s="228">
        <v>11</v>
      </c>
      <c r="C2563" s="228">
        <v>30</v>
      </c>
      <c r="D2563" s="229">
        <f t="shared" si="197"/>
        <v>45260</v>
      </c>
      <c r="E2563" s="241">
        <f t="shared" si="196"/>
        <v>45260</v>
      </c>
      <c r="F2563" s="512"/>
      <c r="G2563" s="231" t="s">
        <v>1245</v>
      </c>
      <c r="H2563" s="232"/>
      <c r="I2563" s="232" t="s">
        <v>1253</v>
      </c>
      <c r="J2563" s="228" t="s">
        <v>72</v>
      </c>
      <c r="K2563" s="233"/>
      <c r="L2563" s="233">
        <v>12339.231904760003</v>
      </c>
    </row>
    <row r="2564" spans="1:14" ht="11.25" customHeight="1" x14ac:dyDescent="0.2">
      <c r="A2564" s="222">
        <v>2023</v>
      </c>
      <c r="B2564" s="222">
        <v>11</v>
      </c>
      <c r="C2564" s="222">
        <v>30</v>
      </c>
      <c r="D2564" s="223">
        <f t="shared" si="197"/>
        <v>45260</v>
      </c>
      <c r="E2564" s="240">
        <f t="shared" si="196"/>
        <v>45260</v>
      </c>
      <c r="F2564" s="511" t="s">
        <v>1246</v>
      </c>
      <c r="G2564" s="225" t="s">
        <v>1245</v>
      </c>
      <c r="H2564" s="226"/>
      <c r="I2564" s="226" t="s">
        <v>1253</v>
      </c>
      <c r="J2564" s="222" t="s">
        <v>75</v>
      </c>
      <c r="K2564" s="227">
        <v>3623.123846153846</v>
      </c>
      <c r="L2564" s="227"/>
    </row>
    <row r="2565" spans="1:14" ht="11.25" customHeight="1" x14ac:dyDescent="0.2">
      <c r="A2565" s="228">
        <v>2023</v>
      </c>
      <c r="B2565" s="228">
        <v>11</v>
      </c>
      <c r="C2565" s="228">
        <v>30</v>
      </c>
      <c r="D2565" s="229">
        <f t="shared" si="197"/>
        <v>45260</v>
      </c>
      <c r="E2565" s="241">
        <f t="shared" si="196"/>
        <v>45260</v>
      </c>
      <c r="F2565" s="512"/>
      <c r="G2565" s="231" t="s">
        <v>1245</v>
      </c>
      <c r="H2565" s="232"/>
      <c r="I2565" s="232" t="s">
        <v>1253</v>
      </c>
      <c r="J2565" s="228" t="s">
        <v>55</v>
      </c>
      <c r="K2565" s="233"/>
      <c r="L2565" s="233">
        <v>3623.123846153846</v>
      </c>
    </row>
    <row r="2566" spans="1:14" ht="11.25" customHeight="1" x14ac:dyDescent="0.2">
      <c r="A2566" s="222">
        <v>2023</v>
      </c>
      <c r="B2566" s="222">
        <v>11</v>
      </c>
      <c r="C2566" s="222">
        <v>30</v>
      </c>
      <c r="D2566" s="223">
        <f t="shared" si="197"/>
        <v>45260</v>
      </c>
      <c r="E2566" s="240">
        <f t="shared" si="196"/>
        <v>45260</v>
      </c>
      <c r="F2566" s="511" t="s">
        <v>1247</v>
      </c>
      <c r="G2566" s="225" t="s">
        <v>1245</v>
      </c>
      <c r="H2566" s="226"/>
      <c r="I2566" s="226" t="s">
        <v>1253</v>
      </c>
      <c r="J2566" s="222" t="s">
        <v>77</v>
      </c>
      <c r="K2566" s="227">
        <v>22470.422439195583</v>
      </c>
      <c r="L2566" s="227"/>
    </row>
    <row r="2567" spans="1:14" ht="11.25" customHeight="1" x14ac:dyDescent="0.2">
      <c r="A2567" s="228">
        <v>2023</v>
      </c>
      <c r="B2567" s="228">
        <v>11</v>
      </c>
      <c r="C2567" s="228">
        <v>30</v>
      </c>
      <c r="D2567" s="229">
        <f t="shared" si="197"/>
        <v>45260</v>
      </c>
      <c r="E2567" s="241">
        <f t="shared" si="196"/>
        <v>45260</v>
      </c>
      <c r="F2567" s="512"/>
      <c r="G2567" s="231" t="s">
        <v>1245</v>
      </c>
      <c r="H2567" s="232"/>
      <c r="I2567" s="232" t="s">
        <v>1253</v>
      </c>
      <c r="J2567" s="228" t="s">
        <v>41</v>
      </c>
      <c r="K2567" s="233"/>
      <c r="L2567" s="233">
        <v>22470.422439195583</v>
      </c>
    </row>
    <row r="2568" spans="1:14" ht="11.25" customHeight="1" x14ac:dyDescent="0.2">
      <c r="A2568" s="222">
        <v>2023</v>
      </c>
      <c r="B2568" s="222">
        <v>11</v>
      </c>
      <c r="C2568" s="222">
        <v>30</v>
      </c>
      <c r="D2568" s="223">
        <f t="shared" si="197"/>
        <v>45260</v>
      </c>
      <c r="E2568" s="240">
        <f t="shared" si="196"/>
        <v>45260</v>
      </c>
      <c r="F2568" s="511" t="s">
        <v>1248</v>
      </c>
      <c r="G2568" s="225" t="s">
        <v>1245</v>
      </c>
      <c r="H2568" s="226"/>
      <c r="I2568" s="226" t="s">
        <v>1253</v>
      </c>
      <c r="J2568" s="222" t="s">
        <v>80</v>
      </c>
      <c r="K2568" s="227">
        <v>2247.0422439195581</v>
      </c>
      <c r="L2568" s="227"/>
    </row>
    <row r="2569" spans="1:14" ht="11.25" customHeight="1" x14ac:dyDescent="0.2">
      <c r="A2569" s="228">
        <v>2023</v>
      </c>
      <c r="B2569" s="228">
        <v>11</v>
      </c>
      <c r="C2569" s="228">
        <v>30</v>
      </c>
      <c r="D2569" s="229">
        <f t="shared" si="197"/>
        <v>45260</v>
      </c>
      <c r="E2569" s="241">
        <f t="shared" si="196"/>
        <v>45260</v>
      </c>
      <c r="F2569" s="512"/>
      <c r="G2569" s="231" t="s">
        <v>1245</v>
      </c>
      <c r="H2569" s="232"/>
      <c r="I2569" s="232" t="s">
        <v>1253</v>
      </c>
      <c r="J2569" s="228" t="s">
        <v>42</v>
      </c>
      <c r="K2569" s="233"/>
      <c r="L2569" s="233">
        <v>2247.0422439195581</v>
      </c>
    </row>
    <row r="2570" spans="1:14" ht="11.25" customHeight="1" x14ac:dyDescent="0.2">
      <c r="A2570" s="197">
        <v>2023</v>
      </c>
      <c r="B2570" s="197">
        <v>12</v>
      </c>
      <c r="C2570" s="197">
        <v>4</v>
      </c>
      <c r="D2570" s="198">
        <f t="shared" si="197"/>
        <v>45264</v>
      </c>
      <c r="E2570" s="199">
        <f t="shared" si="196"/>
        <v>45264</v>
      </c>
      <c r="F2570" s="513" t="s">
        <v>1494</v>
      </c>
      <c r="G2570" s="200" t="s">
        <v>1209</v>
      </c>
      <c r="H2570" s="201"/>
      <c r="I2570" s="201" t="s">
        <v>1253</v>
      </c>
      <c r="J2570" s="197" t="s">
        <v>1455</v>
      </c>
      <c r="K2570" s="202">
        <v>3021322</v>
      </c>
      <c r="L2570" s="202"/>
    </row>
    <row r="2571" spans="1:14" ht="11.25" customHeight="1" x14ac:dyDescent="0.2">
      <c r="A2571" s="191">
        <v>2023</v>
      </c>
      <c r="B2571" s="191">
        <v>12</v>
      </c>
      <c r="C2571" s="191">
        <v>4</v>
      </c>
      <c r="D2571" s="192">
        <f t="shared" si="197"/>
        <v>45264</v>
      </c>
      <c r="E2571" s="193">
        <f t="shared" si="196"/>
        <v>45264</v>
      </c>
      <c r="F2571" s="514"/>
      <c r="G2571" s="194" t="s">
        <v>1209</v>
      </c>
      <c r="H2571" s="195"/>
      <c r="I2571" s="195" t="s">
        <v>1253</v>
      </c>
      <c r="J2571" s="191" t="s">
        <v>46</v>
      </c>
      <c r="K2571" s="196"/>
      <c r="L2571" s="196">
        <v>3021322</v>
      </c>
      <c r="N2571" s="130"/>
    </row>
    <row r="2572" spans="1:14" ht="11.25" customHeight="1" x14ac:dyDescent="0.2">
      <c r="A2572" s="197">
        <v>2023</v>
      </c>
      <c r="B2572" s="197">
        <v>12</v>
      </c>
      <c r="C2572" s="197">
        <v>4</v>
      </c>
      <c r="D2572" s="198">
        <f t="shared" si="197"/>
        <v>45264</v>
      </c>
      <c r="E2572" s="209">
        <f>DATE(A2572,B2572,C2572)</f>
        <v>45264</v>
      </c>
      <c r="F2572" s="513" t="s">
        <v>1280</v>
      </c>
      <c r="G2572" s="200" t="s">
        <v>1209</v>
      </c>
      <c r="H2572" s="201"/>
      <c r="I2572" s="201" t="s">
        <v>407</v>
      </c>
      <c r="J2572" s="197" t="s">
        <v>16</v>
      </c>
      <c r="K2572" s="202">
        <v>56540</v>
      </c>
      <c r="L2572" s="202"/>
    </row>
    <row r="2573" spans="1:14" ht="11.25" customHeight="1" x14ac:dyDescent="0.2">
      <c r="A2573" s="120">
        <v>2023</v>
      </c>
      <c r="B2573" s="120">
        <v>12</v>
      </c>
      <c r="C2573" s="120">
        <v>4</v>
      </c>
      <c r="D2573" s="208">
        <f t="shared" si="197"/>
        <v>45264</v>
      </c>
      <c r="E2573" s="209">
        <f>DATE(A2573,B2573,C2573)</f>
        <v>45264</v>
      </c>
      <c r="F2573" s="515"/>
      <c r="G2573" s="132" t="s">
        <v>1209</v>
      </c>
      <c r="I2573" s="128" t="s">
        <v>407</v>
      </c>
      <c r="J2573" s="120" t="s">
        <v>47</v>
      </c>
      <c r="K2573" s="207">
        <v>3460</v>
      </c>
      <c r="L2573" s="207"/>
    </row>
    <row r="2574" spans="1:14" ht="11.25" customHeight="1" x14ac:dyDescent="0.2">
      <c r="A2574" s="191">
        <v>2023</v>
      </c>
      <c r="B2574" s="191">
        <v>12</v>
      </c>
      <c r="C2574" s="191">
        <v>4</v>
      </c>
      <c r="D2574" s="192">
        <f t="shared" si="197"/>
        <v>45264</v>
      </c>
      <c r="E2574" s="193">
        <f>DATE(A2574,B2574,C2574)</f>
        <v>45264</v>
      </c>
      <c r="F2574" s="514"/>
      <c r="G2574" s="194" t="s">
        <v>1209</v>
      </c>
      <c r="H2574" s="195"/>
      <c r="I2574" s="195" t="s">
        <v>407</v>
      </c>
      <c r="J2574" s="191" t="s">
        <v>46</v>
      </c>
      <c r="K2574" s="196"/>
      <c r="L2574" s="196">
        <v>60000</v>
      </c>
    </row>
    <row r="2575" spans="1:14" ht="11.25" customHeight="1" x14ac:dyDescent="0.2">
      <c r="A2575" s="197">
        <v>2023</v>
      </c>
      <c r="B2575" s="197">
        <v>12</v>
      </c>
      <c r="C2575" s="197">
        <v>5</v>
      </c>
      <c r="D2575" s="198">
        <f t="shared" si="197"/>
        <v>45265</v>
      </c>
      <c r="E2575" s="209">
        <f t="shared" si="196"/>
        <v>45265</v>
      </c>
      <c r="F2575" s="513" t="s">
        <v>1280</v>
      </c>
      <c r="G2575" s="200" t="s">
        <v>1209</v>
      </c>
      <c r="H2575" s="201"/>
      <c r="I2575" s="201" t="s">
        <v>1220</v>
      </c>
      <c r="J2575" s="197" t="s">
        <v>16</v>
      </c>
      <c r="K2575" s="202">
        <v>50000</v>
      </c>
      <c r="L2575" s="202"/>
    </row>
    <row r="2576" spans="1:14" ht="11.25" customHeight="1" x14ac:dyDescent="0.2">
      <c r="A2576" s="120">
        <v>2023</v>
      </c>
      <c r="B2576" s="120">
        <v>12</v>
      </c>
      <c r="C2576" s="120">
        <v>5</v>
      </c>
      <c r="D2576" s="208">
        <f t="shared" si="197"/>
        <v>45265</v>
      </c>
      <c r="E2576" s="209">
        <f t="shared" si="196"/>
        <v>45265</v>
      </c>
      <c r="F2576" s="515"/>
      <c r="G2576" s="132" t="s">
        <v>1209</v>
      </c>
      <c r="I2576" s="128" t="s">
        <v>1220</v>
      </c>
      <c r="J2576" s="120" t="s">
        <v>47</v>
      </c>
      <c r="K2576" s="207">
        <v>2975</v>
      </c>
      <c r="L2576" s="207"/>
    </row>
    <row r="2577" spans="1:12" ht="11.25" customHeight="1" x14ac:dyDescent="0.2">
      <c r="A2577" s="191">
        <v>2023</v>
      </c>
      <c r="B2577" s="191">
        <v>12</v>
      </c>
      <c r="C2577" s="191">
        <v>5</v>
      </c>
      <c r="D2577" s="192">
        <f t="shared" si="197"/>
        <v>45265</v>
      </c>
      <c r="E2577" s="193">
        <f t="shared" si="196"/>
        <v>45265</v>
      </c>
      <c r="F2577" s="514"/>
      <c r="G2577" s="194" t="s">
        <v>1209</v>
      </c>
      <c r="H2577" s="195"/>
      <c r="I2577" s="195" t="s">
        <v>1220</v>
      </c>
      <c r="J2577" s="191" t="s">
        <v>46</v>
      </c>
      <c r="K2577" s="196"/>
      <c r="L2577" s="196">
        <v>52975</v>
      </c>
    </row>
    <row r="2578" spans="1:12" ht="11.25" customHeight="1" x14ac:dyDescent="0.2">
      <c r="A2578" s="197">
        <v>2023</v>
      </c>
      <c r="B2578" s="197">
        <v>12</v>
      </c>
      <c r="C2578" s="197">
        <v>5</v>
      </c>
      <c r="D2578" s="198">
        <f t="shared" si="197"/>
        <v>45265</v>
      </c>
      <c r="E2578" s="209">
        <f t="shared" si="196"/>
        <v>45265</v>
      </c>
      <c r="F2578" s="513" t="s">
        <v>1296</v>
      </c>
      <c r="G2578" s="200" t="s">
        <v>1209</v>
      </c>
      <c r="H2578" s="201"/>
      <c r="I2578" s="201"/>
      <c r="J2578" s="197" t="s">
        <v>46</v>
      </c>
      <c r="K2578" s="202">
        <v>253000</v>
      </c>
      <c r="L2578" s="202"/>
    </row>
    <row r="2579" spans="1:12" ht="11.25" customHeight="1" x14ac:dyDescent="0.2">
      <c r="A2579" s="120">
        <v>2023</v>
      </c>
      <c r="B2579" s="120">
        <v>12</v>
      </c>
      <c r="C2579" s="120">
        <v>5</v>
      </c>
      <c r="D2579" s="208">
        <f t="shared" si="197"/>
        <v>45265</v>
      </c>
      <c r="E2579" s="209">
        <f t="shared" si="196"/>
        <v>45265</v>
      </c>
      <c r="F2579" s="515"/>
      <c r="G2579" s="132" t="s">
        <v>1209</v>
      </c>
      <c r="J2579" s="120" t="s">
        <v>16</v>
      </c>
      <c r="K2579" s="207"/>
      <c r="L2579" s="207">
        <v>238390</v>
      </c>
    </row>
    <row r="2580" spans="1:12" ht="11.25" customHeight="1" x14ac:dyDescent="0.2">
      <c r="A2580" s="191">
        <v>2023</v>
      </c>
      <c r="B2580" s="191">
        <v>12</v>
      </c>
      <c r="C2580" s="191">
        <v>5</v>
      </c>
      <c r="D2580" s="192">
        <f t="shared" si="197"/>
        <v>45265</v>
      </c>
      <c r="E2580" s="193">
        <f t="shared" si="196"/>
        <v>45265</v>
      </c>
      <c r="F2580" s="514"/>
      <c r="G2580" s="194" t="s">
        <v>1209</v>
      </c>
      <c r="H2580" s="195"/>
      <c r="I2580" s="195"/>
      <c r="J2580" s="191" t="s">
        <v>47</v>
      </c>
      <c r="K2580" s="196"/>
      <c r="L2580" s="196">
        <v>14610</v>
      </c>
    </row>
    <row r="2581" spans="1:12" ht="11.25" customHeight="1" x14ac:dyDescent="0.2">
      <c r="A2581" s="197">
        <v>2023</v>
      </c>
      <c r="B2581" s="197">
        <v>12</v>
      </c>
      <c r="C2581" s="197">
        <v>7</v>
      </c>
      <c r="D2581" s="198">
        <f t="shared" si="197"/>
        <v>45267</v>
      </c>
      <c r="E2581" s="209">
        <f t="shared" si="196"/>
        <v>45267</v>
      </c>
      <c r="F2581" s="513" t="s">
        <v>1210</v>
      </c>
      <c r="G2581" s="200" t="s">
        <v>1209</v>
      </c>
      <c r="H2581" s="201"/>
      <c r="I2581" s="201" t="s">
        <v>1238</v>
      </c>
      <c r="J2581" s="197" t="s">
        <v>46</v>
      </c>
      <c r="K2581" s="202">
        <v>3000000</v>
      </c>
      <c r="L2581" s="202"/>
    </row>
    <row r="2582" spans="1:12" ht="11.25" customHeight="1" x14ac:dyDescent="0.2">
      <c r="A2582" s="120">
        <v>2023</v>
      </c>
      <c r="B2582" s="120">
        <v>12</v>
      </c>
      <c r="C2582" s="120">
        <v>7</v>
      </c>
      <c r="D2582" s="208">
        <f t="shared" si="197"/>
        <v>45267</v>
      </c>
      <c r="E2582" s="209">
        <f t="shared" si="196"/>
        <v>45267</v>
      </c>
      <c r="F2582" s="515"/>
      <c r="G2582" s="132" t="s">
        <v>1209</v>
      </c>
      <c r="I2582" s="128" t="s">
        <v>1238</v>
      </c>
      <c r="J2582" s="120" t="s">
        <v>16</v>
      </c>
      <c r="K2582" s="207"/>
      <c r="L2582" s="207">
        <v>2826990</v>
      </c>
    </row>
    <row r="2583" spans="1:12" ht="11.25" customHeight="1" x14ac:dyDescent="0.2">
      <c r="A2583" s="191">
        <v>2023</v>
      </c>
      <c r="B2583" s="191">
        <v>12</v>
      </c>
      <c r="C2583" s="191">
        <v>7</v>
      </c>
      <c r="D2583" s="192">
        <f t="shared" si="197"/>
        <v>45267</v>
      </c>
      <c r="E2583" s="193">
        <f t="shared" si="196"/>
        <v>45267</v>
      </c>
      <c r="F2583" s="514"/>
      <c r="G2583" s="194" t="s">
        <v>1209</v>
      </c>
      <c r="H2583" s="195"/>
      <c r="I2583" s="195" t="s">
        <v>1238</v>
      </c>
      <c r="J2583" s="191" t="s">
        <v>47</v>
      </c>
      <c r="K2583" s="196"/>
      <c r="L2583" s="196">
        <v>173010</v>
      </c>
    </row>
    <row r="2584" spans="1:12" ht="11.25" customHeight="1" x14ac:dyDescent="0.2">
      <c r="A2584" s="197">
        <v>2023</v>
      </c>
      <c r="B2584" s="197">
        <v>12</v>
      </c>
      <c r="C2584" s="197">
        <v>7</v>
      </c>
      <c r="D2584" s="198">
        <f t="shared" si="197"/>
        <v>45267</v>
      </c>
      <c r="E2584" s="209">
        <f t="shared" ref="E2584:E2624" si="198">DATE(A2584,B2584,C2584)</f>
        <v>45267</v>
      </c>
      <c r="F2584" s="513" t="s">
        <v>1210</v>
      </c>
      <c r="G2584" s="200" t="s">
        <v>1209</v>
      </c>
      <c r="H2584" s="201"/>
      <c r="I2584" s="201" t="s">
        <v>384</v>
      </c>
      <c r="J2584" s="197" t="s">
        <v>46</v>
      </c>
      <c r="K2584" s="202">
        <v>100000</v>
      </c>
      <c r="L2584" s="202"/>
    </row>
    <row r="2585" spans="1:12" ht="11.25" customHeight="1" x14ac:dyDescent="0.2">
      <c r="A2585" s="120">
        <v>2023</v>
      </c>
      <c r="B2585" s="120">
        <v>12</v>
      </c>
      <c r="C2585" s="120">
        <v>7</v>
      </c>
      <c r="D2585" s="208">
        <f t="shared" si="197"/>
        <v>45267</v>
      </c>
      <c r="E2585" s="209">
        <f t="shared" si="198"/>
        <v>45267</v>
      </c>
      <c r="F2585" s="515"/>
      <c r="G2585" s="132" t="s">
        <v>1209</v>
      </c>
      <c r="I2585" s="128" t="s">
        <v>384</v>
      </c>
      <c r="J2585" s="120" t="s">
        <v>16</v>
      </c>
      <c r="K2585" s="207"/>
      <c r="L2585" s="207">
        <v>94230</v>
      </c>
    </row>
    <row r="2586" spans="1:12" ht="11.25" customHeight="1" x14ac:dyDescent="0.2">
      <c r="A2586" s="191">
        <v>2023</v>
      </c>
      <c r="B2586" s="191">
        <v>12</v>
      </c>
      <c r="C2586" s="191">
        <v>7</v>
      </c>
      <c r="D2586" s="192">
        <f t="shared" si="197"/>
        <v>45267</v>
      </c>
      <c r="E2586" s="193">
        <f t="shared" si="198"/>
        <v>45267</v>
      </c>
      <c r="F2586" s="514"/>
      <c r="G2586" s="194" t="s">
        <v>1209</v>
      </c>
      <c r="H2586" s="195"/>
      <c r="I2586" s="195" t="s">
        <v>384</v>
      </c>
      <c r="J2586" s="191" t="s">
        <v>47</v>
      </c>
      <c r="K2586" s="196"/>
      <c r="L2586" s="196">
        <v>5770</v>
      </c>
    </row>
    <row r="2587" spans="1:12" ht="11.25" customHeight="1" x14ac:dyDescent="0.2">
      <c r="A2587" s="197">
        <v>2023</v>
      </c>
      <c r="B2587" s="197">
        <v>12</v>
      </c>
      <c r="C2587" s="197">
        <v>7</v>
      </c>
      <c r="D2587" s="198">
        <f t="shared" si="197"/>
        <v>45267</v>
      </c>
      <c r="E2587" s="209">
        <f t="shared" si="198"/>
        <v>45267</v>
      </c>
      <c r="F2587" s="513" t="s">
        <v>1280</v>
      </c>
      <c r="G2587" s="200" t="s">
        <v>1209</v>
      </c>
      <c r="H2587" s="201"/>
      <c r="I2587" s="201" t="s">
        <v>1426</v>
      </c>
      <c r="J2587" s="197" t="s">
        <v>16</v>
      </c>
      <c r="K2587" s="202">
        <v>288570</v>
      </c>
      <c r="L2587" s="202"/>
    </row>
    <row r="2588" spans="1:12" ht="11.25" customHeight="1" x14ac:dyDescent="0.2">
      <c r="A2588" s="120">
        <v>2023</v>
      </c>
      <c r="B2588" s="120">
        <v>12</v>
      </c>
      <c r="C2588" s="120">
        <v>7</v>
      </c>
      <c r="D2588" s="208">
        <f t="shared" si="197"/>
        <v>45267</v>
      </c>
      <c r="E2588" s="209">
        <f t="shared" si="198"/>
        <v>45267</v>
      </c>
      <c r="F2588" s="515"/>
      <c r="G2588" s="132" t="s">
        <v>1209</v>
      </c>
      <c r="I2588" s="128" t="s">
        <v>1426</v>
      </c>
      <c r="J2588" s="120" t="s">
        <v>47</v>
      </c>
      <c r="K2588" s="207">
        <v>17660.483999999997</v>
      </c>
      <c r="L2588" s="207"/>
    </row>
    <row r="2589" spans="1:12" ht="11.25" customHeight="1" x14ac:dyDescent="0.2">
      <c r="A2589" s="191">
        <v>2023</v>
      </c>
      <c r="B2589" s="191">
        <v>12</v>
      </c>
      <c r="C2589" s="191">
        <v>7</v>
      </c>
      <c r="D2589" s="192">
        <f t="shared" si="197"/>
        <v>45267</v>
      </c>
      <c r="E2589" s="193">
        <f t="shared" si="198"/>
        <v>45267</v>
      </c>
      <c r="F2589" s="514"/>
      <c r="G2589" s="194" t="s">
        <v>1209</v>
      </c>
      <c r="H2589" s="195"/>
      <c r="I2589" s="195" t="s">
        <v>1426</v>
      </c>
      <c r="J2589" s="191" t="s">
        <v>46</v>
      </c>
      <c r="K2589" s="196"/>
      <c r="L2589" s="196">
        <v>306230.484</v>
      </c>
    </row>
    <row r="2590" spans="1:12" ht="11.25" customHeight="1" x14ac:dyDescent="0.2">
      <c r="A2590" s="197">
        <v>2023</v>
      </c>
      <c r="B2590" s="197">
        <v>12</v>
      </c>
      <c r="C2590" s="197">
        <v>7</v>
      </c>
      <c r="D2590" s="198">
        <f t="shared" si="197"/>
        <v>45267</v>
      </c>
      <c r="E2590" s="199">
        <f t="shared" si="198"/>
        <v>45267</v>
      </c>
      <c r="F2590" s="513" t="s">
        <v>1323</v>
      </c>
      <c r="G2590" s="200" t="s">
        <v>1209</v>
      </c>
      <c r="H2590" s="201"/>
      <c r="I2590" s="201"/>
      <c r="J2590" s="197" t="s">
        <v>54</v>
      </c>
      <c r="K2590" s="202">
        <v>58</v>
      </c>
      <c r="L2590" s="202"/>
    </row>
    <row r="2591" spans="1:12" ht="11.25" customHeight="1" x14ac:dyDescent="0.2">
      <c r="A2591" s="191">
        <v>2023</v>
      </c>
      <c r="B2591" s="191">
        <v>12</v>
      </c>
      <c r="C2591" s="191">
        <v>7</v>
      </c>
      <c r="D2591" s="192">
        <f t="shared" si="197"/>
        <v>45267</v>
      </c>
      <c r="E2591" s="193">
        <f t="shared" si="198"/>
        <v>45267</v>
      </c>
      <c r="F2591" s="514"/>
      <c r="G2591" s="194" t="s">
        <v>1209</v>
      </c>
      <c r="H2591" s="195"/>
      <c r="I2591" s="195"/>
      <c r="J2591" s="191" t="s">
        <v>46</v>
      </c>
      <c r="K2591" s="196"/>
      <c r="L2591" s="196">
        <v>58</v>
      </c>
    </row>
    <row r="2592" spans="1:12" ht="11.25" customHeight="1" x14ac:dyDescent="0.2">
      <c r="A2592" s="197">
        <v>2023</v>
      </c>
      <c r="B2592" s="197">
        <v>12</v>
      </c>
      <c r="C2592" s="197">
        <v>7</v>
      </c>
      <c r="D2592" s="198">
        <f t="shared" si="197"/>
        <v>45267</v>
      </c>
      <c r="E2592" s="199">
        <f>DATE(A2592,B2592,C2592)</f>
        <v>45267</v>
      </c>
      <c r="F2592" s="513" t="s">
        <v>1323</v>
      </c>
      <c r="G2592" s="200" t="s">
        <v>1209</v>
      </c>
      <c r="H2592" s="201"/>
      <c r="I2592" s="201"/>
      <c r="J2592" s="197" t="s">
        <v>54</v>
      </c>
      <c r="K2592" s="202">
        <v>10</v>
      </c>
      <c r="L2592" s="202"/>
    </row>
    <row r="2593" spans="1:12" ht="11.25" customHeight="1" x14ac:dyDescent="0.2">
      <c r="A2593" s="191">
        <v>2023</v>
      </c>
      <c r="B2593" s="191">
        <v>12</v>
      </c>
      <c r="C2593" s="191">
        <v>7</v>
      </c>
      <c r="D2593" s="192">
        <f t="shared" si="197"/>
        <v>45267</v>
      </c>
      <c r="E2593" s="193">
        <f>DATE(A2593,B2593,C2593)</f>
        <v>45267</v>
      </c>
      <c r="F2593" s="514"/>
      <c r="G2593" s="194" t="s">
        <v>1209</v>
      </c>
      <c r="H2593" s="195"/>
      <c r="I2593" s="195"/>
      <c r="J2593" s="191" t="s">
        <v>46</v>
      </c>
      <c r="K2593" s="196"/>
      <c r="L2593" s="196">
        <v>10</v>
      </c>
    </row>
    <row r="2594" spans="1:12" ht="11.25" customHeight="1" x14ac:dyDescent="0.2">
      <c r="A2594" s="210">
        <v>2023</v>
      </c>
      <c r="B2594" s="210">
        <v>12</v>
      </c>
      <c r="C2594" s="210">
        <v>7</v>
      </c>
      <c r="D2594" s="211">
        <f t="shared" si="197"/>
        <v>45267</v>
      </c>
      <c r="E2594" s="238">
        <f t="shared" si="198"/>
        <v>45267</v>
      </c>
      <c r="F2594" s="520" t="s">
        <v>1278</v>
      </c>
      <c r="G2594" s="213" t="s">
        <v>1245</v>
      </c>
      <c r="H2594" s="214"/>
      <c r="I2594" s="214" t="s">
        <v>1253</v>
      </c>
      <c r="J2594" s="210" t="s">
        <v>1529</v>
      </c>
      <c r="K2594" s="215">
        <v>6512.28</v>
      </c>
      <c r="L2594" s="215"/>
    </row>
    <row r="2595" spans="1:12" ht="11.25" customHeight="1" x14ac:dyDescent="0.2">
      <c r="A2595" s="216">
        <v>2023</v>
      </c>
      <c r="B2595" s="216">
        <v>12</v>
      </c>
      <c r="C2595" s="216">
        <v>7</v>
      </c>
      <c r="D2595" s="217">
        <f t="shared" si="197"/>
        <v>45267</v>
      </c>
      <c r="E2595" s="239">
        <f t="shared" si="198"/>
        <v>45267</v>
      </c>
      <c r="F2595" s="521"/>
      <c r="G2595" s="219" t="s">
        <v>1245</v>
      </c>
      <c r="H2595" s="220"/>
      <c r="I2595" s="220" t="s">
        <v>1253</v>
      </c>
      <c r="J2595" s="216" t="s">
        <v>1581</v>
      </c>
      <c r="K2595" s="221"/>
      <c r="L2595" s="221">
        <v>6512.28</v>
      </c>
    </row>
    <row r="2596" spans="1:12" ht="11.25" customHeight="1" x14ac:dyDescent="0.2">
      <c r="A2596" s="210">
        <v>2023</v>
      </c>
      <c r="B2596" s="210">
        <v>12</v>
      </c>
      <c r="C2596" s="210">
        <v>7</v>
      </c>
      <c r="D2596" s="211">
        <f t="shared" si="197"/>
        <v>45267</v>
      </c>
      <c r="E2596" s="238">
        <f t="shared" si="198"/>
        <v>45267</v>
      </c>
      <c r="F2596" s="520" t="s">
        <v>1285</v>
      </c>
      <c r="G2596" s="213" t="s">
        <v>1245</v>
      </c>
      <c r="H2596" s="214"/>
      <c r="I2596" s="214" t="s">
        <v>1253</v>
      </c>
      <c r="J2596" s="210" t="s">
        <v>1284</v>
      </c>
      <c r="K2596" s="215">
        <v>13771.15</v>
      </c>
      <c r="L2596" s="215"/>
    </row>
    <row r="2597" spans="1:12" ht="11.25" customHeight="1" x14ac:dyDescent="0.2">
      <c r="A2597" s="242">
        <v>2023</v>
      </c>
      <c r="B2597" s="216">
        <v>12</v>
      </c>
      <c r="C2597" s="216">
        <v>7</v>
      </c>
      <c r="D2597" s="243">
        <f t="shared" si="197"/>
        <v>45267</v>
      </c>
      <c r="E2597" s="244">
        <f>DATE(A2597,B2597,C2597)</f>
        <v>45267</v>
      </c>
      <c r="F2597" s="524"/>
      <c r="G2597" s="245" t="s">
        <v>1245</v>
      </c>
      <c r="H2597" s="246"/>
      <c r="I2597" s="246"/>
      <c r="J2597" s="242" t="s">
        <v>1582</v>
      </c>
      <c r="K2597" s="247"/>
      <c r="L2597" s="247">
        <v>13771.15</v>
      </c>
    </row>
    <row r="2598" spans="1:12" ht="11.25" customHeight="1" x14ac:dyDescent="0.2">
      <c r="A2598" s="210">
        <v>2023</v>
      </c>
      <c r="B2598" s="210">
        <v>12</v>
      </c>
      <c r="C2598" s="210">
        <v>7</v>
      </c>
      <c r="D2598" s="211">
        <f t="shared" si="197"/>
        <v>45267</v>
      </c>
      <c r="E2598" s="238">
        <f t="shared" si="198"/>
        <v>45267</v>
      </c>
      <c r="F2598" s="520" t="s">
        <v>1259</v>
      </c>
      <c r="G2598" s="213" t="s">
        <v>1245</v>
      </c>
      <c r="H2598" s="214"/>
      <c r="I2598" s="214" t="s">
        <v>1253</v>
      </c>
      <c r="J2598" s="210" t="s">
        <v>58</v>
      </c>
      <c r="K2598" s="215">
        <v>2222.44</v>
      </c>
      <c r="L2598" s="215"/>
    </row>
    <row r="2599" spans="1:12" ht="11.25" customHeight="1" x14ac:dyDescent="0.2">
      <c r="A2599" s="216">
        <v>2023</v>
      </c>
      <c r="B2599" s="216">
        <v>12</v>
      </c>
      <c r="C2599" s="216">
        <v>7</v>
      </c>
      <c r="D2599" s="217">
        <f t="shared" si="197"/>
        <v>45267</v>
      </c>
      <c r="E2599" s="239">
        <f t="shared" si="198"/>
        <v>45267</v>
      </c>
      <c r="F2599" s="521"/>
      <c r="G2599" s="219" t="s">
        <v>1245</v>
      </c>
      <c r="H2599" s="220"/>
      <c r="I2599" s="220" t="s">
        <v>1253</v>
      </c>
      <c r="J2599" s="216" t="s">
        <v>153</v>
      </c>
      <c r="K2599" s="221"/>
      <c r="L2599" s="221">
        <v>2222.44</v>
      </c>
    </row>
    <row r="2600" spans="1:12" ht="11.25" customHeight="1" x14ac:dyDescent="0.2">
      <c r="A2600" s="210">
        <v>2023</v>
      </c>
      <c r="B2600" s="210">
        <v>12</v>
      </c>
      <c r="C2600" s="210">
        <v>7</v>
      </c>
      <c r="D2600" s="211">
        <f t="shared" si="197"/>
        <v>45267</v>
      </c>
      <c r="E2600" s="238">
        <f t="shared" si="198"/>
        <v>45267</v>
      </c>
      <c r="F2600" s="520" t="s">
        <v>1256</v>
      </c>
      <c r="G2600" s="213" t="s">
        <v>1245</v>
      </c>
      <c r="H2600" s="214"/>
      <c r="I2600" s="214" t="s">
        <v>1253</v>
      </c>
      <c r="J2600" s="210" t="s">
        <v>113</v>
      </c>
      <c r="K2600" s="215">
        <v>200802.88461538462</v>
      </c>
      <c r="L2600" s="215"/>
    </row>
    <row r="2601" spans="1:12" ht="11.25" customHeight="1" x14ac:dyDescent="0.2">
      <c r="A2601" s="216">
        <v>2023</v>
      </c>
      <c r="B2601" s="216">
        <v>12</v>
      </c>
      <c r="C2601" s="216">
        <v>7</v>
      </c>
      <c r="D2601" s="217">
        <f t="shared" si="197"/>
        <v>45267</v>
      </c>
      <c r="E2601" s="239">
        <f t="shared" si="198"/>
        <v>45267</v>
      </c>
      <c r="F2601" s="521"/>
      <c r="G2601" s="219" t="s">
        <v>1245</v>
      </c>
      <c r="H2601" s="220"/>
      <c r="I2601" s="220" t="s">
        <v>1253</v>
      </c>
      <c r="J2601" s="216" t="s">
        <v>153</v>
      </c>
      <c r="K2601" s="221"/>
      <c r="L2601" s="221">
        <v>200802.88461538462</v>
      </c>
    </row>
    <row r="2602" spans="1:12" ht="11.25" customHeight="1" x14ac:dyDescent="0.2">
      <c r="A2602" s="259">
        <v>2023</v>
      </c>
      <c r="B2602" s="259">
        <v>12</v>
      </c>
      <c r="C2602" s="259">
        <v>7</v>
      </c>
      <c r="D2602" s="260">
        <f t="shared" si="197"/>
        <v>45267</v>
      </c>
      <c r="E2602" s="261">
        <f t="shared" si="198"/>
        <v>45267</v>
      </c>
      <c r="F2602" s="531" t="s">
        <v>1442</v>
      </c>
      <c r="G2602" s="262" t="s">
        <v>1245</v>
      </c>
      <c r="H2602" s="263"/>
      <c r="I2602" s="263" t="s">
        <v>1253</v>
      </c>
      <c r="J2602" s="259" t="s">
        <v>1476</v>
      </c>
      <c r="K2602" s="264">
        <v>5245.7199999999975</v>
      </c>
      <c r="L2602" s="264"/>
    </row>
    <row r="2603" spans="1:12" ht="11.25" customHeight="1" x14ac:dyDescent="0.2">
      <c r="A2603" s="265">
        <v>2023</v>
      </c>
      <c r="B2603" s="265">
        <v>12</v>
      </c>
      <c r="C2603" s="265">
        <v>7</v>
      </c>
      <c r="D2603" s="266">
        <f t="shared" si="197"/>
        <v>45267</v>
      </c>
      <c r="E2603" s="267">
        <f t="shared" si="198"/>
        <v>45267</v>
      </c>
      <c r="F2603" s="532"/>
      <c r="G2603" s="268" t="s">
        <v>1245</v>
      </c>
      <c r="H2603" s="269"/>
      <c r="I2603" s="269" t="s">
        <v>1253</v>
      </c>
      <c r="J2603" s="265" t="s">
        <v>153</v>
      </c>
      <c r="K2603" s="270"/>
      <c r="L2603" s="270">
        <v>5245.7199999999975</v>
      </c>
    </row>
    <row r="2604" spans="1:12" ht="11.25" customHeight="1" x14ac:dyDescent="0.2">
      <c r="A2604" s="312">
        <v>2023</v>
      </c>
      <c r="B2604" s="312">
        <v>12</v>
      </c>
      <c r="C2604" s="312">
        <v>7</v>
      </c>
      <c r="D2604" s="313">
        <f t="shared" si="197"/>
        <v>45267</v>
      </c>
      <c r="E2604" s="314">
        <f t="shared" si="198"/>
        <v>45267</v>
      </c>
      <c r="F2604" s="522" t="s">
        <v>1477</v>
      </c>
      <c r="G2604" s="315" t="s">
        <v>1245</v>
      </c>
      <c r="H2604" s="316"/>
      <c r="I2604" s="316" t="s">
        <v>1253</v>
      </c>
      <c r="J2604" s="312" t="s">
        <v>1460</v>
      </c>
      <c r="K2604" s="317">
        <v>124140.57999999821</v>
      </c>
      <c r="L2604" s="317"/>
    </row>
    <row r="2605" spans="1:12" ht="11.25" customHeight="1" x14ac:dyDescent="0.2">
      <c r="A2605" s="318">
        <v>2023</v>
      </c>
      <c r="B2605" s="318">
        <v>12</v>
      </c>
      <c r="C2605" s="318">
        <v>7</v>
      </c>
      <c r="D2605" s="319">
        <f t="shared" si="197"/>
        <v>45267</v>
      </c>
      <c r="E2605" s="320">
        <f t="shared" si="198"/>
        <v>45267</v>
      </c>
      <c r="F2605" s="523"/>
      <c r="G2605" s="321" t="s">
        <v>1245</v>
      </c>
      <c r="H2605" s="322"/>
      <c r="I2605" s="322" t="s">
        <v>1253</v>
      </c>
      <c r="J2605" s="318" t="s">
        <v>1458</v>
      </c>
      <c r="K2605" s="323"/>
      <c r="L2605" s="323">
        <v>124140.57999999821</v>
      </c>
    </row>
    <row r="2606" spans="1:12" ht="11.25" customHeight="1" x14ac:dyDescent="0.2">
      <c r="A2606" s="222">
        <v>2023</v>
      </c>
      <c r="B2606" s="222">
        <v>12</v>
      </c>
      <c r="C2606" s="222">
        <v>7</v>
      </c>
      <c r="D2606" s="223">
        <f t="shared" si="197"/>
        <v>45267</v>
      </c>
      <c r="E2606" s="240">
        <f t="shared" si="198"/>
        <v>45267</v>
      </c>
      <c r="F2606" s="511" t="s">
        <v>1244</v>
      </c>
      <c r="G2606" s="225" t="s">
        <v>1245</v>
      </c>
      <c r="H2606" s="226"/>
      <c r="I2606" s="226" t="s">
        <v>1253</v>
      </c>
      <c r="J2606" s="222" t="s">
        <v>72</v>
      </c>
      <c r="K2606" s="227">
        <v>25329.708095237613</v>
      </c>
      <c r="L2606" s="227"/>
    </row>
    <row r="2607" spans="1:12" ht="11.25" customHeight="1" x14ac:dyDescent="0.2">
      <c r="A2607" s="228">
        <v>2023</v>
      </c>
      <c r="B2607" s="228">
        <v>12</v>
      </c>
      <c r="C2607" s="228">
        <v>7</v>
      </c>
      <c r="D2607" s="229">
        <f t="shared" si="197"/>
        <v>45267</v>
      </c>
      <c r="E2607" s="241">
        <f t="shared" si="198"/>
        <v>45267</v>
      </c>
      <c r="F2607" s="512"/>
      <c r="G2607" s="231" t="s">
        <v>1245</v>
      </c>
      <c r="H2607" s="232"/>
      <c r="I2607" s="232" t="s">
        <v>1253</v>
      </c>
      <c r="J2607" s="228" t="s">
        <v>87</v>
      </c>
      <c r="K2607" s="233"/>
      <c r="L2607" s="233">
        <v>25329.708095237613</v>
      </c>
    </row>
    <row r="2608" spans="1:12" ht="11.25" customHeight="1" x14ac:dyDescent="0.2">
      <c r="A2608" s="222">
        <v>2023</v>
      </c>
      <c r="B2608" s="222">
        <v>12</v>
      </c>
      <c r="C2608" s="222">
        <v>7</v>
      </c>
      <c r="D2608" s="223">
        <f t="shared" si="197"/>
        <v>45267</v>
      </c>
      <c r="E2608" s="240">
        <f t="shared" si="198"/>
        <v>45267</v>
      </c>
      <c r="F2608" s="511" t="s">
        <v>1246</v>
      </c>
      <c r="G2608" s="225" t="s">
        <v>1245</v>
      </c>
      <c r="H2608" s="226"/>
      <c r="I2608" s="226" t="s">
        <v>1253</v>
      </c>
      <c r="J2608" s="222" t="s">
        <v>75</v>
      </c>
      <c r="K2608" s="227">
        <v>3623.123846153846</v>
      </c>
      <c r="L2608" s="227"/>
    </row>
    <row r="2609" spans="1:14" ht="11.25" customHeight="1" x14ac:dyDescent="0.2">
      <c r="A2609" s="228">
        <v>2023</v>
      </c>
      <c r="B2609" s="228">
        <v>12</v>
      </c>
      <c r="C2609" s="228">
        <v>7</v>
      </c>
      <c r="D2609" s="229">
        <f t="shared" si="197"/>
        <v>45267</v>
      </c>
      <c r="E2609" s="241">
        <f t="shared" si="198"/>
        <v>45267</v>
      </c>
      <c r="F2609" s="512"/>
      <c r="G2609" s="231" t="s">
        <v>1245</v>
      </c>
      <c r="H2609" s="232"/>
      <c r="I2609" s="232" t="s">
        <v>1253</v>
      </c>
      <c r="J2609" s="228" t="s">
        <v>55</v>
      </c>
      <c r="K2609" s="233"/>
      <c r="L2609" s="233">
        <v>3623.123846153846</v>
      </c>
    </row>
    <row r="2610" spans="1:14" ht="11.25" customHeight="1" x14ac:dyDescent="0.2">
      <c r="A2610" s="222">
        <v>2023</v>
      </c>
      <c r="B2610" s="222">
        <v>12</v>
      </c>
      <c r="C2610" s="222">
        <v>7</v>
      </c>
      <c r="D2610" s="223">
        <f t="shared" si="197"/>
        <v>45267</v>
      </c>
      <c r="E2610" s="240">
        <f t="shared" si="198"/>
        <v>45267</v>
      </c>
      <c r="F2610" s="511" t="s">
        <v>1247</v>
      </c>
      <c r="G2610" s="225" t="s">
        <v>1245</v>
      </c>
      <c r="H2610" s="226"/>
      <c r="I2610" s="226" t="s">
        <v>1253</v>
      </c>
      <c r="J2610" s="222" t="s">
        <v>77</v>
      </c>
      <c r="K2610" s="227"/>
      <c r="L2610" s="227"/>
    </row>
    <row r="2611" spans="1:14" ht="11.25" customHeight="1" x14ac:dyDescent="0.2">
      <c r="A2611" s="228">
        <v>2023</v>
      </c>
      <c r="B2611" s="228">
        <v>12</v>
      </c>
      <c r="C2611" s="228">
        <v>7</v>
      </c>
      <c r="D2611" s="229">
        <f t="shared" si="197"/>
        <v>45267</v>
      </c>
      <c r="E2611" s="241">
        <f t="shared" si="198"/>
        <v>45267</v>
      </c>
      <c r="F2611" s="512"/>
      <c r="G2611" s="231" t="s">
        <v>1245</v>
      </c>
      <c r="H2611" s="232"/>
      <c r="I2611" s="232" t="s">
        <v>1253</v>
      </c>
      <c r="J2611" s="228" t="s">
        <v>41</v>
      </c>
      <c r="K2611" s="233"/>
      <c r="L2611" s="233"/>
    </row>
    <row r="2612" spans="1:14" ht="11.25" customHeight="1" x14ac:dyDescent="0.2">
      <c r="A2612" s="222">
        <v>2023</v>
      </c>
      <c r="B2612" s="222">
        <v>12</v>
      </c>
      <c r="C2612" s="222">
        <v>7</v>
      </c>
      <c r="D2612" s="223">
        <f t="shared" si="197"/>
        <v>45267</v>
      </c>
      <c r="E2612" s="240">
        <f t="shared" si="198"/>
        <v>45267</v>
      </c>
      <c r="F2612" s="511" t="s">
        <v>1248</v>
      </c>
      <c r="G2612" s="225" t="s">
        <v>1245</v>
      </c>
      <c r="H2612" s="226"/>
      <c r="I2612" s="226" t="s">
        <v>1253</v>
      </c>
      <c r="J2612" s="222" t="s">
        <v>80</v>
      </c>
      <c r="K2612" s="227">
        <v>2279.04950290024</v>
      </c>
      <c r="L2612" s="227"/>
    </row>
    <row r="2613" spans="1:14" ht="11.25" customHeight="1" x14ac:dyDescent="0.2">
      <c r="A2613" s="228">
        <v>2023</v>
      </c>
      <c r="B2613" s="228">
        <v>12</v>
      </c>
      <c r="C2613" s="228">
        <v>7</v>
      </c>
      <c r="D2613" s="229">
        <f t="shared" si="197"/>
        <v>45267</v>
      </c>
      <c r="E2613" s="241">
        <f t="shared" si="198"/>
        <v>45267</v>
      </c>
      <c r="F2613" s="512"/>
      <c r="G2613" s="231" t="s">
        <v>1245</v>
      </c>
      <c r="H2613" s="232"/>
      <c r="I2613" s="232" t="s">
        <v>1253</v>
      </c>
      <c r="J2613" s="228" t="s">
        <v>42</v>
      </c>
      <c r="K2613" s="233"/>
      <c r="L2613" s="233">
        <v>2279.04950290024</v>
      </c>
    </row>
    <row r="2614" spans="1:14" ht="11.25" customHeight="1" x14ac:dyDescent="0.2">
      <c r="A2614" s="197">
        <v>2023</v>
      </c>
      <c r="B2614" s="197">
        <v>12</v>
      </c>
      <c r="C2614" s="197">
        <v>10</v>
      </c>
      <c r="D2614" s="198">
        <f t="shared" si="197"/>
        <v>45270</v>
      </c>
      <c r="E2614" s="199">
        <f t="shared" si="198"/>
        <v>45270</v>
      </c>
      <c r="F2614" s="513" t="s">
        <v>1495</v>
      </c>
      <c r="G2614" s="200" t="s">
        <v>1209</v>
      </c>
      <c r="H2614" s="201"/>
      <c r="I2614" s="201" t="s">
        <v>1253</v>
      </c>
      <c r="J2614" s="197" t="s">
        <v>46</v>
      </c>
      <c r="K2614" s="202">
        <v>43000000</v>
      </c>
      <c r="L2614" s="202"/>
    </row>
    <row r="2615" spans="1:14" ht="11.25" customHeight="1" x14ac:dyDescent="0.2">
      <c r="A2615" s="120">
        <v>2023</v>
      </c>
      <c r="B2615" s="120">
        <v>12</v>
      </c>
      <c r="C2615" s="120">
        <v>10</v>
      </c>
      <c r="D2615" s="208">
        <f t="shared" ref="D2615:D2678" si="199">DATE(A2615,B2615,C2615)</f>
        <v>45270</v>
      </c>
      <c r="E2615" s="209">
        <f t="shared" si="198"/>
        <v>45270</v>
      </c>
      <c r="F2615" s="515"/>
      <c r="G2615" s="132" t="s">
        <v>1209</v>
      </c>
      <c r="J2615" s="120" t="s">
        <v>1462</v>
      </c>
      <c r="K2615" s="120"/>
      <c r="L2615" s="207">
        <v>156778</v>
      </c>
    </row>
    <row r="2616" spans="1:14" ht="11.25" customHeight="1" x14ac:dyDescent="0.2">
      <c r="A2616" s="191">
        <v>2023</v>
      </c>
      <c r="B2616" s="191">
        <v>12</v>
      </c>
      <c r="C2616" s="191">
        <v>10</v>
      </c>
      <c r="D2616" s="192">
        <f t="shared" si="199"/>
        <v>45270</v>
      </c>
      <c r="E2616" s="193">
        <f t="shared" si="198"/>
        <v>45270</v>
      </c>
      <c r="F2616" s="514"/>
      <c r="G2616" s="194" t="s">
        <v>1209</v>
      </c>
      <c r="H2616" s="195"/>
      <c r="I2616" s="195" t="s">
        <v>1253</v>
      </c>
      <c r="J2616" s="191" t="s">
        <v>1455</v>
      </c>
      <c r="K2616" s="196"/>
      <c r="L2616" s="196">
        <v>42843222</v>
      </c>
      <c r="N2616" s="130"/>
    </row>
    <row r="2617" spans="1:14" ht="11.25" customHeight="1" x14ac:dyDescent="0.2">
      <c r="A2617" s="197">
        <v>2023</v>
      </c>
      <c r="B2617" s="197">
        <v>12</v>
      </c>
      <c r="C2617" s="197">
        <v>10</v>
      </c>
      <c r="D2617" s="198">
        <f t="shared" si="199"/>
        <v>45270</v>
      </c>
      <c r="E2617" s="209">
        <f t="shared" si="198"/>
        <v>45270</v>
      </c>
      <c r="F2617" s="513" t="s">
        <v>1423</v>
      </c>
      <c r="G2617" s="200" t="s">
        <v>1209</v>
      </c>
      <c r="H2617" s="201"/>
      <c r="I2617" s="201"/>
      <c r="J2617" s="197" t="s">
        <v>16</v>
      </c>
      <c r="K2617" s="202">
        <v>4910</v>
      </c>
      <c r="L2617" s="202"/>
    </row>
    <row r="2618" spans="1:14" ht="11.25" customHeight="1" x14ac:dyDescent="0.2">
      <c r="A2618" s="120">
        <v>2023</v>
      </c>
      <c r="B2618" s="120">
        <v>12</v>
      </c>
      <c r="C2618" s="120">
        <v>10</v>
      </c>
      <c r="D2618" s="208">
        <f t="shared" si="199"/>
        <v>45270</v>
      </c>
      <c r="E2618" s="209">
        <f t="shared" si="198"/>
        <v>45270</v>
      </c>
      <c r="F2618" s="515"/>
      <c r="G2618" s="132" t="s">
        <v>1209</v>
      </c>
      <c r="J2618" s="120" t="s">
        <v>47</v>
      </c>
      <c r="K2618" s="207">
        <v>307.85999999999967</v>
      </c>
      <c r="L2618" s="207"/>
    </row>
    <row r="2619" spans="1:14" ht="11.25" customHeight="1" x14ac:dyDescent="0.2">
      <c r="A2619" s="191">
        <v>2023</v>
      </c>
      <c r="B2619" s="191">
        <v>12</v>
      </c>
      <c r="C2619" s="191">
        <v>10</v>
      </c>
      <c r="D2619" s="192">
        <f t="shared" si="199"/>
        <v>45270</v>
      </c>
      <c r="E2619" s="193">
        <f t="shared" si="198"/>
        <v>45270</v>
      </c>
      <c r="F2619" s="514"/>
      <c r="G2619" s="194" t="s">
        <v>1209</v>
      </c>
      <c r="H2619" s="195"/>
      <c r="I2619" s="195"/>
      <c r="J2619" s="191" t="s">
        <v>46</v>
      </c>
      <c r="K2619" s="196"/>
      <c r="L2619" s="196">
        <v>5217.8599999999997</v>
      </c>
    </row>
    <row r="2620" spans="1:14" ht="11.25" customHeight="1" x14ac:dyDescent="0.2">
      <c r="A2620" s="197">
        <v>2023</v>
      </c>
      <c r="B2620" s="120">
        <v>12</v>
      </c>
      <c r="C2620" s="120">
        <v>11</v>
      </c>
      <c r="D2620" s="198">
        <f t="shared" si="199"/>
        <v>45271</v>
      </c>
      <c r="E2620" s="199">
        <f t="shared" si="198"/>
        <v>45271</v>
      </c>
      <c r="F2620" s="513" t="s">
        <v>1496</v>
      </c>
      <c r="G2620" s="200" t="s">
        <v>1209</v>
      </c>
      <c r="H2620" s="200"/>
      <c r="I2620" s="201" t="s">
        <v>1253</v>
      </c>
      <c r="J2620" s="197" t="s">
        <v>70</v>
      </c>
      <c r="K2620" s="202">
        <v>36950</v>
      </c>
      <c r="L2620" s="202"/>
    </row>
    <row r="2621" spans="1:14" ht="11.25" customHeight="1" x14ac:dyDescent="0.2">
      <c r="A2621" s="120">
        <v>2023</v>
      </c>
      <c r="B2621" s="120">
        <v>12</v>
      </c>
      <c r="C2621" s="120">
        <v>11</v>
      </c>
      <c r="D2621" s="208">
        <f t="shared" si="199"/>
        <v>45271</v>
      </c>
      <c r="E2621" s="209">
        <f t="shared" si="198"/>
        <v>45271</v>
      </c>
      <c r="F2621" s="515"/>
      <c r="G2621" s="132" t="s">
        <v>1209</v>
      </c>
      <c r="H2621" s="132"/>
      <c r="I2621" s="128" t="s">
        <v>1253</v>
      </c>
      <c r="J2621" s="120" t="s">
        <v>46</v>
      </c>
      <c r="K2621" s="207">
        <v>2363050</v>
      </c>
      <c r="L2621" s="207"/>
    </row>
    <row r="2622" spans="1:14" ht="11.25" customHeight="1" x14ac:dyDescent="0.2">
      <c r="A2622" s="191">
        <v>2023</v>
      </c>
      <c r="B2622" s="191">
        <v>12</v>
      </c>
      <c r="C2622" s="191">
        <v>11</v>
      </c>
      <c r="D2622" s="192">
        <f t="shared" si="199"/>
        <v>45271</v>
      </c>
      <c r="E2622" s="193">
        <f t="shared" si="198"/>
        <v>45271</v>
      </c>
      <c r="F2622" s="514"/>
      <c r="G2622" s="194" t="s">
        <v>1209</v>
      </c>
      <c r="H2622" s="194"/>
      <c r="I2622" s="195"/>
      <c r="J2622" s="191" t="s">
        <v>175</v>
      </c>
      <c r="K2622" s="196"/>
      <c r="L2622" s="196">
        <v>2400000</v>
      </c>
      <c r="M2622" s="251"/>
    </row>
    <row r="2623" spans="1:14" ht="11.25" customHeight="1" x14ac:dyDescent="0.2">
      <c r="A2623" s="197">
        <v>2023</v>
      </c>
      <c r="B2623" s="197">
        <v>12</v>
      </c>
      <c r="C2623" s="197">
        <v>11</v>
      </c>
      <c r="D2623" s="198">
        <f t="shared" si="199"/>
        <v>45271</v>
      </c>
      <c r="E2623" s="199">
        <f t="shared" si="198"/>
        <v>45271</v>
      </c>
      <c r="F2623" s="513" t="s">
        <v>1497</v>
      </c>
      <c r="G2623" s="200" t="s">
        <v>1209</v>
      </c>
      <c r="H2623" s="201"/>
      <c r="I2623" s="201" t="s">
        <v>1253</v>
      </c>
      <c r="J2623" s="197" t="s">
        <v>1455</v>
      </c>
      <c r="K2623" s="202">
        <v>19466140</v>
      </c>
      <c r="L2623" s="202"/>
    </row>
    <row r="2624" spans="1:14" ht="11.25" customHeight="1" x14ac:dyDescent="0.2">
      <c r="A2624" s="191">
        <v>2023</v>
      </c>
      <c r="B2624" s="191">
        <v>12</v>
      </c>
      <c r="C2624" s="191">
        <v>11</v>
      </c>
      <c r="D2624" s="192">
        <f t="shared" si="199"/>
        <v>45271</v>
      </c>
      <c r="E2624" s="193">
        <f t="shared" si="198"/>
        <v>45271</v>
      </c>
      <c r="F2624" s="514"/>
      <c r="G2624" s="194" t="s">
        <v>1209</v>
      </c>
      <c r="H2624" s="195"/>
      <c r="I2624" s="195" t="s">
        <v>1253</v>
      </c>
      <c r="J2624" s="191" t="s">
        <v>46</v>
      </c>
      <c r="K2624" s="196"/>
      <c r="L2624" s="196">
        <v>19466140</v>
      </c>
      <c r="N2624" s="130"/>
    </row>
    <row r="2625" spans="1:12" ht="11.25" customHeight="1" x14ac:dyDescent="0.2">
      <c r="A2625" s="197">
        <v>2023</v>
      </c>
      <c r="B2625" s="197">
        <v>12</v>
      </c>
      <c r="C2625" s="197">
        <v>11</v>
      </c>
      <c r="D2625" s="198">
        <f t="shared" si="199"/>
        <v>45271</v>
      </c>
      <c r="E2625" s="209">
        <f>DATE(A2625,B2625,C2625)</f>
        <v>45271</v>
      </c>
      <c r="F2625" s="513" t="s">
        <v>1280</v>
      </c>
      <c r="G2625" s="200" t="s">
        <v>1209</v>
      </c>
      <c r="H2625" s="201"/>
      <c r="I2625" s="201" t="s">
        <v>880</v>
      </c>
      <c r="J2625" s="197" t="s">
        <v>16</v>
      </c>
      <c r="K2625" s="202">
        <v>98930</v>
      </c>
      <c r="L2625" s="202"/>
    </row>
    <row r="2626" spans="1:12" ht="11.25" customHeight="1" x14ac:dyDescent="0.2">
      <c r="A2626" s="120">
        <v>2023</v>
      </c>
      <c r="B2626" s="120">
        <v>12</v>
      </c>
      <c r="C2626" s="120">
        <v>11</v>
      </c>
      <c r="D2626" s="208">
        <f t="shared" si="199"/>
        <v>45271</v>
      </c>
      <c r="E2626" s="209">
        <f>DATE(A2626,B2626,C2626)</f>
        <v>45271</v>
      </c>
      <c r="F2626" s="515"/>
      <c r="G2626" s="132" t="s">
        <v>1209</v>
      </c>
      <c r="I2626" s="128" t="s">
        <v>880</v>
      </c>
      <c r="J2626" s="120" t="s">
        <v>47</v>
      </c>
      <c r="K2626" s="207">
        <v>6202.9100000000035</v>
      </c>
      <c r="L2626" s="207"/>
    </row>
    <row r="2627" spans="1:12" ht="11.25" customHeight="1" x14ac:dyDescent="0.2">
      <c r="A2627" s="191">
        <v>2023</v>
      </c>
      <c r="B2627" s="191">
        <v>12</v>
      </c>
      <c r="C2627" s="191">
        <v>11</v>
      </c>
      <c r="D2627" s="192">
        <f t="shared" si="199"/>
        <v>45271</v>
      </c>
      <c r="E2627" s="193">
        <f>DATE(A2627,B2627,C2627)</f>
        <v>45271</v>
      </c>
      <c r="F2627" s="514"/>
      <c r="G2627" s="194" t="s">
        <v>1209</v>
      </c>
      <c r="H2627" s="195"/>
      <c r="I2627" s="195" t="s">
        <v>880</v>
      </c>
      <c r="J2627" s="191" t="s">
        <v>46</v>
      </c>
      <c r="K2627" s="196"/>
      <c r="L2627" s="196">
        <v>105132.91</v>
      </c>
    </row>
    <row r="2628" spans="1:12" ht="11.25" customHeight="1" x14ac:dyDescent="0.2">
      <c r="A2628" s="197">
        <v>2023</v>
      </c>
      <c r="B2628" s="197">
        <v>12</v>
      </c>
      <c r="C2628" s="197">
        <v>11</v>
      </c>
      <c r="D2628" s="198">
        <f t="shared" si="199"/>
        <v>45271</v>
      </c>
      <c r="E2628" s="209">
        <f t="shared" ref="E2628:E2635" si="200">DATE(A2628,B2628,C2628)</f>
        <v>45271</v>
      </c>
      <c r="F2628" s="513" t="s">
        <v>1280</v>
      </c>
      <c r="G2628" s="200" t="s">
        <v>1209</v>
      </c>
      <c r="H2628" s="201"/>
      <c r="I2628" s="201" t="s">
        <v>1301</v>
      </c>
      <c r="J2628" s="197" t="s">
        <v>16</v>
      </c>
      <c r="K2628" s="202">
        <v>100000</v>
      </c>
      <c r="L2628" s="202"/>
    </row>
    <row r="2629" spans="1:12" ht="11.25" customHeight="1" x14ac:dyDescent="0.2">
      <c r="A2629" s="120">
        <v>2023</v>
      </c>
      <c r="B2629" s="120">
        <v>12</v>
      </c>
      <c r="C2629" s="120">
        <v>11</v>
      </c>
      <c r="D2629" s="208">
        <f t="shared" si="199"/>
        <v>45271</v>
      </c>
      <c r="E2629" s="209">
        <f t="shared" si="200"/>
        <v>45271</v>
      </c>
      <c r="F2629" s="515"/>
      <c r="G2629" s="132" t="s">
        <v>1209</v>
      </c>
      <c r="I2629" s="128" t="s">
        <v>1301</v>
      </c>
      <c r="J2629" s="120" t="s">
        <v>47</v>
      </c>
      <c r="K2629" s="207">
        <v>6270</v>
      </c>
      <c r="L2629" s="207"/>
    </row>
    <row r="2630" spans="1:12" ht="11.25" customHeight="1" x14ac:dyDescent="0.2">
      <c r="A2630" s="191">
        <v>2023</v>
      </c>
      <c r="B2630" s="191">
        <v>12</v>
      </c>
      <c r="C2630" s="191">
        <v>11</v>
      </c>
      <c r="D2630" s="192">
        <f t="shared" si="199"/>
        <v>45271</v>
      </c>
      <c r="E2630" s="193">
        <f t="shared" si="200"/>
        <v>45271</v>
      </c>
      <c r="F2630" s="514"/>
      <c r="G2630" s="194" t="s">
        <v>1209</v>
      </c>
      <c r="H2630" s="195"/>
      <c r="I2630" s="195" t="s">
        <v>1301</v>
      </c>
      <c r="J2630" s="191" t="s">
        <v>46</v>
      </c>
      <c r="K2630" s="196"/>
      <c r="L2630" s="196">
        <v>106270</v>
      </c>
    </row>
    <row r="2631" spans="1:12" ht="11.25" customHeight="1" x14ac:dyDescent="0.2">
      <c r="A2631" s="197">
        <v>2023</v>
      </c>
      <c r="B2631" s="197">
        <v>12</v>
      </c>
      <c r="C2631" s="197">
        <v>11</v>
      </c>
      <c r="D2631" s="198">
        <f t="shared" si="199"/>
        <v>45271</v>
      </c>
      <c r="E2631" s="199">
        <f t="shared" si="200"/>
        <v>45271</v>
      </c>
      <c r="F2631" s="513" t="s">
        <v>1323</v>
      </c>
      <c r="G2631" s="200" t="s">
        <v>1209</v>
      </c>
      <c r="H2631" s="201"/>
      <c r="I2631" s="201"/>
      <c r="J2631" s="197" t="s">
        <v>54</v>
      </c>
      <c r="K2631" s="202">
        <v>58</v>
      </c>
      <c r="L2631" s="202"/>
    </row>
    <row r="2632" spans="1:12" ht="11.25" customHeight="1" x14ac:dyDescent="0.2">
      <c r="A2632" s="191">
        <v>2023</v>
      </c>
      <c r="B2632" s="191">
        <v>12</v>
      </c>
      <c r="C2632" s="191">
        <v>11</v>
      </c>
      <c r="D2632" s="192">
        <f t="shared" si="199"/>
        <v>45271</v>
      </c>
      <c r="E2632" s="193">
        <f t="shared" si="200"/>
        <v>45271</v>
      </c>
      <c r="F2632" s="514"/>
      <c r="G2632" s="194" t="s">
        <v>1209</v>
      </c>
      <c r="H2632" s="195"/>
      <c r="I2632" s="195"/>
      <c r="J2632" s="191" t="s">
        <v>46</v>
      </c>
      <c r="K2632" s="196"/>
      <c r="L2632" s="196">
        <v>58</v>
      </c>
    </row>
    <row r="2633" spans="1:12" ht="11.25" customHeight="1" x14ac:dyDescent="0.2">
      <c r="A2633" s="197">
        <v>2023</v>
      </c>
      <c r="B2633" s="197">
        <v>12</v>
      </c>
      <c r="C2633" s="197">
        <v>11</v>
      </c>
      <c r="D2633" s="198">
        <f t="shared" si="199"/>
        <v>45271</v>
      </c>
      <c r="E2633" s="209">
        <f t="shared" si="200"/>
        <v>45271</v>
      </c>
      <c r="F2633" s="513" t="s">
        <v>1210</v>
      </c>
      <c r="G2633" s="200" t="s">
        <v>1209</v>
      </c>
      <c r="H2633" s="201"/>
      <c r="I2633" s="201" t="s">
        <v>467</v>
      </c>
      <c r="J2633" s="197" t="s">
        <v>46</v>
      </c>
      <c r="K2633" s="202">
        <v>4565480</v>
      </c>
      <c r="L2633" s="202"/>
    </row>
    <row r="2634" spans="1:12" ht="11.25" customHeight="1" x14ac:dyDescent="0.2">
      <c r="A2634" s="120">
        <v>2023</v>
      </c>
      <c r="B2634" s="120">
        <v>12</v>
      </c>
      <c r="C2634" s="120">
        <v>11</v>
      </c>
      <c r="D2634" s="208">
        <f t="shared" si="199"/>
        <v>45271</v>
      </c>
      <c r="E2634" s="209">
        <f t="shared" si="200"/>
        <v>45271</v>
      </c>
      <c r="F2634" s="515"/>
      <c r="G2634" s="132" t="s">
        <v>1209</v>
      </c>
      <c r="I2634" s="128" t="s">
        <v>467</v>
      </c>
      <c r="J2634" s="120" t="s">
        <v>16</v>
      </c>
      <c r="K2634" s="207"/>
      <c r="L2634" s="207">
        <v>4296110</v>
      </c>
    </row>
    <row r="2635" spans="1:12" ht="11.25" customHeight="1" x14ac:dyDescent="0.2">
      <c r="A2635" s="191">
        <v>2023</v>
      </c>
      <c r="B2635" s="191">
        <v>12</v>
      </c>
      <c r="C2635" s="191">
        <v>11</v>
      </c>
      <c r="D2635" s="192">
        <f t="shared" si="199"/>
        <v>45271</v>
      </c>
      <c r="E2635" s="193">
        <f t="shared" si="200"/>
        <v>45271</v>
      </c>
      <c r="F2635" s="514"/>
      <c r="G2635" s="194" t="s">
        <v>1209</v>
      </c>
      <c r="H2635" s="195"/>
      <c r="I2635" s="195" t="s">
        <v>467</v>
      </c>
      <c r="J2635" s="191" t="s">
        <v>47</v>
      </c>
      <c r="K2635" s="196"/>
      <c r="L2635" s="196">
        <v>269370</v>
      </c>
    </row>
    <row r="2636" spans="1:12" ht="11.25" customHeight="1" x14ac:dyDescent="0.2">
      <c r="A2636" s="197">
        <v>2023</v>
      </c>
      <c r="B2636" s="197">
        <v>12</v>
      </c>
      <c r="C2636" s="197">
        <v>11</v>
      </c>
      <c r="D2636" s="198">
        <f t="shared" si="199"/>
        <v>45271</v>
      </c>
      <c r="E2636" s="209">
        <f t="shared" ref="E2636:E2643" si="201">DATE(A2636,B2636,C2636)</f>
        <v>45271</v>
      </c>
      <c r="F2636" s="513" t="s">
        <v>1210</v>
      </c>
      <c r="G2636" s="200" t="s">
        <v>1209</v>
      </c>
      <c r="H2636" s="201"/>
      <c r="I2636" s="201" t="s">
        <v>1493</v>
      </c>
      <c r="J2636" s="197" t="s">
        <v>46</v>
      </c>
      <c r="K2636" s="202">
        <v>55240</v>
      </c>
      <c r="L2636" s="202"/>
    </row>
    <row r="2637" spans="1:12" ht="11.25" customHeight="1" x14ac:dyDescent="0.2">
      <c r="A2637" s="120">
        <v>2023</v>
      </c>
      <c r="B2637" s="120">
        <v>12</v>
      </c>
      <c r="C2637" s="120">
        <v>11</v>
      </c>
      <c r="D2637" s="208">
        <f t="shared" si="199"/>
        <v>45271</v>
      </c>
      <c r="E2637" s="209">
        <f t="shared" si="201"/>
        <v>45271</v>
      </c>
      <c r="F2637" s="515"/>
      <c r="G2637" s="132" t="s">
        <v>1209</v>
      </c>
      <c r="I2637" s="128" t="s">
        <v>1493</v>
      </c>
      <c r="J2637" s="120" t="s">
        <v>16</v>
      </c>
      <c r="K2637" s="207"/>
      <c r="L2637" s="207">
        <v>51980</v>
      </c>
    </row>
    <row r="2638" spans="1:12" ht="11.25" customHeight="1" x14ac:dyDescent="0.2">
      <c r="A2638" s="191">
        <v>2023</v>
      </c>
      <c r="B2638" s="191">
        <v>12</v>
      </c>
      <c r="C2638" s="191">
        <v>11</v>
      </c>
      <c r="D2638" s="192">
        <f t="shared" si="199"/>
        <v>45271</v>
      </c>
      <c r="E2638" s="193">
        <f t="shared" si="201"/>
        <v>45271</v>
      </c>
      <c r="F2638" s="514"/>
      <c r="G2638" s="194" t="s">
        <v>1209</v>
      </c>
      <c r="H2638" s="195"/>
      <c r="I2638" s="195" t="s">
        <v>1493</v>
      </c>
      <c r="J2638" s="191" t="s">
        <v>47</v>
      </c>
      <c r="K2638" s="196"/>
      <c r="L2638" s="196">
        <v>3260</v>
      </c>
    </row>
    <row r="2639" spans="1:12" ht="11.25" customHeight="1" x14ac:dyDescent="0.2">
      <c r="A2639" s="197">
        <v>2023</v>
      </c>
      <c r="B2639" s="197">
        <v>12</v>
      </c>
      <c r="C2639" s="197">
        <v>11</v>
      </c>
      <c r="D2639" s="198">
        <f t="shared" si="199"/>
        <v>45271</v>
      </c>
      <c r="E2639" s="209">
        <f t="shared" si="201"/>
        <v>45271</v>
      </c>
      <c r="F2639" s="513" t="s">
        <v>1280</v>
      </c>
      <c r="G2639" s="200" t="s">
        <v>1209</v>
      </c>
      <c r="H2639" s="201"/>
      <c r="I2639" s="201" t="s">
        <v>386</v>
      </c>
      <c r="J2639" s="197" t="s">
        <v>16</v>
      </c>
      <c r="K2639" s="202">
        <v>188200</v>
      </c>
      <c r="L2639" s="202"/>
    </row>
    <row r="2640" spans="1:12" ht="11.25" customHeight="1" x14ac:dyDescent="0.2">
      <c r="A2640" s="120">
        <v>2023</v>
      </c>
      <c r="B2640" s="120">
        <v>12</v>
      </c>
      <c r="C2640" s="120">
        <v>11</v>
      </c>
      <c r="D2640" s="208">
        <f t="shared" si="199"/>
        <v>45271</v>
      </c>
      <c r="E2640" s="209">
        <f t="shared" si="201"/>
        <v>45271</v>
      </c>
      <c r="F2640" s="515"/>
      <c r="G2640" s="132" t="s">
        <v>1209</v>
      </c>
      <c r="I2640" s="128" t="s">
        <v>386</v>
      </c>
      <c r="J2640" s="120" t="s">
        <v>47</v>
      </c>
      <c r="K2640" s="207">
        <v>11800</v>
      </c>
      <c r="L2640" s="207"/>
    </row>
    <row r="2641" spans="1:14" ht="11.25" customHeight="1" x14ac:dyDescent="0.2">
      <c r="A2641" s="191">
        <v>2023</v>
      </c>
      <c r="B2641" s="191">
        <v>12</v>
      </c>
      <c r="C2641" s="191">
        <v>11</v>
      </c>
      <c r="D2641" s="192">
        <f t="shared" si="199"/>
        <v>45271</v>
      </c>
      <c r="E2641" s="193">
        <f t="shared" si="201"/>
        <v>45271</v>
      </c>
      <c r="F2641" s="514"/>
      <c r="G2641" s="194" t="s">
        <v>1209</v>
      </c>
      <c r="H2641" s="195"/>
      <c r="I2641" s="195" t="s">
        <v>386</v>
      </c>
      <c r="J2641" s="191" t="s">
        <v>46</v>
      </c>
      <c r="K2641" s="196"/>
      <c r="L2641" s="196">
        <v>200000</v>
      </c>
    </row>
    <row r="2642" spans="1:14" ht="11.25" customHeight="1" x14ac:dyDescent="0.2">
      <c r="A2642" s="197">
        <v>2023</v>
      </c>
      <c r="B2642" s="197">
        <v>12</v>
      </c>
      <c r="C2642" s="197">
        <v>11</v>
      </c>
      <c r="D2642" s="198">
        <f t="shared" si="199"/>
        <v>45271</v>
      </c>
      <c r="E2642" s="199">
        <f t="shared" si="201"/>
        <v>45271</v>
      </c>
      <c r="F2642" s="513" t="s">
        <v>1497</v>
      </c>
      <c r="G2642" s="200" t="s">
        <v>1209</v>
      </c>
      <c r="H2642" s="201"/>
      <c r="I2642" s="201" t="s">
        <v>1253</v>
      </c>
      <c r="J2642" s="197" t="s">
        <v>1455</v>
      </c>
      <c r="K2642" s="202">
        <v>9733070</v>
      </c>
      <c r="L2642" s="202"/>
    </row>
    <row r="2643" spans="1:14" ht="11.25" customHeight="1" x14ac:dyDescent="0.2">
      <c r="A2643" s="191">
        <v>2023</v>
      </c>
      <c r="B2643" s="191">
        <v>12</v>
      </c>
      <c r="C2643" s="191">
        <v>11</v>
      </c>
      <c r="D2643" s="192">
        <f t="shared" si="199"/>
        <v>45271</v>
      </c>
      <c r="E2643" s="193">
        <f t="shared" si="201"/>
        <v>45271</v>
      </c>
      <c r="F2643" s="514"/>
      <c r="G2643" s="194" t="s">
        <v>1209</v>
      </c>
      <c r="H2643" s="195"/>
      <c r="I2643" s="195" t="s">
        <v>1253</v>
      </c>
      <c r="J2643" s="191" t="s">
        <v>46</v>
      </c>
      <c r="K2643" s="196"/>
      <c r="L2643" s="196">
        <v>9733070</v>
      </c>
      <c r="N2643" s="130"/>
    </row>
    <row r="2644" spans="1:14" ht="11.25" customHeight="1" x14ac:dyDescent="0.2">
      <c r="A2644" s="197">
        <v>2023</v>
      </c>
      <c r="B2644" s="197">
        <v>12</v>
      </c>
      <c r="C2644" s="197">
        <v>11</v>
      </c>
      <c r="D2644" s="198">
        <f t="shared" si="199"/>
        <v>45271</v>
      </c>
      <c r="E2644" s="199">
        <f t="shared" ref="E2644:E2656" si="202">DATE(A2644,B2644,C2644)</f>
        <v>45271</v>
      </c>
      <c r="F2644" s="513" t="s">
        <v>1497</v>
      </c>
      <c r="G2644" s="200" t="s">
        <v>1209</v>
      </c>
      <c r="H2644" s="201"/>
      <c r="I2644" s="201" t="s">
        <v>1253</v>
      </c>
      <c r="J2644" s="197" t="s">
        <v>1455</v>
      </c>
      <c r="K2644" s="202">
        <v>9733070</v>
      </c>
      <c r="L2644" s="202"/>
    </row>
    <row r="2645" spans="1:14" ht="11.25" customHeight="1" x14ac:dyDescent="0.2">
      <c r="A2645" s="191">
        <v>2023</v>
      </c>
      <c r="B2645" s="191">
        <v>12</v>
      </c>
      <c r="C2645" s="191">
        <v>11</v>
      </c>
      <c r="D2645" s="192">
        <f t="shared" si="199"/>
        <v>45271</v>
      </c>
      <c r="E2645" s="193">
        <f t="shared" si="202"/>
        <v>45271</v>
      </c>
      <c r="F2645" s="514"/>
      <c r="G2645" s="194" t="s">
        <v>1209</v>
      </c>
      <c r="H2645" s="195"/>
      <c r="I2645" s="195" t="s">
        <v>1253</v>
      </c>
      <c r="J2645" s="191" t="s">
        <v>46</v>
      </c>
      <c r="K2645" s="196"/>
      <c r="L2645" s="196">
        <v>9733070</v>
      </c>
      <c r="N2645" s="130"/>
    </row>
    <row r="2646" spans="1:14" ht="11.25" customHeight="1" x14ac:dyDescent="0.2">
      <c r="A2646" s="197">
        <v>2023</v>
      </c>
      <c r="B2646" s="197">
        <v>12</v>
      </c>
      <c r="C2646" s="197">
        <v>11</v>
      </c>
      <c r="D2646" s="198">
        <f t="shared" si="199"/>
        <v>45271</v>
      </c>
      <c r="E2646" s="199">
        <f t="shared" si="202"/>
        <v>45271</v>
      </c>
      <c r="F2646" s="513" t="s">
        <v>1497</v>
      </c>
      <c r="G2646" s="200" t="s">
        <v>1209</v>
      </c>
      <c r="H2646" s="201"/>
      <c r="I2646" s="201" t="s">
        <v>1253</v>
      </c>
      <c r="J2646" s="197" t="s">
        <v>1455</v>
      </c>
      <c r="K2646" s="202">
        <v>4866535</v>
      </c>
      <c r="L2646" s="202"/>
    </row>
    <row r="2647" spans="1:14" ht="11.25" customHeight="1" x14ac:dyDescent="0.2">
      <c r="A2647" s="191">
        <v>2023</v>
      </c>
      <c r="B2647" s="191">
        <v>12</v>
      </c>
      <c r="C2647" s="191">
        <v>11</v>
      </c>
      <c r="D2647" s="192">
        <f t="shared" si="199"/>
        <v>45271</v>
      </c>
      <c r="E2647" s="193">
        <f t="shared" si="202"/>
        <v>45271</v>
      </c>
      <c r="F2647" s="514"/>
      <c r="G2647" s="194" t="s">
        <v>1209</v>
      </c>
      <c r="H2647" s="195"/>
      <c r="I2647" s="195" t="s">
        <v>1253</v>
      </c>
      <c r="J2647" s="191" t="s">
        <v>46</v>
      </c>
      <c r="K2647" s="196"/>
      <c r="L2647" s="196">
        <v>4866535</v>
      </c>
      <c r="N2647" s="130"/>
    </row>
    <row r="2648" spans="1:14" ht="11.25" customHeight="1" x14ac:dyDescent="0.2">
      <c r="A2648" s="197">
        <v>2023</v>
      </c>
      <c r="B2648" s="197">
        <v>12</v>
      </c>
      <c r="C2648" s="197">
        <v>11</v>
      </c>
      <c r="D2648" s="198">
        <f t="shared" si="199"/>
        <v>45271</v>
      </c>
      <c r="E2648" s="199">
        <f t="shared" si="202"/>
        <v>45271</v>
      </c>
      <c r="F2648" s="513" t="s">
        <v>1497</v>
      </c>
      <c r="G2648" s="200" t="s">
        <v>1209</v>
      </c>
      <c r="H2648" s="201"/>
      <c r="I2648" s="201" t="s">
        <v>1253</v>
      </c>
      <c r="J2648" s="197" t="s">
        <v>1455</v>
      </c>
      <c r="K2648" s="202">
        <v>5839842</v>
      </c>
      <c r="L2648" s="202"/>
    </row>
    <row r="2649" spans="1:14" ht="11.25" customHeight="1" x14ac:dyDescent="0.2">
      <c r="A2649" s="191">
        <v>2023</v>
      </c>
      <c r="B2649" s="191">
        <v>12</v>
      </c>
      <c r="C2649" s="191">
        <v>11</v>
      </c>
      <c r="D2649" s="192">
        <f t="shared" si="199"/>
        <v>45271</v>
      </c>
      <c r="E2649" s="193">
        <f t="shared" si="202"/>
        <v>45271</v>
      </c>
      <c r="F2649" s="514"/>
      <c r="G2649" s="194" t="s">
        <v>1209</v>
      </c>
      <c r="H2649" s="195"/>
      <c r="I2649" s="195" t="s">
        <v>1253</v>
      </c>
      <c r="J2649" s="191" t="s">
        <v>46</v>
      </c>
      <c r="K2649" s="196"/>
      <c r="L2649" s="196">
        <v>5839842</v>
      </c>
      <c r="N2649" s="130"/>
    </row>
    <row r="2650" spans="1:14" ht="11.25" customHeight="1" x14ac:dyDescent="0.2">
      <c r="A2650" s="197">
        <v>2023</v>
      </c>
      <c r="B2650" s="197">
        <v>12</v>
      </c>
      <c r="C2650" s="197">
        <v>11</v>
      </c>
      <c r="D2650" s="198">
        <f t="shared" si="199"/>
        <v>45271</v>
      </c>
      <c r="E2650" s="199">
        <f t="shared" si="202"/>
        <v>45271</v>
      </c>
      <c r="F2650" s="513" t="s">
        <v>1487</v>
      </c>
      <c r="G2650" s="200" t="s">
        <v>1209</v>
      </c>
      <c r="H2650" s="201"/>
      <c r="I2650" s="201" t="s">
        <v>1253</v>
      </c>
      <c r="J2650" s="197" t="s">
        <v>46</v>
      </c>
      <c r="K2650" s="202">
        <v>3276697.86</v>
      </c>
      <c r="L2650" s="202"/>
    </row>
    <row r="2651" spans="1:14" ht="11.25" customHeight="1" x14ac:dyDescent="0.2">
      <c r="A2651" s="120">
        <v>2023</v>
      </c>
      <c r="B2651" s="120">
        <v>12</v>
      </c>
      <c r="C2651" s="120">
        <v>11</v>
      </c>
      <c r="D2651" s="208">
        <f t="shared" si="199"/>
        <v>45271</v>
      </c>
      <c r="E2651" s="209">
        <f t="shared" si="202"/>
        <v>45271</v>
      </c>
      <c r="F2651" s="515"/>
      <c r="G2651" s="132" t="s">
        <v>1209</v>
      </c>
      <c r="J2651" s="120" t="s">
        <v>53</v>
      </c>
      <c r="K2651" s="207"/>
      <c r="L2651" s="207">
        <v>761.46</v>
      </c>
    </row>
    <row r="2652" spans="1:14" ht="11.25" customHeight="1" x14ac:dyDescent="0.2">
      <c r="A2652" s="120">
        <v>2023</v>
      </c>
      <c r="B2652" s="120">
        <v>12</v>
      </c>
      <c r="C2652" s="120">
        <v>11</v>
      </c>
      <c r="D2652" s="208">
        <f t="shared" si="199"/>
        <v>45271</v>
      </c>
      <c r="E2652" s="209">
        <f t="shared" si="202"/>
        <v>45271</v>
      </c>
      <c r="F2652" s="515"/>
      <c r="G2652" s="132" t="s">
        <v>1209</v>
      </c>
      <c r="J2652" s="120" t="s">
        <v>1476</v>
      </c>
      <c r="K2652" s="207"/>
      <c r="L2652" s="207">
        <v>47211.479999999981</v>
      </c>
    </row>
    <row r="2653" spans="1:14" ht="11.25" customHeight="1" x14ac:dyDescent="0.2">
      <c r="A2653" s="191">
        <v>2023</v>
      </c>
      <c r="B2653" s="191">
        <v>12</v>
      </c>
      <c r="C2653" s="191">
        <v>11</v>
      </c>
      <c r="D2653" s="192">
        <f t="shared" si="199"/>
        <v>45271</v>
      </c>
      <c r="E2653" s="193">
        <f t="shared" si="202"/>
        <v>45271</v>
      </c>
      <c r="F2653" s="514"/>
      <c r="G2653" s="194" t="s">
        <v>1209</v>
      </c>
      <c r="H2653" s="195"/>
      <c r="I2653" s="195" t="s">
        <v>1253</v>
      </c>
      <c r="J2653" s="191" t="s">
        <v>1475</v>
      </c>
      <c r="K2653" s="196"/>
      <c r="L2653" s="196">
        <v>3228724.92</v>
      </c>
      <c r="N2653" s="130"/>
    </row>
    <row r="2654" spans="1:14" ht="11.25" customHeight="1" x14ac:dyDescent="0.2">
      <c r="A2654" s="197">
        <v>2023</v>
      </c>
      <c r="B2654" s="197">
        <v>12</v>
      </c>
      <c r="C2654" s="197">
        <v>13</v>
      </c>
      <c r="D2654" s="198">
        <f t="shared" si="199"/>
        <v>45273</v>
      </c>
      <c r="E2654" s="209">
        <f t="shared" si="202"/>
        <v>45273</v>
      </c>
      <c r="F2654" s="513" t="s">
        <v>1210</v>
      </c>
      <c r="G2654" s="200" t="s">
        <v>1209</v>
      </c>
      <c r="H2654" s="201"/>
      <c r="I2654" s="201" t="s">
        <v>398</v>
      </c>
      <c r="J2654" s="197" t="s">
        <v>46</v>
      </c>
      <c r="K2654" s="202">
        <v>10000000</v>
      </c>
      <c r="L2654" s="202"/>
    </row>
    <row r="2655" spans="1:14" ht="11.25" customHeight="1" x14ac:dyDescent="0.2">
      <c r="A2655" s="120">
        <v>2023</v>
      </c>
      <c r="B2655" s="120">
        <v>12</v>
      </c>
      <c r="C2655" s="120">
        <v>13</v>
      </c>
      <c r="D2655" s="208">
        <f t="shared" si="199"/>
        <v>45273</v>
      </c>
      <c r="E2655" s="209">
        <f t="shared" si="202"/>
        <v>45273</v>
      </c>
      <c r="F2655" s="515"/>
      <c r="G2655" s="132" t="s">
        <v>1209</v>
      </c>
      <c r="I2655" s="128" t="s">
        <v>398</v>
      </c>
      <c r="J2655" s="120" t="s">
        <v>16</v>
      </c>
      <c r="K2655" s="207"/>
      <c r="L2655" s="207">
        <v>9396730</v>
      </c>
    </row>
    <row r="2656" spans="1:14" ht="11.25" customHeight="1" x14ac:dyDescent="0.2">
      <c r="A2656" s="191">
        <v>2023</v>
      </c>
      <c r="B2656" s="191">
        <v>12</v>
      </c>
      <c r="C2656" s="191">
        <v>13</v>
      </c>
      <c r="D2656" s="192">
        <f t="shared" si="199"/>
        <v>45273</v>
      </c>
      <c r="E2656" s="193">
        <f t="shared" si="202"/>
        <v>45273</v>
      </c>
      <c r="F2656" s="514"/>
      <c r="G2656" s="194" t="s">
        <v>1209</v>
      </c>
      <c r="H2656" s="195"/>
      <c r="I2656" s="195" t="s">
        <v>398</v>
      </c>
      <c r="J2656" s="191" t="s">
        <v>47</v>
      </c>
      <c r="K2656" s="196"/>
      <c r="L2656" s="196">
        <v>603270</v>
      </c>
    </row>
    <row r="2657" spans="1:12" ht="11.25" customHeight="1" x14ac:dyDescent="0.2">
      <c r="A2657" s="197">
        <v>2023</v>
      </c>
      <c r="B2657" s="197">
        <v>12</v>
      </c>
      <c r="C2657" s="197">
        <v>14</v>
      </c>
      <c r="D2657" s="198">
        <f t="shared" si="199"/>
        <v>45274</v>
      </c>
      <c r="E2657" s="199">
        <f t="shared" ref="E2657:E2698" si="203">DATE(A2657,B2657,C2657)</f>
        <v>45274</v>
      </c>
      <c r="F2657" s="513" t="s">
        <v>1323</v>
      </c>
      <c r="G2657" s="200" t="s">
        <v>1209</v>
      </c>
      <c r="H2657" s="201"/>
      <c r="I2657" s="201"/>
      <c r="J2657" s="197" t="s">
        <v>54</v>
      </c>
      <c r="K2657" s="202">
        <v>60</v>
      </c>
      <c r="L2657" s="202"/>
    </row>
    <row r="2658" spans="1:12" ht="11.25" customHeight="1" x14ac:dyDescent="0.2">
      <c r="A2658" s="191">
        <v>2023</v>
      </c>
      <c r="B2658" s="191">
        <v>12</v>
      </c>
      <c r="C2658" s="191">
        <v>14</v>
      </c>
      <c r="D2658" s="192">
        <f t="shared" si="199"/>
        <v>45274</v>
      </c>
      <c r="E2658" s="193">
        <f t="shared" si="203"/>
        <v>45274</v>
      </c>
      <c r="F2658" s="514"/>
      <c r="G2658" s="194" t="s">
        <v>1209</v>
      </c>
      <c r="H2658" s="195"/>
      <c r="I2658" s="195"/>
      <c r="J2658" s="191" t="s">
        <v>46</v>
      </c>
      <c r="K2658" s="196"/>
      <c r="L2658" s="196">
        <v>60</v>
      </c>
    </row>
    <row r="2659" spans="1:12" ht="11.25" customHeight="1" x14ac:dyDescent="0.2">
      <c r="A2659" s="197">
        <v>2023</v>
      </c>
      <c r="B2659" s="197">
        <v>12</v>
      </c>
      <c r="C2659" s="197">
        <v>14</v>
      </c>
      <c r="D2659" s="198">
        <f t="shared" si="199"/>
        <v>45274</v>
      </c>
      <c r="E2659" s="209">
        <f t="shared" si="203"/>
        <v>45274</v>
      </c>
      <c r="F2659" s="513" t="s">
        <v>1210</v>
      </c>
      <c r="G2659" s="200" t="s">
        <v>1209</v>
      </c>
      <c r="H2659" s="201"/>
      <c r="I2659" s="201" t="s">
        <v>1498</v>
      </c>
      <c r="J2659" s="197" t="s">
        <v>46</v>
      </c>
      <c r="K2659" s="202">
        <v>500000</v>
      </c>
      <c r="L2659" s="202"/>
    </row>
    <row r="2660" spans="1:12" ht="11.25" customHeight="1" x14ac:dyDescent="0.2">
      <c r="A2660" s="120">
        <v>2023</v>
      </c>
      <c r="B2660" s="120">
        <v>12</v>
      </c>
      <c r="C2660" s="120">
        <v>14</v>
      </c>
      <c r="D2660" s="208">
        <f t="shared" si="199"/>
        <v>45274</v>
      </c>
      <c r="E2660" s="209">
        <f t="shared" si="203"/>
        <v>45274</v>
      </c>
      <c r="F2660" s="515"/>
      <c r="G2660" s="132" t="s">
        <v>1209</v>
      </c>
      <c r="I2660" s="128" t="s">
        <v>1498</v>
      </c>
      <c r="J2660" s="120" t="s">
        <v>16</v>
      </c>
      <c r="K2660" s="207"/>
      <c r="L2660" s="207">
        <v>470500</v>
      </c>
    </row>
    <row r="2661" spans="1:12" ht="11.25" customHeight="1" x14ac:dyDescent="0.2">
      <c r="A2661" s="191">
        <v>2023</v>
      </c>
      <c r="B2661" s="191">
        <v>12</v>
      </c>
      <c r="C2661" s="191">
        <v>14</v>
      </c>
      <c r="D2661" s="192">
        <f t="shared" si="199"/>
        <v>45274</v>
      </c>
      <c r="E2661" s="193">
        <f t="shared" si="203"/>
        <v>45274</v>
      </c>
      <c r="F2661" s="514"/>
      <c r="G2661" s="194" t="s">
        <v>1209</v>
      </c>
      <c r="H2661" s="195"/>
      <c r="I2661" s="195" t="s">
        <v>1498</v>
      </c>
      <c r="J2661" s="191" t="s">
        <v>47</v>
      </c>
      <c r="K2661" s="196"/>
      <c r="L2661" s="196">
        <v>29500</v>
      </c>
    </row>
    <row r="2662" spans="1:12" ht="11.25" customHeight="1" x14ac:dyDescent="0.2">
      <c r="A2662" s="197">
        <v>2023</v>
      </c>
      <c r="B2662" s="197">
        <v>12</v>
      </c>
      <c r="C2662" s="197">
        <v>14</v>
      </c>
      <c r="D2662" s="198">
        <f t="shared" si="199"/>
        <v>45274</v>
      </c>
      <c r="E2662" s="209">
        <f t="shared" ref="E2662:E2669" si="204">DATE(A2662,B2662,C2662)</f>
        <v>45274</v>
      </c>
      <c r="F2662" s="513" t="s">
        <v>1210</v>
      </c>
      <c r="G2662" s="200" t="s">
        <v>1209</v>
      </c>
      <c r="H2662" s="201"/>
      <c r="I2662" s="201" t="s">
        <v>1498</v>
      </c>
      <c r="J2662" s="197" t="s">
        <v>46</v>
      </c>
      <c r="K2662" s="202">
        <v>500000</v>
      </c>
      <c r="L2662" s="202"/>
    </row>
    <row r="2663" spans="1:12" ht="11.25" customHeight="1" x14ac:dyDescent="0.2">
      <c r="A2663" s="120">
        <v>2023</v>
      </c>
      <c r="B2663" s="120">
        <v>12</v>
      </c>
      <c r="C2663" s="120">
        <v>14</v>
      </c>
      <c r="D2663" s="208">
        <f t="shared" si="199"/>
        <v>45274</v>
      </c>
      <c r="E2663" s="209">
        <f t="shared" si="204"/>
        <v>45274</v>
      </c>
      <c r="F2663" s="515"/>
      <c r="G2663" s="132" t="s">
        <v>1209</v>
      </c>
      <c r="I2663" s="128" t="s">
        <v>1498</v>
      </c>
      <c r="J2663" s="120" t="s">
        <v>16</v>
      </c>
      <c r="K2663" s="207"/>
      <c r="L2663" s="207">
        <v>470500</v>
      </c>
    </row>
    <row r="2664" spans="1:12" ht="11.25" customHeight="1" x14ac:dyDescent="0.2">
      <c r="A2664" s="191">
        <v>2023</v>
      </c>
      <c r="B2664" s="191">
        <v>12</v>
      </c>
      <c r="C2664" s="191">
        <v>14</v>
      </c>
      <c r="D2664" s="192">
        <f t="shared" si="199"/>
        <v>45274</v>
      </c>
      <c r="E2664" s="193">
        <f t="shared" si="204"/>
        <v>45274</v>
      </c>
      <c r="F2664" s="514"/>
      <c r="G2664" s="194" t="s">
        <v>1209</v>
      </c>
      <c r="H2664" s="195"/>
      <c r="I2664" s="195" t="s">
        <v>1498</v>
      </c>
      <c r="J2664" s="191" t="s">
        <v>47</v>
      </c>
      <c r="K2664" s="196"/>
      <c r="L2664" s="196">
        <v>29500</v>
      </c>
    </row>
    <row r="2665" spans="1:12" ht="11.25" customHeight="1" x14ac:dyDescent="0.2">
      <c r="A2665" s="197">
        <v>2023</v>
      </c>
      <c r="B2665" s="197">
        <v>12</v>
      </c>
      <c r="C2665" s="197">
        <v>14</v>
      </c>
      <c r="D2665" s="198">
        <f t="shared" si="199"/>
        <v>45274</v>
      </c>
      <c r="E2665" s="209">
        <f t="shared" si="204"/>
        <v>45274</v>
      </c>
      <c r="F2665" s="513" t="s">
        <v>1210</v>
      </c>
      <c r="G2665" s="200" t="s">
        <v>1209</v>
      </c>
      <c r="H2665" s="201"/>
      <c r="I2665" s="201" t="s">
        <v>400</v>
      </c>
      <c r="J2665" s="197" t="s">
        <v>46</v>
      </c>
      <c r="K2665" s="202">
        <v>2125400</v>
      </c>
      <c r="L2665" s="202"/>
    </row>
    <row r="2666" spans="1:12" ht="11.25" customHeight="1" x14ac:dyDescent="0.2">
      <c r="A2666" s="120">
        <v>2023</v>
      </c>
      <c r="B2666" s="120">
        <v>12</v>
      </c>
      <c r="C2666" s="120">
        <v>14</v>
      </c>
      <c r="D2666" s="208">
        <f t="shared" si="199"/>
        <v>45274</v>
      </c>
      <c r="E2666" s="209">
        <f t="shared" si="204"/>
        <v>45274</v>
      </c>
      <c r="F2666" s="515"/>
      <c r="G2666" s="132" t="s">
        <v>1209</v>
      </c>
      <c r="I2666" s="128" t="s">
        <v>400</v>
      </c>
      <c r="J2666" s="120" t="s">
        <v>16</v>
      </c>
      <c r="K2666" s="207"/>
      <c r="L2666" s="207">
        <v>2000000</v>
      </c>
    </row>
    <row r="2667" spans="1:12" ht="11.25" customHeight="1" x14ac:dyDescent="0.2">
      <c r="A2667" s="191">
        <v>2023</v>
      </c>
      <c r="B2667" s="191">
        <v>12</v>
      </c>
      <c r="C2667" s="191">
        <v>14</v>
      </c>
      <c r="D2667" s="192">
        <f t="shared" si="199"/>
        <v>45274</v>
      </c>
      <c r="E2667" s="193">
        <f t="shared" si="204"/>
        <v>45274</v>
      </c>
      <c r="F2667" s="514"/>
      <c r="G2667" s="194" t="s">
        <v>1209</v>
      </c>
      <c r="H2667" s="195"/>
      <c r="I2667" s="195" t="s">
        <v>400</v>
      </c>
      <c r="J2667" s="191" t="s">
        <v>47</v>
      </c>
      <c r="K2667" s="196"/>
      <c r="L2667" s="196">
        <v>125400</v>
      </c>
    </row>
    <row r="2668" spans="1:12" ht="11.25" customHeight="1" x14ac:dyDescent="0.2">
      <c r="A2668" s="197">
        <v>2023</v>
      </c>
      <c r="B2668" s="197">
        <v>12</v>
      </c>
      <c r="C2668" s="197">
        <v>14</v>
      </c>
      <c r="D2668" s="198">
        <f t="shared" si="199"/>
        <v>45274</v>
      </c>
      <c r="E2668" s="199">
        <f t="shared" si="204"/>
        <v>45274</v>
      </c>
      <c r="F2668" s="513" t="s">
        <v>1323</v>
      </c>
      <c r="G2668" s="200" t="s">
        <v>1209</v>
      </c>
      <c r="H2668" s="201"/>
      <c r="I2668" s="201"/>
      <c r="J2668" s="197" t="s">
        <v>54</v>
      </c>
      <c r="K2668" s="202">
        <v>60</v>
      </c>
      <c r="L2668" s="202"/>
    </row>
    <row r="2669" spans="1:12" ht="11.25" customHeight="1" x14ac:dyDescent="0.2">
      <c r="A2669" s="191">
        <v>2023</v>
      </c>
      <c r="B2669" s="191">
        <v>12</v>
      </c>
      <c r="C2669" s="191">
        <v>14</v>
      </c>
      <c r="D2669" s="192">
        <f t="shared" si="199"/>
        <v>45274</v>
      </c>
      <c r="E2669" s="193">
        <f t="shared" si="204"/>
        <v>45274</v>
      </c>
      <c r="F2669" s="514"/>
      <c r="G2669" s="194" t="s">
        <v>1209</v>
      </c>
      <c r="H2669" s="195"/>
      <c r="I2669" s="195"/>
      <c r="J2669" s="191" t="s">
        <v>46</v>
      </c>
      <c r="K2669" s="196"/>
      <c r="L2669" s="196">
        <v>60</v>
      </c>
    </row>
    <row r="2670" spans="1:12" ht="11.25" customHeight="1" x14ac:dyDescent="0.2">
      <c r="A2670" s="197">
        <v>2023</v>
      </c>
      <c r="B2670" s="197">
        <v>12</v>
      </c>
      <c r="C2670" s="197">
        <v>14</v>
      </c>
      <c r="D2670" s="198">
        <f t="shared" si="199"/>
        <v>45274</v>
      </c>
      <c r="E2670" s="209">
        <f>DATE(A2670,B2670,C2670)</f>
        <v>45274</v>
      </c>
      <c r="F2670" s="513" t="s">
        <v>1210</v>
      </c>
      <c r="G2670" s="200" t="s">
        <v>1209</v>
      </c>
      <c r="H2670" s="201"/>
      <c r="I2670" s="201" t="s">
        <v>1498</v>
      </c>
      <c r="J2670" s="197" t="s">
        <v>46</v>
      </c>
      <c r="K2670" s="202">
        <v>1000000</v>
      </c>
      <c r="L2670" s="202"/>
    </row>
    <row r="2671" spans="1:12" ht="11.25" customHeight="1" x14ac:dyDescent="0.2">
      <c r="A2671" s="120">
        <v>2023</v>
      </c>
      <c r="B2671" s="120">
        <v>12</v>
      </c>
      <c r="C2671" s="120">
        <v>14</v>
      </c>
      <c r="D2671" s="208">
        <f t="shared" si="199"/>
        <v>45274</v>
      </c>
      <c r="E2671" s="209">
        <f>DATE(A2671,B2671,C2671)</f>
        <v>45274</v>
      </c>
      <c r="F2671" s="515"/>
      <c r="G2671" s="132" t="s">
        <v>1209</v>
      </c>
      <c r="I2671" s="128" t="s">
        <v>1498</v>
      </c>
      <c r="J2671" s="120" t="s">
        <v>16</v>
      </c>
      <c r="K2671" s="207"/>
      <c r="L2671" s="207">
        <v>941000</v>
      </c>
    </row>
    <row r="2672" spans="1:12" ht="11.25" customHeight="1" x14ac:dyDescent="0.2">
      <c r="A2672" s="191">
        <v>2023</v>
      </c>
      <c r="B2672" s="191">
        <v>12</v>
      </c>
      <c r="C2672" s="191">
        <v>14</v>
      </c>
      <c r="D2672" s="192">
        <f t="shared" si="199"/>
        <v>45274</v>
      </c>
      <c r="E2672" s="193">
        <f>DATE(A2672,B2672,C2672)</f>
        <v>45274</v>
      </c>
      <c r="F2672" s="514"/>
      <c r="G2672" s="194" t="s">
        <v>1209</v>
      </c>
      <c r="H2672" s="195"/>
      <c r="I2672" s="195" t="s">
        <v>1498</v>
      </c>
      <c r="J2672" s="191" t="s">
        <v>47</v>
      </c>
      <c r="K2672" s="196"/>
      <c r="L2672" s="196">
        <v>59000</v>
      </c>
    </row>
    <row r="2673" spans="1:12" ht="11.25" customHeight="1" x14ac:dyDescent="0.2">
      <c r="A2673" s="197">
        <v>2023</v>
      </c>
      <c r="B2673" s="197">
        <v>12</v>
      </c>
      <c r="C2673" s="197">
        <v>14</v>
      </c>
      <c r="D2673" s="198">
        <f t="shared" si="199"/>
        <v>45274</v>
      </c>
      <c r="E2673" s="199">
        <f>DATE(A2673,B2673,C2673)</f>
        <v>45274</v>
      </c>
      <c r="F2673" s="513" t="s">
        <v>1323</v>
      </c>
      <c r="G2673" s="200" t="s">
        <v>1209</v>
      </c>
      <c r="H2673" s="201"/>
      <c r="I2673" s="201"/>
      <c r="J2673" s="197" t="s">
        <v>54</v>
      </c>
      <c r="K2673" s="202">
        <v>60</v>
      </c>
      <c r="L2673" s="202"/>
    </row>
    <row r="2674" spans="1:12" ht="11.25" customHeight="1" x14ac:dyDescent="0.2">
      <c r="A2674" s="191">
        <v>2023</v>
      </c>
      <c r="B2674" s="191">
        <v>12</v>
      </c>
      <c r="C2674" s="191">
        <v>14</v>
      </c>
      <c r="D2674" s="192">
        <f t="shared" si="199"/>
        <v>45274</v>
      </c>
      <c r="E2674" s="193">
        <f>DATE(A2674,B2674,C2674)</f>
        <v>45274</v>
      </c>
      <c r="F2674" s="514"/>
      <c r="G2674" s="194" t="s">
        <v>1209</v>
      </c>
      <c r="H2674" s="195"/>
      <c r="I2674" s="195"/>
      <c r="J2674" s="191" t="s">
        <v>46</v>
      </c>
      <c r="K2674" s="196"/>
      <c r="L2674" s="196">
        <v>60</v>
      </c>
    </row>
    <row r="2675" spans="1:12" ht="11.25" customHeight="1" x14ac:dyDescent="0.2">
      <c r="A2675" s="210">
        <v>2023</v>
      </c>
      <c r="B2675" s="210">
        <v>12</v>
      </c>
      <c r="C2675" s="210">
        <v>14</v>
      </c>
      <c r="D2675" s="211">
        <f t="shared" si="199"/>
        <v>45274</v>
      </c>
      <c r="E2675" s="238">
        <f t="shared" si="203"/>
        <v>45274</v>
      </c>
      <c r="F2675" s="520" t="s">
        <v>1278</v>
      </c>
      <c r="G2675" s="213" t="s">
        <v>1245</v>
      </c>
      <c r="H2675" s="214"/>
      <c r="I2675" s="214" t="s">
        <v>1253</v>
      </c>
      <c r="J2675" s="210" t="s">
        <v>1529</v>
      </c>
      <c r="K2675" s="215">
        <v>6512.28</v>
      </c>
      <c r="L2675" s="215"/>
    </row>
    <row r="2676" spans="1:12" ht="11.25" customHeight="1" x14ac:dyDescent="0.2">
      <c r="A2676" s="216">
        <v>2023</v>
      </c>
      <c r="B2676" s="216">
        <v>12</v>
      </c>
      <c r="C2676" s="216">
        <v>14</v>
      </c>
      <c r="D2676" s="217">
        <f t="shared" si="199"/>
        <v>45274</v>
      </c>
      <c r="E2676" s="239">
        <f t="shared" si="203"/>
        <v>45274</v>
      </c>
      <c r="F2676" s="521"/>
      <c r="G2676" s="219" t="s">
        <v>1245</v>
      </c>
      <c r="H2676" s="220"/>
      <c r="I2676" s="220" t="s">
        <v>1253</v>
      </c>
      <c r="J2676" s="216" t="s">
        <v>1581</v>
      </c>
      <c r="K2676" s="221"/>
      <c r="L2676" s="221">
        <v>6512.28</v>
      </c>
    </row>
    <row r="2677" spans="1:12" ht="11.25" customHeight="1" x14ac:dyDescent="0.2">
      <c r="A2677" s="210">
        <v>2023</v>
      </c>
      <c r="B2677" s="210">
        <v>12</v>
      </c>
      <c r="C2677" s="210">
        <v>14</v>
      </c>
      <c r="D2677" s="211">
        <f t="shared" si="199"/>
        <v>45274</v>
      </c>
      <c r="E2677" s="238">
        <f t="shared" si="203"/>
        <v>45274</v>
      </c>
      <c r="F2677" s="520" t="s">
        <v>1285</v>
      </c>
      <c r="G2677" s="213" t="s">
        <v>1245</v>
      </c>
      <c r="H2677" s="214"/>
      <c r="I2677" s="214" t="s">
        <v>1253</v>
      </c>
      <c r="J2677" s="210" t="s">
        <v>1284</v>
      </c>
      <c r="K2677" s="215">
        <v>13771.15</v>
      </c>
      <c r="L2677" s="215"/>
    </row>
    <row r="2678" spans="1:12" ht="11.25" customHeight="1" x14ac:dyDescent="0.2">
      <c r="A2678" s="242">
        <v>2023</v>
      </c>
      <c r="B2678" s="216">
        <v>12</v>
      </c>
      <c r="C2678" s="216">
        <v>14</v>
      </c>
      <c r="D2678" s="243">
        <f t="shared" si="199"/>
        <v>45274</v>
      </c>
      <c r="E2678" s="244">
        <f>DATE(A2678,B2678,C2678)</f>
        <v>45274</v>
      </c>
      <c r="F2678" s="524"/>
      <c r="G2678" s="245" t="s">
        <v>1245</v>
      </c>
      <c r="H2678" s="246"/>
      <c r="I2678" s="246"/>
      <c r="J2678" s="242" t="s">
        <v>1582</v>
      </c>
      <c r="K2678" s="247"/>
      <c r="L2678" s="247">
        <v>13771.15</v>
      </c>
    </row>
    <row r="2679" spans="1:12" ht="11.25" customHeight="1" x14ac:dyDescent="0.2">
      <c r="A2679" s="210">
        <v>2023</v>
      </c>
      <c r="B2679" s="210">
        <v>12</v>
      </c>
      <c r="C2679" s="210">
        <v>14</v>
      </c>
      <c r="D2679" s="211">
        <f t="shared" ref="D2679:D2738" si="205">DATE(A2679,B2679,C2679)</f>
        <v>45274</v>
      </c>
      <c r="E2679" s="238">
        <f t="shared" si="203"/>
        <v>45274</v>
      </c>
      <c r="F2679" s="520" t="s">
        <v>1259</v>
      </c>
      <c r="G2679" s="213" t="s">
        <v>1245</v>
      </c>
      <c r="H2679" s="214"/>
      <c r="I2679" s="214" t="s">
        <v>1253</v>
      </c>
      <c r="J2679" s="210" t="s">
        <v>58</v>
      </c>
      <c r="K2679" s="215">
        <v>15960.62</v>
      </c>
      <c r="L2679" s="215"/>
    </row>
    <row r="2680" spans="1:12" ht="11.25" customHeight="1" x14ac:dyDescent="0.2">
      <c r="A2680" s="216">
        <v>2023</v>
      </c>
      <c r="B2680" s="216">
        <v>12</v>
      </c>
      <c r="C2680" s="216">
        <v>14</v>
      </c>
      <c r="D2680" s="217">
        <f t="shared" si="205"/>
        <v>45274</v>
      </c>
      <c r="E2680" s="239">
        <f t="shared" si="203"/>
        <v>45274</v>
      </c>
      <c r="F2680" s="521"/>
      <c r="G2680" s="219" t="s">
        <v>1245</v>
      </c>
      <c r="H2680" s="220"/>
      <c r="I2680" s="220" t="s">
        <v>1253</v>
      </c>
      <c r="J2680" s="216" t="s">
        <v>153</v>
      </c>
      <c r="K2680" s="221"/>
      <c r="L2680" s="221">
        <v>15960.62</v>
      </c>
    </row>
    <row r="2681" spans="1:12" ht="11.25" customHeight="1" x14ac:dyDescent="0.2">
      <c r="A2681" s="210">
        <v>2023</v>
      </c>
      <c r="B2681" s="210">
        <v>12</v>
      </c>
      <c r="C2681" s="210">
        <v>14</v>
      </c>
      <c r="D2681" s="211">
        <f t="shared" si="205"/>
        <v>45274</v>
      </c>
      <c r="E2681" s="238">
        <f t="shared" si="203"/>
        <v>45274</v>
      </c>
      <c r="F2681" s="520" t="s">
        <v>1256</v>
      </c>
      <c r="G2681" s="213" t="s">
        <v>1245</v>
      </c>
      <c r="H2681" s="214"/>
      <c r="I2681" s="214" t="s">
        <v>1253</v>
      </c>
      <c r="J2681" s="210" t="s">
        <v>113</v>
      </c>
      <c r="K2681" s="215">
        <v>200802.88461538462</v>
      </c>
      <c r="L2681" s="215"/>
    </row>
    <row r="2682" spans="1:12" ht="11.25" customHeight="1" x14ac:dyDescent="0.2">
      <c r="A2682" s="216">
        <v>2023</v>
      </c>
      <c r="B2682" s="216">
        <v>12</v>
      </c>
      <c r="C2682" s="216">
        <v>14</v>
      </c>
      <c r="D2682" s="217">
        <f t="shared" si="205"/>
        <v>45274</v>
      </c>
      <c r="E2682" s="239">
        <f t="shared" si="203"/>
        <v>45274</v>
      </c>
      <c r="F2682" s="521"/>
      <c r="G2682" s="219" t="s">
        <v>1245</v>
      </c>
      <c r="H2682" s="220"/>
      <c r="I2682" s="220" t="s">
        <v>1253</v>
      </c>
      <c r="J2682" s="216" t="s">
        <v>153</v>
      </c>
      <c r="K2682" s="221"/>
      <c r="L2682" s="221">
        <v>200802.88461538462</v>
      </c>
    </row>
    <row r="2683" spans="1:12" ht="11.25" customHeight="1" x14ac:dyDescent="0.2">
      <c r="A2683" s="312">
        <v>2023</v>
      </c>
      <c r="B2683" s="312">
        <v>12</v>
      </c>
      <c r="C2683" s="312">
        <v>14</v>
      </c>
      <c r="D2683" s="313">
        <f t="shared" si="205"/>
        <v>45274</v>
      </c>
      <c r="E2683" s="314">
        <f t="shared" si="203"/>
        <v>45274</v>
      </c>
      <c r="F2683" s="522" t="s">
        <v>1477</v>
      </c>
      <c r="G2683" s="315" t="s">
        <v>1245</v>
      </c>
      <c r="H2683" s="316"/>
      <c r="I2683" s="316" t="s">
        <v>1253</v>
      </c>
      <c r="J2683" s="312" t="s">
        <v>1458</v>
      </c>
      <c r="K2683" s="317">
        <v>44002.649999991059</v>
      </c>
      <c r="L2683" s="317"/>
    </row>
    <row r="2684" spans="1:12" ht="11.25" customHeight="1" x14ac:dyDescent="0.2">
      <c r="A2684" s="318">
        <v>2023</v>
      </c>
      <c r="B2684" s="318">
        <v>12</v>
      </c>
      <c r="C2684" s="318">
        <v>14</v>
      </c>
      <c r="D2684" s="319">
        <f t="shared" si="205"/>
        <v>45274</v>
      </c>
      <c r="E2684" s="320">
        <f t="shared" si="203"/>
        <v>45274</v>
      </c>
      <c r="F2684" s="523"/>
      <c r="G2684" s="321" t="s">
        <v>1245</v>
      </c>
      <c r="H2684" s="322"/>
      <c r="I2684" s="322" t="s">
        <v>1253</v>
      </c>
      <c r="J2684" s="318" t="s">
        <v>1460</v>
      </c>
      <c r="K2684" s="323"/>
      <c r="L2684" s="323">
        <v>44002.649999991059</v>
      </c>
    </row>
    <row r="2685" spans="1:12" ht="11.25" customHeight="1" x14ac:dyDescent="0.2">
      <c r="A2685" s="222">
        <v>2023</v>
      </c>
      <c r="B2685" s="222">
        <v>12</v>
      </c>
      <c r="C2685" s="222">
        <v>14</v>
      </c>
      <c r="D2685" s="223">
        <f t="shared" si="205"/>
        <v>45274</v>
      </c>
      <c r="E2685" s="240">
        <f t="shared" si="203"/>
        <v>45274</v>
      </c>
      <c r="F2685" s="511" t="s">
        <v>1244</v>
      </c>
      <c r="G2685" s="225" t="s">
        <v>1245</v>
      </c>
      <c r="H2685" s="226"/>
      <c r="I2685" s="226" t="s">
        <v>1253</v>
      </c>
      <c r="J2685" s="222" t="s">
        <v>87</v>
      </c>
      <c r="K2685" s="227">
        <v>31173.701904766262</v>
      </c>
      <c r="L2685" s="227"/>
    </row>
    <row r="2686" spans="1:12" ht="11.25" customHeight="1" x14ac:dyDescent="0.2">
      <c r="A2686" s="228">
        <v>2023</v>
      </c>
      <c r="B2686" s="228">
        <v>12</v>
      </c>
      <c r="C2686" s="228">
        <v>14</v>
      </c>
      <c r="D2686" s="229">
        <f t="shared" si="205"/>
        <v>45274</v>
      </c>
      <c r="E2686" s="241">
        <f t="shared" si="203"/>
        <v>45274</v>
      </c>
      <c r="F2686" s="512"/>
      <c r="G2686" s="231" t="s">
        <v>1245</v>
      </c>
      <c r="H2686" s="232"/>
      <c r="I2686" s="232" t="s">
        <v>1253</v>
      </c>
      <c r="J2686" s="228" t="s">
        <v>72</v>
      </c>
      <c r="K2686" s="233"/>
      <c r="L2686" s="233">
        <v>31173.701904766262</v>
      </c>
    </row>
    <row r="2687" spans="1:12" ht="11.25" customHeight="1" x14ac:dyDescent="0.2">
      <c r="A2687" s="222">
        <v>2023</v>
      </c>
      <c r="B2687" s="222">
        <v>12</v>
      </c>
      <c r="C2687" s="222">
        <v>14</v>
      </c>
      <c r="D2687" s="223">
        <f t="shared" si="205"/>
        <v>45274</v>
      </c>
      <c r="E2687" s="240">
        <f t="shared" si="203"/>
        <v>45274</v>
      </c>
      <c r="F2687" s="511" t="s">
        <v>1246</v>
      </c>
      <c r="G2687" s="225" t="s">
        <v>1245</v>
      </c>
      <c r="H2687" s="226"/>
      <c r="I2687" s="226" t="s">
        <v>1253</v>
      </c>
      <c r="J2687" s="222" t="s">
        <v>75</v>
      </c>
      <c r="K2687" s="227">
        <v>3623.123846153846</v>
      </c>
      <c r="L2687" s="227"/>
    </row>
    <row r="2688" spans="1:12" ht="11.25" customHeight="1" x14ac:dyDescent="0.2">
      <c r="A2688" s="228">
        <v>2023</v>
      </c>
      <c r="B2688" s="228">
        <v>12</v>
      </c>
      <c r="C2688" s="228">
        <v>14</v>
      </c>
      <c r="D2688" s="229">
        <f t="shared" si="205"/>
        <v>45274</v>
      </c>
      <c r="E2688" s="241">
        <f t="shared" si="203"/>
        <v>45274</v>
      </c>
      <c r="F2688" s="512"/>
      <c r="G2688" s="231" t="s">
        <v>1245</v>
      </c>
      <c r="H2688" s="232"/>
      <c r="I2688" s="232" t="s">
        <v>1253</v>
      </c>
      <c r="J2688" s="228" t="s">
        <v>55</v>
      </c>
      <c r="K2688" s="233"/>
      <c r="L2688" s="233">
        <v>3623.123846153846</v>
      </c>
    </row>
    <row r="2689" spans="1:14" ht="11.25" customHeight="1" x14ac:dyDescent="0.2">
      <c r="A2689" s="222">
        <v>2023</v>
      </c>
      <c r="B2689" s="222">
        <v>12</v>
      </c>
      <c r="C2689" s="222">
        <v>14</v>
      </c>
      <c r="D2689" s="223">
        <f t="shared" si="205"/>
        <v>45274</v>
      </c>
      <c r="E2689" s="240">
        <f t="shared" si="203"/>
        <v>45274</v>
      </c>
      <c r="F2689" s="511" t="s">
        <v>1247</v>
      </c>
      <c r="G2689" s="225" t="s">
        <v>1245</v>
      </c>
      <c r="H2689" s="226"/>
      <c r="I2689" s="226" t="s">
        <v>1253</v>
      </c>
      <c r="J2689" s="222" t="s">
        <v>77</v>
      </c>
      <c r="K2689" s="227">
        <v>24289.04529757654</v>
      </c>
      <c r="L2689" s="227"/>
    </row>
    <row r="2690" spans="1:14" ht="11.25" customHeight="1" x14ac:dyDescent="0.2">
      <c r="A2690" s="228">
        <v>2023</v>
      </c>
      <c r="B2690" s="228">
        <v>12</v>
      </c>
      <c r="C2690" s="228">
        <v>14</v>
      </c>
      <c r="D2690" s="229">
        <f t="shared" si="205"/>
        <v>45274</v>
      </c>
      <c r="E2690" s="241">
        <f t="shared" si="203"/>
        <v>45274</v>
      </c>
      <c r="F2690" s="512"/>
      <c r="G2690" s="231" t="s">
        <v>1245</v>
      </c>
      <c r="H2690" s="232"/>
      <c r="I2690" s="232" t="s">
        <v>1253</v>
      </c>
      <c r="J2690" s="228" t="s">
        <v>41</v>
      </c>
      <c r="K2690" s="233"/>
      <c r="L2690" s="233">
        <v>24289.04529757654</v>
      </c>
    </row>
    <row r="2691" spans="1:14" ht="11.25" customHeight="1" x14ac:dyDescent="0.2">
      <c r="A2691" s="222">
        <v>2023</v>
      </c>
      <c r="B2691" s="222">
        <v>12</v>
      </c>
      <c r="C2691" s="222">
        <v>14</v>
      </c>
      <c r="D2691" s="223">
        <f t="shared" si="205"/>
        <v>45274</v>
      </c>
      <c r="E2691" s="240">
        <f t="shared" si="203"/>
        <v>45274</v>
      </c>
      <c r="F2691" s="511" t="s">
        <v>1248</v>
      </c>
      <c r="G2691" s="225" t="s">
        <v>1245</v>
      </c>
      <c r="H2691" s="226"/>
      <c r="I2691" s="226" t="s">
        <v>1253</v>
      </c>
      <c r="J2691" s="222" t="s">
        <v>80</v>
      </c>
      <c r="K2691" s="227">
        <v>2428.904529757654</v>
      </c>
      <c r="L2691" s="227"/>
    </row>
    <row r="2692" spans="1:14" ht="11.25" customHeight="1" x14ac:dyDescent="0.2">
      <c r="A2692" s="228">
        <v>2023</v>
      </c>
      <c r="B2692" s="228">
        <v>12</v>
      </c>
      <c r="C2692" s="228">
        <v>14</v>
      </c>
      <c r="D2692" s="229">
        <f t="shared" si="205"/>
        <v>45274</v>
      </c>
      <c r="E2692" s="241">
        <f t="shared" si="203"/>
        <v>45274</v>
      </c>
      <c r="F2692" s="512"/>
      <c r="G2692" s="231" t="s">
        <v>1245</v>
      </c>
      <c r="H2692" s="232"/>
      <c r="I2692" s="232" t="s">
        <v>1253</v>
      </c>
      <c r="J2692" s="228" t="s">
        <v>42</v>
      </c>
      <c r="K2692" s="233"/>
      <c r="L2692" s="233">
        <v>2428.904529757654</v>
      </c>
    </row>
    <row r="2693" spans="1:14" ht="11.25" customHeight="1" x14ac:dyDescent="0.2">
      <c r="A2693" s="197">
        <v>2023</v>
      </c>
      <c r="B2693" s="197">
        <v>12</v>
      </c>
      <c r="C2693" s="197">
        <v>17</v>
      </c>
      <c r="D2693" s="198">
        <f t="shared" si="205"/>
        <v>45277</v>
      </c>
      <c r="E2693" s="209">
        <f t="shared" si="203"/>
        <v>45277</v>
      </c>
      <c r="F2693" s="513" t="s">
        <v>1296</v>
      </c>
      <c r="G2693" s="200" t="s">
        <v>1209</v>
      </c>
      <c r="H2693" s="201"/>
      <c r="I2693" s="201"/>
      <c r="J2693" s="197" t="s">
        <v>46</v>
      </c>
      <c r="K2693" s="202">
        <v>35000</v>
      </c>
      <c r="L2693" s="202"/>
    </row>
    <row r="2694" spans="1:14" ht="11.25" customHeight="1" x14ac:dyDescent="0.2">
      <c r="A2694" s="120">
        <v>2023</v>
      </c>
      <c r="B2694" s="120">
        <v>12</v>
      </c>
      <c r="C2694" s="120">
        <v>17</v>
      </c>
      <c r="D2694" s="208">
        <f t="shared" si="205"/>
        <v>45277</v>
      </c>
      <c r="E2694" s="209">
        <f t="shared" si="203"/>
        <v>45277</v>
      </c>
      <c r="F2694" s="515"/>
      <c r="G2694" s="132" t="s">
        <v>1209</v>
      </c>
      <c r="J2694" s="120" t="s">
        <v>16</v>
      </c>
      <c r="K2694" s="207"/>
      <c r="L2694" s="207">
        <v>32890</v>
      </c>
    </row>
    <row r="2695" spans="1:14" ht="11.25" customHeight="1" x14ac:dyDescent="0.2">
      <c r="A2695" s="191">
        <v>2023</v>
      </c>
      <c r="B2695" s="191">
        <v>12</v>
      </c>
      <c r="C2695" s="191">
        <v>17</v>
      </c>
      <c r="D2695" s="192">
        <f t="shared" si="205"/>
        <v>45277</v>
      </c>
      <c r="E2695" s="193">
        <f t="shared" si="203"/>
        <v>45277</v>
      </c>
      <c r="F2695" s="514"/>
      <c r="G2695" s="194" t="s">
        <v>1209</v>
      </c>
      <c r="H2695" s="195"/>
      <c r="I2695" s="195"/>
      <c r="J2695" s="191" t="s">
        <v>47</v>
      </c>
      <c r="K2695" s="196"/>
      <c r="L2695" s="196">
        <v>2110</v>
      </c>
    </row>
    <row r="2696" spans="1:14" ht="11.25" customHeight="1" x14ac:dyDescent="0.2">
      <c r="A2696" s="197">
        <v>2023</v>
      </c>
      <c r="B2696" s="197">
        <v>12</v>
      </c>
      <c r="C2696" s="197">
        <v>18</v>
      </c>
      <c r="D2696" s="198">
        <f t="shared" si="205"/>
        <v>45278</v>
      </c>
      <c r="E2696" s="209">
        <f t="shared" si="203"/>
        <v>45278</v>
      </c>
      <c r="F2696" s="513" t="s">
        <v>1423</v>
      </c>
      <c r="G2696" s="200" t="s">
        <v>1209</v>
      </c>
      <c r="H2696" s="201"/>
      <c r="I2696" s="201"/>
      <c r="J2696" s="197" t="s">
        <v>16</v>
      </c>
      <c r="K2696" s="202">
        <v>9400</v>
      </c>
      <c r="L2696" s="202"/>
    </row>
    <row r="2697" spans="1:14" ht="11.25" customHeight="1" x14ac:dyDescent="0.2">
      <c r="A2697" s="120">
        <v>2023</v>
      </c>
      <c r="B2697" s="120">
        <v>12</v>
      </c>
      <c r="C2697" s="120">
        <v>18</v>
      </c>
      <c r="D2697" s="208">
        <f t="shared" si="205"/>
        <v>45278</v>
      </c>
      <c r="E2697" s="209">
        <f t="shared" si="203"/>
        <v>45278</v>
      </c>
      <c r="F2697" s="515"/>
      <c r="G2697" s="132" t="s">
        <v>1209</v>
      </c>
      <c r="J2697" s="120" t="s">
        <v>47</v>
      </c>
      <c r="K2697" s="207">
        <v>603.47999999999956</v>
      </c>
      <c r="L2697" s="207"/>
    </row>
    <row r="2698" spans="1:14" ht="11.25" customHeight="1" x14ac:dyDescent="0.2">
      <c r="A2698" s="191">
        <v>2023</v>
      </c>
      <c r="B2698" s="191">
        <v>12</v>
      </c>
      <c r="C2698" s="191">
        <v>18</v>
      </c>
      <c r="D2698" s="192">
        <f t="shared" si="205"/>
        <v>45278</v>
      </c>
      <c r="E2698" s="193">
        <f t="shared" si="203"/>
        <v>45278</v>
      </c>
      <c r="F2698" s="514"/>
      <c r="G2698" s="194" t="s">
        <v>1209</v>
      </c>
      <c r="H2698" s="195"/>
      <c r="I2698" s="195"/>
      <c r="J2698" s="191" t="s">
        <v>46</v>
      </c>
      <c r="K2698" s="196"/>
      <c r="L2698" s="196">
        <v>10003.48</v>
      </c>
    </row>
    <row r="2699" spans="1:14" ht="11.25" customHeight="1" x14ac:dyDescent="0.2">
      <c r="A2699" s="197">
        <v>2023</v>
      </c>
      <c r="B2699" s="197">
        <v>12</v>
      </c>
      <c r="C2699" s="197">
        <v>18</v>
      </c>
      <c r="D2699" s="198">
        <f t="shared" si="205"/>
        <v>45278</v>
      </c>
      <c r="E2699" s="209">
        <f t="shared" ref="E2699:E2705" si="206">DATE(A2699,B2699,C2699)</f>
        <v>45278</v>
      </c>
      <c r="F2699" s="513" t="s">
        <v>1423</v>
      </c>
      <c r="G2699" s="200" t="s">
        <v>1209</v>
      </c>
      <c r="H2699" s="201"/>
      <c r="I2699" s="201"/>
      <c r="J2699" s="197" t="s">
        <v>16</v>
      </c>
      <c r="K2699" s="202">
        <v>38820</v>
      </c>
      <c r="L2699" s="202"/>
    </row>
    <row r="2700" spans="1:14" ht="11.25" customHeight="1" x14ac:dyDescent="0.2">
      <c r="A2700" s="120">
        <v>2023</v>
      </c>
      <c r="B2700" s="120">
        <v>12</v>
      </c>
      <c r="C2700" s="120">
        <v>18</v>
      </c>
      <c r="D2700" s="208">
        <f t="shared" si="205"/>
        <v>45278</v>
      </c>
      <c r="E2700" s="209">
        <f t="shared" si="206"/>
        <v>45278</v>
      </c>
      <c r="F2700" s="515"/>
      <c r="G2700" s="132" t="s">
        <v>1209</v>
      </c>
      <c r="J2700" s="120" t="s">
        <v>47</v>
      </c>
      <c r="K2700" s="207">
        <v>2492.239999999998</v>
      </c>
      <c r="L2700" s="207"/>
    </row>
    <row r="2701" spans="1:14" ht="11.25" customHeight="1" x14ac:dyDescent="0.2">
      <c r="A2701" s="191">
        <v>2023</v>
      </c>
      <c r="B2701" s="191">
        <v>12</v>
      </c>
      <c r="C2701" s="191">
        <v>18</v>
      </c>
      <c r="D2701" s="192">
        <f t="shared" si="205"/>
        <v>45278</v>
      </c>
      <c r="E2701" s="193">
        <f t="shared" si="206"/>
        <v>45278</v>
      </c>
      <c r="F2701" s="514"/>
      <c r="G2701" s="194" t="s">
        <v>1209</v>
      </c>
      <c r="H2701" s="195"/>
      <c r="I2701" s="195"/>
      <c r="J2701" s="191" t="s">
        <v>46</v>
      </c>
      <c r="K2701" s="196"/>
      <c r="L2701" s="196">
        <v>41312.239999999998</v>
      </c>
    </row>
    <row r="2702" spans="1:14" ht="11.25" customHeight="1" x14ac:dyDescent="0.2">
      <c r="A2702" s="197">
        <v>2023</v>
      </c>
      <c r="B2702" s="197">
        <v>12</v>
      </c>
      <c r="C2702" s="197">
        <v>18</v>
      </c>
      <c r="D2702" s="198">
        <f t="shared" si="205"/>
        <v>45278</v>
      </c>
      <c r="E2702" s="199">
        <f t="shared" si="206"/>
        <v>45278</v>
      </c>
      <c r="F2702" s="513" t="s">
        <v>1497</v>
      </c>
      <c r="G2702" s="200" t="s">
        <v>1209</v>
      </c>
      <c r="H2702" s="201"/>
      <c r="I2702" s="201" t="s">
        <v>1253</v>
      </c>
      <c r="J2702" s="197" t="s">
        <v>1455</v>
      </c>
      <c r="K2702" s="202">
        <v>4865355</v>
      </c>
      <c r="L2702" s="202"/>
    </row>
    <row r="2703" spans="1:14" ht="11.25" customHeight="1" x14ac:dyDescent="0.2">
      <c r="A2703" s="191">
        <v>2023</v>
      </c>
      <c r="B2703" s="191">
        <v>12</v>
      </c>
      <c r="C2703" s="191">
        <v>18</v>
      </c>
      <c r="D2703" s="192">
        <f t="shared" si="205"/>
        <v>45278</v>
      </c>
      <c r="E2703" s="193">
        <f t="shared" si="206"/>
        <v>45278</v>
      </c>
      <c r="F2703" s="514"/>
      <c r="G2703" s="194" t="s">
        <v>1209</v>
      </c>
      <c r="H2703" s="195"/>
      <c r="I2703" s="195" t="s">
        <v>1253</v>
      </c>
      <c r="J2703" s="191" t="s">
        <v>46</v>
      </c>
      <c r="K2703" s="196"/>
      <c r="L2703" s="196">
        <v>4865355</v>
      </c>
      <c r="N2703" s="130"/>
    </row>
    <row r="2704" spans="1:14" ht="11.25" customHeight="1" x14ac:dyDescent="0.2">
      <c r="A2704" s="197">
        <v>2023</v>
      </c>
      <c r="B2704" s="197">
        <v>12</v>
      </c>
      <c r="C2704" s="197">
        <v>18</v>
      </c>
      <c r="D2704" s="198">
        <f t="shared" si="205"/>
        <v>45278</v>
      </c>
      <c r="E2704" s="199">
        <f t="shared" si="206"/>
        <v>45278</v>
      </c>
      <c r="F2704" s="513" t="s">
        <v>1497</v>
      </c>
      <c r="G2704" s="200" t="s">
        <v>1209</v>
      </c>
      <c r="H2704" s="201"/>
      <c r="I2704" s="201" t="s">
        <v>1253</v>
      </c>
      <c r="J2704" s="197" t="s">
        <v>1455</v>
      </c>
      <c r="K2704" s="202">
        <v>4865355</v>
      </c>
      <c r="L2704" s="202"/>
    </row>
    <row r="2705" spans="1:14" ht="11.25" customHeight="1" x14ac:dyDescent="0.2">
      <c r="A2705" s="191">
        <v>2023</v>
      </c>
      <c r="B2705" s="191">
        <v>12</v>
      </c>
      <c r="C2705" s="191">
        <v>18</v>
      </c>
      <c r="D2705" s="192">
        <f t="shared" si="205"/>
        <v>45278</v>
      </c>
      <c r="E2705" s="193">
        <f t="shared" si="206"/>
        <v>45278</v>
      </c>
      <c r="F2705" s="514"/>
      <c r="G2705" s="194" t="s">
        <v>1209</v>
      </c>
      <c r="H2705" s="195"/>
      <c r="I2705" s="195" t="s">
        <v>1253</v>
      </c>
      <c r="J2705" s="191" t="s">
        <v>46</v>
      </c>
      <c r="K2705" s="196"/>
      <c r="L2705" s="196">
        <v>4865355</v>
      </c>
      <c r="N2705" s="130"/>
    </row>
    <row r="2706" spans="1:14" ht="11.25" customHeight="1" x14ac:dyDescent="0.2">
      <c r="A2706" s="197">
        <v>2023</v>
      </c>
      <c r="B2706" s="197">
        <v>12</v>
      </c>
      <c r="C2706" s="197">
        <v>19</v>
      </c>
      <c r="D2706" s="198">
        <f t="shared" si="205"/>
        <v>45279</v>
      </c>
      <c r="E2706" s="199">
        <f t="shared" ref="E2706:E2717" si="207">DATE(A2706,B2706,C2706)</f>
        <v>45279</v>
      </c>
      <c r="F2706" s="513" t="s">
        <v>1497</v>
      </c>
      <c r="G2706" s="200" t="s">
        <v>1209</v>
      </c>
      <c r="H2706" s="201"/>
      <c r="I2706" s="201" t="s">
        <v>1253</v>
      </c>
      <c r="J2706" s="197" t="s">
        <v>1455</v>
      </c>
      <c r="K2706" s="202">
        <v>4866940</v>
      </c>
      <c r="L2706" s="202"/>
    </row>
    <row r="2707" spans="1:14" ht="11.25" customHeight="1" x14ac:dyDescent="0.2">
      <c r="A2707" s="191">
        <v>2023</v>
      </c>
      <c r="B2707" s="191">
        <v>12</v>
      </c>
      <c r="C2707" s="191">
        <v>19</v>
      </c>
      <c r="D2707" s="192">
        <f t="shared" si="205"/>
        <v>45279</v>
      </c>
      <c r="E2707" s="193">
        <f t="shared" si="207"/>
        <v>45279</v>
      </c>
      <c r="F2707" s="514"/>
      <c r="G2707" s="194" t="s">
        <v>1209</v>
      </c>
      <c r="H2707" s="195"/>
      <c r="I2707" s="195" t="s">
        <v>1253</v>
      </c>
      <c r="J2707" s="191" t="s">
        <v>46</v>
      </c>
      <c r="K2707" s="196"/>
      <c r="L2707" s="196">
        <v>4866940</v>
      </c>
      <c r="N2707" s="130"/>
    </row>
    <row r="2708" spans="1:14" ht="11.25" customHeight="1" x14ac:dyDescent="0.2">
      <c r="A2708" s="197">
        <v>2023</v>
      </c>
      <c r="B2708" s="197">
        <v>12</v>
      </c>
      <c r="C2708" s="197">
        <v>19</v>
      </c>
      <c r="D2708" s="198">
        <f t="shared" si="205"/>
        <v>45279</v>
      </c>
      <c r="E2708" s="199">
        <f t="shared" si="207"/>
        <v>45279</v>
      </c>
      <c r="F2708" s="513" t="s">
        <v>1497</v>
      </c>
      <c r="G2708" s="200" t="s">
        <v>1209</v>
      </c>
      <c r="H2708" s="201"/>
      <c r="I2708" s="201" t="s">
        <v>1253</v>
      </c>
      <c r="J2708" s="197" t="s">
        <v>1455</v>
      </c>
      <c r="K2708" s="202">
        <v>4866940</v>
      </c>
      <c r="L2708" s="202"/>
    </row>
    <row r="2709" spans="1:14" ht="11.25" customHeight="1" x14ac:dyDescent="0.2">
      <c r="A2709" s="191">
        <v>2023</v>
      </c>
      <c r="B2709" s="191">
        <v>12</v>
      </c>
      <c r="C2709" s="191">
        <v>19</v>
      </c>
      <c r="D2709" s="192">
        <f t="shared" si="205"/>
        <v>45279</v>
      </c>
      <c r="E2709" s="193">
        <f t="shared" si="207"/>
        <v>45279</v>
      </c>
      <c r="F2709" s="514"/>
      <c r="G2709" s="194" t="s">
        <v>1209</v>
      </c>
      <c r="H2709" s="195"/>
      <c r="I2709" s="195" t="s">
        <v>1253</v>
      </c>
      <c r="J2709" s="191" t="s">
        <v>46</v>
      </c>
      <c r="K2709" s="196"/>
      <c r="L2709" s="196">
        <v>4866940</v>
      </c>
      <c r="N2709" s="130"/>
    </row>
    <row r="2710" spans="1:14" ht="11.25" customHeight="1" x14ac:dyDescent="0.2">
      <c r="A2710" s="197">
        <v>2023</v>
      </c>
      <c r="B2710" s="197">
        <v>12</v>
      </c>
      <c r="C2710" s="197">
        <v>19</v>
      </c>
      <c r="D2710" s="198">
        <f t="shared" si="205"/>
        <v>45279</v>
      </c>
      <c r="E2710" s="209">
        <f t="shared" si="207"/>
        <v>45279</v>
      </c>
      <c r="F2710" s="513" t="s">
        <v>1423</v>
      </c>
      <c r="G2710" s="200" t="s">
        <v>1209</v>
      </c>
      <c r="H2710" s="201"/>
      <c r="I2710" s="201"/>
      <c r="J2710" s="197" t="s">
        <v>16</v>
      </c>
      <c r="K2710" s="202">
        <v>14320</v>
      </c>
      <c r="L2710" s="202"/>
    </row>
    <row r="2711" spans="1:14" ht="11.25" customHeight="1" x14ac:dyDescent="0.2">
      <c r="A2711" s="120">
        <v>2023</v>
      </c>
      <c r="B2711" s="120">
        <v>12</v>
      </c>
      <c r="C2711" s="120">
        <v>19</v>
      </c>
      <c r="D2711" s="208">
        <f t="shared" si="205"/>
        <v>45279</v>
      </c>
      <c r="E2711" s="209">
        <f t="shared" si="207"/>
        <v>45279</v>
      </c>
      <c r="F2711" s="515"/>
      <c r="G2711" s="132" t="s">
        <v>1209</v>
      </c>
      <c r="J2711" s="120" t="s">
        <v>47</v>
      </c>
      <c r="K2711" s="207">
        <v>919.34000000000015</v>
      </c>
      <c r="L2711" s="207"/>
    </row>
    <row r="2712" spans="1:14" ht="11.25" customHeight="1" x14ac:dyDescent="0.2">
      <c r="A2712" s="191">
        <v>2023</v>
      </c>
      <c r="B2712" s="191">
        <v>12</v>
      </c>
      <c r="C2712" s="191">
        <v>19</v>
      </c>
      <c r="D2712" s="192">
        <f t="shared" si="205"/>
        <v>45279</v>
      </c>
      <c r="E2712" s="193">
        <f t="shared" si="207"/>
        <v>45279</v>
      </c>
      <c r="F2712" s="514"/>
      <c r="G2712" s="194" t="s">
        <v>1209</v>
      </c>
      <c r="H2712" s="195"/>
      <c r="I2712" s="195"/>
      <c r="J2712" s="191" t="s">
        <v>46</v>
      </c>
      <c r="K2712" s="196"/>
      <c r="L2712" s="196">
        <v>15239.34</v>
      </c>
    </row>
    <row r="2713" spans="1:14" ht="11.25" customHeight="1" x14ac:dyDescent="0.2">
      <c r="A2713" s="197">
        <v>2023</v>
      </c>
      <c r="B2713" s="197">
        <v>12</v>
      </c>
      <c r="C2713" s="197">
        <v>20</v>
      </c>
      <c r="D2713" s="198">
        <f t="shared" si="205"/>
        <v>45280</v>
      </c>
      <c r="E2713" s="209">
        <f>DATE(A2713,B2713,C2713)</f>
        <v>45280</v>
      </c>
      <c r="F2713" s="513" t="s">
        <v>1499</v>
      </c>
      <c r="G2713" s="200" t="s">
        <v>1209</v>
      </c>
      <c r="H2713" s="201"/>
      <c r="I2713" s="201"/>
      <c r="J2713" s="197" t="s">
        <v>46</v>
      </c>
      <c r="K2713" s="202">
        <v>15239.34</v>
      </c>
      <c r="L2713" s="202"/>
    </row>
    <row r="2714" spans="1:14" ht="11.25" customHeight="1" x14ac:dyDescent="0.2">
      <c r="A2714" s="120">
        <v>2023</v>
      </c>
      <c r="B2714" s="120">
        <v>12</v>
      </c>
      <c r="C2714" s="120">
        <v>20</v>
      </c>
      <c r="D2714" s="208">
        <f t="shared" si="205"/>
        <v>45280</v>
      </c>
      <c r="E2714" s="209">
        <f>DATE(A2714,B2714,C2714)</f>
        <v>45280</v>
      </c>
      <c r="F2714" s="515"/>
      <c r="G2714" s="132" t="s">
        <v>1209</v>
      </c>
      <c r="J2714" s="120" t="s">
        <v>16</v>
      </c>
      <c r="K2714" s="207"/>
      <c r="L2714" s="207">
        <v>14320</v>
      </c>
    </row>
    <row r="2715" spans="1:14" ht="11.25" customHeight="1" x14ac:dyDescent="0.2">
      <c r="A2715" s="191">
        <v>2023</v>
      </c>
      <c r="B2715" s="191">
        <v>12</v>
      </c>
      <c r="C2715" s="191">
        <v>20</v>
      </c>
      <c r="D2715" s="192">
        <f t="shared" si="205"/>
        <v>45280</v>
      </c>
      <c r="E2715" s="193">
        <f>DATE(A2715,B2715,C2715)</f>
        <v>45280</v>
      </c>
      <c r="F2715" s="514"/>
      <c r="G2715" s="194" t="s">
        <v>1209</v>
      </c>
      <c r="H2715" s="195"/>
      <c r="I2715" s="195"/>
      <c r="J2715" s="191" t="s">
        <v>47</v>
      </c>
      <c r="K2715" s="196"/>
      <c r="L2715" s="196">
        <v>919.34000000000015</v>
      </c>
    </row>
    <row r="2716" spans="1:14" ht="11.25" customHeight="1" x14ac:dyDescent="0.2">
      <c r="A2716" s="197">
        <v>2023</v>
      </c>
      <c r="B2716" s="197">
        <v>12</v>
      </c>
      <c r="C2716" s="197">
        <v>21</v>
      </c>
      <c r="D2716" s="198">
        <f t="shared" si="205"/>
        <v>45281</v>
      </c>
      <c r="E2716" s="199">
        <f t="shared" si="207"/>
        <v>45281</v>
      </c>
      <c r="F2716" s="513" t="s">
        <v>1389</v>
      </c>
      <c r="G2716" s="200" t="s">
        <v>1209</v>
      </c>
      <c r="H2716" s="200"/>
      <c r="I2716" s="201" t="s">
        <v>1253</v>
      </c>
      <c r="J2716" s="248" t="s">
        <v>84</v>
      </c>
      <c r="K2716" s="202">
        <v>12.02</v>
      </c>
      <c r="L2716" s="202"/>
      <c r="M2716" s="251"/>
    </row>
    <row r="2717" spans="1:14" ht="11.25" customHeight="1" x14ac:dyDescent="0.2">
      <c r="A2717" s="191">
        <v>2023</v>
      </c>
      <c r="B2717" s="191">
        <v>12</v>
      </c>
      <c r="C2717" s="191">
        <v>21</v>
      </c>
      <c r="D2717" s="192">
        <f t="shared" si="205"/>
        <v>45281</v>
      </c>
      <c r="E2717" s="193">
        <f t="shared" si="207"/>
        <v>45281</v>
      </c>
      <c r="F2717" s="514"/>
      <c r="G2717" s="194" t="s">
        <v>1209</v>
      </c>
      <c r="H2717" s="194"/>
      <c r="I2717" s="195" t="s">
        <v>1253</v>
      </c>
      <c r="J2717" s="250" t="s">
        <v>46</v>
      </c>
      <c r="K2717" s="196"/>
      <c r="L2717" s="196">
        <v>12.02</v>
      </c>
      <c r="M2717" s="251"/>
    </row>
    <row r="2718" spans="1:14" ht="11.25" customHeight="1" x14ac:dyDescent="0.2">
      <c r="A2718" s="197">
        <v>2023</v>
      </c>
      <c r="B2718" s="197">
        <v>12</v>
      </c>
      <c r="C2718" s="197">
        <v>21</v>
      </c>
      <c r="D2718" s="198">
        <f t="shared" si="205"/>
        <v>45281</v>
      </c>
      <c r="E2718" s="209">
        <f t="shared" ref="E2718:E2723" si="208">DATE(A2718,B2718,C2718)</f>
        <v>45281</v>
      </c>
      <c r="F2718" s="513" t="s">
        <v>1423</v>
      </c>
      <c r="G2718" s="200" t="s">
        <v>1209</v>
      </c>
      <c r="H2718" s="201"/>
      <c r="I2718" s="201"/>
      <c r="J2718" s="197" t="s">
        <v>16</v>
      </c>
      <c r="K2718" s="202">
        <v>14320</v>
      </c>
      <c r="L2718" s="202"/>
    </row>
    <row r="2719" spans="1:14" ht="11.25" customHeight="1" x14ac:dyDescent="0.2">
      <c r="A2719" s="120">
        <v>2023</v>
      </c>
      <c r="B2719" s="120">
        <v>12</v>
      </c>
      <c r="C2719" s="120">
        <v>21</v>
      </c>
      <c r="D2719" s="208">
        <f t="shared" si="205"/>
        <v>45281</v>
      </c>
      <c r="E2719" s="209">
        <f t="shared" si="208"/>
        <v>45281</v>
      </c>
      <c r="F2719" s="515"/>
      <c r="G2719" s="132" t="s">
        <v>1209</v>
      </c>
      <c r="J2719" s="120" t="s">
        <v>47</v>
      </c>
      <c r="K2719" s="207">
        <v>919.34000000000015</v>
      </c>
      <c r="L2719" s="207"/>
    </row>
    <row r="2720" spans="1:14" ht="11.25" customHeight="1" x14ac:dyDescent="0.2">
      <c r="A2720" s="191">
        <v>2023</v>
      </c>
      <c r="B2720" s="191">
        <v>12</v>
      </c>
      <c r="C2720" s="191">
        <v>21</v>
      </c>
      <c r="D2720" s="192">
        <f t="shared" si="205"/>
        <v>45281</v>
      </c>
      <c r="E2720" s="193">
        <f t="shared" si="208"/>
        <v>45281</v>
      </c>
      <c r="F2720" s="514"/>
      <c r="G2720" s="194" t="s">
        <v>1209</v>
      </c>
      <c r="H2720" s="195"/>
      <c r="I2720" s="195"/>
      <c r="J2720" s="191" t="s">
        <v>46</v>
      </c>
      <c r="K2720" s="196"/>
      <c r="L2720" s="196">
        <v>15239.34</v>
      </c>
    </row>
    <row r="2721" spans="1:12" ht="11.25" customHeight="1" x14ac:dyDescent="0.2">
      <c r="A2721" s="197">
        <v>2023</v>
      </c>
      <c r="B2721" s="197">
        <v>12</v>
      </c>
      <c r="C2721" s="197">
        <v>21</v>
      </c>
      <c r="D2721" s="198">
        <f t="shared" si="205"/>
        <v>45281</v>
      </c>
      <c r="E2721" s="209">
        <f t="shared" si="208"/>
        <v>45281</v>
      </c>
      <c r="F2721" s="513" t="s">
        <v>1210</v>
      </c>
      <c r="G2721" s="200" t="s">
        <v>1209</v>
      </c>
      <c r="H2721" s="201"/>
      <c r="I2721" s="201"/>
      <c r="J2721" s="197" t="s">
        <v>46</v>
      </c>
      <c r="K2721" s="202">
        <v>15000</v>
      </c>
      <c r="L2721" s="202"/>
    </row>
    <row r="2722" spans="1:12" ht="11.25" customHeight="1" x14ac:dyDescent="0.2">
      <c r="A2722" s="120">
        <v>2023</v>
      </c>
      <c r="B2722" s="120">
        <v>12</v>
      </c>
      <c r="C2722" s="120">
        <v>21</v>
      </c>
      <c r="D2722" s="208">
        <f t="shared" si="205"/>
        <v>45281</v>
      </c>
      <c r="E2722" s="209">
        <f t="shared" si="208"/>
        <v>45281</v>
      </c>
      <c r="F2722" s="515"/>
      <c r="G2722" s="132" t="s">
        <v>1209</v>
      </c>
      <c r="J2722" s="120" t="s">
        <v>16</v>
      </c>
      <c r="K2722" s="207"/>
      <c r="L2722" s="207">
        <v>14100</v>
      </c>
    </row>
    <row r="2723" spans="1:12" ht="11.25" customHeight="1" x14ac:dyDescent="0.2">
      <c r="A2723" s="191">
        <v>2023</v>
      </c>
      <c r="B2723" s="191">
        <v>12</v>
      </c>
      <c r="C2723" s="191">
        <v>21</v>
      </c>
      <c r="D2723" s="192">
        <f t="shared" si="205"/>
        <v>45281</v>
      </c>
      <c r="E2723" s="193">
        <f t="shared" si="208"/>
        <v>45281</v>
      </c>
      <c r="F2723" s="514"/>
      <c r="G2723" s="194" t="s">
        <v>1209</v>
      </c>
      <c r="H2723" s="195"/>
      <c r="I2723" s="195"/>
      <c r="J2723" s="191" t="s">
        <v>47</v>
      </c>
      <c r="K2723" s="196"/>
      <c r="L2723" s="196">
        <v>900</v>
      </c>
    </row>
    <row r="2724" spans="1:12" ht="11.25" customHeight="1" x14ac:dyDescent="0.2">
      <c r="A2724" s="197">
        <v>2023</v>
      </c>
      <c r="B2724" s="197">
        <v>12</v>
      </c>
      <c r="C2724" s="197">
        <v>21</v>
      </c>
      <c r="D2724" s="198">
        <f t="shared" si="205"/>
        <v>45281</v>
      </c>
      <c r="E2724" s="209">
        <f t="shared" ref="E2724:E2764" si="209">DATE(A2724,B2724,C2724)</f>
        <v>45281</v>
      </c>
      <c r="F2724" s="513" t="s">
        <v>1210</v>
      </c>
      <c r="G2724" s="200" t="s">
        <v>1209</v>
      </c>
      <c r="H2724" s="201"/>
      <c r="I2724" s="201" t="s">
        <v>380</v>
      </c>
      <c r="J2724" s="197" t="s">
        <v>46</v>
      </c>
      <c r="K2724" s="202">
        <v>500000</v>
      </c>
      <c r="L2724" s="202"/>
    </row>
    <row r="2725" spans="1:12" ht="11.25" customHeight="1" x14ac:dyDescent="0.2">
      <c r="A2725" s="120">
        <v>2023</v>
      </c>
      <c r="B2725" s="120">
        <v>12</v>
      </c>
      <c r="C2725" s="120">
        <v>21</v>
      </c>
      <c r="D2725" s="208">
        <f t="shared" si="205"/>
        <v>45281</v>
      </c>
      <c r="E2725" s="209">
        <f t="shared" si="209"/>
        <v>45281</v>
      </c>
      <c r="F2725" s="515"/>
      <c r="G2725" s="132" t="s">
        <v>1209</v>
      </c>
      <c r="I2725" s="128" t="s">
        <v>380</v>
      </c>
      <c r="J2725" s="120" t="s">
        <v>16</v>
      </c>
      <c r="K2725" s="207"/>
      <c r="L2725" s="207">
        <v>469840</v>
      </c>
    </row>
    <row r="2726" spans="1:12" ht="11.25" customHeight="1" x14ac:dyDescent="0.2">
      <c r="A2726" s="191">
        <v>2023</v>
      </c>
      <c r="B2726" s="191">
        <v>12</v>
      </c>
      <c r="C2726" s="191">
        <v>21</v>
      </c>
      <c r="D2726" s="192">
        <f t="shared" si="205"/>
        <v>45281</v>
      </c>
      <c r="E2726" s="193">
        <f t="shared" si="209"/>
        <v>45281</v>
      </c>
      <c r="F2726" s="514"/>
      <c r="G2726" s="194" t="s">
        <v>1209</v>
      </c>
      <c r="H2726" s="195"/>
      <c r="I2726" s="195" t="s">
        <v>380</v>
      </c>
      <c r="J2726" s="191" t="s">
        <v>47</v>
      </c>
      <c r="K2726" s="196"/>
      <c r="L2726" s="196">
        <v>30160</v>
      </c>
    </row>
    <row r="2727" spans="1:12" ht="11.25" customHeight="1" x14ac:dyDescent="0.2">
      <c r="A2727" s="197">
        <v>2023</v>
      </c>
      <c r="B2727" s="197">
        <v>12</v>
      </c>
      <c r="C2727" s="197">
        <v>21</v>
      </c>
      <c r="D2727" s="198">
        <f t="shared" si="205"/>
        <v>45281</v>
      </c>
      <c r="E2727" s="209">
        <f t="shared" si="209"/>
        <v>45281</v>
      </c>
      <c r="F2727" s="513" t="s">
        <v>1210</v>
      </c>
      <c r="G2727" s="200" t="s">
        <v>1209</v>
      </c>
      <c r="H2727" s="201"/>
      <c r="I2727" s="201" t="s">
        <v>1493</v>
      </c>
      <c r="J2727" s="197" t="s">
        <v>46</v>
      </c>
      <c r="K2727" s="202">
        <v>6376.3</v>
      </c>
      <c r="L2727" s="202"/>
    </row>
    <row r="2728" spans="1:12" ht="11.25" customHeight="1" x14ac:dyDescent="0.2">
      <c r="A2728" s="120">
        <v>2023</v>
      </c>
      <c r="B2728" s="120">
        <v>12</v>
      </c>
      <c r="C2728" s="120">
        <v>21</v>
      </c>
      <c r="D2728" s="208">
        <f t="shared" si="205"/>
        <v>45281</v>
      </c>
      <c r="E2728" s="209">
        <f t="shared" si="209"/>
        <v>45281</v>
      </c>
      <c r="F2728" s="515"/>
      <c r="G2728" s="132" t="s">
        <v>1209</v>
      </c>
      <c r="I2728" s="128" t="s">
        <v>1493</v>
      </c>
      <c r="J2728" s="120" t="s">
        <v>16</v>
      </c>
      <c r="K2728" s="207"/>
      <c r="L2728" s="207">
        <v>5990</v>
      </c>
    </row>
    <row r="2729" spans="1:12" ht="11.25" customHeight="1" x14ac:dyDescent="0.2">
      <c r="A2729" s="191">
        <v>2023</v>
      </c>
      <c r="B2729" s="191">
        <v>12</v>
      </c>
      <c r="C2729" s="191">
        <v>21</v>
      </c>
      <c r="D2729" s="192">
        <f t="shared" si="205"/>
        <v>45281</v>
      </c>
      <c r="E2729" s="193">
        <f t="shared" si="209"/>
        <v>45281</v>
      </c>
      <c r="F2729" s="514"/>
      <c r="G2729" s="194" t="s">
        <v>1209</v>
      </c>
      <c r="H2729" s="195"/>
      <c r="I2729" s="195" t="s">
        <v>1493</v>
      </c>
      <c r="J2729" s="191" t="s">
        <v>47</v>
      </c>
      <c r="K2729" s="196"/>
      <c r="L2729" s="196">
        <v>386.30000000000018</v>
      </c>
    </row>
    <row r="2730" spans="1:12" ht="11.25" customHeight="1" x14ac:dyDescent="0.2">
      <c r="A2730" s="197">
        <v>2023</v>
      </c>
      <c r="B2730" s="197">
        <v>12</v>
      </c>
      <c r="C2730" s="197">
        <v>21</v>
      </c>
      <c r="D2730" s="198">
        <f t="shared" si="205"/>
        <v>45281</v>
      </c>
      <c r="E2730" s="199">
        <f t="shared" si="209"/>
        <v>45281</v>
      </c>
      <c r="F2730" s="513" t="s">
        <v>1323</v>
      </c>
      <c r="G2730" s="200" t="s">
        <v>1209</v>
      </c>
      <c r="H2730" s="201"/>
      <c r="I2730" s="201"/>
      <c r="J2730" s="197" t="s">
        <v>54</v>
      </c>
      <c r="K2730" s="202">
        <v>60</v>
      </c>
      <c r="L2730" s="202"/>
    </row>
    <row r="2731" spans="1:12" ht="11.25" customHeight="1" x14ac:dyDescent="0.2">
      <c r="A2731" s="191">
        <v>2023</v>
      </c>
      <c r="B2731" s="191">
        <v>12</v>
      </c>
      <c r="C2731" s="191">
        <v>21</v>
      </c>
      <c r="D2731" s="192">
        <f t="shared" si="205"/>
        <v>45281</v>
      </c>
      <c r="E2731" s="193">
        <f t="shared" si="209"/>
        <v>45281</v>
      </c>
      <c r="F2731" s="514"/>
      <c r="G2731" s="194" t="s">
        <v>1209</v>
      </c>
      <c r="H2731" s="195"/>
      <c r="I2731" s="195"/>
      <c r="J2731" s="191" t="s">
        <v>46</v>
      </c>
      <c r="K2731" s="196"/>
      <c r="L2731" s="196">
        <v>60</v>
      </c>
    </row>
    <row r="2732" spans="1:12" ht="11.25" customHeight="1" x14ac:dyDescent="0.2">
      <c r="A2732" s="210">
        <v>2023</v>
      </c>
      <c r="B2732" s="210">
        <v>12</v>
      </c>
      <c r="C2732" s="210">
        <v>21</v>
      </c>
      <c r="D2732" s="211">
        <f t="shared" si="205"/>
        <v>45281</v>
      </c>
      <c r="E2732" s="238">
        <f t="shared" si="209"/>
        <v>45281</v>
      </c>
      <c r="F2732" s="520" t="s">
        <v>1278</v>
      </c>
      <c r="G2732" s="213" t="s">
        <v>1245</v>
      </c>
      <c r="H2732" s="214"/>
      <c r="I2732" s="214" t="s">
        <v>1253</v>
      </c>
      <c r="J2732" s="210" t="s">
        <v>1529</v>
      </c>
      <c r="K2732" s="215">
        <v>6512.28</v>
      </c>
      <c r="L2732" s="215"/>
    </row>
    <row r="2733" spans="1:12" ht="11.25" customHeight="1" x14ac:dyDescent="0.2">
      <c r="A2733" s="216">
        <v>2023</v>
      </c>
      <c r="B2733" s="216">
        <v>12</v>
      </c>
      <c r="C2733" s="216">
        <v>21</v>
      </c>
      <c r="D2733" s="217">
        <f t="shared" si="205"/>
        <v>45281</v>
      </c>
      <c r="E2733" s="239">
        <f t="shared" si="209"/>
        <v>45281</v>
      </c>
      <c r="F2733" s="521"/>
      <c r="G2733" s="219" t="s">
        <v>1245</v>
      </c>
      <c r="H2733" s="220"/>
      <c r="I2733" s="220" t="s">
        <v>1253</v>
      </c>
      <c r="J2733" s="216" t="s">
        <v>1581</v>
      </c>
      <c r="K2733" s="221"/>
      <c r="L2733" s="221">
        <v>6512.28</v>
      </c>
    </row>
    <row r="2734" spans="1:12" ht="11.25" customHeight="1" x14ac:dyDescent="0.2">
      <c r="A2734" s="210">
        <v>2023</v>
      </c>
      <c r="B2734" s="210">
        <v>12</v>
      </c>
      <c r="C2734" s="210">
        <v>21</v>
      </c>
      <c r="D2734" s="211">
        <f t="shared" si="205"/>
        <v>45281</v>
      </c>
      <c r="E2734" s="238">
        <f t="shared" si="209"/>
        <v>45281</v>
      </c>
      <c r="F2734" s="520" t="s">
        <v>1285</v>
      </c>
      <c r="G2734" s="213" t="s">
        <v>1245</v>
      </c>
      <c r="H2734" s="214"/>
      <c r="I2734" s="214" t="s">
        <v>1253</v>
      </c>
      <c r="J2734" s="210" t="s">
        <v>1284</v>
      </c>
      <c r="K2734" s="215">
        <v>13771.15</v>
      </c>
      <c r="L2734" s="215"/>
    </row>
    <row r="2735" spans="1:12" ht="11.25" customHeight="1" x14ac:dyDescent="0.2">
      <c r="A2735" s="242">
        <v>2023</v>
      </c>
      <c r="B2735" s="216">
        <v>12</v>
      </c>
      <c r="C2735" s="216">
        <v>21</v>
      </c>
      <c r="D2735" s="243">
        <f t="shared" si="205"/>
        <v>45281</v>
      </c>
      <c r="E2735" s="244">
        <f>DATE(A2735,B2735,C2735)</f>
        <v>45281</v>
      </c>
      <c r="F2735" s="524"/>
      <c r="G2735" s="245" t="s">
        <v>1245</v>
      </c>
      <c r="H2735" s="246"/>
      <c r="I2735" s="246"/>
      <c r="J2735" s="242" t="s">
        <v>1582</v>
      </c>
      <c r="K2735" s="247"/>
      <c r="L2735" s="247">
        <v>13771.15</v>
      </c>
    </row>
    <row r="2736" spans="1:12" ht="11.25" customHeight="1" x14ac:dyDescent="0.2">
      <c r="A2736" s="210">
        <v>2023</v>
      </c>
      <c r="B2736" s="210">
        <v>12</v>
      </c>
      <c r="C2736" s="210">
        <v>21</v>
      </c>
      <c r="D2736" s="211">
        <f t="shared" si="205"/>
        <v>45281</v>
      </c>
      <c r="E2736" s="238">
        <f t="shared" si="209"/>
        <v>45281</v>
      </c>
      <c r="F2736" s="520" t="s">
        <v>1259</v>
      </c>
      <c r="G2736" s="213" t="s">
        <v>1245</v>
      </c>
      <c r="H2736" s="214"/>
      <c r="I2736" s="214" t="s">
        <v>1253</v>
      </c>
      <c r="J2736" s="210" t="s">
        <v>58</v>
      </c>
      <c r="K2736" s="215">
        <v>12585.92</v>
      </c>
      <c r="L2736" s="215"/>
    </row>
    <row r="2737" spans="1:12" ht="11.25" customHeight="1" x14ac:dyDescent="0.2">
      <c r="A2737" s="216">
        <v>2023</v>
      </c>
      <c r="B2737" s="216">
        <v>12</v>
      </c>
      <c r="C2737" s="216">
        <v>21</v>
      </c>
      <c r="D2737" s="217">
        <f t="shared" si="205"/>
        <v>45281</v>
      </c>
      <c r="E2737" s="239">
        <f t="shared" si="209"/>
        <v>45281</v>
      </c>
      <c r="F2737" s="521"/>
      <c r="G2737" s="219" t="s">
        <v>1245</v>
      </c>
      <c r="H2737" s="220"/>
      <c r="I2737" s="220" t="s">
        <v>1253</v>
      </c>
      <c r="J2737" s="216" t="s">
        <v>153</v>
      </c>
      <c r="K2737" s="221"/>
      <c r="L2737" s="221">
        <v>12585.92</v>
      </c>
    </row>
    <row r="2738" spans="1:12" ht="11.25" customHeight="1" x14ac:dyDescent="0.2">
      <c r="A2738" s="210">
        <v>2023</v>
      </c>
      <c r="B2738" s="210">
        <v>12</v>
      </c>
      <c r="C2738" s="210">
        <v>21</v>
      </c>
      <c r="D2738" s="211">
        <f t="shared" si="205"/>
        <v>45281</v>
      </c>
      <c r="E2738" s="238">
        <f t="shared" si="209"/>
        <v>45281</v>
      </c>
      <c r="F2738" s="520" t="s">
        <v>1256</v>
      </c>
      <c r="G2738" s="213" t="s">
        <v>1245</v>
      </c>
      <c r="H2738" s="214"/>
      <c r="I2738" s="214" t="s">
        <v>1253</v>
      </c>
      <c r="J2738" s="210" t="s">
        <v>113</v>
      </c>
      <c r="K2738" s="215">
        <v>200802.88461538462</v>
      </c>
      <c r="L2738" s="215"/>
    </row>
    <row r="2739" spans="1:12" ht="11.25" customHeight="1" x14ac:dyDescent="0.2">
      <c r="A2739" s="216">
        <v>2023</v>
      </c>
      <c r="B2739" s="216">
        <v>12</v>
      </c>
      <c r="C2739" s="216">
        <v>21</v>
      </c>
      <c r="D2739" s="217">
        <f t="shared" ref="D2739:D2802" si="210">DATE(A2739,B2739,C2739)</f>
        <v>45281</v>
      </c>
      <c r="E2739" s="239">
        <f t="shared" si="209"/>
        <v>45281</v>
      </c>
      <c r="F2739" s="521"/>
      <c r="G2739" s="219" t="s">
        <v>1245</v>
      </c>
      <c r="H2739" s="220"/>
      <c r="I2739" s="220" t="s">
        <v>1253</v>
      </c>
      <c r="J2739" s="216" t="s">
        <v>153</v>
      </c>
      <c r="K2739" s="221"/>
      <c r="L2739" s="221">
        <v>200802.88461538462</v>
      </c>
    </row>
    <row r="2740" spans="1:12" ht="11.25" customHeight="1" x14ac:dyDescent="0.2">
      <c r="A2740" s="312">
        <v>2023</v>
      </c>
      <c r="B2740" s="312">
        <v>12</v>
      </c>
      <c r="C2740" s="312">
        <v>21</v>
      </c>
      <c r="D2740" s="313">
        <f t="shared" si="210"/>
        <v>45281</v>
      </c>
      <c r="E2740" s="314">
        <f t="shared" si="209"/>
        <v>45281</v>
      </c>
      <c r="F2740" s="522" t="s">
        <v>1477</v>
      </c>
      <c r="G2740" s="315" t="s">
        <v>1245</v>
      </c>
      <c r="H2740" s="316"/>
      <c r="I2740" s="316" t="s">
        <v>1253</v>
      </c>
      <c r="J2740" s="312" t="s">
        <v>1460</v>
      </c>
      <c r="K2740" s="317">
        <v>201020.46999999881</v>
      </c>
      <c r="L2740" s="317"/>
    </row>
    <row r="2741" spans="1:12" ht="11.25" customHeight="1" x14ac:dyDescent="0.2">
      <c r="A2741" s="318">
        <v>2023</v>
      </c>
      <c r="B2741" s="318">
        <v>12</v>
      </c>
      <c r="C2741" s="318">
        <v>21</v>
      </c>
      <c r="D2741" s="319">
        <f t="shared" si="210"/>
        <v>45281</v>
      </c>
      <c r="E2741" s="320">
        <f t="shared" si="209"/>
        <v>45281</v>
      </c>
      <c r="F2741" s="523"/>
      <c r="G2741" s="321" t="s">
        <v>1245</v>
      </c>
      <c r="H2741" s="322"/>
      <c r="I2741" s="322" t="s">
        <v>1253</v>
      </c>
      <c r="J2741" s="318" t="s">
        <v>1458</v>
      </c>
      <c r="K2741" s="323"/>
      <c r="L2741" s="323">
        <v>201020.46999999881</v>
      </c>
    </row>
    <row r="2742" spans="1:12" ht="11.25" customHeight="1" x14ac:dyDescent="0.2">
      <c r="A2742" s="222">
        <v>2023</v>
      </c>
      <c r="B2742" s="222">
        <v>12</v>
      </c>
      <c r="C2742" s="222">
        <v>21</v>
      </c>
      <c r="D2742" s="223">
        <f t="shared" si="210"/>
        <v>45281</v>
      </c>
      <c r="E2742" s="240">
        <f t="shared" si="209"/>
        <v>45281</v>
      </c>
      <c r="F2742" s="511" t="s">
        <v>1244</v>
      </c>
      <c r="G2742" s="225" t="s">
        <v>1245</v>
      </c>
      <c r="H2742" s="226"/>
      <c r="I2742" s="226" t="s">
        <v>1253</v>
      </c>
      <c r="J2742" s="222" t="s">
        <v>87</v>
      </c>
      <c r="K2742" s="227">
        <v>20098.731904760003</v>
      </c>
      <c r="L2742" s="227"/>
    </row>
    <row r="2743" spans="1:12" ht="11.25" customHeight="1" x14ac:dyDescent="0.2">
      <c r="A2743" s="228">
        <v>2023</v>
      </c>
      <c r="B2743" s="228">
        <v>12</v>
      </c>
      <c r="C2743" s="228">
        <v>21</v>
      </c>
      <c r="D2743" s="229">
        <f t="shared" si="210"/>
        <v>45281</v>
      </c>
      <c r="E2743" s="241">
        <f t="shared" si="209"/>
        <v>45281</v>
      </c>
      <c r="F2743" s="512"/>
      <c r="G2743" s="231" t="s">
        <v>1245</v>
      </c>
      <c r="H2743" s="232"/>
      <c r="I2743" s="232" t="s">
        <v>1253</v>
      </c>
      <c r="J2743" s="228" t="s">
        <v>72</v>
      </c>
      <c r="K2743" s="233"/>
      <c r="L2743" s="233">
        <v>20098.731904760003</v>
      </c>
    </row>
    <row r="2744" spans="1:12" ht="11.25" customHeight="1" x14ac:dyDescent="0.2">
      <c r="A2744" s="222">
        <v>2023</v>
      </c>
      <c r="B2744" s="222">
        <v>12</v>
      </c>
      <c r="C2744" s="222">
        <v>21</v>
      </c>
      <c r="D2744" s="223">
        <f t="shared" si="210"/>
        <v>45281</v>
      </c>
      <c r="E2744" s="240">
        <f t="shared" si="209"/>
        <v>45281</v>
      </c>
      <c r="F2744" s="511" t="s">
        <v>1246</v>
      </c>
      <c r="G2744" s="225" t="s">
        <v>1245</v>
      </c>
      <c r="H2744" s="226"/>
      <c r="I2744" s="226" t="s">
        <v>1253</v>
      </c>
      <c r="J2744" s="222" t="s">
        <v>75</v>
      </c>
      <c r="K2744" s="227">
        <v>3623.123846153846</v>
      </c>
      <c r="L2744" s="227"/>
    </row>
    <row r="2745" spans="1:12" ht="11.25" customHeight="1" x14ac:dyDescent="0.2">
      <c r="A2745" s="228">
        <v>2023</v>
      </c>
      <c r="B2745" s="228">
        <v>12</v>
      </c>
      <c r="C2745" s="228">
        <v>21</v>
      </c>
      <c r="D2745" s="229">
        <f t="shared" si="210"/>
        <v>45281</v>
      </c>
      <c r="E2745" s="241">
        <f t="shared" si="209"/>
        <v>45281</v>
      </c>
      <c r="F2745" s="512"/>
      <c r="G2745" s="231" t="s">
        <v>1245</v>
      </c>
      <c r="H2745" s="232"/>
      <c r="I2745" s="232" t="s">
        <v>1253</v>
      </c>
      <c r="J2745" s="228" t="s">
        <v>55</v>
      </c>
      <c r="K2745" s="233"/>
      <c r="L2745" s="233">
        <v>3623.123846153846</v>
      </c>
    </row>
    <row r="2746" spans="1:12" ht="11.25" customHeight="1" x14ac:dyDescent="0.2">
      <c r="A2746" s="222">
        <v>2023</v>
      </c>
      <c r="B2746" s="222">
        <v>12</v>
      </c>
      <c r="C2746" s="222">
        <v>21</v>
      </c>
      <c r="D2746" s="223">
        <f t="shared" si="210"/>
        <v>45281</v>
      </c>
      <c r="E2746" s="240">
        <f t="shared" si="209"/>
        <v>45281</v>
      </c>
      <c r="F2746" s="511" t="s">
        <v>1247</v>
      </c>
      <c r="G2746" s="225" t="s">
        <v>1245</v>
      </c>
      <c r="H2746" s="226"/>
      <c r="I2746" s="226" t="s">
        <v>1253</v>
      </c>
      <c r="J2746" s="222" t="s">
        <v>77</v>
      </c>
      <c r="K2746" s="227">
        <v>24678.777774773338</v>
      </c>
      <c r="L2746" s="227"/>
    </row>
    <row r="2747" spans="1:12" ht="11.25" customHeight="1" x14ac:dyDescent="0.2">
      <c r="A2747" s="228">
        <v>2023</v>
      </c>
      <c r="B2747" s="228">
        <v>12</v>
      </c>
      <c r="C2747" s="228">
        <v>21</v>
      </c>
      <c r="D2747" s="229">
        <f t="shared" si="210"/>
        <v>45281</v>
      </c>
      <c r="E2747" s="241">
        <f t="shared" si="209"/>
        <v>45281</v>
      </c>
      <c r="F2747" s="512"/>
      <c r="G2747" s="231" t="s">
        <v>1245</v>
      </c>
      <c r="H2747" s="232"/>
      <c r="I2747" s="232" t="s">
        <v>1253</v>
      </c>
      <c r="J2747" s="228" t="s">
        <v>41</v>
      </c>
      <c r="K2747" s="233"/>
      <c r="L2747" s="233">
        <v>24678.777774773338</v>
      </c>
    </row>
    <row r="2748" spans="1:12" ht="11.25" customHeight="1" x14ac:dyDescent="0.2">
      <c r="A2748" s="222">
        <v>2023</v>
      </c>
      <c r="B2748" s="222">
        <v>12</v>
      </c>
      <c r="C2748" s="222">
        <v>21</v>
      </c>
      <c r="D2748" s="223">
        <f t="shared" si="210"/>
        <v>45281</v>
      </c>
      <c r="E2748" s="240">
        <f t="shared" si="209"/>
        <v>45281</v>
      </c>
      <c r="F2748" s="511" t="s">
        <v>1248</v>
      </c>
      <c r="G2748" s="225" t="s">
        <v>1245</v>
      </c>
      <c r="H2748" s="226"/>
      <c r="I2748" s="226" t="s">
        <v>1253</v>
      </c>
      <c r="J2748" s="222" t="s">
        <v>80</v>
      </c>
      <c r="K2748" s="227">
        <v>2467.8777774773334</v>
      </c>
      <c r="L2748" s="227"/>
    </row>
    <row r="2749" spans="1:12" ht="11.25" customHeight="1" x14ac:dyDescent="0.2">
      <c r="A2749" s="228">
        <v>2023</v>
      </c>
      <c r="B2749" s="228">
        <v>12</v>
      </c>
      <c r="C2749" s="228">
        <v>21</v>
      </c>
      <c r="D2749" s="229">
        <f t="shared" si="210"/>
        <v>45281</v>
      </c>
      <c r="E2749" s="241">
        <f t="shared" si="209"/>
        <v>45281</v>
      </c>
      <c r="F2749" s="512"/>
      <c r="G2749" s="231" t="s">
        <v>1245</v>
      </c>
      <c r="H2749" s="232"/>
      <c r="I2749" s="232" t="s">
        <v>1253</v>
      </c>
      <c r="J2749" s="228" t="s">
        <v>42</v>
      </c>
      <c r="K2749" s="233"/>
      <c r="L2749" s="233">
        <v>2467.8777774773334</v>
      </c>
    </row>
    <row r="2750" spans="1:12" ht="11.25" customHeight="1" x14ac:dyDescent="0.2">
      <c r="A2750" s="197">
        <v>2023</v>
      </c>
      <c r="B2750" s="197">
        <v>12</v>
      </c>
      <c r="C2750" s="197">
        <v>24</v>
      </c>
      <c r="D2750" s="198">
        <f t="shared" si="210"/>
        <v>45284</v>
      </c>
      <c r="E2750" s="290">
        <f t="shared" si="209"/>
        <v>45284</v>
      </c>
      <c r="F2750" s="513" t="s">
        <v>1355</v>
      </c>
      <c r="G2750" s="200" t="s">
        <v>1245</v>
      </c>
      <c r="H2750" s="201"/>
      <c r="I2750" s="201" t="s">
        <v>1253</v>
      </c>
      <c r="J2750" s="197" t="s">
        <v>1530</v>
      </c>
      <c r="K2750" s="202">
        <v>34503.11</v>
      </c>
      <c r="L2750" s="202"/>
    </row>
    <row r="2751" spans="1:12" ht="11.25" customHeight="1" x14ac:dyDescent="0.2">
      <c r="A2751" s="191">
        <v>2023</v>
      </c>
      <c r="B2751" s="191">
        <v>12</v>
      </c>
      <c r="C2751" s="191">
        <v>24</v>
      </c>
      <c r="D2751" s="192">
        <f t="shared" si="210"/>
        <v>45284</v>
      </c>
      <c r="E2751" s="291">
        <f t="shared" si="209"/>
        <v>45284</v>
      </c>
      <c r="F2751" s="514"/>
      <c r="G2751" s="194" t="s">
        <v>1245</v>
      </c>
      <c r="H2751" s="195"/>
      <c r="I2751" s="195" t="s">
        <v>1253</v>
      </c>
      <c r="J2751" s="191" t="s">
        <v>1581</v>
      </c>
      <c r="K2751" s="196"/>
      <c r="L2751" s="196">
        <v>34503.11</v>
      </c>
    </row>
    <row r="2752" spans="1:12" ht="11.25" customHeight="1" x14ac:dyDescent="0.2">
      <c r="A2752" s="197">
        <v>2023</v>
      </c>
      <c r="B2752" s="197">
        <v>12</v>
      </c>
      <c r="C2752" s="197">
        <v>24</v>
      </c>
      <c r="D2752" s="198">
        <f t="shared" si="210"/>
        <v>45284</v>
      </c>
      <c r="E2752" s="209">
        <f t="shared" si="209"/>
        <v>45284</v>
      </c>
      <c r="F2752" s="513" t="s">
        <v>1210</v>
      </c>
      <c r="G2752" s="200" t="s">
        <v>1209</v>
      </c>
      <c r="H2752" s="201"/>
      <c r="I2752" s="201" t="s">
        <v>1502</v>
      </c>
      <c r="J2752" s="197" t="s">
        <v>46</v>
      </c>
      <c r="K2752" s="202">
        <v>1500</v>
      </c>
      <c r="L2752" s="202"/>
    </row>
    <row r="2753" spans="1:12" ht="11.25" customHeight="1" x14ac:dyDescent="0.2">
      <c r="A2753" s="120">
        <v>2023</v>
      </c>
      <c r="B2753" s="120">
        <v>12</v>
      </c>
      <c r="C2753" s="120">
        <v>24</v>
      </c>
      <c r="D2753" s="208">
        <f t="shared" si="210"/>
        <v>45284</v>
      </c>
      <c r="E2753" s="209">
        <f t="shared" si="209"/>
        <v>45284</v>
      </c>
      <c r="F2753" s="515"/>
      <c r="G2753" s="132" t="s">
        <v>1209</v>
      </c>
      <c r="I2753" s="128" t="s">
        <v>1502</v>
      </c>
      <c r="J2753" s="120" t="s">
        <v>16</v>
      </c>
      <c r="K2753" s="207"/>
      <c r="L2753" s="207">
        <v>1410</v>
      </c>
    </row>
    <row r="2754" spans="1:12" ht="11.25" customHeight="1" x14ac:dyDescent="0.2">
      <c r="A2754" s="191">
        <v>2023</v>
      </c>
      <c r="B2754" s="191">
        <v>12</v>
      </c>
      <c r="C2754" s="191">
        <v>24</v>
      </c>
      <c r="D2754" s="192">
        <f t="shared" si="210"/>
        <v>45284</v>
      </c>
      <c r="E2754" s="193">
        <f t="shared" si="209"/>
        <v>45284</v>
      </c>
      <c r="F2754" s="514"/>
      <c r="G2754" s="194" t="s">
        <v>1209</v>
      </c>
      <c r="H2754" s="195"/>
      <c r="I2754" s="195" t="s">
        <v>1502</v>
      </c>
      <c r="J2754" s="191" t="s">
        <v>47</v>
      </c>
      <c r="K2754" s="196"/>
      <c r="L2754" s="196">
        <v>90</v>
      </c>
    </row>
    <row r="2755" spans="1:12" ht="11.25" customHeight="1" x14ac:dyDescent="0.2">
      <c r="A2755" s="197">
        <v>2023</v>
      </c>
      <c r="B2755" s="197">
        <v>12</v>
      </c>
      <c r="C2755" s="197">
        <v>24</v>
      </c>
      <c r="D2755" s="198">
        <f t="shared" si="210"/>
        <v>45284</v>
      </c>
      <c r="E2755" s="209">
        <f t="shared" si="209"/>
        <v>45284</v>
      </c>
      <c r="F2755" s="513" t="s">
        <v>1210</v>
      </c>
      <c r="G2755" s="200" t="s">
        <v>1209</v>
      </c>
      <c r="H2755" s="201"/>
      <c r="I2755" s="201" t="s">
        <v>389</v>
      </c>
      <c r="J2755" s="197" t="s">
        <v>46</v>
      </c>
      <c r="K2755" s="202">
        <v>1500000</v>
      </c>
      <c r="L2755" s="202"/>
    </row>
    <row r="2756" spans="1:12" ht="11.25" customHeight="1" x14ac:dyDescent="0.2">
      <c r="A2756" s="120">
        <v>2023</v>
      </c>
      <c r="B2756" s="120">
        <v>12</v>
      </c>
      <c r="C2756" s="120">
        <v>24</v>
      </c>
      <c r="D2756" s="208">
        <f t="shared" si="210"/>
        <v>45284</v>
      </c>
      <c r="E2756" s="209">
        <f t="shared" si="209"/>
        <v>45284</v>
      </c>
      <c r="F2756" s="515"/>
      <c r="G2756" s="132" t="s">
        <v>1209</v>
      </c>
      <c r="I2756" s="128" t="s">
        <v>389</v>
      </c>
      <c r="J2756" s="120" t="s">
        <v>16</v>
      </c>
      <c r="K2756" s="207"/>
      <c r="L2756" s="207">
        <v>1407130</v>
      </c>
    </row>
    <row r="2757" spans="1:12" ht="11.25" customHeight="1" x14ac:dyDescent="0.2">
      <c r="A2757" s="191">
        <v>2023</v>
      </c>
      <c r="B2757" s="191">
        <v>12</v>
      </c>
      <c r="C2757" s="191">
        <v>24</v>
      </c>
      <c r="D2757" s="192">
        <f t="shared" si="210"/>
        <v>45284</v>
      </c>
      <c r="E2757" s="193">
        <f t="shared" si="209"/>
        <v>45284</v>
      </c>
      <c r="F2757" s="514"/>
      <c r="G2757" s="194" t="s">
        <v>1209</v>
      </c>
      <c r="H2757" s="195"/>
      <c r="I2757" s="195" t="s">
        <v>389</v>
      </c>
      <c r="J2757" s="191" t="s">
        <v>47</v>
      </c>
      <c r="K2757" s="196"/>
      <c r="L2757" s="196">
        <v>92870</v>
      </c>
    </row>
    <row r="2758" spans="1:12" ht="11.25" customHeight="1" x14ac:dyDescent="0.2">
      <c r="A2758" s="197">
        <v>2023</v>
      </c>
      <c r="B2758" s="197">
        <v>12</v>
      </c>
      <c r="C2758" s="197">
        <v>24</v>
      </c>
      <c r="D2758" s="198">
        <f t="shared" si="210"/>
        <v>45284</v>
      </c>
      <c r="E2758" s="199">
        <f t="shared" si="209"/>
        <v>45284</v>
      </c>
      <c r="F2758" s="513" t="s">
        <v>1323</v>
      </c>
      <c r="G2758" s="200" t="s">
        <v>1209</v>
      </c>
      <c r="H2758" s="201"/>
      <c r="I2758" s="201"/>
      <c r="J2758" s="197" t="s">
        <v>54</v>
      </c>
      <c r="K2758" s="202">
        <v>60</v>
      </c>
      <c r="L2758" s="202"/>
    </row>
    <row r="2759" spans="1:12" ht="11.25" customHeight="1" x14ac:dyDescent="0.2">
      <c r="A2759" s="191">
        <v>2023</v>
      </c>
      <c r="B2759" s="191">
        <v>12</v>
      </c>
      <c r="C2759" s="191">
        <v>24</v>
      </c>
      <c r="D2759" s="192">
        <f t="shared" si="210"/>
        <v>45284</v>
      </c>
      <c r="E2759" s="193">
        <f t="shared" si="209"/>
        <v>45284</v>
      </c>
      <c r="F2759" s="514"/>
      <c r="G2759" s="194" t="s">
        <v>1209</v>
      </c>
      <c r="H2759" s="195"/>
      <c r="I2759" s="195"/>
      <c r="J2759" s="191" t="s">
        <v>46</v>
      </c>
      <c r="K2759" s="196"/>
      <c r="L2759" s="196">
        <v>60</v>
      </c>
    </row>
    <row r="2760" spans="1:12" ht="11.25" customHeight="1" x14ac:dyDescent="0.2">
      <c r="A2760" s="197">
        <v>2023</v>
      </c>
      <c r="B2760" s="197">
        <v>12</v>
      </c>
      <c r="C2760" s="197">
        <v>24</v>
      </c>
      <c r="D2760" s="198">
        <f t="shared" si="210"/>
        <v>45284</v>
      </c>
      <c r="E2760" s="209">
        <f t="shared" si="209"/>
        <v>45284</v>
      </c>
      <c r="F2760" s="513" t="s">
        <v>1210</v>
      </c>
      <c r="G2760" s="200" t="s">
        <v>1209</v>
      </c>
      <c r="H2760" s="201"/>
      <c r="I2760" s="201" t="s">
        <v>1503</v>
      </c>
      <c r="J2760" s="197" t="s">
        <v>46</v>
      </c>
      <c r="K2760" s="202">
        <v>3000000</v>
      </c>
      <c r="L2760" s="202"/>
    </row>
    <row r="2761" spans="1:12" ht="11.25" customHeight="1" x14ac:dyDescent="0.2">
      <c r="A2761" s="120">
        <v>2023</v>
      </c>
      <c r="B2761" s="120">
        <v>12</v>
      </c>
      <c r="C2761" s="120">
        <v>24</v>
      </c>
      <c r="D2761" s="208">
        <f t="shared" si="210"/>
        <v>45284</v>
      </c>
      <c r="E2761" s="209">
        <f t="shared" si="209"/>
        <v>45284</v>
      </c>
      <c r="F2761" s="515"/>
      <c r="G2761" s="132" t="s">
        <v>1209</v>
      </c>
      <c r="I2761" s="128" t="s">
        <v>1503</v>
      </c>
      <c r="J2761" s="120" t="s">
        <v>16</v>
      </c>
      <c r="K2761" s="207"/>
      <c r="L2761" s="207">
        <v>2814260</v>
      </c>
    </row>
    <row r="2762" spans="1:12" ht="11.25" customHeight="1" x14ac:dyDescent="0.2">
      <c r="A2762" s="191">
        <v>2023</v>
      </c>
      <c r="B2762" s="191">
        <v>12</v>
      </c>
      <c r="C2762" s="191">
        <v>24</v>
      </c>
      <c r="D2762" s="192">
        <f t="shared" si="210"/>
        <v>45284</v>
      </c>
      <c r="E2762" s="193">
        <f t="shared" si="209"/>
        <v>45284</v>
      </c>
      <c r="F2762" s="514"/>
      <c r="G2762" s="194" t="s">
        <v>1209</v>
      </c>
      <c r="H2762" s="195"/>
      <c r="I2762" s="195" t="s">
        <v>1503</v>
      </c>
      <c r="J2762" s="191" t="s">
        <v>47</v>
      </c>
      <c r="K2762" s="196"/>
      <c r="L2762" s="196">
        <v>185740</v>
      </c>
    </row>
    <row r="2763" spans="1:12" ht="11.25" customHeight="1" x14ac:dyDescent="0.2">
      <c r="A2763" s="197">
        <v>2023</v>
      </c>
      <c r="B2763" s="197">
        <v>12</v>
      </c>
      <c r="C2763" s="197">
        <v>24</v>
      </c>
      <c r="D2763" s="198">
        <f t="shared" si="210"/>
        <v>45284</v>
      </c>
      <c r="E2763" s="199">
        <f t="shared" si="209"/>
        <v>45284</v>
      </c>
      <c r="F2763" s="513" t="s">
        <v>1323</v>
      </c>
      <c r="G2763" s="200" t="s">
        <v>1209</v>
      </c>
      <c r="H2763" s="201"/>
      <c r="I2763" s="201"/>
      <c r="J2763" s="197" t="s">
        <v>54</v>
      </c>
      <c r="K2763" s="202">
        <v>60</v>
      </c>
      <c r="L2763" s="202"/>
    </row>
    <row r="2764" spans="1:12" ht="11.25" customHeight="1" x14ac:dyDescent="0.2">
      <c r="A2764" s="191">
        <v>2023</v>
      </c>
      <c r="B2764" s="191">
        <v>12</v>
      </c>
      <c r="C2764" s="191">
        <v>24</v>
      </c>
      <c r="D2764" s="192">
        <f t="shared" si="210"/>
        <v>45284</v>
      </c>
      <c r="E2764" s="193">
        <f t="shared" si="209"/>
        <v>45284</v>
      </c>
      <c r="F2764" s="514"/>
      <c r="G2764" s="194" t="s">
        <v>1209</v>
      </c>
      <c r="H2764" s="195"/>
      <c r="I2764" s="195"/>
      <c r="J2764" s="191" t="s">
        <v>46</v>
      </c>
      <c r="K2764" s="196"/>
      <c r="L2764" s="196">
        <v>60</v>
      </c>
    </row>
    <row r="2765" spans="1:12" ht="11.25" customHeight="1" x14ac:dyDescent="0.2">
      <c r="A2765" s="197">
        <v>2023</v>
      </c>
      <c r="B2765" s="197">
        <v>12</v>
      </c>
      <c r="C2765" s="197">
        <v>24</v>
      </c>
      <c r="D2765" s="198">
        <f t="shared" si="210"/>
        <v>45284</v>
      </c>
      <c r="E2765" s="209">
        <f t="shared" ref="E2765:E2776" si="211">DATE(A2765,B2765,C2765)</f>
        <v>45284</v>
      </c>
      <c r="F2765" s="513" t="s">
        <v>1210</v>
      </c>
      <c r="G2765" s="200" t="s">
        <v>1209</v>
      </c>
      <c r="H2765" s="201"/>
      <c r="I2765" s="201" t="s">
        <v>1504</v>
      </c>
      <c r="J2765" s="197" t="s">
        <v>46</v>
      </c>
      <c r="K2765" s="202">
        <v>500000</v>
      </c>
      <c r="L2765" s="202"/>
    </row>
    <row r="2766" spans="1:12" ht="11.25" customHeight="1" x14ac:dyDescent="0.2">
      <c r="A2766" s="120">
        <v>2023</v>
      </c>
      <c r="B2766" s="120">
        <v>12</v>
      </c>
      <c r="C2766" s="120">
        <v>24</v>
      </c>
      <c r="D2766" s="208">
        <f t="shared" si="210"/>
        <v>45284</v>
      </c>
      <c r="E2766" s="209">
        <f t="shared" si="211"/>
        <v>45284</v>
      </c>
      <c r="F2766" s="515"/>
      <c r="G2766" s="132" t="s">
        <v>1209</v>
      </c>
      <c r="I2766" s="128" t="s">
        <v>1504</v>
      </c>
      <c r="J2766" s="120" t="s">
        <v>16</v>
      </c>
      <c r="K2766" s="207"/>
      <c r="L2766" s="207">
        <v>469040</v>
      </c>
    </row>
    <row r="2767" spans="1:12" ht="11.25" customHeight="1" x14ac:dyDescent="0.2">
      <c r="A2767" s="191">
        <v>2023</v>
      </c>
      <c r="B2767" s="191">
        <v>12</v>
      </c>
      <c r="C2767" s="191">
        <v>24</v>
      </c>
      <c r="D2767" s="192">
        <f t="shared" si="210"/>
        <v>45284</v>
      </c>
      <c r="E2767" s="193">
        <f t="shared" si="211"/>
        <v>45284</v>
      </c>
      <c r="F2767" s="514"/>
      <c r="G2767" s="194" t="s">
        <v>1209</v>
      </c>
      <c r="H2767" s="195"/>
      <c r="I2767" s="195" t="s">
        <v>1504</v>
      </c>
      <c r="J2767" s="191" t="s">
        <v>47</v>
      </c>
      <c r="K2767" s="196"/>
      <c r="L2767" s="196">
        <v>30960</v>
      </c>
    </row>
    <row r="2768" spans="1:12" ht="11.25" customHeight="1" x14ac:dyDescent="0.2">
      <c r="A2768" s="197">
        <v>2023</v>
      </c>
      <c r="B2768" s="197">
        <v>12</v>
      </c>
      <c r="C2768" s="197">
        <v>26</v>
      </c>
      <c r="D2768" s="198">
        <f t="shared" si="210"/>
        <v>45286</v>
      </c>
      <c r="E2768" s="209">
        <f t="shared" ref="E2768:E2773" si="212">DATE(A2768,B2768,C2768)</f>
        <v>45286</v>
      </c>
      <c r="F2768" s="513" t="s">
        <v>1296</v>
      </c>
      <c r="G2768" s="200" t="s">
        <v>1209</v>
      </c>
      <c r="H2768" s="201"/>
      <c r="I2768" s="201"/>
      <c r="J2768" s="197" t="s">
        <v>46</v>
      </c>
      <c r="K2768" s="202">
        <v>222500</v>
      </c>
      <c r="L2768" s="202"/>
    </row>
    <row r="2769" spans="1:12" ht="11.25" customHeight="1" x14ac:dyDescent="0.2">
      <c r="A2769" s="120">
        <v>2023</v>
      </c>
      <c r="B2769" s="120">
        <v>12</v>
      </c>
      <c r="C2769" s="120">
        <v>26</v>
      </c>
      <c r="D2769" s="208">
        <f t="shared" si="210"/>
        <v>45286</v>
      </c>
      <c r="E2769" s="209">
        <f t="shared" si="212"/>
        <v>45286</v>
      </c>
      <c r="F2769" s="515"/>
      <c r="G2769" s="132" t="s">
        <v>1209</v>
      </c>
      <c r="J2769" s="120" t="s">
        <v>16</v>
      </c>
      <c r="K2769" s="207"/>
      <c r="L2769" s="207">
        <v>208710</v>
      </c>
    </row>
    <row r="2770" spans="1:12" ht="11.25" customHeight="1" x14ac:dyDescent="0.2">
      <c r="A2770" s="191">
        <v>2023</v>
      </c>
      <c r="B2770" s="191">
        <v>12</v>
      </c>
      <c r="C2770" s="191">
        <v>26</v>
      </c>
      <c r="D2770" s="192">
        <f t="shared" si="210"/>
        <v>45286</v>
      </c>
      <c r="E2770" s="193">
        <f t="shared" si="212"/>
        <v>45286</v>
      </c>
      <c r="F2770" s="514"/>
      <c r="G2770" s="194" t="s">
        <v>1209</v>
      </c>
      <c r="H2770" s="195"/>
      <c r="I2770" s="195"/>
      <c r="J2770" s="191" t="s">
        <v>47</v>
      </c>
      <c r="K2770" s="196"/>
      <c r="L2770" s="196">
        <v>13790</v>
      </c>
    </row>
    <row r="2771" spans="1:12" ht="11.25" customHeight="1" x14ac:dyDescent="0.2">
      <c r="A2771" s="197">
        <v>2023</v>
      </c>
      <c r="B2771" s="197">
        <v>12</v>
      </c>
      <c r="C2771" s="197">
        <v>27</v>
      </c>
      <c r="D2771" s="198">
        <f t="shared" si="210"/>
        <v>45287</v>
      </c>
      <c r="E2771" s="209">
        <f t="shared" si="212"/>
        <v>45287</v>
      </c>
      <c r="F2771" s="513" t="s">
        <v>1296</v>
      </c>
      <c r="G2771" s="200" t="s">
        <v>1209</v>
      </c>
      <c r="H2771" s="201"/>
      <c r="I2771" s="201"/>
      <c r="J2771" s="197" t="s">
        <v>46</v>
      </c>
      <c r="K2771" s="202">
        <v>20000</v>
      </c>
      <c r="L2771" s="202"/>
    </row>
    <row r="2772" spans="1:12" ht="11.25" customHeight="1" x14ac:dyDescent="0.2">
      <c r="A2772" s="120">
        <v>2023</v>
      </c>
      <c r="B2772" s="120">
        <v>12</v>
      </c>
      <c r="C2772" s="120">
        <v>27</v>
      </c>
      <c r="D2772" s="208">
        <f t="shared" si="210"/>
        <v>45287</v>
      </c>
      <c r="E2772" s="209">
        <f t="shared" si="212"/>
        <v>45287</v>
      </c>
      <c r="F2772" s="515"/>
      <c r="G2772" s="132" t="s">
        <v>1209</v>
      </c>
      <c r="J2772" s="120" t="s">
        <v>16</v>
      </c>
      <c r="K2772" s="207"/>
      <c r="L2772" s="207">
        <v>18760</v>
      </c>
    </row>
    <row r="2773" spans="1:12" ht="11.25" customHeight="1" x14ac:dyDescent="0.2">
      <c r="A2773" s="191">
        <v>2023</v>
      </c>
      <c r="B2773" s="191">
        <v>12</v>
      </c>
      <c r="C2773" s="191">
        <v>27</v>
      </c>
      <c r="D2773" s="192">
        <f t="shared" si="210"/>
        <v>45287</v>
      </c>
      <c r="E2773" s="193">
        <f t="shared" si="212"/>
        <v>45287</v>
      </c>
      <c r="F2773" s="514"/>
      <c r="G2773" s="194" t="s">
        <v>1209</v>
      </c>
      <c r="H2773" s="195"/>
      <c r="I2773" s="195"/>
      <c r="J2773" s="191" t="s">
        <v>47</v>
      </c>
      <c r="K2773" s="196"/>
      <c r="L2773" s="196">
        <v>1240</v>
      </c>
    </row>
    <row r="2774" spans="1:12" ht="11.25" customHeight="1" x14ac:dyDescent="0.2">
      <c r="A2774" s="197">
        <v>2023</v>
      </c>
      <c r="B2774" s="197">
        <v>12</v>
      </c>
      <c r="C2774" s="197">
        <v>26</v>
      </c>
      <c r="D2774" s="198">
        <f t="shared" si="210"/>
        <v>45286</v>
      </c>
      <c r="E2774" s="209">
        <f t="shared" si="211"/>
        <v>45286</v>
      </c>
      <c r="F2774" s="513" t="s">
        <v>1423</v>
      </c>
      <c r="G2774" s="200" t="s">
        <v>1209</v>
      </c>
      <c r="H2774" s="201"/>
      <c r="I2774" s="201" t="s">
        <v>1137</v>
      </c>
      <c r="J2774" s="197" t="s">
        <v>16</v>
      </c>
      <c r="K2774" s="202">
        <v>93810</v>
      </c>
      <c r="L2774" s="202"/>
    </row>
    <row r="2775" spans="1:12" ht="11.25" customHeight="1" x14ac:dyDescent="0.2">
      <c r="A2775" s="120">
        <v>2023</v>
      </c>
      <c r="B2775" s="120">
        <v>12</v>
      </c>
      <c r="C2775" s="120">
        <v>26</v>
      </c>
      <c r="D2775" s="208">
        <f t="shared" si="210"/>
        <v>45286</v>
      </c>
      <c r="E2775" s="209">
        <f t="shared" si="211"/>
        <v>45286</v>
      </c>
      <c r="F2775" s="515"/>
      <c r="G2775" s="132" t="s">
        <v>1209</v>
      </c>
      <c r="I2775" s="128" t="s">
        <v>1137</v>
      </c>
      <c r="J2775" s="120" t="s">
        <v>47</v>
      </c>
      <c r="K2775" s="207">
        <v>6190</v>
      </c>
      <c r="L2775" s="207"/>
    </row>
    <row r="2776" spans="1:12" ht="11.25" customHeight="1" x14ac:dyDescent="0.2">
      <c r="A2776" s="191">
        <v>2023</v>
      </c>
      <c r="B2776" s="191">
        <v>12</v>
      </c>
      <c r="C2776" s="191">
        <v>26</v>
      </c>
      <c r="D2776" s="192">
        <f t="shared" si="210"/>
        <v>45286</v>
      </c>
      <c r="E2776" s="193">
        <f t="shared" si="211"/>
        <v>45286</v>
      </c>
      <c r="F2776" s="514"/>
      <c r="G2776" s="194" t="s">
        <v>1209</v>
      </c>
      <c r="H2776" s="195"/>
      <c r="I2776" s="195" t="s">
        <v>1137</v>
      </c>
      <c r="J2776" s="191" t="s">
        <v>46</v>
      </c>
      <c r="K2776" s="196"/>
      <c r="L2776" s="196">
        <v>100000</v>
      </c>
    </row>
    <row r="2777" spans="1:12" ht="11.25" customHeight="1" x14ac:dyDescent="0.2">
      <c r="A2777" s="197">
        <v>2023</v>
      </c>
      <c r="B2777" s="197">
        <v>12</v>
      </c>
      <c r="C2777" s="197">
        <v>26</v>
      </c>
      <c r="D2777" s="198">
        <f t="shared" si="210"/>
        <v>45286</v>
      </c>
      <c r="E2777" s="209">
        <f t="shared" ref="E2777:E2782" si="213">DATE(A2777,B2777,C2777)</f>
        <v>45286</v>
      </c>
      <c r="F2777" s="513" t="s">
        <v>1210</v>
      </c>
      <c r="G2777" s="200" t="s">
        <v>1209</v>
      </c>
      <c r="H2777" s="201"/>
      <c r="I2777" s="201" t="s">
        <v>1493</v>
      </c>
      <c r="J2777" s="197" t="s">
        <v>46</v>
      </c>
      <c r="K2777" s="202">
        <v>47959.34</v>
      </c>
      <c r="L2777" s="202"/>
    </row>
    <row r="2778" spans="1:12" ht="11.25" customHeight="1" x14ac:dyDescent="0.2">
      <c r="A2778" s="120">
        <v>2023</v>
      </c>
      <c r="B2778" s="120">
        <v>12</v>
      </c>
      <c r="C2778" s="120">
        <v>26</v>
      </c>
      <c r="D2778" s="208">
        <f t="shared" si="210"/>
        <v>45286</v>
      </c>
      <c r="E2778" s="209">
        <f t="shared" si="213"/>
        <v>45286</v>
      </c>
      <c r="F2778" s="515"/>
      <c r="G2778" s="132" t="s">
        <v>1209</v>
      </c>
      <c r="I2778" s="128" t="s">
        <v>1493</v>
      </c>
      <c r="J2778" s="120" t="s">
        <v>16</v>
      </c>
      <c r="K2778" s="207"/>
      <c r="L2778" s="207">
        <v>44990</v>
      </c>
    </row>
    <row r="2779" spans="1:12" ht="11.25" customHeight="1" x14ac:dyDescent="0.2">
      <c r="A2779" s="191">
        <v>2023</v>
      </c>
      <c r="B2779" s="191">
        <v>12</v>
      </c>
      <c r="C2779" s="191">
        <v>26</v>
      </c>
      <c r="D2779" s="192">
        <f t="shared" si="210"/>
        <v>45286</v>
      </c>
      <c r="E2779" s="193">
        <f t="shared" si="213"/>
        <v>45286</v>
      </c>
      <c r="F2779" s="514"/>
      <c r="G2779" s="194" t="s">
        <v>1209</v>
      </c>
      <c r="H2779" s="195"/>
      <c r="I2779" s="195" t="s">
        <v>1493</v>
      </c>
      <c r="J2779" s="191" t="s">
        <v>47</v>
      </c>
      <c r="K2779" s="196"/>
      <c r="L2779" s="196">
        <v>2969.3399999999965</v>
      </c>
    </row>
    <row r="2780" spans="1:12" ht="11.25" customHeight="1" x14ac:dyDescent="0.2">
      <c r="A2780" s="197">
        <v>2023</v>
      </c>
      <c r="B2780" s="197">
        <v>12</v>
      </c>
      <c r="C2780" s="197">
        <v>26</v>
      </c>
      <c r="D2780" s="198">
        <f t="shared" si="210"/>
        <v>45286</v>
      </c>
      <c r="E2780" s="209">
        <f t="shared" si="213"/>
        <v>45286</v>
      </c>
      <c r="F2780" s="513" t="s">
        <v>1210</v>
      </c>
      <c r="G2780" s="200" t="s">
        <v>1209</v>
      </c>
      <c r="H2780" s="201"/>
      <c r="I2780" s="201" t="s">
        <v>1505</v>
      </c>
      <c r="J2780" s="197" t="s">
        <v>46</v>
      </c>
      <c r="K2780" s="202">
        <v>7500000</v>
      </c>
      <c r="L2780" s="202"/>
    </row>
    <row r="2781" spans="1:12" ht="11.25" customHeight="1" x14ac:dyDescent="0.2">
      <c r="A2781" s="120">
        <v>2023</v>
      </c>
      <c r="B2781" s="120">
        <v>12</v>
      </c>
      <c r="C2781" s="120">
        <v>26</v>
      </c>
      <c r="D2781" s="208">
        <f t="shared" si="210"/>
        <v>45286</v>
      </c>
      <c r="E2781" s="209">
        <f t="shared" si="213"/>
        <v>45286</v>
      </c>
      <c r="F2781" s="515"/>
      <c r="G2781" s="132" t="s">
        <v>1209</v>
      </c>
      <c r="I2781" s="128" t="s">
        <v>1505</v>
      </c>
      <c r="J2781" s="120" t="s">
        <v>16</v>
      </c>
      <c r="K2781" s="207"/>
      <c r="L2781" s="207">
        <v>7035650</v>
      </c>
    </row>
    <row r="2782" spans="1:12" ht="11.25" customHeight="1" x14ac:dyDescent="0.2">
      <c r="A2782" s="191">
        <v>2023</v>
      </c>
      <c r="B2782" s="191">
        <v>12</v>
      </c>
      <c r="C2782" s="191">
        <v>26</v>
      </c>
      <c r="D2782" s="192">
        <f t="shared" si="210"/>
        <v>45286</v>
      </c>
      <c r="E2782" s="193">
        <f t="shared" si="213"/>
        <v>45286</v>
      </c>
      <c r="F2782" s="514"/>
      <c r="G2782" s="194" t="s">
        <v>1209</v>
      </c>
      <c r="H2782" s="195"/>
      <c r="I2782" s="195" t="s">
        <v>1505</v>
      </c>
      <c r="J2782" s="191" t="s">
        <v>47</v>
      </c>
      <c r="K2782" s="196"/>
      <c r="L2782" s="196">
        <v>464350</v>
      </c>
    </row>
    <row r="2783" spans="1:12" ht="11.25" customHeight="1" x14ac:dyDescent="0.2">
      <c r="A2783" s="197">
        <v>2023</v>
      </c>
      <c r="B2783" s="197">
        <v>12</v>
      </c>
      <c r="C2783" s="197">
        <v>26</v>
      </c>
      <c r="D2783" s="198">
        <f t="shared" si="210"/>
        <v>45286</v>
      </c>
      <c r="E2783" s="209">
        <f>DATE(A2783,B2783,C2783)</f>
        <v>45286</v>
      </c>
      <c r="F2783" s="513" t="s">
        <v>1210</v>
      </c>
      <c r="G2783" s="200" t="s">
        <v>1209</v>
      </c>
      <c r="H2783" s="201"/>
      <c r="I2783" s="201" t="s">
        <v>1506</v>
      </c>
      <c r="J2783" s="197" t="s">
        <v>46</v>
      </c>
      <c r="K2783" s="202">
        <v>5000000</v>
      </c>
      <c r="L2783" s="202"/>
    </row>
    <row r="2784" spans="1:12" ht="11.25" customHeight="1" x14ac:dyDescent="0.2">
      <c r="A2784" s="120">
        <v>2023</v>
      </c>
      <c r="B2784" s="120">
        <v>12</v>
      </c>
      <c r="C2784" s="120">
        <v>26</v>
      </c>
      <c r="D2784" s="208">
        <f t="shared" si="210"/>
        <v>45286</v>
      </c>
      <c r="E2784" s="209">
        <f>DATE(A2784,B2784,C2784)</f>
        <v>45286</v>
      </c>
      <c r="F2784" s="515"/>
      <c r="G2784" s="132" t="s">
        <v>1209</v>
      </c>
      <c r="I2784" s="128" t="s">
        <v>1506</v>
      </c>
      <c r="J2784" s="120" t="s">
        <v>16</v>
      </c>
      <c r="K2784" s="207"/>
      <c r="L2784" s="207">
        <v>4690430</v>
      </c>
    </row>
    <row r="2785" spans="1:13" ht="11.25" customHeight="1" x14ac:dyDescent="0.2">
      <c r="A2785" s="191">
        <v>2023</v>
      </c>
      <c r="B2785" s="191">
        <v>12</v>
      </c>
      <c r="C2785" s="191">
        <v>26</v>
      </c>
      <c r="D2785" s="192">
        <f t="shared" si="210"/>
        <v>45286</v>
      </c>
      <c r="E2785" s="193">
        <f>DATE(A2785,B2785,C2785)</f>
        <v>45286</v>
      </c>
      <c r="F2785" s="514"/>
      <c r="G2785" s="194" t="s">
        <v>1209</v>
      </c>
      <c r="H2785" s="195"/>
      <c r="I2785" s="195" t="s">
        <v>1506</v>
      </c>
      <c r="J2785" s="191" t="s">
        <v>47</v>
      </c>
      <c r="K2785" s="196"/>
      <c r="L2785" s="196">
        <v>309570</v>
      </c>
    </row>
    <row r="2786" spans="1:13" ht="11.25" customHeight="1" x14ac:dyDescent="0.2">
      <c r="A2786" s="197">
        <v>2023</v>
      </c>
      <c r="B2786" s="197">
        <v>12</v>
      </c>
      <c r="C2786" s="197">
        <v>26</v>
      </c>
      <c r="D2786" s="198">
        <f t="shared" si="210"/>
        <v>45286</v>
      </c>
      <c r="E2786" s="209">
        <f t="shared" ref="E2786:E2791" si="214">DATE(A2786,B2786,C2786)</f>
        <v>45286</v>
      </c>
      <c r="F2786" s="513" t="s">
        <v>1210</v>
      </c>
      <c r="G2786" s="200" t="s">
        <v>1209</v>
      </c>
      <c r="H2786" s="201"/>
      <c r="I2786" s="201" t="s">
        <v>1507</v>
      </c>
      <c r="J2786" s="197" t="s">
        <v>46</v>
      </c>
      <c r="K2786" s="202">
        <v>2000000</v>
      </c>
      <c r="L2786" s="202"/>
    </row>
    <row r="2787" spans="1:13" ht="11.25" customHeight="1" x14ac:dyDescent="0.2">
      <c r="A2787" s="120">
        <v>2023</v>
      </c>
      <c r="B2787" s="120">
        <v>12</v>
      </c>
      <c r="C2787" s="120">
        <v>26</v>
      </c>
      <c r="D2787" s="208">
        <f t="shared" si="210"/>
        <v>45286</v>
      </c>
      <c r="E2787" s="209">
        <f t="shared" si="214"/>
        <v>45286</v>
      </c>
      <c r="F2787" s="515"/>
      <c r="G2787" s="132" t="s">
        <v>1209</v>
      </c>
      <c r="I2787" s="128" t="s">
        <v>1507</v>
      </c>
      <c r="J2787" s="120" t="s">
        <v>16</v>
      </c>
      <c r="K2787" s="207"/>
      <c r="L2787" s="207">
        <v>1876170</v>
      </c>
    </row>
    <row r="2788" spans="1:13" ht="11.25" customHeight="1" x14ac:dyDescent="0.2">
      <c r="A2788" s="191">
        <v>2023</v>
      </c>
      <c r="B2788" s="191">
        <v>12</v>
      </c>
      <c r="C2788" s="191">
        <v>26</v>
      </c>
      <c r="D2788" s="192">
        <f t="shared" si="210"/>
        <v>45286</v>
      </c>
      <c r="E2788" s="193">
        <f t="shared" si="214"/>
        <v>45286</v>
      </c>
      <c r="F2788" s="514"/>
      <c r="G2788" s="194" t="s">
        <v>1209</v>
      </c>
      <c r="H2788" s="195"/>
      <c r="I2788" s="195" t="s">
        <v>1507</v>
      </c>
      <c r="J2788" s="191" t="s">
        <v>47</v>
      </c>
      <c r="K2788" s="196"/>
      <c r="L2788" s="196">
        <v>123830</v>
      </c>
    </row>
    <row r="2789" spans="1:13" ht="11.25" customHeight="1" x14ac:dyDescent="0.2">
      <c r="A2789" s="197">
        <v>2023</v>
      </c>
      <c r="B2789" s="197">
        <v>12</v>
      </c>
      <c r="C2789" s="197">
        <v>26</v>
      </c>
      <c r="D2789" s="198">
        <f t="shared" si="210"/>
        <v>45286</v>
      </c>
      <c r="E2789" s="209">
        <f t="shared" si="214"/>
        <v>45286</v>
      </c>
      <c r="F2789" s="513" t="s">
        <v>1210</v>
      </c>
      <c r="G2789" s="200" t="s">
        <v>1209</v>
      </c>
      <c r="H2789" s="201"/>
      <c r="I2789" s="201" t="s">
        <v>1506</v>
      </c>
      <c r="J2789" s="197" t="s">
        <v>46</v>
      </c>
      <c r="K2789" s="202">
        <v>3000000</v>
      </c>
      <c r="L2789" s="202"/>
    </row>
    <row r="2790" spans="1:13" ht="11.25" customHeight="1" x14ac:dyDescent="0.2">
      <c r="A2790" s="120">
        <v>2023</v>
      </c>
      <c r="B2790" s="120">
        <v>12</v>
      </c>
      <c r="C2790" s="120">
        <v>26</v>
      </c>
      <c r="D2790" s="208">
        <f t="shared" si="210"/>
        <v>45286</v>
      </c>
      <c r="E2790" s="209">
        <f t="shared" si="214"/>
        <v>45286</v>
      </c>
      <c r="F2790" s="515"/>
      <c r="G2790" s="132" t="s">
        <v>1209</v>
      </c>
      <c r="I2790" s="128" t="s">
        <v>1506</v>
      </c>
      <c r="J2790" s="120" t="s">
        <v>16</v>
      </c>
      <c r="K2790" s="207"/>
      <c r="L2790" s="207">
        <v>2814260</v>
      </c>
    </row>
    <row r="2791" spans="1:13" ht="11.25" customHeight="1" x14ac:dyDescent="0.2">
      <c r="A2791" s="191">
        <v>2023</v>
      </c>
      <c r="B2791" s="191">
        <v>12</v>
      </c>
      <c r="C2791" s="191">
        <v>26</v>
      </c>
      <c r="D2791" s="192">
        <f t="shared" si="210"/>
        <v>45286</v>
      </c>
      <c r="E2791" s="193">
        <f t="shared" si="214"/>
        <v>45286</v>
      </c>
      <c r="F2791" s="514"/>
      <c r="G2791" s="194" t="s">
        <v>1209</v>
      </c>
      <c r="H2791" s="195"/>
      <c r="I2791" s="195" t="s">
        <v>1506</v>
      </c>
      <c r="J2791" s="191" t="s">
        <v>47</v>
      </c>
      <c r="K2791" s="196"/>
      <c r="L2791" s="196">
        <v>185740</v>
      </c>
    </row>
    <row r="2792" spans="1:13" ht="11.25" customHeight="1" x14ac:dyDescent="0.2">
      <c r="A2792" s="197">
        <v>2023</v>
      </c>
      <c r="B2792" s="197">
        <v>12</v>
      </c>
      <c r="C2792" s="197">
        <v>26</v>
      </c>
      <c r="D2792" s="198">
        <f t="shared" si="210"/>
        <v>45286</v>
      </c>
      <c r="E2792" s="209">
        <f t="shared" ref="E2792:E2809" si="215">DATE(A2792,B2792,C2792)</f>
        <v>45286</v>
      </c>
      <c r="F2792" s="513" t="s">
        <v>1210</v>
      </c>
      <c r="G2792" s="200" t="s">
        <v>1209</v>
      </c>
      <c r="H2792" s="201"/>
      <c r="I2792" s="201" t="s">
        <v>1507</v>
      </c>
      <c r="J2792" s="197" t="s">
        <v>46</v>
      </c>
      <c r="K2792" s="202">
        <v>5000000</v>
      </c>
      <c r="L2792" s="202"/>
    </row>
    <row r="2793" spans="1:13" ht="11.25" customHeight="1" x14ac:dyDescent="0.2">
      <c r="A2793" s="120">
        <v>2023</v>
      </c>
      <c r="B2793" s="120">
        <v>12</v>
      </c>
      <c r="C2793" s="120">
        <v>26</v>
      </c>
      <c r="D2793" s="208">
        <f t="shared" si="210"/>
        <v>45286</v>
      </c>
      <c r="E2793" s="209">
        <f t="shared" si="215"/>
        <v>45286</v>
      </c>
      <c r="F2793" s="515"/>
      <c r="G2793" s="132" t="s">
        <v>1209</v>
      </c>
      <c r="I2793" s="128" t="s">
        <v>1507</v>
      </c>
      <c r="J2793" s="120" t="s">
        <v>16</v>
      </c>
      <c r="K2793" s="207"/>
      <c r="L2793" s="207">
        <v>4690430</v>
      </c>
    </row>
    <row r="2794" spans="1:13" ht="11.25" customHeight="1" x14ac:dyDescent="0.2">
      <c r="A2794" s="191">
        <v>2023</v>
      </c>
      <c r="B2794" s="191">
        <v>12</v>
      </c>
      <c r="C2794" s="191">
        <v>26</v>
      </c>
      <c r="D2794" s="192">
        <f t="shared" si="210"/>
        <v>45286</v>
      </c>
      <c r="E2794" s="193">
        <f t="shared" si="215"/>
        <v>45286</v>
      </c>
      <c r="F2794" s="514"/>
      <c r="G2794" s="194" t="s">
        <v>1209</v>
      </c>
      <c r="H2794" s="195"/>
      <c r="I2794" s="195" t="s">
        <v>1507</v>
      </c>
      <c r="J2794" s="191" t="s">
        <v>47</v>
      </c>
      <c r="K2794" s="196"/>
      <c r="L2794" s="196">
        <v>309570</v>
      </c>
    </row>
    <row r="2795" spans="1:13" ht="11.25" customHeight="1" x14ac:dyDescent="0.2">
      <c r="A2795" s="197">
        <v>2023</v>
      </c>
      <c r="B2795" s="197">
        <v>12</v>
      </c>
      <c r="C2795" s="197">
        <v>24</v>
      </c>
      <c r="D2795" s="198">
        <f t="shared" si="210"/>
        <v>45284</v>
      </c>
      <c r="E2795" s="199">
        <f t="shared" si="215"/>
        <v>45284</v>
      </c>
      <c r="F2795" s="513" t="s">
        <v>1508</v>
      </c>
      <c r="G2795" s="200" t="s">
        <v>1209</v>
      </c>
      <c r="H2795" s="201"/>
      <c r="I2795" s="201"/>
      <c r="J2795" s="197" t="s">
        <v>54</v>
      </c>
      <c r="K2795" s="202">
        <v>300</v>
      </c>
      <c r="L2795" s="202"/>
    </row>
    <row r="2796" spans="1:13" ht="11.25" customHeight="1" x14ac:dyDescent="0.2">
      <c r="A2796" s="191">
        <v>2023</v>
      </c>
      <c r="B2796" s="191">
        <v>12</v>
      </c>
      <c r="C2796" s="191">
        <v>24</v>
      </c>
      <c r="D2796" s="192">
        <f t="shared" si="210"/>
        <v>45284</v>
      </c>
      <c r="E2796" s="193">
        <f t="shared" si="215"/>
        <v>45284</v>
      </c>
      <c r="F2796" s="514"/>
      <c r="G2796" s="194" t="s">
        <v>1209</v>
      </c>
      <c r="H2796" s="195"/>
      <c r="I2796" s="195"/>
      <c r="J2796" s="191" t="s">
        <v>46</v>
      </c>
      <c r="K2796" s="196"/>
      <c r="L2796" s="196">
        <v>300</v>
      </c>
    </row>
    <row r="2797" spans="1:13" x14ac:dyDescent="0.2">
      <c r="A2797" s="197">
        <v>2023</v>
      </c>
      <c r="B2797" s="120">
        <v>12</v>
      </c>
      <c r="C2797" s="120">
        <v>27</v>
      </c>
      <c r="D2797" s="198">
        <f t="shared" si="210"/>
        <v>45287</v>
      </c>
      <c r="E2797" s="199">
        <f t="shared" si="215"/>
        <v>45287</v>
      </c>
      <c r="F2797" s="513" t="s">
        <v>1500</v>
      </c>
      <c r="G2797" s="200" t="s">
        <v>1209</v>
      </c>
      <c r="H2797" s="200"/>
      <c r="I2797" s="201" t="s">
        <v>1253</v>
      </c>
      <c r="J2797" s="248" t="s">
        <v>175</v>
      </c>
      <c r="K2797" s="202">
        <v>680000</v>
      </c>
      <c r="L2797" s="202"/>
    </row>
    <row r="2798" spans="1:13" ht="11.25" customHeight="1" x14ac:dyDescent="0.2">
      <c r="A2798" s="120">
        <v>2023</v>
      </c>
      <c r="B2798" s="120">
        <v>12</v>
      </c>
      <c r="C2798" s="120">
        <v>27</v>
      </c>
      <c r="D2798" s="208">
        <f t="shared" si="210"/>
        <v>45287</v>
      </c>
      <c r="E2798" s="209">
        <f t="shared" si="215"/>
        <v>45287</v>
      </c>
      <c r="F2798" s="515"/>
      <c r="G2798" s="132" t="s">
        <v>1209</v>
      </c>
      <c r="H2798" s="132"/>
      <c r="J2798" s="129" t="s">
        <v>176</v>
      </c>
      <c r="K2798" s="207">
        <v>3000</v>
      </c>
      <c r="L2798" s="207"/>
    </row>
    <row r="2799" spans="1:13" ht="11.25" customHeight="1" x14ac:dyDescent="0.2">
      <c r="A2799" s="120">
        <v>2023</v>
      </c>
      <c r="B2799" s="120">
        <v>12</v>
      </c>
      <c r="C2799" s="120">
        <v>27</v>
      </c>
      <c r="D2799" s="208">
        <f t="shared" si="210"/>
        <v>45287</v>
      </c>
      <c r="E2799" s="209">
        <f t="shared" si="215"/>
        <v>45287</v>
      </c>
      <c r="F2799" s="515"/>
      <c r="G2799" s="132" t="s">
        <v>1209</v>
      </c>
      <c r="H2799" s="132"/>
      <c r="J2799" s="129" t="s">
        <v>54</v>
      </c>
      <c r="K2799" s="207">
        <v>115</v>
      </c>
      <c r="L2799" s="207"/>
    </row>
    <row r="2800" spans="1:13" ht="11.25" customHeight="1" x14ac:dyDescent="0.2">
      <c r="A2800" s="191">
        <v>2023</v>
      </c>
      <c r="B2800" s="191">
        <v>12</v>
      </c>
      <c r="C2800" s="191">
        <v>27</v>
      </c>
      <c r="D2800" s="192">
        <f t="shared" si="210"/>
        <v>45287</v>
      </c>
      <c r="E2800" s="193">
        <f t="shared" si="215"/>
        <v>45287</v>
      </c>
      <c r="F2800" s="514"/>
      <c r="G2800" s="194" t="s">
        <v>1209</v>
      </c>
      <c r="H2800" s="194"/>
      <c r="I2800" s="195" t="s">
        <v>1253</v>
      </c>
      <c r="J2800" s="250" t="s">
        <v>46</v>
      </c>
      <c r="K2800" s="196"/>
      <c r="L2800" s="196">
        <v>683115</v>
      </c>
      <c r="M2800" s="251"/>
    </row>
    <row r="2801" spans="1:14" ht="11.25" customHeight="1" x14ac:dyDescent="0.2">
      <c r="A2801" s="197">
        <v>2023</v>
      </c>
      <c r="B2801" s="197">
        <v>12</v>
      </c>
      <c r="C2801" s="197">
        <v>27</v>
      </c>
      <c r="D2801" s="198">
        <f t="shared" si="210"/>
        <v>45287</v>
      </c>
      <c r="E2801" s="199">
        <f t="shared" si="215"/>
        <v>45287</v>
      </c>
      <c r="F2801" s="513" t="s">
        <v>1501</v>
      </c>
      <c r="G2801" s="200" t="s">
        <v>1209</v>
      </c>
      <c r="H2801" s="201"/>
      <c r="I2801" s="201" t="s">
        <v>1253</v>
      </c>
      <c r="J2801" s="197" t="s">
        <v>1455</v>
      </c>
      <c r="K2801" s="202">
        <v>11193962</v>
      </c>
      <c r="L2801" s="202"/>
    </row>
    <row r="2802" spans="1:14" ht="11.25" customHeight="1" x14ac:dyDescent="0.2">
      <c r="A2802" s="191">
        <v>2023</v>
      </c>
      <c r="B2802" s="191">
        <v>12</v>
      </c>
      <c r="C2802" s="191">
        <v>27</v>
      </c>
      <c r="D2802" s="192">
        <f t="shared" si="210"/>
        <v>45287</v>
      </c>
      <c r="E2802" s="193">
        <f t="shared" si="215"/>
        <v>45287</v>
      </c>
      <c r="F2802" s="514"/>
      <c r="G2802" s="194" t="s">
        <v>1209</v>
      </c>
      <c r="H2802" s="195"/>
      <c r="I2802" s="195" t="s">
        <v>1253</v>
      </c>
      <c r="J2802" s="191" t="s">
        <v>46</v>
      </c>
      <c r="K2802" s="196"/>
      <c r="L2802" s="196">
        <v>11193962</v>
      </c>
      <c r="N2802" s="130"/>
    </row>
    <row r="2803" spans="1:14" ht="11.25" customHeight="1" x14ac:dyDescent="0.2">
      <c r="A2803" s="197">
        <v>2023</v>
      </c>
      <c r="B2803" s="197">
        <v>12</v>
      </c>
      <c r="C2803" s="197">
        <v>27</v>
      </c>
      <c r="D2803" s="198">
        <f t="shared" ref="D2803:D2864" si="216">DATE(A2803,B2803,C2803)</f>
        <v>45287</v>
      </c>
      <c r="E2803" s="199">
        <f t="shared" si="215"/>
        <v>45287</v>
      </c>
      <c r="F2803" s="513" t="s">
        <v>1501</v>
      </c>
      <c r="G2803" s="200" t="s">
        <v>1209</v>
      </c>
      <c r="H2803" s="201"/>
      <c r="I2803" s="201" t="s">
        <v>1253</v>
      </c>
      <c r="J2803" s="197" t="s">
        <v>1455</v>
      </c>
      <c r="K2803" s="202">
        <v>9733880</v>
      </c>
      <c r="L2803" s="202"/>
    </row>
    <row r="2804" spans="1:14" ht="11.25" customHeight="1" x14ac:dyDescent="0.2">
      <c r="A2804" s="191">
        <v>2023</v>
      </c>
      <c r="B2804" s="191">
        <v>12</v>
      </c>
      <c r="C2804" s="191">
        <v>27</v>
      </c>
      <c r="D2804" s="192">
        <f t="shared" si="216"/>
        <v>45287</v>
      </c>
      <c r="E2804" s="193">
        <f t="shared" si="215"/>
        <v>45287</v>
      </c>
      <c r="F2804" s="514"/>
      <c r="G2804" s="194" t="s">
        <v>1209</v>
      </c>
      <c r="H2804" s="195"/>
      <c r="I2804" s="195" t="s">
        <v>1253</v>
      </c>
      <c r="J2804" s="191" t="s">
        <v>46</v>
      </c>
      <c r="K2804" s="196"/>
      <c r="L2804" s="196">
        <v>9733880</v>
      </c>
      <c r="N2804" s="130"/>
    </row>
    <row r="2805" spans="1:14" ht="11.25" customHeight="1" x14ac:dyDescent="0.2">
      <c r="A2805" s="197">
        <v>2023</v>
      </c>
      <c r="B2805" s="197">
        <v>12</v>
      </c>
      <c r="C2805" s="197">
        <v>27</v>
      </c>
      <c r="D2805" s="198">
        <f t="shared" si="216"/>
        <v>45287</v>
      </c>
      <c r="E2805" s="199">
        <f t="shared" si="215"/>
        <v>45287</v>
      </c>
      <c r="F2805" s="513" t="s">
        <v>1501</v>
      </c>
      <c r="G2805" s="200" t="s">
        <v>1209</v>
      </c>
      <c r="H2805" s="201"/>
      <c r="I2805" s="201" t="s">
        <v>1253</v>
      </c>
      <c r="J2805" s="197" t="s">
        <v>1455</v>
      </c>
      <c r="K2805" s="202">
        <v>4380246</v>
      </c>
      <c r="L2805" s="202"/>
    </row>
    <row r="2806" spans="1:14" ht="11.25" customHeight="1" x14ac:dyDescent="0.2">
      <c r="A2806" s="191">
        <v>2023</v>
      </c>
      <c r="B2806" s="191">
        <v>12</v>
      </c>
      <c r="C2806" s="191">
        <v>27</v>
      </c>
      <c r="D2806" s="192">
        <f t="shared" si="216"/>
        <v>45287</v>
      </c>
      <c r="E2806" s="193">
        <f t="shared" si="215"/>
        <v>45287</v>
      </c>
      <c r="F2806" s="514"/>
      <c r="G2806" s="194" t="s">
        <v>1209</v>
      </c>
      <c r="H2806" s="195"/>
      <c r="I2806" s="195" t="s">
        <v>1253</v>
      </c>
      <c r="J2806" s="191" t="s">
        <v>46</v>
      </c>
      <c r="K2806" s="196"/>
      <c r="L2806" s="196">
        <v>4380246</v>
      </c>
      <c r="N2806" s="130"/>
    </row>
    <row r="2807" spans="1:14" ht="11.25" customHeight="1" x14ac:dyDescent="0.2">
      <c r="A2807" s="197">
        <v>2023</v>
      </c>
      <c r="B2807" s="197">
        <v>12</v>
      </c>
      <c r="C2807" s="197">
        <v>27</v>
      </c>
      <c r="D2807" s="198">
        <f t="shared" si="216"/>
        <v>45287</v>
      </c>
      <c r="E2807" s="209">
        <f t="shared" si="215"/>
        <v>45287</v>
      </c>
      <c r="F2807" s="513" t="s">
        <v>1280</v>
      </c>
      <c r="G2807" s="200" t="s">
        <v>1209</v>
      </c>
      <c r="H2807" s="201"/>
      <c r="I2807" s="201" t="s">
        <v>299</v>
      </c>
      <c r="J2807" s="197" t="s">
        <v>16</v>
      </c>
      <c r="K2807" s="202">
        <v>2345220</v>
      </c>
      <c r="L2807" s="202"/>
    </row>
    <row r="2808" spans="1:14" ht="11.25" customHeight="1" x14ac:dyDescent="0.2">
      <c r="A2808" s="120">
        <v>2023</v>
      </c>
      <c r="B2808" s="120">
        <v>12</v>
      </c>
      <c r="C2808" s="120">
        <v>27</v>
      </c>
      <c r="D2808" s="208">
        <f t="shared" si="216"/>
        <v>45287</v>
      </c>
      <c r="E2808" s="209">
        <f t="shared" si="215"/>
        <v>45287</v>
      </c>
      <c r="F2808" s="515"/>
      <c r="G2808" s="132" t="s">
        <v>1209</v>
      </c>
      <c r="I2808" s="128" t="s">
        <v>299</v>
      </c>
      <c r="J2808" s="120" t="s">
        <v>47</v>
      </c>
      <c r="K2808" s="207">
        <v>154780</v>
      </c>
      <c r="L2808" s="207"/>
    </row>
    <row r="2809" spans="1:14" ht="11.25" customHeight="1" x14ac:dyDescent="0.2">
      <c r="A2809" s="191">
        <v>2023</v>
      </c>
      <c r="B2809" s="191">
        <v>12</v>
      </c>
      <c r="C2809" s="191">
        <v>27</v>
      </c>
      <c r="D2809" s="192">
        <f t="shared" si="216"/>
        <v>45287</v>
      </c>
      <c r="E2809" s="193">
        <f t="shared" si="215"/>
        <v>45287</v>
      </c>
      <c r="F2809" s="514"/>
      <c r="G2809" s="194" t="s">
        <v>1209</v>
      </c>
      <c r="H2809" s="195"/>
      <c r="I2809" s="195" t="s">
        <v>299</v>
      </c>
      <c r="J2809" s="191" t="s">
        <v>46</v>
      </c>
      <c r="K2809" s="196"/>
      <c r="L2809" s="196">
        <v>2500000</v>
      </c>
    </row>
    <row r="2810" spans="1:14" ht="11.25" customHeight="1" x14ac:dyDescent="0.2">
      <c r="A2810" s="197">
        <v>2023</v>
      </c>
      <c r="B2810" s="197">
        <v>12</v>
      </c>
      <c r="C2810" s="197">
        <v>27</v>
      </c>
      <c r="D2810" s="198">
        <f t="shared" si="216"/>
        <v>45287</v>
      </c>
      <c r="E2810" s="209">
        <f t="shared" ref="E2810:E2886" si="217">DATE(A2810,B2810,C2810)</f>
        <v>45287</v>
      </c>
      <c r="F2810" s="513" t="s">
        <v>1280</v>
      </c>
      <c r="G2810" s="200" t="s">
        <v>1209</v>
      </c>
      <c r="H2810" s="201"/>
      <c r="I2810" s="201" t="s">
        <v>1335</v>
      </c>
      <c r="J2810" s="197" t="s">
        <v>16</v>
      </c>
      <c r="K2810" s="202">
        <v>220280</v>
      </c>
      <c r="L2810" s="202"/>
    </row>
    <row r="2811" spans="1:14" ht="11.25" customHeight="1" x14ac:dyDescent="0.2">
      <c r="A2811" s="120">
        <v>2023</v>
      </c>
      <c r="B2811" s="120">
        <v>12</v>
      </c>
      <c r="C2811" s="120">
        <v>27</v>
      </c>
      <c r="D2811" s="208">
        <f t="shared" si="216"/>
        <v>45287</v>
      </c>
      <c r="E2811" s="209">
        <f t="shared" si="217"/>
        <v>45287</v>
      </c>
      <c r="F2811" s="515"/>
      <c r="G2811" s="132" t="s">
        <v>1209</v>
      </c>
      <c r="I2811" s="128" t="s">
        <v>1335</v>
      </c>
      <c r="J2811" s="120" t="s">
        <v>47</v>
      </c>
      <c r="K2811" s="207">
        <v>14538.48000000001</v>
      </c>
      <c r="L2811" s="207"/>
    </row>
    <row r="2812" spans="1:14" ht="11.25" customHeight="1" x14ac:dyDescent="0.2">
      <c r="A2812" s="191">
        <v>2023</v>
      </c>
      <c r="B2812" s="191">
        <v>12</v>
      </c>
      <c r="C2812" s="191">
        <v>27</v>
      </c>
      <c r="D2812" s="192">
        <f t="shared" si="216"/>
        <v>45287</v>
      </c>
      <c r="E2812" s="193">
        <f t="shared" si="217"/>
        <v>45287</v>
      </c>
      <c r="F2812" s="514"/>
      <c r="G2812" s="194" t="s">
        <v>1209</v>
      </c>
      <c r="H2812" s="195"/>
      <c r="I2812" s="195" t="s">
        <v>1335</v>
      </c>
      <c r="J2812" s="191" t="s">
        <v>46</v>
      </c>
      <c r="K2812" s="196"/>
      <c r="L2812" s="196">
        <v>234818.48</v>
      </c>
    </row>
    <row r="2813" spans="1:14" ht="11.25" customHeight="1" x14ac:dyDescent="0.2">
      <c r="A2813" s="197">
        <v>2023</v>
      </c>
      <c r="B2813" s="197">
        <v>12</v>
      </c>
      <c r="C2813" s="197">
        <v>28</v>
      </c>
      <c r="D2813" s="198">
        <f t="shared" si="216"/>
        <v>45288</v>
      </c>
      <c r="E2813" s="209">
        <f t="shared" si="217"/>
        <v>45288</v>
      </c>
      <c r="F2813" s="513" t="s">
        <v>1423</v>
      </c>
      <c r="G2813" s="200" t="s">
        <v>1209</v>
      </c>
      <c r="H2813" s="201"/>
      <c r="I2813" s="201" t="s">
        <v>349</v>
      </c>
      <c r="J2813" s="197" t="s">
        <v>16</v>
      </c>
      <c r="K2813" s="202">
        <v>46900</v>
      </c>
      <c r="L2813" s="202"/>
    </row>
    <row r="2814" spans="1:14" ht="11.25" customHeight="1" x14ac:dyDescent="0.2">
      <c r="A2814" s="120">
        <v>2023</v>
      </c>
      <c r="B2814" s="120">
        <v>12</v>
      </c>
      <c r="C2814" s="120">
        <v>28</v>
      </c>
      <c r="D2814" s="208">
        <f t="shared" si="216"/>
        <v>45288</v>
      </c>
      <c r="E2814" s="209">
        <f t="shared" si="217"/>
        <v>45288</v>
      </c>
      <c r="F2814" s="515"/>
      <c r="G2814" s="132" t="s">
        <v>1209</v>
      </c>
      <c r="I2814" s="128" t="s">
        <v>349</v>
      </c>
      <c r="J2814" s="120" t="s">
        <v>47</v>
      </c>
      <c r="K2814" s="207">
        <v>3100</v>
      </c>
      <c r="L2814" s="207"/>
    </row>
    <row r="2815" spans="1:14" ht="11.25" customHeight="1" x14ac:dyDescent="0.2">
      <c r="A2815" s="191">
        <v>2023</v>
      </c>
      <c r="B2815" s="191">
        <v>12</v>
      </c>
      <c r="C2815" s="191">
        <v>28</v>
      </c>
      <c r="D2815" s="192">
        <f t="shared" si="216"/>
        <v>45288</v>
      </c>
      <c r="E2815" s="193">
        <f t="shared" si="217"/>
        <v>45288</v>
      </c>
      <c r="F2815" s="514"/>
      <c r="G2815" s="194" t="s">
        <v>1209</v>
      </c>
      <c r="H2815" s="195"/>
      <c r="I2815" s="195" t="s">
        <v>349</v>
      </c>
      <c r="J2815" s="191" t="s">
        <v>46</v>
      </c>
      <c r="K2815" s="196"/>
      <c r="L2815" s="196">
        <v>50000</v>
      </c>
    </row>
    <row r="2816" spans="1:14" ht="11.25" customHeight="1" x14ac:dyDescent="0.2">
      <c r="A2816" s="197">
        <v>2023</v>
      </c>
      <c r="B2816" s="197">
        <v>12</v>
      </c>
      <c r="C2816" s="197">
        <v>28</v>
      </c>
      <c r="D2816" s="198">
        <f t="shared" si="216"/>
        <v>45288</v>
      </c>
      <c r="E2816" s="209">
        <f t="shared" si="217"/>
        <v>45288</v>
      </c>
      <c r="F2816" s="513" t="s">
        <v>1210</v>
      </c>
      <c r="G2816" s="200" t="s">
        <v>1209</v>
      </c>
      <c r="H2816" s="201"/>
      <c r="I2816" s="201" t="s">
        <v>1507</v>
      </c>
      <c r="J2816" s="197" t="s">
        <v>46</v>
      </c>
      <c r="K2816" s="202">
        <v>2000</v>
      </c>
      <c r="L2816" s="202"/>
    </row>
    <row r="2817" spans="1:12" ht="11.25" customHeight="1" x14ac:dyDescent="0.2">
      <c r="A2817" s="120">
        <v>2023</v>
      </c>
      <c r="B2817" s="120">
        <v>12</v>
      </c>
      <c r="C2817" s="120">
        <v>28</v>
      </c>
      <c r="D2817" s="208">
        <f t="shared" si="216"/>
        <v>45288</v>
      </c>
      <c r="E2817" s="209">
        <f t="shared" si="217"/>
        <v>45288</v>
      </c>
      <c r="F2817" s="515"/>
      <c r="G2817" s="132" t="s">
        <v>1209</v>
      </c>
      <c r="I2817" s="128" t="s">
        <v>1507</v>
      </c>
      <c r="J2817" s="120" t="s">
        <v>16</v>
      </c>
      <c r="K2817" s="207"/>
      <c r="L2817" s="207">
        <v>1880</v>
      </c>
    </row>
    <row r="2818" spans="1:12" ht="11.25" customHeight="1" x14ac:dyDescent="0.2">
      <c r="A2818" s="191">
        <v>2023</v>
      </c>
      <c r="B2818" s="191">
        <v>12</v>
      </c>
      <c r="C2818" s="191">
        <v>28</v>
      </c>
      <c r="D2818" s="192">
        <f t="shared" si="216"/>
        <v>45288</v>
      </c>
      <c r="E2818" s="193">
        <f t="shared" si="217"/>
        <v>45288</v>
      </c>
      <c r="F2818" s="514"/>
      <c r="G2818" s="194" t="s">
        <v>1209</v>
      </c>
      <c r="H2818" s="195"/>
      <c r="I2818" s="195" t="s">
        <v>1507</v>
      </c>
      <c r="J2818" s="191" t="s">
        <v>47</v>
      </c>
      <c r="K2818" s="196"/>
      <c r="L2818" s="196">
        <v>120</v>
      </c>
    </row>
    <row r="2819" spans="1:12" ht="11.25" customHeight="1" x14ac:dyDescent="0.2">
      <c r="A2819" s="197">
        <v>2023</v>
      </c>
      <c r="B2819" s="197">
        <v>12</v>
      </c>
      <c r="C2819" s="197">
        <v>28</v>
      </c>
      <c r="D2819" s="198">
        <f t="shared" si="216"/>
        <v>45288</v>
      </c>
      <c r="E2819" s="209">
        <f t="shared" ref="E2819:E2826" si="218">DATE(A2819,B2819,C2819)</f>
        <v>45288</v>
      </c>
      <c r="F2819" s="513" t="s">
        <v>1280</v>
      </c>
      <c r="G2819" s="200" t="s">
        <v>1209</v>
      </c>
      <c r="H2819" s="201"/>
      <c r="I2819" s="201" t="s">
        <v>299</v>
      </c>
      <c r="J2819" s="197" t="s">
        <v>16</v>
      </c>
      <c r="K2819" s="202">
        <v>469040</v>
      </c>
      <c r="L2819" s="202"/>
    </row>
    <row r="2820" spans="1:12" ht="11.25" customHeight="1" x14ac:dyDescent="0.2">
      <c r="A2820" s="120">
        <v>2023</v>
      </c>
      <c r="B2820" s="120">
        <v>12</v>
      </c>
      <c r="C2820" s="120">
        <v>28</v>
      </c>
      <c r="D2820" s="208">
        <f t="shared" si="216"/>
        <v>45288</v>
      </c>
      <c r="E2820" s="209">
        <f t="shared" si="218"/>
        <v>45288</v>
      </c>
      <c r="F2820" s="515"/>
      <c r="G2820" s="132" t="s">
        <v>1209</v>
      </c>
      <c r="I2820" s="128" t="s">
        <v>299</v>
      </c>
      <c r="J2820" s="120" t="s">
        <v>47</v>
      </c>
      <c r="K2820" s="207">
        <v>30960</v>
      </c>
      <c r="L2820" s="207"/>
    </row>
    <row r="2821" spans="1:12" ht="11.25" customHeight="1" x14ac:dyDescent="0.2">
      <c r="A2821" s="191">
        <v>2023</v>
      </c>
      <c r="B2821" s="191">
        <v>12</v>
      </c>
      <c r="C2821" s="191">
        <v>28</v>
      </c>
      <c r="D2821" s="192">
        <f t="shared" si="216"/>
        <v>45288</v>
      </c>
      <c r="E2821" s="193">
        <f t="shared" si="218"/>
        <v>45288</v>
      </c>
      <c r="F2821" s="514"/>
      <c r="G2821" s="194" t="s">
        <v>1209</v>
      </c>
      <c r="H2821" s="195"/>
      <c r="I2821" s="195" t="s">
        <v>299</v>
      </c>
      <c r="J2821" s="191" t="s">
        <v>46</v>
      </c>
      <c r="K2821" s="196"/>
      <c r="L2821" s="196">
        <v>500000</v>
      </c>
    </row>
    <row r="2822" spans="1:12" ht="11.25" customHeight="1" x14ac:dyDescent="0.2">
      <c r="A2822" s="197">
        <v>2023</v>
      </c>
      <c r="B2822" s="197">
        <v>12</v>
      </c>
      <c r="C2822" s="197">
        <v>28</v>
      </c>
      <c r="D2822" s="198">
        <f t="shared" si="216"/>
        <v>45288</v>
      </c>
      <c r="E2822" s="209">
        <f t="shared" si="218"/>
        <v>45288</v>
      </c>
      <c r="F2822" s="513" t="s">
        <v>1210</v>
      </c>
      <c r="G2822" s="200" t="s">
        <v>1209</v>
      </c>
      <c r="H2822" s="201"/>
      <c r="I2822" s="201" t="s">
        <v>380</v>
      </c>
      <c r="J2822" s="197" t="s">
        <v>46</v>
      </c>
      <c r="K2822" s="202">
        <v>500000</v>
      </c>
      <c r="L2822" s="202"/>
    </row>
    <row r="2823" spans="1:12" ht="11.25" customHeight="1" x14ac:dyDescent="0.2">
      <c r="A2823" s="120">
        <v>2023</v>
      </c>
      <c r="B2823" s="120">
        <v>12</v>
      </c>
      <c r="C2823" s="120">
        <v>28</v>
      </c>
      <c r="D2823" s="208">
        <f t="shared" si="216"/>
        <v>45288</v>
      </c>
      <c r="E2823" s="209">
        <f t="shared" si="218"/>
        <v>45288</v>
      </c>
      <c r="F2823" s="515"/>
      <c r="G2823" s="132" t="s">
        <v>1209</v>
      </c>
      <c r="I2823" s="128" t="s">
        <v>380</v>
      </c>
      <c r="J2823" s="120" t="s">
        <v>16</v>
      </c>
      <c r="K2823" s="207"/>
      <c r="L2823" s="207">
        <v>469040</v>
      </c>
    </row>
    <row r="2824" spans="1:12" ht="11.25" customHeight="1" x14ac:dyDescent="0.2">
      <c r="A2824" s="191">
        <v>2023</v>
      </c>
      <c r="B2824" s="191">
        <v>12</v>
      </c>
      <c r="C2824" s="191">
        <v>28</v>
      </c>
      <c r="D2824" s="192">
        <f t="shared" si="216"/>
        <v>45288</v>
      </c>
      <c r="E2824" s="193">
        <f t="shared" si="218"/>
        <v>45288</v>
      </c>
      <c r="F2824" s="514"/>
      <c r="G2824" s="194" t="s">
        <v>1209</v>
      </c>
      <c r="H2824" s="195"/>
      <c r="I2824" s="195" t="s">
        <v>380</v>
      </c>
      <c r="J2824" s="191" t="s">
        <v>47</v>
      </c>
      <c r="K2824" s="196"/>
      <c r="L2824" s="196">
        <v>30960</v>
      </c>
    </row>
    <row r="2825" spans="1:12" ht="11.25" customHeight="1" x14ac:dyDescent="0.2">
      <c r="A2825" s="197">
        <v>2023</v>
      </c>
      <c r="B2825" s="197">
        <v>12</v>
      </c>
      <c r="C2825" s="197">
        <v>28</v>
      </c>
      <c r="D2825" s="198">
        <f t="shared" si="216"/>
        <v>45288</v>
      </c>
      <c r="E2825" s="199">
        <f t="shared" si="218"/>
        <v>45288</v>
      </c>
      <c r="F2825" s="513" t="s">
        <v>1323</v>
      </c>
      <c r="G2825" s="200" t="s">
        <v>1209</v>
      </c>
      <c r="H2825" s="201"/>
      <c r="I2825" s="201"/>
      <c r="J2825" s="197" t="s">
        <v>54</v>
      </c>
      <c r="K2825" s="202">
        <v>60</v>
      </c>
      <c r="L2825" s="202"/>
    </row>
    <row r="2826" spans="1:12" ht="11.25" customHeight="1" x14ac:dyDescent="0.2">
      <c r="A2826" s="191">
        <v>2023</v>
      </c>
      <c r="B2826" s="191">
        <v>12</v>
      </c>
      <c r="C2826" s="191">
        <v>28</v>
      </c>
      <c r="D2826" s="192">
        <f t="shared" si="216"/>
        <v>45288</v>
      </c>
      <c r="E2826" s="193">
        <f t="shared" si="218"/>
        <v>45288</v>
      </c>
      <c r="F2826" s="514"/>
      <c r="G2826" s="194" t="s">
        <v>1209</v>
      </c>
      <c r="H2826" s="195"/>
      <c r="I2826" s="195"/>
      <c r="J2826" s="191" t="s">
        <v>46</v>
      </c>
      <c r="K2826" s="196"/>
      <c r="L2826" s="196">
        <v>60</v>
      </c>
    </row>
    <row r="2827" spans="1:12" ht="11.25" customHeight="1" x14ac:dyDescent="0.2">
      <c r="A2827" s="210">
        <v>2023</v>
      </c>
      <c r="B2827" s="210">
        <v>12</v>
      </c>
      <c r="C2827" s="210">
        <v>28</v>
      </c>
      <c r="D2827" s="211">
        <f t="shared" si="216"/>
        <v>45288</v>
      </c>
      <c r="E2827" s="238">
        <f t="shared" si="217"/>
        <v>45288</v>
      </c>
      <c r="F2827" s="520" t="s">
        <v>1278</v>
      </c>
      <c r="G2827" s="213" t="s">
        <v>1245</v>
      </c>
      <c r="H2827" s="214"/>
      <c r="I2827" s="214" t="s">
        <v>1253</v>
      </c>
      <c r="J2827" s="210" t="s">
        <v>1529</v>
      </c>
      <c r="K2827" s="215">
        <v>7491.85</v>
      </c>
      <c r="L2827" s="215"/>
    </row>
    <row r="2828" spans="1:12" ht="11.25" customHeight="1" x14ac:dyDescent="0.2">
      <c r="A2828" s="216">
        <v>2023</v>
      </c>
      <c r="B2828" s="216">
        <v>12</v>
      </c>
      <c r="C2828" s="216">
        <v>28</v>
      </c>
      <c r="D2828" s="217">
        <f t="shared" si="216"/>
        <v>45288</v>
      </c>
      <c r="E2828" s="239">
        <f t="shared" si="217"/>
        <v>45288</v>
      </c>
      <c r="F2828" s="521"/>
      <c r="G2828" s="219" t="s">
        <v>1245</v>
      </c>
      <c r="H2828" s="220"/>
      <c r="I2828" s="220" t="s">
        <v>1253</v>
      </c>
      <c r="J2828" s="216" t="s">
        <v>1581</v>
      </c>
      <c r="K2828" s="221"/>
      <c r="L2828" s="221">
        <v>7491.85</v>
      </c>
    </row>
    <row r="2829" spans="1:12" ht="11.25" customHeight="1" x14ac:dyDescent="0.2">
      <c r="A2829" s="210">
        <v>2023</v>
      </c>
      <c r="B2829" s="210">
        <v>12</v>
      </c>
      <c r="C2829" s="210">
        <v>28</v>
      </c>
      <c r="D2829" s="211">
        <f t="shared" si="216"/>
        <v>45288</v>
      </c>
      <c r="E2829" s="238">
        <f t="shared" si="217"/>
        <v>45288</v>
      </c>
      <c r="F2829" s="520" t="s">
        <v>1285</v>
      </c>
      <c r="G2829" s="213" t="s">
        <v>1245</v>
      </c>
      <c r="H2829" s="214"/>
      <c r="I2829" s="214" t="s">
        <v>1253</v>
      </c>
      <c r="J2829" s="210" t="s">
        <v>1284</v>
      </c>
      <c r="K2829" s="215">
        <v>13771.15</v>
      </c>
      <c r="L2829" s="215"/>
    </row>
    <row r="2830" spans="1:12" ht="11.25" customHeight="1" x14ac:dyDescent="0.2">
      <c r="A2830" s="242">
        <v>2023</v>
      </c>
      <c r="B2830" s="216">
        <v>12</v>
      </c>
      <c r="C2830" s="216">
        <v>28</v>
      </c>
      <c r="D2830" s="243">
        <f t="shared" si="216"/>
        <v>45288</v>
      </c>
      <c r="E2830" s="244">
        <f>DATE(A2830,B2830,C2830)</f>
        <v>45288</v>
      </c>
      <c r="F2830" s="524"/>
      <c r="G2830" s="245" t="s">
        <v>1245</v>
      </c>
      <c r="H2830" s="246"/>
      <c r="I2830" s="246"/>
      <c r="J2830" s="242" t="s">
        <v>1582</v>
      </c>
      <c r="K2830" s="247"/>
      <c r="L2830" s="247">
        <v>13771.15</v>
      </c>
    </row>
    <row r="2831" spans="1:12" ht="11.25" customHeight="1" x14ac:dyDescent="0.2">
      <c r="A2831" s="210">
        <v>2023</v>
      </c>
      <c r="B2831" s="210">
        <v>12</v>
      </c>
      <c r="C2831" s="210">
        <v>28</v>
      </c>
      <c r="D2831" s="211">
        <f t="shared" si="216"/>
        <v>45288</v>
      </c>
      <c r="E2831" s="238">
        <f t="shared" si="217"/>
        <v>45288</v>
      </c>
      <c r="F2831" s="520" t="s">
        <v>1259</v>
      </c>
      <c r="G2831" s="213" t="s">
        <v>1245</v>
      </c>
      <c r="H2831" s="214"/>
      <c r="I2831" s="214" t="s">
        <v>1253</v>
      </c>
      <c r="J2831" s="210" t="s">
        <v>58</v>
      </c>
      <c r="K2831" s="215">
        <v>7676.44</v>
      </c>
      <c r="L2831" s="215"/>
    </row>
    <row r="2832" spans="1:12" ht="11.25" customHeight="1" x14ac:dyDescent="0.2">
      <c r="A2832" s="216">
        <v>2023</v>
      </c>
      <c r="B2832" s="216">
        <v>12</v>
      </c>
      <c r="C2832" s="216">
        <v>28</v>
      </c>
      <c r="D2832" s="217">
        <f t="shared" si="216"/>
        <v>45288</v>
      </c>
      <c r="E2832" s="239">
        <f t="shared" si="217"/>
        <v>45288</v>
      </c>
      <c r="F2832" s="521"/>
      <c r="G2832" s="219" t="s">
        <v>1245</v>
      </c>
      <c r="H2832" s="220"/>
      <c r="I2832" s="220" t="s">
        <v>1253</v>
      </c>
      <c r="J2832" s="216" t="s">
        <v>153</v>
      </c>
      <c r="K2832" s="221"/>
      <c r="L2832" s="221">
        <v>7676.44</v>
      </c>
    </row>
    <row r="2833" spans="1:12" ht="11.25" customHeight="1" x14ac:dyDescent="0.2">
      <c r="A2833" s="210">
        <v>2023</v>
      </c>
      <c r="B2833" s="210">
        <v>12</v>
      </c>
      <c r="C2833" s="210">
        <v>28</v>
      </c>
      <c r="D2833" s="211">
        <f t="shared" si="216"/>
        <v>45288</v>
      </c>
      <c r="E2833" s="238">
        <f t="shared" si="217"/>
        <v>45288</v>
      </c>
      <c r="F2833" s="520" t="s">
        <v>1256</v>
      </c>
      <c r="G2833" s="213" t="s">
        <v>1245</v>
      </c>
      <c r="H2833" s="214"/>
      <c r="I2833" s="214" t="s">
        <v>1253</v>
      </c>
      <c r="J2833" s="210" t="s">
        <v>113</v>
      </c>
      <c r="K2833" s="215">
        <v>200802.88461538462</v>
      </c>
      <c r="L2833" s="215"/>
    </row>
    <row r="2834" spans="1:12" ht="11.25" customHeight="1" x14ac:dyDescent="0.2">
      <c r="A2834" s="216">
        <v>2023</v>
      </c>
      <c r="B2834" s="216">
        <v>12</v>
      </c>
      <c r="C2834" s="216">
        <v>28</v>
      </c>
      <c r="D2834" s="217">
        <f t="shared" si="216"/>
        <v>45288</v>
      </c>
      <c r="E2834" s="239">
        <f t="shared" si="217"/>
        <v>45288</v>
      </c>
      <c r="F2834" s="521"/>
      <c r="G2834" s="219" t="s">
        <v>1245</v>
      </c>
      <c r="H2834" s="220"/>
      <c r="I2834" s="220" t="s">
        <v>1253</v>
      </c>
      <c r="J2834" s="216" t="s">
        <v>153</v>
      </c>
      <c r="K2834" s="221"/>
      <c r="L2834" s="221">
        <v>200802.88461538462</v>
      </c>
    </row>
    <row r="2835" spans="1:12" ht="11.25" customHeight="1" x14ac:dyDescent="0.2">
      <c r="A2835" s="312">
        <v>2023</v>
      </c>
      <c r="B2835" s="312">
        <v>12</v>
      </c>
      <c r="C2835" s="312">
        <v>28</v>
      </c>
      <c r="D2835" s="313">
        <f t="shared" si="216"/>
        <v>45288</v>
      </c>
      <c r="E2835" s="314">
        <f t="shared" si="217"/>
        <v>45288</v>
      </c>
      <c r="F2835" s="522" t="s">
        <v>1477</v>
      </c>
      <c r="G2835" s="315" t="s">
        <v>1245</v>
      </c>
      <c r="H2835" s="316"/>
      <c r="I2835" s="316" t="s">
        <v>1253</v>
      </c>
      <c r="J2835" s="312" t="s">
        <v>1460</v>
      </c>
      <c r="K2835" s="317">
        <v>253569.40000000596</v>
      </c>
      <c r="L2835" s="317"/>
    </row>
    <row r="2836" spans="1:12" ht="11.25" customHeight="1" x14ac:dyDescent="0.2">
      <c r="A2836" s="318">
        <v>2023</v>
      </c>
      <c r="B2836" s="318">
        <v>12</v>
      </c>
      <c r="C2836" s="318">
        <v>28</v>
      </c>
      <c r="D2836" s="319">
        <f t="shared" si="216"/>
        <v>45288</v>
      </c>
      <c r="E2836" s="320">
        <f t="shared" si="217"/>
        <v>45288</v>
      </c>
      <c r="F2836" s="523"/>
      <c r="G2836" s="321" t="s">
        <v>1245</v>
      </c>
      <c r="H2836" s="322"/>
      <c r="I2836" s="322" t="s">
        <v>1253</v>
      </c>
      <c r="J2836" s="318" t="s">
        <v>1458</v>
      </c>
      <c r="K2836" s="323"/>
      <c r="L2836" s="323">
        <v>253569.40000000596</v>
      </c>
    </row>
    <row r="2837" spans="1:12" ht="11.25" customHeight="1" x14ac:dyDescent="0.2">
      <c r="A2837" s="222">
        <v>2023</v>
      </c>
      <c r="B2837" s="222">
        <v>12</v>
      </c>
      <c r="C2837" s="222">
        <v>28</v>
      </c>
      <c r="D2837" s="223">
        <f t="shared" si="216"/>
        <v>45288</v>
      </c>
      <c r="E2837" s="240">
        <f t="shared" si="217"/>
        <v>45288</v>
      </c>
      <c r="F2837" s="511" t="s">
        <v>1244</v>
      </c>
      <c r="G2837" s="225" t="s">
        <v>1245</v>
      </c>
      <c r="H2837" s="226"/>
      <c r="I2837" s="226" t="s">
        <v>1253</v>
      </c>
      <c r="J2837" s="222" t="s">
        <v>87</v>
      </c>
      <c r="K2837" s="227">
        <v>51496.201904762536</v>
      </c>
      <c r="L2837" s="227"/>
    </row>
    <row r="2838" spans="1:12" ht="11.25" customHeight="1" x14ac:dyDescent="0.2">
      <c r="A2838" s="228">
        <v>2023</v>
      </c>
      <c r="B2838" s="228">
        <v>12</v>
      </c>
      <c r="C2838" s="228">
        <v>28</v>
      </c>
      <c r="D2838" s="229">
        <f t="shared" si="216"/>
        <v>45288</v>
      </c>
      <c r="E2838" s="241">
        <f t="shared" si="217"/>
        <v>45288</v>
      </c>
      <c r="F2838" s="512"/>
      <c r="G2838" s="231" t="s">
        <v>1245</v>
      </c>
      <c r="H2838" s="232"/>
      <c r="I2838" s="232" t="s">
        <v>1253</v>
      </c>
      <c r="J2838" s="228" t="s">
        <v>72</v>
      </c>
      <c r="K2838" s="233"/>
      <c r="L2838" s="233">
        <v>51496.201904762536</v>
      </c>
    </row>
    <row r="2839" spans="1:12" ht="11.25" customHeight="1" x14ac:dyDescent="0.2">
      <c r="A2839" s="222">
        <v>2023</v>
      </c>
      <c r="B2839" s="222">
        <v>12</v>
      </c>
      <c r="C2839" s="222">
        <v>28</v>
      </c>
      <c r="D2839" s="223">
        <f t="shared" si="216"/>
        <v>45288</v>
      </c>
      <c r="E2839" s="240">
        <f t="shared" si="217"/>
        <v>45288</v>
      </c>
      <c r="F2839" s="511" t="s">
        <v>1246</v>
      </c>
      <c r="G2839" s="225" t="s">
        <v>1245</v>
      </c>
      <c r="H2839" s="226"/>
      <c r="I2839" s="226" t="s">
        <v>1253</v>
      </c>
      <c r="J2839" s="222" t="s">
        <v>75</v>
      </c>
      <c r="K2839" s="227">
        <v>3623.123846153846</v>
      </c>
      <c r="L2839" s="227"/>
    </row>
    <row r="2840" spans="1:12" ht="11.25" customHeight="1" x14ac:dyDescent="0.2">
      <c r="A2840" s="228">
        <v>2023</v>
      </c>
      <c r="B2840" s="228">
        <v>12</v>
      </c>
      <c r="C2840" s="228">
        <v>28</v>
      </c>
      <c r="D2840" s="229">
        <f t="shared" si="216"/>
        <v>45288</v>
      </c>
      <c r="E2840" s="241">
        <f t="shared" si="217"/>
        <v>45288</v>
      </c>
      <c r="F2840" s="512"/>
      <c r="G2840" s="231" t="s">
        <v>1245</v>
      </c>
      <c r="H2840" s="232"/>
      <c r="I2840" s="232" t="s">
        <v>1253</v>
      </c>
      <c r="J2840" s="228" t="s">
        <v>55</v>
      </c>
      <c r="K2840" s="233"/>
      <c r="L2840" s="233">
        <v>3623.123846153846</v>
      </c>
    </row>
    <row r="2841" spans="1:12" ht="11.25" customHeight="1" x14ac:dyDescent="0.2">
      <c r="A2841" s="222">
        <v>2023</v>
      </c>
      <c r="B2841" s="222">
        <v>12</v>
      </c>
      <c r="C2841" s="222">
        <v>28</v>
      </c>
      <c r="D2841" s="223">
        <f t="shared" si="216"/>
        <v>45288</v>
      </c>
      <c r="E2841" s="240">
        <f t="shared" si="217"/>
        <v>45288</v>
      </c>
      <c r="F2841" s="511" t="s">
        <v>1247</v>
      </c>
      <c r="G2841" s="225" t="s">
        <v>1245</v>
      </c>
      <c r="H2841" s="226"/>
      <c r="I2841" s="226" t="s">
        <v>1253</v>
      </c>
      <c r="J2841" s="222" t="s">
        <v>77</v>
      </c>
      <c r="K2841" s="227">
        <v>27125.150690269507</v>
      </c>
      <c r="L2841" s="227"/>
    </row>
    <row r="2842" spans="1:12" ht="11.25" customHeight="1" x14ac:dyDescent="0.2">
      <c r="A2842" s="228">
        <v>2023</v>
      </c>
      <c r="B2842" s="228">
        <v>12</v>
      </c>
      <c r="C2842" s="228">
        <v>28</v>
      </c>
      <c r="D2842" s="229">
        <f t="shared" si="216"/>
        <v>45288</v>
      </c>
      <c r="E2842" s="241">
        <f t="shared" si="217"/>
        <v>45288</v>
      </c>
      <c r="F2842" s="512"/>
      <c r="G2842" s="231" t="s">
        <v>1245</v>
      </c>
      <c r="H2842" s="232"/>
      <c r="I2842" s="232" t="s">
        <v>1253</v>
      </c>
      <c r="J2842" s="228" t="s">
        <v>41</v>
      </c>
      <c r="K2842" s="233"/>
      <c r="L2842" s="233">
        <v>27125.150690269507</v>
      </c>
    </row>
    <row r="2843" spans="1:12" ht="11.25" customHeight="1" x14ac:dyDescent="0.2">
      <c r="A2843" s="222">
        <v>2023</v>
      </c>
      <c r="B2843" s="222">
        <v>12</v>
      </c>
      <c r="C2843" s="222">
        <v>28</v>
      </c>
      <c r="D2843" s="223">
        <f t="shared" si="216"/>
        <v>45288</v>
      </c>
      <c r="E2843" s="240">
        <f t="shared" si="217"/>
        <v>45288</v>
      </c>
      <c r="F2843" s="511" t="s">
        <v>1248</v>
      </c>
      <c r="G2843" s="225" t="s">
        <v>1245</v>
      </c>
      <c r="H2843" s="226"/>
      <c r="I2843" s="226" t="s">
        <v>1253</v>
      </c>
      <c r="J2843" s="222" t="s">
        <v>80</v>
      </c>
      <c r="K2843" s="227">
        <v>2712.5150690269511</v>
      </c>
      <c r="L2843" s="227"/>
    </row>
    <row r="2844" spans="1:12" ht="11.25" customHeight="1" x14ac:dyDescent="0.2">
      <c r="A2844" s="228">
        <v>2023</v>
      </c>
      <c r="B2844" s="228">
        <v>12</v>
      </c>
      <c r="C2844" s="228">
        <v>28</v>
      </c>
      <c r="D2844" s="229">
        <f t="shared" si="216"/>
        <v>45288</v>
      </c>
      <c r="E2844" s="241">
        <f t="shared" si="217"/>
        <v>45288</v>
      </c>
      <c r="F2844" s="512"/>
      <c r="G2844" s="231" t="s">
        <v>1245</v>
      </c>
      <c r="H2844" s="232"/>
      <c r="I2844" s="232" t="s">
        <v>1253</v>
      </c>
      <c r="J2844" s="228" t="s">
        <v>42</v>
      </c>
      <c r="K2844" s="233"/>
      <c r="L2844" s="233">
        <v>2712.5150690269511</v>
      </c>
    </row>
    <row r="2845" spans="1:12" ht="11.25" customHeight="1" x14ac:dyDescent="0.2">
      <c r="A2845" s="197">
        <v>2023</v>
      </c>
      <c r="B2845" s="197">
        <v>12</v>
      </c>
      <c r="C2845" s="197">
        <v>24</v>
      </c>
      <c r="D2845" s="198">
        <f t="shared" si="216"/>
        <v>45284</v>
      </c>
      <c r="E2845" s="199">
        <f t="shared" si="217"/>
        <v>45284</v>
      </c>
      <c r="F2845" s="513" t="s">
        <v>1524</v>
      </c>
      <c r="G2845" s="200" t="s">
        <v>1209</v>
      </c>
      <c r="H2845" s="201"/>
      <c r="I2845" s="201"/>
      <c r="J2845" s="197" t="s">
        <v>54</v>
      </c>
      <c r="K2845" s="202">
        <v>345</v>
      </c>
      <c r="L2845" s="202"/>
    </row>
    <row r="2846" spans="1:12" ht="11.25" customHeight="1" x14ac:dyDescent="0.2">
      <c r="A2846" s="191">
        <v>2023</v>
      </c>
      <c r="B2846" s="191">
        <v>12</v>
      </c>
      <c r="C2846" s="191">
        <v>24</v>
      </c>
      <c r="D2846" s="192">
        <f t="shared" si="216"/>
        <v>45284</v>
      </c>
      <c r="E2846" s="193">
        <f t="shared" si="217"/>
        <v>45284</v>
      </c>
      <c r="F2846" s="514"/>
      <c r="G2846" s="194" t="s">
        <v>1209</v>
      </c>
      <c r="H2846" s="195"/>
      <c r="I2846" s="195"/>
      <c r="J2846" s="191" t="s">
        <v>46</v>
      </c>
      <c r="K2846" s="196"/>
      <c r="L2846" s="196">
        <v>345</v>
      </c>
    </row>
    <row r="2847" spans="1:12" ht="11.25" customHeight="1" x14ac:dyDescent="0.2">
      <c r="A2847" s="197">
        <v>2023</v>
      </c>
      <c r="B2847" s="197">
        <v>12</v>
      </c>
      <c r="C2847" s="197">
        <v>24</v>
      </c>
      <c r="D2847" s="198">
        <f t="shared" si="216"/>
        <v>45284</v>
      </c>
      <c r="E2847" s="199">
        <f>DATE(A2847,B2847,C2847)</f>
        <v>45284</v>
      </c>
      <c r="F2847" s="513" t="s">
        <v>1525</v>
      </c>
      <c r="G2847" s="200" t="s">
        <v>1209</v>
      </c>
      <c r="H2847" s="201"/>
      <c r="I2847" s="201"/>
      <c r="J2847" s="197" t="s">
        <v>54</v>
      </c>
      <c r="K2847" s="202">
        <v>575</v>
      </c>
      <c r="L2847" s="202"/>
    </row>
    <row r="2848" spans="1:12" ht="11.25" customHeight="1" x14ac:dyDescent="0.2">
      <c r="A2848" s="191">
        <v>2023</v>
      </c>
      <c r="B2848" s="191">
        <v>12</v>
      </c>
      <c r="C2848" s="191">
        <v>24</v>
      </c>
      <c r="D2848" s="192">
        <f t="shared" si="216"/>
        <v>45284</v>
      </c>
      <c r="E2848" s="193">
        <f>DATE(A2848,B2848,C2848)</f>
        <v>45284</v>
      </c>
      <c r="F2848" s="514"/>
      <c r="G2848" s="194" t="s">
        <v>1209</v>
      </c>
      <c r="H2848" s="195"/>
      <c r="I2848" s="195"/>
      <c r="J2848" s="191" t="s">
        <v>46</v>
      </c>
      <c r="K2848" s="196"/>
      <c r="L2848" s="196">
        <v>575</v>
      </c>
    </row>
    <row r="2849" spans="1:15" ht="11.25" customHeight="1" x14ac:dyDescent="0.2">
      <c r="A2849" s="197">
        <v>2023</v>
      </c>
      <c r="B2849" s="197">
        <v>12</v>
      </c>
      <c r="C2849" s="197">
        <v>28</v>
      </c>
      <c r="D2849" s="198">
        <f t="shared" si="216"/>
        <v>45288</v>
      </c>
      <c r="E2849" s="290">
        <f t="shared" si="217"/>
        <v>45288</v>
      </c>
      <c r="F2849" s="513" t="s">
        <v>1518</v>
      </c>
      <c r="G2849" s="200" t="s">
        <v>1209</v>
      </c>
      <c r="H2849" s="201"/>
      <c r="I2849" s="201" t="s">
        <v>1253</v>
      </c>
      <c r="J2849" s="197" t="s">
        <v>46</v>
      </c>
      <c r="K2849" s="202">
        <v>48514.28</v>
      </c>
      <c r="L2849" s="202"/>
      <c r="M2849" s="251"/>
      <c r="N2849" s="251"/>
      <c r="O2849" s="251"/>
    </row>
    <row r="2850" spans="1:15" ht="11.25" customHeight="1" x14ac:dyDescent="0.2">
      <c r="A2850" s="120">
        <v>2023</v>
      </c>
      <c r="B2850" s="120">
        <v>12</v>
      </c>
      <c r="C2850" s="120">
        <v>28</v>
      </c>
      <c r="D2850" s="208">
        <f t="shared" si="216"/>
        <v>45288</v>
      </c>
      <c r="E2850" s="293">
        <f t="shared" si="217"/>
        <v>45288</v>
      </c>
      <c r="F2850" s="515"/>
      <c r="G2850" s="132" t="s">
        <v>1209</v>
      </c>
      <c r="J2850" s="120" t="s">
        <v>53</v>
      </c>
      <c r="K2850" s="207"/>
      <c r="L2850" s="207">
        <v>19319.48</v>
      </c>
      <c r="M2850" s="251"/>
      <c r="N2850" s="251"/>
      <c r="O2850" s="251"/>
    </row>
    <row r="2851" spans="1:15" ht="11.25" customHeight="1" x14ac:dyDescent="0.2">
      <c r="A2851" s="191">
        <v>2023</v>
      </c>
      <c r="B2851" s="191">
        <v>12</v>
      </c>
      <c r="C2851" s="191">
        <v>28</v>
      </c>
      <c r="D2851" s="192">
        <f t="shared" si="216"/>
        <v>45288</v>
      </c>
      <c r="E2851" s="291">
        <f t="shared" si="217"/>
        <v>45288</v>
      </c>
      <c r="F2851" s="514"/>
      <c r="G2851" s="194" t="s">
        <v>1209</v>
      </c>
      <c r="H2851" s="195"/>
      <c r="I2851" s="195" t="s">
        <v>1253</v>
      </c>
      <c r="J2851" s="191" t="s">
        <v>58</v>
      </c>
      <c r="K2851" s="196"/>
      <c r="L2851" s="196">
        <v>29194.796875666594</v>
      </c>
    </row>
    <row r="2852" spans="1:15" ht="11.25" customHeight="1" x14ac:dyDescent="0.2">
      <c r="A2852" s="197">
        <v>2023</v>
      </c>
      <c r="B2852" s="197">
        <v>12</v>
      </c>
      <c r="C2852" s="197">
        <v>28</v>
      </c>
      <c r="D2852" s="198">
        <f t="shared" si="216"/>
        <v>45288</v>
      </c>
      <c r="E2852" s="199">
        <f t="shared" si="217"/>
        <v>45288</v>
      </c>
      <c r="F2852" s="513" t="s">
        <v>1520</v>
      </c>
      <c r="G2852" s="200" t="s">
        <v>1209</v>
      </c>
      <c r="H2852" s="201"/>
      <c r="I2852" s="201"/>
      <c r="J2852" s="197" t="s">
        <v>54</v>
      </c>
      <c r="K2852" s="202">
        <v>2425.7099999439702</v>
      </c>
      <c r="L2852" s="202"/>
    </row>
    <row r="2853" spans="1:15" ht="11.25" customHeight="1" x14ac:dyDescent="0.2">
      <c r="A2853" s="191">
        <v>2023</v>
      </c>
      <c r="B2853" s="191">
        <v>12</v>
      </c>
      <c r="C2853" s="191">
        <v>28</v>
      </c>
      <c r="D2853" s="192">
        <f t="shared" si="216"/>
        <v>45288</v>
      </c>
      <c r="E2853" s="193">
        <f t="shared" si="217"/>
        <v>45288</v>
      </c>
      <c r="F2853" s="514"/>
      <c r="G2853" s="194" t="s">
        <v>1209</v>
      </c>
      <c r="H2853" s="195"/>
      <c r="I2853" s="195"/>
      <c r="J2853" s="191" t="s">
        <v>46</v>
      </c>
      <c r="K2853" s="196"/>
      <c r="L2853" s="196">
        <v>2425.7099999439702</v>
      </c>
    </row>
    <row r="2854" spans="1:15" ht="11.25" customHeight="1" x14ac:dyDescent="0.2">
      <c r="A2854" s="197">
        <v>2023</v>
      </c>
      <c r="B2854" s="197">
        <v>12</v>
      </c>
      <c r="C2854" s="197">
        <v>28</v>
      </c>
      <c r="D2854" s="198">
        <f t="shared" si="216"/>
        <v>45288</v>
      </c>
      <c r="E2854" s="290">
        <f t="shared" si="217"/>
        <v>45288</v>
      </c>
      <c r="F2854" s="513" t="s">
        <v>1521</v>
      </c>
      <c r="G2854" s="200" t="s">
        <v>1209</v>
      </c>
      <c r="H2854" s="201"/>
      <c r="I2854" s="201"/>
      <c r="J2854" s="197" t="s">
        <v>54</v>
      </c>
      <c r="K2854" s="202">
        <v>300</v>
      </c>
      <c r="L2854" s="202"/>
      <c r="M2854" s="251"/>
      <c r="N2854" s="251"/>
      <c r="O2854" s="251"/>
    </row>
    <row r="2855" spans="1:15" ht="11.25" customHeight="1" x14ac:dyDescent="0.2">
      <c r="A2855" s="120">
        <v>2023</v>
      </c>
      <c r="B2855" s="120">
        <v>12</v>
      </c>
      <c r="C2855" s="120">
        <v>28</v>
      </c>
      <c r="D2855" s="208">
        <f t="shared" si="216"/>
        <v>45288</v>
      </c>
      <c r="E2855" s="293">
        <f t="shared" si="217"/>
        <v>45288</v>
      </c>
      <c r="F2855" s="514"/>
      <c r="G2855" s="194" t="s">
        <v>1209</v>
      </c>
      <c r="H2855" s="195"/>
      <c r="I2855" s="195"/>
      <c r="J2855" s="191" t="s">
        <v>46</v>
      </c>
      <c r="K2855" s="196"/>
      <c r="L2855" s="196">
        <v>300</v>
      </c>
      <c r="M2855" s="251"/>
      <c r="N2855" s="251"/>
      <c r="O2855" s="251"/>
    </row>
    <row r="2856" spans="1:15" ht="11.25" customHeight="1" x14ac:dyDescent="0.2">
      <c r="A2856" s="197">
        <v>2023</v>
      </c>
      <c r="B2856" s="197">
        <v>12</v>
      </c>
      <c r="C2856" s="197">
        <v>28</v>
      </c>
      <c r="D2856" s="198">
        <f t="shared" si="216"/>
        <v>45288</v>
      </c>
      <c r="E2856" s="290">
        <f>DATE(A2856,B2856,C2856)</f>
        <v>45288</v>
      </c>
      <c r="F2856" s="513" t="s">
        <v>1517</v>
      </c>
      <c r="G2856" s="200" t="s">
        <v>1209</v>
      </c>
      <c r="H2856" s="201"/>
      <c r="I2856" s="201"/>
      <c r="J2856" s="197" t="s">
        <v>54</v>
      </c>
      <c r="K2856" s="202">
        <v>45</v>
      </c>
      <c r="L2856" s="202"/>
      <c r="M2856" s="251"/>
      <c r="N2856" s="251"/>
      <c r="O2856" s="251"/>
    </row>
    <row r="2857" spans="1:15" ht="11.25" customHeight="1" x14ac:dyDescent="0.2">
      <c r="A2857" s="120">
        <v>2023</v>
      </c>
      <c r="B2857" s="120">
        <v>12</v>
      </c>
      <c r="C2857" s="120">
        <v>28</v>
      </c>
      <c r="D2857" s="208">
        <f t="shared" si="216"/>
        <v>45288</v>
      </c>
      <c r="E2857" s="293">
        <f>DATE(A2857,B2857,C2857)</f>
        <v>45288</v>
      </c>
      <c r="F2857" s="514"/>
      <c r="G2857" s="194" t="s">
        <v>1209</v>
      </c>
      <c r="H2857" s="195"/>
      <c r="I2857" s="195"/>
      <c r="J2857" s="191" t="s">
        <v>46</v>
      </c>
      <c r="K2857" s="196"/>
      <c r="L2857" s="196">
        <v>45</v>
      </c>
      <c r="M2857" s="251"/>
      <c r="N2857" s="251"/>
      <c r="O2857" s="251"/>
    </row>
    <row r="2858" spans="1:15" ht="11.25" customHeight="1" x14ac:dyDescent="0.2">
      <c r="A2858" s="197">
        <v>2023</v>
      </c>
      <c r="B2858" s="197">
        <v>12</v>
      </c>
      <c r="C2858" s="197">
        <v>28</v>
      </c>
      <c r="D2858" s="198">
        <f t="shared" si="216"/>
        <v>45288</v>
      </c>
      <c r="E2858" s="290">
        <f t="shared" ref="E2858:E2863" si="219">DATE(A2858,B2858,C2858)</f>
        <v>45288</v>
      </c>
      <c r="F2858" s="513" t="s">
        <v>1519</v>
      </c>
      <c r="G2858" s="200" t="s">
        <v>1209</v>
      </c>
      <c r="H2858" s="201"/>
      <c r="I2858" s="201"/>
      <c r="J2858" s="197" t="s">
        <v>54</v>
      </c>
      <c r="K2858" s="202">
        <v>3000</v>
      </c>
      <c r="L2858" s="202"/>
      <c r="M2858" s="251"/>
      <c r="N2858" s="251"/>
      <c r="O2858" s="251"/>
    </row>
    <row r="2859" spans="1:15" ht="11.25" customHeight="1" x14ac:dyDescent="0.2">
      <c r="A2859" s="120">
        <v>2023</v>
      </c>
      <c r="B2859" s="120">
        <v>12</v>
      </c>
      <c r="C2859" s="120">
        <v>28</v>
      </c>
      <c r="D2859" s="208">
        <f t="shared" si="216"/>
        <v>45288</v>
      </c>
      <c r="E2859" s="293">
        <f t="shared" si="219"/>
        <v>45288</v>
      </c>
      <c r="F2859" s="514"/>
      <c r="G2859" s="194" t="s">
        <v>1209</v>
      </c>
      <c r="H2859" s="195"/>
      <c r="I2859" s="195"/>
      <c r="J2859" s="191" t="s">
        <v>46</v>
      </c>
      <c r="K2859" s="196"/>
      <c r="L2859" s="196">
        <v>3000</v>
      </c>
      <c r="M2859" s="251"/>
      <c r="N2859" s="251"/>
      <c r="O2859" s="251"/>
    </row>
    <row r="2860" spans="1:15" ht="11.25" customHeight="1" x14ac:dyDescent="0.2">
      <c r="A2860" s="197">
        <v>2023</v>
      </c>
      <c r="B2860" s="197">
        <v>12</v>
      </c>
      <c r="C2860" s="197">
        <v>28</v>
      </c>
      <c r="D2860" s="198">
        <f t="shared" si="216"/>
        <v>45288</v>
      </c>
      <c r="E2860" s="290">
        <f t="shared" si="219"/>
        <v>45288</v>
      </c>
      <c r="F2860" s="513" t="s">
        <v>1521</v>
      </c>
      <c r="G2860" s="200" t="s">
        <v>1209</v>
      </c>
      <c r="H2860" s="201"/>
      <c r="I2860" s="201"/>
      <c r="J2860" s="197" t="s">
        <v>54</v>
      </c>
      <c r="K2860" s="202">
        <v>300</v>
      </c>
      <c r="L2860" s="202"/>
      <c r="M2860" s="251"/>
      <c r="N2860" s="251"/>
      <c r="O2860" s="251"/>
    </row>
    <row r="2861" spans="1:15" ht="11.25" customHeight="1" x14ac:dyDescent="0.2">
      <c r="A2861" s="120">
        <v>2023</v>
      </c>
      <c r="B2861" s="120">
        <v>12</v>
      </c>
      <c r="C2861" s="120">
        <v>28</v>
      </c>
      <c r="D2861" s="208">
        <f t="shared" si="216"/>
        <v>45288</v>
      </c>
      <c r="E2861" s="293">
        <f t="shared" si="219"/>
        <v>45288</v>
      </c>
      <c r="F2861" s="514"/>
      <c r="G2861" s="194" t="s">
        <v>1209</v>
      </c>
      <c r="H2861" s="195"/>
      <c r="I2861" s="195"/>
      <c r="J2861" s="191" t="s">
        <v>46</v>
      </c>
      <c r="K2861" s="196"/>
      <c r="L2861" s="196">
        <v>300</v>
      </c>
      <c r="M2861" s="251"/>
      <c r="N2861" s="251"/>
      <c r="O2861" s="251"/>
    </row>
    <row r="2862" spans="1:15" ht="11.25" customHeight="1" x14ac:dyDescent="0.2">
      <c r="A2862" s="197">
        <v>2023</v>
      </c>
      <c r="B2862" s="197">
        <v>12</v>
      </c>
      <c r="C2862" s="197">
        <v>28</v>
      </c>
      <c r="D2862" s="198">
        <f t="shared" si="216"/>
        <v>45288</v>
      </c>
      <c r="E2862" s="290">
        <f t="shared" si="219"/>
        <v>45288</v>
      </c>
      <c r="F2862" s="513" t="s">
        <v>1517</v>
      </c>
      <c r="G2862" s="200" t="s">
        <v>1209</v>
      </c>
      <c r="H2862" s="201"/>
      <c r="I2862" s="201"/>
      <c r="J2862" s="197" t="s">
        <v>54</v>
      </c>
      <c r="K2862" s="202">
        <v>45</v>
      </c>
      <c r="L2862" s="202"/>
      <c r="M2862" s="251"/>
      <c r="N2862" s="251"/>
      <c r="O2862" s="251"/>
    </row>
    <row r="2863" spans="1:15" ht="11.25" customHeight="1" x14ac:dyDescent="0.2">
      <c r="A2863" s="120">
        <v>2023</v>
      </c>
      <c r="B2863" s="120">
        <v>12</v>
      </c>
      <c r="C2863" s="120">
        <v>28</v>
      </c>
      <c r="D2863" s="208">
        <f t="shared" si="216"/>
        <v>45288</v>
      </c>
      <c r="E2863" s="293">
        <f t="shared" si="219"/>
        <v>45288</v>
      </c>
      <c r="F2863" s="514"/>
      <c r="G2863" s="194" t="s">
        <v>1209</v>
      </c>
      <c r="H2863" s="195"/>
      <c r="I2863" s="195"/>
      <c r="J2863" s="191" t="s">
        <v>46</v>
      </c>
      <c r="K2863" s="196"/>
      <c r="L2863" s="196">
        <v>45</v>
      </c>
      <c r="M2863" s="251"/>
      <c r="N2863" s="251"/>
      <c r="O2863" s="251"/>
    </row>
    <row r="2864" spans="1:15" ht="11.25" customHeight="1" x14ac:dyDescent="0.2">
      <c r="A2864" s="197">
        <v>2023</v>
      </c>
      <c r="B2864" s="197">
        <v>12</v>
      </c>
      <c r="C2864" s="197">
        <v>28</v>
      </c>
      <c r="D2864" s="198">
        <f t="shared" si="216"/>
        <v>45288</v>
      </c>
      <c r="E2864" s="290">
        <f>DATE(A2864,B2864,C2864)</f>
        <v>45288</v>
      </c>
      <c r="F2864" s="513" t="s">
        <v>1519</v>
      </c>
      <c r="G2864" s="200" t="s">
        <v>1209</v>
      </c>
      <c r="H2864" s="201"/>
      <c r="I2864" s="201"/>
      <c r="J2864" s="197" t="s">
        <v>54</v>
      </c>
      <c r="K2864" s="202">
        <v>5028.3699999988303</v>
      </c>
      <c r="L2864" s="202"/>
      <c r="M2864" s="251"/>
      <c r="N2864" s="251"/>
      <c r="O2864" s="251"/>
    </row>
    <row r="2865" spans="1:15" ht="11.25" customHeight="1" x14ac:dyDescent="0.2">
      <c r="A2865" s="120">
        <v>2023</v>
      </c>
      <c r="B2865" s="120">
        <v>12</v>
      </c>
      <c r="C2865" s="120">
        <v>28</v>
      </c>
      <c r="D2865" s="208">
        <f t="shared" ref="D2865:D2929" si="220">DATE(A2865,B2865,C2865)</f>
        <v>45288</v>
      </c>
      <c r="E2865" s="293">
        <f>DATE(A2865,B2865,C2865)</f>
        <v>45288</v>
      </c>
      <c r="F2865" s="514"/>
      <c r="G2865" s="194" t="s">
        <v>1209</v>
      </c>
      <c r="H2865" s="195"/>
      <c r="I2865" s="195"/>
      <c r="J2865" s="191" t="s">
        <v>46</v>
      </c>
      <c r="K2865" s="196"/>
      <c r="L2865" s="196">
        <v>5028.3699999988303</v>
      </c>
      <c r="M2865" s="251"/>
      <c r="N2865" s="251"/>
      <c r="O2865" s="251"/>
    </row>
    <row r="2866" spans="1:15" ht="11.25" customHeight="1" x14ac:dyDescent="0.2">
      <c r="A2866" s="197">
        <v>2023</v>
      </c>
      <c r="B2866" s="197">
        <v>12</v>
      </c>
      <c r="C2866" s="197">
        <v>28</v>
      </c>
      <c r="D2866" s="198">
        <f t="shared" si="220"/>
        <v>45288</v>
      </c>
      <c r="E2866" s="199">
        <f t="shared" si="217"/>
        <v>45288</v>
      </c>
      <c r="F2866" s="513" t="s">
        <v>1514</v>
      </c>
      <c r="G2866" s="200" t="s">
        <v>1209</v>
      </c>
      <c r="H2866" s="201"/>
      <c r="I2866" s="201"/>
      <c r="J2866" s="197" t="s">
        <v>54</v>
      </c>
      <c r="K2866" s="202">
        <v>345</v>
      </c>
      <c r="L2866" s="202"/>
    </row>
    <row r="2867" spans="1:15" ht="11.25" customHeight="1" x14ac:dyDescent="0.2">
      <c r="A2867" s="191">
        <v>2023</v>
      </c>
      <c r="B2867" s="191">
        <v>12</v>
      </c>
      <c r="C2867" s="191">
        <v>28</v>
      </c>
      <c r="D2867" s="192">
        <f t="shared" si="220"/>
        <v>45288</v>
      </c>
      <c r="E2867" s="193">
        <f t="shared" si="217"/>
        <v>45288</v>
      </c>
      <c r="F2867" s="514"/>
      <c r="G2867" s="194" t="s">
        <v>1209</v>
      </c>
      <c r="H2867" s="195"/>
      <c r="I2867" s="195"/>
      <c r="J2867" s="191" t="s">
        <v>46</v>
      </c>
      <c r="K2867" s="196"/>
      <c r="L2867" s="196">
        <v>345</v>
      </c>
    </row>
    <row r="2868" spans="1:15" ht="11.25" customHeight="1" x14ac:dyDescent="0.2">
      <c r="A2868" s="197">
        <v>2023</v>
      </c>
      <c r="B2868" s="197">
        <v>12</v>
      </c>
      <c r="C2868" s="197">
        <v>28</v>
      </c>
      <c r="D2868" s="198">
        <f t="shared" si="220"/>
        <v>45288</v>
      </c>
      <c r="E2868" s="290">
        <f>DATE(A2868,B2868,C2868)</f>
        <v>45288</v>
      </c>
      <c r="F2868" s="513" t="s">
        <v>1516</v>
      </c>
      <c r="G2868" s="200" t="s">
        <v>1209</v>
      </c>
      <c r="H2868" s="201"/>
      <c r="I2868" s="201" t="s">
        <v>1253</v>
      </c>
      <c r="J2868" s="197" t="s">
        <v>46</v>
      </c>
      <c r="K2868" s="202">
        <v>88406</v>
      </c>
      <c r="L2868" s="202"/>
      <c r="M2868" s="251"/>
      <c r="N2868" s="251"/>
      <c r="O2868" s="251"/>
    </row>
    <row r="2869" spans="1:15" ht="11.25" customHeight="1" x14ac:dyDescent="0.2">
      <c r="A2869" s="120">
        <v>2023</v>
      </c>
      <c r="B2869" s="120">
        <v>12</v>
      </c>
      <c r="C2869" s="120">
        <v>28</v>
      </c>
      <c r="D2869" s="208">
        <f t="shared" si="220"/>
        <v>45288</v>
      </c>
      <c r="E2869" s="293">
        <f>DATE(A2869,B2869,C2869)</f>
        <v>45288</v>
      </c>
      <c r="F2869" s="515"/>
      <c r="G2869" s="132" t="s">
        <v>1209</v>
      </c>
      <c r="J2869" s="120" t="s">
        <v>53</v>
      </c>
      <c r="K2869" s="207">
        <v>99.77</v>
      </c>
      <c r="L2869" s="207"/>
      <c r="M2869" s="251"/>
      <c r="N2869" s="251"/>
      <c r="O2869" s="251"/>
    </row>
    <row r="2870" spans="1:15" ht="11.25" customHeight="1" x14ac:dyDescent="0.2">
      <c r="A2870" s="191">
        <v>2023</v>
      </c>
      <c r="B2870" s="191">
        <v>12</v>
      </c>
      <c r="C2870" s="191">
        <v>28</v>
      </c>
      <c r="D2870" s="192">
        <f t="shared" si="220"/>
        <v>45288</v>
      </c>
      <c r="E2870" s="291">
        <f>DATE(A2870,B2870,C2870)</f>
        <v>45288</v>
      </c>
      <c r="F2870" s="514"/>
      <c r="G2870" s="194" t="s">
        <v>1209</v>
      </c>
      <c r="H2870" s="195"/>
      <c r="I2870" s="195" t="s">
        <v>1253</v>
      </c>
      <c r="J2870" s="191" t="s">
        <v>58</v>
      </c>
      <c r="K2870" s="196"/>
      <c r="L2870" s="196">
        <v>88505.768476666664</v>
      </c>
    </row>
    <row r="2871" spans="1:15" ht="11.25" customHeight="1" x14ac:dyDescent="0.2">
      <c r="A2871" s="197">
        <v>2023</v>
      </c>
      <c r="B2871" s="197">
        <v>12</v>
      </c>
      <c r="C2871" s="197">
        <v>30</v>
      </c>
      <c r="D2871" s="198">
        <f t="shared" si="220"/>
        <v>45290</v>
      </c>
      <c r="E2871" s="199">
        <f t="shared" ref="E2871:E2879" si="221">DATE(A2871,B2871,C2871)</f>
        <v>45290</v>
      </c>
      <c r="F2871" s="513" t="s">
        <v>1515</v>
      </c>
      <c r="G2871" s="200" t="s">
        <v>1209</v>
      </c>
      <c r="H2871" s="201"/>
      <c r="I2871" s="201"/>
      <c r="J2871" s="197" t="s">
        <v>54</v>
      </c>
      <c r="K2871" s="202">
        <v>50000</v>
      </c>
      <c r="L2871" s="202"/>
    </row>
    <row r="2872" spans="1:15" ht="11.25" customHeight="1" x14ac:dyDescent="0.2">
      <c r="A2872" s="191">
        <v>2023</v>
      </c>
      <c r="B2872" s="191">
        <v>12</v>
      </c>
      <c r="C2872" s="191">
        <v>30</v>
      </c>
      <c r="D2872" s="192">
        <f t="shared" si="220"/>
        <v>45290</v>
      </c>
      <c r="E2872" s="193">
        <f t="shared" si="221"/>
        <v>45290</v>
      </c>
      <c r="F2872" s="514"/>
      <c r="G2872" s="194" t="s">
        <v>1209</v>
      </c>
      <c r="H2872" s="195"/>
      <c r="I2872" s="195"/>
      <c r="J2872" s="191" t="s">
        <v>46</v>
      </c>
      <c r="K2872" s="196"/>
      <c r="L2872" s="196">
        <v>50000</v>
      </c>
    </row>
    <row r="2873" spans="1:15" ht="11.25" customHeight="1" x14ac:dyDescent="0.2">
      <c r="A2873" s="197">
        <v>2023</v>
      </c>
      <c r="B2873" s="197">
        <v>12</v>
      </c>
      <c r="C2873" s="197">
        <v>30</v>
      </c>
      <c r="D2873" s="198">
        <f t="shared" si="220"/>
        <v>45290</v>
      </c>
      <c r="E2873" s="290">
        <f t="shared" si="221"/>
        <v>45290</v>
      </c>
      <c r="F2873" s="513" t="s">
        <v>1516</v>
      </c>
      <c r="G2873" s="200" t="s">
        <v>1209</v>
      </c>
      <c r="H2873" s="201"/>
      <c r="I2873" s="201" t="s">
        <v>1253</v>
      </c>
      <c r="J2873" s="197" t="s">
        <v>46</v>
      </c>
      <c r="K2873" s="202">
        <v>2975</v>
      </c>
      <c r="L2873" s="202"/>
      <c r="M2873" s="251"/>
      <c r="N2873" s="251"/>
      <c r="O2873" s="251"/>
    </row>
    <row r="2874" spans="1:15" ht="11.25" customHeight="1" x14ac:dyDescent="0.2">
      <c r="A2874" s="120">
        <v>2023</v>
      </c>
      <c r="B2874" s="120">
        <v>12</v>
      </c>
      <c r="C2874" s="120">
        <v>30</v>
      </c>
      <c r="D2874" s="208">
        <f t="shared" si="220"/>
        <v>45290</v>
      </c>
      <c r="E2874" s="293">
        <f t="shared" si="221"/>
        <v>45290</v>
      </c>
      <c r="F2874" s="515"/>
      <c r="G2874" s="132" t="s">
        <v>1209</v>
      </c>
      <c r="J2874" s="120" t="s">
        <v>53</v>
      </c>
      <c r="K2874" s="207"/>
      <c r="L2874" s="207">
        <v>2975</v>
      </c>
      <c r="M2874" s="251"/>
      <c r="N2874" s="251"/>
      <c r="O2874" s="251"/>
    </row>
    <row r="2875" spans="1:15" ht="11.25" customHeight="1" x14ac:dyDescent="0.2">
      <c r="A2875" s="197">
        <v>2023</v>
      </c>
      <c r="B2875" s="197">
        <v>12</v>
      </c>
      <c r="C2875" s="197">
        <v>28</v>
      </c>
      <c r="D2875" s="198">
        <f t="shared" si="220"/>
        <v>45288</v>
      </c>
      <c r="E2875" s="199">
        <f t="shared" si="221"/>
        <v>45288</v>
      </c>
      <c r="F2875" s="513" t="s">
        <v>1514</v>
      </c>
      <c r="G2875" s="200" t="s">
        <v>1209</v>
      </c>
      <c r="H2875" s="201"/>
      <c r="I2875" s="201"/>
      <c r="J2875" s="197" t="s">
        <v>54</v>
      </c>
      <c r="K2875" s="202">
        <v>575</v>
      </c>
      <c r="L2875" s="202"/>
    </row>
    <row r="2876" spans="1:15" ht="11.25" customHeight="1" x14ac:dyDescent="0.2">
      <c r="A2876" s="191">
        <v>2023</v>
      </c>
      <c r="B2876" s="191">
        <v>12</v>
      </c>
      <c r="C2876" s="191">
        <v>28</v>
      </c>
      <c r="D2876" s="192">
        <f t="shared" si="220"/>
        <v>45288</v>
      </c>
      <c r="E2876" s="193">
        <f t="shared" si="221"/>
        <v>45288</v>
      </c>
      <c r="F2876" s="514"/>
      <c r="G2876" s="194" t="s">
        <v>1209</v>
      </c>
      <c r="H2876" s="195"/>
      <c r="I2876" s="195"/>
      <c r="J2876" s="191" t="s">
        <v>46</v>
      </c>
      <c r="K2876" s="196"/>
      <c r="L2876" s="196">
        <v>575</v>
      </c>
    </row>
    <row r="2877" spans="1:15" ht="11.25" customHeight="1" x14ac:dyDescent="0.2">
      <c r="A2877" s="197">
        <v>2023</v>
      </c>
      <c r="B2877" s="197">
        <v>12</v>
      </c>
      <c r="C2877" s="197">
        <v>28</v>
      </c>
      <c r="D2877" s="198">
        <f t="shared" si="220"/>
        <v>45288</v>
      </c>
      <c r="E2877" s="290">
        <f t="shared" si="221"/>
        <v>45288</v>
      </c>
      <c r="F2877" s="513" t="s">
        <v>1516</v>
      </c>
      <c r="G2877" s="200" t="s">
        <v>1209</v>
      </c>
      <c r="H2877" s="201"/>
      <c r="I2877" s="201" t="s">
        <v>1253</v>
      </c>
      <c r="J2877" s="197" t="s">
        <v>46</v>
      </c>
      <c r="K2877" s="202">
        <v>92269</v>
      </c>
      <c r="L2877" s="202"/>
      <c r="M2877" s="251"/>
      <c r="N2877" s="251"/>
      <c r="O2877" s="251"/>
    </row>
    <row r="2878" spans="1:15" ht="11.25" customHeight="1" x14ac:dyDescent="0.2">
      <c r="A2878" s="120">
        <v>2023</v>
      </c>
      <c r="B2878" s="120">
        <v>12</v>
      </c>
      <c r="C2878" s="120">
        <v>28</v>
      </c>
      <c r="D2878" s="208">
        <f t="shared" si="220"/>
        <v>45288</v>
      </c>
      <c r="E2878" s="293">
        <f t="shared" si="221"/>
        <v>45288</v>
      </c>
      <c r="F2878" s="515"/>
      <c r="G2878" s="132" t="s">
        <v>1209</v>
      </c>
      <c r="J2878" s="120" t="s">
        <v>53</v>
      </c>
      <c r="K2878" s="207">
        <v>19.54</v>
      </c>
      <c r="L2878" s="207"/>
      <c r="M2878" s="251"/>
      <c r="N2878" s="251"/>
      <c r="O2878" s="251"/>
    </row>
    <row r="2879" spans="1:15" ht="11.25" customHeight="1" x14ac:dyDescent="0.2">
      <c r="A2879" s="191">
        <v>2023</v>
      </c>
      <c r="B2879" s="191">
        <v>12</v>
      </c>
      <c r="C2879" s="191">
        <v>28</v>
      </c>
      <c r="D2879" s="192">
        <f t="shared" si="220"/>
        <v>45288</v>
      </c>
      <c r="E2879" s="291">
        <f t="shared" si="221"/>
        <v>45288</v>
      </c>
      <c r="F2879" s="514"/>
      <c r="G2879" s="194" t="s">
        <v>1209</v>
      </c>
      <c r="H2879" s="195"/>
      <c r="I2879" s="195" t="s">
        <v>1253</v>
      </c>
      <c r="J2879" s="191" t="s">
        <v>58</v>
      </c>
      <c r="K2879" s="196"/>
      <c r="L2879" s="196">
        <v>92288.544647666757</v>
      </c>
    </row>
    <row r="2880" spans="1:15" ht="11.25" customHeight="1" x14ac:dyDescent="0.2">
      <c r="A2880" s="197">
        <v>2023</v>
      </c>
      <c r="B2880" s="197">
        <v>12</v>
      </c>
      <c r="C2880" s="197">
        <v>30</v>
      </c>
      <c r="D2880" s="198">
        <f t="shared" si="220"/>
        <v>45290</v>
      </c>
      <c r="E2880" s="199">
        <f>DATE(A2880,B2880,C2880)</f>
        <v>45290</v>
      </c>
      <c r="F2880" s="513" t="s">
        <v>1515</v>
      </c>
      <c r="G2880" s="200" t="s">
        <v>1209</v>
      </c>
      <c r="H2880" s="201"/>
      <c r="I2880" s="201"/>
      <c r="J2880" s="197" t="s">
        <v>54</v>
      </c>
      <c r="K2880" s="202">
        <v>50000</v>
      </c>
      <c r="L2880" s="202"/>
    </row>
    <row r="2881" spans="1:15" ht="11.25" customHeight="1" x14ac:dyDescent="0.2">
      <c r="A2881" s="191">
        <v>2023</v>
      </c>
      <c r="B2881" s="191">
        <v>12</v>
      </c>
      <c r="C2881" s="191">
        <v>30</v>
      </c>
      <c r="D2881" s="192">
        <f t="shared" si="220"/>
        <v>45290</v>
      </c>
      <c r="E2881" s="193">
        <f>DATE(A2881,B2881,C2881)</f>
        <v>45290</v>
      </c>
      <c r="F2881" s="514"/>
      <c r="G2881" s="194" t="s">
        <v>1209</v>
      </c>
      <c r="H2881" s="195"/>
      <c r="I2881" s="195"/>
      <c r="J2881" s="191" t="s">
        <v>46</v>
      </c>
      <c r="K2881" s="196"/>
      <c r="L2881" s="196">
        <v>50000</v>
      </c>
    </row>
    <row r="2882" spans="1:15" ht="11.25" customHeight="1" x14ac:dyDescent="0.2">
      <c r="A2882" s="197">
        <v>2023</v>
      </c>
      <c r="B2882" s="197">
        <v>12</v>
      </c>
      <c r="C2882" s="197">
        <v>30</v>
      </c>
      <c r="D2882" s="198">
        <f t="shared" si="220"/>
        <v>45290</v>
      </c>
      <c r="E2882" s="290">
        <f>DATE(A2882,B2882,C2882)</f>
        <v>45290</v>
      </c>
      <c r="F2882" s="513" t="s">
        <v>1516</v>
      </c>
      <c r="G2882" s="200" t="s">
        <v>1209</v>
      </c>
      <c r="H2882" s="201"/>
      <c r="I2882" s="201" t="s">
        <v>1253</v>
      </c>
      <c r="J2882" s="197" t="s">
        <v>46</v>
      </c>
      <c r="K2882" s="202">
        <v>3292</v>
      </c>
      <c r="L2882" s="202"/>
      <c r="M2882" s="251"/>
      <c r="N2882" s="251"/>
      <c r="O2882" s="251"/>
    </row>
    <row r="2883" spans="1:15" ht="11.25" customHeight="1" x14ac:dyDescent="0.2">
      <c r="A2883" s="120">
        <v>2023</v>
      </c>
      <c r="B2883" s="120">
        <v>12</v>
      </c>
      <c r="C2883" s="120">
        <v>30</v>
      </c>
      <c r="D2883" s="208">
        <f t="shared" si="220"/>
        <v>45290</v>
      </c>
      <c r="E2883" s="293">
        <f>DATE(A2883,B2883,C2883)</f>
        <v>45290</v>
      </c>
      <c r="F2883" s="515"/>
      <c r="G2883" s="132" t="s">
        <v>1209</v>
      </c>
      <c r="J2883" s="120" t="s">
        <v>53</v>
      </c>
      <c r="K2883" s="207"/>
      <c r="L2883" s="207">
        <v>3292</v>
      </c>
      <c r="M2883" s="251"/>
      <c r="N2883" s="251"/>
      <c r="O2883" s="251"/>
    </row>
    <row r="2884" spans="1:15" ht="11.25" customHeight="1" x14ac:dyDescent="0.2">
      <c r="A2884" s="197">
        <v>2023</v>
      </c>
      <c r="B2884" s="197">
        <v>12</v>
      </c>
      <c r="C2884" s="197">
        <v>31</v>
      </c>
      <c r="D2884" s="198">
        <f t="shared" si="220"/>
        <v>45291</v>
      </c>
      <c r="E2884" s="290">
        <f t="shared" si="217"/>
        <v>45291</v>
      </c>
      <c r="F2884" s="513" t="s">
        <v>1513</v>
      </c>
      <c r="G2884" s="200" t="s">
        <v>1209</v>
      </c>
      <c r="H2884" s="201"/>
      <c r="I2884" s="201" t="s">
        <v>1253</v>
      </c>
      <c r="J2884" s="197" t="s">
        <v>46</v>
      </c>
      <c r="K2884" s="202">
        <v>8726.74</v>
      </c>
      <c r="L2884" s="202"/>
      <c r="M2884" s="251"/>
      <c r="N2884" s="251"/>
      <c r="O2884" s="251"/>
    </row>
    <row r="2885" spans="1:15" ht="11.25" customHeight="1" x14ac:dyDescent="0.2">
      <c r="A2885" s="120">
        <v>2023</v>
      </c>
      <c r="B2885" s="120">
        <v>12</v>
      </c>
      <c r="C2885" s="120">
        <v>31</v>
      </c>
      <c r="D2885" s="208">
        <f t="shared" si="220"/>
        <v>45291</v>
      </c>
      <c r="E2885" s="293">
        <f>DATE(A2885,B2885,C2885)</f>
        <v>45291</v>
      </c>
      <c r="F2885" s="515"/>
      <c r="G2885" s="132" t="s">
        <v>1209</v>
      </c>
      <c r="J2885" s="120" t="s">
        <v>53</v>
      </c>
      <c r="K2885" s="207"/>
      <c r="L2885" s="207">
        <v>34.159999999999997</v>
      </c>
      <c r="M2885" s="251"/>
      <c r="N2885" s="251"/>
      <c r="O2885" s="251"/>
    </row>
    <row r="2886" spans="1:15" ht="11.25" customHeight="1" x14ac:dyDescent="0.2">
      <c r="A2886" s="191">
        <v>2023</v>
      </c>
      <c r="B2886" s="191">
        <v>12</v>
      </c>
      <c r="C2886" s="191">
        <v>31</v>
      </c>
      <c r="D2886" s="192">
        <f t="shared" si="220"/>
        <v>45291</v>
      </c>
      <c r="E2886" s="291">
        <f t="shared" si="217"/>
        <v>45291</v>
      </c>
      <c r="F2886" s="514"/>
      <c r="G2886" s="194" t="s">
        <v>1209</v>
      </c>
      <c r="H2886" s="195"/>
      <c r="I2886" s="195" t="s">
        <v>1253</v>
      </c>
      <c r="J2886" s="191" t="s">
        <v>58</v>
      </c>
      <c r="K2886" s="196"/>
      <c r="L2886" s="196">
        <v>8692.58</v>
      </c>
    </row>
    <row r="2887" spans="1:15" ht="11.25" customHeight="1" x14ac:dyDescent="0.2">
      <c r="A2887" s="197">
        <v>2023</v>
      </c>
      <c r="B2887" s="197">
        <v>12</v>
      </c>
      <c r="C2887" s="197">
        <v>28</v>
      </c>
      <c r="D2887" s="198">
        <f t="shared" si="220"/>
        <v>45288</v>
      </c>
      <c r="E2887" s="290">
        <f>DATE(A2887,B2887,C2887)</f>
        <v>45288</v>
      </c>
      <c r="F2887" s="513" t="s">
        <v>1523</v>
      </c>
      <c r="G2887" s="200" t="s">
        <v>1209</v>
      </c>
      <c r="H2887" s="201"/>
      <c r="I2887" s="201" t="s">
        <v>1253</v>
      </c>
      <c r="J2887" s="197" t="s">
        <v>46</v>
      </c>
      <c r="K2887" s="202">
        <v>32.090000000000003</v>
      </c>
      <c r="L2887" s="202"/>
      <c r="M2887" s="251"/>
      <c r="N2887" s="251"/>
      <c r="O2887" s="251"/>
    </row>
    <row r="2888" spans="1:15" ht="11.25" customHeight="1" x14ac:dyDescent="0.2">
      <c r="A2888" s="120">
        <v>2023</v>
      </c>
      <c r="B2888" s="120">
        <v>12</v>
      </c>
      <c r="C2888" s="120">
        <v>28</v>
      </c>
      <c r="D2888" s="208">
        <f t="shared" si="220"/>
        <v>45288</v>
      </c>
      <c r="E2888" s="293">
        <f>DATE(A2888,B2888,C2888)</f>
        <v>45288</v>
      </c>
      <c r="F2888" s="515"/>
      <c r="G2888" s="132" t="s">
        <v>1209</v>
      </c>
      <c r="J2888" s="120" t="s">
        <v>53</v>
      </c>
      <c r="K2888" s="207"/>
      <c r="L2888" s="207">
        <v>32.090000000000003</v>
      </c>
      <c r="M2888" s="251"/>
      <c r="N2888" s="251"/>
      <c r="O2888" s="251"/>
    </row>
    <row r="2889" spans="1:15" ht="11.25" customHeight="1" x14ac:dyDescent="0.2">
      <c r="A2889" s="197">
        <v>2023</v>
      </c>
      <c r="B2889" s="197">
        <v>12</v>
      </c>
      <c r="C2889" s="197">
        <v>28</v>
      </c>
      <c r="D2889" s="198">
        <f t="shared" si="220"/>
        <v>45288</v>
      </c>
      <c r="E2889" s="199">
        <f>DATE(A2889,B2889,C2889)</f>
        <v>45288</v>
      </c>
      <c r="F2889" s="513" t="s">
        <v>1524</v>
      </c>
      <c r="G2889" s="200" t="s">
        <v>1209</v>
      </c>
      <c r="H2889" s="201"/>
      <c r="I2889" s="201"/>
      <c r="J2889" s="197" t="s">
        <v>54</v>
      </c>
      <c r="K2889" s="202">
        <v>4.8099999999999996</v>
      </c>
      <c r="L2889" s="202"/>
    </row>
    <row r="2890" spans="1:15" ht="11.25" customHeight="1" x14ac:dyDescent="0.2">
      <c r="A2890" s="191">
        <v>2023</v>
      </c>
      <c r="B2890" s="191">
        <v>12</v>
      </c>
      <c r="C2890" s="191">
        <v>28</v>
      </c>
      <c r="D2890" s="192">
        <f t="shared" si="220"/>
        <v>45288</v>
      </c>
      <c r="E2890" s="193">
        <f>DATE(A2890,B2890,C2890)</f>
        <v>45288</v>
      </c>
      <c r="F2890" s="514"/>
      <c r="G2890" s="194" t="s">
        <v>1209</v>
      </c>
      <c r="H2890" s="195"/>
      <c r="I2890" s="195"/>
      <c r="J2890" s="191" t="s">
        <v>46</v>
      </c>
      <c r="K2890" s="196"/>
      <c r="L2890" s="196">
        <v>4.8099999999999996</v>
      </c>
    </row>
    <row r="2891" spans="1:15" ht="11.25" customHeight="1" x14ac:dyDescent="0.2">
      <c r="A2891" s="210">
        <v>2023</v>
      </c>
      <c r="B2891" s="210">
        <v>12</v>
      </c>
      <c r="C2891" s="210">
        <v>31</v>
      </c>
      <c r="D2891" s="211">
        <f t="shared" si="220"/>
        <v>45291</v>
      </c>
      <c r="E2891" s="238">
        <f t="shared" ref="E2891:E2914" si="222">DATE(A2891,B2891,C2891)</f>
        <v>45291</v>
      </c>
      <c r="F2891" s="520" t="s">
        <v>1256</v>
      </c>
      <c r="G2891" s="213" t="s">
        <v>1245</v>
      </c>
      <c r="H2891" s="214"/>
      <c r="I2891" s="214" t="s">
        <v>1253</v>
      </c>
      <c r="J2891" s="210" t="s">
        <v>113</v>
      </c>
      <c r="K2891" s="215">
        <v>28686.126373626375</v>
      </c>
      <c r="L2891" s="215"/>
      <c r="N2891" s="130"/>
    </row>
    <row r="2892" spans="1:15" ht="11.25" customHeight="1" x14ac:dyDescent="0.2">
      <c r="A2892" s="216">
        <v>2023</v>
      </c>
      <c r="B2892" s="216">
        <v>12</v>
      </c>
      <c r="C2892" s="216">
        <v>31</v>
      </c>
      <c r="D2892" s="217">
        <f t="shared" si="220"/>
        <v>45291</v>
      </c>
      <c r="E2892" s="239">
        <f t="shared" si="222"/>
        <v>45291</v>
      </c>
      <c r="F2892" s="521"/>
      <c r="G2892" s="219" t="s">
        <v>1245</v>
      </c>
      <c r="H2892" s="220"/>
      <c r="I2892" s="220" t="s">
        <v>1253</v>
      </c>
      <c r="J2892" s="216" t="s">
        <v>153</v>
      </c>
      <c r="K2892" s="221"/>
      <c r="L2892" s="221">
        <v>28686.126373626375</v>
      </c>
      <c r="N2892" s="130"/>
    </row>
    <row r="2893" spans="1:15" ht="11.25" customHeight="1" x14ac:dyDescent="0.2">
      <c r="A2893" s="312">
        <v>2023</v>
      </c>
      <c r="B2893" s="312">
        <v>12</v>
      </c>
      <c r="C2893" s="312">
        <v>31</v>
      </c>
      <c r="D2893" s="313">
        <f t="shared" si="220"/>
        <v>45291</v>
      </c>
      <c r="E2893" s="314">
        <f t="shared" si="222"/>
        <v>45291</v>
      </c>
      <c r="F2893" s="522" t="s">
        <v>1477</v>
      </c>
      <c r="G2893" s="315" t="s">
        <v>1245</v>
      </c>
      <c r="H2893" s="316"/>
      <c r="I2893" s="316" t="s">
        <v>1253</v>
      </c>
      <c r="J2893" s="312" t="s">
        <v>1460</v>
      </c>
      <c r="K2893" s="317">
        <v>129082.29999998212</v>
      </c>
      <c r="L2893" s="317"/>
    </row>
    <row r="2894" spans="1:15" ht="11.25" customHeight="1" x14ac:dyDescent="0.2">
      <c r="A2894" s="318">
        <v>2023</v>
      </c>
      <c r="B2894" s="318">
        <v>12</v>
      </c>
      <c r="C2894" s="318">
        <v>31</v>
      </c>
      <c r="D2894" s="319">
        <f t="shared" si="220"/>
        <v>45291</v>
      </c>
      <c r="E2894" s="320">
        <f t="shared" si="222"/>
        <v>45291</v>
      </c>
      <c r="F2894" s="523"/>
      <c r="G2894" s="321" t="s">
        <v>1245</v>
      </c>
      <c r="H2894" s="322"/>
      <c r="I2894" s="322" t="s">
        <v>1253</v>
      </c>
      <c r="J2894" s="318" t="s">
        <v>1458</v>
      </c>
      <c r="K2894" s="323"/>
      <c r="L2894" s="323">
        <v>129082.29999998212</v>
      </c>
    </row>
    <row r="2895" spans="1:15" ht="11.25" customHeight="1" x14ac:dyDescent="0.2">
      <c r="A2895" s="222">
        <v>2023</v>
      </c>
      <c r="B2895" s="222">
        <v>12</v>
      </c>
      <c r="C2895" s="222">
        <v>31</v>
      </c>
      <c r="D2895" s="223">
        <f t="shared" si="220"/>
        <v>45291</v>
      </c>
      <c r="E2895" s="240">
        <f t="shared" si="222"/>
        <v>45291</v>
      </c>
      <c r="F2895" s="511" t="s">
        <v>1244</v>
      </c>
      <c r="G2895" s="225" t="s">
        <v>1245</v>
      </c>
      <c r="H2895" s="226"/>
      <c r="I2895" s="226" t="s">
        <v>1253</v>
      </c>
      <c r="J2895" s="222" t="s">
        <v>87</v>
      </c>
      <c r="K2895" s="227"/>
      <c r="L2895" s="227"/>
    </row>
    <row r="2896" spans="1:15" ht="11.25" customHeight="1" x14ac:dyDescent="0.2">
      <c r="A2896" s="228">
        <v>2023</v>
      </c>
      <c r="B2896" s="228">
        <v>12</v>
      </c>
      <c r="C2896" s="228">
        <v>31</v>
      </c>
      <c r="D2896" s="229">
        <f t="shared" si="220"/>
        <v>45291</v>
      </c>
      <c r="E2896" s="241">
        <f t="shared" si="222"/>
        <v>45291</v>
      </c>
      <c r="F2896" s="512"/>
      <c r="G2896" s="231" t="s">
        <v>1245</v>
      </c>
      <c r="H2896" s="232"/>
      <c r="I2896" s="232" t="s">
        <v>1253</v>
      </c>
      <c r="J2896" s="228" t="s">
        <v>72</v>
      </c>
      <c r="K2896" s="233"/>
      <c r="L2896" s="233"/>
    </row>
    <row r="2897" spans="1:15" ht="11.25" customHeight="1" x14ac:dyDescent="0.2">
      <c r="A2897" s="222">
        <v>2023</v>
      </c>
      <c r="B2897" s="222">
        <v>12</v>
      </c>
      <c r="C2897" s="222">
        <v>31</v>
      </c>
      <c r="D2897" s="223">
        <f t="shared" si="220"/>
        <v>45291</v>
      </c>
      <c r="E2897" s="240">
        <f t="shared" si="222"/>
        <v>45291</v>
      </c>
      <c r="F2897" s="511" t="s">
        <v>1246</v>
      </c>
      <c r="G2897" s="225" t="s">
        <v>1245</v>
      </c>
      <c r="H2897" s="226"/>
      <c r="I2897" s="226" t="s">
        <v>1253</v>
      </c>
      <c r="J2897" s="222" t="s">
        <v>75</v>
      </c>
      <c r="K2897" s="227">
        <v>1552.7673626373626</v>
      </c>
      <c r="L2897" s="227"/>
    </row>
    <row r="2898" spans="1:15" ht="11.25" customHeight="1" x14ac:dyDescent="0.2">
      <c r="A2898" s="228">
        <v>2023</v>
      </c>
      <c r="B2898" s="228">
        <v>12</v>
      </c>
      <c r="C2898" s="228">
        <v>31</v>
      </c>
      <c r="D2898" s="229">
        <f t="shared" si="220"/>
        <v>45291</v>
      </c>
      <c r="E2898" s="241">
        <f t="shared" si="222"/>
        <v>45291</v>
      </c>
      <c r="F2898" s="512"/>
      <c r="G2898" s="231" t="s">
        <v>1245</v>
      </c>
      <c r="H2898" s="232"/>
      <c r="I2898" s="232" t="s">
        <v>1253</v>
      </c>
      <c r="J2898" s="228" t="s">
        <v>55</v>
      </c>
      <c r="K2898" s="233"/>
      <c r="L2898" s="233">
        <v>1552.7673626373626</v>
      </c>
    </row>
    <row r="2899" spans="1:15" ht="11.25" customHeight="1" x14ac:dyDescent="0.2">
      <c r="A2899" s="222">
        <v>2023</v>
      </c>
      <c r="B2899" s="222">
        <v>12</v>
      </c>
      <c r="C2899" s="222">
        <v>31</v>
      </c>
      <c r="D2899" s="223">
        <f t="shared" si="220"/>
        <v>45291</v>
      </c>
      <c r="E2899" s="240">
        <f t="shared" si="222"/>
        <v>45291</v>
      </c>
      <c r="F2899" s="511" t="s">
        <v>1247</v>
      </c>
      <c r="G2899" s="225" t="s">
        <v>1245</v>
      </c>
      <c r="H2899" s="226"/>
      <c r="I2899" s="226" t="s">
        <v>1253</v>
      </c>
      <c r="J2899" s="222" t="s">
        <v>77</v>
      </c>
      <c r="K2899" s="227">
        <v>11626.65775324998</v>
      </c>
      <c r="L2899" s="227"/>
      <c r="M2899" s="120">
        <v>27198.744300309048</v>
      </c>
    </row>
    <row r="2900" spans="1:15" ht="11.25" customHeight="1" x14ac:dyDescent="0.2">
      <c r="A2900" s="228">
        <v>2023</v>
      </c>
      <c r="B2900" s="228">
        <v>12</v>
      </c>
      <c r="C2900" s="228">
        <v>31</v>
      </c>
      <c r="D2900" s="229">
        <f t="shared" si="220"/>
        <v>45291</v>
      </c>
      <c r="E2900" s="241">
        <f t="shared" si="222"/>
        <v>45291</v>
      </c>
      <c r="F2900" s="512"/>
      <c r="G2900" s="231" t="s">
        <v>1245</v>
      </c>
      <c r="H2900" s="232"/>
      <c r="I2900" s="232" t="s">
        <v>1253</v>
      </c>
      <c r="J2900" s="228" t="s">
        <v>41</v>
      </c>
      <c r="K2900" s="233"/>
      <c r="L2900" s="233">
        <v>11626.65775324998</v>
      </c>
      <c r="M2900" s="130">
        <f>M2899-K2899</f>
        <v>15572.086547059069</v>
      </c>
    </row>
    <row r="2901" spans="1:15" ht="11.25" customHeight="1" x14ac:dyDescent="0.2">
      <c r="A2901" s="222">
        <v>2023</v>
      </c>
      <c r="B2901" s="222">
        <v>12</v>
      </c>
      <c r="C2901" s="222">
        <v>31</v>
      </c>
      <c r="D2901" s="223">
        <f t="shared" si="220"/>
        <v>45291</v>
      </c>
      <c r="E2901" s="240">
        <f t="shared" si="222"/>
        <v>45291</v>
      </c>
      <c r="F2901" s="511" t="s">
        <v>1248</v>
      </c>
      <c r="G2901" s="225" t="s">
        <v>1245</v>
      </c>
      <c r="H2901" s="226"/>
      <c r="I2901" s="226" t="s">
        <v>1253</v>
      </c>
      <c r="J2901" s="222" t="s">
        <v>80</v>
      </c>
      <c r="K2901" s="227">
        <v>1162.6657753249979</v>
      </c>
      <c r="L2901" s="227"/>
    </row>
    <row r="2902" spans="1:15" ht="11.25" customHeight="1" x14ac:dyDescent="0.2">
      <c r="A2902" s="228">
        <v>2023</v>
      </c>
      <c r="B2902" s="228">
        <v>12</v>
      </c>
      <c r="C2902" s="228">
        <v>31</v>
      </c>
      <c r="D2902" s="229">
        <f t="shared" si="220"/>
        <v>45291</v>
      </c>
      <c r="E2902" s="241">
        <f t="shared" si="222"/>
        <v>45291</v>
      </c>
      <c r="F2902" s="512"/>
      <c r="G2902" s="231" t="s">
        <v>1245</v>
      </c>
      <c r="H2902" s="232"/>
      <c r="I2902" s="232" t="s">
        <v>1253</v>
      </c>
      <c r="J2902" s="228" t="s">
        <v>42</v>
      </c>
      <c r="K2902" s="233"/>
      <c r="L2902" s="233">
        <v>1162.6657753249979</v>
      </c>
    </row>
    <row r="2903" spans="1:15" ht="11.25" customHeight="1" x14ac:dyDescent="0.2">
      <c r="A2903" s="197">
        <v>2024</v>
      </c>
      <c r="B2903" s="197">
        <v>1</v>
      </c>
      <c r="C2903" s="197">
        <v>1</v>
      </c>
      <c r="D2903" s="198">
        <f t="shared" si="220"/>
        <v>45292</v>
      </c>
      <c r="E2903" s="209">
        <f t="shared" si="222"/>
        <v>45292</v>
      </c>
      <c r="F2903" s="513" t="s">
        <v>1280</v>
      </c>
      <c r="G2903" s="200" t="s">
        <v>1209</v>
      </c>
      <c r="H2903" s="201"/>
      <c r="I2903" s="201" t="s">
        <v>1351</v>
      </c>
      <c r="J2903" s="197" t="s">
        <v>16</v>
      </c>
      <c r="K2903" s="202">
        <v>243800</v>
      </c>
      <c r="L2903" s="202"/>
    </row>
    <row r="2904" spans="1:15" ht="11.25" customHeight="1" x14ac:dyDescent="0.2">
      <c r="A2904" s="120">
        <v>2024</v>
      </c>
      <c r="B2904" s="120">
        <v>1</v>
      </c>
      <c r="C2904" s="120">
        <v>1</v>
      </c>
      <c r="D2904" s="208">
        <f t="shared" si="220"/>
        <v>45292</v>
      </c>
      <c r="E2904" s="209">
        <f t="shared" si="222"/>
        <v>45292</v>
      </c>
      <c r="F2904" s="515"/>
      <c r="G2904" s="132" t="s">
        <v>1209</v>
      </c>
      <c r="I2904" s="128" t="s">
        <v>1351</v>
      </c>
      <c r="J2904" s="120" t="s">
        <v>47</v>
      </c>
      <c r="K2904" s="207">
        <v>16090.8</v>
      </c>
      <c r="L2904" s="207"/>
    </row>
    <row r="2905" spans="1:15" ht="11.25" customHeight="1" x14ac:dyDescent="0.2">
      <c r="A2905" s="191">
        <v>2024</v>
      </c>
      <c r="B2905" s="191">
        <v>1</v>
      </c>
      <c r="C2905" s="191">
        <v>1</v>
      </c>
      <c r="D2905" s="192">
        <f t="shared" si="220"/>
        <v>45292</v>
      </c>
      <c r="E2905" s="193">
        <f t="shared" si="222"/>
        <v>45292</v>
      </c>
      <c r="F2905" s="514"/>
      <c r="G2905" s="194" t="s">
        <v>1209</v>
      </c>
      <c r="H2905" s="195"/>
      <c r="I2905" s="195" t="s">
        <v>1351</v>
      </c>
      <c r="J2905" s="191" t="s">
        <v>46</v>
      </c>
      <c r="K2905" s="196"/>
      <c r="L2905" s="196">
        <v>259890.8</v>
      </c>
    </row>
    <row r="2906" spans="1:15" ht="11.25" customHeight="1" x14ac:dyDescent="0.2">
      <c r="A2906" s="197">
        <v>2024</v>
      </c>
      <c r="B2906" s="197">
        <v>1</v>
      </c>
      <c r="C2906" s="197">
        <v>1</v>
      </c>
      <c r="D2906" s="198">
        <f t="shared" si="220"/>
        <v>45292</v>
      </c>
      <c r="E2906" s="290">
        <f t="shared" si="222"/>
        <v>45292</v>
      </c>
      <c r="F2906" s="513" t="s">
        <v>1527</v>
      </c>
      <c r="G2906" s="200" t="s">
        <v>1209</v>
      </c>
      <c r="H2906" s="201"/>
      <c r="I2906" s="201"/>
      <c r="J2906" s="197" t="s">
        <v>54</v>
      </c>
      <c r="K2906" s="202">
        <v>345</v>
      </c>
      <c r="L2906" s="202"/>
      <c r="M2906" s="251"/>
      <c r="N2906" s="251"/>
      <c r="O2906" s="251"/>
    </row>
    <row r="2907" spans="1:15" ht="11.25" customHeight="1" x14ac:dyDescent="0.2">
      <c r="A2907" s="120">
        <v>2024</v>
      </c>
      <c r="B2907" s="120">
        <v>1</v>
      </c>
      <c r="C2907" s="120">
        <v>1</v>
      </c>
      <c r="D2907" s="208">
        <f t="shared" si="220"/>
        <v>45292</v>
      </c>
      <c r="E2907" s="293">
        <f t="shared" si="222"/>
        <v>45292</v>
      </c>
      <c r="F2907" s="514"/>
      <c r="G2907" s="194" t="s">
        <v>1209</v>
      </c>
      <c r="H2907" s="195"/>
      <c r="I2907" s="195"/>
      <c r="J2907" s="191" t="s">
        <v>46</v>
      </c>
      <c r="K2907" s="196"/>
      <c r="L2907" s="196">
        <v>345</v>
      </c>
      <c r="M2907" s="251"/>
      <c r="N2907" s="251"/>
      <c r="O2907" s="251"/>
    </row>
    <row r="2908" spans="1:15" ht="11.25" customHeight="1" x14ac:dyDescent="0.2">
      <c r="A2908" s="197">
        <v>2024</v>
      </c>
      <c r="B2908" s="197">
        <v>1</v>
      </c>
      <c r="C2908" s="197">
        <v>2</v>
      </c>
      <c r="D2908" s="198">
        <f t="shared" si="220"/>
        <v>45293</v>
      </c>
      <c r="E2908" s="290">
        <f t="shared" si="222"/>
        <v>45293</v>
      </c>
      <c r="F2908" s="513" t="s">
        <v>1528</v>
      </c>
      <c r="G2908" s="200" t="s">
        <v>1209</v>
      </c>
      <c r="H2908" s="201"/>
      <c r="I2908" s="201"/>
      <c r="J2908" s="197" t="s">
        <v>54</v>
      </c>
      <c r="K2908" s="202">
        <v>15000</v>
      </c>
      <c r="L2908" s="202"/>
      <c r="M2908" s="251"/>
      <c r="N2908" s="251"/>
      <c r="O2908" s="251"/>
    </row>
    <row r="2909" spans="1:15" ht="11.25" customHeight="1" x14ac:dyDescent="0.2">
      <c r="A2909" s="120">
        <v>2024</v>
      </c>
      <c r="B2909" s="120">
        <v>1</v>
      </c>
      <c r="C2909" s="120">
        <v>2</v>
      </c>
      <c r="D2909" s="208">
        <f t="shared" si="220"/>
        <v>45293</v>
      </c>
      <c r="E2909" s="293">
        <f t="shared" si="222"/>
        <v>45293</v>
      </c>
      <c r="F2909" s="514"/>
      <c r="G2909" s="194" t="s">
        <v>1209</v>
      </c>
      <c r="H2909" s="195"/>
      <c r="I2909" s="195"/>
      <c r="J2909" s="191" t="s">
        <v>46</v>
      </c>
      <c r="K2909" s="196"/>
      <c r="L2909" s="196">
        <v>15000</v>
      </c>
      <c r="M2909" s="251"/>
      <c r="N2909" s="251"/>
      <c r="O2909" s="251"/>
    </row>
    <row r="2910" spans="1:15" ht="11.25" customHeight="1" x14ac:dyDescent="0.2">
      <c r="A2910" s="197">
        <v>2024</v>
      </c>
      <c r="B2910" s="197">
        <v>1</v>
      </c>
      <c r="C2910" s="197">
        <v>3</v>
      </c>
      <c r="D2910" s="198">
        <f t="shared" si="220"/>
        <v>45294</v>
      </c>
      <c r="E2910" s="290">
        <f t="shared" si="222"/>
        <v>45294</v>
      </c>
      <c r="F2910" s="513" t="s">
        <v>1526</v>
      </c>
      <c r="G2910" s="200" t="s">
        <v>1209</v>
      </c>
      <c r="H2910" s="201"/>
      <c r="I2910" s="201" t="s">
        <v>1253</v>
      </c>
      <c r="J2910" s="197" t="s">
        <v>46</v>
      </c>
      <c r="K2910" s="202">
        <v>196558.8</v>
      </c>
      <c r="L2910" s="202"/>
    </row>
    <row r="2911" spans="1:15" ht="11.25" customHeight="1" x14ac:dyDescent="0.2">
      <c r="A2911" s="191">
        <v>2024</v>
      </c>
      <c r="B2911" s="191">
        <v>1</v>
      </c>
      <c r="C2911" s="191">
        <v>3</v>
      </c>
      <c r="D2911" s="192">
        <f t="shared" si="220"/>
        <v>45294</v>
      </c>
      <c r="E2911" s="291">
        <f t="shared" si="222"/>
        <v>45294</v>
      </c>
      <c r="F2911" s="514"/>
      <c r="G2911" s="194" t="s">
        <v>1209</v>
      </c>
      <c r="H2911" s="195"/>
      <c r="I2911" s="195" t="s">
        <v>1253</v>
      </c>
      <c r="J2911" s="191" t="s">
        <v>1530</v>
      </c>
      <c r="K2911" s="196"/>
      <c r="L2911" s="196">
        <v>196558.8</v>
      </c>
    </row>
    <row r="2912" spans="1:15" ht="11.25" customHeight="1" x14ac:dyDescent="0.2">
      <c r="A2912" s="197">
        <v>2024</v>
      </c>
      <c r="B2912" s="197">
        <v>1</v>
      </c>
      <c r="C2912" s="197">
        <v>3</v>
      </c>
      <c r="D2912" s="198">
        <f t="shared" si="220"/>
        <v>45294</v>
      </c>
      <c r="E2912" s="209">
        <f t="shared" si="222"/>
        <v>45294</v>
      </c>
      <c r="F2912" s="513" t="s">
        <v>1210</v>
      </c>
      <c r="G2912" s="200" t="s">
        <v>1209</v>
      </c>
      <c r="H2912" s="201"/>
      <c r="I2912" s="201" t="s">
        <v>422</v>
      </c>
      <c r="J2912" s="197" t="s">
        <v>46</v>
      </c>
      <c r="K2912" s="202">
        <v>1000000</v>
      </c>
      <c r="L2912" s="202"/>
    </row>
    <row r="2913" spans="1:15" ht="11.25" customHeight="1" x14ac:dyDescent="0.2">
      <c r="A2913" s="120">
        <v>2024</v>
      </c>
      <c r="B2913" s="120">
        <v>1</v>
      </c>
      <c r="C2913" s="120">
        <v>3</v>
      </c>
      <c r="D2913" s="208">
        <f t="shared" si="220"/>
        <v>45294</v>
      </c>
      <c r="E2913" s="209">
        <f t="shared" si="222"/>
        <v>45294</v>
      </c>
      <c r="F2913" s="515"/>
      <c r="G2913" s="132" t="s">
        <v>1209</v>
      </c>
      <c r="I2913" s="128" t="s">
        <v>422</v>
      </c>
      <c r="J2913" s="120" t="s">
        <v>16</v>
      </c>
      <c r="K2913" s="207"/>
      <c r="L2913" s="207">
        <v>936330</v>
      </c>
    </row>
    <row r="2914" spans="1:15" ht="11.25" customHeight="1" x14ac:dyDescent="0.2">
      <c r="A2914" s="191">
        <v>2024</v>
      </c>
      <c r="B2914" s="191">
        <v>1</v>
      </c>
      <c r="C2914" s="191">
        <v>3</v>
      </c>
      <c r="D2914" s="192">
        <f t="shared" si="220"/>
        <v>45294</v>
      </c>
      <c r="E2914" s="193">
        <f t="shared" si="222"/>
        <v>45294</v>
      </c>
      <c r="F2914" s="514"/>
      <c r="G2914" s="194" t="s">
        <v>1209</v>
      </c>
      <c r="H2914" s="195"/>
      <c r="I2914" s="195" t="s">
        <v>422</v>
      </c>
      <c r="J2914" s="191" t="s">
        <v>47</v>
      </c>
      <c r="K2914" s="196"/>
      <c r="L2914" s="196">
        <v>63670</v>
      </c>
    </row>
    <row r="2915" spans="1:15" ht="11.25" customHeight="1" x14ac:dyDescent="0.2">
      <c r="A2915" s="197">
        <v>2024</v>
      </c>
      <c r="B2915" s="197">
        <v>1</v>
      </c>
      <c r="C2915" s="197">
        <v>3</v>
      </c>
      <c r="D2915" s="198">
        <f t="shared" si="220"/>
        <v>45294</v>
      </c>
      <c r="E2915" s="209">
        <f t="shared" ref="E2915:E2953" si="223">DATE(A2915,B2915,C2915)</f>
        <v>45294</v>
      </c>
      <c r="F2915" s="513" t="s">
        <v>1280</v>
      </c>
      <c r="G2915" s="200" t="s">
        <v>1209</v>
      </c>
      <c r="H2915" s="201"/>
      <c r="I2915" s="201" t="s">
        <v>668</v>
      </c>
      <c r="J2915" s="197" t="s">
        <v>16</v>
      </c>
      <c r="K2915" s="202">
        <v>375000</v>
      </c>
      <c r="L2915" s="202"/>
    </row>
    <row r="2916" spans="1:15" ht="11.25" customHeight="1" x14ac:dyDescent="0.2">
      <c r="A2916" s="120">
        <v>2024</v>
      </c>
      <c r="B2916" s="120">
        <v>1</v>
      </c>
      <c r="C2916" s="120">
        <v>3</v>
      </c>
      <c r="D2916" s="208">
        <f t="shared" si="220"/>
        <v>45294</v>
      </c>
      <c r="E2916" s="209">
        <f t="shared" si="223"/>
        <v>45294</v>
      </c>
      <c r="F2916" s="515"/>
      <c r="G2916" s="132" t="s">
        <v>1209</v>
      </c>
      <c r="I2916" s="128" t="s">
        <v>668</v>
      </c>
      <c r="J2916" s="120" t="s">
        <v>47</v>
      </c>
      <c r="K2916" s="207">
        <v>25500</v>
      </c>
      <c r="L2916" s="207"/>
    </row>
    <row r="2917" spans="1:15" ht="11.25" customHeight="1" x14ac:dyDescent="0.2">
      <c r="A2917" s="191">
        <v>2024</v>
      </c>
      <c r="B2917" s="191">
        <v>1</v>
      </c>
      <c r="C2917" s="191">
        <v>3</v>
      </c>
      <c r="D2917" s="192">
        <f t="shared" si="220"/>
        <v>45294</v>
      </c>
      <c r="E2917" s="193">
        <f t="shared" si="223"/>
        <v>45294</v>
      </c>
      <c r="F2917" s="514"/>
      <c r="G2917" s="194" t="s">
        <v>1209</v>
      </c>
      <c r="H2917" s="195"/>
      <c r="I2917" s="195" t="s">
        <v>668</v>
      </c>
      <c r="J2917" s="191" t="s">
        <v>46</v>
      </c>
      <c r="K2917" s="196"/>
      <c r="L2917" s="196">
        <v>400500</v>
      </c>
    </row>
    <row r="2918" spans="1:15" ht="11.25" customHeight="1" x14ac:dyDescent="0.2">
      <c r="A2918" s="197">
        <v>2024</v>
      </c>
      <c r="B2918" s="197">
        <v>1</v>
      </c>
      <c r="C2918" s="197">
        <v>4</v>
      </c>
      <c r="D2918" s="198">
        <f t="shared" si="220"/>
        <v>45295</v>
      </c>
      <c r="E2918" s="290">
        <f t="shared" si="223"/>
        <v>45295</v>
      </c>
      <c r="F2918" s="513" t="s">
        <v>1385</v>
      </c>
      <c r="G2918" s="200" t="s">
        <v>1245</v>
      </c>
      <c r="H2918" s="201"/>
      <c r="I2918" s="201" t="s">
        <v>1253</v>
      </c>
      <c r="J2918" s="197" t="s">
        <v>1283</v>
      </c>
      <c r="K2918" s="202">
        <v>1705000</v>
      </c>
      <c r="L2918" s="202"/>
    </row>
    <row r="2919" spans="1:15" ht="11.25" customHeight="1" x14ac:dyDescent="0.2">
      <c r="A2919" s="120">
        <v>2024</v>
      </c>
      <c r="B2919" s="120">
        <v>1</v>
      </c>
      <c r="C2919" s="120">
        <v>4</v>
      </c>
      <c r="D2919" s="208">
        <f t="shared" ref="D2919" si="224">DATE(A2919,B2919,C2919)</f>
        <v>45295</v>
      </c>
      <c r="E2919" s="293">
        <f>DATE(A2919,B2919,C2919)</f>
        <v>45295</v>
      </c>
      <c r="F2919" s="515"/>
      <c r="G2919" s="132" t="s">
        <v>1245</v>
      </c>
      <c r="J2919" s="120" t="s">
        <v>179</v>
      </c>
      <c r="K2919" s="207">
        <v>272800</v>
      </c>
      <c r="L2919" s="207"/>
    </row>
    <row r="2920" spans="1:15" ht="11.25" customHeight="1" x14ac:dyDescent="0.2">
      <c r="A2920" s="120">
        <v>2024</v>
      </c>
      <c r="B2920" s="120">
        <v>1</v>
      </c>
      <c r="C2920" s="120">
        <v>4</v>
      </c>
      <c r="D2920" s="208">
        <f t="shared" si="220"/>
        <v>45295</v>
      </c>
      <c r="E2920" s="293">
        <f>DATE(A2920,B2920,C2920)</f>
        <v>45295</v>
      </c>
      <c r="F2920" s="515"/>
      <c r="G2920" s="132" t="s">
        <v>1245</v>
      </c>
      <c r="J2920" s="120" t="s">
        <v>1579</v>
      </c>
      <c r="K2920" s="207"/>
      <c r="L2920" s="207">
        <v>1977800</v>
      </c>
    </row>
    <row r="2921" spans="1:15" ht="11.25" customHeight="1" x14ac:dyDescent="0.2">
      <c r="A2921" s="120">
        <v>2024</v>
      </c>
      <c r="B2921" s="120">
        <v>1</v>
      </c>
      <c r="C2921" s="120">
        <v>4</v>
      </c>
      <c r="D2921" s="208">
        <f t="shared" si="220"/>
        <v>45295</v>
      </c>
      <c r="E2921" s="293">
        <f>DATE(A2921,B2921,C2921)</f>
        <v>45295</v>
      </c>
      <c r="F2921" s="515"/>
      <c r="G2921" s="132" t="s">
        <v>1245</v>
      </c>
      <c r="J2921" s="120" t="s">
        <v>1284</v>
      </c>
      <c r="K2921" s="207">
        <v>0.1</v>
      </c>
      <c r="L2921" s="207"/>
    </row>
    <row r="2922" spans="1:15" ht="11.25" customHeight="1" x14ac:dyDescent="0.2">
      <c r="A2922" s="191">
        <v>2024</v>
      </c>
      <c r="B2922" s="191">
        <v>1</v>
      </c>
      <c r="C2922" s="191">
        <v>4</v>
      </c>
      <c r="D2922" s="192">
        <f t="shared" si="220"/>
        <v>45295</v>
      </c>
      <c r="E2922" s="291">
        <f t="shared" si="223"/>
        <v>45295</v>
      </c>
      <c r="F2922" s="514"/>
      <c r="G2922" s="194" t="s">
        <v>1245</v>
      </c>
      <c r="H2922" s="195"/>
      <c r="I2922" s="195" t="s">
        <v>1253</v>
      </c>
      <c r="J2922" s="191" t="s">
        <v>1582</v>
      </c>
      <c r="K2922" s="196"/>
      <c r="L2922" s="196">
        <v>0.1</v>
      </c>
    </row>
    <row r="2923" spans="1:15" ht="11.25" customHeight="1" x14ac:dyDescent="0.2">
      <c r="A2923" s="197">
        <v>2024</v>
      </c>
      <c r="B2923" s="197">
        <v>1</v>
      </c>
      <c r="C2923" s="197">
        <v>4</v>
      </c>
      <c r="D2923" s="198">
        <f t="shared" si="220"/>
        <v>45295</v>
      </c>
      <c r="E2923" s="290">
        <f>DATE(A2923,B2923,C2923)</f>
        <v>45295</v>
      </c>
      <c r="F2923" s="513" t="s">
        <v>1514</v>
      </c>
      <c r="G2923" s="200" t="s">
        <v>1209</v>
      </c>
      <c r="H2923" s="201"/>
      <c r="I2923" s="201"/>
      <c r="J2923" s="197" t="s">
        <v>54</v>
      </c>
      <c r="K2923" s="202">
        <v>230</v>
      </c>
      <c r="L2923" s="202"/>
      <c r="M2923" s="251"/>
      <c r="N2923" s="251"/>
      <c r="O2923" s="251"/>
    </row>
    <row r="2924" spans="1:15" ht="11.25" customHeight="1" x14ac:dyDescent="0.2">
      <c r="A2924" s="120">
        <v>2024</v>
      </c>
      <c r="B2924" s="120">
        <v>1</v>
      </c>
      <c r="C2924" s="120">
        <v>4</v>
      </c>
      <c r="D2924" s="208">
        <f t="shared" si="220"/>
        <v>45295</v>
      </c>
      <c r="E2924" s="293">
        <f>DATE(A2924,B2924,C2924)</f>
        <v>45295</v>
      </c>
      <c r="F2924" s="514"/>
      <c r="G2924" s="194" t="s">
        <v>1209</v>
      </c>
      <c r="H2924" s="195"/>
      <c r="I2924" s="195"/>
      <c r="J2924" s="191" t="s">
        <v>46</v>
      </c>
      <c r="K2924" s="196"/>
      <c r="L2924" s="196">
        <v>230</v>
      </c>
      <c r="M2924" s="251"/>
      <c r="N2924" s="251"/>
      <c r="O2924" s="251"/>
    </row>
    <row r="2925" spans="1:15" ht="11.25" customHeight="1" x14ac:dyDescent="0.2">
      <c r="A2925" s="197">
        <v>2024</v>
      </c>
      <c r="B2925" s="197">
        <v>1</v>
      </c>
      <c r="C2925" s="197">
        <v>4</v>
      </c>
      <c r="D2925" s="198">
        <f t="shared" si="220"/>
        <v>45295</v>
      </c>
      <c r="E2925" s="290">
        <f t="shared" ref="E2925:E2926" si="225">DATE(A2925,B2925,C2925)</f>
        <v>45295</v>
      </c>
      <c r="F2925" s="513" t="s">
        <v>1607</v>
      </c>
      <c r="G2925" s="200" t="s">
        <v>1209</v>
      </c>
      <c r="H2925" s="201"/>
      <c r="I2925" s="201"/>
      <c r="J2925" s="197" t="s">
        <v>54</v>
      </c>
      <c r="K2925" s="202">
        <v>12000</v>
      </c>
      <c r="L2925" s="202"/>
      <c r="M2925" s="251"/>
      <c r="N2925" s="251"/>
      <c r="O2925" s="251"/>
    </row>
    <row r="2926" spans="1:15" ht="11.25" customHeight="1" x14ac:dyDescent="0.2">
      <c r="A2926" s="191">
        <v>2024</v>
      </c>
      <c r="B2926" s="191">
        <v>1</v>
      </c>
      <c r="C2926" s="191">
        <v>4</v>
      </c>
      <c r="D2926" s="192">
        <f t="shared" si="220"/>
        <v>45295</v>
      </c>
      <c r="E2926" s="291">
        <f t="shared" si="225"/>
        <v>45295</v>
      </c>
      <c r="F2926" s="514"/>
      <c r="G2926" s="194" t="s">
        <v>1209</v>
      </c>
      <c r="H2926" s="195"/>
      <c r="I2926" s="195"/>
      <c r="J2926" s="191" t="s">
        <v>46</v>
      </c>
      <c r="K2926" s="196"/>
      <c r="L2926" s="196">
        <v>12000</v>
      </c>
      <c r="M2926" s="251"/>
      <c r="N2926" s="251"/>
      <c r="O2926" s="251"/>
    </row>
    <row r="2927" spans="1:15" ht="11.25" customHeight="1" x14ac:dyDescent="0.2">
      <c r="A2927" s="210">
        <v>2024</v>
      </c>
      <c r="B2927" s="210">
        <v>1</v>
      </c>
      <c r="C2927" s="210">
        <v>4</v>
      </c>
      <c r="D2927" s="211">
        <f t="shared" si="220"/>
        <v>45295</v>
      </c>
      <c r="E2927" s="238">
        <f t="shared" si="223"/>
        <v>45295</v>
      </c>
      <c r="F2927" s="520" t="s">
        <v>1278</v>
      </c>
      <c r="G2927" s="213" t="s">
        <v>1245</v>
      </c>
      <c r="H2927" s="214"/>
      <c r="I2927" s="214" t="s">
        <v>1253</v>
      </c>
      <c r="J2927" s="210" t="s">
        <v>1529</v>
      </c>
      <c r="K2927" s="215">
        <v>7491.85</v>
      </c>
      <c r="L2927" s="215"/>
    </row>
    <row r="2928" spans="1:15" ht="11.25" customHeight="1" x14ac:dyDescent="0.2">
      <c r="A2928" s="216">
        <v>2024</v>
      </c>
      <c r="B2928" s="216">
        <v>1</v>
      </c>
      <c r="C2928" s="216">
        <v>4</v>
      </c>
      <c r="D2928" s="217">
        <f t="shared" si="220"/>
        <v>45295</v>
      </c>
      <c r="E2928" s="239">
        <f t="shared" si="223"/>
        <v>45295</v>
      </c>
      <c r="F2928" s="521"/>
      <c r="G2928" s="219" t="s">
        <v>1245</v>
      </c>
      <c r="H2928" s="220"/>
      <c r="I2928" s="220" t="s">
        <v>1253</v>
      </c>
      <c r="J2928" s="216" t="s">
        <v>1581</v>
      </c>
      <c r="K2928" s="221"/>
      <c r="L2928" s="221">
        <v>7491.85</v>
      </c>
    </row>
    <row r="2929" spans="1:14" ht="11.25" customHeight="1" x14ac:dyDescent="0.2">
      <c r="A2929" s="210">
        <v>2024</v>
      </c>
      <c r="B2929" s="210">
        <v>1</v>
      </c>
      <c r="C2929" s="210">
        <v>4</v>
      </c>
      <c r="D2929" s="211">
        <f t="shared" si="220"/>
        <v>45295</v>
      </c>
      <c r="E2929" s="238">
        <f t="shared" si="223"/>
        <v>45295</v>
      </c>
      <c r="F2929" s="520" t="s">
        <v>1285</v>
      </c>
      <c r="G2929" s="213" t="s">
        <v>1245</v>
      </c>
      <c r="H2929" s="214"/>
      <c r="I2929" s="214" t="s">
        <v>1253</v>
      </c>
      <c r="J2929" s="210" t="s">
        <v>1284</v>
      </c>
      <c r="K2929" s="215">
        <v>10328.365384615385</v>
      </c>
      <c r="L2929" s="215"/>
    </row>
    <row r="2930" spans="1:14" ht="11.25" customHeight="1" x14ac:dyDescent="0.2">
      <c r="A2930" s="242">
        <v>2024</v>
      </c>
      <c r="B2930" s="242">
        <v>1</v>
      </c>
      <c r="C2930" s="242">
        <v>4</v>
      </c>
      <c r="D2930" s="243">
        <f t="shared" ref="D2930:D2989" si="226">DATE(A2930,B2930,C2930)</f>
        <v>45295</v>
      </c>
      <c r="E2930" s="244">
        <f>DATE(A2930,B2930,C2930)</f>
        <v>45295</v>
      </c>
      <c r="F2930" s="524"/>
      <c r="G2930" s="245" t="s">
        <v>1245</v>
      </c>
      <c r="H2930" s="246"/>
      <c r="I2930" s="246"/>
      <c r="J2930" s="242" t="s">
        <v>1582</v>
      </c>
      <c r="K2930" s="247"/>
      <c r="L2930" s="247">
        <v>10328.365384615385</v>
      </c>
    </row>
    <row r="2931" spans="1:14" ht="11.25" customHeight="1" x14ac:dyDescent="0.2">
      <c r="A2931" s="210">
        <v>2024</v>
      </c>
      <c r="B2931" s="210">
        <v>1</v>
      </c>
      <c r="C2931" s="210">
        <v>4</v>
      </c>
      <c r="D2931" s="211">
        <f t="shared" si="226"/>
        <v>45295</v>
      </c>
      <c r="E2931" s="238">
        <f t="shared" si="223"/>
        <v>45295</v>
      </c>
      <c r="F2931" s="520" t="s">
        <v>1259</v>
      </c>
      <c r="G2931" s="213" t="s">
        <v>1245</v>
      </c>
      <c r="H2931" s="214"/>
      <c r="I2931" s="214" t="s">
        <v>1253</v>
      </c>
      <c r="J2931" s="210" t="s">
        <v>58</v>
      </c>
      <c r="K2931" s="215">
        <v>397.93</v>
      </c>
      <c r="L2931" s="215"/>
    </row>
    <row r="2932" spans="1:14" ht="11.25" customHeight="1" x14ac:dyDescent="0.2">
      <c r="A2932" s="216">
        <v>2024</v>
      </c>
      <c r="B2932" s="216">
        <v>1</v>
      </c>
      <c r="C2932" s="216">
        <v>4</v>
      </c>
      <c r="D2932" s="217">
        <f t="shared" si="226"/>
        <v>45295</v>
      </c>
      <c r="E2932" s="239">
        <f t="shared" si="223"/>
        <v>45295</v>
      </c>
      <c r="F2932" s="521"/>
      <c r="G2932" s="219" t="s">
        <v>1245</v>
      </c>
      <c r="H2932" s="220"/>
      <c r="I2932" s="220" t="s">
        <v>1253</v>
      </c>
      <c r="J2932" s="216" t="s">
        <v>153</v>
      </c>
      <c r="K2932" s="221"/>
      <c r="L2932" s="221">
        <v>397.93</v>
      </c>
    </row>
    <row r="2933" spans="1:14" ht="11.25" customHeight="1" x14ac:dyDescent="0.2">
      <c r="A2933" s="210">
        <v>2024</v>
      </c>
      <c r="B2933" s="210">
        <v>1</v>
      </c>
      <c r="C2933" s="210">
        <v>4</v>
      </c>
      <c r="D2933" s="211">
        <f t="shared" si="226"/>
        <v>45295</v>
      </c>
      <c r="E2933" s="238">
        <f t="shared" si="223"/>
        <v>45295</v>
      </c>
      <c r="F2933" s="520" t="s">
        <v>1256</v>
      </c>
      <c r="G2933" s="213" t="s">
        <v>1245</v>
      </c>
      <c r="H2933" s="214"/>
      <c r="I2933" s="214" t="s">
        <v>1253</v>
      </c>
      <c r="J2933" s="210" t="s">
        <v>113</v>
      </c>
      <c r="K2933" s="215">
        <v>172116.75824175825</v>
      </c>
      <c r="L2933" s="215"/>
      <c r="N2933" s="130"/>
    </row>
    <row r="2934" spans="1:14" ht="11.25" customHeight="1" x14ac:dyDescent="0.2">
      <c r="A2934" s="216">
        <v>2024</v>
      </c>
      <c r="B2934" s="216">
        <v>1</v>
      </c>
      <c r="C2934" s="216">
        <v>4</v>
      </c>
      <c r="D2934" s="217">
        <f t="shared" si="226"/>
        <v>45295</v>
      </c>
      <c r="E2934" s="239">
        <f t="shared" si="223"/>
        <v>45295</v>
      </c>
      <c r="F2934" s="521"/>
      <c r="G2934" s="219" t="s">
        <v>1245</v>
      </c>
      <c r="H2934" s="220"/>
      <c r="I2934" s="220" t="s">
        <v>1253</v>
      </c>
      <c r="J2934" s="216" t="s">
        <v>153</v>
      </c>
      <c r="K2934" s="221"/>
      <c r="L2934" s="221">
        <v>172116.75824175825</v>
      </c>
    </row>
    <row r="2935" spans="1:14" ht="11.25" customHeight="1" x14ac:dyDescent="0.2">
      <c r="A2935" s="312">
        <v>2024</v>
      </c>
      <c r="B2935" s="312">
        <v>1</v>
      </c>
      <c r="C2935" s="312">
        <v>4</v>
      </c>
      <c r="D2935" s="313">
        <f t="shared" si="226"/>
        <v>45295</v>
      </c>
      <c r="E2935" s="314">
        <f t="shared" si="223"/>
        <v>45295</v>
      </c>
      <c r="F2935" s="522" t="s">
        <v>1477</v>
      </c>
      <c r="G2935" s="315" t="s">
        <v>1245</v>
      </c>
      <c r="H2935" s="316"/>
      <c r="I2935" s="316" t="s">
        <v>1253</v>
      </c>
      <c r="J2935" s="312" t="s">
        <v>1460</v>
      </c>
      <c r="K2935" s="317">
        <v>171321.09999999404</v>
      </c>
      <c r="L2935" s="317"/>
    </row>
    <row r="2936" spans="1:14" ht="11.25" customHeight="1" x14ac:dyDescent="0.2">
      <c r="A2936" s="318">
        <v>2024</v>
      </c>
      <c r="B2936" s="318">
        <v>1</v>
      </c>
      <c r="C2936" s="318">
        <v>4</v>
      </c>
      <c r="D2936" s="319">
        <f t="shared" si="226"/>
        <v>45295</v>
      </c>
      <c r="E2936" s="320">
        <f t="shared" si="223"/>
        <v>45295</v>
      </c>
      <c r="F2936" s="523"/>
      <c r="G2936" s="321" t="s">
        <v>1245</v>
      </c>
      <c r="H2936" s="322"/>
      <c r="I2936" s="322" t="s">
        <v>1253</v>
      </c>
      <c r="J2936" s="318" t="s">
        <v>1458</v>
      </c>
      <c r="K2936" s="323"/>
      <c r="L2936" s="323">
        <v>171321.09999999404</v>
      </c>
    </row>
    <row r="2937" spans="1:14" ht="11.25" customHeight="1" x14ac:dyDescent="0.2">
      <c r="A2937" s="222">
        <v>2024</v>
      </c>
      <c r="B2937" s="222">
        <v>1</v>
      </c>
      <c r="C2937" s="222">
        <v>4</v>
      </c>
      <c r="D2937" s="223">
        <f t="shared" si="226"/>
        <v>45295</v>
      </c>
      <c r="E2937" s="240">
        <f t="shared" si="223"/>
        <v>45295</v>
      </c>
      <c r="F2937" s="511" t="s">
        <v>1244</v>
      </c>
      <c r="G2937" s="225" t="s">
        <v>1245</v>
      </c>
      <c r="H2937" s="226"/>
      <c r="I2937" s="226" t="s">
        <v>1253</v>
      </c>
      <c r="J2937" s="222" t="s">
        <v>87</v>
      </c>
      <c r="K2937" s="227">
        <v>79568.171904761344</v>
      </c>
      <c r="L2937" s="227"/>
    </row>
    <row r="2938" spans="1:14" ht="11.25" customHeight="1" x14ac:dyDescent="0.2">
      <c r="A2938" s="228">
        <v>2024</v>
      </c>
      <c r="B2938" s="228">
        <v>1</v>
      </c>
      <c r="C2938" s="228">
        <v>4</v>
      </c>
      <c r="D2938" s="229">
        <f t="shared" si="226"/>
        <v>45295</v>
      </c>
      <c r="E2938" s="241">
        <f t="shared" si="223"/>
        <v>45295</v>
      </c>
      <c r="F2938" s="512"/>
      <c r="G2938" s="231" t="s">
        <v>1245</v>
      </c>
      <c r="H2938" s="232"/>
      <c r="I2938" s="232" t="s">
        <v>1253</v>
      </c>
      <c r="J2938" s="228" t="s">
        <v>72</v>
      </c>
      <c r="K2938" s="233"/>
      <c r="L2938" s="233">
        <v>79568.171904761344</v>
      </c>
    </row>
    <row r="2939" spans="1:14" ht="11.25" customHeight="1" x14ac:dyDescent="0.2">
      <c r="A2939" s="222">
        <v>2024</v>
      </c>
      <c r="B2939" s="222">
        <v>1</v>
      </c>
      <c r="C2939" s="222">
        <v>4</v>
      </c>
      <c r="D2939" s="223">
        <f t="shared" si="226"/>
        <v>45295</v>
      </c>
      <c r="E2939" s="240">
        <f t="shared" si="223"/>
        <v>45295</v>
      </c>
      <c r="F2939" s="511" t="s">
        <v>1246</v>
      </c>
      <c r="G2939" s="225" t="s">
        <v>1245</v>
      </c>
      <c r="H2939" s="226"/>
      <c r="I2939" s="226" t="s">
        <v>1253</v>
      </c>
      <c r="J2939" s="222" t="s">
        <v>75</v>
      </c>
      <c r="K2939" s="227">
        <v>2070.3564835164834</v>
      </c>
      <c r="L2939" s="227"/>
    </row>
    <row r="2940" spans="1:14" ht="11.25" customHeight="1" x14ac:dyDescent="0.2">
      <c r="A2940" s="228">
        <v>2024</v>
      </c>
      <c r="B2940" s="228">
        <v>1</v>
      </c>
      <c r="C2940" s="228">
        <v>4</v>
      </c>
      <c r="D2940" s="229">
        <f t="shared" si="226"/>
        <v>45295</v>
      </c>
      <c r="E2940" s="241">
        <f t="shared" si="223"/>
        <v>45295</v>
      </c>
      <c r="F2940" s="512"/>
      <c r="G2940" s="231" t="s">
        <v>1245</v>
      </c>
      <c r="H2940" s="232"/>
      <c r="I2940" s="232" t="s">
        <v>1253</v>
      </c>
      <c r="J2940" s="228" t="s">
        <v>55</v>
      </c>
      <c r="K2940" s="233"/>
      <c r="L2940" s="233">
        <v>2070.3564835164834</v>
      </c>
    </row>
    <row r="2941" spans="1:14" ht="11.25" customHeight="1" x14ac:dyDescent="0.2">
      <c r="A2941" s="222">
        <v>2024</v>
      </c>
      <c r="B2941" s="222">
        <v>1</v>
      </c>
      <c r="C2941" s="222">
        <v>4</v>
      </c>
      <c r="D2941" s="223">
        <f t="shared" si="226"/>
        <v>45295</v>
      </c>
      <c r="E2941" s="240">
        <f t="shared" si="223"/>
        <v>45295</v>
      </c>
      <c r="F2941" s="511" t="s">
        <v>1247</v>
      </c>
      <c r="G2941" s="225" t="s">
        <v>1245</v>
      </c>
      <c r="H2941" s="226"/>
      <c r="I2941" s="226" t="s">
        <v>1253</v>
      </c>
      <c r="J2941" s="222" t="s">
        <v>77</v>
      </c>
      <c r="K2941" s="227">
        <v>1971.9036966014992</v>
      </c>
      <c r="L2941" s="227"/>
    </row>
    <row r="2942" spans="1:14" ht="11.25" customHeight="1" x14ac:dyDescent="0.2">
      <c r="A2942" s="228">
        <v>2024</v>
      </c>
      <c r="B2942" s="228">
        <v>1</v>
      </c>
      <c r="C2942" s="228">
        <v>4</v>
      </c>
      <c r="D2942" s="229">
        <f t="shared" si="226"/>
        <v>45295</v>
      </c>
      <c r="E2942" s="241">
        <f t="shared" si="223"/>
        <v>45295</v>
      </c>
      <c r="F2942" s="512"/>
      <c r="G2942" s="231" t="s">
        <v>1245</v>
      </c>
      <c r="H2942" s="232"/>
      <c r="I2942" s="232" t="s">
        <v>1253</v>
      </c>
      <c r="J2942" s="228" t="s">
        <v>41</v>
      </c>
      <c r="K2942" s="233"/>
      <c r="L2942" s="233">
        <v>1971.9036966014992</v>
      </c>
    </row>
    <row r="2943" spans="1:14" ht="11.25" customHeight="1" x14ac:dyDescent="0.2">
      <c r="A2943" s="222">
        <v>2024</v>
      </c>
      <c r="B2943" s="222">
        <v>1</v>
      </c>
      <c r="C2943" s="222">
        <v>4</v>
      </c>
      <c r="D2943" s="223">
        <f t="shared" si="226"/>
        <v>45295</v>
      </c>
      <c r="E2943" s="240">
        <f t="shared" si="223"/>
        <v>45295</v>
      </c>
      <c r="F2943" s="511" t="s">
        <v>1248</v>
      </c>
      <c r="G2943" s="225" t="s">
        <v>1245</v>
      </c>
      <c r="H2943" s="226"/>
      <c r="I2943" s="226" t="s">
        <v>1253</v>
      </c>
      <c r="J2943" s="222" t="s">
        <v>80</v>
      </c>
      <c r="K2943" s="227">
        <v>1557.0813938556566</v>
      </c>
      <c r="L2943" s="227"/>
    </row>
    <row r="2944" spans="1:14" ht="11.25" customHeight="1" x14ac:dyDescent="0.2">
      <c r="A2944" s="228">
        <v>2024</v>
      </c>
      <c r="B2944" s="228">
        <v>1</v>
      </c>
      <c r="C2944" s="228">
        <v>4</v>
      </c>
      <c r="D2944" s="229">
        <f t="shared" si="226"/>
        <v>45295</v>
      </c>
      <c r="E2944" s="241">
        <f t="shared" si="223"/>
        <v>45295</v>
      </c>
      <c r="F2944" s="512"/>
      <c r="G2944" s="231" t="s">
        <v>1245</v>
      </c>
      <c r="H2944" s="232"/>
      <c r="I2944" s="232" t="s">
        <v>1253</v>
      </c>
      <c r="J2944" s="228" t="s">
        <v>42</v>
      </c>
      <c r="K2944" s="233"/>
      <c r="L2944" s="233">
        <v>1557.0813938556566</v>
      </c>
    </row>
    <row r="2945" spans="1:15" ht="11.25" customHeight="1" x14ac:dyDescent="0.2">
      <c r="A2945" s="197">
        <v>2024</v>
      </c>
      <c r="B2945" s="197">
        <v>1</v>
      </c>
      <c r="C2945" s="197">
        <v>5</v>
      </c>
      <c r="D2945" s="198">
        <f t="shared" si="226"/>
        <v>45296</v>
      </c>
      <c r="E2945" s="209">
        <f t="shared" si="223"/>
        <v>45296</v>
      </c>
      <c r="F2945" s="513" t="s">
        <v>1296</v>
      </c>
      <c r="G2945" s="200" t="s">
        <v>1209</v>
      </c>
      <c r="H2945" s="201"/>
      <c r="I2945" s="201"/>
      <c r="J2945" s="197" t="s">
        <v>46</v>
      </c>
      <c r="K2945" s="202">
        <v>101000</v>
      </c>
      <c r="L2945" s="202"/>
    </row>
    <row r="2946" spans="1:15" ht="11.25" customHeight="1" x14ac:dyDescent="0.2">
      <c r="A2946" s="120">
        <v>2024</v>
      </c>
      <c r="B2946" s="120">
        <v>1</v>
      </c>
      <c r="C2946" s="120">
        <v>5</v>
      </c>
      <c r="D2946" s="208">
        <f t="shared" si="226"/>
        <v>45296</v>
      </c>
      <c r="E2946" s="209">
        <f t="shared" si="223"/>
        <v>45296</v>
      </c>
      <c r="F2946" s="515"/>
      <c r="G2946" s="132" t="s">
        <v>1209</v>
      </c>
      <c r="J2946" s="120" t="s">
        <v>16</v>
      </c>
      <c r="K2946" s="207"/>
      <c r="L2946" s="207">
        <v>94410</v>
      </c>
    </row>
    <row r="2947" spans="1:15" ht="11.25" customHeight="1" x14ac:dyDescent="0.2">
      <c r="A2947" s="191">
        <v>2024</v>
      </c>
      <c r="B2947" s="191">
        <v>1</v>
      </c>
      <c r="C2947" s="191">
        <v>5</v>
      </c>
      <c r="D2947" s="192">
        <f t="shared" si="226"/>
        <v>45296</v>
      </c>
      <c r="E2947" s="193">
        <f t="shared" si="223"/>
        <v>45296</v>
      </c>
      <c r="F2947" s="514"/>
      <c r="G2947" s="194" t="s">
        <v>1209</v>
      </c>
      <c r="H2947" s="195"/>
      <c r="I2947" s="195"/>
      <c r="J2947" s="191" t="s">
        <v>47</v>
      </c>
      <c r="K2947" s="196"/>
      <c r="L2947" s="196">
        <v>6590</v>
      </c>
    </row>
    <row r="2948" spans="1:15" ht="11.25" customHeight="1" x14ac:dyDescent="0.2">
      <c r="A2948" s="197">
        <v>2024</v>
      </c>
      <c r="B2948" s="197">
        <v>1</v>
      </c>
      <c r="C2948" s="197">
        <v>8</v>
      </c>
      <c r="D2948" s="198">
        <f t="shared" si="226"/>
        <v>45299</v>
      </c>
      <c r="E2948" s="209">
        <f>DATE(A2948,B2948,C2948)</f>
        <v>45299</v>
      </c>
      <c r="F2948" s="513" t="s">
        <v>1296</v>
      </c>
      <c r="G2948" s="200" t="s">
        <v>1209</v>
      </c>
      <c r="H2948" s="201"/>
      <c r="I2948" s="201"/>
      <c r="J2948" s="197" t="s">
        <v>46</v>
      </c>
      <c r="K2948" s="202">
        <v>122000</v>
      </c>
      <c r="L2948" s="202"/>
    </row>
    <row r="2949" spans="1:15" ht="11.25" customHeight="1" x14ac:dyDescent="0.2">
      <c r="A2949" s="120">
        <v>2024</v>
      </c>
      <c r="B2949" s="120">
        <v>1</v>
      </c>
      <c r="C2949" s="120">
        <v>8</v>
      </c>
      <c r="D2949" s="208">
        <f t="shared" si="226"/>
        <v>45299</v>
      </c>
      <c r="E2949" s="209">
        <f>DATE(A2949,B2949,C2949)</f>
        <v>45299</v>
      </c>
      <c r="F2949" s="515"/>
      <c r="G2949" s="132" t="s">
        <v>1209</v>
      </c>
      <c r="J2949" s="120" t="s">
        <v>16</v>
      </c>
      <c r="K2949" s="207"/>
      <c r="L2949" s="207">
        <v>114050</v>
      </c>
    </row>
    <row r="2950" spans="1:15" ht="11.25" customHeight="1" x14ac:dyDescent="0.2">
      <c r="A2950" s="191">
        <v>2024</v>
      </c>
      <c r="B2950" s="191">
        <v>1</v>
      </c>
      <c r="C2950" s="191">
        <v>8</v>
      </c>
      <c r="D2950" s="192">
        <f t="shared" si="226"/>
        <v>45299</v>
      </c>
      <c r="E2950" s="193">
        <f>DATE(A2950,B2950,C2950)</f>
        <v>45299</v>
      </c>
      <c r="F2950" s="514"/>
      <c r="G2950" s="194" t="s">
        <v>1209</v>
      </c>
      <c r="H2950" s="195"/>
      <c r="I2950" s="195"/>
      <c r="J2950" s="191" t="s">
        <v>47</v>
      </c>
      <c r="K2950" s="196"/>
      <c r="L2950" s="196">
        <v>7950</v>
      </c>
    </row>
    <row r="2951" spans="1:15" ht="11.25" customHeight="1" x14ac:dyDescent="0.2">
      <c r="A2951" s="197">
        <v>2024</v>
      </c>
      <c r="B2951" s="197">
        <v>1</v>
      </c>
      <c r="C2951" s="197">
        <v>9</v>
      </c>
      <c r="D2951" s="198">
        <f t="shared" si="226"/>
        <v>45300</v>
      </c>
      <c r="E2951" s="209">
        <f t="shared" si="223"/>
        <v>45300</v>
      </c>
      <c r="F2951" s="513" t="s">
        <v>1210</v>
      </c>
      <c r="G2951" s="200" t="s">
        <v>1209</v>
      </c>
      <c r="H2951" s="201"/>
      <c r="I2951" s="201" t="s">
        <v>397</v>
      </c>
      <c r="J2951" s="197" t="s">
        <v>46</v>
      </c>
      <c r="K2951" s="202">
        <v>50000</v>
      </c>
      <c r="L2951" s="202"/>
    </row>
    <row r="2952" spans="1:15" ht="11.25" customHeight="1" x14ac:dyDescent="0.2">
      <c r="A2952" s="120">
        <v>2024</v>
      </c>
      <c r="B2952" s="120">
        <v>1</v>
      </c>
      <c r="C2952" s="120">
        <v>9</v>
      </c>
      <c r="D2952" s="208">
        <f t="shared" si="226"/>
        <v>45300</v>
      </c>
      <c r="E2952" s="209">
        <f t="shared" si="223"/>
        <v>45300</v>
      </c>
      <c r="F2952" s="515"/>
      <c r="G2952" s="132" t="s">
        <v>1209</v>
      </c>
      <c r="I2952" s="128" t="s">
        <v>397</v>
      </c>
      <c r="J2952" s="120" t="s">
        <v>16</v>
      </c>
      <c r="K2952" s="207"/>
      <c r="L2952" s="207">
        <v>46740</v>
      </c>
    </row>
    <row r="2953" spans="1:15" ht="11.25" customHeight="1" x14ac:dyDescent="0.2">
      <c r="A2953" s="191">
        <v>2024</v>
      </c>
      <c r="B2953" s="191">
        <v>1</v>
      </c>
      <c r="C2953" s="191">
        <v>9</v>
      </c>
      <c r="D2953" s="192">
        <f t="shared" si="226"/>
        <v>45300</v>
      </c>
      <c r="E2953" s="193">
        <f t="shared" si="223"/>
        <v>45300</v>
      </c>
      <c r="F2953" s="514"/>
      <c r="G2953" s="194" t="s">
        <v>1209</v>
      </c>
      <c r="H2953" s="195"/>
      <c r="I2953" s="195" t="s">
        <v>397</v>
      </c>
      <c r="J2953" s="191" t="s">
        <v>47</v>
      </c>
      <c r="K2953" s="196"/>
      <c r="L2953" s="196">
        <v>3260</v>
      </c>
    </row>
    <row r="2954" spans="1:15" ht="11.25" customHeight="1" x14ac:dyDescent="0.2">
      <c r="A2954" s="197">
        <v>2024</v>
      </c>
      <c r="B2954" s="197">
        <v>1</v>
      </c>
      <c r="C2954" s="197">
        <v>10</v>
      </c>
      <c r="D2954" s="198">
        <f t="shared" si="226"/>
        <v>45301</v>
      </c>
      <c r="E2954" s="209">
        <f>DATE(A2954,B2954,C2954)</f>
        <v>45301</v>
      </c>
      <c r="F2954" s="513" t="s">
        <v>1210</v>
      </c>
      <c r="G2954" s="200" t="s">
        <v>1209</v>
      </c>
      <c r="H2954" s="201"/>
      <c r="I2954" s="201" t="s">
        <v>1493</v>
      </c>
      <c r="J2954" s="197" t="s">
        <v>46</v>
      </c>
      <c r="K2954" s="202">
        <v>29973</v>
      </c>
      <c r="L2954" s="202"/>
    </row>
    <row r="2955" spans="1:15" ht="11.25" customHeight="1" x14ac:dyDescent="0.2">
      <c r="A2955" s="120">
        <v>2024</v>
      </c>
      <c r="B2955" s="120">
        <v>1</v>
      </c>
      <c r="C2955" s="120">
        <v>10</v>
      </c>
      <c r="D2955" s="208">
        <f t="shared" si="226"/>
        <v>45301</v>
      </c>
      <c r="E2955" s="209">
        <f>DATE(A2955,B2955,C2955)</f>
        <v>45301</v>
      </c>
      <c r="F2955" s="515"/>
      <c r="G2955" s="132" t="s">
        <v>1209</v>
      </c>
      <c r="I2955" s="128" t="s">
        <v>1493</v>
      </c>
      <c r="J2955" s="120" t="s">
        <v>16</v>
      </c>
      <c r="K2955" s="207"/>
      <c r="L2955" s="207">
        <v>28020</v>
      </c>
    </row>
    <row r="2956" spans="1:15" ht="11.25" customHeight="1" x14ac:dyDescent="0.2">
      <c r="A2956" s="191">
        <v>2024</v>
      </c>
      <c r="B2956" s="191">
        <v>1</v>
      </c>
      <c r="C2956" s="191">
        <v>10</v>
      </c>
      <c r="D2956" s="192">
        <f t="shared" si="226"/>
        <v>45301</v>
      </c>
      <c r="E2956" s="193">
        <f>DATE(A2956,B2956,C2956)</f>
        <v>45301</v>
      </c>
      <c r="F2956" s="514"/>
      <c r="G2956" s="194" t="s">
        <v>1209</v>
      </c>
      <c r="H2956" s="195"/>
      <c r="I2956" s="195" t="s">
        <v>1493</v>
      </c>
      <c r="J2956" s="191" t="s">
        <v>47</v>
      </c>
      <c r="K2956" s="196"/>
      <c r="L2956" s="196">
        <v>1953</v>
      </c>
    </row>
    <row r="2957" spans="1:15" ht="11.25" customHeight="1" x14ac:dyDescent="0.2">
      <c r="A2957" s="197">
        <v>2024</v>
      </c>
      <c r="B2957" s="197">
        <v>1</v>
      </c>
      <c r="C2957" s="197">
        <v>10</v>
      </c>
      <c r="D2957" s="198">
        <f t="shared" si="226"/>
        <v>45301</v>
      </c>
      <c r="E2957" s="209">
        <f t="shared" ref="E2957:E2964" si="227">DATE(A2957,B2957,C2957)</f>
        <v>45301</v>
      </c>
      <c r="F2957" s="513" t="s">
        <v>1210</v>
      </c>
      <c r="G2957" s="200" t="s">
        <v>1209</v>
      </c>
      <c r="H2957" s="201"/>
      <c r="I2957" s="201" t="s">
        <v>1218</v>
      </c>
      <c r="J2957" s="197" t="s">
        <v>46</v>
      </c>
      <c r="K2957" s="202">
        <v>20000000</v>
      </c>
      <c r="L2957" s="202"/>
    </row>
    <row r="2958" spans="1:15" ht="11.25" customHeight="1" x14ac:dyDescent="0.2">
      <c r="A2958" s="120">
        <v>2024</v>
      </c>
      <c r="B2958" s="120">
        <v>1</v>
      </c>
      <c r="C2958" s="120">
        <v>10</v>
      </c>
      <c r="D2958" s="208">
        <f t="shared" si="226"/>
        <v>45301</v>
      </c>
      <c r="E2958" s="209">
        <f t="shared" si="227"/>
        <v>45301</v>
      </c>
      <c r="F2958" s="515"/>
      <c r="G2958" s="132" t="s">
        <v>1209</v>
      </c>
      <c r="I2958" s="128" t="s">
        <v>1218</v>
      </c>
      <c r="J2958" s="120" t="s">
        <v>16</v>
      </c>
      <c r="K2958" s="207"/>
      <c r="L2958" s="207">
        <v>18696830</v>
      </c>
    </row>
    <row r="2959" spans="1:15" ht="11.25" customHeight="1" x14ac:dyDescent="0.2">
      <c r="A2959" s="191">
        <v>2024</v>
      </c>
      <c r="B2959" s="191">
        <v>1</v>
      </c>
      <c r="C2959" s="191">
        <v>10</v>
      </c>
      <c r="D2959" s="192">
        <f t="shared" si="226"/>
        <v>45301</v>
      </c>
      <c r="E2959" s="193">
        <f t="shared" si="227"/>
        <v>45301</v>
      </c>
      <c r="F2959" s="514"/>
      <c r="G2959" s="194" t="s">
        <v>1209</v>
      </c>
      <c r="H2959" s="195"/>
      <c r="I2959" s="195" t="s">
        <v>1218</v>
      </c>
      <c r="J2959" s="191" t="s">
        <v>47</v>
      </c>
      <c r="K2959" s="196"/>
      <c r="L2959" s="196">
        <v>1303170</v>
      </c>
    </row>
    <row r="2960" spans="1:15" ht="11.25" customHeight="1" x14ac:dyDescent="0.2">
      <c r="A2960" s="197">
        <v>2024</v>
      </c>
      <c r="B2960" s="197">
        <v>1</v>
      </c>
      <c r="C2960" s="197">
        <v>10</v>
      </c>
      <c r="D2960" s="198">
        <f t="shared" si="226"/>
        <v>45301</v>
      </c>
      <c r="E2960" s="290">
        <f t="shared" si="227"/>
        <v>45301</v>
      </c>
      <c r="F2960" s="513" t="s">
        <v>1514</v>
      </c>
      <c r="G2960" s="200" t="s">
        <v>1209</v>
      </c>
      <c r="H2960" s="201"/>
      <c r="I2960" s="201"/>
      <c r="J2960" s="197" t="s">
        <v>54</v>
      </c>
      <c r="K2960" s="202">
        <v>60</v>
      </c>
      <c r="L2960" s="202"/>
      <c r="M2960" s="251"/>
      <c r="N2960" s="251"/>
      <c r="O2960" s="251"/>
    </row>
    <row r="2961" spans="1:15" ht="11.25" customHeight="1" x14ac:dyDescent="0.2">
      <c r="A2961" s="120">
        <v>2024</v>
      </c>
      <c r="B2961" s="120">
        <v>1</v>
      </c>
      <c r="C2961" s="120">
        <v>10</v>
      </c>
      <c r="D2961" s="208">
        <f t="shared" si="226"/>
        <v>45301</v>
      </c>
      <c r="E2961" s="291">
        <f t="shared" si="227"/>
        <v>45301</v>
      </c>
      <c r="F2961" s="514"/>
      <c r="G2961" s="194" t="s">
        <v>1209</v>
      </c>
      <c r="H2961" s="195"/>
      <c r="I2961" s="195"/>
      <c r="J2961" s="191" t="s">
        <v>46</v>
      </c>
      <c r="K2961" s="196"/>
      <c r="L2961" s="196">
        <v>60</v>
      </c>
      <c r="M2961" s="251"/>
      <c r="N2961" s="251"/>
      <c r="O2961" s="251"/>
    </row>
    <row r="2962" spans="1:15" ht="11.25" customHeight="1" x14ac:dyDescent="0.2">
      <c r="A2962" s="197">
        <v>2024</v>
      </c>
      <c r="B2962" s="197">
        <v>1</v>
      </c>
      <c r="C2962" s="197">
        <v>11</v>
      </c>
      <c r="D2962" s="198">
        <f t="shared" si="226"/>
        <v>45302</v>
      </c>
      <c r="E2962" s="209">
        <f t="shared" si="227"/>
        <v>45302</v>
      </c>
      <c r="F2962" s="513" t="s">
        <v>1280</v>
      </c>
      <c r="G2962" s="200" t="s">
        <v>1209</v>
      </c>
      <c r="H2962" s="201"/>
      <c r="I2962" s="201" t="s">
        <v>299</v>
      </c>
      <c r="J2962" s="197" t="s">
        <v>16</v>
      </c>
      <c r="K2962" s="202">
        <v>9815840</v>
      </c>
      <c r="L2962" s="202"/>
    </row>
    <row r="2963" spans="1:15" ht="11.25" customHeight="1" x14ac:dyDescent="0.2">
      <c r="A2963" s="120">
        <v>2024</v>
      </c>
      <c r="B2963" s="120">
        <v>1</v>
      </c>
      <c r="C2963" s="120">
        <v>11</v>
      </c>
      <c r="D2963" s="208">
        <f t="shared" si="226"/>
        <v>45302</v>
      </c>
      <c r="E2963" s="209">
        <f t="shared" si="227"/>
        <v>45302</v>
      </c>
      <c r="F2963" s="515"/>
      <c r="G2963" s="132" t="s">
        <v>1209</v>
      </c>
      <c r="I2963" s="128" t="s">
        <v>299</v>
      </c>
      <c r="J2963" s="120" t="s">
        <v>47</v>
      </c>
      <c r="K2963" s="207">
        <v>684160</v>
      </c>
      <c r="L2963" s="207"/>
    </row>
    <row r="2964" spans="1:15" ht="11.25" customHeight="1" x14ac:dyDescent="0.2">
      <c r="A2964" s="191">
        <v>2024</v>
      </c>
      <c r="B2964" s="191">
        <v>1</v>
      </c>
      <c r="C2964" s="191">
        <v>11</v>
      </c>
      <c r="D2964" s="192">
        <f t="shared" si="226"/>
        <v>45302</v>
      </c>
      <c r="E2964" s="193">
        <f t="shared" si="227"/>
        <v>45302</v>
      </c>
      <c r="F2964" s="514"/>
      <c r="G2964" s="194" t="s">
        <v>1209</v>
      </c>
      <c r="H2964" s="195"/>
      <c r="I2964" s="195" t="s">
        <v>299</v>
      </c>
      <c r="J2964" s="191" t="s">
        <v>46</v>
      </c>
      <c r="K2964" s="196"/>
      <c r="L2964" s="196">
        <v>10500000</v>
      </c>
    </row>
    <row r="2965" spans="1:15" ht="11.25" customHeight="1" x14ac:dyDescent="0.2">
      <c r="A2965" s="197">
        <v>2024</v>
      </c>
      <c r="B2965" s="197">
        <v>1</v>
      </c>
      <c r="C2965" s="197">
        <v>11</v>
      </c>
      <c r="D2965" s="198">
        <f t="shared" si="226"/>
        <v>45302</v>
      </c>
      <c r="E2965" s="209">
        <f t="shared" ref="E2965:E2993" si="228">DATE(A2965,B2965,C2965)</f>
        <v>45302</v>
      </c>
      <c r="F2965" s="513" t="s">
        <v>1210</v>
      </c>
      <c r="G2965" s="200" t="s">
        <v>1209</v>
      </c>
      <c r="H2965" s="201"/>
      <c r="I2965" s="201" t="s">
        <v>1531</v>
      </c>
      <c r="J2965" s="197" t="s">
        <v>46</v>
      </c>
      <c r="K2965" s="202">
        <v>1000000</v>
      </c>
      <c r="L2965" s="202"/>
    </row>
    <row r="2966" spans="1:15" ht="11.25" customHeight="1" x14ac:dyDescent="0.2">
      <c r="A2966" s="120">
        <v>2024</v>
      </c>
      <c r="B2966" s="120">
        <v>1</v>
      </c>
      <c r="C2966" s="120">
        <v>11</v>
      </c>
      <c r="D2966" s="208">
        <f t="shared" si="226"/>
        <v>45302</v>
      </c>
      <c r="E2966" s="209">
        <f t="shared" si="228"/>
        <v>45302</v>
      </c>
      <c r="F2966" s="515"/>
      <c r="G2966" s="132" t="s">
        <v>1209</v>
      </c>
      <c r="I2966" s="128" t="s">
        <v>1531</v>
      </c>
      <c r="J2966" s="120" t="s">
        <v>16</v>
      </c>
      <c r="K2966" s="207"/>
      <c r="L2966" s="207">
        <v>934840</v>
      </c>
    </row>
    <row r="2967" spans="1:15" ht="11.25" customHeight="1" x14ac:dyDescent="0.2">
      <c r="A2967" s="191">
        <v>2024</v>
      </c>
      <c r="B2967" s="191">
        <v>1</v>
      </c>
      <c r="C2967" s="191">
        <v>11</v>
      </c>
      <c r="D2967" s="192">
        <f t="shared" si="226"/>
        <v>45302</v>
      </c>
      <c r="E2967" s="193">
        <f t="shared" si="228"/>
        <v>45302</v>
      </c>
      <c r="F2967" s="514"/>
      <c r="G2967" s="194" t="s">
        <v>1209</v>
      </c>
      <c r="H2967" s="195"/>
      <c r="I2967" s="195" t="s">
        <v>1531</v>
      </c>
      <c r="J2967" s="191" t="s">
        <v>47</v>
      </c>
      <c r="K2967" s="196"/>
      <c r="L2967" s="196">
        <v>65160</v>
      </c>
    </row>
    <row r="2968" spans="1:15" ht="11.25" customHeight="1" x14ac:dyDescent="0.2">
      <c r="A2968" s="197">
        <v>2024</v>
      </c>
      <c r="B2968" s="197">
        <v>1</v>
      </c>
      <c r="C2968" s="197">
        <v>11</v>
      </c>
      <c r="D2968" s="198">
        <f t="shared" si="226"/>
        <v>45302</v>
      </c>
      <c r="E2968" s="209">
        <f t="shared" si="228"/>
        <v>45302</v>
      </c>
      <c r="F2968" s="513" t="s">
        <v>1280</v>
      </c>
      <c r="G2968" s="200" t="s">
        <v>1209</v>
      </c>
      <c r="H2968" s="201"/>
      <c r="I2968" s="201" t="s">
        <v>407</v>
      </c>
      <c r="J2968" s="197" t="s">
        <v>16</v>
      </c>
      <c r="K2968" s="202">
        <v>37390</v>
      </c>
      <c r="L2968" s="202"/>
    </row>
    <row r="2969" spans="1:15" ht="11.25" customHeight="1" x14ac:dyDescent="0.2">
      <c r="A2969" s="120">
        <v>2024</v>
      </c>
      <c r="B2969" s="120">
        <v>1</v>
      </c>
      <c r="C2969" s="120">
        <v>11</v>
      </c>
      <c r="D2969" s="208">
        <f t="shared" si="226"/>
        <v>45302</v>
      </c>
      <c r="E2969" s="209">
        <f t="shared" si="228"/>
        <v>45302</v>
      </c>
      <c r="F2969" s="515"/>
      <c r="G2969" s="132" t="s">
        <v>1209</v>
      </c>
      <c r="I2969" s="128" t="s">
        <v>407</v>
      </c>
      <c r="J2969" s="120" t="s">
        <v>47</v>
      </c>
      <c r="K2969" s="207">
        <v>2610</v>
      </c>
      <c r="L2969" s="207"/>
    </row>
    <row r="2970" spans="1:15" ht="11.25" customHeight="1" x14ac:dyDescent="0.2">
      <c r="A2970" s="191">
        <v>2024</v>
      </c>
      <c r="B2970" s="191">
        <v>1</v>
      </c>
      <c r="C2970" s="191">
        <v>11</v>
      </c>
      <c r="D2970" s="192">
        <f t="shared" si="226"/>
        <v>45302</v>
      </c>
      <c r="E2970" s="193">
        <f t="shared" si="228"/>
        <v>45302</v>
      </c>
      <c r="F2970" s="514"/>
      <c r="G2970" s="194" t="s">
        <v>1209</v>
      </c>
      <c r="H2970" s="195"/>
      <c r="I2970" s="195" t="s">
        <v>407</v>
      </c>
      <c r="J2970" s="191" t="s">
        <v>46</v>
      </c>
      <c r="K2970" s="196"/>
      <c r="L2970" s="196">
        <v>40000</v>
      </c>
    </row>
    <row r="2971" spans="1:15" ht="11.25" customHeight="1" x14ac:dyDescent="0.2">
      <c r="A2971" s="197">
        <v>2024</v>
      </c>
      <c r="B2971" s="197">
        <v>1</v>
      </c>
      <c r="C2971" s="197">
        <v>11</v>
      </c>
      <c r="D2971" s="198">
        <f t="shared" si="226"/>
        <v>45302</v>
      </c>
      <c r="E2971" s="290">
        <f t="shared" si="228"/>
        <v>45302</v>
      </c>
      <c r="F2971" s="513" t="s">
        <v>1514</v>
      </c>
      <c r="G2971" s="200" t="s">
        <v>1209</v>
      </c>
      <c r="H2971" s="201"/>
      <c r="I2971" s="201"/>
      <c r="J2971" s="197" t="s">
        <v>54</v>
      </c>
      <c r="K2971" s="202">
        <v>60</v>
      </c>
      <c r="L2971" s="202"/>
      <c r="M2971" s="251"/>
      <c r="N2971" s="251"/>
      <c r="O2971" s="251"/>
    </row>
    <row r="2972" spans="1:15" ht="11.25" customHeight="1" x14ac:dyDescent="0.2">
      <c r="A2972" s="191">
        <v>2024</v>
      </c>
      <c r="B2972" s="191">
        <v>1</v>
      </c>
      <c r="C2972" s="191">
        <v>11</v>
      </c>
      <c r="D2972" s="192">
        <f t="shared" si="226"/>
        <v>45302</v>
      </c>
      <c r="E2972" s="291">
        <f t="shared" si="228"/>
        <v>45302</v>
      </c>
      <c r="F2972" s="514"/>
      <c r="G2972" s="194" t="s">
        <v>1209</v>
      </c>
      <c r="H2972" s="195"/>
      <c r="I2972" s="195"/>
      <c r="J2972" s="191" t="s">
        <v>46</v>
      </c>
      <c r="K2972" s="196"/>
      <c r="L2972" s="196">
        <v>60</v>
      </c>
      <c r="M2972" s="251"/>
      <c r="N2972" s="251"/>
      <c r="O2972" s="251"/>
    </row>
    <row r="2973" spans="1:15" ht="11.25" customHeight="1" x14ac:dyDescent="0.2">
      <c r="A2973" s="210">
        <v>2024</v>
      </c>
      <c r="B2973" s="210">
        <v>1</v>
      </c>
      <c r="C2973" s="210">
        <v>11</v>
      </c>
      <c r="D2973" s="211">
        <f t="shared" si="226"/>
        <v>45302</v>
      </c>
      <c r="E2973" s="238">
        <f t="shared" si="228"/>
        <v>45302</v>
      </c>
      <c r="F2973" s="520" t="s">
        <v>1278</v>
      </c>
      <c r="G2973" s="213" t="s">
        <v>1245</v>
      </c>
      <c r="H2973" s="214"/>
      <c r="I2973" s="214" t="s">
        <v>1253</v>
      </c>
      <c r="J2973" s="210" t="s">
        <v>1529</v>
      </c>
      <c r="K2973" s="215">
        <v>7491.85</v>
      </c>
      <c r="L2973" s="215"/>
    </row>
    <row r="2974" spans="1:15" ht="11.25" customHeight="1" x14ac:dyDescent="0.2">
      <c r="A2974" s="216">
        <v>2024</v>
      </c>
      <c r="B2974" s="216">
        <v>1</v>
      </c>
      <c r="C2974" s="216">
        <v>11</v>
      </c>
      <c r="D2974" s="217">
        <f t="shared" si="226"/>
        <v>45302</v>
      </c>
      <c r="E2974" s="239">
        <f t="shared" si="228"/>
        <v>45302</v>
      </c>
      <c r="F2974" s="521"/>
      <c r="G2974" s="219" t="s">
        <v>1245</v>
      </c>
      <c r="H2974" s="220"/>
      <c r="I2974" s="220" t="s">
        <v>1253</v>
      </c>
      <c r="J2974" s="216" t="s">
        <v>1581</v>
      </c>
      <c r="K2974" s="221"/>
      <c r="L2974" s="221">
        <v>7491.85</v>
      </c>
    </row>
    <row r="2975" spans="1:15" ht="11.25" customHeight="1" x14ac:dyDescent="0.2">
      <c r="A2975" s="210">
        <v>2024</v>
      </c>
      <c r="B2975" s="210">
        <v>1</v>
      </c>
      <c r="C2975" s="210">
        <v>11</v>
      </c>
      <c r="D2975" s="211">
        <f t="shared" si="226"/>
        <v>45302</v>
      </c>
      <c r="E2975" s="238">
        <f t="shared" si="228"/>
        <v>45302</v>
      </c>
      <c r="F2975" s="520" t="s">
        <v>1285</v>
      </c>
      <c r="G2975" s="213" t="s">
        <v>1245</v>
      </c>
      <c r="H2975" s="214"/>
      <c r="I2975" s="214" t="s">
        <v>1253</v>
      </c>
      <c r="J2975" s="210" t="s">
        <v>1284</v>
      </c>
      <c r="K2975" s="215">
        <v>10328.365384615385</v>
      </c>
      <c r="L2975" s="215"/>
    </row>
    <row r="2976" spans="1:15" ht="11.25" customHeight="1" x14ac:dyDescent="0.2">
      <c r="A2976" s="242">
        <v>2024</v>
      </c>
      <c r="B2976" s="216">
        <v>1</v>
      </c>
      <c r="C2976" s="216">
        <v>11</v>
      </c>
      <c r="D2976" s="243">
        <f t="shared" si="226"/>
        <v>45302</v>
      </c>
      <c r="E2976" s="244">
        <f>DATE(A2976,B2976,C2976)</f>
        <v>45302</v>
      </c>
      <c r="F2976" s="524"/>
      <c r="G2976" s="245" t="s">
        <v>1245</v>
      </c>
      <c r="H2976" s="246"/>
      <c r="I2976" s="246"/>
      <c r="J2976" s="242" t="s">
        <v>1582</v>
      </c>
      <c r="K2976" s="247"/>
      <c r="L2976" s="247">
        <v>10328.365384615385</v>
      </c>
    </row>
    <row r="2977" spans="1:14" ht="11.25" customHeight="1" x14ac:dyDescent="0.2">
      <c r="A2977" s="210">
        <v>2024</v>
      </c>
      <c r="B2977" s="210">
        <v>1</v>
      </c>
      <c r="C2977" s="210">
        <v>11</v>
      </c>
      <c r="D2977" s="211">
        <f t="shared" si="226"/>
        <v>45302</v>
      </c>
      <c r="E2977" s="238">
        <f t="shared" si="228"/>
        <v>45302</v>
      </c>
      <c r="F2977" s="520" t="s">
        <v>1259</v>
      </c>
      <c r="G2977" s="213" t="s">
        <v>1245</v>
      </c>
      <c r="H2977" s="214"/>
      <c r="I2977" s="214" t="s">
        <v>1253</v>
      </c>
      <c r="J2977" s="210" t="s">
        <v>58</v>
      </c>
      <c r="K2977" s="215">
        <v>6318.21</v>
      </c>
      <c r="L2977" s="215"/>
    </row>
    <row r="2978" spans="1:14" ht="11.25" customHeight="1" x14ac:dyDescent="0.2">
      <c r="A2978" s="216">
        <v>2024</v>
      </c>
      <c r="B2978" s="216">
        <v>1</v>
      </c>
      <c r="C2978" s="216">
        <v>11</v>
      </c>
      <c r="D2978" s="217">
        <f t="shared" si="226"/>
        <v>45302</v>
      </c>
      <c r="E2978" s="239">
        <f t="shared" si="228"/>
        <v>45302</v>
      </c>
      <c r="F2978" s="521"/>
      <c r="G2978" s="219" t="s">
        <v>1245</v>
      </c>
      <c r="H2978" s="220"/>
      <c r="I2978" s="220" t="s">
        <v>1253</v>
      </c>
      <c r="J2978" s="216" t="s">
        <v>153</v>
      </c>
      <c r="K2978" s="221"/>
      <c r="L2978" s="221">
        <v>6318.21</v>
      </c>
    </row>
    <row r="2979" spans="1:14" ht="11.25" customHeight="1" x14ac:dyDescent="0.2">
      <c r="A2979" s="210">
        <v>2024</v>
      </c>
      <c r="B2979" s="210">
        <v>1</v>
      </c>
      <c r="C2979" s="210">
        <v>11</v>
      </c>
      <c r="D2979" s="211">
        <f t="shared" si="226"/>
        <v>45302</v>
      </c>
      <c r="E2979" s="238">
        <f t="shared" si="228"/>
        <v>45302</v>
      </c>
      <c r="F2979" s="520" t="s">
        <v>1256</v>
      </c>
      <c r="G2979" s="213" t="s">
        <v>1245</v>
      </c>
      <c r="H2979" s="214"/>
      <c r="I2979" s="214" t="s">
        <v>1253</v>
      </c>
      <c r="J2979" s="210" t="s">
        <v>113</v>
      </c>
      <c r="K2979" s="215">
        <v>200802.88461538462</v>
      </c>
      <c r="L2979" s="215"/>
      <c r="N2979" s="130"/>
    </row>
    <row r="2980" spans="1:14" ht="11.25" customHeight="1" x14ac:dyDescent="0.2">
      <c r="A2980" s="216">
        <v>2024</v>
      </c>
      <c r="B2980" s="216">
        <v>1</v>
      </c>
      <c r="C2980" s="216">
        <v>11</v>
      </c>
      <c r="D2980" s="217">
        <f t="shared" si="226"/>
        <v>45302</v>
      </c>
      <c r="E2980" s="239">
        <f t="shared" si="228"/>
        <v>45302</v>
      </c>
      <c r="F2980" s="521"/>
      <c r="G2980" s="219" t="s">
        <v>1245</v>
      </c>
      <c r="H2980" s="220"/>
      <c r="I2980" s="220" t="s">
        <v>1253</v>
      </c>
      <c r="J2980" s="216" t="s">
        <v>153</v>
      </c>
      <c r="K2980" s="221"/>
      <c r="L2980" s="221">
        <v>200802.88461538462</v>
      </c>
    </row>
    <row r="2981" spans="1:14" ht="11.25" customHeight="1" x14ac:dyDescent="0.2">
      <c r="A2981" s="312">
        <v>2024</v>
      </c>
      <c r="B2981" s="312">
        <v>1</v>
      </c>
      <c r="C2981" s="312">
        <v>11</v>
      </c>
      <c r="D2981" s="313">
        <f t="shared" si="226"/>
        <v>45302</v>
      </c>
      <c r="E2981" s="314">
        <f t="shared" si="228"/>
        <v>45302</v>
      </c>
      <c r="F2981" s="522" t="s">
        <v>1477</v>
      </c>
      <c r="G2981" s="315" t="s">
        <v>1245</v>
      </c>
      <c r="H2981" s="316"/>
      <c r="I2981" s="316" t="s">
        <v>1253</v>
      </c>
      <c r="J2981" s="312" t="s">
        <v>1460</v>
      </c>
      <c r="K2981" s="317">
        <v>291027.10000002384</v>
      </c>
      <c r="L2981" s="317"/>
    </row>
    <row r="2982" spans="1:14" ht="11.25" customHeight="1" x14ac:dyDescent="0.2">
      <c r="A2982" s="318">
        <v>2024</v>
      </c>
      <c r="B2982" s="318">
        <v>1</v>
      </c>
      <c r="C2982" s="318">
        <v>11</v>
      </c>
      <c r="D2982" s="319">
        <f t="shared" si="226"/>
        <v>45302</v>
      </c>
      <c r="E2982" s="320">
        <f t="shared" si="228"/>
        <v>45302</v>
      </c>
      <c r="F2982" s="523"/>
      <c r="G2982" s="321" t="s">
        <v>1245</v>
      </c>
      <c r="H2982" s="322"/>
      <c r="I2982" s="322" t="s">
        <v>1253</v>
      </c>
      <c r="J2982" s="318" t="s">
        <v>1458</v>
      </c>
      <c r="K2982" s="323"/>
      <c r="L2982" s="323">
        <v>291027.10000002384</v>
      </c>
    </row>
    <row r="2983" spans="1:14" ht="11.25" customHeight="1" x14ac:dyDescent="0.2">
      <c r="A2983" s="222">
        <v>2024</v>
      </c>
      <c r="B2983" s="222">
        <v>1</v>
      </c>
      <c r="C2983" s="222">
        <v>11</v>
      </c>
      <c r="D2983" s="223">
        <f t="shared" si="226"/>
        <v>45302</v>
      </c>
      <c r="E2983" s="240">
        <f t="shared" si="228"/>
        <v>45302</v>
      </c>
      <c r="F2983" s="511" t="s">
        <v>1244</v>
      </c>
      <c r="G2983" s="225" t="s">
        <v>1245</v>
      </c>
      <c r="H2983" s="226"/>
      <c r="I2983" s="226" t="s">
        <v>1253</v>
      </c>
      <c r="J2983" s="222" t="s">
        <v>87</v>
      </c>
      <c r="K2983" s="227">
        <v>36366.761904761195</v>
      </c>
      <c r="L2983" s="227"/>
    </row>
    <row r="2984" spans="1:14" ht="11.25" customHeight="1" x14ac:dyDescent="0.2">
      <c r="A2984" s="228">
        <v>2024</v>
      </c>
      <c r="B2984" s="228">
        <v>1</v>
      </c>
      <c r="C2984" s="228">
        <v>11</v>
      </c>
      <c r="D2984" s="229">
        <f t="shared" si="226"/>
        <v>45302</v>
      </c>
      <c r="E2984" s="241">
        <f t="shared" si="228"/>
        <v>45302</v>
      </c>
      <c r="F2984" s="512"/>
      <c r="G2984" s="231" t="s">
        <v>1245</v>
      </c>
      <c r="H2984" s="232"/>
      <c r="I2984" s="232" t="s">
        <v>1253</v>
      </c>
      <c r="J2984" s="228" t="s">
        <v>72</v>
      </c>
      <c r="K2984" s="233"/>
      <c r="L2984" s="233">
        <v>36366.761904761195</v>
      </c>
    </row>
    <row r="2985" spans="1:14" ht="11.25" customHeight="1" x14ac:dyDescent="0.2">
      <c r="A2985" s="222">
        <v>2024</v>
      </c>
      <c r="B2985" s="222">
        <v>1</v>
      </c>
      <c r="C2985" s="222">
        <v>11</v>
      </c>
      <c r="D2985" s="223">
        <f t="shared" si="226"/>
        <v>45302</v>
      </c>
      <c r="E2985" s="240">
        <f t="shared" si="228"/>
        <v>45302</v>
      </c>
      <c r="F2985" s="511" t="s">
        <v>1246</v>
      </c>
      <c r="G2985" s="225" t="s">
        <v>1245</v>
      </c>
      <c r="H2985" s="226"/>
      <c r="I2985" s="226" t="s">
        <v>1253</v>
      </c>
      <c r="J2985" s="222" t="s">
        <v>75</v>
      </c>
      <c r="K2985" s="227">
        <v>3623.123846153846</v>
      </c>
      <c r="L2985" s="227"/>
    </row>
    <row r="2986" spans="1:14" ht="11.25" customHeight="1" x14ac:dyDescent="0.2">
      <c r="A2986" s="228">
        <v>2024</v>
      </c>
      <c r="B2986" s="228">
        <v>1</v>
      </c>
      <c r="C2986" s="228">
        <v>11</v>
      </c>
      <c r="D2986" s="229">
        <f t="shared" si="226"/>
        <v>45302</v>
      </c>
      <c r="E2986" s="241">
        <f t="shared" si="228"/>
        <v>45302</v>
      </c>
      <c r="F2986" s="512"/>
      <c r="G2986" s="231" t="s">
        <v>1245</v>
      </c>
      <c r="H2986" s="232"/>
      <c r="I2986" s="232" t="s">
        <v>1253</v>
      </c>
      <c r="J2986" s="228" t="s">
        <v>55</v>
      </c>
      <c r="K2986" s="233"/>
      <c r="L2986" s="233">
        <v>3623.123846153846</v>
      </c>
    </row>
    <row r="2987" spans="1:14" ht="11.25" customHeight="1" x14ac:dyDescent="0.2">
      <c r="A2987" s="222">
        <v>2024</v>
      </c>
      <c r="B2987" s="222">
        <v>1</v>
      </c>
      <c r="C2987" s="222">
        <v>11</v>
      </c>
      <c r="D2987" s="223">
        <f t="shared" si="226"/>
        <v>45302</v>
      </c>
      <c r="E2987" s="240">
        <f t="shared" si="228"/>
        <v>45302</v>
      </c>
      <c r="F2987" s="511" t="s">
        <v>1247</v>
      </c>
      <c r="G2987" s="225" t="s">
        <v>1245</v>
      </c>
      <c r="H2987" s="226"/>
      <c r="I2987" s="226" t="s">
        <v>1253</v>
      </c>
      <c r="J2987" s="222" t="s">
        <v>77</v>
      </c>
      <c r="K2987" s="227">
        <v>28288.873185551372</v>
      </c>
      <c r="L2987" s="227"/>
    </row>
    <row r="2988" spans="1:14" ht="11.25" customHeight="1" x14ac:dyDescent="0.2">
      <c r="A2988" s="228">
        <v>2024</v>
      </c>
      <c r="B2988" s="228">
        <v>1</v>
      </c>
      <c r="C2988" s="228">
        <v>11</v>
      </c>
      <c r="D2988" s="229">
        <f t="shared" si="226"/>
        <v>45302</v>
      </c>
      <c r="E2988" s="241">
        <f t="shared" si="228"/>
        <v>45302</v>
      </c>
      <c r="F2988" s="512"/>
      <c r="G2988" s="231" t="s">
        <v>1245</v>
      </c>
      <c r="H2988" s="232"/>
      <c r="I2988" s="232" t="s">
        <v>1253</v>
      </c>
      <c r="J2988" s="228" t="s">
        <v>41</v>
      </c>
      <c r="K2988" s="233"/>
      <c r="L2988" s="233">
        <v>28288.873185551372</v>
      </c>
    </row>
    <row r="2989" spans="1:14" ht="11.25" customHeight="1" x14ac:dyDescent="0.2">
      <c r="A2989" s="222">
        <v>2024</v>
      </c>
      <c r="B2989" s="222">
        <v>1</v>
      </c>
      <c r="C2989" s="222">
        <v>11</v>
      </c>
      <c r="D2989" s="223">
        <f t="shared" si="226"/>
        <v>45302</v>
      </c>
      <c r="E2989" s="240">
        <f t="shared" si="228"/>
        <v>45302</v>
      </c>
      <c r="F2989" s="511" t="s">
        <v>1248</v>
      </c>
      <c r="G2989" s="225" t="s">
        <v>1245</v>
      </c>
      <c r="H2989" s="226"/>
      <c r="I2989" s="226" t="s">
        <v>1253</v>
      </c>
      <c r="J2989" s="222" t="s">
        <v>80</v>
      </c>
      <c r="K2989" s="227">
        <v>2828.8873185551374</v>
      </c>
      <c r="L2989" s="227"/>
    </row>
    <row r="2990" spans="1:14" ht="11.25" customHeight="1" x14ac:dyDescent="0.2">
      <c r="A2990" s="228">
        <v>2024</v>
      </c>
      <c r="B2990" s="228">
        <v>1</v>
      </c>
      <c r="C2990" s="228">
        <v>11</v>
      </c>
      <c r="D2990" s="229">
        <f t="shared" ref="D2990:D3051" si="229">DATE(A2990,B2990,C2990)</f>
        <v>45302</v>
      </c>
      <c r="E2990" s="241">
        <f t="shared" si="228"/>
        <v>45302</v>
      </c>
      <c r="F2990" s="512"/>
      <c r="G2990" s="231" t="s">
        <v>1245</v>
      </c>
      <c r="H2990" s="232"/>
      <c r="I2990" s="232" t="s">
        <v>1253</v>
      </c>
      <c r="J2990" s="228" t="s">
        <v>42</v>
      </c>
      <c r="K2990" s="233"/>
      <c r="L2990" s="233">
        <v>2828.8873185551374</v>
      </c>
    </row>
    <row r="2991" spans="1:14" ht="11.25" customHeight="1" x14ac:dyDescent="0.2">
      <c r="A2991" s="197">
        <v>2024</v>
      </c>
      <c r="B2991" s="197">
        <v>1</v>
      </c>
      <c r="C2991" s="197">
        <v>14</v>
      </c>
      <c r="D2991" s="198">
        <f t="shared" si="229"/>
        <v>45305</v>
      </c>
      <c r="E2991" s="209">
        <f t="shared" si="228"/>
        <v>45305</v>
      </c>
      <c r="F2991" s="513" t="s">
        <v>1210</v>
      </c>
      <c r="G2991" s="200" t="s">
        <v>1209</v>
      </c>
      <c r="H2991" s="201"/>
      <c r="I2991" s="201" t="s">
        <v>424</v>
      </c>
      <c r="J2991" s="197" t="s">
        <v>46</v>
      </c>
      <c r="K2991" s="202">
        <v>33000</v>
      </c>
      <c r="L2991" s="202"/>
    </row>
    <row r="2992" spans="1:14" ht="11.25" customHeight="1" x14ac:dyDescent="0.2">
      <c r="A2992" s="120">
        <v>2024</v>
      </c>
      <c r="B2992" s="120">
        <v>1</v>
      </c>
      <c r="C2992" s="120">
        <v>14</v>
      </c>
      <c r="D2992" s="208">
        <f t="shared" si="229"/>
        <v>45305</v>
      </c>
      <c r="E2992" s="209">
        <f t="shared" si="228"/>
        <v>45305</v>
      </c>
      <c r="F2992" s="515"/>
      <c r="G2992" s="132" t="s">
        <v>1209</v>
      </c>
      <c r="I2992" s="128" t="s">
        <v>424</v>
      </c>
      <c r="J2992" s="120" t="s">
        <v>16</v>
      </c>
      <c r="K2992" s="207"/>
      <c r="L2992" s="207">
        <v>30800</v>
      </c>
    </row>
    <row r="2993" spans="1:14" ht="11.25" customHeight="1" x14ac:dyDescent="0.2">
      <c r="A2993" s="191">
        <v>2024</v>
      </c>
      <c r="B2993" s="191">
        <v>1</v>
      </c>
      <c r="C2993" s="191">
        <v>14</v>
      </c>
      <c r="D2993" s="192">
        <f t="shared" si="229"/>
        <v>45305</v>
      </c>
      <c r="E2993" s="193">
        <f t="shared" si="228"/>
        <v>45305</v>
      </c>
      <c r="F2993" s="514"/>
      <c r="G2993" s="194" t="s">
        <v>1209</v>
      </c>
      <c r="H2993" s="195"/>
      <c r="I2993" s="195" t="s">
        <v>424</v>
      </c>
      <c r="J2993" s="191" t="s">
        <v>47</v>
      </c>
      <c r="K2993" s="196"/>
      <c r="L2993" s="196">
        <v>2200</v>
      </c>
    </row>
    <row r="2994" spans="1:14" ht="11.25" customHeight="1" x14ac:dyDescent="0.2">
      <c r="A2994" s="197">
        <v>2024</v>
      </c>
      <c r="B2994" s="197">
        <v>1</v>
      </c>
      <c r="C2994" s="197">
        <v>14</v>
      </c>
      <c r="D2994" s="198">
        <f t="shared" si="229"/>
        <v>45305</v>
      </c>
      <c r="E2994" s="209">
        <f>DATE(A2994,B2994,C2994)</f>
        <v>45305</v>
      </c>
      <c r="F2994" s="513" t="s">
        <v>1280</v>
      </c>
      <c r="G2994" s="200" t="s">
        <v>1209</v>
      </c>
      <c r="H2994" s="201"/>
      <c r="I2994" s="201" t="s">
        <v>1310</v>
      </c>
      <c r="J2994" s="197" t="s">
        <v>16</v>
      </c>
      <c r="K2994" s="202">
        <v>492420</v>
      </c>
      <c r="L2994" s="202"/>
    </row>
    <row r="2995" spans="1:14" ht="11.25" customHeight="1" x14ac:dyDescent="0.2">
      <c r="A2995" s="120">
        <v>2024</v>
      </c>
      <c r="B2995" s="120">
        <v>1</v>
      </c>
      <c r="C2995" s="120">
        <v>14</v>
      </c>
      <c r="D2995" s="208">
        <f t="shared" si="229"/>
        <v>45305</v>
      </c>
      <c r="E2995" s="209">
        <f>DATE(A2995,B2995,C2995)</f>
        <v>45305</v>
      </c>
      <c r="F2995" s="515"/>
      <c r="G2995" s="132" t="s">
        <v>1209</v>
      </c>
      <c r="I2995" s="128" t="s">
        <v>1310</v>
      </c>
      <c r="J2995" s="120" t="s">
        <v>47</v>
      </c>
      <c r="K2995" s="207">
        <v>35257.770000000019</v>
      </c>
      <c r="L2995" s="207"/>
    </row>
    <row r="2996" spans="1:14" ht="11.25" customHeight="1" x14ac:dyDescent="0.2">
      <c r="A2996" s="191">
        <v>2024</v>
      </c>
      <c r="B2996" s="191">
        <v>1</v>
      </c>
      <c r="C2996" s="191">
        <v>14</v>
      </c>
      <c r="D2996" s="192">
        <f t="shared" si="229"/>
        <v>45305</v>
      </c>
      <c r="E2996" s="193">
        <f>DATE(A2996,B2996,C2996)</f>
        <v>45305</v>
      </c>
      <c r="F2996" s="514"/>
      <c r="G2996" s="194" t="s">
        <v>1209</v>
      </c>
      <c r="H2996" s="195"/>
      <c r="I2996" s="195" t="s">
        <v>1310</v>
      </c>
      <c r="J2996" s="191" t="s">
        <v>46</v>
      </c>
      <c r="K2996" s="196"/>
      <c r="L2996" s="196">
        <v>527677.77</v>
      </c>
    </row>
    <row r="2997" spans="1:14" ht="11.25" customHeight="1" x14ac:dyDescent="0.2">
      <c r="A2997" s="197">
        <v>2024</v>
      </c>
      <c r="B2997" s="197">
        <v>1</v>
      </c>
      <c r="C2997" s="197">
        <v>14</v>
      </c>
      <c r="D2997" s="198">
        <f t="shared" si="229"/>
        <v>45305</v>
      </c>
      <c r="E2997" s="209">
        <f t="shared" ref="E2997:E3008" si="230">DATE(A2997,B2997,C2997)</f>
        <v>45305</v>
      </c>
      <c r="F2997" s="513" t="s">
        <v>1280</v>
      </c>
      <c r="G2997" s="200" t="s">
        <v>1209</v>
      </c>
      <c r="H2997" s="201"/>
      <c r="I2997" s="201" t="s">
        <v>453</v>
      </c>
      <c r="J2997" s="197" t="s">
        <v>16</v>
      </c>
      <c r="K2997" s="202">
        <v>1399780</v>
      </c>
      <c r="L2997" s="202"/>
    </row>
    <row r="2998" spans="1:14" ht="11.25" customHeight="1" x14ac:dyDescent="0.2">
      <c r="A2998" s="120">
        <v>2024</v>
      </c>
      <c r="B2998" s="120">
        <v>1</v>
      </c>
      <c r="C2998" s="120">
        <v>14</v>
      </c>
      <c r="D2998" s="208">
        <f t="shared" si="229"/>
        <v>45305</v>
      </c>
      <c r="E2998" s="209">
        <f t="shared" si="230"/>
        <v>45305</v>
      </c>
      <c r="F2998" s="515"/>
      <c r="G2998" s="132" t="s">
        <v>1209</v>
      </c>
      <c r="I2998" s="128" t="s">
        <v>453</v>
      </c>
      <c r="J2998" s="120" t="s">
        <v>47</v>
      </c>
      <c r="K2998" s="207">
        <v>100220</v>
      </c>
      <c r="L2998" s="207"/>
    </row>
    <row r="2999" spans="1:14" ht="11.25" customHeight="1" x14ac:dyDescent="0.2">
      <c r="A2999" s="191">
        <v>2024</v>
      </c>
      <c r="B2999" s="191">
        <v>1</v>
      </c>
      <c r="C2999" s="191">
        <v>14</v>
      </c>
      <c r="D2999" s="192">
        <f t="shared" si="229"/>
        <v>45305</v>
      </c>
      <c r="E2999" s="193">
        <f t="shared" si="230"/>
        <v>45305</v>
      </c>
      <c r="F2999" s="514"/>
      <c r="G2999" s="194" t="s">
        <v>1209</v>
      </c>
      <c r="H2999" s="195"/>
      <c r="I2999" s="195" t="s">
        <v>453</v>
      </c>
      <c r="J2999" s="191" t="s">
        <v>46</v>
      </c>
      <c r="K2999" s="196"/>
      <c r="L2999" s="196">
        <v>1500000</v>
      </c>
    </row>
    <row r="3000" spans="1:14" ht="11.25" customHeight="1" x14ac:dyDescent="0.2">
      <c r="A3000" s="197">
        <v>2024</v>
      </c>
      <c r="B3000" s="197">
        <v>1</v>
      </c>
      <c r="C3000" s="197">
        <v>14</v>
      </c>
      <c r="D3000" s="198">
        <f t="shared" si="229"/>
        <v>45305</v>
      </c>
      <c r="E3000" s="199">
        <f t="shared" si="230"/>
        <v>45305</v>
      </c>
      <c r="F3000" s="513" t="s">
        <v>1532</v>
      </c>
      <c r="G3000" s="200" t="s">
        <v>1209</v>
      </c>
      <c r="H3000" s="200"/>
      <c r="I3000" s="201" t="s">
        <v>1253</v>
      </c>
      <c r="J3000" s="197" t="s">
        <v>70</v>
      </c>
      <c r="K3000" s="202">
        <v>74720</v>
      </c>
      <c r="L3000" s="202"/>
    </row>
    <row r="3001" spans="1:14" ht="11.25" customHeight="1" x14ac:dyDescent="0.2">
      <c r="A3001" s="120">
        <v>2024</v>
      </c>
      <c r="B3001" s="120">
        <v>1</v>
      </c>
      <c r="C3001" s="120">
        <v>14</v>
      </c>
      <c r="D3001" s="208">
        <f t="shared" si="229"/>
        <v>45305</v>
      </c>
      <c r="E3001" s="209">
        <f t="shared" si="230"/>
        <v>45305</v>
      </c>
      <c r="F3001" s="515"/>
      <c r="G3001" s="132" t="s">
        <v>1209</v>
      </c>
      <c r="H3001" s="132"/>
      <c r="I3001" s="128" t="s">
        <v>1253</v>
      </c>
      <c r="J3001" s="120" t="s">
        <v>46</v>
      </c>
      <c r="K3001" s="207">
        <v>605280</v>
      </c>
      <c r="L3001" s="207"/>
    </row>
    <row r="3002" spans="1:14" ht="11.25" customHeight="1" x14ac:dyDescent="0.2">
      <c r="A3002" s="191">
        <v>2024</v>
      </c>
      <c r="B3002" s="191">
        <v>1</v>
      </c>
      <c r="C3002" s="191">
        <v>14</v>
      </c>
      <c r="D3002" s="192">
        <f t="shared" si="229"/>
        <v>45305</v>
      </c>
      <c r="E3002" s="193">
        <f t="shared" si="230"/>
        <v>45305</v>
      </c>
      <c r="F3002" s="514"/>
      <c r="G3002" s="194" t="s">
        <v>1209</v>
      </c>
      <c r="H3002" s="194"/>
      <c r="I3002" s="195"/>
      <c r="J3002" s="191" t="s">
        <v>175</v>
      </c>
      <c r="K3002" s="196"/>
      <c r="L3002" s="196">
        <v>680000</v>
      </c>
      <c r="M3002" s="251"/>
    </row>
    <row r="3003" spans="1:14" ht="11.25" customHeight="1" x14ac:dyDescent="0.2">
      <c r="A3003" s="197">
        <v>2024</v>
      </c>
      <c r="B3003" s="120">
        <v>1</v>
      </c>
      <c r="C3003" s="120">
        <v>14</v>
      </c>
      <c r="D3003" s="198">
        <f t="shared" si="229"/>
        <v>45305</v>
      </c>
      <c r="E3003" s="199">
        <f>DATE(A3003,B3003,C3003)</f>
        <v>45305</v>
      </c>
      <c r="F3003" s="513" t="s">
        <v>1390</v>
      </c>
      <c r="G3003" s="200" t="s">
        <v>1209</v>
      </c>
      <c r="H3003" s="200"/>
      <c r="I3003" s="201" t="s">
        <v>1253</v>
      </c>
      <c r="J3003" s="197" t="s">
        <v>178</v>
      </c>
      <c r="K3003" s="202">
        <v>124552.19</v>
      </c>
      <c r="L3003" s="202"/>
    </row>
    <row r="3004" spans="1:14" ht="11.25" customHeight="1" x14ac:dyDescent="0.2">
      <c r="A3004" s="120">
        <v>2024</v>
      </c>
      <c r="B3004" s="120">
        <v>1</v>
      </c>
      <c r="C3004" s="120">
        <v>14</v>
      </c>
      <c r="D3004" s="208">
        <f t="shared" si="229"/>
        <v>45305</v>
      </c>
      <c r="E3004" s="209">
        <f>DATE(A3004,B3004,C3004)</f>
        <v>45305</v>
      </c>
      <c r="F3004" s="515"/>
      <c r="G3004" s="132" t="s">
        <v>1209</v>
      </c>
      <c r="H3004" s="132"/>
      <c r="J3004" s="120" t="s">
        <v>71</v>
      </c>
      <c r="K3004" s="207">
        <v>224.61</v>
      </c>
      <c r="L3004" s="207"/>
    </row>
    <row r="3005" spans="1:14" ht="11.25" customHeight="1" x14ac:dyDescent="0.2">
      <c r="A3005" s="120">
        <v>2024</v>
      </c>
      <c r="B3005" s="120">
        <v>1</v>
      </c>
      <c r="C3005" s="120">
        <v>14</v>
      </c>
      <c r="D3005" s="208">
        <f t="shared" si="229"/>
        <v>45305</v>
      </c>
      <c r="E3005" s="209">
        <f>DATE(A3005,B3005,C3005)</f>
        <v>45305</v>
      </c>
      <c r="F3005" s="515"/>
      <c r="G3005" s="132" t="s">
        <v>1209</v>
      </c>
      <c r="H3005" s="132"/>
      <c r="I3005" s="128" t="s">
        <v>1253</v>
      </c>
      <c r="J3005" s="120" t="s">
        <v>179</v>
      </c>
      <c r="K3005" s="207"/>
      <c r="L3005" s="207">
        <v>87826.8</v>
      </c>
    </row>
    <row r="3006" spans="1:14" ht="11.25" customHeight="1" x14ac:dyDescent="0.2">
      <c r="A3006" s="191">
        <v>2024</v>
      </c>
      <c r="B3006" s="191">
        <v>1</v>
      </c>
      <c r="C3006" s="191">
        <v>14</v>
      </c>
      <c r="D3006" s="192">
        <f t="shared" si="229"/>
        <v>45305</v>
      </c>
      <c r="E3006" s="193">
        <f>DATE(A3006,B3006,C3006)</f>
        <v>45305</v>
      </c>
      <c r="F3006" s="514"/>
      <c r="G3006" s="194" t="s">
        <v>1209</v>
      </c>
      <c r="H3006" s="194"/>
      <c r="I3006" s="195"/>
      <c r="J3006" s="191" t="s">
        <v>70</v>
      </c>
      <c r="K3006" s="196"/>
      <c r="L3006" s="196">
        <v>36950</v>
      </c>
      <c r="M3006" s="251"/>
    </row>
    <row r="3007" spans="1:14" ht="11.25" customHeight="1" x14ac:dyDescent="0.2">
      <c r="A3007" s="197">
        <v>2024</v>
      </c>
      <c r="B3007" s="197">
        <v>1</v>
      </c>
      <c r="C3007" s="197">
        <v>15</v>
      </c>
      <c r="D3007" s="198">
        <f t="shared" si="229"/>
        <v>45306</v>
      </c>
      <c r="E3007" s="199">
        <f t="shared" si="230"/>
        <v>45306</v>
      </c>
      <c r="F3007" s="513" t="s">
        <v>1533</v>
      </c>
      <c r="G3007" s="200" t="s">
        <v>1209</v>
      </c>
      <c r="H3007" s="201"/>
      <c r="I3007" s="201" t="s">
        <v>1253</v>
      </c>
      <c r="J3007" s="197" t="s">
        <v>1455</v>
      </c>
      <c r="K3007" s="202">
        <v>6030845.4000000004</v>
      </c>
      <c r="L3007" s="202"/>
    </row>
    <row r="3008" spans="1:14" ht="11.25" customHeight="1" x14ac:dyDescent="0.2">
      <c r="A3008" s="191">
        <v>2024</v>
      </c>
      <c r="B3008" s="191">
        <v>1</v>
      </c>
      <c r="C3008" s="191">
        <v>15</v>
      </c>
      <c r="D3008" s="192">
        <f t="shared" si="229"/>
        <v>45306</v>
      </c>
      <c r="E3008" s="193">
        <f t="shared" si="230"/>
        <v>45306</v>
      </c>
      <c r="F3008" s="514"/>
      <c r="G3008" s="194" t="s">
        <v>1209</v>
      </c>
      <c r="H3008" s="195"/>
      <c r="I3008" s="195" t="s">
        <v>1253</v>
      </c>
      <c r="J3008" s="191" t="s">
        <v>46</v>
      </c>
      <c r="K3008" s="196"/>
      <c r="L3008" s="196">
        <v>6030845.4000000004</v>
      </c>
      <c r="N3008" s="130"/>
    </row>
    <row r="3009" spans="1:15" ht="11.25" customHeight="1" x14ac:dyDescent="0.2">
      <c r="A3009" s="197">
        <v>2024</v>
      </c>
      <c r="B3009" s="197">
        <v>1</v>
      </c>
      <c r="C3009" s="197">
        <v>15</v>
      </c>
      <c r="D3009" s="198">
        <f t="shared" si="229"/>
        <v>45306</v>
      </c>
      <c r="E3009" s="209">
        <f>DATE(A3009,B3009,C3009)</f>
        <v>45306</v>
      </c>
      <c r="F3009" s="513" t="s">
        <v>1296</v>
      </c>
      <c r="G3009" s="200" t="s">
        <v>1209</v>
      </c>
      <c r="H3009" s="201"/>
      <c r="I3009" s="201"/>
      <c r="J3009" s="197" t="s">
        <v>46</v>
      </c>
      <c r="K3009" s="202">
        <v>35000</v>
      </c>
      <c r="L3009" s="202"/>
    </row>
    <row r="3010" spans="1:15" ht="11.25" customHeight="1" x14ac:dyDescent="0.2">
      <c r="A3010" s="120">
        <v>2024</v>
      </c>
      <c r="B3010" s="120">
        <v>1</v>
      </c>
      <c r="C3010" s="120">
        <v>15</v>
      </c>
      <c r="D3010" s="208">
        <f t="shared" si="229"/>
        <v>45306</v>
      </c>
      <c r="E3010" s="209">
        <f>DATE(A3010,B3010,C3010)</f>
        <v>45306</v>
      </c>
      <c r="F3010" s="515"/>
      <c r="G3010" s="132" t="s">
        <v>1209</v>
      </c>
      <c r="J3010" s="120" t="s">
        <v>16</v>
      </c>
      <c r="K3010" s="207"/>
      <c r="L3010" s="207">
        <v>32660</v>
      </c>
    </row>
    <row r="3011" spans="1:15" ht="11.25" customHeight="1" x14ac:dyDescent="0.2">
      <c r="A3011" s="191">
        <v>2024</v>
      </c>
      <c r="B3011" s="191">
        <v>1</v>
      </c>
      <c r="C3011" s="191">
        <v>15</v>
      </c>
      <c r="D3011" s="192">
        <f t="shared" si="229"/>
        <v>45306</v>
      </c>
      <c r="E3011" s="193">
        <f>DATE(A3011,B3011,C3011)</f>
        <v>45306</v>
      </c>
      <c r="F3011" s="514"/>
      <c r="G3011" s="194" t="s">
        <v>1209</v>
      </c>
      <c r="H3011" s="195"/>
      <c r="I3011" s="195"/>
      <c r="J3011" s="191" t="s">
        <v>47</v>
      </c>
      <c r="K3011" s="196"/>
      <c r="L3011" s="196">
        <v>2340</v>
      </c>
    </row>
    <row r="3012" spans="1:15" ht="11.25" customHeight="1" x14ac:dyDescent="0.2">
      <c r="A3012" s="197">
        <v>2024</v>
      </c>
      <c r="B3012" s="197">
        <v>1</v>
      </c>
      <c r="C3012" s="197">
        <v>16</v>
      </c>
      <c r="D3012" s="198">
        <f t="shared" si="229"/>
        <v>45307</v>
      </c>
      <c r="E3012" s="209">
        <f t="shared" ref="E3012:E3021" si="231">DATE(A3012,B3012,C3012)</f>
        <v>45307</v>
      </c>
      <c r="F3012" s="513" t="s">
        <v>1280</v>
      </c>
      <c r="G3012" s="200" t="s">
        <v>1209</v>
      </c>
      <c r="H3012" s="201"/>
      <c r="I3012" s="201" t="s">
        <v>1498</v>
      </c>
      <c r="J3012" s="197" t="s">
        <v>16</v>
      </c>
      <c r="K3012" s="202">
        <v>467000</v>
      </c>
      <c r="L3012" s="202"/>
    </row>
    <row r="3013" spans="1:15" ht="11.25" customHeight="1" x14ac:dyDescent="0.2">
      <c r="A3013" s="120">
        <v>2024</v>
      </c>
      <c r="B3013" s="120">
        <v>1</v>
      </c>
      <c r="C3013" s="120">
        <v>16</v>
      </c>
      <c r="D3013" s="208">
        <f t="shared" si="229"/>
        <v>45307</v>
      </c>
      <c r="E3013" s="209">
        <f t="shared" si="231"/>
        <v>45307</v>
      </c>
      <c r="F3013" s="515"/>
      <c r="G3013" s="132" t="s">
        <v>1209</v>
      </c>
      <c r="I3013" s="128" t="s">
        <v>1498</v>
      </c>
      <c r="J3013" s="120" t="s">
        <v>47</v>
      </c>
      <c r="K3013" s="207">
        <v>33437.200000000012</v>
      </c>
      <c r="L3013" s="207"/>
    </row>
    <row r="3014" spans="1:15" ht="11.25" customHeight="1" x14ac:dyDescent="0.2">
      <c r="A3014" s="191">
        <v>2024</v>
      </c>
      <c r="B3014" s="191">
        <v>1</v>
      </c>
      <c r="C3014" s="191">
        <v>16</v>
      </c>
      <c r="D3014" s="192">
        <f t="shared" si="229"/>
        <v>45307</v>
      </c>
      <c r="E3014" s="193">
        <f t="shared" si="231"/>
        <v>45307</v>
      </c>
      <c r="F3014" s="514"/>
      <c r="G3014" s="194" t="s">
        <v>1209</v>
      </c>
      <c r="H3014" s="195"/>
      <c r="I3014" s="195" t="s">
        <v>1498</v>
      </c>
      <c r="J3014" s="191" t="s">
        <v>46</v>
      </c>
      <c r="K3014" s="196"/>
      <c r="L3014" s="196">
        <v>500437.2</v>
      </c>
    </row>
    <row r="3015" spans="1:15" ht="11.25" customHeight="1" x14ac:dyDescent="0.2">
      <c r="A3015" s="197">
        <v>2024</v>
      </c>
      <c r="B3015" s="197">
        <v>1</v>
      </c>
      <c r="C3015" s="197">
        <v>16</v>
      </c>
      <c r="D3015" s="198">
        <f t="shared" si="229"/>
        <v>45307</v>
      </c>
      <c r="E3015" s="209">
        <f t="shared" si="231"/>
        <v>45307</v>
      </c>
      <c r="F3015" s="513" t="s">
        <v>1210</v>
      </c>
      <c r="G3015" s="200" t="s">
        <v>1209</v>
      </c>
      <c r="H3015" s="201"/>
      <c r="I3015" s="201" t="s">
        <v>355</v>
      </c>
      <c r="J3015" s="197" t="s">
        <v>46</v>
      </c>
      <c r="K3015" s="202">
        <v>1250000</v>
      </c>
      <c r="L3015" s="202"/>
    </row>
    <row r="3016" spans="1:15" ht="11.25" customHeight="1" x14ac:dyDescent="0.2">
      <c r="A3016" s="120">
        <v>2024</v>
      </c>
      <c r="B3016" s="120">
        <v>1</v>
      </c>
      <c r="C3016" s="120">
        <v>16</v>
      </c>
      <c r="D3016" s="208">
        <f t="shared" si="229"/>
        <v>45307</v>
      </c>
      <c r="E3016" s="209">
        <f t="shared" si="231"/>
        <v>45307</v>
      </c>
      <c r="F3016" s="515"/>
      <c r="G3016" s="132" t="s">
        <v>1209</v>
      </c>
      <c r="I3016" s="128" t="s">
        <v>355</v>
      </c>
      <c r="J3016" s="120" t="s">
        <v>16</v>
      </c>
      <c r="K3016" s="207"/>
      <c r="L3016" s="207">
        <v>1166480</v>
      </c>
    </row>
    <row r="3017" spans="1:15" ht="11.25" customHeight="1" x14ac:dyDescent="0.2">
      <c r="A3017" s="191">
        <v>2024</v>
      </c>
      <c r="B3017" s="191">
        <v>1</v>
      </c>
      <c r="C3017" s="191">
        <v>16</v>
      </c>
      <c r="D3017" s="192">
        <f t="shared" si="229"/>
        <v>45307</v>
      </c>
      <c r="E3017" s="193">
        <f t="shared" si="231"/>
        <v>45307</v>
      </c>
      <c r="F3017" s="514"/>
      <c r="G3017" s="194" t="s">
        <v>1209</v>
      </c>
      <c r="H3017" s="195"/>
      <c r="I3017" s="195" t="s">
        <v>355</v>
      </c>
      <c r="J3017" s="191" t="s">
        <v>47</v>
      </c>
      <c r="K3017" s="196"/>
      <c r="L3017" s="196">
        <v>83520</v>
      </c>
    </row>
    <row r="3018" spans="1:15" ht="11.25" customHeight="1" x14ac:dyDescent="0.2">
      <c r="A3018" s="197">
        <v>2024</v>
      </c>
      <c r="B3018" s="197">
        <v>1</v>
      </c>
      <c r="C3018" s="197">
        <v>16</v>
      </c>
      <c r="D3018" s="198">
        <f t="shared" si="229"/>
        <v>45307</v>
      </c>
      <c r="E3018" s="290">
        <f t="shared" si="231"/>
        <v>45307</v>
      </c>
      <c r="F3018" s="513" t="s">
        <v>1514</v>
      </c>
      <c r="G3018" s="200" t="s">
        <v>1209</v>
      </c>
      <c r="H3018" s="201"/>
      <c r="I3018" s="201"/>
      <c r="J3018" s="197" t="s">
        <v>54</v>
      </c>
      <c r="K3018" s="202">
        <v>25</v>
      </c>
      <c r="L3018" s="202"/>
      <c r="M3018" s="251"/>
      <c r="N3018" s="251"/>
      <c r="O3018" s="251"/>
    </row>
    <row r="3019" spans="1:15" ht="11.25" customHeight="1" x14ac:dyDescent="0.2">
      <c r="A3019" s="191">
        <v>2024</v>
      </c>
      <c r="B3019" s="191">
        <v>1</v>
      </c>
      <c r="C3019" s="191">
        <v>16</v>
      </c>
      <c r="D3019" s="192">
        <f t="shared" si="229"/>
        <v>45307</v>
      </c>
      <c r="E3019" s="291">
        <f t="shared" si="231"/>
        <v>45307</v>
      </c>
      <c r="F3019" s="514"/>
      <c r="G3019" s="194" t="s">
        <v>1209</v>
      </c>
      <c r="H3019" s="195"/>
      <c r="I3019" s="195"/>
      <c r="J3019" s="191" t="s">
        <v>46</v>
      </c>
      <c r="K3019" s="196"/>
      <c r="L3019" s="196">
        <v>25</v>
      </c>
      <c r="M3019" s="251"/>
      <c r="N3019" s="251"/>
      <c r="O3019" s="251"/>
    </row>
    <row r="3020" spans="1:15" ht="11.25" customHeight="1" x14ac:dyDescent="0.2">
      <c r="A3020" s="197">
        <v>2024</v>
      </c>
      <c r="B3020" s="197">
        <v>1</v>
      </c>
      <c r="C3020" s="197">
        <v>17</v>
      </c>
      <c r="D3020" s="198">
        <f t="shared" si="229"/>
        <v>45308</v>
      </c>
      <c r="E3020" s="199">
        <f t="shared" si="231"/>
        <v>45308</v>
      </c>
      <c r="F3020" s="513" t="s">
        <v>1391</v>
      </c>
      <c r="G3020" s="200" t="s">
        <v>1209</v>
      </c>
      <c r="H3020" s="201"/>
      <c r="I3020" s="201"/>
      <c r="J3020" s="197" t="s">
        <v>46</v>
      </c>
      <c r="K3020" s="202">
        <v>124552.2</v>
      </c>
      <c r="L3020" s="202"/>
    </row>
    <row r="3021" spans="1:15" ht="11.25" customHeight="1" x14ac:dyDescent="0.2">
      <c r="A3021" s="191">
        <v>2024</v>
      </c>
      <c r="B3021" s="191">
        <v>1</v>
      </c>
      <c r="C3021" s="191">
        <v>17</v>
      </c>
      <c r="D3021" s="192">
        <f t="shared" si="229"/>
        <v>45308</v>
      </c>
      <c r="E3021" s="193">
        <f t="shared" si="231"/>
        <v>45308</v>
      </c>
      <c r="F3021" s="514"/>
      <c r="G3021" s="194" t="s">
        <v>1209</v>
      </c>
      <c r="H3021" s="195"/>
      <c r="I3021" s="195"/>
      <c r="J3021" s="191" t="s">
        <v>178</v>
      </c>
      <c r="K3021" s="196"/>
      <c r="L3021" s="196">
        <v>124552.19</v>
      </c>
    </row>
    <row r="3022" spans="1:15" ht="11.25" customHeight="1" x14ac:dyDescent="0.2">
      <c r="A3022" s="197">
        <v>2024</v>
      </c>
      <c r="B3022" s="197">
        <v>1</v>
      </c>
      <c r="C3022" s="197">
        <v>18</v>
      </c>
      <c r="D3022" s="198">
        <f t="shared" si="229"/>
        <v>45309</v>
      </c>
      <c r="E3022" s="209">
        <f>DATE(A3022,B3022,C3022)</f>
        <v>45309</v>
      </c>
      <c r="F3022" s="513" t="s">
        <v>1280</v>
      </c>
      <c r="G3022" s="200" t="s">
        <v>1209</v>
      </c>
      <c r="H3022" s="201"/>
      <c r="I3022" s="201" t="s">
        <v>1498</v>
      </c>
      <c r="J3022" s="197" t="s">
        <v>16</v>
      </c>
      <c r="K3022" s="202">
        <v>37940</v>
      </c>
      <c r="L3022" s="202"/>
    </row>
    <row r="3023" spans="1:15" ht="11.25" customHeight="1" x14ac:dyDescent="0.2">
      <c r="A3023" s="120">
        <v>2024</v>
      </c>
      <c r="B3023" s="120">
        <v>1</v>
      </c>
      <c r="C3023" s="120">
        <v>18</v>
      </c>
      <c r="D3023" s="208">
        <f t="shared" si="229"/>
        <v>45309</v>
      </c>
      <c r="E3023" s="209">
        <f>DATE(A3023,B3023,C3023)</f>
        <v>45309</v>
      </c>
      <c r="F3023" s="515"/>
      <c r="G3023" s="132" t="s">
        <v>1209</v>
      </c>
      <c r="I3023" s="128" t="s">
        <v>1498</v>
      </c>
      <c r="J3023" s="120" t="s">
        <v>47</v>
      </c>
      <c r="K3023" s="207">
        <v>2716.5</v>
      </c>
      <c r="L3023" s="207"/>
    </row>
    <row r="3024" spans="1:15" ht="11.25" customHeight="1" x14ac:dyDescent="0.2">
      <c r="A3024" s="191">
        <v>2024</v>
      </c>
      <c r="B3024" s="191">
        <v>1</v>
      </c>
      <c r="C3024" s="191">
        <v>18</v>
      </c>
      <c r="D3024" s="192">
        <f t="shared" si="229"/>
        <v>45309</v>
      </c>
      <c r="E3024" s="193">
        <f>DATE(A3024,B3024,C3024)</f>
        <v>45309</v>
      </c>
      <c r="F3024" s="514"/>
      <c r="G3024" s="194" t="s">
        <v>1209</v>
      </c>
      <c r="H3024" s="195"/>
      <c r="I3024" s="195" t="s">
        <v>1498</v>
      </c>
      <c r="J3024" s="191" t="s">
        <v>46</v>
      </c>
      <c r="K3024" s="196"/>
      <c r="L3024" s="196">
        <v>40656.5</v>
      </c>
    </row>
    <row r="3025" spans="1:15" ht="11.25" customHeight="1" x14ac:dyDescent="0.2">
      <c r="A3025" s="197">
        <v>2024</v>
      </c>
      <c r="B3025" s="197">
        <v>1</v>
      </c>
      <c r="C3025" s="197">
        <v>18</v>
      </c>
      <c r="D3025" s="198">
        <f t="shared" si="229"/>
        <v>45309</v>
      </c>
      <c r="E3025" s="209">
        <f t="shared" ref="E3025:E3030" si="232">DATE(A3025,B3025,C3025)</f>
        <v>45309</v>
      </c>
      <c r="F3025" s="513" t="s">
        <v>1210</v>
      </c>
      <c r="G3025" s="200" t="s">
        <v>1209</v>
      </c>
      <c r="H3025" s="201"/>
      <c r="I3025" s="201" t="s">
        <v>481</v>
      </c>
      <c r="J3025" s="197" t="s">
        <v>46</v>
      </c>
      <c r="K3025" s="202">
        <v>30000</v>
      </c>
      <c r="L3025" s="202"/>
    </row>
    <row r="3026" spans="1:15" ht="11.25" customHeight="1" x14ac:dyDescent="0.2">
      <c r="A3026" s="120">
        <v>2024</v>
      </c>
      <c r="B3026" s="120">
        <v>1</v>
      </c>
      <c r="C3026" s="120">
        <v>18</v>
      </c>
      <c r="D3026" s="208">
        <f t="shared" si="229"/>
        <v>45309</v>
      </c>
      <c r="E3026" s="209">
        <f t="shared" si="232"/>
        <v>45309</v>
      </c>
      <c r="F3026" s="515"/>
      <c r="G3026" s="132" t="s">
        <v>1209</v>
      </c>
      <c r="I3026" s="128" t="s">
        <v>481</v>
      </c>
      <c r="J3026" s="120" t="s">
        <v>16</v>
      </c>
      <c r="K3026" s="207"/>
      <c r="L3026" s="207">
        <v>28000</v>
      </c>
    </row>
    <row r="3027" spans="1:15" ht="11.25" customHeight="1" x14ac:dyDescent="0.2">
      <c r="A3027" s="191">
        <v>2024</v>
      </c>
      <c r="B3027" s="191">
        <v>1</v>
      </c>
      <c r="C3027" s="191">
        <v>18</v>
      </c>
      <c r="D3027" s="192">
        <f t="shared" si="229"/>
        <v>45309</v>
      </c>
      <c r="E3027" s="193">
        <f t="shared" si="232"/>
        <v>45309</v>
      </c>
      <c r="F3027" s="514"/>
      <c r="G3027" s="194" t="s">
        <v>1209</v>
      </c>
      <c r="H3027" s="195"/>
      <c r="I3027" s="195" t="s">
        <v>481</v>
      </c>
      <c r="J3027" s="191" t="s">
        <v>47</v>
      </c>
      <c r="K3027" s="196"/>
      <c r="L3027" s="196">
        <v>2000</v>
      </c>
    </row>
    <row r="3028" spans="1:15" ht="11.25" customHeight="1" x14ac:dyDescent="0.2">
      <c r="A3028" s="197">
        <v>2024</v>
      </c>
      <c r="B3028" s="197">
        <v>1</v>
      </c>
      <c r="C3028" s="197">
        <v>18</v>
      </c>
      <c r="D3028" s="198">
        <f t="shared" si="229"/>
        <v>45309</v>
      </c>
      <c r="E3028" s="209">
        <f t="shared" si="232"/>
        <v>45309</v>
      </c>
      <c r="F3028" s="513" t="s">
        <v>1210</v>
      </c>
      <c r="G3028" s="200" t="s">
        <v>1209</v>
      </c>
      <c r="H3028" s="201"/>
      <c r="I3028" s="201" t="s">
        <v>398</v>
      </c>
      <c r="J3028" s="197" t="s">
        <v>46</v>
      </c>
      <c r="K3028" s="202">
        <v>5000000</v>
      </c>
      <c r="L3028" s="202"/>
    </row>
    <row r="3029" spans="1:15" ht="11.25" customHeight="1" x14ac:dyDescent="0.2">
      <c r="A3029" s="120">
        <v>2024</v>
      </c>
      <c r="B3029" s="120">
        <v>1</v>
      </c>
      <c r="C3029" s="120">
        <v>18</v>
      </c>
      <c r="D3029" s="208">
        <f t="shared" si="229"/>
        <v>45309</v>
      </c>
      <c r="E3029" s="209">
        <f t="shared" si="232"/>
        <v>45309</v>
      </c>
      <c r="F3029" s="515"/>
      <c r="G3029" s="132" t="s">
        <v>1209</v>
      </c>
      <c r="I3029" s="128" t="s">
        <v>398</v>
      </c>
      <c r="J3029" s="120" t="s">
        <v>16</v>
      </c>
      <c r="K3029" s="207"/>
      <c r="L3029" s="207">
        <v>4665920</v>
      </c>
    </row>
    <row r="3030" spans="1:15" ht="11.25" customHeight="1" x14ac:dyDescent="0.2">
      <c r="A3030" s="191">
        <v>2024</v>
      </c>
      <c r="B3030" s="191">
        <v>1</v>
      </c>
      <c r="C3030" s="191">
        <v>18</v>
      </c>
      <c r="D3030" s="192">
        <f t="shared" si="229"/>
        <v>45309</v>
      </c>
      <c r="E3030" s="193">
        <f t="shared" si="232"/>
        <v>45309</v>
      </c>
      <c r="F3030" s="514"/>
      <c r="G3030" s="194" t="s">
        <v>1209</v>
      </c>
      <c r="H3030" s="195"/>
      <c r="I3030" s="195" t="s">
        <v>398</v>
      </c>
      <c r="J3030" s="191" t="s">
        <v>47</v>
      </c>
      <c r="K3030" s="196"/>
      <c r="L3030" s="196">
        <v>334080</v>
      </c>
    </row>
    <row r="3031" spans="1:15" ht="11.25" customHeight="1" x14ac:dyDescent="0.2">
      <c r="A3031" s="197">
        <v>2024</v>
      </c>
      <c r="B3031" s="197">
        <v>1</v>
      </c>
      <c r="C3031" s="197">
        <v>18</v>
      </c>
      <c r="D3031" s="198">
        <f t="shared" si="229"/>
        <v>45309</v>
      </c>
      <c r="E3031" s="209">
        <f t="shared" ref="E3031:E3036" si="233">DATE(A3031,B3031,C3031)</f>
        <v>45309</v>
      </c>
      <c r="F3031" s="513" t="s">
        <v>1280</v>
      </c>
      <c r="G3031" s="200" t="s">
        <v>1209</v>
      </c>
      <c r="H3031" s="201"/>
      <c r="I3031" s="201" t="s">
        <v>1479</v>
      </c>
      <c r="J3031" s="197" t="s">
        <v>16</v>
      </c>
      <c r="K3031" s="202">
        <v>9331840</v>
      </c>
      <c r="L3031" s="202"/>
    </row>
    <row r="3032" spans="1:15" ht="11.25" customHeight="1" x14ac:dyDescent="0.2">
      <c r="A3032" s="120">
        <v>2024</v>
      </c>
      <c r="B3032" s="120">
        <v>1</v>
      </c>
      <c r="C3032" s="120">
        <v>18</v>
      </c>
      <c r="D3032" s="208">
        <f t="shared" si="229"/>
        <v>45309</v>
      </c>
      <c r="E3032" s="209">
        <f t="shared" si="233"/>
        <v>45309</v>
      </c>
      <c r="F3032" s="515"/>
      <c r="G3032" s="132" t="s">
        <v>1209</v>
      </c>
      <c r="I3032" s="128" t="s">
        <v>1479</v>
      </c>
      <c r="J3032" s="120" t="s">
        <v>47</v>
      </c>
      <c r="K3032" s="207">
        <v>668160</v>
      </c>
      <c r="L3032" s="207"/>
    </row>
    <row r="3033" spans="1:15" ht="11.25" customHeight="1" x14ac:dyDescent="0.2">
      <c r="A3033" s="191">
        <v>2024</v>
      </c>
      <c r="B3033" s="191">
        <v>1</v>
      </c>
      <c r="C3033" s="191">
        <v>18</v>
      </c>
      <c r="D3033" s="192">
        <f t="shared" si="229"/>
        <v>45309</v>
      </c>
      <c r="E3033" s="193">
        <f t="shared" si="233"/>
        <v>45309</v>
      </c>
      <c r="F3033" s="514"/>
      <c r="G3033" s="194" t="s">
        <v>1209</v>
      </c>
      <c r="H3033" s="195"/>
      <c r="I3033" s="195" t="s">
        <v>1479</v>
      </c>
      <c r="J3033" s="191" t="s">
        <v>46</v>
      </c>
      <c r="K3033" s="196"/>
      <c r="L3033" s="196">
        <v>10000000</v>
      </c>
    </row>
    <row r="3034" spans="1:15" ht="11.25" customHeight="1" x14ac:dyDescent="0.2">
      <c r="A3034" s="197">
        <v>2024</v>
      </c>
      <c r="B3034" s="197">
        <v>1</v>
      </c>
      <c r="C3034" s="197">
        <v>18</v>
      </c>
      <c r="D3034" s="198">
        <f t="shared" si="229"/>
        <v>45309</v>
      </c>
      <c r="E3034" s="209">
        <f t="shared" si="233"/>
        <v>45309</v>
      </c>
      <c r="F3034" s="513" t="s">
        <v>1210</v>
      </c>
      <c r="G3034" s="200" t="s">
        <v>1209</v>
      </c>
      <c r="H3034" s="201"/>
      <c r="I3034" s="201" t="s">
        <v>355</v>
      </c>
      <c r="J3034" s="197" t="s">
        <v>46</v>
      </c>
      <c r="K3034" s="202">
        <v>550000</v>
      </c>
      <c r="L3034" s="202"/>
    </row>
    <row r="3035" spans="1:15" ht="11.25" customHeight="1" x14ac:dyDescent="0.2">
      <c r="A3035" s="120">
        <v>2024</v>
      </c>
      <c r="B3035" s="120">
        <v>1</v>
      </c>
      <c r="C3035" s="120">
        <v>18</v>
      </c>
      <c r="D3035" s="208">
        <f t="shared" si="229"/>
        <v>45309</v>
      </c>
      <c r="E3035" s="209">
        <f t="shared" si="233"/>
        <v>45309</v>
      </c>
      <c r="F3035" s="515"/>
      <c r="G3035" s="132" t="s">
        <v>1209</v>
      </c>
      <c r="I3035" s="128" t="s">
        <v>355</v>
      </c>
      <c r="J3035" s="120" t="s">
        <v>16</v>
      </c>
      <c r="K3035" s="207"/>
      <c r="L3035" s="207">
        <v>513260</v>
      </c>
    </row>
    <row r="3036" spans="1:15" ht="11.25" customHeight="1" x14ac:dyDescent="0.2">
      <c r="A3036" s="191">
        <v>2024</v>
      </c>
      <c r="B3036" s="191">
        <v>1</v>
      </c>
      <c r="C3036" s="191">
        <v>18</v>
      </c>
      <c r="D3036" s="192">
        <f t="shared" si="229"/>
        <v>45309</v>
      </c>
      <c r="E3036" s="193">
        <f t="shared" si="233"/>
        <v>45309</v>
      </c>
      <c r="F3036" s="514"/>
      <c r="G3036" s="194" t="s">
        <v>1209</v>
      </c>
      <c r="H3036" s="195"/>
      <c r="I3036" s="195" t="s">
        <v>355</v>
      </c>
      <c r="J3036" s="191" t="s">
        <v>47</v>
      </c>
      <c r="K3036" s="196"/>
      <c r="L3036" s="196">
        <v>36740</v>
      </c>
    </row>
    <row r="3037" spans="1:15" ht="11.25" customHeight="1" x14ac:dyDescent="0.2">
      <c r="A3037" s="197">
        <v>2024</v>
      </c>
      <c r="B3037" s="197">
        <v>1</v>
      </c>
      <c r="C3037" s="197">
        <v>18</v>
      </c>
      <c r="D3037" s="198">
        <f t="shared" si="229"/>
        <v>45309</v>
      </c>
      <c r="E3037" s="290">
        <f t="shared" ref="E3037:E3056" si="234">DATE(A3037,B3037,C3037)</f>
        <v>45309</v>
      </c>
      <c r="F3037" s="513" t="s">
        <v>1514</v>
      </c>
      <c r="G3037" s="200" t="s">
        <v>1209</v>
      </c>
      <c r="H3037" s="201"/>
      <c r="I3037" s="201"/>
      <c r="J3037" s="197" t="s">
        <v>54</v>
      </c>
      <c r="K3037" s="202">
        <v>100</v>
      </c>
      <c r="L3037" s="202"/>
      <c r="M3037" s="251"/>
      <c r="N3037" s="251"/>
      <c r="O3037" s="251"/>
    </row>
    <row r="3038" spans="1:15" ht="11.25" customHeight="1" x14ac:dyDescent="0.2">
      <c r="A3038" s="191">
        <v>2024</v>
      </c>
      <c r="B3038" s="191">
        <v>1</v>
      </c>
      <c r="C3038" s="191">
        <v>18</v>
      </c>
      <c r="D3038" s="192">
        <f t="shared" si="229"/>
        <v>45309</v>
      </c>
      <c r="E3038" s="291">
        <f t="shared" si="234"/>
        <v>45309</v>
      </c>
      <c r="F3038" s="514"/>
      <c r="G3038" s="194" t="s">
        <v>1209</v>
      </c>
      <c r="H3038" s="195"/>
      <c r="I3038" s="195"/>
      <c r="J3038" s="191" t="s">
        <v>46</v>
      </c>
      <c r="K3038" s="196"/>
      <c r="L3038" s="196">
        <v>100</v>
      </c>
      <c r="M3038" s="251"/>
      <c r="N3038" s="251"/>
      <c r="O3038" s="251"/>
    </row>
    <row r="3039" spans="1:15" ht="11.25" customHeight="1" x14ac:dyDescent="0.2">
      <c r="A3039" s="210">
        <v>2024</v>
      </c>
      <c r="B3039" s="210">
        <v>1</v>
      </c>
      <c r="C3039" s="210">
        <v>18</v>
      </c>
      <c r="D3039" s="211">
        <f t="shared" si="229"/>
        <v>45309</v>
      </c>
      <c r="E3039" s="238">
        <f t="shared" si="234"/>
        <v>45309</v>
      </c>
      <c r="F3039" s="520" t="s">
        <v>1278</v>
      </c>
      <c r="G3039" s="213" t="s">
        <v>1245</v>
      </c>
      <c r="H3039" s="214"/>
      <c r="I3039" s="214" t="s">
        <v>1253</v>
      </c>
      <c r="J3039" s="210" t="s">
        <v>1529</v>
      </c>
      <c r="K3039" s="215">
        <v>7491.85</v>
      </c>
      <c r="L3039" s="215"/>
    </row>
    <row r="3040" spans="1:15" ht="11.25" customHeight="1" x14ac:dyDescent="0.2">
      <c r="A3040" s="216">
        <v>2024</v>
      </c>
      <c r="B3040" s="216">
        <v>1</v>
      </c>
      <c r="C3040" s="216">
        <v>18</v>
      </c>
      <c r="D3040" s="217">
        <f t="shared" si="229"/>
        <v>45309</v>
      </c>
      <c r="E3040" s="239">
        <f t="shared" si="234"/>
        <v>45309</v>
      </c>
      <c r="F3040" s="521"/>
      <c r="G3040" s="219" t="s">
        <v>1245</v>
      </c>
      <c r="H3040" s="220"/>
      <c r="I3040" s="220" t="s">
        <v>1253</v>
      </c>
      <c r="J3040" s="216" t="s">
        <v>1581</v>
      </c>
      <c r="K3040" s="221"/>
      <c r="L3040" s="221">
        <v>7491.85</v>
      </c>
    </row>
    <row r="3041" spans="1:14" ht="11.25" customHeight="1" x14ac:dyDescent="0.2">
      <c r="A3041" s="210">
        <v>2024</v>
      </c>
      <c r="B3041" s="210">
        <v>1</v>
      </c>
      <c r="C3041" s="210">
        <v>18</v>
      </c>
      <c r="D3041" s="211">
        <f t="shared" si="229"/>
        <v>45309</v>
      </c>
      <c r="E3041" s="238">
        <f t="shared" si="234"/>
        <v>45309</v>
      </c>
      <c r="F3041" s="520" t="s">
        <v>1285</v>
      </c>
      <c r="G3041" s="213" t="s">
        <v>1245</v>
      </c>
      <c r="H3041" s="214"/>
      <c r="I3041" s="214" t="s">
        <v>1253</v>
      </c>
      <c r="J3041" s="210" t="s">
        <v>1284</v>
      </c>
      <c r="K3041" s="215">
        <v>10328.365384615385</v>
      </c>
      <c r="L3041" s="215"/>
    </row>
    <row r="3042" spans="1:14" ht="11.25" customHeight="1" x14ac:dyDescent="0.2">
      <c r="A3042" s="242">
        <v>2024</v>
      </c>
      <c r="B3042" s="216">
        <v>1</v>
      </c>
      <c r="C3042" s="216">
        <v>18</v>
      </c>
      <c r="D3042" s="243">
        <f t="shared" si="229"/>
        <v>45309</v>
      </c>
      <c r="E3042" s="244">
        <f>DATE(A3042,B3042,C3042)</f>
        <v>45309</v>
      </c>
      <c r="F3042" s="524"/>
      <c r="G3042" s="245" t="s">
        <v>1245</v>
      </c>
      <c r="H3042" s="246"/>
      <c r="I3042" s="246"/>
      <c r="J3042" s="242" t="s">
        <v>1582</v>
      </c>
      <c r="K3042" s="247"/>
      <c r="L3042" s="247">
        <v>10328.365384615385</v>
      </c>
    </row>
    <row r="3043" spans="1:14" ht="11.25" customHeight="1" x14ac:dyDescent="0.2">
      <c r="A3043" s="210">
        <v>2024</v>
      </c>
      <c r="B3043" s="210">
        <v>1</v>
      </c>
      <c r="C3043" s="210">
        <v>18</v>
      </c>
      <c r="D3043" s="211">
        <f t="shared" si="229"/>
        <v>45309</v>
      </c>
      <c r="E3043" s="238">
        <f t="shared" si="234"/>
        <v>45309</v>
      </c>
      <c r="F3043" s="520" t="s">
        <v>1259</v>
      </c>
      <c r="G3043" s="213" t="s">
        <v>1245</v>
      </c>
      <c r="H3043" s="214"/>
      <c r="I3043" s="214" t="s">
        <v>1253</v>
      </c>
      <c r="J3043" s="210" t="s">
        <v>58</v>
      </c>
      <c r="K3043" s="215">
        <v>8227.9699999999993</v>
      </c>
      <c r="L3043" s="215"/>
    </row>
    <row r="3044" spans="1:14" ht="11.25" customHeight="1" x14ac:dyDescent="0.2">
      <c r="A3044" s="216">
        <v>2024</v>
      </c>
      <c r="B3044" s="216">
        <v>1</v>
      </c>
      <c r="C3044" s="216">
        <v>18</v>
      </c>
      <c r="D3044" s="217">
        <f t="shared" si="229"/>
        <v>45309</v>
      </c>
      <c r="E3044" s="239">
        <f t="shared" si="234"/>
        <v>45309</v>
      </c>
      <c r="F3044" s="521"/>
      <c r="G3044" s="219" t="s">
        <v>1245</v>
      </c>
      <c r="H3044" s="220"/>
      <c r="I3044" s="220" t="s">
        <v>1253</v>
      </c>
      <c r="J3044" s="216" t="s">
        <v>153</v>
      </c>
      <c r="K3044" s="221"/>
      <c r="L3044" s="221">
        <v>8227.9699999999993</v>
      </c>
    </row>
    <row r="3045" spans="1:14" ht="11.25" customHeight="1" x14ac:dyDescent="0.2">
      <c r="A3045" s="210">
        <v>2024</v>
      </c>
      <c r="B3045" s="210">
        <v>1</v>
      </c>
      <c r="C3045" s="210">
        <v>18</v>
      </c>
      <c r="D3045" s="211">
        <f t="shared" si="229"/>
        <v>45309</v>
      </c>
      <c r="E3045" s="238">
        <f t="shared" si="234"/>
        <v>45309</v>
      </c>
      <c r="F3045" s="520" t="s">
        <v>1256</v>
      </c>
      <c r="G3045" s="213" t="s">
        <v>1245</v>
      </c>
      <c r="H3045" s="214"/>
      <c r="I3045" s="214" t="s">
        <v>1253</v>
      </c>
      <c r="J3045" s="210" t="s">
        <v>113</v>
      </c>
      <c r="K3045" s="215">
        <v>113784.49867270002</v>
      </c>
      <c r="L3045" s="215"/>
      <c r="N3045" s="130"/>
    </row>
    <row r="3046" spans="1:14" ht="11.25" customHeight="1" x14ac:dyDescent="0.2">
      <c r="A3046" s="216">
        <v>2024</v>
      </c>
      <c r="B3046" s="216">
        <v>1</v>
      </c>
      <c r="C3046" s="216">
        <v>18</v>
      </c>
      <c r="D3046" s="217">
        <f t="shared" si="229"/>
        <v>45309</v>
      </c>
      <c r="E3046" s="239">
        <f t="shared" si="234"/>
        <v>45309</v>
      </c>
      <c r="F3046" s="521"/>
      <c r="G3046" s="219" t="s">
        <v>1245</v>
      </c>
      <c r="H3046" s="220"/>
      <c r="I3046" s="220" t="s">
        <v>1253</v>
      </c>
      <c r="J3046" s="216" t="s">
        <v>153</v>
      </c>
      <c r="K3046" s="221"/>
      <c r="L3046" s="221">
        <v>113784.49867270002</v>
      </c>
    </row>
    <row r="3047" spans="1:14" ht="11.25" customHeight="1" x14ac:dyDescent="0.2">
      <c r="A3047" s="312">
        <v>2024</v>
      </c>
      <c r="B3047" s="312">
        <v>1</v>
      </c>
      <c r="C3047" s="312">
        <v>18</v>
      </c>
      <c r="D3047" s="313">
        <f t="shared" si="229"/>
        <v>45309</v>
      </c>
      <c r="E3047" s="314">
        <f t="shared" si="234"/>
        <v>45309</v>
      </c>
      <c r="F3047" s="522" t="s">
        <v>1477</v>
      </c>
      <c r="G3047" s="315" t="s">
        <v>1245</v>
      </c>
      <c r="H3047" s="316"/>
      <c r="I3047" s="316" t="s">
        <v>1253</v>
      </c>
      <c r="J3047" s="312" t="s">
        <v>1460</v>
      </c>
      <c r="K3047" s="317">
        <v>292780.69999995828</v>
      </c>
      <c r="L3047" s="317"/>
    </row>
    <row r="3048" spans="1:14" ht="11.25" customHeight="1" x14ac:dyDescent="0.2">
      <c r="A3048" s="318">
        <v>2024</v>
      </c>
      <c r="B3048" s="318">
        <v>1</v>
      </c>
      <c r="C3048" s="318">
        <v>18</v>
      </c>
      <c r="D3048" s="319">
        <f t="shared" si="229"/>
        <v>45309</v>
      </c>
      <c r="E3048" s="320">
        <f t="shared" si="234"/>
        <v>45309</v>
      </c>
      <c r="F3048" s="523"/>
      <c r="G3048" s="321" t="s">
        <v>1245</v>
      </c>
      <c r="H3048" s="322"/>
      <c r="I3048" s="322" t="s">
        <v>1253</v>
      </c>
      <c r="J3048" s="318" t="s">
        <v>1458</v>
      </c>
      <c r="K3048" s="323"/>
      <c r="L3048" s="323">
        <v>292780.69999995828</v>
      </c>
    </row>
    <row r="3049" spans="1:14" ht="11.25" customHeight="1" x14ac:dyDescent="0.2">
      <c r="A3049" s="222">
        <v>2024</v>
      </c>
      <c r="B3049" s="222">
        <v>1</v>
      </c>
      <c r="C3049" s="222">
        <v>18</v>
      </c>
      <c r="D3049" s="223">
        <f t="shared" si="229"/>
        <v>45309</v>
      </c>
      <c r="E3049" s="240">
        <f t="shared" si="234"/>
        <v>45309</v>
      </c>
      <c r="F3049" s="511" t="s">
        <v>1244</v>
      </c>
      <c r="G3049" s="225" t="s">
        <v>1245</v>
      </c>
      <c r="H3049" s="226"/>
      <c r="I3049" s="226" t="s">
        <v>1253</v>
      </c>
      <c r="J3049" s="222" t="s">
        <v>72</v>
      </c>
      <c r="K3049" s="227">
        <v>50495.828095242381</v>
      </c>
      <c r="L3049" s="227"/>
    </row>
    <row r="3050" spans="1:14" ht="11.25" customHeight="1" x14ac:dyDescent="0.2">
      <c r="A3050" s="228">
        <v>2024</v>
      </c>
      <c r="B3050" s="228">
        <v>1</v>
      </c>
      <c r="C3050" s="228">
        <v>18</v>
      </c>
      <c r="D3050" s="229">
        <f t="shared" si="229"/>
        <v>45309</v>
      </c>
      <c r="E3050" s="241">
        <f t="shared" si="234"/>
        <v>45309</v>
      </c>
      <c r="F3050" s="512"/>
      <c r="G3050" s="231" t="s">
        <v>1245</v>
      </c>
      <c r="H3050" s="232"/>
      <c r="I3050" s="232" t="s">
        <v>1253</v>
      </c>
      <c r="J3050" s="228" t="s">
        <v>87</v>
      </c>
      <c r="K3050" s="233"/>
      <c r="L3050" s="233">
        <v>50495.828095242381</v>
      </c>
    </row>
    <row r="3051" spans="1:14" ht="11.25" customHeight="1" x14ac:dyDescent="0.2">
      <c r="A3051" s="222">
        <v>2024</v>
      </c>
      <c r="B3051" s="222">
        <v>1</v>
      </c>
      <c r="C3051" s="222">
        <v>18</v>
      </c>
      <c r="D3051" s="223">
        <f t="shared" si="229"/>
        <v>45309</v>
      </c>
      <c r="E3051" s="240">
        <f t="shared" si="234"/>
        <v>45309</v>
      </c>
      <c r="F3051" s="511" t="s">
        <v>1246</v>
      </c>
      <c r="G3051" s="225" t="s">
        <v>1245</v>
      </c>
      <c r="H3051" s="226"/>
      <c r="I3051" s="226" t="s">
        <v>1253</v>
      </c>
      <c r="J3051" s="222" t="s">
        <v>75</v>
      </c>
      <c r="K3051" s="227">
        <v>3623.123846153846</v>
      </c>
      <c r="L3051" s="227"/>
    </row>
    <row r="3052" spans="1:14" ht="11.25" customHeight="1" x14ac:dyDescent="0.2">
      <c r="A3052" s="228">
        <v>2024</v>
      </c>
      <c r="B3052" s="228">
        <v>1</v>
      </c>
      <c r="C3052" s="228">
        <v>18</v>
      </c>
      <c r="D3052" s="229">
        <f t="shared" ref="D3052:D3115" si="235">DATE(A3052,B3052,C3052)</f>
        <v>45309</v>
      </c>
      <c r="E3052" s="241">
        <f t="shared" si="234"/>
        <v>45309</v>
      </c>
      <c r="F3052" s="512"/>
      <c r="G3052" s="231" t="s">
        <v>1245</v>
      </c>
      <c r="H3052" s="232"/>
      <c r="I3052" s="232" t="s">
        <v>1253</v>
      </c>
      <c r="J3052" s="228" t="s">
        <v>55</v>
      </c>
      <c r="K3052" s="233"/>
      <c r="L3052" s="233">
        <v>3623.123846153846</v>
      </c>
    </row>
    <row r="3053" spans="1:14" ht="11.25" customHeight="1" x14ac:dyDescent="0.2">
      <c r="A3053" s="222">
        <v>2024</v>
      </c>
      <c r="B3053" s="222">
        <v>1</v>
      </c>
      <c r="C3053" s="222">
        <v>18</v>
      </c>
      <c r="D3053" s="223">
        <f t="shared" si="235"/>
        <v>45309</v>
      </c>
      <c r="E3053" s="240">
        <f t="shared" si="234"/>
        <v>45309</v>
      </c>
      <c r="F3053" s="511" t="s">
        <v>1247</v>
      </c>
      <c r="G3053" s="225" t="s">
        <v>1245</v>
      </c>
      <c r="H3053" s="226"/>
      <c r="I3053" s="226" t="s">
        <v>1253</v>
      </c>
      <c r="J3053" s="222" t="s">
        <v>77</v>
      </c>
      <c r="K3053" s="227">
        <v>27785.419569803991</v>
      </c>
      <c r="L3053" s="227"/>
    </row>
    <row r="3054" spans="1:14" ht="11.25" customHeight="1" x14ac:dyDescent="0.2">
      <c r="A3054" s="228">
        <v>2024</v>
      </c>
      <c r="B3054" s="228">
        <v>1</v>
      </c>
      <c r="C3054" s="228">
        <v>18</v>
      </c>
      <c r="D3054" s="229">
        <f t="shared" si="235"/>
        <v>45309</v>
      </c>
      <c r="E3054" s="241">
        <f t="shared" si="234"/>
        <v>45309</v>
      </c>
      <c r="F3054" s="512"/>
      <c r="G3054" s="231" t="s">
        <v>1245</v>
      </c>
      <c r="H3054" s="232"/>
      <c r="I3054" s="232" t="s">
        <v>1253</v>
      </c>
      <c r="J3054" s="228" t="s">
        <v>41</v>
      </c>
      <c r="K3054" s="233"/>
      <c r="L3054" s="233">
        <v>27785.419569803991</v>
      </c>
    </row>
    <row r="3055" spans="1:14" ht="11.25" customHeight="1" x14ac:dyDescent="0.2">
      <c r="A3055" s="222">
        <v>2024</v>
      </c>
      <c r="B3055" s="222">
        <v>1</v>
      </c>
      <c r="C3055" s="222">
        <v>18</v>
      </c>
      <c r="D3055" s="223">
        <f t="shared" si="235"/>
        <v>45309</v>
      </c>
      <c r="E3055" s="240">
        <f t="shared" si="234"/>
        <v>45309</v>
      </c>
      <c r="F3055" s="511" t="s">
        <v>1248</v>
      </c>
      <c r="G3055" s="225" t="s">
        <v>1245</v>
      </c>
      <c r="H3055" s="226"/>
      <c r="I3055" s="226" t="s">
        <v>1253</v>
      </c>
      <c r="J3055" s="222" t="s">
        <v>80</v>
      </c>
      <c r="K3055" s="227">
        <v>2778.5419569803994</v>
      </c>
      <c r="L3055" s="227"/>
    </row>
    <row r="3056" spans="1:14" ht="11.25" customHeight="1" x14ac:dyDescent="0.2">
      <c r="A3056" s="228">
        <v>2024</v>
      </c>
      <c r="B3056" s="228">
        <v>1</v>
      </c>
      <c r="C3056" s="228">
        <v>18</v>
      </c>
      <c r="D3056" s="229">
        <f t="shared" si="235"/>
        <v>45309</v>
      </c>
      <c r="E3056" s="241">
        <f t="shared" si="234"/>
        <v>45309</v>
      </c>
      <c r="F3056" s="512"/>
      <c r="G3056" s="231" t="s">
        <v>1245</v>
      </c>
      <c r="H3056" s="232"/>
      <c r="I3056" s="232" t="s">
        <v>1253</v>
      </c>
      <c r="J3056" s="228" t="s">
        <v>42</v>
      </c>
      <c r="K3056" s="233"/>
      <c r="L3056" s="233">
        <v>2778.5419569803994</v>
      </c>
    </row>
    <row r="3057" spans="1:13" ht="11.25" customHeight="1" x14ac:dyDescent="0.2">
      <c r="A3057" s="197">
        <v>2024</v>
      </c>
      <c r="B3057" s="197">
        <v>1</v>
      </c>
      <c r="C3057" s="197">
        <v>22</v>
      </c>
      <c r="D3057" s="198">
        <f t="shared" si="235"/>
        <v>45313</v>
      </c>
      <c r="E3057" s="209">
        <f t="shared" ref="E3057:E3080" si="236">DATE(A3057,B3057,C3057)</f>
        <v>45313</v>
      </c>
      <c r="F3057" s="513" t="s">
        <v>1534</v>
      </c>
      <c r="G3057" s="200" t="s">
        <v>1209</v>
      </c>
      <c r="H3057" s="201"/>
      <c r="I3057" s="201"/>
      <c r="J3057" s="248" t="s">
        <v>46</v>
      </c>
      <c r="K3057" s="202">
        <v>9203250</v>
      </c>
      <c r="L3057" s="202"/>
      <c r="M3057" s="251"/>
    </row>
    <row r="3058" spans="1:13" ht="11.25" customHeight="1" x14ac:dyDescent="0.2">
      <c r="A3058" s="120">
        <v>2024</v>
      </c>
      <c r="B3058" s="120">
        <v>1</v>
      </c>
      <c r="C3058" s="120">
        <v>22</v>
      </c>
      <c r="D3058" s="208">
        <f t="shared" si="235"/>
        <v>45313</v>
      </c>
      <c r="E3058" s="209">
        <f t="shared" si="236"/>
        <v>45313</v>
      </c>
      <c r="F3058" s="515"/>
      <c r="G3058" s="132" t="s">
        <v>1209</v>
      </c>
      <c r="J3058" s="129" t="s">
        <v>54</v>
      </c>
      <c r="K3058" s="207">
        <v>6000</v>
      </c>
      <c r="L3058" s="207"/>
      <c r="M3058" s="251"/>
    </row>
    <row r="3059" spans="1:13" ht="11.25" customHeight="1" x14ac:dyDescent="0.2">
      <c r="A3059" s="120">
        <v>2024</v>
      </c>
      <c r="B3059" s="120">
        <v>1</v>
      </c>
      <c r="C3059" s="120">
        <v>22</v>
      </c>
      <c r="D3059" s="208">
        <f t="shared" si="235"/>
        <v>45313</v>
      </c>
      <c r="E3059" s="209">
        <f t="shared" si="236"/>
        <v>45313</v>
      </c>
      <c r="F3059" s="515"/>
      <c r="G3059" s="132" t="s">
        <v>1209</v>
      </c>
      <c r="J3059" s="129" t="s">
        <v>113</v>
      </c>
      <c r="K3059" s="207"/>
      <c r="L3059" s="207">
        <v>209250</v>
      </c>
      <c r="M3059" s="251"/>
    </row>
    <row r="3060" spans="1:13" ht="11.25" customHeight="1" x14ac:dyDescent="0.2">
      <c r="A3060" s="191">
        <v>2024</v>
      </c>
      <c r="B3060" s="191">
        <v>1</v>
      </c>
      <c r="C3060" s="191">
        <v>22</v>
      </c>
      <c r="D3060" s="192">
        <f t="shared" si="235"/>
        <v>45313</v>
      </c>
      <c r="E3060" s="193">
        <f t="shared" si="236"/>
        <v>45313</v>
      </c>
      <c r="F3060" s="514"/>
      <c r="G3060" s="194" t="s">
        <v>1209</v>
      </c>
      <c r="H3060" s="195"/>
      <c r="I3060" s="195"/>
      <c r="J3060" s="250" t="s">
        <v>76</v>
      </c>
      <c r="K3060" s="196"/>
      <c r="L3060" s="196">
        <v>9000000</v>
      </c>
    </row>
    <row r="3061" spans="1:13" ht="11.25" customHeight="1" x14ac:dyDescent="0.2">
      <c r="A3061" s="197">
        <v>2024</v>
      </c>
      <c r="B3061" s="197">
        <v>1</v>
      </c>
      <c r="C3061" s="197">
        <v>22</v>
      </c>
      <c r="D3061" s="198">
        <f t="shared" si="235"/>
        <v>45313</v>
      </c>
      <c r="E3061" s="209">
        <f t="shared" si="236"/>
        <v>45313</v>
      </c>
      <c r="F3061" s="513" t="s">
        <v>1535</v>
      </c>
      <c r="G3061" s="200" t="s">
        <v>1209</v>
      </c>
      <c r="H3061" s="201"/>
      <c r="I3061" s="201"/>
      <c r="J3061" s="248" t="s">
        <v>46</v>
      </c>
      <c r="K3061" s="202">
        <v>9203250</v>
      </c>
      <c r="L3061" s="202"/>
      <c r="M3061" s="251"/>
    </row>
    <row r="3062" spans="1:13" ht="11.25" customHeight="1" x14ac:dyDescent="0.2">
      <c r="A3062" s="120">
        <v>2024</v>
      </c>
      <c r="B3062" s="120">
        <v>1</v>
      </c>
      <c r="C3062" s="120">
        <v>22</v>
      </c>
      <c r="D3062" s="208">
        <f t="shared" si="235"/>
        <v>45313</v>
      </c>
      <c r="E3062" s="209">
        <f t="shared" si="236"/>
        <v>45313</v>
      </c>
      <c r="F3062" s="515"/>
      <c r="G3062" s="132" t="s">
        <v>1209</v>
      </c>
      <c r="J3062" s="129" t="s">
        <v>54</v>
      </c>
      <c r="K3062" s="207">
        <v>6000</v>
      </c>
      <c r="L3062" s="207"/>
      <c r="M3062" s="251"/>
    </row>
    <row r="3063" spans="1:13" ht="11.25" customHeight="1" x14ac:dyDescent="0.2">
      <c r="A3063" s="120">
        <v>2024</v>
      </c>
      <c r="B3063" s="120">
        <v>1</v>
      </c>
      <c r="C3063" s="120">
        <v>22</v>
      </c>
      <c r="D3063" s="208">
        <f t="shared" si="235"/>
        <v>45313</v>
      </c>
      <c r="E3063" s="209">
        <f t="shared" si="236"/>
        <v>45313</v>
      </c>
      <c r="F3063" s="515"/>
      <c r="G3063" s="132" t="s">
        <v>1209</v>
      </c>
      <c r="J3063" s="129" t="s">
        <v>113</v>
      </c>
      <c r="K3063" s="207"/>
      <c r="L3063" s="207">
        <v>209250</v>
      </c>
      <c r="M3063" s="251"/>
    </row>
    <row r="3064" spans="1:13" ht="11.25" customHeight="1" x14ac:dyDescent="0.2">
      <c r="A3064" s="191">
        <v>2024</v>
      </c>
      <c r="B3064" s="191">
        <v>1</v>
      </c>
      <c r="C3064" s="191">
        <v>22</v>
      </c>
      <c r="D3064" s="192">
        <f t="shared" si="235"/>
        <v>45313</v>
      </c>
      <c r="E3064" s="193">
        <f t="shared" si="236"/>
        <v>45313</v>
      </c>
      <c r="F3064" s="514"/>
      <c r="G3064" s="194" t="s">
        <v>1209</v>
      </c>
      <c r="H3064" s="195"/>
      <c r="I3064" s="195"/>
      <c r="J3064" s="250" t="s">
        <v>76</v>
      </c>
      <c r="K3064" s="196"/>
      <c r="L3064" s="196">
        <v>9000000</v>
      </c>
    </row>
    <row r="3065" spans="1:13" ht="11.25" customHeight="1" x14ac:dyDescent="0.2">
      <c r="A3065" s="197">
        <v>2024</v>
      </c>
      <c r="B3065" s="197">
        <v>1</v>
      </c>
      <c r="C3065" s="197">
        <v>22</v>
      </c>
      <c r="D3065" s="198">
        <f t="shared" si="235"/>
        <v>45313</v>
      </c>
      <c r="E3065" s="209">
        <f t="shared" si="236"/>
        <v>45313</v>
      </c>
      <c r="F3065" s="513" t="s">
        <v>1536</v>
      </c>
      <c r="G3065" s="200" t="s">
        <v>1209</v>
      </c>
      <c r="H3065" s="201"/>
      <c r="I3065" s="201"/>
      <c r="J3065" s="248" t="s">
        <v>46</v>
      </c>
      <c r="K3065" s="202">
        <v>9203250</v>
      </c>
      <c r="L3065" s="202"/>
      <c r="M3065" s="251"/>
    </row>
    <row r="3066" spans="1:13" ht="11.25" customHeight="1" x14ac:dyDescent="0.2">
      <c r="A3066" s="120">
        <v>2024</v>
      </c>
      <c r="B3066" s="120">
        <v>1</v>
      </c>
      <c r="C3066" s="120">
        <v>22</v>
      </c>
      <c r="D3066" s="208">
        <f t="shared" si="235"/>
        <v>45313</v>
      </c>
      <c r="E3066" s="209">
        <f t="shared" si="236"/>
        <v>45313</v>
      </c>
      <c r="F3066" s="515"/>
      <c r="G3066" s="132" t="s">
        <v>1209</v>
      </c>
      <c r="J3066" s="129" t="s">
        <v>54</v>
      </c>
      <c r="K3066" s="207">
        <v>6000</v>
      </c>
      <c r="L3066" s="207"/>
      <c r="M3066" s="251"/>
    </row>
    <row r="3067" spans="1:13" ht="11.25" customHeight="1" x14ac:dyDescent="0.2">
      <c r="A3067" s="120">
        <v>2024</v>
      </c>
      <c r="B3067" s="120">
        <v>1</v>
      </c>
      <c r="C3067" s="120">
        <v>22</v>
      </c>
      <c r="D3067" s="208">
        <f t="shared" si="235"/>
        <v>45313</v>
      </c>
      <c r="E3067" s="209">
        <f t="shared" si="236"/>
        <v>45313</v>
      </c>
      <c r="F3067" s="515"/>
      <c r="G3067" s="132" t="s">
        <v>1209</v>
      </c>
      <c r="J3067" s="129" t="s">
        <v>113</v>
      </c>
      <c r="K3067" s="207"/>
      <c r="L3067" s="207">
        <v>209250</v>
      </c>
      <c r="M3067" s="251"/>
    </row>
    <row r="3068" spans="1:13" ht="11.25" customHeight="1" x14ac:dyDescent="0.2">
      <c r="A3068" s="191">
        <v>2024</v>
      </c>
      <c r="B3068" s="191">
        <v>1</v>
      </c>
      <c r="C3068" s="191">
        <v>22</v>
      </c>
      <c r="D3068" s="192">
        <f t="shared" si="235"/>
        <v>45313</v>
      </c>
      <c r="E3068" s="193">
        <f t="shared" si="236"/>
        <v>45313</v>
      </c>
      <c r="F3068" s="514"/>
      <c r="G3068" s="194" t="s">
        <v>1209</v>
      </c>
      <c r="H3068" s="195"/>
      <c r="I3068" s="195"/>
      <c r="J3068" s="250" t="s">
        <v>76</v>
      </c>
      <c r="K3068" s="196"/>
      <c r="L3068" s="196">
        <v>9000000</v>
      </c>
    </row>
    <row r="3069" spans="1:13" ht="11.25" customHeight="1" x14ac:dyDescent="0.2">
      <c r="A3069" s="197">
        <v>2024</v>
      </c>
      <c r="B3069" s="197">
        <v>1</v>
      </c>
      <c r="C3069" s="197">
        <v>22</v>
      </c>
      <c r="D3069" s="198">
        <f t="shared" si="235"/>
        <v>45313</v>
      </c>
      <c r="E3069" s="209">
        <f t="shared" si="236"/>
        <v>45313</v>
      </c>
      <c r="F3069" s="513" t="s">
        <v>1537</v>
      </c>
      <c r="G3069" s="200" t="s">
        <v>1209</v>
      </c>
      <c r="H3069" s="201"/>
      <c r="I3069" s="201"/>
      <c r="J3069" s="248" t="s">
        <v>46</v>
      </c>
      <c r="K3069" s="202">
        <v>9203250</v>
      </c>
      <c r="L3069" s="202"/>
      <c r="M3069" s="251"/>
    </row>
    <row r="3070" spans="1:13" ht="11.25" customHeight="1" x14ac:dyDescent="0.2">
      <c r="A3070" s="120">
        <v>2024</v>
      </c>
      <c r="B3070" s="120">
        <v>1</v>
      </c>
      <c r="C3070" s="120">
        <v>22</v>
      </c>
      <c r="D3070" s="208">
        <f t="shared" si="235"/>
        <v>45313</v>
      </c>
      <c r="E3070" s="209">
        <f t="shared" si="236"/>
        <v>45313</v>
      </c>
      <c r="F3070" s="515"/>
      <c r="G3070" s="132" t="s">
        <v>1209</v>
      </c>
      <c r="J3070" s="129" t="s">
        <v>54</v>
      </c>
      <c r="K3070" s="207">
        <v>6000</v>
      </c>
      <c r="L3070" s="207"/>
      <c r="M3070" s="251"/>
    </row>
    <row r="3071" spans="1:13" ht="11.25" customHeight="1" x14ac:dyDescent="0.2">
      <c r="A3071" s="120">
        <v>2024</v>
      </c>
      <c r="B3071" s="120">
        <v>1</v>
      </c>
      <c r="C3071" s="120">
        <v>22</v>
      </c>
      <c r="D3071" s="208">
        <f t="shared" si="235"/>
        <v>45313</v>
      </c>
      <c r="E3071" s="209">
        <f t="shared" si="236"/>
        <v>45313</v>
      </c>
      <c r="F3071" s="515"/>
      <c r="G3071" s="132" t="s">
        <v>1209</v>
      </c>
      <c r="J3071" s="129" t="s">
        <v>113</v>
      </c>
      <c r="K3071" s="207"/>
      <c r="L3071" s="207">
        <v>209250</v>
      </c>
      <c r="M3071" s="251"/>
    </row>
    <row r="3072" spans="1:13" ht="11.25" customHeight="1" x14ac:dyDescent="0.2">
      <c r="A3072" s="191">
        <v>2024</v>
      </c>
      <c r="B3072" s="191">
        <v>1</v>
      </c>
      <c r="C3072" s="191">
        <v>22</v>
      </c>
      <c r="D3072" s="192">
        <f t="shared" si="235"/>
        <v>45313</v>
      </c>
      <c r="E3072" s="193">
        <f t="shared" si="236"/>
        <v>45313</v>
      </c>
      <c r="F3072" s="514"/>
      <c r="G3072" s="194" t="s">
        <v>1209</v>
      </c>
      <c r="H3072" s="195"/>
      <c r="I3072" s="195"/>
      <c r="J3072" s="250" t="s">
        <v>76</v>
      </c>
      <c r="K3072" s="196"/>
      <c r="L3072" s="196">
        <v>9000000</v>
      </c>
    </row>
    <row r="3073" spans="1:13" ht="11.25" customHeight="1" x14ac:dyDescent="0.2">
      <c r="A3073" s="197">
        <v>2024</v>
      </c>
      <c r="B3073" s="197">
        <v>1</v>
      </c>
      <c r="C3073" s="197">
        <v>22</v>
      </c>
      <c r="D3073" s="198">
        <f t="shared" si="235"/>
        <v>45313</v>
      </c>
      <c r="E3073" s="209">
        <f t="shared" si="236"/>
        <v>45313</v>
      </c>
      <c r="F3073" s="513" t="s">
        <v>1538</v>
      </c>
      <c r="G3073" s="200" t="s">
        <v>1209</v>
      </c>
      <c r="H3073" s="201"/>
      <c r="I3073" s="201"/>
      <c r="J3073" s="248" t="s">
        <v>46</v>
      </c>
      <c r="K3073" s="202">
        <v>9203250</v>
      </c>
      <c r="L3073" s="202"/>
      <c r="M3073" s="251"/>
    </row>
    <row r="3074" spans="1:13" ht="11.25" customHeight="1" x14ac:dyDescent="0.2">
      <c r="A3074" s="120">
        <v>2024</v>
      </c>
      <c r="B3074" s="120">
        <v>1</v>
      </c>
      <c r="C3074" s="120">
        <v>22</v>
      </c>
      <c r="D3074" s="208">
        <f t="shared" si="235"/>
        <v>45313</v>
      </c>
      <c r="E3074" s="209">
        <f t="shared" si="236"/>
        <v>45313</v>
      </c>
      <c r="F3074" s="515"/>
      <c r="G3074" s="132" t="s">
        <v>1209</v>
      </c>
      <c r="J3074" s="129" t="s">
        <v>54</v>
      </c>
      <c r="K3074" s="207">
        <v>6000</v>
      </c>
      <c r="L3074" s="207"/>
      <c r="M3074" s="251"/>
    </row>
    <row r="3075" spans="1:13" ht="11.25" customHeight="1" x14ac:dyDescent="0.2">
      <c r="A3075" s="120">
        <v>2024</v>
      </c>
      <c r="B3075" s="120">
        <v>1</v>
      </c>
      <c r="C3075" s="120">
        <v>22</v>
      </c>
      <c r="D3075" s="208">
        <f t="shared" si="235"/>
        <v>45313</v>
      </c>
      <c r="E3075" s="209">
        <f t="shared" si="236"/>
        <v>45313</v>
      </c>
      <c r="F3075" s="515"/>
      <c r="G3075" s="132" t="s">
        <v>1209</v>
      </c>
      <c r="J3075" s="129" t="s">
        <v>113</v>
      </c>
      <c r="K3075" s="207"/>
      <c r="L3075" s="207">
        <v>209250</v>
      </c>
      <c r="M3075" s="251"/>
    </row>
    <row r="3076" spans="1:13" ht="11.25" customHeight="1" x14ac:dyDescent="0.2">
      <c r="A3076" s="191">
        <v>2024</v>
      </c>
      <c r="B3076" s="191">
        <v>1</v>
      </c>
      <c r="C3076" s="191">
        <v>22</v>
      </c>
      <c r="D3076" s="192">
        <f t="shared" si="235"/>
        <v>45313</v>
      </c>
      <c r="E3076" s="193">
        <f t="shared" si="236"/>
        <v>45313</v>
      </c>
      <c r="F3076" s="514"/>
      <c r="G3076" s="194" t="s">
        <v>1209</v>
      </c>
      <c r="H3076" s="195"/>
      <c r="I3076" s="195"/>
      <c r="J3076" s="250" t="s">
        <v>76</v>
      </c>
      <c r="K3076" s="196"/>
      <c r="L3076" s="196">
        <v>9000000</v>
      </c>
    </row>
    <row r="3077" spans="1:13" ht="11.25" customHeight="1" x14ac:dyDescent="0.2">
      <c r="A3077" s="197">
        <v>2024</v>
      </c>
      <c r="B3077" s="197">
        <v>1</v>
      </c>
      <c r="C3077" s="197">
        <v>22</v>
      </c>
      <c r="D3077" s="198">
        <f t="shared" si="235"/>
        <v>45313</v>
      </c>
      <c r="E3077" s="209">
        <f t="shared" si="236"/>
        <v>45313</v>
      </c>
      <c r="F3077" s="513" t="s">
        <v>1539</v>
      </c>
      <c r="G3077" s="200" t="s">
        <v>1209</v>
      </c>
      <c r="H3077" s="201"/>
      <c r="I3077" s="201"/>
      <c r="J3077" s="248" t="s">
        <v>46</v>
      </c>
      <c r="K3077" s="202">
        <v>5110250</v>
      </c>
      <c r="L3077" s="202"/>
      <c r="M3077" s="251"/>
    </row>
    <row r="3078" spans="1:13" ht="11.25" customHeight="1" x14ac:dyDescent="0.2">
      <c r="A3078" s="120">
        <v>2024</v>
      </c>
      <c r="B3078" s="120">
        <v>1</v>
      </c>
      <c r="C3078" s="120">
        <v>22</v>
      </c>
      <c r="D3078" s="208">
        <f t="shared" si="235"/>
        <v>45313</v>
      </c>
      <c r="E3078" s="209">
        <f t="shared" si="236"/>
        <v>45313</v>
      </c>
      <c r="F3078" s="515"/>
      <c r="G3078" s="132" t="s">
        <v>1209</v>
      </c>
      <c r="J3078" s="129" t="s">
        <v>54</v>
      </c>
      <c r="K3078" s="207">
        <v>6000</v>
      </c>
      <c r="L3078" s="207"/>
      <c r="M3078" s="251"/>
    </row>
    <row r="3079" spans="1:13" ht="11.25" customHeight="1" x14ac:dyDescent="0.2">
      <c r="A3079" s="120">
        <v>2024</v>
      </c>
      <c r="B3079" s="120">
        <v>1</v>
      </c>
      <c r="C3079" s="120">
        <v>22</v>
      </c>
      <c r="D3079" s="208">
        <f t="shared" si="235"/>
        <v>45313</v>
      </c>
      <c r="E3079" s="209">
        <f t="shared" si="236"/>
        <v>45313</v>
      </c>
      <c r="F3079" s="515"/>
      <c r="G3079" s="132" t="s">
        <v>1209</v>
      </c>
      <c r="J3079" s="129" t="s">
        <v>113</v>
      </c>
      <c r="K3079" s="207"/>
      <c r="L3079" s="207">
        <v>116250</v>
      </c>
      <c r="M3079" s="251"/>
    </row>
    <row r="3080" spans="1:13" ht="11.25" customHeight="1" x14ac:dyDescent="0.2">
      <c r="A3080" s="191">
        <v>2024</v>
      </c>
      <c r="B3080" s="191">
        <v>1</v>
      </c>
      <c r="C3080" s="191">
        <v>22</v>
      </c>
      <c r="D3080" s="192">
        <f t="shared" si="235"/>
        <v>45313</v>
      </c>
      <c r="E3080" s="193">
        <f t="shared" si="236"/>
        <v>45313</v>
      </c>
      <c r="F3080" s="514"/>
      <c r="G3080" s="194" t="s">
        <v>1209</v>
      </c>
      <c r="H3080" s="195"/>
      <c r="I3080" s="195"/>
      <c r="J3080" s="250" t="s">
        <v>76</v>
      </c>
      <c r="K3080" s="196"/>
      <c r="L3080" s="196">
        <v>5000000</v>
      </c>
    </row>
    <row r="3081" spans="1:13" ht="11.25" customHeight="1" x14ac:dyDescent="0.2">
      <c r="A3081" s="197">
        <v>2024</v>
      </c>
      <c r="B3081" s="197">
        <v>1</v>
      </c>
      <c r="C3081" s="197">
        <v>22</v>
      </c>
      <c r="D3081" s="198">
        <f t="shared" si="235"/>
        <v>45313</v>
      </c>
      <c r="E3081" s="209">
        <f>DATE(A3081,B3081,C3081)</f>
        <v>45313</v>
      </c>
      <c r="F3081" s="513" t="s">
        <v>1280</v>
      </c>
      <c r="G3081" s="200" t="s">
        <v>1209</v>
      </c>
      <c r="H3081" s="201"/>
      <c r="I3081" s="201" t="s">
        <v>1479</v>
      </c>
      <c r="J3081" s="197" t="s">
        <v>16</v>
      </c>
      <c r="K3081" s="202">
        <v>13975590</v>
      </c>
      <c r="L3081" s="202"/>
    </row>
    <row r="3082" spans="1:13" ht="11.25" customHeight="1" x14ac:dyDescent="0.2">
      <c r="A3082" s="120">
        <v>2024</v>
      </c>
      <c r="B3082" s="120">
        <v>1</v>
      </c>
      <c r="C3082" s="120">
        <v>22</v>
      </c>
      <c r="D3082" s="208">
        <f t="shared" si="235"/>
        <v>45313</v>
      </c>
      <c r="E3082" s="209">
        <f>DATE(A3082,B3082,C3082)</f>
        <v>45313</v>
      </c>
      <c r="F3082" s="515"/>
      <c r="G3082" s="132" t="s">
        <v>1209</v>
      </c>
      <c r="I3082" s="128" t="s">
        <v>1479</v>
      </c>
      <c r="J3082" s="120" t="s">
        <v>47</v>
      </c>
      <c r="K3082" s="207">
        <v>1024410</v>
      </c>
      <c r="L3082" s="207"/>
    </row>
    <row r="3083" spans="1:13" ht="11.25" customHeight="1" x14ac:dyDescent="0.2">
      <c r="A3083" s="191">
        <v>2024</v>
      </c>
      <c r="B3083" s="191">
        <v>1</v>
      </c>
      <c r="C3083" s="191">
        <v>22</v>
      </c>
      <c r="D3083" s="192">
        <f t="shared" si="235"/>
        <v>45313</v>
      </c>
      <c r="E3083" s="193">
        <f>DATE(A3083,B3083,C3083)</f>
        <v>45313</v>
      </c>
      <c r="F3083" s="514"/>
      <c r="G3083" s="194" t="s">
        <v>1209</v>
      </c>
      <c r="H3083" s="195"/>
      <c r="I3083" s="195" t="s">
        <v>1479</v>
      </c>
      <c r="J3083" s="191" t="s">
        <v>46</v>
      </c>
      <c r="K3083" s="196"/>
      <c r="L3083" s="196">
        <v>15000000</v>
      </c>
    </row>
    <row r="3084" spans="1:13" ht="11.25" customHeight="1" x14ac:dyDescent="0.2">
      <c r="A3084" s="197">
        <v>2024</v>
      </c>
      <c r="B3084" s="197">
        <v>1</v>
      </c>
      <c r="C3084" s="197">
        <v>23</v>
      </c>
      <c r="D3084" s="198">
        <f t="shared" si="235"/>
        <v>45314</v>
      </c>
      <c r="E3084" s="209">
        <f t="shared" ref="E3084:E3112" si="237">DATE(A3084,B3084,C3084)</f>
        <v>45314</v>
      </c>
      <c r="F3084" s="513" t="s">
        <v>1540</v>
      </c>
      <c r="G3084" s="200" t="s">
        <v>1209</v>
      </c>
      <c r="H3084" s="201"/>
      <c r="I3084" s="201"/>
      <c r="J3084" s="248" t="s">
        <v>46</v>
      </c>
      <c r="K3084" s="202">
        <v>9205500</v>
      </c>
      <c r="L3084" s="202"/>
      <c r="M3084" s="251"/>
    </row>
    <row r="3085" spans="1:13" ht="11.25" customHeight="1" x14ac:dyDescent="0.2">
      <c r="A3085" s="120">
        <v>2024</v>
      </c>
      <c r="B3085" s="120">
        <v>1</v>
      </c>
      <c r="C3085" s="120">
        <v>23</v>
      </c>
      <c r="D3085" s="208">
        <f t="shared" si="235"/>
        <v>45314</v>
      </c>
      <c r="E3085" s="209">
        <f t="shared" si="237"/>
        <v>45314</v>
      </c>
      <c r="F3085" s="515"/>
      <c r="G3085" s="132" t="s">
        <v>1209</v>
      </c>
      <c r="J3085" s="129" t="s">
        <v>54</v>
      </c>
      <c r="K3085" s="207">
        <v>6000</v>
      </c>
      <c r="L3085" s="207"/>
      <c r="M3085" s="251"/>
    </row>
    <row r="3086" spans="1:13" ht="11.25" customHeight="1" x14ac:dyDescent="0.2">
      <c r="A3086" s="120">
        <v>2024</v>
      </c>
      <c r="B3086" s="120">
        <v>1</v>
      </c>
      <c r="C3086" s="120">
        <v>23</v>
      </c>
      <c r="D3086" s="208">
        <f t="shared" si="235"/>
        <v>45314</v>
      </c>
      <c r="E3086" s="209">
        <f t="shared" si="237"/>
        <v>45314</v>
      </c>
      <c r="F3086" s="515"/>
      <c r="G3086" s="132" t="s">
        <v>1209</v>
      </c>
      <c r="J3086" s="129" t="s">
        <v>113</v>
      </c>
      <c r="K3086" s="207"/>
      <c r="L3086" s="207">
        <v>211500</v>
      </c>
      <c r="M3086" s="251"/>
    </row>
    <row r="3087" spans="1:13" ht="11.25" customHeight="1" x14ac:dyDescent="0.2">
      <c r="A3087" s="191">
        <v>2024</v>
      </c>
      <c r="B3087" s="191">
        <v>1</v>
      </c>
      <c r="C3087" s="191">
        <v>23</v>
      </c>
      <c r="D3087" s="192">
        <f t="shared" si="235"/>
        <v>45314</v>
      </c>
      <c r="E3087" s="193">
        <f t="shared" si="237"/>
        <v>45314</v>
      </c>
      <c r="F3087" s="514"/>
      <c r="G3087" s="194" t="s">
        <v>1209</v>
      </c>
      <c r="H3087" s="195"/>
      <c r="I3087" s="195"/>
      <c r="J3087" s="250" t="s">
        <v>76</v>
      </c>
      <c r="K3087" s="196"/>
      <c r="L3087" s="196">
        <v>9000000</v>
      </c>
    </row>
    <row r="3088" spans="1:13" ht="11.25" customHeight="1" x14ac:dyDescent="0.2">
      <c r="A3088" s="197">
        <v>2024</v>
      </c>
      <c r="B3088" s="197">
        <v>1</v>
      </c>
      <c r="C3088" s="197">
        <v>23</v>
      </c>
      <c r="D3088" s="198">
        <f t="shared" si="235"/>
        <v>45314</v>
      </c>
      <c r="E3088" s="209">
        <f t="shared" si="237"/>
        <v>45314</v>
      </c>
      <c r="F3088" s="513" t="s">
        <v>1541</v>
      </c>
      <c r="G3088" s="200" t="s">
        <v>1209</v>
      </c>
      <c r="H3088" s="201"/>
      <c r="I3088" s="201"/>
      <c r="J3088" s="248" t="s">
        <v>46</v>
      </c>
      <c r="K3088" s="202">
        <v>9205500</v>
      </c>
      <c r="L3088" s="202"/>
      <c r="M3088" s="251"/>
    </row>
    <row r="3089" spans="1:13" ht="11.25" customHeight="1" x14ac:dyDescent="0.2">
      <c r="A3089" s="120">
        <v>2024</v>
      </c>
      <c r="B3089" s="120">
        <v>1</v>
      </c>
      <c r="C3089" s="120">
        <v>23</v>
      </c>
      <c r="D3089" s="208">
        <f t="shared" si="235"/>
        <v>45314</v>
      </c>
      <c r="E3089" s="209">
        <f t="shared" si="237"/>
        <v>45314</v>
      </c>
      <c r="F3089" s="515"/>
      <c r="G3089" s="132" t="s">
        <v>1209</v>
      </c>
      <c r="J3089" s="129" t="s">
        <v>54</v>
      </c>
      <c r="K3089" s="207">
        <v>6000</v>
      </c>
      <c r="L3089" s="207"/>
      <c r="M3089" s="251"/>
    </row>
    <row r="3090" spans="1:13" ht="11.25" customHeight="1" x14ac:dyDescent="0.2">
      <c r="A3090" s="120">
        <v>2024</v>
      </c>
      <c r="B3090" s="120">
        <v>1</v>
      </c>
      <c r="C3090" s="120">
        <v>23</v>
      </c>
      <c r="D3090" s="208">
        <f t="shared" si="235"/>
        <v>45314</v>
      </c>
      <c r="E3090" s="209">
        <f t="shared" si="237"/>
        <v>45314</v>
      </c>
      <c r="F3090" s="515"/>
      <c r="G3090" s="132" t="s">
        <v>1209</v>
      </c>
      <c r="J3090" s="129" t="s">
        <v>113</v>
      </c>
      <c r="K3090" s="207"/>
      <c r="L3090" s="207">
        <v>211500</v>
      </c>
      <c r="M3090" s="251"/>
    </row>
    <row r="3091" spans="1:13" ht="11.25" customHeight="1" x14ac:dyDescent="0.2">
      <c r="A3091" s="191">
        <v>2024</v>
      </c>
      <c r="B3091" s="191">
        <v>1</v>
      </c>
      <c r="C3091" s="191">
        <v>23</v>
      </c>
      <c r="D3091" s="192">
        <f t="shared" si="235"/>
        <v>45314</v>
      </c>
      <c r="E3091" s="193">
        <f t="shared" si="237"/>
        <v>45314</v>
      </c>
      <c r="F3091" s="514"/>
      <c r="G3091" s="194" t="s">
        <v>1209</v>
      </c>
      <c r="H3091" s="195"/>
      <c r="I3091" s="195"/>
      <c r="J3091" s="250" t="s">
        <v>76</v>
      </c>
      <c r="K3091" s="196"/>
      <c r="L3091" s="196">
        <v>9000000</v>
      </c>
    </row>
    <row r="3092" spans="1:13" ht="11.25" customHeight="1" x14ac:dyDescent="0.2">
      <c r="A3092" s="197">
        <v>2024</v>
      </c>
      <c r="B3092" s="197">
        <v>1</v>
      </c>
      <c r="C3092" s="197">
        <v>23</v>
      </c>
      <c r="D3092" s="198">
        <f t="shared" si="235"/>
        <v>45314</v>
      </c>
      <c r="E3092" s="209">
        <f t="shared" si="237"/>
        <v>45314</v>
      </c>
      <c r="F3092" s="513" t="s">
        <v>1542</v>
      </c>
      <c r="G3092" s="200" t="s">
        <v>1209</v>
      </c>
      <c r="H3092" s="201"/>
      <c r="I3092" s="201"/>
      <c r="J3092" s="248" t="s">
        <v>46</v>
      </c>
      <c r="K3092" s="202">
        <v>9205500</v>
      </c>
      <c r="L3092" s="202"/>
      <c r="M3092" s="251"/>
    </row>
    <row r="3093" spans="1:13" ht="11.25" customHeight="1" x14ac:dyDescent="0.2">
      <c r="A3093" s="120">
        <v>2024</v>
      </c>
      <c r="B3093" s="120">
        <v>1</v>
      </c>
      <c r="C3093" s="120">
        <v>23</v>
      </c>
      <c r="D3093" s="208">
        <f t="shared" si="235"/>
        <v>45314</v>
      </c>
      <c r="E3093" s="209">
        <f t="shared" si="237"/>
        <v>45314</v>
      </c>
      <c r="F3093" s="515"/>
      <c r="G3093" s="132" t="s">
        <v>1209</v>
      </c>
      <c r="J3093" s="129" t="s">
        <v>54</v>
      </c>
      <c r="K3093" s="207">
        <v>6000</v>
      </c>
      <c r="L3093" s="207"/>
      <c r="M3093" s="251"/>
    </row>
    <row r="3094" spans="1:13" ht="11.25" customHeight="1" x14ac:dyDescent="0.2">
      <c r="A3094" s="120">
        <v>2024</v>
      </c>
      <c r="B3094" s="120">
        <v>1</v>
      </c>
      <c r="C3094" s="120">
        <v>23</v>
      </c>
      <c r="D3094" s="208">
        <f t="shared" si="235"/>
        <v>45314</v>
      </c>
      <c r="E3094" s="209">
        <f t="shared" si="237"/>
        <v>45314</v>
      </c>
      <c r="F3094" s="515"/>
      <c r="G3094" s="132" t="s">
        <v>1209</v>
      </c>
      <c r="J3094" s="129" t="s">
        <v>113</v>
      </c>
      <c r="K3094" s="207"/>
      <c r="L3094" s="207">
        <v>211500</v>
      </c>
      <c r="M3094" s="251"/>
    </row>
    <row r="3095" spans="1:13" ht="11.25" customHeight="1" x14ac:dyDescent="0.2">
      <c r="A3095" s="191">
        <v>2024</v>
      </c>
      <c r="B3095" s="191">
        <v>1</v>
      </c>
      <c r="C3095" s="191">
        <v>23</v>
      </c>
      <c r="D3095" s="192">
        <f t="shared" si="235"/>
        <v>45314</v>
      </c>
      <c r="E3095" s="193">
        <f t="shared" si="237"/>
        <v>45314</v>
      </c>
      <c r="F3095" s="514"/>
      <c r="G3095" s="194" t="s">
        <v>1209</v>
      </c>
      <c r="H3095" s="195"/>
      <c r="I3095" s="195"/>
      <c r="J3095" s="250" t="s">
        <v>76</v>
      </c>
      <c r="K3095" s="196"/>
      <c r="L3095" s="196">
        <v>9000000</v>
      </c>
    </row>
    <row r="3096" spans="1:13" ht="11.25" customHeight="1" x14ac:dyDescent="0.2">
      <c r="A3096" s="197">
        <v>2024</v>
      </c>
      <c r="B3096" s="197">
        <v>1</v>
      </c>
      <c r="C3096" s="197">
        <v>23</v>
      </c>
      <c r="D3096" s="198">
        <f t="shared" si="235"/>
        <v>45314</v>
      </c>
      <c r="E3096" s="209">
        <f t="shared" si="237"/>
        <v>45314</v>
      </c>
      <c r="F3096" s="513" t="s">
        <v>1543</v>
      </c>
      <c r="G3096" s="200" t="s">
        <v>1209</v>
      </c>
      <c r="H3096" s="201"/>
      <c r="I3096" s="201"/>
      <c r="J3096" s="248" t="s">
        <v>46</v>
      </c>
      <c r="K3096" s="202">
        <v>9205500</v>
      </c>
      <c r="L3096" s="202"/>
      <c r="M3096" s="251"/>
    </row>
    <row r="3097" spans="1:13" ht="11.25" customHeight="1" x14ac:dyDescent="0.2">
      <c r="A3097" s="120">
        <v>2024</v>
      </c>
      <c r="B3097" s="120">
        <v>1</v>
      </c>
      <c r="C3097" s="120">
        <v>23</v>
      </c>
      <c r="D3097" s="208">
        <f t="shared" si="235"/>
        <v>45314</v>
      </c>
      <c r="E3097" s="209">
        <f t="shared" si="237"/>
        <v>45314</v>
      </c>
      <c r="F3097" s="515"/>
      <c r="G3097" s="132" t="s">
        <v>1209</v>
      </c>
      <c r="J3097" s="129" t="s">
        <v>54</v>
      </c>
      <c r="K3097" s="207">
        <v>6000</v>
      </c>
      <c r="L3097" s="207"/>
      <c r="M3097" s="251"/>
    </row>
    <row r="3098" spans="1:13" ht="11.25" customHeight="1" x14ac:dyDescent="0.2">
      <c r="A3098" s="120">
        <v>2024</v>
      </c>
      <c r="B3098" s="120">
        <v>1</v>
      </c>
      <c r="C3098" s="120">
        <v>23</v>
      </c>
      <c r="D3098" s="208">
        <f t="shared" si="235"/>
        <v>45314</v>
      </c>
      <c r="E3098" s="209">
        <f t="shared" si="237"/>
        <v>45314</v>
      </c>
      <c r="F3098" s="515"/>
      <c r="G3098" s="132" t="s">
        <v>1209</v>
      </c>
      <c r="J3098" s="129" t="s">
        <v>113</v>
      </c>
      <c r="K3098" s="207"/>
      <c r="L3098" s="207">
        <v>211500</v>
      </c>
      <c r="M3098" s="251"/>
    </row>
    <row r="3099" spans="1:13" ht="11.25" customHeight="1" x14ac:dyDescent="0.2">
      <c r="A3099" s="191">
        <v>2024</v>
      </c>
      <c r="B3099" s="191">
        <v>1</v>
      </c>
      <c r="C3099" s="191">
        <v>23</v>
      </c>
      <c r="D3099" s="192">
        <f t="shared" si="235"/>
        <v>45314</v>
      </c>
      <c r="E3099" s="193">
        <f t="shared" si="237"/>
        <v>45314</v>
      </c>
      <c r="F3099" s="514"/>
      <c r="G3099" s="194" t="s">
        <v>1209</v>
      </c>
      <c r="H3099" s="195"/>
      <c r="I3099" s="195"/>
      <c r="J3099" s="250" t="s">
        <v>76</v>
      </c>
      <c r="K3099" s="196"/>
      <c r="L3099" s="196">
        <v>9000000</v>
      </c>
    </row>
    <row r="3100" spans="1:13" ht="11.25" customHeight="1" x14ac:dyDescent="0.2">
      <c r="A3100" s="197">
        <v>2024</v>
      </c>
      <c r="B3100" s="197">
        <v>1</v>
      </c>
      <c r="C3100" s="197">
        <v>23</v>
      </c>
      <c r="D3100" s="198">
        <f t="shared" si="235"/>
        <v>45314</v>
      </c>
      <c r="E3100" s="209">
        <f t="shared" si="237"/>
        <v>45314</v>
      </c>
      <c r="F3100" s="513" t="s">
        <v>1544</v>
      </c>
      <c r="G3100" s="200" t="s">
        <v>1209</v>
      </c>
      <c r="H3100" s="201"/>
      <c r="I3100" s="201"/>
      <c r="J3100" s="248" t="s">
        <v>46</v>
      </c>
      <c r="K3100" s="202">
        <v>9205500</v>
      </c>
      <c r="L3100" s="202"/>
      <c r="M3100" s="251"/>
    </row>
    <row r="3101" spans="1:13" ht="11.25" customHeight="1" x14ac:dyDescent="0.2">
      <c r="A3101" s="120">
        <v>2024</v>
      </c>
      <c r="B3101" s="120">
        <v>1</v>
      </c>
      <c r="C3101" s="120">
        <v>23</v>
      </c>
      <c r="D3101" s="208">
        <f t="shared" si="235"/>
        <v>45314</v>
      </c>
      <c r="E3101" s="209">
        <f t="shared" si="237"/>
        <v>45314</v>
      </c>
      <c r="F3101" s="515"/>
      <c r="G3101" s="132" t="s">
        <v>1209</v>
      </c>
      <c r="J3101" s="129" t="s">
        <v>54</v>
      </c>
      <c r="K3101" s="207">
        <v>6000</v>
      </c>
      <c r="L3101" s="207"/>
      <c r="M3101" s="251"/>
    </row>
    <row r="3102" spans="1:13" ht="11.25" customHeight="1" x14ac:dyDescent="0.2">
      <c r="A3102" s="120">
        <v>2024</v>
      </c>
      <c r="B3102" s="120">
        <v>1</v>
      </c>
      <c r="C3102" s="120">
        <v>23</v>
      </c>
      <c r="D3102" s="208">
        <f t="shared" si="235"/>
        <v>45314</v>
      </c>
      <c r="E3102" s="209">
        <f t="shared" si="237"/>
        <v>45314</v>
      </c>
      <c r="F3102" s="515"/>
      <c r="G3102" s="132" t="s">
        <v>1209</v>
      </c>
      <c r="J3102" s="129" t="s">
        <v>113</v>
      </c>
      <c r="K3102" s="207"/>
      <c r="L3102" s="207">
        <v>211500</v>
      </c>
      <c r="M3102" s="251"/>
    </row>
    <row r="3103" spans="1:13" ht="11.25" customHeight="1" x14ac:dyDescent="0.2">
      <c r="A3103" s="191">
        <v>2024</v>
      </c>
      <c r="B3103" s="191">
        <v>1</v>
      </c>
      <c r="C3103" s="191">
        <v>23</v>
      </c>
      <c r="D3103" s="192">
        <f t="shared" si="235"/>
        <v>45314</v>
      </c>
      <c r="E3103" s="193">
        <f t="shared" si="237"/>
        <v>45314</v>
      </c>
      <c r="F3103" s="514"/>
      <c r="G3103" s="194" t="s">
        <v>1209</v>
      </c>
      <c r="H3103" s="195"/>
      <c r="I3103" s="195"/>
      <c r="J3103" s="250" t="s">
        <v>76</v>
      </c>
      <c r="K3103" s="196"/>
      <c r="L3103" s="196">
        <v>9000000</v>
      </c>
    </row>
    <row r="3104" spans="1:13" ht="11.25" customHeight="1" x14ac:dyDescent="0.2">
      <c r="A3104" s="197">
        <v>2024</v>
      </c>
      <c r="B3104" s="197">
        <v>1</v>
      </c>
      <c r="C3104" s="197">
        <v>23</v>
      </c>
      <c r="D3104" s="198">
        <f t="shared" si="235"/>
        <v>45314</v>
      </c>
      <c r="E3104" s="209">
        <f t="shared" si="237"/>
        <v>45314</v>
      </c>
      <c r="F3104" s="513" t="s">
        <v>1545</v>
      </c>
      <c r="G3104" s="200" t="s">
        <v>1209</v>
      </c>
      <c r="H3104" s="201"/>
      <c r="I3104" s="201"/>
      <c r="J3104" s="248" t="s">
        <v>46</v>
      </c>
      <c r="K3104" s="202">
        <v>5111500</v>
      </c>
      <c r="L3104" s="202"/>
      <c r="M3104" s="251"/>
    </row>
    <row r="3105" spans="1:15" ht="11.25" customHeight="1" x14ac:dyDescent="0.2">
      <c r="A3105" s="120">
        <v>2024</v>
      </c>
      <c r="B3105" s="120">
        <v>1</v>
      </c>
      <c r="C3105" s="120">
        <v>23</v>
      </c>
      <c r="D3105" s="208">
        <f t="shared" si="235"/>
        <v>45314</v>
      </c>
      <c r="E3105" s="209">
        <f t="shared" si="237"/>
        <v>45314</v>
      </c>
      <c r="F3105" s="515"/>
      <c r="G3105" s="132" t="s">
        <v>1209</v>
      </c>
      <c r="J3105" s="129" t="s">
        <v>54</v>
      </c>
      <c r="K3105" s="207">
        <v>6000</v>
      </c>
      <c r="L3105" s="207"/>
      <c r="M3105" s="251"/>
    </row>
    <row r="3106" spans="1:15" ht="11.25" customHeight="1" x14ac:dyDescent="0.2">
      <c r="A3106" s="120">
        <v>2024</v>
      </c>
      <c r="B3106" s="120">
        <v>1</v>
      </c>
      <c r="C3106" s="120">
        <v>23</v>
      </c>
      <c r="D3106" s="208">
        <f t="shared" si="235"/>
        <v>45314</v>
      </c>
      <c r="E3106" s="209">
        <f t="shared" si="237"/>
        <v>45314</v>
      </c>
      <c r="F3106" s="515"/>
      <c r="G3106" s="132" t="s">
        <v>1209</v>
      </c>
      <c r="J3106" s="129" t="s">
        <v>113</v>
      </c>
      <c r="K3106" s="207"/>
      <c r="L3106" s="207">
        <v>117500</v>
      </c>
      <c r="M3106" s="251"/>
    </row>
    <row r="3107" spans="1:15" ht="11.25" customHeight="1" x14ac:dyDescent="0.2">
      <c r="A3107" s="191">
        <v>2024</v>
      </c>
      <c r="B3107" s="191">
        <v>1</v>
      </c>
      <c r="C3107" s="191">
        <v>23</v>
      </c>
      <c r="D3107" s="192">
        <f t="shared" si="235"/>
        <v>45314</v>
      </c>
      <c r="E3107" s="193">
        <f t="shared" si="237"/>
        <v>45314</v>
      </c>
      <c r="F3107" s="514"/>
      <c r="G3107" s="194" t="s">
        <v>1209</v>
      </c>
      <c r="H3107" s="195"/>
      <c r="I3107" s="195"/>
      <c r="J3107" s="250" t="s">
        <v>76</v>
      </c>
      <c r="K3107" s="196"/>
      <c r="L3107" s="196">
        <v>5000000</v>
      </c>
    </row>
    <row r="3108" spans="1:15" ht="11.25" customHeight="1" x14ac:dyDescent="0.2">
      <c r="A3108" s="197">
        <v>2024</v>
      </c>
      <c r="B3108" s="197">
        <v>1</v>
      </c>
      <c r="C3108" s="197">
        <v>24</v>
      </c>
      <c r="D3108" s="198">
        <f t="shared" si="235"/>
        <v>45315</v>
      </c>
      <c r="E3108" s="209">
        <f t="shared" si="237"/>
        <v>45315</v>
      </c>
      <c r="F3108" s="513" t="s">
        <v>1280</v>
      </c>
      <c r="G3108" s="200" t="s">
        <v>1209</v>
      </c>
      <c r="H3108" s="201"/>
      <c r="I3108" s="201" t="s">
        <v>694</v>
      </c>
      <c r="J3108" s="197" t="s">
        <v>16</v>
      </c>
      <c r="K3108" s="202">
        <v>372680</v>
      </c>
      <c r="L3108" s="202"/>
    </row>
    <row r="3109" spans="1:15" ht="11.25" customHeight="1" x14ac:dyDescent="0.2">
      <c r="A3109" s="120">
        <v>2024</v>
      </c>
      <c r="B3109" s="120">
        <v>1</v>
      </c>
      <c r="C3109" s="120">
        <v>24</v>
      </c>
      <c r="D3109" s="208">
        <f t="shared" si="235"/>
        <v>45315</v>
      </c>
      <c r="E3109" s="209">
        <f t="shared" si="237"/>
        <v>45315</v>
      </c>
      <c r="F3109" s="515"/>
      <c r="G3109" s="132" t="s">
        <v>1209</v>
      </c>
      <c r="I3109" s="128" t="s">
        <v>694</v>
      </c>
      <c r="J3109" s="120" t="s">
        <v>47</v>
      </c>
      <c r="K3109" s="207">
        <v>27320</v>
      </c>
      <c r="L3109" s="207"/>
    </row>
    <row r="3110" spans="1:15" ht="11.25" customHeight="1" x14ac:dyDescent="0.2">
      <c r="A3110" s="191">
        <v>2024</v>
      </c>
      <c r="B3110" s="191">
        <v>1</v>
      </c>
      <c r="C3110" s="191">
        <v>24</v>
      </c>
      <c r="D3110" s="192">
        <f t="shared" si="235"/>
        <v>45315</v>
      </c>
      <c r="E3110" s="193">
        <f t="shared" si="237"/>
        <v>45315</v>
      </c>
      <c r="F3110" s="514"/>
      <c r="G3110" s="194" t="s">
        <v>1209</v>
      </c>
      <c r="H3110" s="195"/>
      <c r="I3110" s="195" t="s">
        <v>694</v>
      </c>
      <c r="J3110" s="191" t="s">
        <v>46</v>
      </c>
      <c r="K3110" s="196"/>
      <c r="L3110" s="196">
        <v>400000</v>
      </c>
    </row>
    <row r="3111" spans="1:15" ht="11.25" customHeight="1" x14ac:dyDescent="0.2">
      <c r="A3111" s="197">
        <v>2024</v>
      </c>
      <c r="B3111" s="197">
        <v>1</v>
      </c>
      <c r="C3111" s="197">
        <v>24</v>
      </c>
      <c r="D3111" s="198">
        <f t="shared" si="235"/>
        <v>45315</v>
      </c>
      <c r="E3111" s="290">
        <f t="shared" si="237"/>
        <v>45315</v>
      </c>
      <c r="F3111" s="513" t="s">
        <v>1514</v>
      </c>
      <c r="G3111" s="200" t="s">
        <v>1209</v>
      </c>
      <c r="H3111" s="201"/>
      <c r="I3111" s="201"/>
      <c r="J3111" s="197" t="s">
        <v>54</v>
      </c>
      <c r="K3111" s="202">
        <v>58</v>
      </c>
      <c r="L3111" s="202"/>
      <c r="M3111" s="251"/>
      <c r="N3111" s="251"/>
      <c r="O3111" s="251"/>
    </row>
    <row r="3112" spans="1:15" ht="11.25" customHeight="1" x14ac:dyDescent="0.2">
      <c r="A3112" s="191">
        <v>2024</v>
      </c>
      <c r="B3112" s="191">
        <v>1</v>
      </c>
      <c r="C3112" s="191">
        <v>24</v>
      </c>
      <c r="D3112" s="192">
        <f t="shared" si="235"/>
        <v>45315</v>
      </c>
      <c r="E3112" s="291">
        <f t="shared" si="237"/>
        <v>45315</v>
      </c>
      <c r="F3112" s="514"/>
      <c r="G3112" s="194" t="s">
        <v>1209</v>
      </c>
      <c r="H3112" s="195"/>
      <c r="I3112" s="195"/>
      <c r="J3112" s="191" t="s">
        <v>46</v>
      </c>
      <c r="K3112" s="196"/>
      <c r="L3112" s="196">
        <v>58</v>
      </c>
      <c r="M3112" s="251"/>
      <c r="N3112" s="251"/>
      <c r="O3112" s="251"/>
    </row>
    <row r="3113" spans="1:15" ht="11.25" customHeight="1" x14ac:dyDescent="0.2">
      <c r="A3113" s="197">
        <v>2024</v>
      </c>
      <c r="B3113" s="197">
        <v>1</v>
      </c>
      <c r="C3113" s="197">
        <v>24</v>
      </c>
      <c r="D3113" s="198">
        <f t="shared" si="235"/>
        <v>45315</v>
      </c>
      <c r="E3113" s="209">
        <f>DATE(A3113,B3113,C3113)</f>
        <v>45315</v>
      </c>
      <c r="F3113" s="513" t="s">
        <v>1210</v>
      </c>
      <c r="G3113" s="200" t="s">
        <v>1209</v>
      </c>
      <c r="H3113" s="201"/>
      <c r="I3113" s="201" t="s">
        <v>355</v>
      </c>
      <c r="J3113" s="197" t="s">
        <v>46</v>
      </c>
      <c r="K3113" s="202">
        <v>1500000</v>
      </c>
      <c r="L3113" s="202"/>
    </row>
    <row r="3114" spans="1:15" ht="11.25" customHeight="1" x14ac:dyDescent="0.2">
      <c r="A3114" s="120">
        <v>2024</v>
      </c>
      <c r="B3114" s="120">
        <v>1</v>
      </c>
      <c r="C3114" s="120">
        <v>24</v>
      </c>
      <c r="D3114" s="208">
        <f t="shared" si="235"/>
        <v>45315</v>
      </c>
      <c r="E3114" s="209">
        <f>DATE(A3114,B3114,C3114)</f>
        <v>45315</v>
      </c>
      <c r="F3114" s="515"/>
      <c r="G3114" s="132" t="s">
        <v>1209</v>
      </c>
      <c r="I3114" s="128" t="s">
        <v>355</v>
      </c>
      <c r="J3114" s="120" t="s">
        <v>16</v>
      </c>
      <c r="K3114" s="207"/>
      <c r="L3114" s="207">
        <v>1397560</v>
      </c>
    </row>
    <row r="3115" spans="1:15" ht="11.25" customHeight="1" x14ac:dyDescent="0.2">
      <c r="A3115" s="191">
        <v>2024</v>
      </c>
      <c r="B3115" s="191">
        <v>1</v>
      </c>
      <c r="C3115" s="191">
        <v>24</v>
      </c>
      <c r="D3115" s="192">
        <f t="shared" si="235"/>
        <v>45315</v>
      </c>
      <c r="E3115" s="193">
        <f>DATE(A3115,B3115,C3115)</f>
        <v>45315</v>
      </c>
      <c r="F3115" s="514"/>
      <c r="G3115" s="194" t="s">
        <v>1209</v>
      </c>
      <c r="H3115" s="195"/>
      <c r="I3115" s="195" t="s">
        <v>355</v>
      </c>
      <c r="J3115" s="191" t="s">
        <v>47</v>
      </c>
      <c r="K3115" s="196"/>
      <c r="L3115" s="196">
        <v>102440</v>
      </c>
    </row>
    <row r="3116" spans="1:15" ht="11.25" customHeight="1" x14ac:dyDescent="0.2">
      <c r="A3116" s="197">
        <v>2024</v>
      </c>
      <c r="B3116" s="197">
        <v>1</v>
      </c>
      <c r="C3116" s="197">
        <v>24</v>
      </c>
      <c r="D3116" s="198">
        <f t="shared" ref="D3116:D3177" si="238">DATE(A3116,B3116,C3116)</f>
        <v>45315</v>
      </c>
      <c r="E3116" s="290">
        <f t="shared" ref="E3116:E3123" si="239">DATE(A3116,B3116,C3116)</f>
        <v>45315</v>
      </c>
      <c r="F3116" s="513" t="s">
        <v>1514</v>
      </c>
      <c r="G3116" s="200" t="s">
        <v>1209</v>
      </c>
      <c r="H3116" s="201"/>
      <c r="I3116" s="201"/>
      <c r="J3116" s="197" t="s">
        <v>54</v>
      </c>
      <c r="K3116" s="202">
        <v>120</v>
      </c>
      <c r="L3116" s="202"/>
      <c r="M3116" s="251"/>
      <c r="N3116" s="251"/>
      <c r="O3116" s="251"/>
    </row>
    <row r="3117" spans="1:15" ht="11.25" customHeight="1" x14ac:dyDescent="0.2">
      <c r="A3117" s="191">
        <v>2024</v>
      </c>
      <c r="B3117" s="191">
        <v>1</v>
      </c>
      <c r="C3117" s="191">
        <v>24</v>
      </c>
      <c r="D3117" s="192">
        <f t="shared" si="238"/>
        <v>45315</v>
      </c>
      <c r="E3117" s="291">
        <f t="shared" si="239"/>
        <v>45315</v>
      </c>
      <c r="F3117" s="514"/>
      <c r="G3117" s="194" t="s">
        <v>1209</v>
      </c>
      <c r="H3117" s="195"/>
      <c r="I3117" s="195"/>
      <c r="J3117" s="191" t="s">
        <v>46</v>
      </c>
      <c r="K3117" s="196"/>
      <c r="L3117" s="196">
        <v>120</v>
      </c>
      <c r="M3117" s="251"/>
      <c r="N3117" s="251"/>
      <c r="O3117" s="251"/>
    </row>
    <row r="3118" spans="1:15" ht="11.25" customHeight="1" x14ac:dyDescent="0.2">
      <c r="A3118" s="197">
        <v>2024</v>
      </c>
      <c r="B3118" s="197">
        <v>1</v>
      </c>
      <c r="C3118" s="197">
        <v>24</v>
      </c>
      <c r="D3118" s="198">
        <f t="shared" si="238"/>
        <v>45315</v>
      </c>
      <c r="E3118" s="209">
        <f>DATE(A3118,B3118,C3118)</f>
        <v>45315</v>
      </c>
      <c r="F3118" s="513" t="s">
        <v>1210</v>
      </c>
      <c r="G3118" s="200" t="s">
        <v>1209</v>
      </c>
      <c r="H3118" s="201"/>
      <c r="I3118" s="201" t="s">
        <v>1218</v>
      </c>
      <c r="J3118" s="197" t="s">
        <v>46</v>
      </c>
      <c r="K3118" s="202">
        <v>20000000</v>
      </c>
      <c r="L3118" s="202"/>
    </row>
    <row r="3119" spans="1:15" ht="11.25" customHeight="1" x14ac:dyDescent="0.2">
      <c r="A3119" s="120">
        <v>2024</v>
      </c>
      <c r="B3119" s="120">
        <v>1</v>
      </c>
      <c r="C3119" s="120">
        <v>24</v>
      </c>
      <c r="D3119" s="208">
        <f t="shared" si="238"/>
        <v>45315</v>
      </c>
      <c r="E3119" s="209">
        <f>DATE(A3119,B3119,C3119)</f>
        <v>45315</v>
      </c>
      <c r="F3119" s="515"/>
      <c r="G3119" s="132" t="s">
        <v>1209</v>
      </c>
      <c r="I3119" s="128" t="s">
        <v>1218</v>
      </c>
      <c r="J3119" s="120" t="s">
        <v>16</v>
      </c>
      <c r="K3119" s="207"/>
      <c r="L3119" s="207">
        <v>18634120</v>
      </c>
    </row>
    <row r="3120" spans="1:15" ht="11.25" customHeight="1" x14ac:dyDescent="0.2">
      <c r="A3120" s="191">
        <v>2024</v>
      </c>
      <c r="B3120" s="191">
        <v>1</v>
      </c>
      <c r="C3120" s="191">
        <v>24</v>
      </c>
      <c r="D3120" s="192">
        <f t="shared" si="238"/>
        <v>45315</v>
      </c>
      <c r="E3120" s="193">
        <f>DATE(A3120,B3120,C3120)</f>
        <v>45315</v>
      </c>
      <c r="F3120" s="514"/>
      <c r="G3120" s="194" t="s">
        <v>1209</v>
      </c>
      <c r="H3120" s="195"/>
      <c r="I3120" s="195" t="s">
        <v>1218</v>
      </c>
      <c r="J3120" s="191" t="s">
        <v>47</v>
      </c>
      <c r="K3120" s="196"/>
      <c r="L3120" s="196">
        <v>1365880</v>
      </c>
    </row>
    <row r="3121" spans="1:15" ht="11.25" customHeight="1" x14ac:dyDescent="0.2">
      <c r="A3121" s="197">
        <v>2024</v>
      </c>
      <c r="B3121" s="197">
        <v>1</v>
      </c>
      <c r="C3121" s="197">
        <v>25</v>
      </c>
      <c r="D3121" s="198">
        <f t="shared" si="238"/>
        <v>45316</v>
      </c>
      <c r="E3121" s="209">
        <f t="shared" si="239"/>
        <v>45316</v>
      </c>
      <c r="F3121" s="513" t="s">
        <v>1280</v>
      </c>
      <c r="G3121" s="200" t="s">
        <v>1209</v>
      </c>
      <c r="H3121" s="201"/>
      <c r="I3121" s="201" t="s">
        <v>1479</v>
      </c>
      <c r="J3121" s="197" t="s">
        <v>16</v>
      </c>
      <c r="K3121" s="202">
        <v>46585300</v>
      </c>
      <c r="L3121" s="202"/>
    </row>
    <row r="3122" spans="1:15" ht="11.25" customHeight="1" x14ac:dyDescent="0.2">
      <c r="A3122" s="120">
        <v>2024</v>
      </c>
      <c r="B3122" s="120">
        <v>1</v>
      </c>
      <c r="C3122" s="120">
        <v>25</v>
      </c>
      <c r="D3122" s="208">
        <f t="shared" si="238"/>
        <v>45316</v>
      </c>
      <c r="E3122" s="209">
        <f t="shared" si="239"/>
        <v>45316</v>
      </c>
      <c r="F3122" s="515"/>
      <c r="G3122" s="132" t="s">
        <v>1209</v>
      </c>
      <c r="I3122" s="128" t="s">
        <v>1479</v>
      </c>
      <c r="J3122" s="120" t="s">
        <v>47</v>
      </c>
      <c r="K3122" s="207">
        <v>3414700</v>
      </c>
      <c r="L3122" s="207"/>
    </row>
    <row r="3123" spans="1:15" ht="11.25" customHeight="1" x14ac:dyDescent="0.2">
      <c r="A3123" s="191">
        <v>2024</v>
      </c>
      <c r="B3123" s="191">
        <v>1</v>
      </c>
      <c r="C3123" s="191">
        <v>25</v>
      </c>
      <c r="D3123" s="192">
        <f t="shared" si="238"/>
        <v>45316</v>
      </c>
      <c r="E3123" s="193">
        <f t="shared" si="239"/>
        <v>45316</v>
      </c>
      <c r="F3123" s="514"/>
      <c r="G3123" s="194" t="s">
        <v>1209</v>
      </c>
      <c r="H3123" s="195"/>
      <c r="I3123" s="195" t="s">
        <v>1479</v>
      </c>
      <c r="J3123" s="191" t="s">
        <v>46</v>
      </c>
      <c r="K3123" s="196"/>
      <c r="L3123" s="196">
        <v>50000000</v>
      </c>
    </row>
    <row r="3124" spans="1:15" ht="11.25" customHeight="1" x14ac:dyDescent="0.2">
      <c r="A3124" s="197">
        <v>2024</v>
      </c>
      <c r="B3124" s="197">
        <v>1</v>
      </c>
      <c r="C3124" s="197">
        <v>25</v>
      </c>
      <c r="D3124" s="198">
        <f t="shared" si="238"/>
        <v>45316</v>
      </c>
      <c r="E3124" s="290">
        <f>DATE(A3124,B3124,C3124)</f>
        <v>45316</v>
      </c>
      <c r="F3124" s="513" t="s">
        <v>1514</v>
      </c>
      <c r="G3124" s="200" t="s">
        <v>1209</v>
      </c>
      <c r="H3124" s="201"/>
      <c r="I3124" s="201"/>
      <c r="J3124" s="197" t="s">
        <v>54</v>
      </c>
      <c r="K3124" s="202">
        <v>100</v>
      </c>
      <c r="L3124" s="202"/>
      <c r="M3124" s="251"/>
      <c r="N3124" s="251"/>
      <c r="O3124" s="251"/>
    </row>
    <row r="3125" spans="1:15" ht="11.25" customHeight="1" x14ac:dyDescent="0.2">
      <c r="A3125" s="191">
        <v>2024</v>
      </c>
      <c r="B3125" s="191">
        <v>1</v>
      </c>
      <c r="C3125" s="191">
        <v>25</v>
      </c>
      <c r="D3125" s="192">
        <f t="shared" si="238"/>
        <v>45316</v>
      </c>
      <c r="E3125" s="291">
        <f>DATE(A3125,B3125,C3125)</f>
        <v>45316</v>
      </c>
      <c r="F3125" s="514"/>
      <c r="G3125" s="194" t="s">
        <v>1209</v>
      </c>
      <c r="H3125" s="195"/>
      <c r="I3125" s="195"/>
      <c r="J3125" s="191" t="s">
        <v>46</v>
      </c>
      <c r="K3125" s="196"/>
      <c r="L3125" s="196">
        <v>100</v>
      </c>
      <c r="M3125" s="251"/>
      <c r="N3125" s="251"/>
      <c r="O3125" s="251"/>
    </row>
    <row r="3126" spans="1:15" ht="11.25" customHeight="1" x14ac:dyDescent="0.2">
      <c r="A3126" s="197">
        <v>2024</v>
      </c>
      <c r="B3126" s="197">
        <v>1</v>
      </c>
      <c r="C3126" s="197">
        <v>25</v>
      </c>
      <c r="D3126" s="198">
        <f t="shared" si="238"/>
        <v>45316</v>
      </c>
      <c r="E3126" s="209">
        <f>DATE(A3126,B3126,C3126)</f>
        <v>45316</v>
      </c>
      <c r="F3126" s="513" t="s">
        <v>1546</v>
      </c>
      <c r="G3126" s="200" t="s">
        <v>1209</v>
      </c>
      <c r="H3126" s="201"/>
      <c r="I3126" s="201" t="s">
        <v>424</v>
      </c>
      <c r="J3126" s="197" t="s">
        <v>46</v>
      </c>
      <c r="K3126" s="202">
        <v>50000</v>
      </c>
      <c r="L3126" s="202"/>
    </row>
    <row r="3127" spans="1:15" ht="11.25" customHeight="1" x14ac:dyDescent="0.2">
      <c r="A3127" s="120">
        <v>2024</v>
      </c>
      <c r="B3127" s="120">
        <v>1</v>
      </c>
      <c r="C3127" s="120">
        <v>25</v>
      </c>
      <c r="D3127" s="208">
        <f t="shared" si="238"/>
        <v>45316</v>
      </c>
      <c r="E3127" s="209">
        <f>DATE(A3127,B3127,C3127)</f>
        <v>45316</v>
      </c>
      <c r="F3127" s="515"/>
      <c r="G3127" s="132" t="s">
        <v>1209</v>
      </c>
      <c r="I3127" s="128" t="s">
        <v>424</v>
      </c>
      <c r="J3127" s="120" t="s">
        <v>16</v>
      </c>
      <c r="K3127" s="207"/>
      <c r="L3127" s="207">
        <v>46590</v>
      </c>
    </row>
    <row r="3128" spans="1:15" ht="11.25" customHeight="1" x14ac:dyDescent="0.2">
      <c r="A3128" s="191">
        <v>2024</v>
      </c>
      <c r="B3128" s="191">
        <v>1</v>
      </c>
      <c r="C3128" s="191">
        <v>25</v>
      </c>
      <c r="D3128" s="192">
        <f t="shared" si="238"/>
        <v>45316</v>
      </c>
      <c r="E3128" s="193">
        <f>DATE(A3128,B3128,C3128)</f>
        <v>45316</v>
      </c>
      <c r="F3128" s="514"/>
      <c r="G3128" s="194" t="s">
        <v>1209</v>
      </c>
      <c r="H3128" s="195"/>
      <c r="I3128" s="195" t="s">
        <v>424</v>
      </c>
      <c r="J3128" s="191" t="s">
        <v>47</v>
      </c>
      <c r="K3128" s="196"/>
      <c r="L3128" s="196">
        <v>3410</v>
      </c>
    </row>
    <row r="3129" spans="1:15" ht="11.25" customHeight="1" x14ac:dyDescent="0.2">
      <c r="A3129" s="197">
        <v>2024</v>
      </c>
      <c r="B3129" s="197">
        <v>1</v>
      </c>
      <c r="C3129" s="197">
        <v>25</v>
      </c>
      <c r="D3129" s="198">
        <f t="shared" si="238"/>
        <v>45316</v>
      </c>
      <c r="E3129" s="209">
        <f t="shared" ref="E3129:E3134" si="240">DATE(A3129,B3129,C3129)</f>
        <v>45316</v>
      </c>
      <c r="F3129" s="513" t="s">
        <v>1210</v>
      </c>
      <c r="G3129" s="200" t="s">
        <v>1209</v>
      </c>
      <c r="H3129" s="201"/>
      <c r="I3129" s="201" t="s">
        <v>355</v>
      </c>
      <c r="J3129" s="197" t="s">
        <v>46</v>
      </c>
      <c r="K3129" s="202">
        <v>150000</v>
      </c>
      <c r="L3129" s="202"/>
    </row>
    <row r="3130" spans="1:15" ht="11.25" customHeight="1" x14ac:dyDescent="0.2">
      <c r="A3130" s="120">
        <v>2024</v>
      </c>
      <c r="B3130" s="120">
        <v>1</v>
      </c>
      <c r="C3130" s="120">
        <v>25</v>
      </c>
      <c r="D3130" s="208">
        <f t="shared" si="238"/>
        <v>45316</v>
      </c>
      <c r="E3130" s="209">
        <f t="shared" si="240"/>
        <v>45316</v>
      </c>
      <c r="F3130" s="515"/>
      <c r="G3130" s="132" t="s">
        <v>1209</v>
      </c>
      <c r="I3130" s="128" t="s">
        <v>355</v>
      </c>
      <c r="J3130" s="120" t="s">
        <v>16</v>
      </c>
      <c r="K3130" s="207"/>
      <c r="L3130" s="207">
        <v>139760</v>
      </c>
    </row>
    <row r="3131" spans="1:15" ht="11.25" customHeight="1" x14ac:dyDescent="0.2">
      <c r="A3131" s="191">
        <v>2024</v>
      </c>
      <c r="B3131" s="191">
        <v>1</v>
      </c>
      <c r="C3131" s="191">
        <v>25</v>
      </c>
      <c r="D3131" s="192">
        <f t="shared" si="238"/>
        <v>45316</v>
      </c>
      <c r="E3131" s="193">
        <f t="shared" si="240"/>
        <v>45316</v>
      </c>
      <c r="F3131" s="514"/>
      <c r="G3131" s="194" t="s">
        <v>1209</v>
      </c>
      <c r="H3131" s="195"/>
      <c r="I3131" s="195" t="s">
        <v>355</v>
      </c>
      <c r="J3131" s="191" t="s">
        <v>47</v>
      </c>
      <c r="K3131" s="196"/>
      <c r="L3131" s="196">
        <v>10240</v>
      </c>
    </row>
    <row r="3132" spans="1:15" ht="11.25" customHeight="1" x14ac:dyDescent="0.2">
      <c r="A3132" s="197">
        <v>2024</v>
      </c>
      <c r="B3132" s="197">
        <v>1</v>
      </c>
      <c r="C3132" s="197">
        <v>25</v>
      </c>
      <c r="D3132" s="198">
        <f t="shared" si="238"/>
        <v>45316</v>
      </c>
      <c r="E3132" s="209">
        <f t="shared" si="240"/>
        <v>45316</v>
      </c>
      <c r="F3132" s="513" t="s">
        <v>1210</v>
      </c>
      <c r="G3132" s="200" t="s">
        <v>1209</v>
      </c>
      <c r="H3132" s="201"/>
      <c r="I3132" s="201" t="s">
        <v>422</v>
      </c>
      <c r="J3132" s="197" t="s">
        <v>46</v>
      </c>
      <c r="K3132" s="202">
        <v>700000</v>
      </c>
      <c r="L3132" s="202"/>
    </row>
    <row r="3133" spans="1:15" ht="11.25" customHeight="1" x14ac:dyDescent="0.2">
      <c r="A3133" s="120">
        <v>2024</v>
      </c>
      <c r="B3133" s="120">
        <v>1</v>
      </c>
      <c r="C3133" s="120">
        <v>25</v>
      </c>
      <c r="D3133" s="208">
        <f t="shared" si="238"/>
        <v>45316</v>
      </c>
      <c r="E3133" s="209">
        <f t="shared" si="240"/>
        <v>45316</v>
      </c>
      <c r="F3133" s="515"/>
      <c r="G3133" s="132" t="s">
        <v>1209</v>
      </c>
      <c r="I3133" s="128" t="s">
        <v>422</v>
      </c>
      <c r="J3133" s="120" t="s">
        <v>16</v>
      </c>
      <c r="K3133" s="207"/>
      <c r="L3133" s="207">
        <v>652190</v>
      </c>
    </row>
    <row r="3134" spans="1:15" ht="11.25" customHeight="1" x14ac:dyDescent="0.2">
      <c r="A3134" s="191">
        <v>2024</v>
      </c>
      <c r="B3134" s="191">
        <v>1</v>
      </c>
      <c r="C3134" s="191">
        <v>25</v>
      </c>
      <c r="D3134" s="192">
        <f t="shared" si="238"/>
        <v>45316</v>
      </c>
      <c r="E3134" s="193">
        <f t="shared" si="240"/>
        <v>45316</v>
      </c>
      <c r="F3134" s="514"/>
      <c r="G3134" s="194" t="s">
        <v>1209</v>
      </c>
      <c r="H3134" s="195"/>
      <c r="I3134" s="195" t="s">
        <v>422</v>
      </c>
      <c r="J3134" s="191" t="s">
        <v>47</v>
      </c>
      <c r="K3134" s="196"/>
      <c r="L3134" s="196">
        <v>47810</v>
      </c>
    </row>
    <row r="3135" spans="1:15" ht="11.25" customHeight="1" x14ac:dyDescent="0.2">
      <c r="A3135" s="197">
        <v>2024</v>
      </c>
      <c r="B3135" s="197">
        <v>1</v>
      </c>
      <c r="C3135" s="197">
        <v>25</v>
      </c>
      <c r="D3135" s="198">
        <f t="shared" si="238"/>
        <v>45316</v>
      </c>
      <c r="E3135" s="209">
        <f t="shared" ref="E3135:E3165" si="241">DATE(A3135,B3135,C3135)</f>
        <v>45316</v>
      </c>
      <c r="F3135" s="513" t="s">
        <v>1280</v>
      </c>
      <c r="G3135" s="200" t="s">
        <v>1209</v>
      </c>
      <c r="H3135" s="201"/>
      <c r="I3135" s="201" t="s">
        <v>299</v>
      </c>
      <c r="J3135" s="197" t="s">
        <v>16</v>
      </c>
      <c r="K3135" s="202">
        <v>512440</v>
      </c>
      <c r="L3135" s="202"/>
    </row>
    <row r="3136" spans="1:15" ht="11.25" customHeight="1" x14ac:dyDescent="0.2">
      <c r="A3136" s="120">
        <v>2024</v>
      </c>
      <c r="B3136" s="120">
        <v>1</v>
      </c>
      <c r="C3136" s="120">
        <v>25</v>
      </c>
      <c r="D3136" s="208">
        <f t="shared" si="238"/>
        <v>45316</v>
      </c>
      <c r="E3136" s="209">
        <f t="shared" si="241"/>
        <v>45316</v>
      </c>
      <c r="F3136" s="515"/>
      <c r="G3136" s="132" t="s">
        <v>1209</v>
      </c>
      <c r="I3136" s="128" t="s">
        <v>299</v>
      </c>
      <c r="J3136" s="120" t="s">
        <v>47</v>
      </c>
      <c r="K3136" s="207">
        <v>37560</v>
      </c>
      <c r="L3136" s="207"/>
    </row>
    <row r="3137" spans="1:15" ht="11.25" customHeight="1" x14ac:dyDescent="0.2">
      <c r="A3137" s="191">
        <v>2024</v>
      </c>
      <c r="B3137" s="191">
        <v>1</v>
      </c>
      <c r="C3137" s="191">
        <v>25</v>
      </c>
      <c r="D3137" s="192">
        <f t="shared" si="238"/>
        <v>45316</v>
      </c>
      <c r="E3137" s="193">
        <f t="shared" si="241"/>
        <v>45316</v>
      </c>
      <c r="F3137" s="514"/>
      <c r="G3137" s="194" t="s">
        <v>1209</v>
      </c>
      <c r="H3137" s="195"/>
      <c r="I3137" s="195" t="s">
        <v>299</v>
      </c>
      <c r="J3137" s="191" t="s">
        <v>46</v>
      </c>
      <c r="K3137" s="196"/>
      <c r="L3137" s="196">
        <v>550000</v>
      </c>
    </row>
    <row r="3138" spans="1:15" ht="11.25" customHeight="1" x14ac:dyDescent="0.2">
      <c r="A3138" s="197">
        <v>2024</v>
      </c>
      <c r="B3138" s="197">
        <v>1</v>
      </c>
      <c r="C3138" s="197">
        <v>25</v>
      </c>
      <c r="D3138" s="198">
        <f t="shared" si="238"/>
        <v>45316</v>
      </c>
      <c r="E3138" s="290">
        <f t="shared" si="241"/>
        <v>45316</v>
      </c>
      <c r="F3138" s="513" t="s">
        <v>1527</v>
      </c>
      <c r="G3138" s="200" t="s">
        <v>1209</v>
      </c>
      <c r="H3138" s="201"/>
      <c r="I3138" s="201"/>
      <c r="J3138" s="197" t="s">
        <v>54</v>
      </c>
      <c r="K3138" s="202">
        <v>60</v>
      </c>
      <c r="L3138" s="202"/>
      <c r="M3138" s="251"/>
      <c r="N3138" s="251"/>
      <c r="O3138" s="251"/>
    </row>
    <row r="3139" spans="1:15" ht="11.25" customHeight="1" x14ac:dyDescent="0.2">
      <c r="A3139" s="191">
        <v>2024</v>
      </c>
      <c r="B3139" s="191">
        <v>1</v>
      </c>
      <c r="C3139" s="191">
        <v>25</v>
      </c>
      <c r="D3139" s="192">
        <f t="shared" si="238"/>
        <v>45316</v>
      </c>
      <c r="E3139" s="291">
        <f t="shared" si="241"/>
        <v>45316</v>
      </c>
      <c r="F3139" s="514"/>
      <c r="G3139" s="194" t="s">
        <v>1209</v>
      </c>
      <c r="H3139" s="195"/>
      <c r="I3139" s="195"/>
      <c r="J3139" s="191" t="s">
        <v>46</v>
      </c>
      <c r="K3139" s="196"/>
      <c r="L3139" s="196">
        <v>60</v>
      </c>
      <c r="M3139" s="251"/>
      <c r="N3139" s="251"/>
      <c r="O3139" s="251"/>
    </row>
    <row r="3140" spans="1:15" ht="11.25" customHeight="1" x14ac:dyDescent="0.2">
      <c r="A3140" s="210">
        <v>2024</v>
      </c>
      <c r="B3140" s="210">
        <v>1</v>
      </c>
      <c r="C3140" s="210">
        <v>25</v>
      </c>
      <c r="D3140" s="211">
        <f t="shared" si="238"/>
        <v>45316</v>
      </c>
      <c r="E3140" s="238">
        <f t="shared" si="241"/>
        <v>45316</v>
      </c>
      <c r="F3140" s="520" t="s">
        <v>1278</v>
      </c>
      <c r="G3140" s="213" t="s">
        <v>1245</v>
      </c>
      <c r="H3140" s="214"/>
      <c r="I3140" s="214" t="s">
        <v>1253</v>
      </c>
      <c r="J3140" s="210" t="s">
        <v>1529</v>
      </c>
      <c r="K3140" s="215">
        <v>7491.85</v>
      </c>
      <c r="L3140" s="215"/>
    </row>
    <row r="3141" spans="1:15" ht="11.25" customHeight="1" x14ac:dyDescent="0.2">
      <c r="A3141" s="216">
        <v>2024</v>
      </c>
      <c r="B3141" s="216">
        <v>1</v>
      </c>
      <c r="C3141" s="216">
        <v>25</v>
      </c>
      <c r="D3141" s="217">
        <f t="shared" si="238"/>
        <v>45316</v>
      </c>
      <c r="E3141" s="239">
        <f t="shared" si="241"/>
        <v>45316</v>
      </c>
      <c r="F3141" s="521"/>
      <c r="G3141" s="219" t="s">
        <v>1245</v>
      </c>
      <c r="H3141" s="220"/>
      <c r="I3141" s="220" t="s">
        <v>1253</v>
      </c>
      <c r="J3141" s="216" t="s">
        <v>1581</v>
      </c>
      <c r="K3141" s="221"/>
      <c r="L3141" s="221">
        <v>7491.85</v>
      </c>
    </row>
    <row r="3142" spans="1:15" ht="11.25" customHeight="1" x14ac:dyDescent="0.2">
      <c r="A3142" s="210">
        <v>2024</v>
      </c>
      <c r="B3142" s="210">
        <v>1</v>
      </c>
      <c r="C3142" s="210">
        <v>25</v>
      </c>
      <c r="D3142" s="211">
        <f t="shared" si="238"/>
        <v>45316</v>
      </c>
      <c r="E3142" s="238">
        <f t="shared" si="241"/>
        <v>45316</v>
      </c>
      <c r="F3142" s="520" t="s">
        <v>1285</v>
      </c>
      <c r="G3142" s="213" t="s">
        <v>1245</v>
      </c>
      <c r="H3142" s="214"/>
      <c r="I3142" s="214" t="s">
        <v>1253</v>
      </c>
      <c r="J3142" s="210" t="s">
        <v>1284</v>
      </c>
      <c r="K3142" s="215">
        <v>10328.365384615385</v>
      </c>
      <c r="L3142" s="215"/>
    </row>
    <row r="3143" spans="1:15" ht="11.25" customHeight="1" x14ac:dyDescent="0.2">
      <c r="A3143" s="242">
        <v>2024</v>
      </c>
      <c r="B3143" s="216">
        <v>1</v>
      </c>
      <c r="C3143" s="216">
        <v>25</v>
      </c>
      <c r="D3143" s="243">
        <f t="shared" si="238"/>
        <v>45316</v>
      </c>
      <c r="E3143" s="244">
        <f>DATE(A3143,B3143,C3143)</f>
        <v>45316</v>
      </c>
      <c r="F3143" s="524"/>
      <c r="G3143" s="245" t="s">
        <v>1245</v>
      </c>
      <c r="H3143" s="246"/>
      <c r="I3143" s="246"/>
      <c r="J3143" s="242" t="s">
        <v>1582</v>
      </c>
      <c r="K3143" s="247"/>
      <c r="L3143" s="247">
        <v>10328.365384615385</v>
      </c>
    </row>
    <row r="3144" spans="1:15" ht="11.25" customHeight="1" x14ac:dyDescent="0.2">
      <c r="A3144" s="210">
        <v>2024</v>
      </c>
      <c r="B3144" s="210">
        <v>1</v>
      </c>
      <c r="C3144" s="210">
        <v>25</v>
      </c>
      <c r="D3144" s="211">
        <f t="shared" si="238"/>
        <v>45316</v>
      </c>
      <c r="E3144" s="238">
        <f t="shared" si="241"/>
        <v>45316</v>
      </c>
      <c r="F3144" s="520" t="s">
        <v>1259</v>
      </c>
      <c r="G3144" s="213" t="s">
        <v>1245</v>
      </c>
      <c r="H3144" s="214"/>
      <c r="I3144" s="214" t="s">
        <v>1253</v>
      </c>
      <c r="J3144" s="210" t="s">
        <v>58</v>
      </c>
      <c r="K3144" s="215">
        <v>19808.2191780822</v>
      </c>
      <c r="L3144" s="215"/>
    </row>
    <row r="3145" spans="1:15" ht="11.25" customHeight="1" x14ac:dyDescent="0.2">
      <c r="A3145" s="216">
        <v>2024</v>
      </c>
      <c r="B3145" s="216">
        <v>1</v>
      </c>
      <c r="C3145" s="216">
        <v>25</v>
      </c>
      <c r="D3145" s="217">
        <f t="shared" si="238"/>
        <v>45316</v>
      </c>
      <c r="E3145" s="239">
        <f t="shared" si="241"/>
        <v>45316</v>
      </c>
      <c r="F3145" s="521"/>
      <c r="G3145" s="219" t="s">
        <v>1245</v>
      </c>
      <c r="H3145" s="220"/>
      <c r="I3145" s="220" t="s">
        <v>1253</v>
      </c>
      <c r="J3145" s="216" t="s">
        <v>153</v>
      </c>
      <c r="K3145" s="221"/>
      <c r="L3145" s="221">
        <v>19808.2191780822</v>
      </c>
    </row>
    <row r="3146" spans="1:15" ht="11.25" customHeight="1" x14ac:dyDescent="0.2">
      <c r="A3146" s="210">
        <v>2024</v>
      </c>
      <c r="B3146" s="210">
        <v>1</v>
      </c>
      <c r="C3146" s="210">
        <v>25</v>
      </c>
      <c r="D3146" s="211">
        <f t="shared" si="238"/>
        <v>45316</v>
      </c>
      <c r="E3146" s="238">
        <f t="shared" si="241"/>
        <v>45316</v>
      </c>
      <c r="F3146" s="520" t="s">
        <v>1256</v>
      </c>
      <c r="G3146" s="213" t="s">
        <v>1245</v>
      </c>
      <c r="H3146" s="214"/>
      <c r="I3146" s="214" t="s">
        <v>1253</v>
      </c>
      <c r="J3146" s="210" t="s">
        <v>113</v>
      </c>
      <c r="K3146" s="215"/>
      <c r="L3146" s="215"/>
      <c r="N3146" s="130"/>
    </row>
    <row r="3147" spans="1:15" ht="11.25" customHeight="1" x14ac:dyDescent="0.2">
      <c r="A3147" s="216">
        <v>2024</v>
      </c>
      <c r="B3147" s="216">
        <v>1</v>
      </c>
      <c r="C3147" s="216">
        <v>25</v>
      </c>
      <c r="D3147" s="217">
        <f t="shared" si="238"/>
        <v>45316</v>
      </c>
      <c r="E3147" s="239">
        <f t="shared" si="241"/>
        <v>45316</v>
      </c>
      <c r="F3147" s="521"/>
      <c r="G3147" s="219" t="s">
        <v>1245</v>
      </c>
      <c r="H3147" s="220"/>
      <c r="I3147" s="220" t="s">
        <v>1253</v>
      </c>
      <c r="J3147" s="216" t="s">
        <v>153</v>
      </c>
      <c r="K3147" s="221"/>
      <c r="L3147" s="221"/>
    </row>
    <row r="3148" spans="1:15" ht="11.25" customHeight="1" x14ac:dyDescent="0.2">
      <c r="A3148" s="312">
        <v>2024</v>
      </c>
      <c r="B3148" s="312">
        <v>1</v>
      </c>
      <c r="C3148" s="312">
        <v>25</v>
      </c>
      <c r="D3148" s="313">
        <f t="shared" si="238"/>
        <v>45316</v>
      </c>
      <c r="E3148" s="314">
        <f t="shared" si="241"/>
        <v>45316</v>
      </c>
      <c r="F3148" s="522" t="s">
        <v>1477</v>
      </c>
      <c r="G3148" s="315" t="s">
        <v>1245</v>
      </c>
      <c r="H3148" s="316"/>
      <c r="I3148" s="316" t="s">
        <v>1253</v>
      </c>
      <c r="J3148" s="312" t="s">
        <v>1460</v>
      </c>
      <c r="K3148" s="317">
        <v>301919.5000000298</v>
      </c>
      <c r="L3148" s="317"/>
    </row>
    <row r="3149" spans="1:15" ht="11.25" customHeight="1" x14ac:dyDescent="0.2">
      <c r="A3149" s="318">
        <v>2024</v>
      </c>
      <c r="B3149" s="318">
        <v>1</v>
      </c>
      <c r="C3149" s="318">
        <v>25</v>
      </c>
      <c r="D3149" s="319">
        <f t="shared" si="238"/>
        <v>45316</v>
      </c>
      <c r="E3149" s="320">
        <f t="shared" si="241"/>
        <v>45316</v>
      </c>
      <c r="F3149" s="523"/>
      <c r="G3149" s="321" t="s">
        <v>1245</v>
      </c>
      <c r="H3149" s="322"/>
      <c r="I3149" s="322" t="s">
        <v>1253</v>
      </c>
      <c r="J3149" s="318" t="s">
        <v>1458</v>
      </c>
      <c r="K3149" s="323"/>
      <c r="L3149" s="323">
        <v>301919.5000000298</v>
      </c>
    </row>
    <row r="3150" spans="1:15" ht="11.25" customHeight="1" x14ac:dyDescent="0.2">
      <c r="A3150" s="222">
        <v>2024</v>
      </c>
      <c r="B3150" s="222">
        <v>1</v>
      </c>
      <c r="C3150" s="222">
        <v>25</v>
      </c>
      <c r="D3150" s="223">
        <f t="shared" si="238"/>
        <v>45316</v>
      </c>
      <c r="E3150" s="240">
        <f t="shared" si="241"/>
        <v>45316</v>
      </c>
      <c r="F3150" s="511" t="s">
        <v>1244</v>
      </c>
      <c r="G3150" s="225" t="s">
        <v>1245</v>
      </c>
      <c r="H3150" s="226"/>
      <c r="I3150" s="226" t="s">
        <v>1253</v>
      </c>
      <c r="J3150" s="222" t="s">
        <v>87</v>
      </c>
      <c r="K3150" s="227">
        <v>12339.231904767454</v>
      </c>
      <c r="L3150" s="227"/>
    </row>
    <row r="3151" spans="1:15" ht="11.25" customHeight="1" x14ac:dyDescent="0.2">
      <c r="A3151" s="228">
        <v>2024</v>
      </c>
      <c r="B3151" s="228">
        <v>1</v>
      </c>
      <c r="C3151" s="228">
        <v>25</v>
      </c>
      <c r="D3151" s="229">
        <f t="shared" si="238"/>
        <v>45316</v>
      </c>
      <c r="E3151" s="241">
        <f t="shared" si="241"/>
        <v>45316</v>
      </c>
      <c r="F3151" s="512"/>
      <c r="G3151" s="231" t="s">
        <v>1245</v>
      </c>
      <c r="H3151" s="232"/>
      <c r="I3151" s="232" t="s">
        <v>1253</v>
      </c>
      <c r="J3151" s="228" t="s">
        <v>72</v>
      </c>
      <c r="K3151" s="233"/>
      <c r="L3151" s="233">
        <v>12339.231904767454</v>
      </c>
    </row>
    <row r="3152" spans="1:15" ht="11.25" customHeight="1" x14ac:dyDescent="0.2">
      <c r="A3152" s="222">
        <v>2024</v>
      </c>
      <c r="B3152" s="222">
        <v>1</v>
      </c>
      <c r="C3152" s="222">
        <v>25</v>
      </c>
      <c r="D3152" s="223">
        <f t="shared" si="238"/>
        <v>45316</v>
      </c>
      <c r="E3152" s="240">
        <f t="shared" si="241"/>
        <v>45316</v>
      </c>
      <c r="F3152" s="511" t="s">
        <v>1246</v>
      </c>
      <c r="G3152" s="225" t="s">
        <v>1245</v>
      </c>
      <c r="H3152" s="226"/>
      <c r="I3152" s="226" t="s">
        <v>1253</v>
      </c>
      <c r="J3152" s="222" t="s">
        <v>75</v>
      </c>
      <c r="K3152" s="227">
        <v>3623.123846153846</v>
      </c>
      <c r="L3152" s="227"/>
    </row>
    <row r="3153" spans="1:13" ht="11.25" customHeight="1" x14ac:dyDescent="0.2">
      <c r="A3153" s="228">
        <v>2024</v>
      </c>
      <c r="B3153" s="228">
        <v>1</v>
      </c>
      <c r="C3153" s="228">
        <v>25</v>
      </c>
      <c r="D3153" s="229">
        <f t="shared" si="238"/>
        <v>45316</v>
      </c>
      <c r="E3153" s="241">
        <f t="shared" si="241"/>
        <v>45316</v>
      </c>
      <c r="F3153" s="512"/>
      <c r="G3153" s="231" t="s">
        <v>1245</v>
      </c>
      <c r="H3153" s="232"/>
      <c r="I3153" s="232" t="s">
        <v>1253</v>
      </c>
      <c r="J3153" s="228" t="s">
        <v>55</v>
      </c>
      <c r="K3153" s="233"/>
      <c r="L3153" s="233">
        <v>3623.123846153846</v>
      </c>
    </row>
    <row r="3154" spans="1:13" ht="11.25" customHeight="1" x14ac:dyDescent="0.2">
      <c r="A3154" s="222">
        <v>2024</v>
      </c>
      <c r="B3154" s="222">
        <v>1</v>
      </c>
      <c r="C3154" s="222">
        <v>25</v>
      </c>
      <c r="D3154" s="223">
        <f t="shared" si="238"/>
        <v>45316</v>
      </c>
      <c r="E3154" s="240">
        <f t="shared" si="241"/>
        <v>45316</v>
      </c>
      <c r="F3154" s="511" t="s">
        <v>1247</v>
      </c>
      <c r="G3154" s="225" t="s">
        <v>1245</v>
      </c>
      <c r="H3154" s="226"/>
      <c r="I3154" s="226" t="s">
        <v>1253</v>
      </c>
      <c r="J3154" s="222" t="s">
        <v>77</v>
      </c>
      <c r="K3154" s="227">
        <v>23623.242847276098</v>
      </c>
      <c r="L3154" s="227"/>
    </row>
    <row r="3155" spans="1:13" ht="11.25" customHeight="1" x14ac:dyDescent="0.2">
      <c r="A3155" s="228">
        <v>2024</v>
      </c>
      <c r="B3155" s="228">
        <v>1</v>
      </c>
      <c r="C3155" s="228">
        <v>25</v>
      </c>
      <c r="D3155" s="229">
        <f t="shared" si="238"/>
        <v>45316</v>
      </c>
      <c r="E3155" s="241">
        <f t="shared" si="241"/>
        <v>45316</v>
      </c>
      <c r="F3155" s="512"/>
      <c r="G3155" s="231" t="s">
        <v>1245</v>
      </c>
      <c r="H3155" s="232"/>
      <c r="I3155" s="232" t="s">
        <v>1253</v>
      </c>
      <c r="J3155" s="228" t="s">
        <v>41</v>
      </c>
      <c r="K3155" s="233"/>
      <c r="L3155" s="233">
        <v>23623.242847276098</v>
      </c>
    </row>
    <row r="3156" spans="1:13" ht="11.25" customHeight="1" x14ac:dyDescent="0.2">
      <c r="A3156" s="222">
        <v>2024</v>
      </c>
      <c r="B3156" s="222">
        <v>1</v>
      </c>
      <c r="C3156" s="222">
        <v>25</v>
      </c>
      <c r="D3156" s="223">
        <f t="shared" si="238"/>
        <v>45316</v>
      </c>
      <c r="E3156" s="240">
        <f t="shared" si="241"/>
        <v>45316</v>
      </c>
      <c r="F3156" s="511" t="s">
        <v>1248</v>
      </c>
      <c r="G3156" s="225" t="s">
        <v>1245</v>
      </c>
      <c r="H3156" s="226"/>
      <c r="I3156" s="226" t="s">
        <v>1253</v>
      </c>
      <c r="J3156" s="222" t="s">
        <v>80</v>
      </c>
      <c r="K3156" s="227">
        <v>2362.3242847276101</v>
      </c>
      <c r="L3156" s="227"/>
    </row>
    <row r="3157" spans="1:13" ht="11.25" customHeight="1" x14ac:dyDescent="0.2">
      <c r="A3157" s="228">
        <v>2024</v>
      </c>
      <c r="B3157" s="228">
        <v>1</v>
      </c>
      <c r="C3157" s="228">
        <v>25</v>
      </c>
      <c r="D3157" s="229">
        <f t="shared" si="238"/>
        <v>45316</v>
      </c>
      <c r="E3157" s="241">
        <f t="shared" si="241"/>
        <v>45316</v>
      </c>
      <c r="F3157" s="512"/>
      <c r="G3157" s="231" t="s">
        <v>1245</v>
      </c>
      <c r="H3157" s="232"/>
      <c r="I3157" s="232" t="s">
        <v>1253</v>
      </c>
      <c r="J3157" s="228" t="s">
        <v>42</v>
      </c>
      <c r="K3157" s="233"/>
      <c r="L3157" s="233">
        <v>2362.3242847276101</v>
      </c>
    </row>
    <row r="3158" spans="1:13" ht="11.25" customHeight="1" x14ac:dyDescent="0.2">
      <c r="A3158" s="197">
        <v>2024</v>
      </c>
      <c r="B3158" s="197">
        <v>1</v>
      </c>
      <c r="C3158" s="197">
        <v>28</v>
      </c>
      <c r="D3158" s="198">
        <f t="shared" si="238"/>
        <v>45319</v>
      </c>
      <c r="E3158" s="209">
        <f t="shared" si="241"/>
        <v>45319</v>
      </c>
      <c r="F3158" s="513" t="s">
        <v>1548</v>
      </c>
      <c r="G3158" s="200" t="s">
        <v>1209</v>
      </c>
      <c r="H3158" s="201"/>
      <c r="I3158" s="201"/>
      <c r="J3158" s="248" t="s">
        <v>46</v>
      </c>
      <c r="K3158" s="202">
        <v>511512.5</v>
      </c>
      <c r="L3158" s="202"/>
      <c r="M3158" s="251"/>
    </row>
    <row r="3159" spans="1:13" ht="11.25" customHeight="1" x14ac:dyDescent="0.2">
      <c r="A3159" s="120">
        <v>2024</v>
      </c>
      <c r="B3159" s="120">
        <v>1</v>
      </c>
      <c r="C3159" s="120">
        <v>28</v>
      </c>
      <c r="D3159" s="208">
        <f t="shared" si="238"/>
        <v>45319</v>
      </c>
      <c r="E3159" s="209">
        <f t="shared" si="241"/>
        <v>45319</v>
      </c>
      <c r="F3159" s="515"/>
      <c r="G3159" s="132" t="s">
        <v>1209</v>
      </c>
      <c r="J3159" s="129" t="s">
        <v>54</v>
      </c>
      <c r="K3159" s="207">
        <v>300</v>
      </c>
      <c r="L3159" s="207"/>
      <c r="M3159" s="251"/>
    </row>
    <row r="3160" spans="1:13" ht="11.25" customHeight="1" x14ac:dyDescent="0.2">
      <c r="A3160" s="120">
        <v>2024</v>
      </c>
      <c r="B3160" s="120">
        <v>1</v>
      </c>
      <c r="C3160" s="120">
        <v>28</v>
      </c>
      <c r="D3160" s="208">
        <f t="shared" si="238"/>
        <v>45319</v>
      </c>
      <c r="E3160" s="209">
        <f t="shared" si="241"/>
        <v>45319</v>
      </c>
      <c r="F3160" s="515"/>
      <c r="G3160" s="132" t="s">
        <v>1209</v>
      </c>
      <c r="J3160" s="129" t="s">
        <v>113</v>
      </c>
      <c r="K3160" s="207"/>
      <c r="L3160" s="207">
        <v>11812.5</v>
      </c>
      <c r="M3160" s="251"/>
    </row>
    <row r="3161" spans="1:13" ht="11.25" customHeight="1" x14ac:dyDescent="0.2">
      <c r="A3161" s="191">
        <v>2024</v>
      </c>
      <c r="B3161" s="191">
        <v>1</v>
      </c>
      <c r="C3161" s="191">
        <v>28</v>
      </c>
      <c r="D3161" s="192">
        <f t="shared" si="238"/>
        <v>45319</v>
      </c>
      <c r="E3161" s="193">
        <f t="shared" si="241"/>
        <v>45319</v>
      </c>
      <c r="F3161" s="514"/>
      <c r="G3161" s="194" t="s">
        <v>1209</v>
      </c>
      <c r="H3161" s="195"/>
      <c r="I3161" s="195"/>
      <c r="J3161" s="250" t="s">
        <v>76</v>
      </c>
      <c r="K3161" s="196"/>
      <c r="L3161" s="196">
        <v>500000</v>
      </c>
    </row>
    <row r="3162" spans="1:13" ht="11.25" customHeight="1" x14ac:dyDescent="0.2">
      <c r="A3162" s="197">
        <v>2024</v>
      </c>
      <c r="B3162" s="197">
        <v>1</v>
      </c>
      <c r="C3162" s="197">
        <v>28</v>
      </c>
      <c r="D3162" s="198">
        <f t="shared" si="238"/>
        <v>45319</v>
      </c>
      <c r="E3162" s="209">
        <f t="shared" si="241"/>
        <v>45319</v>
      </c>
      <c r="F3162" s="513" t="s">
        <v>1549</v>
      </c>
      <c r="G3162" s="200" t="s">
        <v>1209</v>
      </c>
      <c r="H3162" s="201"/>
      <c r="I3162" s="201"/>
      <c r="J3162" s="248" t="s">
        <v>46</v>
      </c>
      <c r="K3162" s="202">
        <v>511512.5</v>
      </c>
      <c r="L3162" s="202"/>
      <c r="M3162" s="251"/>
    </row>
    <row r="3163" spans="1:13" ht="11.25" customHeight="1" x14ac:dyDescent="0.2">
      <c r="A3163" s="120">
        <v>2024</v>
      </c>
      <c r="B3163" s="120">
        <v>1</v>
      </c>
      <c r="C3163" s="120">
        <v>28</v>
      </c>
      <c r="D3163" s="208">
        <f t="shared" si="238"/>
        <v>45319</v>
      </c>
      <c r="E3163" s="209">
        <f t="shared" si="241"/>
        <v>45319</v>
      </c>
      <c r="F3163" s="515"/>
      <c r="G3163" s="132" t="s">
        <v>1209</v>
      </c>
      <c r="J3163" s="129" t="s">
        <v>54</v>
      </c>
      <c r="K3163" s="207">
        <v>300</v>
      </c>
      <c r="L3163" s="207"/>
      <c r="M3163" s="251"/>
    </row>
    <row r="3164" spans="1:13" ht="11.25" customHeight="1" x14ac:dyDescent="0.2">
      <c r="A3164" s="120">
        <v>2024</v>
      </c>
      <c r="B3164" s="120">
        <v>1</v>
      </c>
      <c r="C3164" s="120">
        <v>28</v>
      </c>
      <c r="D3164" s="208">
        <f t="shared" si="238"/>
        <v>45319</v>
      </c>
      <c r="E3164" s="209">
        <f t="shared" si="241"/>
        <v>45319</v>
      </c>
      <c r="F3164" s="515"/>
      <c r="G3164" s="132" t="s">
        <v>1209</v>
      </c>
      <c r="J3164" s="129" t="s">
        <v>113</v>
      </c>
      <c r="K3164" s="207"/>
      <c r="L3164" s="207">
        <v>11812.5</v>
      </c>
      <c r="M3164" s="251"/>
    </row>
    <row r="3165" spans="1:13" ht="11.25" customHeight="1" x14ac:dyDescent="0.2">
      <c r="A3165" s="191">
        <v>2024</v>
      </c>
      <c r="B3165" s="191">
        <v>1</v>
      </c>
      <c r="C3165" s="191">
        <v>28</v>
      </c>
      <c r="D3165" s="192">
        <f t="shared" si="238"/>
        <v>45319</v>
      </c>
      <c r="E3165" s="193">
        <f t="shared" si="241"/>
        <v>45319</v>
      </c>
      <c r="F3165" s="514"/>
      <c r="G3165" s="194" t="s">
        <v>1209</v>
      </c>
      <c r="H3165" s="195"/>
      <c r="I3165" s="195"/>
      <c r="J3165" s="250" t="s">
        <v>76</v>
      </c>
      <c r="K3165" s="196"/>
      <c r="L3165" s="196">
        <v>500000</v>
      </c>
    </row>
    <row r="3166" spans="1:13" ht="11.25" customHeight="1" x14ac:dyDescent="0.2">
      <c r="A3166" s="197">
        <v>2024</v>
      </c>
      <c r="B3166" s="197">
        <v>1</v>
      </c>
      <c r="C3166" s="197">
        <v>28</v>
      </c>
      <c r="D3166" s="198">
        <f t="shared" si="238"/>
        <v>45319</v>
      </c>
      <c r="E3166" s="209">
        <f t="shared" ref="E3166:E3193" si="242">DATE(A3166,B3166,C3166)</f>
        <v>45319</v>
      </c>
      <c r="F3166" s="513" t="s">
        <v>1550</v>
      </c>
      <c r="G3166" s="200" t="s">
        <v>1209</v>
      </c>
      <c r="H3166" s="201"/>
      <c r="I3166" s="201"/>
      <c r="J3166" s="248" t="s">
        <v>46</v>
      </c>
      <c r="K3166" s="202">
        <v>511512.5</v>
      </c>
      <c r="L3166" s="202"/>
      <c r="M3166" s="251"/>
    </row>
    <row r="3167" spans="1:13" ht="11.25" customHeight="1" x14ac:dyDescent="0.2">
      <c r="A3167" s="120">
        <v>2024</v>
      </c>
      <c r="B3167" s="120">
        <v>1</v>
      </c>
      <c r="C3167" s="120">
        <v>28</v>
      </c>
      <c r="D3167" s="208">
        <f t="shared" si="238"/>
        <v>45319</v>
      </c>
      <c r="E3167" s="209">
        <f t="shared" si="242"/>
        <v>45319</v>
      </c>
      <c r="F3167" s="515"/>
      <c r="G3167" s="132" t="s">
        <v>1209</v>
      </c>
      <c r="J3167" s="129" t="s">
        <v>54</v>
      </c>
      <c r="K3167" s="207">
        <v>300</v>
      </c>
      <c r="L3167" s="207"/>
      <c r="M3167" s="251"/>
    </row>
    <row r="3168" spans="1:13" ht="11.25" customHeight="1" x14ac:dyDescent="0.2">
      <c r="A3168" s="120">
        <v>2024</v>
      </c>
      <c r="B3168" s="120">
        <v>1</v>
      </c>
      <c r="C3168" s="120">
        <v>28</v>
      </c>
      <c r="D3168" s="208">
        <f t="shared" si="238"/>
        <v>45319</v>
      </c>
      <c r="E3168" s="209">
        <f t="shared" si="242"/>
        <v>45319</v>
      </c>
      <c r="F3168" s="515"/>
      <c r="G3168" s="132" t="s">
        <v>1209</v>
      </c>
      <c r="J3168" s="129" t="s">
        <v>113</v>
      </c>
      <c r="K3168" s="207"/>
      <c r="L3168" s="207">
        <v>11812.5</v>
      </c>
      <c r="M3168" s="251"/>
    </row>
    <row r="3169" spans="1:13" ht="11.25" customHeight="1" x14ac:dyDescent="0.2">
      <c r="A3169" s="191">
        <v>2024</v>
      </c>
      <c r="B3169" s="191">
        <v>1</v>
      </c>
      <c r="C3169" s="191">
        <v>28</v>
      </c>
      <c r="D3169" s="192">
        <f t="shared" si="238"/>
        <v>45319</v>
      </c>
      <c r="E3169" s="193">
        <f t="shared" si="242"/>
        <v>45319</v>
      </c>
      <c r="F3169" s="514"/>
      <c r="G3169" s="194" t="s">
        <v>1209</v>
      </c>
      <c r="H3169" s="195"/>
      <c r="I3169" s="195"/>
      <c r="J3169" s="250" t="s">
        <v>76</v>
      </c>
      <c r="K3169" s="196"/>
      <c r="L3169" s="196">
        <v>500000</v>
      </c>
    </row>
    <row r="3170" spans="1:13" ht="11.25" customHeight="1" x14ac:dyDescent="0.2">
      <c r="A3170" s="197">
        <v>2024</v>
      </c>
      <c r="B3170" s="197">
        <v>1</v>
      </c>
      <c r="C3170" s="197">
        <v>28</v>
      </c>
      <c r="D3170" s="198">
        <f t="shared" si="238"/>
        <v>45319</v>
      </c>
      <c r="E3170" s="209">
        <f t="shared" si="242"/>
        <v>45319</v>
      </c>
      <c r="F3170" s="513" t="s">
        <v>1551</v>
      </c>
      <c r="G3170" s="200" t="s">
        <v>1209</v>
      </c>
      <c r="H3170" s="201"/>
      <c r="I3170" s="201"/>
      <c r="J3170" s="248" t="s">
        <v>46</v>
      </c>
      <c r="K3170" s="202">
        <v>511512.5</v>
      </c>
      <c r="L3170" s="202"/>
      <c r="M3170" s="251"/>
    </row>
    <row r="3171" spans="1:13" ht="11.25" customHeight="1" x14ac:dyDescent="0.2">
      <c r="A3171" s="120">
        <v>2024</v>
      </c>
      <c r="B3171" s="120">
        <v>1</v>
      </c>
      <c r="C3171" s="120">
        <v>28</v>
      </c>
      <c r="D3171" s="208">
        <f t="shared" si="238"/>
        <v>45319</v>
      </c>
      <c r="E3171" s="209">
        <f t="shared" si="242"/>
        <v>45319</v>
      </c>
      <c r="F3171" s="515"/>
      <c r="G3171" s="132" t="s">
        <v>1209</v>
      </c>
      <c r="J3171" s="129" t="s">
        <v>54</v>
      </c>
      <c r="K3171" s="207">
        <v>300</v>
      </c>
      <c r="L3171" s="207"/>
      <c r="M3171" s="251"/>
    </row>
    <row r="3172" spans="1:13" ht="11.25" customHeight="1" x14ac:dyDescent="0.2">
      <c r="A3172" s="120">
        <v>2024</v>
      </c>
      <c r="B3172" s="120">
        <v>1</v>
      </c>
      <c r="C3172" s="120">
        <v>28</v>
      </c>
      <c r="D3172" s="208">
        <f t="shared" si="238"/>
        <v>45319</v>
      </c>
      <c r="E3172" s="209">
        <f t="shared" si="242"/>
        <v>45319</v>
      </c>
      <c r="F3172" s="515"/>
      <c r="G3172" s="132" t="s">
        <v>1209</v>
      </c>
      <c r="J3172" s="129" t="s">
        <v>113</v>
      </c>
      <c r="K3172" s="207"/>
      <c r="L3172" s="207">
        <v>11812.5</v>
      </c>
      <c r="M3172" s="251"/>
    </row>
    <row r="3173" spans="1:13" ht="11.25" customHeight="1" x14ac:dyDescent="0.2">
      <c r="A3173" s="191">
        <v>2024</v>
      </c>
      <c r="B3173" s="191">
        <v>1</v>
      </c>
      <c r="C3173" s="191">
        <v>28</v>
      </c>
      <c r="D3173" s="192">
        <f t="shared" si="238"/>
        <v>45319</v>
      </c>
      <c r="E3173" s="193">
        <f t="shared" si="242"/>
        <v>45319</v>
      </c>
      <c r="F3173" s="514"/>
      <c r="G3173" s="194" t="s">
        <v>1209</v>
      </c>
      <c r="H3173" s="195"/>
      <c r="I3173" s="195"/>
      <c r="J3173" s="250" t="s">
        <v>76</v>
      </c>
      <c r="K3173" s="196"/>
      <c r="L3173" s="196">
        <v>500000</v>
      </c>
    </row>
    <row r="3174" spans="1:13" ht="11.25" customHeight="1" x14ac:dyDescent="0.2">
      <c r="A3174" s="197">
        <v>2024</v>
      </c>
      <c r="B3174" s="197">
        <v>1</v>
      </c>
      <c r="C3174" s="197">
        <v>28</v>
      </c>
      <c r="D3174" s="198">
        <f t="shared" si="238"/>
        <v>45319</v>
      </c>
      <c r="E3174" s="209">
        <f t="shared" si="242"/>
        <v>45319</v>
      </c>
      <c r="F3174" s="513" t="s">
        <v>1552</v>
      </c>
      <c r="G3174" s="200" t="s">
        <v>1209</v>
      </c>
      <c r="H3174" s="201"/>
      <c r="I3174" s="201"/>
      <c r="J3174" s="248" t="s">
        <v>46</v>
      </c>
      <c r="K3174" s="202">
        <v>511512.5</v>
      </c>
      <c r="L3174" s="202"/>
      <c r="M3174" s="251"/>
    </row>
    <row r="3175" spans="1:13" ht="11.25" customHeight="1" x14ac:dyDescent="0.2">
      <c r="A3175" s="120">
        <v>2024</v>
      </c>
      <c r="B3175" s="120">
        <v>1</v>
      </c>
      <c r="C3175" s="120">
        <v>28</v>
      </c>
      <c r="D3175" s="208">
        <f t="shared" si="238"/>
        <v>45319</v>
      </c>
      <c r="E3175" s="209">
        <f t="shared" si="242"/>
        <v>45319</v>
      </c>
      <c r="F3175" s="515"/>
      <c r="G3175" s="132" t="s">
        <v>1209</v>
      </c>
      <c r="J3175" s="129" t="s">
        <v>54</v>
      </c>
      <c r="K3175" s="207">
        <v>300</v>
      </c>
      <c r="L3175" s="207"/>
      <c r="M3175" s="251"/>
    </row>
    <row r="3176" spans="1:13" ht="11.25" customHeight="1" x14ac:dyDescent="0.2">
      <c r="A3176" s="120">
        <v>2024</v>
      </c>
      <c r="B3176" s="120">
        <v>1</v>
      </c>
      <c r="C3176" s="120">
        <v>28</v>
      </c>
      <c r="D3176" s="208">
        <f t="shared" si="238"/>
        <v>45319</v>
      </c>
      <c r="E3176" s="209">
        <f t="shared" si="242"/>
        <v>45319</v>
      </c>
      <c r="F3176" s="515"/>
      <c r="G3176" s="132" t="s">
        <v>1209</v>
      </c>
      <c r="J3176" s="129" t="s">
        <v>113</v>
      </c>
      <c r="K3176" s="207"/>
      <c r="L3176" s="207">
        <v>11812.5</v>
      </c>
      <c r="M3176" s="251"/>
    </row>
    <row r="3177" spans="1:13" ht="11.25" customHeight="1" x14ac:dyDescent="0.2">
      <c r="A3177" s="191">
        <v>2024</v>
      </c>
      <c r="B3177" s="191">
        <v>1</v>
      </c>
      <c r="C3177" s="191">
        <v>28</v>
      </c>
      <c r="D3177" s="192">
        <f t="shared" si="238"/>
        <v>45319</v>
      </c>
      <c r="E3177" s="193">
        <f t="shared" si="242"/>
        <v>45319</v>
      </c>
      <c r="F3177" s="514"/>
      <c r="G3177" s="194" t="s">
        <v>1209</v>
      </c>
      <c r="H3177" s="195"/>
      <c r="I3177" s="195"/>
      <c r="J3177" s="250" t="s">
        <v>76</v>
      </c>
      <c r="K3177" s="196"/>
      <c r="L3177" s="196">
        <v>500000</v>
      </c>
    </row>
    <row r="3178" spans="1:13" ht="11.25" customHeight="1" x14ac:dyDescent="0.2">
      <c r="A3178" s="197">
        <v>2024</v>
      </c>
      <c r="B3178" s="197">
        <v>1</v>
      </c>
      <c r="C3178" s="197">
        <v>28</v>
      </c>
      <c r="D3178" s="198">
        <f t="shared" ref="D3178:D3241" si="243">DATE(A3178,B3178,C3178)</f>
        <v>45319</v>
      </c>
      <c r="E3178" s="209">
        <f t="shared" si="242"/>
        <v>45319</v>
      </c>
      <c r="F3178" s="513" t="s">
        <v>1553</v>
      </c>
      <c r="G3178" s="200" t="s">
        <v>1209</v>
      </c>
      <c r="H3178" s="201"/>
      <c r="I3178" s="201"/>
      <c r="J3178" s="248" t="s">
        <v>46</v>
      </c>
      <c r="K3178" s="202">
        <v>1022625</v>
      </c>
      <c r="L3178" s="202"/>
      <c r="M3178" s="251"/>
    </row>
    <row r="3179" spans="1:13" ht="11.25" customHeight="1" x14ac:dyDescent="0.2">
      <c r="A3179" s="120">
        <v>2024</v>
      </c>
      <c r="B3179" s="120">
        <v>1</v>
      </c>
      <c r="C3179" s="120">
        <v>28</v>
      </c>
      <c r="D3179" s="208">
        <f t="shared" si="243"/>
        <v>45319</v>
      </c>
      <c r="E3179" s="209">
        <f t="shared" si="242"/>
        <v>45319</v>
      </c>
      <c r="F3179" s="515"/>
      <c r="G3179" s="132" t="s">
        <v>1209</v>
      </c>
      <c r="J3179" s="129" t="s">
        <v>54</v>
      </c>
      <c r="K3179" s="207">
        <v>1000</v>
      </c>
      <c r="L3179" s="207"/>
      <c r="M3179" s="251"/>
    </row>
    <row r="3180" spans="1:13" ht="11.25" customHeight="1" x14ac:dyDescent="0.2">
      <c r="A3180" s="120">
        <v>2024</v>
      </c>
      <c r="B3180" s="120">
        <v>1</v>
      </c>
      <c r="C3180" s="120">
        <v>28</v>
      </c>
      <c r="D3180" s="208">
        <f t="shared" si="243"/>
        <v>45319</v>
      </c>
      <c r="E3180" s="209">
        <f t="shared" si="242"/>
        <v>45319</v>
      </c>
      <c r="F3180" s="515"/>
      <c r="G3180" s="132" t="s">
        <v>1209</v>
      </c>
      <c r="J3180" s="129" t="s">
        <v>113</v>
      </c>
      <c r="K3180" s="207"/>
      <c r="L3180" s="207">
        <v>23625</v>
      </c>
      <c r="M3180" s="251"/>
    </row>
    <row r="3181" spans="1:13" ht="11.25" customHeight="1" x14ac:dyDescent="0.2">
      <c r="A3181" s="191">
        <v>2024</v>
      </c>
      <c r="B3181" s="191">
        <v>1</v>
      </c>
      <c r="C3181" s="191">
        <v>28</v>
      </c>
      <c r="D3181" s="192">
        <f t="shared" si="243"/>
        <v>45319</v>
      </c>
      <c r="E3181" s="193">
        <f t="shared" si="242"/>
        <v>45319</v>
      </c>
      <c r="F3181" s="514"/>
      <c r="G3181" s="194" t="s">
        <v>1209</v>
      </c>
      <c r="H3181" s="195"/>
      <c r="I3181" s="195"/>
      <c r="J3181" s="250" t="s">
        <v>76</v>
      </c>
      <c r="K3181" s="196"/>
      <c r="L3181" s="196">
        <v>1000000</v>
      </c>
    </row>
    <row r="3182" spans="1:13" ht="11.25" customHeight="1" x14ac:dyDescent="0.2">
      <c r="A3182" s="197">
        <v>2024</v>
      </c>
      <c r="B3182" s="197">
        <v>1</v>
      </c>
      <c r="C3182" s="197">
        <v>28</v>
      </c>
      <c r="D3182" s="198">
        <f t="shared" si="243"/>
        <v>45319</v>
      </c>
      <c r="E3182" s="209">
        <f t="shared" si="242"/>
        <v>45319</v>
      </c>
      <c r="F3182" s="513" t="s">
        <v>1554</v>
      </c>
      <c r="G3182" s="200" t="s">
        <v>1209</v>
      </c>
      <c r="H3182" s="201"/>
      <c r="I3182" s="201"/>
      <c r="J3182" s="248" t="s">
        <v>46</v>
      </c>
      <c r="K3182" s="202">
        <v>1022625</v>
      </c>
      <c r="L3182" s="202"/>
      <c r="M3182" s="251"/>
    </row>
    <row r="3183" spans="1:13" ht="11.25" customHeight="1" x14ac:dyDescent="0.2">
      <c r="A3183" s="120">
        <v>2024</v>
      </c>
      <c r="B3183" s="120">
        <v>1</v>
      </c>
      <c r="C3183" s="120">
        <v>28</v>
      </c>
      <c r="D3183" s="208">
        <f t="shared" si="243"/>
        <v>45319</v>
      </c>
      <c r="E3183" s="209">
        <f t="shared" si="242"/>
        <v>45319</v>
      </c>
      <c r="F3183" s="515"/>
      <c r="G3183" s="132" t="s">
        <v>1209</v>
      </c>
      <c r="J3183" s="129" t="s">
        <v>54</v>
      </c>
      <c r="K3183" s="207">
        <v>1000</v>
      </c>
      <c r="L3183" s="207"/>
      <c r="M3183" s="251"/>
    </row>
    <row r="3184" spans="1:13" ht="11.25" customHeight="1" x14ac:dyDescent="0.2">
      <c r="A3184" s="120">
        <v>2024</v>
      </c>
      <c r="B3184" s="120">
        <v>1</v>
      </c>
      <c r="C3184" s="120">
        <v>28</v>
      </c>
      <c r="D3184" s="208">
        <f t="shared" si="243"/>
        <v>45319</v>
      </c>
      <c r="E3184" s="209">
        <f t="shared" si="242"/>
        <v>45319</v>
      </c>
      <c r="F3184" s="515"/>
      <c r="G3184" s="132" t="s">
        <v>1209</v>
      </c>
      <c r="J3184" s="129" t="s">
        <v>113</v>
      </c>
      <c r="K3184" s="207"/>
      <c r="L3184" s="207">
        <v>23625</v>
      </c>
      <c r="M3184" s="251"/>
    </row>
    <row r="3185" spans="1:15" ht="11.25" customHeight="1" x14ac:dyDescent="0.2">
      <c r="A3185" s="191">
        <v>2024</v>
      </c>
      <c r="B3185" s="191">
        <v>1</v>
      </c>
      <c r="C3185" s="191">
        <v>28</v>
      </c>
      <c r="D3185" s="192">
        <f t="shared" si="243"/>
        <v>45319</v>
      </c>
      <c r="E3185" s="193">
        <f t="shared" si="242"/>
        <v>45319</v>
      </c>
      <c r="F3185" s="514"/>
      <c r="G3185" s="194" t="s">
        <v>1209</v>
      </c>
      <c r="H3185" s="195"/>
      <c r="I3185" s="195"/>
      <c r="J3185" s="250" t="s">
        <v>76</v>
      </c>
      <c r="K3185" s="196"/>
      <c r="L3185" s="196">
        <v>1000000</v>
      </c>
    </row>
    <row r="3186" spans="1:15" ht="11.25" customHeight="1" x14ac:dyDescent="0.2">
      <c r="A3186" s="197">
        <v>2024</v>
      </c>
      <c r="B3186" s="197">
        <v>1</v>
      </c>
      <c r="C3186" s="197">
        <v>28</v>
      </c>
      <c r="D3186" s="198">
        <f t="shared" si="243"/>
        <v>45319</v>
      </c>
      <c r="E3186" s="209">
        <f t="shared" si="242"/>
        <v>45319</v>
      </c>
      <c r="F3186" s="513" t="s">
        <v>1555</v>
      </c>
      <c r="G3186" s="200" t="s">
        <v>1209</v>
      </c>
      <c r="H3186" s="201"/>
      <c r="I3186" s="201"/>
      <c r="J3186" s="248" t="s">
        <v>46</v>
      </c>
      <c r="K3186" s="202">
        <v>1022625</v>
      </c>
      <c r="L3186" s="202"/>
      <c r="M3186" s="251"/>
    </row>
    <row r="3187" spans="1:15" ht="11.25" customHeight="1" x14ac:dyDescent="0.2">
      <c r="A3187" s="120">
        <v>2024</v>
      </c>
      <c r="B3187" s="120">
        <v>1</v>
      </c>
      <c r="C3187" s="120">
        <v>28</v>
      </c>
      <c r="D3187" s="208">
        <f t="shared" si="243"/>
        <v>45319</v>
      </c>
      <c r="E3187" s="209">
        <f t="shared" si="242"/>
        <v>45319</v>
      </c>
      <c r="F3187" s="515"/>
      <c r="G3187" s="132" t="s">
        <v>1209</v>
      </c>
      <c r="J3187" s="129" t="s">
        <v>54</v>
      </c>
      <c r="K3187" s="207">
        <v>1000</v>
      </c>
      <c r="L3187" s="207"/>
      <c r="M3187" s="251"/>
    </row>
    <row r="3188" spans="1:15" ht="11.25" customHeight="1" x14ac:dyDescent="0.2">
      <c r="A3188" s="120">
        <v>2024</v>
      </c>
      <c r="B3188" s="120">
        <v>1</v>
      </c>
      <c r="C3188" s="120">
        <v>28</v>
      </c>
      <c r="D3188" s="208">
        <f t="shared" si="243"/>
        <v>45319</v>
      </c>
      <c r="E3188" s="209">
        <f t="shared" si="242"/>
        <v>45319</v>
      </c>
      <c r="F3188" s="515"/>
      <c r="G3188" s="132" t="s">
        <v>1209</v>
      </c>
      <c r="J3188" s="129" t="s">
        <v>113</v>
      </c>
      <c r="K3188" s="207"/>
      <c r="L3188" s="207">
        <v>23625</v>
      </c>
      <c r="M3188" s="251"/>
    </row>
    <row r="3189" spans="1:15" ht="11.25" customHeight="1" x14ac:dyDescent="0.2">
      <c r="A3189" s="191">
        <v>2024</v>
      </c>
      <c r="B3189" s="191">
        <v>1</v>
      </c>
      <c r="C3189" s="191">
        <v>28</v>
      </c>
      <c r="D3189" s="192">
        <f t="shared" si="243"/>
        <v>45319</v>
      </c>
      <c r="E3189" s="193">
        <f t="shared" si="242"/>
        <v>45319</v>
      </c>
      <c r="F3189" s="514"/>
      <c r="G3189" s="194" t="s">
        <v>1209</v>
      </c>
      <c r="H3189" s="195"/>
      <c r="I3189" s="195"/>
      <c r="J3189" s="250" t="s">
        <v>76</v>
      </c>
      <c r="K3189" s="196"/>
      <c r="L3189" s="196">
        <v>1000000</v>
      </c>
    </row>
    <row r="3190" spans="1:15" ht="11.25" customHeight="1" x14ac:dyDescent="0.2">
      <c r="A3190" s="197">
        <v>2024</v>
      </c>
      <c r="B3190" s="197">
        <v>1</v>
      </c>
      <c r="C3190" s="197">
        <v>28</v>
      </c>
      <c r="D3190" s="198">
        <f t="shared" si="243"/>
        <v>45319</v>
      </c>
      <c r="E3190" s="209">
        <f t="shared" si="242"/>
        <v>45319</v>
      </c>
      <c r="F3190" s="513" t="s">
        <v>1556</v>
      </c>
      <c r="G3190" s="200" t="s">
        <v>1209</v>
      </c>
      <c r="H3190" s="201"/>
      <c r="I3190" s="201"/>
      <c r="J3190" s="248" t="s">
        <v>46</v>
      </c>
      <c r="K3190" s="202">
        <v>1022625</v>
      </c>
      <c r="L3190" s="202"/>
      <c r="M3190" s="251"/>
    </row>
    <row r="3191" spans="1:15" ht="11.25" customHeight="1" x14ac:dyDescent="0.2">
      <c r="A3191" s="120">
        <v>2024</v>
      </c>
      <c r="B3191" s="120">
        <v>1</v>
      </c>
      <c r="C3191" s="120">
        <v>28</v>
      </c>
      <c r="D3191" s="208">
        <f t="shared" si="243"/>
        <v>45319</v>
      </c>
      <c r="E3191" s="209">
        <f t="shared" si="242"/>
        <v>45319</v>
      </c>
      <c r="F3191" s="515"/>
      <c r="G3191" s="132" t="s">
        <v>1209</v>
      </c>
      <c r="J3191" s="129" t="s">
        <v>54</v>
      </c>
      <c r="K3191" s="207">
        <v>1000</v>
      </c>
      <c r="L3191" s="207"/>
      <c r="M3191" s="251"/>
    </row>
    <row r="3192" spans="1:15" ht="11.25" customHeight="1" x14ac:dyDescent="0.2">
      <c r="A3192" s="120">
        <v>2024</v>
      </c>
      <c r="B3192" s="120">
        <v>1</v>
      </c>
      <c r="C3192" s="120">
        <v>28</v>
      </c>
      <c r="D3192" s="208">
        <f t="shared" si="243"/>
        <v>45319</v>
      </c>
      <c r="E3192" s="209">
        <f t="shared" si="242"/>
        <v>45319</v>
      </c>
      <c r="F3192" s="515"/>
      <c r="G3192" s="132" t="s">
        <v>1209</v>
      </c>
      <c r="J3192" s="129" t="s">
        <v>113</v>
      </c>
      <c r="K3192" s="207"/>
      <c r="L3192" s="207">
        <v>23625</v>
      </c>
      <c r="M3192" s="251"/>
    </row>
    <row r="3193" spans="1:15" ht="11.25" customHeight="1" x14ac:dyDescent="0.2">
      <c r="A3193" s="191">
        <v>2024</v>
      </c>
      <c r="B3193" s="191">
        <v>1</v>
      </c>
      <c r="C3193" s="191">
        <v>28</v>
      </c>
      <c r="D3193" s="192">
        <f t="shared" si="243"/>
        <v>45319</v>
      </c>
      <c r="E3193" s="193">
        <f t="shared" si="242"/>
        <v>45319</v>
      </c>
      <c r="F3193" s="514"/>
      <c r="G3193" s="194" t="s">
        <v>1209</v>
      </c>
      <c r="H3193" s="195"/>
      <c r="I3193" s="195"/>
      <c r="J3193" s="250" t="s">
        <v>76</v>
      </c>
      <c r="K3193" s="196"/>
      <c r="L3193" s="196">
        <v>1000000</v>
      </c>
    </row>
    <row r="3194" spans="1:15" ht="11.25" customHeight="1" x14ac:dyDescent="0.2">
      <c r="A3194" s="197">
        <v>2024</v>
      </c>
      <c r="B3194" s="197">
        <v>1</v>
      </c>
      <c r="C3194" s="197">
        <v>28</v>
      </c>
      <c r="D3194" s="198">
        <f t="shared" si="243"/>
        <v>45319</v>
      </c>
      <c r="E3194" s="209">
        <f t="shared" ref="E3194:E3203" si="244">DATE(A3194,B3194,C3194)</f>
        <v>45319</v>
      </c>
      <c r="F3194" s="513" t="s">
        <v>1296</v>
      </c>
      <c r="G3194" s="200" t="s">
        <v>1209</v>
      </c>
      <c r="H3194" s="201"/>
      <c r="I3194" s="201"/>
      <c r="J3194" s="197" t="s">
        <v>46</v>
      </c>
      <c r="K3194" s="202">
        <v>252500</v>
      </c>
      <c r="L3194" s="202"/>
    </row>
    <row r="3195" spans="1:15" ht="11.25" customHeight="1" x14ac:dyDescent="0.2">
      <c r="A3195" s="120">
        <v>2024</v>
      </c>
      <c r="B3195" s="120">
        <v>1</v>
      </c>
      <c r="C3195" s="120">
        <v>28</v>
      </c>
      <c r="D3195" s="208">
        <f t="shared" si="243"/>
        <v>45319</v>
      </c>
      <c r="E3195" s="209">
        <f t="shared" si="244"/>
        <v>45319</v>
      </c>
      <c r="F3195" s="515"/>
      <c r="G3195" s="132" t="s">
        <v>1209</v>
      </c>
      <c r="J3195" s="120" t="s">
        <v>16</v>
      </c>
      <c r="K3195" s="207"/>
      <c r="L3195" s="207">
        <v>234980</v>
      </c>
    </row>
    <row r="3196" spans="1:15" ht="11.25" customHeight="1" x14ac:dyDescent="0.2">
      <c r="A3196" s="191">
        <v>2024</v>
      </c>
      <c r="B3196" s="191">
        <v>1</v>
      </c>
      <c r="C3196" s="191">
        <v>28</v>
      </c>
      <c r="D3196" s="192">
        <f t="shared" si="243"/>
        <v>45319</v>
      </c>
      <c r="E3196" s="193">
        <f t="shared" si="244"/>
        <v>45319</v>
      </c>
      <c r="F3196" s="514"/>
      <c r="G3196" s="194" t="s">
        <v>1209</v>
      </c>
      <c r="H3196" s="195"/>
      <c r="I3196" s="195"/>
      <c r="J3196" s="191" t="s">
        <v>47</v>
      </c>
      <c r="K3196" s="196"/>
      <c r="L3196" s="196">
        <v>17520</v>
      </c>
    </row>
    <row r="3197" spans="1:15" ht="11.25" customHeight="1" x14ac:dyDescent="0.2">
      <c r="A3197" s="197">
        <v>2024</v>
      </c>
      <c r="B3197" s="197">
        <v>1</v>
      </c>
      <c r="C3197" s="197">
        <v>28</v>
      </c>
      <c r="D3197" s="198">
        <f t="shared" si="243"/>
        <v>45319</v>
      </c>
      <c r="E3197" s="290">
        <f t="shared" si="244"/>
        <v>45319</v>
      </c>
      <c r="F3197" s="513" t="s">
        <v>1563</v>
      </c>
      <c r="G3197" s="200" t="s">
        <v>1209</v>
      </c>
      <c r="H3197" s="201"/>
      <c r="I3197" s="201"/>
      <c r="J3197" s="197" t="s">
        <v>54</v>
      </c>
      <c r="K3197" s="202">
        <v>100</v>
      </c>
      <c r="L3197" s="202"/>
      <c r="M3197" s="251"/>
      <c r="N3197" s="251"/>
      <c r="O3197" s="251"/>
    </row>
    <row r="3198" spans="1:15" ht="11.25" customHeight="1" x14ac:dyDescent="0.2">
      <c r="A3198" s="191">
        <v>2024</v>
      </c>
      <c r="B3198" s="191">
        <v>1</v>
      </c>
      <c r="C3198" s="191">
        <v>28</v>
      </c>
      <c r="D3198" s="192">
        <f t="shared" si="243"/>
        <v>45319</v>
      </c>
      <c r="E3198" s="291">
        <f t="shared" si="244"/>
        <v>45319</v>
      </c>
      <c r="F3198" s="514"/>
      <c r="G3198" s="194" t="s">
        <v>1209</v>
      </c>
      <c r="H3198" s="195"/>
      <c r="I3198" s="195"/>
      <c r="J3198" s="191" t="s">
        <v>46</v>
      </c>
      <c r="K3198" s="196"/>
      <c r="L3198" s="196">
        <v>100</v>
      </c>
      <c r="M3198" s="251"/>
      <c r="N3198" s="251"/>
      <c r="O3198" s="251"/>
    </row>
    <row r="3199" spans="1:15" ht="11.25" customHeight="1" x14ac:dyDescent="0.2">
      <c r="A3199" s="197">
        <v>2024</v>
      </c>
      <c r="B3199" s="197">
        <v>1</v>
      </c>
      <c r="C3199" s="197">
        <v>29</v>
      </c>
      <c r="D3199" s="198">
        <f t="shared" si="243"/>
        <v>45320</v>
      </c>
      <c r="E3199" s="209">
        <f t="shared" si="244"/>
        <v>45320</v>
      </c>
      <c r="F3199" s="513" t="s">
        <v>1210</v>
      </c>
      <c r="G3199" s="200" t="s">
        <v>1209</v>
      </c>
      <c r="H3199" s="201"/>
      <c r="I3199" s="201" t="s">
        <v>355</v>
      </c>
      <c r="J3199" s="197" t="s">
        <v>46</v>
      </c>
      <c r="K3199" s="202">
        <v>800000</v>
      </c>
      <c r="L3199" s="202"/>
    </row>
    <row r="3200" spans="1:15" ht="11.25" customHeight="1" x14ac:dyDescent="0.2">
      <c r="A3200" s="120">
        <v>2024</v>
      </c>
      <c r="B3200" s="120">
        <v>1</v>
      </c>
      <c r="C3200" s="120">
        <v>29</v>
      </c>
      <c r="D3200" s="208">
        <f t="shared" si="243"/>
        <v>45320</v>
      </c>
      <c r="E3200" s="209">
        <f t="shared" si="244"/>
        <v>45320</v>
      </c>
      <c r="F3200" s="515"/>
      <c r="G3200" s="132" t="s">
        <v>1209</v>
      </c>
      <c r="I3200" s="128" t="s">
        <v>355</v>
      </c>
      <c r="J3200" s="120" t="s">
        <v>16</v>
      </c>
      <c r="K3200" s="207"/>
      <c r="L3200" s="207">
        <v>744610</v>
      </c>
    </row>
    <row r="3201" spans="1:15" ht="11.25" customHeight="1" x14ac:dyDescent="0.2">
      <c r="A3201" s="191">
        <v>2024</v>
      </c>
      <c r="B3201" s="191">
        <v>1</v>
      </c>
      <c r="C3201" s="191">
        <v>29</v>
      </c>
      <c r="D3201" s="192">
        <f t="shared" si="243"/>
        <v>45320</v>
      </c>
      <c r="E3201" s="193">
        <f t="shared" si="244"/>
        <v>45320</v>
      </c>
      <c r="F3201" s="514"/>
      <c r="G3201" s="194" t="s">
        <v>1209</v>
      </c>
      <c r="H3201" s="195"/>
      <c r="I3201" s="195" t="s">
        <v>355</v>
      </c>
      <c r="J3201" s="191" t="s">
        <v>47</v>
      </c>
      <c r="K3201" s="196"/>
      <c r="L3201" s="196">
        <v>55390</v>
      </c>
    </row>
    <row r="3202" spans="1:15" ht="11.25" customHeight="1" x14ac:dyDescent="0.2">
      <c r="A3202" s="197">
        <v>2024</v>
      </c>
      <c r="B3202" s="197">
        <v>1</v>
      </c>
      <c r="C3202" s="197">
        <v>30</v>
      </c>
      <c r="D3202" s="198">
        <f t="shared" si="243"/>
        <v>45321</v>
      </c>
      <c r="E3202" s="290">
        <f t="shared" si="244"/>
        <v>45321</v>
      </c>
      <c r="F3202" s="513" t="s">
        <v>1527</v>
      </c>
      <c r="G3202" s="200" t="s">
        <v>1209</v>
      </c>
      <c r="H3202" s="201"/>
      <c r="I3202" s="201"/>
      <c r="J3202" s="197" t="s">
        <v>54</v>
      </c>
      <c r="K3202" s="202">
        <v>10</v>
      </c>
      <c r="L3202" s="202"/>
      <c r="M3202" s="251"/>
      <c r="N3202" s="251"/>
      <c r="O3202" s="251"/>
    </row>
    <row r="3203" spans="1:15" ht="11.25" customHeight="1" x14ac:dyDescent="0.2">
      <c r="A3203" s="191">
        <v>2024</v>
      </c>
      <c r="B3203" s="191">
        <v>1</v>
      </c>
      <c r="C3203" s="191">
        <v>30</v>
      </c>
      <c r="D3203" s="192">
        <f t="shared" si="243"/>
        <v>45321</v>
      </c>
      <c r="E3203" s="291">
        <f t="shared" si="244"/>
        <v>45321</v>
      </c>
      <c r="F3203" s="514"/>
      <c r="G3203" s="194" t="s">
        <v>1209</v>
      </c>
      <c r="H3203" s="195"/>
      <c r="I3203" s="195"/>
      <c r="J3203" s="191" t="s">
        <v>46</v>
      </c>
      <c r="K3203" s="196"/>
      <c r="L3203" s="196">
        <v>10</v>
      </c>
      <c r="M3203" s="251"/>
      <c r="N3203" s="251"/>
      <c r="O3203" s="251"/>
    </row>
    <row r="3204" spans="1:15" ht="11.25" customHeight="1" x14ac:dyDescent="0.2">
      <c r="A3204" s="197">
        <v>2024</v>
      </c>
      <c r="B3204" s="197">
        <v>1</v>
      </c>
      <c r="C3204" s="197">
        <v>29</v>
      </c>
      <c r="D3204" s="198">
        <f t="shared" si="243"/>
        <v>45320</v>
      </c>
      <c r="E3204" s="209">
        <f t="shared" ref="E3204:E3213" si="245">DATE(A3204,B3204,C3204)</f>
        <v>45320</v>
      </c>
      <c r="F3204" s="513" t="s">
        <v>1210</v>
      </c>
      <c r="G3204" s="200" t="s">
        <v>1209</v>
      </c>
      <c r="H3204" s="201"/>
      <c r="I3204" s="201" t="s">
        <v>1491</v>
      </c>
      <c r="J3204" s="197" t="s">
        <v>46</v>
      </c>
      <c r="K3204" s="202">
        <v>2000</v>
      </c>
      <c r="L3204" s="202"/>
    </row>
    <row r="3205" spans="1:15" ht="11.25" customHeight="1" x14ac:dyDescent="0.2">
      <c r="A3205" s="120">
        <v>2024</v>
      </c>
      <c r="B3205" s="120">
        <v>1</v>
      </c>
      <c r="C3205" s="120">
        <v>29</v>
      </c>
      <c r="D3205" s="208">
        <f t="shared" si="243"/>
        <v>45320</v>
      </c>
      <c r="E3205" s="209">
        <f t="shared" si="245"/>
        <v>45320</v>
      </c>
      <c r="F3205" s="515"/>
      <c r="G3205" s="132" t="s">
        <v>1209</v>
      </c>
      <c r="I3205" s="128" t="s">
        <v>1491</v>
      </c>
      <c r="J3205" s="120" t="s">
        <v>16</v>
      </c>
      <c r="K3205" s="207"/>
      <c r="L3205" s="207">
        <v>1860</v>
      </c>
    </row>
    <row r="3206" spans="1:15" ht="11.25" customHeight="1" x14ac:dyDescent="0.2">
      <c r="A3206" s="191">
        <v>2024</v>
      </c>
      <c r="B3206" s="191">
        <v>1</v>
      </c>
      <c r="C3206" s="191">
        <v>29</v>
      </c>
      <c r="D3206" s="192">
        <f t="shared" si="243"/>
        <v>45320</v>
      </c>
      <c r="E3206" s="193">
        <f t="shared" si="245"/>
        <v>45320</v>
      </c>
      <c r="F3206" s="514"/>
      <c r="G3206" s="194" t="s">
        <v>1209</v>
      </c>
      <c r="H3206" s="195"/>
      <c r="I3206" s="195" t="s">
        <v>1491</v>
      </c>
      <c r="J3206" s="191" t="s">
        <v>47</v>
      </c>
      <c r="K3206" s="196"/>
      <c r="L3206" s="196">
        <v>140</v>
      </c>
    </row>
    <row r="3207" spans="1:15" ht="11.25" customHeight="1" x14ac:dyDescent="0.2">
      <c r="A3207" s="197">
        <v>2024</v>
      </c>
      <c r="B3207" s="197">
        <v>1</v>
      </c>
      <c r="C3207" s="197">
        <v>29</v>
      </c>
      <c r="D3207" s="198">
        <f t="shared" si="243"/>
        <v>45320</v>
      </c>
      <c r="E3207" s="199">
        <f t="shared" si="245"/>
        <v>45320</v>
      </c>
      <c r="F3207" s="513" t="s">
        <v>1533</v>
      </c>
      <c r="G3207" s="200" t="s">
        <v>1209</v>
      </c>
      <c r="H3207" s="201"/>
      <c r="I3207" s="201" t="s">
        <v>1253</v>
      </c>
      <c r="J3207" s="197" t="s">
        <v>1455</v>
      </c>
      <c r="K3207" s="202">
        <v>37197440</v>
      </c>
      <c r="L3207" s="202"/>
    </row>
    <row r="3208" spans="1:15" ht="11.25" customHeight="1" x14ac:dyDescent="0.2">
      <c r="A3208" s="191">
        <v>2024</v>
      </c>
      <c r="B3208" s="191">
        <v>1</v>
      </c>
      <c r="C3208" s="191">
        <v>29</v>
      </c>
      <c r="D3208" s="192">
        <f t="shared" si="243"/>
        <v>45320</v>
      </c>
      <c r="E3208" s="193">
        <f t="shared" si="245"/>
        <v>45320</v>
      </c>
      <c r="F3208" s="514"/>
      <c r="G3208" s="194" t="s">
        <v>1209</v>
      </c>
      <c r="H3208" s="195"/>
      <c r="I3208" s="195" t="s">
        <v>1253</v>
      </c>
      <c r="J3208" s="191" t="s">
        <v>46</v>
      </c>
      <c r="K3208" s="196"/>
      <c r="L3208" s="196">
        <v>37197440</v>
      </c>
      <c r="N3208" s="130"/>
    </row>
    <row r="3209" spans="1:15" ht="11.25" customHeight="1" x14ac:dyDescent="0.2">
      <c r="A3209" s="197">
        <v>2024</v>
      </c>
      <c r="B3209" s="197">
        <v>1</v>
      </c>
      <c r="C3209" s="197">
        <v>30</v>
      </c>
      <c r="D3209" s="198">
        <f t="shared" si="243"/>
        <v>45321</v>
      </c>
      <c r="E3209" s="290">
        <f t="shared" si="245"/>
        <v>45321</v>
      </c>
      <c r="F3209" s="513" t="s">
        <v>1517</v>
      </c>
      <c r="G3209" s="200" t="s">
        <v>1209</v>
      </c>
      <c r="H3209" s="201"/>
      <c r="I3209" s="201"/>
      <c r="J3209" s="197" t="s">
        <v>54</v>
      </c>
      <c r="K3209" s="202">
        <v>9971.6299999999992</v>
      </c>
      <c r="L3209" s="202"/>
      <c r="M3209" s="251"/>
      <c r="N3209" s="251"/>
      <c r="O3209" s="251"/>
    </row>
    <row r="3210" spans="1:15" ht="11.25" customHeight="1" x14ac:dyDescent="0.2">
      <c r="A3210" s="191">
        <v>2024</v>
      </c>
      <c r="B3210" s="191">
        <v>1</v>
      </c>
      <c r="C3210" s="191">
        <v>30</v>
      </c>
      <c r="D3210" s="192">
        <f t="shared" si="243"/>
        <v>45321</v>
      </c>
      <c r="E3210" s="291">
        <f t="shared" si="245"/>
        <v>45321</v>
      </c>
      <c r="F3210" s="514"/>
      <c r="G3210" s="194" t="s">
        <v>1209</v>
      </c>
      <c r="H3210" s="195"/>
      <c r="I3210" s="195"/>
      <c r="J3210" s="191" t="s">
        <v>46</v>
      </c>
      <c r="K3210" s="196"/>
      <c r="L3210" s="196">
        <v>9971.6299999999992</v>
      </c>
      <c r="M3210" s="251"/>
      <c r="N3210" s="251"/>
      <c r="O3210" s="251"/>
    </row>
    <row r="3211" spans="1:15" ht="11.25" customHeight="1" x14ac:dyDescent="0.2">
      <c r="A3211" s="197">
        <v>2024</v>
      </c>
      <c r="B3211" s="197">
        <v>1</v>
      </c>
      <c r="C3211" s="197">
        <v>30</v>
      </c>
      <c r="D3211" s="198">
        <f t="shared" si="243"/>
        <v>45321</v>
      </c>
      <c r="E3211" s="209">
        <f t="shared" si="245"/>
        <v>45321</v>
      </c>
      <c r="F3211" s="513" t="s">
        <v>1280</v>
      </c>
      <c r="G3211" s="200" t="s">
        <v>1209</v>
      </c>
      <c r="H3211" s="201"/>
      <c r="I3211" s="201" t="s">
        <v>1479</v>
      </c>
      <c r="J3211" s="197" t="s">
        <v>16</v>
      </c>
      <c r="K3211" s="202">
        <v>24849100</v>
      </c>
      <c r="L3211" s="202"/>
    </row>
    <row r="3212" spans="1:15" ht="11.25" customHeight="1" x14ac:dyDescent="0.2">
      <c r="A3212" s="120">
        <v>2024</v>
      </c>
      <c r="B3212" s="120">
        <v>1</v>
      </c>
      <c r="C3212" s="120">
        <v>30</v>
      </c>
      <c r="D3212" s="208">
        <f t="shared" si="243"/>
        <v>45321</v>
      </c>
      <c r="E3212" s="209">
        <f t="shared" si="245"/>
        <v>45321</v>
      </c>
      <c r="F3212" s="515"/>
      <c r="G3212" s="132" t="s">
        <v>1209</v>
      </c>
      <c r="I3212" s="128" t="s">
        <v>1479</v>
      </c>
      <c r="J3212" s="120" t="s">
        <v>47</v>
      </c>
      <c r="K3212" s="207">
        <v>1848773.04</v>
      </c>
      <c r="L3212" s="207"/>
    </row>
    <row r="3213" spans="1:15" ht="11.25" customHeight="1" x14ac:dyDescent="0.2">
      <c r="A3213" s="191">
        <v>2024</v>
      </c>
      <c r="B3213" s="191">
        <v>1</v>
      </c>
      <c r="C3213" s="191">
        <v>30</v>
      </c>
      <c r="D3213" s="192">
        <f t="shared" si="243"/>
        <v>45321</v>
      </c>
      <c r="E3213" s="193">
        <f t="shared" si="245"/>
        <v>45321</v>
      </c>
      <c r="F3213" s="514"/>
      <c r="G3213" s="194" t="s">
        <v>1209</v>
      </c>
      <c r="H3213" s="195"/>
      <c r="I3213" s="195" t="s">
        <v>1479</v>
      </c>
      <c r="J3213" s="191" t="s">
        <v>46</v>
      </c>
      <c r="K3213" s="196"/>
      <c r="L3213" s="196">
        <v>26697873.039999999</v>
      </c>
    </row>
    <row r="3214" spans="1:15" ht="11.25" customHeight="1" x14ac:dyDescent="0.2">
      <c r="A3214" s="197">
        <v>2024</v>
      </c>
      <c r="B3214" s="197">
        <v>1</v>
      </c>
      <c r="C3214" s="197">
        <v>30</v>
      </c>
      <c r="D3214" s="198">
        <f t="shared" si="243"/>
        <v>45321</v>
      </c>
      <c r="E3214" s="209">
        <f t="shared" ref="E3214:E3221" si="246">DATE(A3214,B3214,C3214)</f>
        <v>45321</v>
      </c>
      <c r="F3214" s="513" t="s">
        <v>1280</v>
      </c>
      <c r="G3214" s="200" t="s">
        <v>1209</v>
      </c>
      <c r="H3214" s="201"/>
      <c r="I3214" s="201" t="s">
        <v>694</v>
      </c>
      <c r="J3214" s="197" t="s">
        <v>16</v>
      </c>
      <c r="K3214" s="202">
        <v>93080</v>
      </c>
      <c r="L3214" s="202"/>
    </row>
    <row r="3215" spans="1:15" ht="11.25" customHeight="1" x14ac:dyDescent="0.2">
      <c r="A3215" s="120">
        <v>2024</v>
      </c>
      <c r="B3215" s="120">
        <v>1</v>
      </c>
      <c r="C3215" s="120">
        <v>30</v>
      </c>
      <c r="D3215" s="208">
        <f t="shared" si="243"/>
        <v>45321</v>
      </c>
      <c r="E3215" s="209">
        <f t="shared" si="246"/>
        <v>45321</v>
      </c>
      <c r="F3215" s="515"/>
      <c r="G3215" s="132" t="s">
        <v>1209</v>
      </c>
      <c r="I3215" s="128" t="s">
        <v>694</v>
      </c>
      <c r="J3215" s="120" t="s">
        <v>47</v>
      </c>
      <c r="K3215" s="207">
        <v>6920</v>
      </c>
      <c r="L3215" s="207"/>
    </row>
    <row r="3216" spans="1:15" ht="11.25" customHeight="1" x14ac:dyDescent="0.2">
      <c r="A3216" s="191">
        <v>2024</v>
      </c>
      <c r="B3216" s="191">
        <v>1</v>
      </c>
      <c r="C3216" s="191">
        <v>30</v>
      </c>
      <c r="D3216" s="192">
        <f t="shared" si="243"/>
        <v>45321</v>
      </c>
      <c r="E3216" s="193">
        <f t="shared" si="246"/>
        <v>45321</v>
      </c>
      <c r="F3216" s="514"/>
      <c r="G3216" s="194" t="s">
        <v>1209</v>
      </c>
      <c r="H3216" s="195"/>
      <c r="I3216" s="195" t="s">
        <v>694</v>
      </c>
      <c r="J3216" s="191" t="s">
        <v>46</v>
      </c>
      <c r="K3216" s="196"/>
      <c r="L3216" s="196">
        <v>100000</v>
      </c>
    </row>
    <row r="3217" spans="1:15" ht="11.25" customHeight="1" x14ac:dyDescent="0.2">
      <c r="A3217" s="197">
        <v>2024</v>
      </c>
      <c r="B3217" s="197">
        <v>1</v>
      </c>
      <c r="C3217" s="197">
        <v>30</v>
      </c>
      <c r="D3217" s="198">
        <f t="shared" si="243"/>
        <v>45321</v>
      </c>
      <c r="E3217" s="290">
        <f t="shared" si="246"/>
        <v>45321</v>
      </c>
      <c r="F3217" s="513" t="s">
        <v>1547</v>
      </c>
      <c r="G3217" s="200" t="s">
        <v>1209</v>
      </c>
      <c r="H3217" s="201"/>
      <c r="I3217" s="201"/>
      <c r="J3217" s="197" t="s">
        <v>54</v>
      </c>
      <c r="K3217" s="202">
        <v>158</v>
      </c>
      <c r="L3217" s="202"/>
      <c r="M3217" s="251"/>
      <c r="N3217" s="251"/>
      <c r="O3217" s="251"/>
    </row>
    <row r="3218" spans="1:15" ht="11.25" customHeight="1" x14ac:dyDescent="0.2">
      <c r="A3218" s="191">
        <v>2024</v>
      </c>
      <c r="B3218" s="191">
        <v>1</v>
      </c>
      <c r="C3218" s="191">
        <v>30</v>
      </c>
      <c r="D3218" s="192">
        <f t="shared" si="243"/>
        <v>45321</v>
      </c>
      <c r="E3218" s="291">
        <f t="shared" si="246"/>
        <v>45321</v>
      </c>
      <c r="F3218" s="514"/>
      <c r="G3218" s="194" t="s">
        <v>1209</v>
      </c>
      <c r="H3218" s="195"/>
      <c r="I3218" s="195"/>
      <c r="J3218" s="191" t="s">
        <v>46</v>
      </c>
      <c r="K3218" s="196"/>
      <c r="L3218" s="196">
        <v>158</v>
      </c>
      <c r="M3218" s="251"/>
      <c r="N3218" s="251"/>
      <c r="O3218" s="251"/>
    </row>
    <row r="3219" spans="1:15" ht="11.25" customHeight="1" x14ac:dyDescent="0.2">
      <c r="A3219" s="197">
        <v>2024</v>
      </c>
      <c r="B3219" s="197">
        <v>1</v>
      </c>
      <c r="C3219" s="197">
        <v>30</v>
      </c>
      <c r="D3219" s="198">
        <f t="shared" si="243"/>
        <v>45321</v>
      </c>
      <c r="E3219" s="209">
        <f t="shared" si="246"/>
        <v>45321</v>
      </c>
      <c r="F3219" s="513" t="s">
        <v>1210</v>
      </c>
      <c r="G3219" s="200" t="s">
        <v>1209</v>
      </c>
      <c r="H3219" s="201"/>
      <c r="I3219" s="201" t="s">
        <v>355</v>
      </c>
      <c r="J3219" s="197" t="s">
        <v>46</v>
      </c>
      <c r="K3219" s="202">
        <v>300000</v>
      </c>
      <c r="L3219" s="202"/>
    </row>
    <row r="3220" spans="1:15" ht="11.25" customHeight="1" x14ac:dyDescent="0.2">
      <c r="A3220" s="120">
        <v>2024</v>
      </c>
      <c r="B3220" s="120">
        <v>1</v>
      </c>
      <c r="C3220" s="120">
        <v>30</v>
      </c>
      <c r="D3220" s="208">
        <f t="shared" si="243"/>
        <v>45321</v>
      </c>
      <c r="E3220" s="209">
        <f t="shared" si="246"/>
        <v>45321</v>
      </c>
      <c r="F3220" s="515"/>
      <c r="G3220" s="132" t="s">
        <v>1209</v>
      </c>
      <c r="I3220" s="128" t="s">
        <v>355</v>
      </c>
      <c r="J3220" s="120" t="s">
        <v>16</v>
      </c>
      <c r="K3220" s="207"/>
      <c r="L3220" s="207">
        <v>279230</v>
      </c>
    </row>
    <row r="3221" spans="1:15" ht="11.25" customHeight="1" x14ac:dyDescent="0.2">
      <c r="A3221" s="191">
        <v>2024</v>
      </c>
      <c r="B3221" s="191">
        <v>1</v>
      </c>
      <c r="C3221" s="191">
        <v>30</v>
      </c>
      <c r="D3221" s="192">
        <f t="shared" si="243"/>
        <v>45321</v>
      </c>
      <c r="E3221" s="193">
        <f t="shared" si="246"/>
        <v>45321</v>
      </c>
      <c r="F3221" s="514"/>
      <c r="G3221" s="194" t="s">
        <v>1209</v>
      </c>
      <c r="H3221" s="195"/>
      <c r="I3221" s="195" t="s">
        <v>355</v>
      </c>
      <c r="J3221" s="191" t="s">
        <v>47</v>
      </c>
      <c r="K3221" s="196"/>
      <c r="L3221" s="196">
        <v>20770</v>
      </c>
    </row>
    <row r="3222" spans="1:15" ht="11.25" customHeight="1" x14ac:dyDescent="0.2">
      <c r="A3222" s="197">
        <v>2024</v>
      </c>
      <c r="B3222" s="197">
        <v>1</v>
      </c>
      <c r="C3222" s="197">
        <v>30</v>
      </c>
      <c r="D3222" s="198">
        <f t="shared" si="243"/>
        <v>45321</v>
      </c>
      <c r="E3222" s="209">
        <f t="shared" ref="E3222:E3255" si="247">DATE(A3222,B3222,C3222)</f>
        <v>45321</v>
      </c>
      <c r="F3222" s="513" t="s">
        <v>1280</v>
      </c>
      <c r="G3222" s="200" t="s">
        <v>1209</v>
      </c>
      <c r="H3222" s="201"/>
      <c r="I3222" s="201" t="s">
        <v>720</v>
      </c>
      <c r="J3222" s="197" t="s">
        <v>16</v>
      </c>
      <c r="K3222" s="202">
        <v>465380</v>
      </c>
      <c r="L3222" s="202"/>
    </row>
    <row r="3223" spans="1:15" ht="11.25" customHeight="1" x14ac:dyDescent="0.2">
      <c r="A3223" s="120">
        <v>2024</v>
      </c>
      <c r="B3223" s="120">
        <v>1</v>
      </c>
      <c r="C3223" s="120">
        <v>30</v>
      </c>
      <c r="D3223" s="208">
        <f t="shared" si="243"/>
        <v>45321</v>
      </c>
      <c r="E3223" s="209">
        <f t="shared" si="247"/>
        <v>45321</v>
      </c>
      <c r="F3223" s="515"/>
      <c r="G3223" s="132" t="s">
        <v>1209</v>
      </c>
      <c r="I3223" s="128" t="s">
        <v>720</v>
      </c>
      <c r="J3223" s="120" t="s">
        <v>47</v>
      </c>
      <c r="K3223" s="207">
        <v>34620</v>
      </c>
      <c r="L3223" s="207"/>
    </row>
    <row r="3224" spans="1:15" ht="11.25" customHeight="1" x14ac:dyDescent="0.2">
      <c r="A3224" s="191">
        <v>2024</v>
      </c>
      <c r="B3224" s="191">
        <v>1</v>
      </c>
      <c r="C3224" s="191">
        <v>30</v>
      </c>
      <c r="D3224" s="192">
        <f t="shared" si="243"/>
        <v>45321</v>
      </c>
      <c r="E3224" s="193">
        <f t="shared" si="247"/>
        <v>45321</v>
      </c>
      <c r="F3224" s="514"/>
      <c r="G3224" s="194" t="s">
        <v>1209</v>
      </c>
      <c r="H3224" s="195"/>
      <c r="I3224" s="195" t="s">
        <v>720</v>
      </c>
      <c r="J3224" s="191" t="s">
        <v>46</v>
      </c>
      <c r="K3224" s="196"/>
      <c r="L3224" s="196">
        <v>500000</v>
      </c>
    </row>
    <row r="3225" spans="1:15" ht="11.25" customHeight="1" x14ac:dyDescent="0.2">
      <c r="A3225" s="197">
        <v>2024</v>
      </c>
      <c r="B3225" s="197">
        <v>1</v>
      </c>
      <c r="C3225" s="197">
        <v>30</v>
      </c>
      <c r="D3225" s="198">
        <f t="shared" si="243"/>
        <v>45321</v>
      </c>
      <c r="E3225" s="290">
        <f t="shared" si="247"/>
        <v>45321</v>
      </c>
      <c r="F3225" s="513" t="s">
        <v>1547</v>
      </c>
      <c r="G3225" s="200" t="s">
        <v>1209</v>
      </c>
      <c r="H3225" s="201"/>
      <c r="I3225" s="201"/>
      <c r="J3225" s="197" t="s">
        <v>54</v>
      </c>
      <c r="K3225" s="202">
        <f>58*2</f>
        <v>116</v>
      </c>
      <c r="L3225" s="202"/>
      <c r="M3225" s="251"/>
      <c r="N3225" s="251"/>
      <c r="O3225" s="251"/>
    </row>
    <row r="3226" spans="1:15" ht="11.25" customHeight="1" x14ac:dyDescent="0.2">
      <c r="A3226" s="191">
        <v>2024</v>
      </c>
      <c r="B3226" s="191">
        <v>1</v>
      </c>
      <c r="C3226" s="191">
        <v>30</v>
      </c>
      <c r="D3226" s="192">
        <f t="shared" si="243"/>
        <v>45321</v>
      </c>
      <c r="E3226" s="291">
        <f t="shared" si="247"/>
        <v>45321</v>
      </c>
      <c r="F3226" s="514"/>
      <c r="G3226" s="194" t="s">
        <v>1209</v>
      </c>
      <c r="H3226" s="195"/>
      <c r="I3226" s="195"/>
      <c r="J3226" s="191" t="s">
        <v>46</v>
      </c>
      <c r="K3226" s="196"/>
      <c r="L3226" s="196">
        <v>116</v>
      </c>
      <c r="M3226" s="251"/>
      <c r="N3226" s="251"/>
      <c r="O3226" s="251"/>
    </row>
    <row r="3227" spans="1:15" ht="11.25" customHeight="1" x14ac:dyDescent="0.2">
      <c r="A3227" s="197">
        <v>2024</v>
      </c>
      <c r="B3227" s="197">
        <v>1</v>
      </c>
      <c r="C3227" s="197">
        <v>30</v>
      </c>
      <c r="D3227" s="198">
        <f t="shared" si="243"/>
        <v>45321</v>
      </c>
      <c r="E3227" s="209">
        <f t="shared" si="247"/>
        <v>45321</v>
      </c>
      <c r="F3227" s="513" t="s">
        <v>1557</v>
      </c>
      <c r="G3227" s="200" t="s">
        <v>1209</v>
      </c>
      <c r="H3227" s="201"/>
      <c r="I3227" s="201"/>
      <c r="J3227" s="248" t="s">
        <v>46</v>
      </c>
      <c r="K3227" s="202">
        <v>1022875</v>
      </c>
      <c r="L3227" s="202"/>
      <c r="M3227" s="251"/>
    </row>
    <row r="3228" spans="1:15" ht="11.25" customHeight="1" x14ac:dyDescent="0.2">
      <c r="A3228" s="120">
        <v>2024</v>
      </c>
      <c r="B3228" s="120">
        <v>1</v>
      </c>
      <c r="C3228" s="120">
        <v>30</v>
      </c>
      <c r="D3228" s="208">
        <f t="shared" si="243"/>
        <v>45321</v>
      </c>
      <c r="E3228" s="209">
        <f t="shared" si="247"/>
        <v>45321</v>
      </c>
      <c r="F3228" s="515"/>
      <c r="G3228" s="132" t="s">
        <v>1209</v>
      </c>
      <c r="J3228" s="129" t="s">
        <v>54</v>
      </c>
      <c r="K3228" s="207">
        <v>1000</v>
      </c>
      <c r="L3228" s="207"/>
      <c r="M3228" s="251"/>
    </row>
    <row r="3229" spans="1:15" ht="11.25" customHeight="1" x14ac:dyDescent="0.2">
      <c r="A3229" s="120">
        <v>2024</v>
      </c>
      <c r="B3229" s="120">
        <v>1</v>
      </c>
      <c r="C3229" s="120">
        <v>30</v>
      </c>
      <c r="D3229" s="208">
        <f t="shared" si="243"/>
        <v>45321</v>
      </c>
      <c r="E3229" s="209">
        <f t="shared" si="247"/>
        <v>45321</v>
      </c>
      <c r="F3229" s="515"/>
      <c r="G3229" s="132" t="s">
        <v>1209</v>
      </c>
      <c r="J3229" s="129" t="s">
        <v>113</v>
      </c>
      <c r="K3229" s="207"/>
      <c r="L3229" s="207">
        <v>23875</v>
      </c>
      <c r="M3229" s="251"/>
    </row>
    <row r="3230" spans="1:15" ht="11.25" customHeight="1" x14ac:dyDescent="0.2">
      <c r="A3230" s="191">
        <v>2024</v>
      </c>
      <c r="B3230" s="191">
        <v>1</v>
      </c>
      <c r="C3230" s="191">
        <v>30</v>
      </c>
      <c r="D3230" s="192">
        <f t="shared" si="243"/>
        <v>45321</v>
      </c>
      <c r="E3230" s="193">
        <f t="shared" si="247"/>
        <v>45321</v>
      </c>
      <c r="F3230" s="514"/>
      <c r="G3230" s="194" t="s">
        <v>1209</v>
      </c>
      <c r="H3230" s="195"/>
      <c r="I3230" s="195"/>
      <c r="J3230" s="250" t="s">
        <v>76</v>
      </c>
      <c r="K3230" s="196"/>
      <c r="L3230" s="196">
        <v>1000000</v>
      </c>
    </row>
    <row r="3231" spans="1:15" ht="11.25" customHeight="1" x14ac:dyDescent="0.2">
      <c r="A3231" s="197">
        <v>2024</v>
      </c>
      <c r="B3231" s="197">
        <v>1</v>
      </c>
      <c r="C3231" s="197">
        <v>30</v>
      </c>
      <c r="D3231" s="198">
        <f t="shared" si="243"/>
        <v>45321</v>
      </c>
      <c r="E3231" s="209">
        <f t="shared" si="247"/>
        <v>45321</v>
      </c>
      <c r="F3231" s="513" t="s">
        <v>1558</v>
      </c>
      <c r="G3231" s="200" t="s">
        <v>1209</v>
      </c>
      <c r="H3231" s="201"/>
      <c r="I3231" s="201"/>
      <c r="J3231" s="248" t="s">
        <v>46</v>
      </c>
      <c r="K3231" s="202">
        <v>1022875</v>
      </c>
      <c r="L3231" s="202"/>
      <c r="M3231" s="251"/>
    </row>
    <row r="3232" spans="1:15" ht="11.25" customHeight="1" x14ac:dyDescent="0.2">
      <c r="A3232" s="120">
        <v>2024</v>
      </c>
      <c r="B3232" s="120">
        <v>1</v>
      </c>
      <c r="C3232" s="120">
        <v>30</v>
      </c>
      <c r="D3232" s="208">
        <f t="shared" si="243"/>
        <v>45321</v>
      </c>
      <c r="E3232" s="209">
        <f t="shared" si="247"/>
        <v>45321</v>
      </c>
      <c r="F3232" s="515"/>
      <c r="G3232" s="132" t="s">
        <v>1209</v>
      </c>
      <c r="J3232" s="129" t="s">
        <v>54</v>
      </c>
      <c r="K3232" s="207">
        <v>1000</v>
      </c>
      <c r="L3232" s="207"/>
      <c r="M3232" s="251"/>
    </row>
    <row r="3233" spans="1:13" ht="11.25" customHeight="1" x14ac:dyDescent="0.2">
      <c r="A3233" s="120">
        <v>2024</v>
      </c>
      <c r="B3233" s="120">
        <v>1</v>
      </c>
      <c r="C3233" s="120">
        <v>30</v>
      </c>
      <c r="D3233" s="208">
        <f t="shared" si="243"/>
        <v>45321</v>
      </c>
      <c r="E3233" s="209">
        <f t="shared" si="247"/>
        <v>45321</v>
      </c>
      <c r="F3233" s="515"/>
      <c r="G3233" s="132" t="s">
        <v>1209</v>
      </c>
      <c r="J3233" s="129" t="s">
        <v>113</v>
      </c>
      <c r="K3233" s="207"/>
      <c r="L3233" s="207">
        <v>23875</v>
      </c>
      <c r="M3233" s="251"/>
    </row>
    <row r="3234" spans="1:13" ht="11.25" customHeight="1" x14ac:dyDescent="0.2">
      <c r="A3234" s="191">
        <v>2024</v>
      </c>
      <c r="B3234" s="191">
        <v>1</v>
      </c>
      <c r="C3234" s="191">
        <v>30</v>
      </c>
      <c r="D3234" s="192">
        <f t="shared" si="243"/>
        <v>45321</v>
      </c>
      <c r="E3234" s="193">
        <f t="shared" si="247"/>
        <v>45321</v>
      </c>
      <c r="F3234" s="514"/>
      <c r="G3234" s="194" t="s">
        <v>1209</v>
      </c>
      <c r="H3234" s="195"/>
      <c r="I3234" s="195"/>
      <c r="J3234" s="250" t="s">
        <v>76</v>
      </c>
      <c r="K3234" s="196"/>
      <c r="L3234" s="196">
        <v>1000000</v>
      </c>
    </row>
    <row r="3235" spans="1:13" ht="11.25" customHeight="1" x14ac:dyDescent="0.2">
      <c r="A3235" s="197">
        <v>2024</v>
      </c>
      <c r="B3235" s="197">
        <v>1</v>
      </c>
      <c r="C3235" s="197">
        <v>30</v>
      </c>
      <c r="D3235" s="198">
        <f t="shared" si="243"/>
        <v>45321</v>
      </c>
      <c r="E3235" s="209">
        <f t="shared" si="247"/>
        <v>45321</v>
      </c>
      <c r="F3235" s="513" t="s">
        <v>1559</v>
      </c>
      <c r="G3235" s="200" t="s">
        <v>1209</v>
      </c>
      <c r="H3235" s="201"/>
      <c r="I3235" s="201"/>
      <c r="J3235" s="248" t="s">
        <v>46</v>
      </c>
      <c r="K3235" s="202">
        <v>1022875</v>
      </c>
      <c r="L3235" s="202"/>
      <c r="M3235" s="251"/>
    </row>
    <row r="3236" spans="1:13" ht="11.25" customHeight="1" x14ac:dyDescent="0.2">
      <c r="A3236" s="120">
        <v>2024</v>
      </c>
      <c r="B3236" s="120">
        <v>1</v>
      </c>
      <c r="C3236" s="120">
        <v>30</v>
      </c>
      <c r="D3236" s="208">
        <f t="shared" si="243"/>
        <v>45321</v>
      </c>
      <c r="E3236" s="209">
        <f t="shared" si="247"/>
        <v>45321</v>
      </c>
      <c r="F3236" s="515"/>
      <c r="G3236" s="132" t="s">
        <v>1209</v>
      </c>
      <c r="J3236" s="129" t="s">
        <v>54</v>
      </c>
      <c r="K3236" s="207">
        <v>1000</v>
      </c>
      <c r="L3236" s="207"/>
      <c r="M3236" s="251"/>
    </row>
    <row r="3237" spans="1:13" ht="11.25" customHeight="1" x14ac:dyDescent="0.2">
      <c r="A3237" s="120">
        <v>2024</v>
      </c>
      <c r="B3237" s="120">
        <v>1</v>
      </c>
      <c r="C3237" s="120">
        <v>30</v>
      </c>
      <c r="D3237" s="208">
        <f t="shared" si="243"/>
        <v>45321</v>
      </c>
      <c r="E3237" s="209">
        <f t="shared" si="247"/>
        <v>45321</v>
      </c>
      <c r="F3237" s="515"/>
      <c r="G3237" s="132" t="s">
        <v>1209</v>
      </c>
      <c r="J3237" s="129" t="s">
        <v>113</v>
      </c>
      <c r="K3237" s="207"/>
      <c r="L3237" s="207">
        <v>23875</v>
      </c>
      <c r="M3237" s="251"/>
    </row>
    <row r="3238" spans="1:13" ht="11.25" customHeight="1" x14ac:dyDescent="0.2">
      <c r="A3238" s="191">
        <v>2024</v>
      </c>
      <c r="B3238" s="191">
        <v>1</v>
      </c>
      <c r="C3238" s="191">
        <v>30</v>
      </c>
      <c r="D3238" s="192">
        <f t="shared" si="243"/>
        <v>45321</v>
      </c>
      <c r="E3238" s="193">
        <f t="shared" si="247"/>
        <v>45321</v>
      </c>
      <c r="F3238" s="514"/>
      <c r="G3238" s="194" t="s">
        <v>1209</v>
      </c>
      <c r="H3238" s="195"/>
      <c r="I3238" s="195"/>
      <c r="J3238" s="250" t="s">
        <v>76</v>
      </c>
      <c r="K3238" s="196"/>
      <c r="L3238" s="196">
        <v>1000000</v>
      </c>
    </row>
    <row r="3239" spans="1:13" ht="11.25" customHeight="1" x14ac:dyDescent="0.2">
      <c r="A3239" s="197">
        <v>2024</v>
      </c>
      <c r="B3239" s="197">
        <v>1</v>
      </c>
      <c r="C3239" s="197">
        <v>30</v>
      </c>
      <c r="D3239" s="198">
        <f t="shared" si="243"/>
        <v>45321</v>
      </c>
      <c r="E3239" s="209">
        <f t="shared" si="247"/>
        <v>45321</v>
      </c>
      <c r="F3239" s="513" t="s">
        <v>1560</v>
      </c>
      <c r="G3239" s="200" t="s">
        <v>1209</v>
      </c>
      <c r="H3239" s="201"/>
      <c r="I3239" s="201"/>
      <c r="J3239" s="248" t="s">
        <v>46</v>
      </c>
      <c r="K3239" s="202">
        <v>1022875</v>
      </c>
      <c r="L3239" s="202"/>
      <c r="M3239" s="251"/>
    </row>
    <row r="3240" spans="1:13" ht="11.25" customHeight="1" x14ac:dyDescent="0.2">
      <c r="A3240" s="120">
        <v>2024</v>
      </c>
      <c r="B3240" s="120">
        <v>1</v>
      </c>
      <c r="C3240" s="120">
        <v>30</v>
      </c>
      <c r="D3240" s="208">
        <f t="shared" si="243"/>
        <v>45321</v>
      </c>
      <c r="E3240" s="209">
        <f t="shared" si="247"/>
        <v>45321</v>
      </c>
      <c r="F3240" s="515"/>
      <c r="G3240" s="132" t="s">
        <v>1209</v>
      </c>
      <c r="J3240" s="129" t="s">
        <v>54</v>
      </c>
      <c r="K3240" s="207">
        <v>1000</v>
      </c>
      <c r="L3240" s="207"/>
      <c r="M3240" s="251"/>
    </row>
    <row r="3241" spans="1:13" ht="11.25" customHeight="1" x14ac:dyDescent="0.2">
      <c r="A3241" s="120">
        <v>2024</v>
      </c>
      <c r="B3241" s="120">
        <v>1</v>
      </c>
      <c r="C3241" s="120">
        <v>30</v>
      </c>
      <c r="D3241" s="208">
        <f t="shared" si="243"/>
        <v>45321</v>
      </c>
      <c r="E3241" s="209">
        <f t="shared" si="247"/>
        <v>45321</v>
      </c>
      <c r="F3241" s="515"/>
      <c r="G3241" s="132" t="s">
        <v>1209</v>
      </c>
      <c r="J3241" s="129" t="s">
        <v>113</v>
      </c>
      <c r="K3241" s="207"/>
      <c r="L3241" s="207">
        <v>23875</v>
      </c>
      <c r="M3241" s="251"/>
    </row>
    <row r="3242" spans="1:13" ht="11.25" customHeight="1" x14ac:dyDescent="0.2">
      <c r="A3242" s="191">
        <v>2024</v>
      </c>
      <c r="B3242" s="191">
        <v>1</v>
      </c>
      <c r="C3242" s="191">
        <v>30</v>
      </c>
      <c r="D3242" s="192">
        <f t="shared" ref="D3242:D3303" si="248">DATE(A3242,B3242,C3242)</f>
        <v>45321</v>
      </c>
      <c r="E3242" s="193">
        <f t="shared" si="247"/>
        <v>45321</v>
      </c>
      <c r="F3242" s="514"/>
      <c r="G3242" s="194" t="s">
        <v>1209</v>
      </c>
      <c r="H3242" s="195"/>
      <c r="I3242" s="195"/>
      <c r="J3242" s="250" t="s">
        <v>76</v>
      </c>
      <c r="K3242" s="196"/>
      <c r="L3242" s="196">
        <v>1000000</v>
      </c>
    </row>
    <row r="3243" spans="1:13" ht="11.25" customHeight="1" x14ac:dyDescent="0.2">
      <c r="A3243" s="197">
        <v>2024</v>
      </c>
      <c r="B3243" s="197">
        <v>1</v>
      </c>
      <c r="C3243" s="197">
        <v>30</v>
      </c>
      <c r="D3243" s="198">
        <f t="shared" si="248"/>
        <v>45321</v>
      </c>
      <c r="E3243" s="209">
        <f t="shared" si="247"/>
        <v>45321</v>
      </c>
      <c r="F3243" s="513" t="s">
        <v>1561</v>
      </c>
      <c r="G3243" s="200" t="s">
        <v>1209</v>
      </c>
      <c r="H3243" s="201"/>
      <c r="I3243" s="201"/>
      <c r="J3243" s="248" t="s">
        <v>46</v>
      </c>
      <c r="K3243" s="202">
        <v>1022875</v>
      </c>
      <c r="L3243" s="202"/>
      <c r="M3243" s="251"/>
    </row>
    <row r="3244" spans="1:13" ht="11.25" customHeight="1" x14ac:dyDescent="0.2">
      <c r="A3244" s="120">
        <v>2024</v>
      </c>
      <c r="B3244" s="120">
        <v>1</v>
      </c>
      <c r="C3244" s="120">
        <v>30</v>
      </c>
      <c r="D3244" s="208">
        <f t="shared" si="248"/>
        <v>45321</v>
      </c>
      <c r="E3244" s="209">
        <f t="shared" si="247"/>
        <v>45321</v>
      </c>
      <c r="F3244" s="515"/>
      <c r="G3244" s="132" t="s">
        <v>1209</v>
      </c>
      <c r="J3244" s="129" t="s">
        <v>54</v>
      </c>
      <c r="K3244" s="207">
        <v>1000</v>
      </c>
      <c r="L3244" s="207"/>
      <c r="M3244" s="251"/>
    </row>
    <row r="3245" spans="1:13" ht="11.25" customHeight="1" x14ac:dyDescent="0.2">
      <c r="A3245" s="120">
        <v>2024</v>
      </c>
      <c r="B3245" s="120">
        <v>1</v>
      </c>
      <c r="C3245" s="120">
        <v>30</v>
      </c>
      <c r="D3245" s="208">
        <f t="shared" si="248"/>
        <v>45321</v>
      </c>
      <c r="E3245" s="209">
        <f t="shared" si="247"/>
        <v>45321</v>
      </c>
      <c r="F3245" s="515"/>
      <c r="G3245" s="132" t="s">
        <v>1209</v>
      </c>
      <c r="J3245" s="129" t="s">
        <v>113</v>
      </c>
      <c r="K3245" s="207"/>
      <c r="L3245" s="207">
        <v>23875</v>
      </c>
      <c r="M3245" s="251"/>
    </row>
    <row r="3246" spans="1:13" ht="11.25" customHeight="1" x14ac:dyDescent="0.2">
      <c r="A3246" s="191">
        <v>2024</v>
      </c>
      <c r="B3246" s="191">
        <v>1</v>
      </c>
      <c r="C3246" s="191">
        <v>30</v>
      </c>
      <c r="D3246" s="192">
        <f t="shared" si="248"/>
        <v>45321</v>
      </c>
      <c r="E3246" s="193">
        <f t="shared" si="247"/>
        <v>45321</v>
      </c>
      <c r="F3246" s="514"/>
      <c r="G3246" s="194" t="s">
        <v>1209</v>
      </c>
      <c r="H3246" s="195"/>
      <c r="I3246" s="195"/>
      <c r="J3246" s="250" t="s">
        <v>76</v>
      </c>
      <c r="K3246" s="196"/>
      <c r="L3246" s="196">
        <v>1000000</v>
      </c>
    </row>
    <row r="3247" spans="1:13" ht="11.25" customHeight="1" x14ac:dyDescent="0.2">
      <c r="A3247" s="197">
        <v>2024</v>
      </c>
      <c r="B3247" s="197">
        <v>1</v>
      </c>
      <c r="C3247" s="197">
        <v>30</v>
      </c>
      <c r="D3247" s="198">
        <f t="shared" si="248"/>
        <v>45321</v>
      </c>
      <c r="E3247" s="199">
        <f t="shared" si="247"/>
        <v>45321</v>
      </c>
      <c r="F3247" s="513" t="s">
        <v>1562</v>
      </c>
      <c r="G3247" s="200" t="s">
        <v>1209</v>
      </c>
      <c r="H3247" s="201"/>
      <c r="I3247" s="201" t="s">
        <v>1253</v>
      </c>
      <c r="J3247" s="197" t="s">
        <v>46</v>
      </c>
      <c r="K3247" s="202">
        <v>3500000</v>
      </c>
      <c r="L3247" s="202"/>
    </row>
    <row r="3248" spans="1:13" ht="11.25" customHeight="1" x14ac:dyDescent="0.2">
      <c r="A3248" s="120">
        <v>2024</v>
      </c>
      <c r="B3248" s="120">
        <v>1</v>
      </c>
      <c r="C3248" s="120">
        <v>30</v>
      </c>
      <c r="D3248" s="208">
        <f t="shared" si="248"/>
        <v>45321</v>
      </c>
      <c r="E3248" s="209">
        <f t="shared" si="247"/>
        <v>45321</v>
      </c>
      <c r="F3248" s="515"/>
      <c r="G3248" s="132" t="s">
        <v>1209</v>
      </c>
      <c r="J3248" s="120" t="s">
        <v>1462</v>
      </c>
      <c r="K3248" s="120"/>
      <c r="L3248" s="207">
        <v>80692.5</v>
      </c>
    </row>
    <row r="3249" spans="1:15" ht="11.25" customHeight="1" x14ac:dyDescent="0.2">
      <c r="A3249" s="191">
        <v>2024</v>
      </c>
      <c r="B3249" s="191">
        <v>1</v>
      </c>
      <c r="C3249" s="191">
        <v>30</v>
      </c>
      <c r="D3249" s="192">
        <f t="shared" si="248"/>
        <v>45321</v>
      </c>
      <c r="E3249" s="193">
        <f t="shared" si="247"/>
        <v>45321</v>
      </c>
      <c r="F3249" s="514"/>
      <c r="G3249" s="194" t="s">
        <v>1209</v>
      </c>
      <c r="H3249" s="195"/>
      <c r="I3249" s="195" t="s">
        <v>1253</v>
      </c>
      <c r="J3249" s="191" t="s">
        <v>1455</v>
      </c>
      <c r="K3249" s="196"/>
      <c r="L3249" s="196">
        <v>3419307.5</v>
      </c>
      <c r="N3249" s="130"/>
    </row>
    <row r="3250" spans="1:15" ht="11.25" customHeight="1" x14ac:dyDescent="0.2">
      <c r="A3250" s="197">
        <v>2024</v>
      </c>
      <c r="B3250" s="197">
        <v>1</v>
      </c>
      <c r="C3250" s="197">
        <v>31</v>
      </c>
      <c r="D3250" s="198">
        <f t="shared" si="248"/>
        <v>45322</v>
      </c>
      <c r="E3250" s="209">
        <f t="shared" si="247"/>
        <v>45322</v>
      </c>
      <c r="F3250" s="513" t="s">
        <v>1210</v>
      </c>
      <c r="G3250" s="200" t="s">
        <v>1209</v>
      </c>
      <c r="H3250" s="201"/>
      <c r="I3250" s="201" t="s">
        <v>1566</v>
      </c>
      <c r="J3250" s="197" t="s">
        <v>46</v>
      </c>
      <c r="K3250" s="202">
        <v>50000</v>
      </c>
      <c r="L3250" s="202"/>
    </row>
    <row r="3251" spans="1:15" ht="11.25" customHeight="1" x14ac:dyDescent="0.2">
      <c r="A3251" s="120">
        <v>2024</v>
      </c>
      <c r="B3251" s="120">
        <v>1</v>
      </c>
      <c r="C3251" s="120">
        <v>31</v>
      </c>
      <c r="D3251" s="208">
        <f t="shared" si="248"/>
        <v>45322</v>
      </c>
      <c r="E3251" s="209">
        <f t="shared" si="247"/>
        <v>45322</v>
      </c>
      <c r="F3251" s="515"/>
      <c r="G3251" s="132" t="s">
        <v>1209</v>
      </c>
      <c r="I3251" s="128" t="s">
        <v>1566</v>
      </c>
      <c r="J3251" s="120" t="s">
        <v>16</v>
      </c>
      <c r="K3251" s="207"/>
      <c r="L3251" s="207">
        <v>46540</v>
      </c>
    </row>
    <row r="3252" spans="1:15" ht="11.25" customHeight="1" x14ac:dyDescent="0.2">
      <c r="A3252" s="191">
        <v>2024</v>
      </c>
      <c r="B3252" s="191">
        <v>1</v>
      </c>
      <c r="C3252" s="191">
        <v>31</v>
      </c>
      <c r="D3252" s="192">
        <f t="shared" si="248"/>
        <v>45322</v>
      </c>
      <c r="E3252" s="193">
        <f t="shared" si="247"/>
        <v>45322</v>
      </c>
      <c r="F3252" s="514"/>
      <c r="G3252" s="194" t="s">
        <v>1209</v>
      </c>
      <c r="H3252" s="195"/>
      <c r="I3252" s="195" t="s">
        <v>1566</v>
      </c>
      <c r="J3252" s="191" t="s">
        <v>47</v>
      </c>
      <c r="K3252" s="196"/>
      <c r="L3252" s="196">
        <v>3460</v>
      </c>
    </row>
    <row r="3253" spans="1:15" ht="11.25" customHeight="1" x14ac:dyDescent="0.2">
      <c r="A3253" s="197">
        <v>2024</v>
      </c>
      <c r="B3253" s="197">
        <v>1</v>
      </c>
      <c r="C3253" s="197">
        <v>31</v>
      </c>
      <c r="D3253" s="198">
        <f t="shared" si="248"/>
        <v>45322</v>
      </c>
      <c r="E3253" s="209">
        <f t="shared" si="247"/>
        <v>45322</v>
      </c>
      <c r="F3253" s="513" t="s">
        <v>1210</v>
      </c>
      <c r="G3253" s="200" t="s">
        <v>1209</v>
      </c>
      <c r="H3253" s="201"/>
      <c r="I3253" s="201" t="s">
        <v>1566</v>
      </c>
      <c r="J3253" s="197" t="s">
        <v>46</v>
      </c>
      <c r="K3253" s="202">
        <v>250000</v>
      </c>
      <c r="L3253" s="202"/>
    </row>
    <row r="3254" spans="1:15" ht="11.25" customHeight="1" x14ac:dyDescent="0.2">
      <c r="A3254" s="120">
        <v>2024</v>
      </c>
      <c r="B3254" s="120">
        <v>1</v>
      </c>
      <c r="C3254" s="120">
        <v>31</v>
      </c>
      <c r="D3254" s="208">
        <f t="shared" si="248"/>
        <v>45322</v>
      </c>
      <c r="E3254" s="209">
        <f t="shared" si="247"/>
        <v>45322</v>
      </c>
      <c r="F3254" s="515"/>
      <c r="G3254" s="132" t="s">
        <v>1209</v>
      </c>
      <c r="I3254" s="128" t="s">
        <v>1566</v>
      </c>
      <c r="J3254" s="120" t="s">
        <v>16</v>
      </c>
      <c r="K3254" s="207"/>
      <c r="L3254" s="207">
        <v>232690</v>
      </c>
    </row>
    <row r="3255" spans="1:15" ht="11.25" customHeight="1" x14ac:dyDescent="0.2">
      <c r="A3255" s="191">
        <v>2024</v>
      </c>
      <c r="B3255" s="191">
        <v>1</v>
      </c>
      <c r="C3255" s="191">
        <v>31</v>
      </c>
      <c r="D3255" s="192">
        <f t="shared" si="248"/>
        <v>45322</v>
      </c>
      <c r="E3255" s="193">
        <f t="shared" si="247"/>
        <v>45322</v>
      </c>
      <c r="F3255" s="514"/>
      <c r="G3255" s="194" t="s">
        <v>1209</v>
      </c>
      <c r="H3255" s="195"/>
      <c r="I3255" s="195" t="s">
        <v>1566</v>
      </c>
      <c r="J3255" s="191" t="s">
        <v>47</v>
      </c>
      <c r="K3255" s="196"/>
      <c r="L3255" s="196">
        <v>17310</v>
      </c>
    </row>
    <row r="3256" spans="1:15" ht="11.25" customHeight="1" x14ac:dyDescent="0.2">
      <c r="A3256" s="197">
        <v>2024</v>
      </c>
      <c r="B3256" s="197">
        <v>1</v>
      </c>
      <c r="C3256" s="197">
        <v>31</v>
      </c>
      <c r="D3256" s="198">
        <f t="shared" si="248"/>
        <v>45322</v>
      </c>
      <c r="E3256" s="209">
        <f t="shared" ref="E3256:E3285" si="249">DATE(A3256,B3256,C3256)</f>
        <v>45322</v>
      </c>
      <c r="F3256" s="513" t="s">
        <v>1210</v>
      </c>
      <c r="G3256" s="200" t="s">
        <v>1209</v>
      </c>
      <c r="H3256" s="201"/>
      <c r="I3256" s="201" t="s">
        <v>1239</v>
      </c>
      <c r="J3256" s="197" t="s">
        <v>46</v>
      </c>
      <c r="K3256" s="202">
        <v>3867840</v>
      </c>
      <c r="L3256" s="202"/>
    </row>
    <row r="3257" spans="1:15" ht="11.25" customHeight="1" x14ac:dyDescent="0.2">
      <c r="A3257" s="120">
        <v>2024</v>
      </c>
      <c r="B3257" s="120">
        <v>1</v>
      </c>
      <c r="C3257" s="120">
        <v>31</v>
      </c>
      <c r="D3257" s="208">
        <f t="shared" si="248"/>
        <v>45322</v>
      </c>
      <c r="E3257" s="209">
        <f t="shared" si="249"/>
        <v>45322</v>
      </c>
      <c r="F3257" s="515"/>
      <c r="G3257" s="132" t="s">
        <v>1209</v>
      </c>
      <c r="I3257" s="128" t="s">
        <v>1239</v>
      </c>
      <c r="J3257" s="120" t="s">
        <v>16</v>
      </c>
      <c r="K3257" s="207"/>
      <c r="L3257" s="207">
        <v>3600000</v>
      </c>
    </row>
    <row r="3258" spans="1:15" ht="11.25" customHeight="1" x14ac:dyDescent="0.2">
      <c r="A3258" s="191">
        <v>2024</v>
      </c>
      <c r="B3258" s="191">
        <v>1</v>
      </c>
      <c r="C3258" s="191">
        <v>31</v>
      </c>
      <c r="D3258" s="192">
        <f t="shared" si="248"/>
        <v>45322</v>
      </c>
      <c r="E3258" s="193">
        <f t="shared" si="249"/>
        <v>45322</v>
      </c>
      <c r="F3258" s="514"/>
      <c r="G3258" s="194" t="s">
        <v>1209</v>
      </c>
      <c r="H3258" s="195"/>
      <c r="I3258" s="195" t="s">
        <v>1239</v>
      </c>
      <c r="J3258" s="191" t="s">
        <v>47</v>
      </c>
      <c r="K3258" s="196"/>
      <c r="L3258" s="196">
        <v>267840</v>
      </c>
    </row>
    <row r="3259" spans="1:15" ht="11.25" customHeight="1" x14ac:dyDescent="0.2">
      <c r="A3259" s="197">
        <v>2024</v>
      </c>
      <c r="B3259" s="197">
        <v>1</v>
      </c>
      <c r="C3259" s="197">
        <v>31</v>
      </c>
      <c r="D3259" s="198">
        <f t="shared" si="248"/>
        <v>45322</v>
      </c>
      <c r="E3259" s="290">
        <f t="shared" si="249"/>
        <v>45322</v>
      </c>
      <c r="F3259" s="513" t="s">
        <v>1517</v>
      </c>
      <c r="G3259" s="200" t="s">
        <v>1209</v>
      </c>
      <c r="H3259" s="201"/>
      <c r="I3259" s="201"/>
      <c r="J3259" s="197" t="s">
        <v>54</v>
      </c>
      <c r="K3259" s="202">
        <v>100</v>
      </c>
      <c r="L3259" s="202"/>
      <c r="M3259" s="251"/>
      <c r="N3259" s="251"/>
      <c r="O3259" s="251"/>
    </row>
    <row r="3260" spans="1:15" ht="11.25" customHeight="1" x14ac:dyDescent="0.2">
      <c r="A3260" s="191">
        <v>2024</v>
      </c>
      <c r="B3260" s="191">
        <v>1</v>
      </c>
      <c r="C3260" s="191">
        <v>31</v>
      </c>
      <c r="D3260" s="192">
        <f t="shared" si="248"/>
        <v>45322</v>
      </c>
      <c r="E3260" s="291">
        <f t="shared" si="249"/>
        <v>45322</v>
      </c>
      <c r="F3260" s="514"/>
      <c r="G3260" s="194" t="s">
        <v>1209</v>
      </c>
      <c r="H3260" s="195"/>
      <c r="I3260" s="195"/>
      <c r="J3260" s="191" t="s">
        <v>46</v>
      </c>
      <c r="K3260" s="196"/>
      <c r="L3260" s="196">
        <v>100</v>
      </c>
      <c r="M3260" s="251"/>
      <c r="N3260" s="251"/>
      <c r="O3260" s="251"/>
    </row>
    <row r="3261" spans="1:15" ht="11.25" customHeight="1" x14ac:dyDescent="0.2">
      <c r="A3261" s="197">
        <v>2024</v>
      </c>
      <c r="B3261" s="197">
        <v>1</v>
      </c>
      <c r="C3261" s="197">
        <v>31</v>
      </c>
      <c r="D3261" s="198">
        <f t="shared" si="248"/>
        <v>45322</v>
      </c>
      <c r="E3261" s="209">
        <f t="shared" si="249"/>
        <v>45322</v>
      </c>
      <c r="F3261" s="513" t="s">
        <v>1296</v>
      </c>
      <c r="G3261" s="200" t="s">
        <v>1209</v>
      </c>
      <c r="H3261" s="201"/>
      <c r="I3261" s="201"/>
      <c r="J3261" s="197" t="s">
        <v>46</v>
      </c>
      <c r="K3261" s="202">
        <v>20000</v>
      </c>
      <c r="L3261" s="202"/>
    </row>
    <row r="3262" spans="1:15" ht="11.25" customHeight="1" x14ac:dyDescent="0.2">
      <c r="A3262" s="120">
        <v>2024</v>
      </c>
      <c r="B3262" s="120">
        <v>1</v>
      </c>
      <c r="C3262" s="120">
        <v>31</v>
      </c>
      <c r="D3262" s="208">
        <f t="shared" si="248"/>
        <v>45322</v>
      </c>
      <c r="E3262" s="209">
        <f t="shared" si="249"/>
        <v>45322</v>
      </c>
      <c r="F3262" s="515"/>
      <c r="G3262" s="132" t="s">
        <v>1209</v>
      </c>
      <c r="J3262" s="120" t="s">
        <v>16</v>
      </c>
      <c r="K3262" s="207"/>
      <c r="L3262" s="207">
        <v>18620</v>
      </c>
    </row>
    <row r="3263" spans="1:15" ht="11.25" customHeight="1" x14ac:dyDescent="0.2">
      <c r="A3263" s="191">
        <v>2024</v>
      </c>
      <c r="B3263" s="191">
        <v>1</v>
      </c>
      <c r="C3263" s="191">
        <v>31</v>
      </c>
      <c r="D3263" s="192">
        <f t="shared" si="248"/>
        <v>45322</v>
      </c>
      <c r="E3263" s="193">
        <f t="shared" si="249"/>
        <v>45322</v>
      </c>
      <c r="F3263" s="514"/>
      <c r="G3263" s="194" t="s">
        <v>1209</v>
      </c>
      <c r="H3263" s="195"/>
      <c r="I3263" s="195"/>
      <c r="J3263" s="191" t="s">
        <v>47</v>
      </c>
      <c r="K3263" s="196"/>
      <c r="L3263" s="196">
        <v>1380</v>
      </c>
    </row>
    <row r="3264" spans="1:15" ht="11.25" customHeight="1" x14ac:dyDescent="0.2">
      <c r="A3264" s="197">
        <v>2024</v>
      </c>
      <c r="B3264" s="197">
        <v>1</v>
      </c>
      <c r="C3264" s="197">
        <v>31</v>
      </c>
      <c r="D3264" s="198">
        <f t="shared" si="248"/>
        <v>45322</v>
      </c>
      <c r="E3264" s="209">
        <f t="shared" si="249"/>
        <v>45322</v>
      </c>
      <c r="F3264" s="513" t="s">
        <v>1210</v>
      </c>
      <c r="G3264" s="200" t="s">
        <v>1209</v>
      </c>
      <c r="H3264" s="201"/>
      <c r="I3264" s="201" t="s">
        <v>355</v>
      </c>
      <c r="J3264" s="197" t="s">
        <v>46</v>
      </c>
      <c r="K3264" s="202">
        <v>500000</v>
      </c>
      <c r="L3264" s="202"/>
    </row>
    <row r="3265" spans="1:12" ht="11.25" customHeight="1" x14ac:dyDescent="0.2">
      <c r="A3265" s="120">
        <v>2024</v>
      </c>
      <c r="B3265" s="120">
        <v>1</v>
      </c>
      <c r="C3265" s="120">
        <v>31</v>
      </c>
      <c r="D3265" s="208">
        <f t="shared" si="248"/>
        <v>45322</v>
      </c>
      <c r="E3265" s="209">
        <f t="shared" si="249"/>
        <v>45322</v>
      </c>
      <c r="F3265" s="515"/>
      <c r="G3265" s="132" t="s">
        <v>1209</v>
      </c>
      <c r="I3265" s="128" t="s">
        <v>355</v>
      </c>
      <c r="J3265" s="120" t="s">
        <v>16</v>
      </c>
      <c r="K3265" s="207"/>
      <c r="L3265" s="207">
        <v>465380</v>
      </c>
    </row>
    <row r="3266" spans="1:12" ht="11.25" customHeight="1" x14ac:dyDescent="0.2">
      <c r="A3266" s="191">
        <v>2024</v>
      </c>
      <c r="B3266" s="191">
        <v>1</v>
      </c>
      <c r="C3266" s="191">
        <v>31</v>
      </c>
      <c r="D3266" s="192">
        <f t="shared" si="248"/>
        <v>45322</v>
      </c>
      <c r="E3266" s="193">
        <f t="shared" si="249"/>
        <v>45322</v>
      </c>
      <c r="F3266" s="514"/>
      <c r="G3266" s="194" t="s">
        <v>1209</v>
      </c>
      <c r="H3266" s="195"/>
      <c r="I3266" s="195" t="s">
        <v>355</v>
      </c>
      <c r="J3266" s="191" t="s">
        <v>47</v>
      </c>
      <c r="K3266" s="196"/>
      <c r="L3266" s="196">
        <v>34620</v>
      </c>
    </row>
    <row r="3267" spans="1:12" ht="11.25" customHeight="1" x14ac:dyDescent="0.2">
      <c r="A3267" s="210">
        <v>2024</v>
      </c>
      <c r="B3267" s="210">
        <v>2</v>
      </c>
      <c r="C3267" s="210">
        <v>1</v>
      </c>
      <c r="D3267" s="211">
        <f t="shared" si="248"/>
        <v>45323</v>
      </c>
      <c r="E3267" s="238">
        <f t="shared" si="249"/>
        <v>45323</v>
      </c>
      <c r="F3267" s="520" t="s">
        <v>1278</v>
      </c>
      <c r="G3267" s="213" t="s">
        <v>1245</v>
      </c>
      <c r="H3267" s="214"/>
      <c r="I3267" s="214" t="s">
        <v>1253</v>
      </c>
      <c r="J3267" s="210" t="s">
        <v>1529</v>
      </c>
      <c r="K3267" s="215">
        <v>7491.85</v>
      </c>
      <c r="L3267" s="215"/>
    </row>
    <row r="3268" spans="1:12" ht="11.25" customHeight="1" x14ac:dyDescent="0.2">
      <c r="A3268" s="216">
        <v>2024</v>
      </c>
      <c r="B3268" s="216">
        <v>2</v>
      </c>
      <c r="C3268" s="216">
        <v>1</v>
      </c>
      <c r="D3268" s="217">
        <f t="shared" si="248"/>
        <v>45323</v>
      </c>
      <c r="E3268" s="239">
        <f t="shared" si="249"/>
        <v>45323</v>
      </c>
      <c r="F3268" s="521"/>
      <c r="G3268" s="219" t="s">
        <v>1245</v>
      </c>
      <c r="H3268" s="220"/>
      <c r="I3268" s="220" t="s">
        <v>1253</v>
      </c>
      <c r="J3268" s="216" t="s">
        <v>1581</v>
      </c>
      <c r="K3268" s="221"/>
      <c r="L3268" s="221">
        <v>7491.85</v>
      </c>
    </row>
    <row r="3269" spans="1:12" ht="11.25" customHeight="1" x14ac:dyDescent="0.2">
      <c r="A3269" s="210">
        <v>2024</v>
      </c>
      <c r="B3269" s="210">
        <v>2</v>
      </c>
      <c r="C3269" s="210">
        <v>1</v>
      </c>
      <c r="D3269" s="211">
        <f t="shared" si="248"/>
        <v>45323</v>
      </c>
      <c r="E3269" s="238">
        <f t="shared" si="249"/>
        <v>45323</v>
      </c>
      <c r="F3269" s="520" t="s">
        <v>1285</v>
      </c>
      <c r="G3269" s="213" t="s">
        <v>1245</v>
      </c>
      <c r="H3269" s="214"/>
      <c r="I3269" s="214" t="s">
        <v>1253</v>
      </c>
      <c r="J3269" s="210" t="s">
        <v>1284</v>
      </c>
      <c r="K3269" s="215">
        <v>10328.365384615385</v>
      </c>
      <c r="L3269" s="215"/>
    </row>
    <row r="3270" spans="1:12" ht="11.25" customHeight="1" x14ac:dyDescent="0.2">
      <c r="A3270" s="242">
        <v>2024</v>
      </c>
      <c r="B3270" s="216">
        <v>2</v>
      </c>
      <c r="C3270" s="216">
        <v>1</v>
      </c>
      <c r="D3270" s="243">
        <f t="shared" si="248"/>
        <v>45323</v>
      </c>
      <c r="E3270" s="244">
        <f>DATE(A3270,B3270,C3270)</f>
        <v>45323</v>
      </c>
      <c r="F3270" s="524"/>
      <c r="G3270" s="245" t="s">
        <v>1245</v>
      </c>
      <c r="H3270" s="246"/>
      <c r="I3270" s="246"/>
      <c r="J3270" s="242" t="s">
        <v>1582</v>
      </c>
      <c r="K3270" s="247"/>
      <c r="L3270" s="247">
        <v>10328.365384615385</v>
      </c>
    </row>
    <row r="3271" spans="1:12" ht="11.25" customHeight="1" x14ac:dyDescent="0.2">
      <c r="A3271" s="210">
        <v>2024</v>
      </c>
      <c r="B3271" s="210">
        <v>2</v>
      </c>
      <c r="C3271" s="210">
        <v>1</v>
      </c>
      <c r="D3271" s="211">
        <f t="shared" si="248"/>
        <v>45323</v>
      </c>
      <c r="E3271" s="238">
        <f t="shared" si="249"/>
        <v>45323</v>
      </c>
      <c r="F3271" s="520" t="s">
        <v>1259</v>
      </c>
      <c r="G3271" s="213" t="s">
        <v>1245</v>
      </c>
      <c r="H3271" s="214"/>
      <c r="I3271" s="214" t="s">
        <v>1253</v>
      </c>
      <c r="J3271" s="210" t="s">
        <v>58</v>
      </c>
      <c r="K3271" s="215">
        <v>43757.38</v>
      </c>
      <c r="L3271" s="215"/>
    </row>
    <row r="3272" spans="1:12" ht="11.25" customHeight="1" x14ac:dyDescent="0.2">
      <c r="A3272" s="216">
        <v>2024</v>
      </c>
      <c r="B3272" s="216">
        <v>2</v>
      </c>
      <c r="C3272" s="216">
        <v>1</v>
      </c>
      <c r="D3272" s="217">
        <f t="shared" si="248"/>
        <v>45323</v>
      </c>
      <c r="E3272" s="239">
        <f t="shared" si="249"/>
        <v>45323</v>
      </c>
      <c r="F3272" s="521"/>
      <c r="G3272" s="219" t="s">
        <v>1245</v>
      </c>
      <c r="H3272" s="220"/>
      <c r="I3272" s="220" t="s">
        <v>1253</v>
      </c>
      <c r="J3272" s="216" t="s">
        <v>153</v>
      </c>
      <c r="K3272" s="221"/>
      <c r="L3272" s="221">
        <v>43757.38</v>
      </c>
    </row>
    <row r="3273" spans="1:12" ht="11.25" customHeight="1" x14ac:dyDescent="0.2">
      <c r="A3273" s="312">
        <v>2024</v>
      </c>
      <c r="B3273" s="312">
        <v>2</v>
      </c>
      <c r="C3273" s="312">
        <v>1</v>
      </c>
      <c r="D3273" s="313">
        <f t="shared" si="248"/>
        <v>45323</v>
      </c>
      <c r="E3273" s="314">
        <f t="shared" si="249"/>
        <v>45323</v>
      </c>
      <c r="F3273" s="522" t="s">
        <v>1477</v>
      </c>
      <c r="G3273" s="315" t="s">
        <v>1245</v>
      </c>
      <c r="H3273" s="316"/>
      <c r="I3273" s="316" t="s">
        <v>1253</v>
      </c>
      <c r="J3273" s="312" t="s">
        <v>1460</v>
      </c>
      <c r="K3273" s="317">
        <v>279050.09999999404</v>
      </c>
      <c r="L3273" s="317"/>
    </row>
    <row r="3274" spans="1:12" ht="11.25" customHeight="1" x14ac:dyDescent="0.2">
      <c r="A3274" s="318">
        <v>2024</v>
      </c>
      <c r="B3274" s="318">
        <v>2</v>
      </c>
      <c r="C3274" s="318">
        <v>1</v>
      </c>
      <c r="D3274" s="319">
        <f t="shared" si="248"/>
        <v>45323</v>
      </c>
      <c r="E3274" s="320">
        <f t="shared" si="249"/>
        <v>45323</v>
      </c>
      <c r="F3274" s="523"/>
      <c r="G3274" s="321" t="s">
        <v>1245</v>
      </c>
      <c r="H3274" s="322"/>
      <c r="I3274" s="322" t="s">
        <v>1253</v>
      </c>
      <c r="J3274" s="318" t="s">
        <v>1458</v>
      </c>
      <c r="K3274" s="323"/>
      <c r="L3274" s="323">
        <v>279050.09999999404</v>
      </c>
    </row>
    <row r="3275" spans="1:12" ht="11.25" customHeight="1" x14ac:dyDescent="0.2">
      <c r="A3275" s="222">
        <v>2024</v>
      </c>
      <c r="B3275" s="222">
        <v>2</v>
      </c>
      <c r="C3275" s="222">
        <v>1</v>
      </c>
      <c r="D3275" s="223">
        <f t="shared" si="248"/>
        <v>45323</v>
      </c>
      <c r="E3275" s="240">
        <f t="shared" si="249"/>
        <v>45323</v>
      </c>
      <c r="F3275" s="511" t="s">
        <v>1244</v>
      </c>
      <c r="G3275" s="225" t="s">
        <v>1245</v>
      </c>
      <c r="H3275" s="226"/>
      <c r="I3275" s="226" t="s">
        <v>1253</v>
      </c>
      <c r="J3275" s="222" t="s">
        <v>87</v>
      </c>
      <c r="K3275" s="227">
        <v>81828.831904761493</v>
      </c>
      <c r="L3275" s="227"/>
    </row>
    <row r="3276" spans="1:12" ht="11.25" customHeight="1" x14ac:dyDescent="0.2">
      <c r="A3276" s="228">
        <v>2024</v>
      </c>
      <c r="B3276" s="228">
        <v>2</v>
      </c>
      <c r="C3276" s="228">
        <v>1</v>
      </c>
      <c r="D3276" s="229">
        <f t="shared" si="248"/>
        <v>45323</v>
      </c>
      <c r="E3276" s="241">
        <f t="shared" si="249"/>
        <v>45323</v>
      </c>
      <c r="F3276" s="512"/>
      <c r="G3276" s="231" t="s">
        <v>1245</v>
      </c>
      <c r="H3276" s="232"/>
      <c r="I3276" s="232" t="s">
        <v>1253</v>
      </c>
      <c r="J3276" s="228" t="s">
        <v>72</v>
      </c>
      <c r="K3276" s="233"/>
      <c r="L3276" s="233">
        <v>81828.831904761493</v>
      </c>
    </row>
    <row r="3277" spans="1:12" ht="11.25" customHeight="1" x14ac:dyDescent="0.2">
      <c r="A3277" s="222">
        <v>2024</v>
      </c>
      <c r="B3277" s="222">
        <v>2</v>
      </c>
      <c r="C3277" s="222">
        <v>1</v>
      </c>
      <c r="D3277" s="223">
        <f t="shared" si="248"/>
        <v>45323</v>
      </c>
      <c r="E3277" s="240">
        <f t="shared" si="249"/>
        <v>45323</v>
      </c>
      <c r="F3277" s="511" t="s">
        <v>1246</v>
      </c>
      <c r="G3277" s="225" t="s">
        <v>1245</v>
      </c>
      <c r="H3277" s="226"/>
      <c r="I3277" s="226" t="s">
        <v>1253</v>
      </c>
      <c r="J3277" s="222" t="s">
        <v>75</v>
      </c>
      <c r="K3277" s="227">
        <v>3623.123846153846</v>
      </c>
      <c r="L3277" s="227"/>
    </row>
    <row r="3278" spans="1:12" ht="11.25" customHeight="1" x14ac:dyDescent="0.2">
      <c r="A3278" s="228">
        <v>2024</v>
      </c>
      <c r="B3278" s="228">
        <v>2</v>
      </c>
      <c r="C3278" s="228">
        <v>1</v>
      </c>
      <c r="D3278" s="229">
        <f t="shared" si="248"/>
        <v>45323</v>
      </c>
      <c r="E3278" s="241">
        <f t="shared" si="249"/>
        <v>45323</v>
      </c>
      <c r="F3278" s="512"/>
      <c r="G3278" s="231" t="s">
        <v>1245</v>
      </c>
      <c r="H3278" s="232"/>
      <c r="I3278" s="232" t="s">
        <v>1253</v>
      </c>
      <c r="J3278" s="228" t="s">
        <v>55</v>
      </c>
      <c r="K3278" s="233"/>
      <c r="L3278" s="233">
        <v>3623.123846153846</v>
      </c>
    </row>
    <row r="3279" spans="1:12" ht="11.25" customHeight="1" x14ac:dyDescent="0.2">
      <c r="A3279" s="222">
        <v>2024</v>
      </c>
      <c r="B3279" s="222">
        <v>2</v>
      </c>
      <c r="C3279" s="222">
        <v>1</v>
      </c>
      <c r="D3279" s="223">
        <f t="shared" si="248"/>
        <v>45323</v>
      </c>
      <c r="E3279" s="240">
        <f t="shared" si="249"/>
        <v>45323</v>
      </c>
      <c r="F3279" s="511" t="s">
        <v>1247</v>
      </c>
      <c r="G3279" s="225" t="s">
        <v>1245</v>
      </c>
      <c r="H3279" s="226"/>
      <c r="I3279" s="226" t="s">
        <v>1253</v>
      </c>
      <c r="J3279" s="222" t="s">
        <v>77</v>
      </c>
      <c r="K3279" s="227">
        <v>21621.228584865192</v>
      </c>
      <c r="L3279" s="227"/>
    </row>
    <row r="3280" spans="1:12" ht="11.25" customHeight="1" x14ac:dyDescent="0.2">
      <c r="A3280" s="228">
        <v>2024</v>
      </c>
      <c r="B3280" s="228">
        <v>2</v>
      </c>
      <c r="C3280" s="228">
        <v>1</v>
      </c>
      <c r="D3280" s="229">
        <f t="shared" si="248"/>
        <v>45323</v>
      </c>
      <c r="E3280" s="241">
        <f t="shared" si="249"/>
        <v>45323</v>
      </c>
      <c r="F3280" s="512"/>
      <c r="G3280" s="231" t="s">
        <v>1245</v>
      </c>
      <c r="H3280" s="232"/>
      <c r="I3280" s="232" t="s">
        <v>1253</v>
      </c>
      <c r="J3280" s="228" t="s">
        <v>41</v>
      </c>
      <c r="K3280" s="233"/>
      <c r="L3280" s="233">
        <v>21621.228584865192</v>
      </c>
    </row>
    <row r="3281" spans="1:15" ht="11.25" customHeight="1" x14ac:dyDescent="0.2">
      <c r="A3281" s="222">
        <v>2024</v>
      </c>
      <c r="B3281" s="222">
        <v>2</v>
      </c>
      <c r="C3281" s="222">
        <v>1</v>
      </c>
      <c r="D3281" s="223">
        <f t="shared" si="248"/>
        <v>45323</v>
      </c>
      <c r="E3281" s="240">
        <f t="shared" si="249"/>
        <v>45323</v>
      </c>
      <c r="F3281" s="511" t="s">
        <v>1248</v>
      </c>
      <c r="G3281" s="225" t="s">
        <v>1245</v>
      </c>
      <c r="H3281" s="226"/>
      <c r="I3281" s="226" t="s">
        <v>1253</v>
      </c>
      <c r="J3281" s="222" t="s">
        <v>80</v>
      </c>
      <c r="K3281" s="227">
        <v>2162.1228584865194</v>
      </c>
      <c r="L3281" s="227"/>
    </row>
    <row r="3282" spans="1:15" ht="11.25" customHeight="1" x14ac:dyDescent="0.2">
      <c r="A3282" s="228">
        <v>2024</v>
      </c>
      <c r="B3282" s="228">
        <v>2</v>
      </c>
      <c r="C3282" s="228">
        <v>1</v>
      </c>
      <c r="D3282" s="229">
        <f t="shared" si="248"/>
        <v>45323</v>
      </c>
      <c r="E3282" s="241">
        <f t="shared" si="249"/>
        <v>45323</v>
      </c>
      <c r="F3282" s="512"/>
      <c r="G3282" s="231" t="s">
        <v>1245</v>
      </c>
      <c r="H3282" s="232"/>
      <c r="I3282" s="232" t="s">
        <v>1253</v>
      </c>
      <c r="J3282" s="228" t="s">
        <v>42</v>
      </c>
      <c r="K3282" s="233"/>
      <c r="L3282" s="233">
        <v>2162.1228584865194</v>
      </c>
    </row>
    <row r="3283" spans="1:15" ht="11.25" customHeight="1" x14ac:dyDescent="0.2">
      <c r="A3283" s="197">
        <v>2024</v>
      </c>
      <c r="B3283" s="197">
        <v>2</v>
      </c>
      <c r="C3283" s="197">
        <v>4</v>
      </c>
      <c r="D3283" s="198">
        <f t="shared" si="248"/>
        <v>45326</v>
      </c>
      <c r="E3283" s="209">
        <f t="shared" si="249"/>
        <v>45326</v>
      </c>
      <c r="F3283" s="513" t="s">
        <v>1210</v>
      </c>
      <c r="G3283" s="200" t="s">
        <v>1209</v>
      </c>
      <c r="H3283" s="201"/>
      <c r="I3283" s="201" t="s">
        <v>387</v>
      </c>
      <c r="J3283" s="197" t="s">
        <v>46</v>
      </c>
      <c r="K3283" s="202">
        <v>10000</v>
      </c>
      <c r="L3283" s="202"/>
    </row>
    <row r="3284" spans="1:15" ht="11.25" customHeight="1" x14ac:dyDescent="0.2">
      <c r="A3284" s="120">
        <v>2024</v>
      </c>
      <c r="B3284" s="120">
        <v>2</v>
      </c>
      <c r="C3284" s="120">
        <v>4</v>
      </c>
      <c r="D3284" s="208">
        <f t="shared" si="248"/>
        <v>45326</v>
      </c>
      <c r="E3284" s="209">
        <f t="shared" si="249"/>
        <v>45326</v>
      </c>
      <c r="F3284" s="515"/>
      <c r="G3284" s="132" t="s">
        <v>1209</v>
      </c>
      <c r="I3284" s="128" t="s">
        <v>387</v>
      </c>
      <c r="J3284" s="120" t="s">
        <v>16</v>
      </c>
      <c r="K3284" s="207"/>
      <c r="L3284" s="207">
        <v>9290</v>
      </c>
    </row>
    <row r="3285" spans="1:15" ht="11.25" customHeight="1" x14ac:dyDescent="0.2">
      <c r="A3285" s="191">
        <v>2024</v>
      </c>
      <c r="B3285" s="191">
        <v>2</v>
      </c>
      <c r="C3285" s="191">
        <v>4</v>
      </c>
      <c r="D3285" s="192">
        <f t="shared" si="248"/>
        <v>45326</v>
      </c>
      <c r="E3285" s="193">
        <f t="shared" si="249"/>
        <v>45326</v>
      </c>
      <c r="F3285" s="514"/>
      <c r="G3285" s="194" t="s">
        <v>1209</v>
      </c>
      <c r="H3285" s="195"/>
      <c r="I3285" s="195" t="s">
        <v>387</v>
      </c>
      <c r="J3285" s="191" t="s">
        <v>47</v>
      </c>
      <c r="K3285" s="196"/>
      <c r="L3285" s="196">
        <v>710</v>
      </c>
    </row>
    <row r="3286" spans="1:15" ht="11.25" customHeight="1" x14ac:dyDescent="0.2">
      <c r="A3286" s="197">
        <v>2024</v>
      </c>
      <c r="B3286" s="197">
        <v>2</v>
      </c>
      <c r="C3286" s="197">
        <v>4</v>
      </c>
      <c r="D3286" s="198">
        <f t="shared" si="248"/>
        <v>45326</v>
      </c>
      <c r="E3286" s="209">
        <f t="shared" ref="E3286:E3308" si="250">DATE(A3286,B3286,C3286)</f>
        <v>45326</v>
      </c>
      <c r="F3286" s="513" t="s">
        <v>1210</v>
      </c>
      <c r="G3286" s="200" t="s">
        <v>1209</v>
      </c>
      <c r="H3286" s="201"/>
      <c r="I3286" s="201" t="s">
        <v>351</v>
      </c>
      <c r="J3286" s="197" t="s">
        <v>46</v>
      </c>
      <c r="K3286" s="202">
        <v>800000</v>
      </c>
      <c r="L3286" s="202"/>
    </row>
    <row r="3287" spans="1:15" ht="11.25" customHeight="1" x14ac:dyDescent="0.2">
      <c r="A3287" s="120">
        <v>2024</v>
      </c>
      <c r="B3287" s="120">
        <v>2</v>
      </c>
      <c r="C3287" s="120">
        <v>4</v>
      </c>
      <c r="D3287" s="208">
        <f t="shared" si="248"/>
        <v>45326</v>
      </c>
      <c r="E3287" s="209">
        <f t="shared" si="250"/>
        <v>45326</v>
      </c>
      <c r="F3287" s="515"/>
      <c r="G3287" s="132" t="s">
        <v>1209</v>
      </c>
      <c r="I3287" s="128" t="s">
        <v>351</v>
      </c>
      <c r="J3287" s="120" t="s">
        <v>16</v>
      </c>
      <c r="K3287" s="207"/>
      <c r="L3287" s="207">
        <v>743150</v>
      </c>
    </row>
    <row r="3288" spans="1:15" ht="11.25" customHeight="1" x14ac:dyDescent="0.2">
      <c r="A3288" s="191">
        <v>2024</v>
      </c>
      <c r="B3288" s="191">
        <v>2</v>
      </c>
      <c r="C3288" s="191">
        <v>4</v>
      </c>
      <c r="D3288" s="192">
        <f t="shared" si="248"/>
        <v>45326</v>
      </c>
      <c r="E3288" s="193">
        <f t="shared" si="250"/>
        <v>45326</v>
      </c>
      <c r="F3288" s="514"/>
      <c r="G3288" s="194" t="s">
        <v>1209</v>
      </c>
      <c r="H3288" s="195"/>
      <c r="I3288" s="195" t="s">
        <v>351</v>
      </c>
      <c r="J3288" s="191" t="s">
        <v>47</v>
      </c>
      <c r="K3288" s="196"/>
      <c r="L3288" s="196">
        <v>56850</v>
      </c>
    </row>
    <row r="3289" spans="1:15" ht="11.25" customHeight="1" x14ac:dyDescent="0.2">
      <c r="A3289" s="197">
        <v>2024</v>
      </c>
      <c r="B3289" s="197">
        <v>2</v>
      </c>
      <c r="C3289" s="197">
        <v>5</v>
      </c>
      <c r="D3289" s="198">
        <f t="shared" si="248"/>
        <v>45327</v>
      </c>
      <c r="E3289" s="209">
        <f t="shared" si="250"/>
        <v>45327</v>
      </c>
      <c r="F3289" s="513" t="s">
        <v>1210</v>
      </c>
      <c r="G3289" s="200" t="s">
        <v>1209</v>
      </c>
      <c r="H3289" s="201"/>
      <c r="I3289" s="201" t="s">
        <v>424</v>
      </c>
      <c r="J3289" s="197" t="s">
        <v>46</v>
      </c>
      <c r="K3289" s="202">
        <v>15000</v>
      </c>
      <c r="L3289" s="202"/>
    </row>
    <row r="3290" spans="1:15" ht="11.25" customHeight="1" x14ac:dyDescent="0.2">
      <c r="A3290" s="120">
        <v>2024</v>
      </c>
      <c r="B3290" s="120">
        <v>2</v>
      </c>
      <c r="C3290" s="120">
        <v>5</v>
      </c>
      <c r="D3290" s="208">
        <f t="shared" si="248"/>
        <v>45327</v>
      </c>
      <c r="E3290" s="209">
        <f t="shared" si="250"/>
        <v>45327</v>
      </c>
      <c r="F3290" s="515"/>
      <c r="G3290" s="132" t="s">
        <v>1209</v>
      </c>
      <c r="I3290" s="128" t="s">
        <v>424</v>
      </c>
      <c r="J3290" s="120" t="s">
        <v>16</v>
      </c>
      <c r="K3290" s="207"/>
      <c r="L3290" s="207">
        <v>13930</v>
      </c>
    </row>
    <row r="3291" spans="1:15" ht="11.25" customHeight="1" x14ac:dyDescent="0.2">
      <c r="A3291" s="191">
        <v>2024</v>
      </c>
      <c r="B3291" s="191">
        <v>2</v>
      </c>
      <c r="C3291" s="191">
        <v>5</v>
      </c>
      <c r="D3291" s="192">
        <f t="shared" si="248"/>
        <v>45327</v>
      </c>
      <c r="E3291" s="193">
        <f t="shared" si="250"/>
        <v>45327</v>
      </c>
      <c r="F3291" s="514"/>
      <c r="G3291" s="194" t="s">
        <v>1209</v>
      </c>
      <c r="H3291" s="195"/>
      <c r="I3291" s="195" t="s">
        <v>424</v>
      </c>
      <c r="J3291" s="191" t="s">
        <v>47</v>
      </c>
      <c r="K3291" s="196"/>
      <c r="L3291" s="196">
        <v>1070</v>
      </c>
    </row>
    <row r="3292" spans="1:15" ht="11.25" customHeight="1" x14ac:dyDescent="0.2">
      <c r="A3292" s="197">
        <v>2024</v>
      </c>
      <c r="B3292" s="197">
        <v>2</v>
      </c>
      <c r="C3292" s="197">
        <v>5</v>
      </c>
      <c r="D3292" s="198">
        <f t="shared" si="248"/>
        <v>45327</v>
      </c>
      <c r="E3292" s="209">
        <f t="shared" si="250"/>
        <v>45327</v>
      </c>
      <c r="F3292" s="513" t="s">
        <v>1296</v>
      </c>
      <c r="G3292" s="200" t="s">
        <v>1209</v>
      </c>
      <c r="H3292" s="201"/>
      <c r="I3292" s="201"/>
      <c r="J3292" s="197" t="s">
        <v>46</v>
      </c>
      <c r="K3292" s="202">
        <v>205000</v>
      </c>
      <c r="L3292" s="202"/>
    </row>
    <row r="3293" spans="1:15" ht="11.25" customHeight="1" x14ac:dyDescent="0.2">
      <c r="A3293" s="120">
        <v>2024</v>
      </c>
      <c r="B3293" s="120">
        <v>2</v>
      </c>
      <c r="C3293" s="120">
        <v>5</v>
      </c>
      <c r="D3293" s="208">
        <f t="shared" si="248"/>
        <v>45327</v>
      </c>
      <c r="E3293" s="209">
        <f t="shared" si="250"/>
        <v>45327</v>
      </c>
      <c r="F3293" s="515"/>
      <c r="G3293" s="132" t="s">
        <v>1209</v>
      </c>
      <c r="J3293" s="120" t="s">
        <v>16</v>
      </c>
      <c r="K3293" s="207"/>
      <c r="L3293" s="207">
        <v>190430</v>
      </c>
    </row>
    <row r="3294" spans="1:15" ht="11.25" customHeight="1" x14ac:dyDescent="0.2">
      <c r="A3294" s="191">
        <v>2024</v>
      </c>
      <c r="B3294" s="191">
        <v>2</v>
      </c>
      <c r="C3294" s="191">
        <v>5</v>
      </c>
      <c r="D3294" s="192">
        <f t="shared" si="248"/>
        <v>45327</v>
      </c>
      <c r="E3294" s="193">
        <f t="shared" si="250"/>
        <v>45327</v>
      </c>
      <c r="F3294" s="514"/>
      <c r="G3294" s="194" t="s">
        <v>1209</v>
      </c>
      <c r="H3294" s="195"/>
      <c r="I3294" s="195"/>
      <c r="J3294" s="191" t="s">
        <v>47</v>
      </c>
      <c r="K3294" s="196"/>
      <c r="L3294" s="196">
        <v>14570</v>
      </c>
    </row>
    <row r="3295" spans="1:15" ht="11.25" customHeight="1" x14ac:dyDescent="0.2">
      <c r="A3295" s="197">
        <v>2024</v>
      </c>
      <c r="B3295" s="197">
        <v>2</v>
      </c>
      <c r="C3295" s="197">
        <v>6</v>
      </c>
      <c r="D3295" s="198">
        <f t="shared" si="248"/>
        <v>45328</v>
      </c>
      <c r="E3295" s="290">
        <f t="shared" si="250"/>
        <v>45328</v>
      </c>
      <c r="F3295" s="513" t="s">
        <v>1563</v>
      </c>
      <c r="G3295" s="200" t="s">
        <v>1209</v>
      </c>
      <c r="H3295" s="201"/>
      <c r="I3295" s="201"/>
      <c r="J3295" s="197" t="s">
        <v>54</v>
      </c>
      <c r="K3295" s="202">
        <v>2185</v>
      </c>
      <c r="L3295" s="202"/>
      <c r="M3295" s="251"/>
      <c r="N3295" s="251"/>
      <c r="O3295" s="251"/>
    </row>
    <row r="3296" spans="1:15" ht="11.25" customHeight="1" x14ac:dyDescent="0.2">
      <c r="A3296" s="191">
        <v>2024</v>
      </c>
      <c r="B3296" s="191">
        <v>2</v>
      </c>
      <c r="C3296" s="191">
        <v>6</v>
      </c>
      <c r="D3296" s="192">
        <f t="shared" si="248"/>
        <v>45328</v>
      </c>
      <c r="E3296" s="291">
        <f t="shared" si="250"/>
        <v>45328</v>
      </c>
      <c r="F3296" s="514"/>
      <c r="G3296" s="194" t="s">
        <v>1209</v>
      </c>
      <c r="H3296" s="195"/>
      <c r="I3296" s="195"/>
      <c r="J3296" s="191" t="s">
        <v>46</v>
      </c>
      <c r="K3296" s="196"/>
      <c r="L3296" s="196">
        <v>2185</v>
      </c>
      <c r="M3296" s="251"/>
      <c r="N3296" s="251"/>
      <c r="O3296" s="251"/>
    </row>
    <row r="3297" spans="1:15" ht="11.25" customHeight="1" x14ac:dyDescent="0.2">
      <c r="A3297" s="197">
        <v>2024</v>
      </c>
      <c r="B3297" s="197">
        <v>2</v>
      </c>
      <c r="C3297" s="197">
        <v>8</v>
      </c>
      <c r="D3297" s="198">
        <f t="shared" si="248"/>
        <v>45330</v>
      </c>
      <c r="E3297" s="209">
        <f t="shared" si="250"/>
        <v>45330</v>
      </c>
      <c r="F3297" s="513" t="s">
        <v>1210</v>
      </c>
      <c r="G3297" s="200" t="s">
        <v>1209</v>
      </c>
      <c r="H3297" s="201"/>
      <c r="I3297" s="201" t="s">
        <v>1566</v>
      </c>
      <c r="J3297" s="197" t="s">
        <v>46</v>
      </c>
      <c r="K3297" s="202">
        <v>200000</v>
      </c>
      <c r="L3297" s="202"/>
    </row>
    <row r="3298" spans="1:15" ht="11.25" customHeight="1" x14ac:dyDescent="0.2">
      <c r="A3298" s="120">
        <v>2024</v>
      </c>
      <c r="B3298" s="120">
        <v>2</v>
      </c>
      <c r="C3298" s="120">
        <v>8</v>
      </c>
      <c r="D3298" s="208">
        <f t="shared" si="248"/>
        <v>45330</v>
      </c>
      <c r="E3298" s="209">
        <f t="shared" si="250"/>
        <v>45330</v>
      </c>
      <c r="F3298" s="515"/>
      <c r="G3298" s="132" t="s">
        <v>1209</v>
      </c>
      <c r="I3298" s="128" t="s">
        <v>1566</v>
      </c>
      <c r="J3298" s="120" t="s">
        <v>16</v>
      </c>
      <c r="K3298" s="207"/>
      <c r="L3298" s="207">
        <v>185790</v>
      </c>
    </row>
    <row r="3299" spans="1:15" ht="11.25" customHeight="1" x14ac:dyDescent="0.2">
      <c r="A3299" s="191">
        <v>2024</v>
      </c>
      <c r="B3299" s="191">
        <v>2</v>
      </c>
      <c r="C3299" s="191">
        <v>8</v>
      </c>
      <c r="D3299" s="192">
        <f t="shared" si="248"/>
        <v>45330</v>
      </c>
      <c r="E3299" s="193">
        <f t="shared" si="250"/>
        <v>45330</v>
      </c>
      <c r="F3299" s="514"/>
      <c r="G3299" s="194" t="s">
        <v>1209</v>
      </c>
      <c r="H3299" s="195"/>
      <c r="I3299" s="195" t="s">
        <v>1566</v>
      </c>
      <c r="J3299" s="191" t="s">
        <v>47</v>
      </c>
      <c r="K3299" s="196"/>
      <c r="L3299" s="196">
        <v>14210</v>
      </c>
    </row>
    <row r="3300" spans="1:15" ht="11.25" customHeight="1" x14ac:dyDescent="0.2">
      <c r="A3300" s="197">
        <v>2024</v>
      </c>
      <c r="B3300" s="197">
        <v>2</v>
      </c>
      <c r="C3300" s="197">
        <v>8</v>
      </c>
      <c r="D3300" s="198">
        <f t="shared" si="248"/>
        <v>45330</v>
      </c>
      <c r="E3300" s="209">
        <f t="shared" si="250"/>
        <v>45330</v>
      </c>
      <c r="F3300" s="513" t="s">
        <v>1210</v>
      </c>
      <c r="G3300" s="200" t="s">
        <v>1209</v>
      </c>
      <c r="H3300" s="201"/>
      <c r="I3300" s="201" t="s">
        <v>387</v>
      </c>
      <c r="J3300" s="197" t="s">
        <v>46</v>
      </c>
      <c r="K3300" s="202">
        <v>11.45</v>
      </c>
      <c r="L3300" s="202"/>
    </row>
    <row r="3301" spans="1:15" ht="11.25" customHeight="1" x14ac:dyDescent="0.2">
      <c r="A3301" s="120">
        <v>2024</v>
      </c>
      <c r="B3301" s="120">
        <v>2</v>
      </c>
      <c r="C3301" s="120">
        <v>8</v>
      </c>
      <c r="D3301" s="208">
        <f t="shared" si="248"/>
        <v>45330</v>
      </c>
      <c r="E3301" s="209">
        <f t="shared" si="250"/>
        <v>45330</v>
      </c>
      <c r="F3301" s="515"/>
      <c r="G3301" s="132" t="s">
        <v>1209</v>
      </c>
      <c r="I3301" s="128" t="s">
        <v>387</v>
      </c>
      <c r="J3301" s="120" t="s">
        <v>16</v>
      </c>
      <c r="K3301" s="207"/>
      <c r="L3301" s="207">
        <v>10</v>
      </c>
    </row>
    <row r="3302" spans="1:15" ht="11.25" customHeight="1" x14ac:dyDescent="0.2">
      <c r="A3302" s="191">
        <v>2024</v>
      </c>
      <c r="B3302" s="191">
        <v>2</v>
      </c>
      <c r="C3302" s="191">
        <v>8</v>
      </c>
      <c r="D3302" s="192">
        <f t="shared" si="248"/>
        <v>45330</v>
      </c>
      <c r="E3302" s="193">
        <f t="shared" si="250"/>
        <v>45330</v>
      </c>
      <c r="F3302" s="514"/>
      <c r="G3302" s="194" t="s">
        <v>1209</v>
      </c>
      <c r="H3302" s="195"/>
      <c r="I3302" s="195" t="s">
        <v>387</v>
      </c>
      <c r="J3302" s="191" t="s">
        <v>47</v>
      </c>
      <c r="K3302" s="196"/>
      <c r="L3302" s="196">
        <v>1.45</v>
      </c>
    </row>
    <row r="3303" spans="1:15" ht="11.25" customHeight="1" x14ac:dyDescent="0.2">
      <c r="A3303" s="197">
        <v>2024</v>
      </c>
      <c r="B3303" s="197">
        <v>2</v>
      </c>
      <c r="C3303" s="197">
        <v>8</v>
      </c>
      <c r="D3303" s="198">
        <f t="shared" si="248"/>
        <v>45330</v>
      </c>
      <c r="E3303" s="209">
        <f t="shared" si="250"/>
        <v>45330</v>
      </c>
      <c r="F3303" s="513" t="s">
        <v>1210</v>
      </c>
      <c r="G3303" s="200" t="s">
        <v>1209</v>
      </c>
      <c r="H3303" s="201"/>
      <c r="I3303" s="201" t="s">
        <v>1137</v>
      </c>
      <c r="J3303" s="197" t="s">
        <v>46</v>
      </c>
      <c r="K3303" s="202">
        <v>193.55</v>
      </c>
      <c r="L3303" s="202"/>
    </row>
    <row r="3304" spans="1:15" ht="11.25" customHeight="1" x14ac:dyDescent="0.2">
      <c r="A3304" s="120">
        <v>2024</v>
      </c>
      <c r="B3304" s="120">
        <v>2</v>
      </c>
      <c r="C3304" s="120">
        <v>8</v>
      </c>
      <c r="D3304" s="208">
        <f t="shared" ref="D3304:D3365" si="251">DATE(A3304,B3304,C3304)</f>
        <v>45330</v>
      </c>
      <c r="E3304" s="209">
        <f t="shared" si="250"/>
        <v>45330</v>
      </c>
      <c r="F3304" s="515"/>
      <c r="G3304" s="132" t="s">
        <v>1209</v>
      </c>
      <c r="I3304" s="128" t="s">
        <v>1137</v>
      </c>
      <c r="J3304" s="120" t="s">
        <v>16</v>
      </c>
      <c r="K3304" s="207"/>
      <c r="L3304" s="207">
        <v>180</v>
      </c>
    </row>
    <row r="3305" spans="1:15" ht="11.25" customHeight="1" x14ac:dyDescent="0.2">
      <c r="A3305" s="191">
        <v>2024</v>
      </c>
      <c r="B3305" s="191">
        <v>2</v>
      </c>
      <c r="C3305" s="191">
        <v>8</v>
      </c>
      <c r="D3305" s="192">
        <f t="shared" si="251"/>
        <v>45330</v>
      </c>
      <c r="E3305" s="193">
        <f t="shared" si="250"/>
        <v>45330</v>
      </c>
      <c r="F3305" s="514"/>
      <c r="G3305" s="194" t="s">
        <v>1209</v>
      </c>
      <c r="H3305" s="195"/>
      <c r="I3305" s="195" t="s">
        <v>1137</v>
      </c>
      <c r="J3305" s="191" t="s">
        <v>47</v>
      </c>
      <c r="K3305" s="196"/>
      <c r="L3305" s="196">
        <v>13.550000000000011</v>
      </c>
    </row>
    <row r="3306" spans="1:15" ht="11.25" customHeight="1" x14ac:dyDescent="0.2">
      <c r="A3306" s="197">
        <v>2024</v>
      </c>
      <c r="B3306" s="197">
        <v>2</v>
      </c>
      <c r="C3306" s="197">
        <v>8</v>
      </c>
      <c r="D3306" s="198">
        <f t="shared" si="251"/>
        <v>45330</v>
      </c>
      <c r="E3306" s="209">
        <f t="shared" si="250"/>
        <v>45330</v>
      </c>
      <c r="F3306" s="513" t="s">
        <v>1210</v>
      </c>
      <c r="G3306" s="200" t="s">
        <v>1209</v>
      </c>
      <c r="H3306" s="201"/>
      <c r="I3306" s="201" t="s">
        <v>524</v>
      </c>
      <c r="J3306" s="197" t="s">
        <v>46</v>
      </c>
      <c r="K3306" s="202">
        <v>400000</v>
      </c>
      <c r="L3306" s="202"/>
    </row>
    <row r="3307" spans="1:15" ht="11.25" customHeight="1" x14ac:dyDescent="0.2">
      <c r="A3307" s="120">
        <v>2024</v>
      </c>
      <c r="B3307" s="120">
        <v>2</v>
      </c>
      <c r="C3307" s="120">
        <v>8</v>
      </c>
      <c r="D3307" s="208">
        <f t="shared" si="251"/>
        <v>45330</v>
      </c>
      <c r="E3307" s="209">
        <f t="shared" si="250"/>
        <v>45330</v>
      </c>
      <c r="F3307" s="515"/>
      <c r="G3307" s="132" t="s">
        <v>1209</v>
      </c>
      <c r="I3307" s="128" t="s">
        <v>524</v>
      </c>
      <c r="J3307" s="120" t="s">
        <v>16</v>
      </c>
      <c r="K3307" s="207"/>
      <c r="L3307" s="207">
        <v>371570</v>
      </c>
    </row>
    <row r="3308" spans="1:15" ht="11.25" customHeight="1" x14ac:dyDescent="0.2">
      <c r="A3308" s="191">
        <v>2024</v>
      </c>
      <c r="B3308" s="191">
        <v>2</v>
      </c>
      <c r="C3308" s="191">
        <v>8</v>
      </c>
      <c r="D3308" s="192">
        <f t="shared" si="251"/>
        <v>45330</v>
      </c>
      <c r="E3308" s="193">
        <f t="shared" si="250"/>
        <v>45330</v>
      </c>
      <c r="F3308" s="514"/>
      <c r="G3308" s="194" t="s">
        <v>1209</v>
      </c>
      <c r="H3308" s="195"/>
      <c r="I3308" s="195" t="s">
        <v>524</v>
      </c>
      <c r="J3308" s="191" t="s">
        <v>47</v>
      </c>
      <c r="K3308" s="196"/>
      <c r="L3308" s="196">
        <v>28430</v>
      </c>
    </row>
    <row r="3309" spans="1:15" ht="11.25" customHeight="1" x14ac:dyDescent="0.2">
      <c r="A3309" s="197">
        <v>2024</v>
      </c>
      <c r="B3309" s="197">
        <v>2</v>
      </c>
      <c r="C3309" s="197">
        <v>8</v>
      </c>
      <c r="D3309" s="198">
        <f t="shared" si="251"/>
        <v>45330</v>
      </c>
      <c r="E3309" s="209">
        <f t="shared" ref="E3309:E3335" si="252">DATE(A3309,B3309,C3309)</f>
        <v>45330</v>
      </c>
      <c r="F3309" s="513" t="s">
        <v>1210</v>
      </c>
      <c r="G3309" s="200" t="s">
        <v>1209</v>
      </c>
      <c r="H3309" s="201"/>
      <c r="I3309" s="201" t="s">
        <v>355</v>
      </c>
      <c r="J3309" s="197" t="s">
        <v>46</v>
      </c>
      <c r="K3309" s="202">
        <v>100000</v>
      </c>
      <c r="L3309" s="202"/>
    </row>
    <row r="3310" spans="1:15" ht="11.25" customHeight="1" x14ac:dyDescent="0.2">
      <c r="A3310" s="120">
        <v>2024</v>
      </c>
      <c r="B3310" s="120">
        <v>2</v>
      </c>
      <c r="C3310" s="120">
        <v>8</v>
      </c>
      <c r="D3310" s="208">
        <f t="shared" si="251"/>
        <v>45330</v>
      </c>
      <c r="E3310" s="209">
        <f t="shared" si="252"/>
        <v>45330</v>
      </c>
      <c r="F3310" s="515"/>
      <c r="G3310" s="132" t="s">
        <v>1209</v>
      </c>
      <c r="I3310" s="128" t="s">
        <v>355</v>
      </c>
      <c r="J3310" s="120" t="s">
        <v>16</v>
      </c>
      <c r="K3310" s="207"/>
      <c r="L3310" s="207">
        <v>92890</v>
      </c>
    </row>
    <row r="3311" spans="1:15" ht="11.25" customHeight="1" x14ac:dyDescent="0.2">
      <c r="A3311" s="191">
        <v>2024</v>
      </c>
      <c r="B3311" s="191">
        <v>2</v>
      </c>
      <c r="C3311" s="191">
        <v>8</v>
      </c>
      <c r="D3311" s="192">
        <f t="shared" si="251"/>
        <v>45330</v>
      </c>
      <c r="E3311" s="193">
        <f t="shared" si="252"/>
        <v>45330</v>
      </c>
      <c r="F3311" s="514"/>
      <c r="G3311" s="194" t="s">
        <v>1209</v>
      </c>
      <c r="H3311" s="195"/>
      <c r="I3311" s="195" t="s">
        <v>355</v>
      </c>
      <c r="J3311" s="191" t="s">
        <v>47</v>
      </c>
      <c r="K3311" s="196"/>
      <c r="L3311" s="196">
        <v>7110</v>
      </c>
    </row>
    <row r="3312" spans="1:15" ht="11.25" customHeight="1" x14ac:dyDescent="0.2">
      <c r="A3312" s="197">
        <v>2024</v>
      </c>
      <c r="B3312" s="197">
        <v>2</v>
      </c>
      <c r="C3312" s="197">
        <v>8</v>
      </c>
      <c r="D3312" s="198">
        <f t="shared" si="251"/>
        <v>45330</v>
      </c>
      <c r="E3312" s="290">
        <f t="shared" si="252"/>
        <v>45330</v>
      </c>
      <c r="F3312" s="513" t="s">
        <v>1514</v>
      </c>
      <c r="G3312" s="200" t="s">
        <v>1209</v>
      </c>
      <c r="H3312" s="201"/>
      <c r="I3312" s="201"/>
      <c r="J3312" s="197" t="s">
        <v>54</v>
      </c>
      <c r="K3312" s="202">
        <v>10</v>
      </c>
      <c r="L3312" s="202"/>
      <c r="M3312" s="251"/>
      <c r="N3312" s="251"/>
      <c r="O3312" s="251"/>
    </row>
    <row r="3313" spans="1:15" ht="11.25" customHeight="1" x14ac:dyDescent="0.2">
      <c r="A3313" s="191">
        <v>2024</v>
      </c>
      <c r="B3313" s="191">
        <v>2</v>
      </c>
      <c r="C3313" s="191">
        <v>8</v>
      </c>
      <c r="D3313" s="192">
        <f t="shared" si="251"/>
        <v>45330</v>
      </c>
      <c r="E3313" s="291">
        <f t="shared" si="252"/>
        <v>45330</v>
      </c>
      <c r="F3313" s="514"/>
      <c r="G3313" s="194" t="s">
        <v>1209</v>
      </c>
      <c r="H3313" s="195"/>
      <c r="I3313" s="195"/>
      <c r="J3313" s="191" t="s">
        <v>46</v>
      </c>
      <c r="K3313" s="196"/>
      <c r="L3313" s="196">
        <v>10</v>
      </c>
      <c r="M3313" s="251"/>
      <c r="N3313" s="251"/>
      <c r="O3313" s="251"/>
    </row>
    <row r="3314" spans="1:15" ht="11.25" customHeight="1" x14ac:dyDescent="0.2">
      <c r="A3314" s="210">
        <v>2024</v>
      </c>
      <c r="B3314" s="210">
        <v>2</v>
      </c>
      <c r="C3314" s="210">
        <v>8</v>
      </c>
      <c r="D3314" s="211">
        <f t="shared" si="251"/>
        <v>45330</v>
      </c>
      <c r="E3314" s="238">
        <f t="shared" si="252"/>
        <v>45330</v>
      </c>
      <c r="F3314" s="520" t="s">
        <v>1278</v>
      </c>
      <c r="G3314" s="213" t="s">
        <v>1245</v>
      </c>
      <c r="H3314" s="214"/>
      <c r="I3314" s="214" t="s">
        <v>1253</v>
      </c>
      <c r="J3314" s="210" t="s">
        <v>1529</v>
      </c>
      <c r="K3314" s="215">
        <v>7491.85</v>
      </c>
      <c r="L3314" s="215"/>
    </row>
    <row r="3315" spans="1:15" ht="11.25" customHeight="1" x14ac:dyDescent="0.2">
      <c r="A3315" s="216">
        <v>2024</v>
      </c>
      <c r="B3315" s="216">
        <v>2</v>
      </c>
      <c r="C3315" s="216">
        <v>8</v>
      </c>
      <c r="D3315" s="217">
        <f t="shared" si="251"/>
        <v>45330</v>
      </c>
      <c r="E3315" s="239">
        <f t="shared" si="252"/>
        <v>45330</v>
      </c>
      <c r="F3315" s="521"/>
      <c r="G3315" s="219" t="s">
        <v>1245</v>
      </c>
      <c r="H3315" s="220"/>
      <c r="I3315" s="220" t="s">
        <v>1253</v>
      </c>
      <c r="J3315" s="216" t="s">
        <v>1581</v>
      </c>
      <c r="K3315" s="221"/>
      <c r="L3315" s="221">
        <v>7491.85</v>
      </c>
    </row>
    <row r="3316" spans="1:15" ht="11.25" customHeight="1" x14ac:dyDescent="0.2">
      <c r="A3316" s="210">
        <v>2024</v>
      </c>
      <c r="B3316" s="210">
        <v>2</v>
      </c>
      <c r="C3316" s="210">
        <v>8</v>
      </c>
      <c r="D3316" s="211">
        <f t="shared" si="251"/>
        <v>45330</v>
      </c>
      <c r="E3316" s="238">
        <f t="shared" si="252"/>
        <v>45330</v>
      </c>
      <c r="F3316" s="520" t="s">
        <v>1285</v>
      </c>
      <c r="G3316" s="213" t="s">
        <v>1245</v>
      </c>
      <c r="H3316" s="214"/>
      <c r="I3316" s="214" t="s">
        <v>1253</v>
      </c>
      <c r="J3316" s="210" t="s">
        <v>1284</v>
      </c>
      <c r="K3316" s="215">
        <v>10328.365384615385</v>
      </c>
      <c r="L3316" s="215"/>
    </row>
    <row r="3317" spans="1:15" ht="11.25" customHeight="1" x14ac:dyDescent="0.2">
      <c r="A3317" s="242">
        <v>2024</v>
      </c>
      <c r="B3317" s="216">
        <v>2</v>
      </c>
      <c r="C3317" s="216">
        <v>8</v>
      </c>
      <c r="D3317" s="243">
        <f t="shared" si="251"/>
        <v>45330</v>
      </c>
      <c r="E3317" s="244">
        <f>DATE(A3317,B3317,C3317)</f>
        <v>45330</v>
      </c>
      <c r="F3317" s="524"/>
      <c r="G3317" s="245" t="s">
        <v>1245</v>
      </c>
      <c r="H3317" s="246"/>
      <c r="I3317" s="246"/>
      <c r="J3317" s="242" t="s">
        <v>1582</v>
      </c>
      <c r="K3317" s="247"/>
      <c r="L3317" s="247">
        <v>10328.365384615385</v>
      </c>
    </row>
    <row r="3318" spans="1:15" ht="11.25" customHeight="1" x14ac:dyDescent="0.2">
      <c r="A3318" s="210">
        <v>2024</v>
      </c>
      <c r="B3318" s="210">
        <v>2</v>
      </c>
      <c r="C3318" s="210">
        <v>8</v>
      </c>
      <c r="D3318" s="211">
        <f t="shared" si="251"/>
        <v>45330</v>
      </c>
      <c r="E3318" s="238">
        <f t="shared" si="252"/>
        <v>45330</v>
      </c>
      <c r="F3318" s="520" t="s">
        <v>1259</v>
      </c>
      <c r="G3318" s="213" t="s">
        <v>1245</v>
      </c>
      <c r="H3318" s="214"/>
      <c r="I3318" s="214" t="s">
        <v>1253</v>
      </c>
      <c r="J3318" s="210" t="s">
        <v>58</v>
      </c>
      <c r="K3318" s="215">
        <v>20044.89</v>
      </c>
      <c r="L3318" s="215"/>
    </row>
    <row r="3319" spans="1:15" ht="11.25" customHeight="1" x14ac:dyDescent="0.2">
      <c r="A3319" s="216">
        <v>2024</v>
      </c>
      <c r="B3319" s="216">
        <v>2</v>
      </c>
      <c r="C3319" s="216">
        <v>8</v>
      </c>
      <c r="D3319" s="217">
        <f t="shared" si="251"/>
        <v>45330</v>
      </c>
      <c r="E3319" s="239">
        <f t="shared" si="252"/>
        <v>45330</v>
      </c>
      <c r="F3319" s="521"/>
      <c r="G3319" s="219" t="s">
        <v>1245</v>
      </c>
      <c r="H3319" s="220"/>
      <c r="I3319" s="220" t="s">
        <v>1253</v>
      </c>
      <c r="J3319" s="216" t="s">
        <v>153</v>
      </c>
      <c r="K3319" s="221"/>
      <c r="L3319" s="221">
        <v>20044.89</v>
      </c>
    </row>
    <row r="3320" spans="1:15" ht="11.25" customHeight="1" x14ac:dyDescent="0.2">
      <c r="A3320" s="312">
        <v>2024</v>
      </c>
      <c r="B3320" s="312">
        <v>2</v>
      </c>
      <c r="C3320" s="312">
        <v>8</v>
      </c>
      <c r="D3320" s="313">
        <f t="shared" si="251"/>
        <v>45330</v>
      </c>
      <c r="E3320" s="314">
        <f t="shared" si="252"/>
        <v>45330</v>
      </c>
      <c r="F3320" s="522" t="s">
        <v>1477</v>
      </c>
      <c r="G3320" s="315" t="s">
        <v>1245</v>
      </c>
      <c r="H3320" s="316"/>
      <c r="I3320" s="316" t="s">
        <v>1253</v>
      </c>
      <c r="J3320" s="312" t="s">
        <v>1460</v>
      </c>
      <c r="K3320" s="317">
        <v>382899.19999998808</v>
      </c>
      <c r="L3320" s="317"/>
    </row>
    <row r="3321" spans="1:15" ht="11.25" customHeight="1" x14ac:dyDescent="0.2">
      <c r="A3321" s="318">
        <v>2024</v>
      </c>
      <c r="B3321" s="318">
        <v>2</v>
      </c>
      <c r="C3321" s="318">
        <v>8</v>
      </c>
      <c r="D3321" s="319">
        <f t="shared" si="251"/>
        <v>45330</v>
      </c>
      <c r="E3321" s="320">
        <f t="shared" si="252"/>
        <v>45330</v>
      </c>
      <c r="F3321" s="523"/>
      <c r="G3321" s="321" t="s">
        <v>1245</v>
      </c>
      <c r="H3321" s="322"/>
      <c r="I3321" s="322" t="s">
        <v>1253</v>
      </c>
      <c r="J3321" s="318" t="s">
        <v>1458</v>
      </c>
      <c r="K3321" s="323"/>
      <c r="L3321" s="323">
        <v>382899.19999998808</v>
      </c>
    </row>
    <row r="3322" spans="1:15" ht="11.25" customHeight="1" x14ac:dyDescent="0.2">
      <c r="A3322" s="222">
        <v>2024</v>
      </c>
      <c r="B3322" s="222">
        <v>2</v>
      </c>
      <c r="C3322" s="222">
        <v>8</v>
      </c>
      <c r="D3322" s="223">
        <f t="shared" si="251"/>
        <v>45330</v>
      </c>
      <c r="E3322" s="240">
        <f t="shared" si="252"/>
        <v>45330</v>
      </c>
      <c r="F3322" s="511" t="s">
        <v>1244</v>
      </c>
      <c r="G3322" s="225" t="s">
        <v>1245</v>
      </c>
      <c r="H3322" s="226"/>
      <c r="I3322" s="226" t="s">
        <v>1253</v>
      </c>
      <c r="J3322" s="222" t="s">
        <v>87</v>
      </c>
      <c r="K3322" s="227">
        <v>49269.841904763132</v>
      </c>
      <c r="L3322" s="227"/>
    </row>
    <row r="3323" spans="1:15" ht="11.25" customHeight="1" x14ac:dyDescent="0.2">
      <c r="A3323" s="228">
        <v>2024</v>
      </c>
      <c r="B3323" s="228">
        <v>2</v>
      </c>
      <c r="C3323" s="228">
        <v>8</v>
      </c>
      <c r="D3323" s="229">
        <f t="shared" si="251"/>
        <v>45330</v>
      </c>
      <c r="E3323" s="241">
        <f t="shared" si="252"/>
        <v>45330</v>
      </c>
      <c r="F3323" s="512"/>
      <c r="G3323" s="231" t="s">
        <v>1245</v>
      </c>
      <c r="H3323" s="232"/>
      <c r="I3323" s="232" t="s">
        <v>1253</v>
      </c>
      <c r="J3323" s="228" t="s">
        <v>72</v>
      </c>
      <c r="K3323" s="233"/>
      <c r="L3323" s="233">
        <v>49269.841904763132</v>
      </c>
    </row>
    <row r="3324" spans="1:15" ht="11.25" customHeight="1" x14ac:dyDescent="0.2">
      <c r="A3324" s="222">
        <v>2024</v>
      </c>
      <c r="B3324" s="222">
        <v>2</v>
      </c>
      <c r="C3324" s="222">
        <v>8</v>
      </c>
      <c r="D3324" s="223">
        <f t="shared" si="251"/>
        <v>45330</v>
      </c>
      <c r="E3324" s="240">
        <f t="shared" si="252"/>
        <v>45330</v>
      </c>
      <c r="F3324" s="511" t="s">
        <v>1246</v>
      </c>
      <c r="G3324" s="225" t="s">
        <v>1245</v>
      </c>
      <c r="H3324" s="226"/>
      <c r="I3324" s="226" t="s">
        <v>1253</v>
      </c>
      <c r="J3324" s="222" t="s">
        <v>75</v>
      </c>
      <c r="K3324" s="227">
        <v>3623.123846153846</v>
      </c>
      <c r="L3324" s="227"/>
    </row>
    <row r="3325" spans="1:15" ht="11.25" customHeight="1" x14ac:dyDescent="0.2">
      <c r="A3325" s="228">
        <v>2024</v>
      </c>
      <c r="B3325" s="228">
        <v>2</v>
      </c>
      <c r="C3325" s="228">
        <v>8</v>
      </c>
      <c r="D3325" s="229">
        <f t="shared" si="251"/>
        <v>45330</v>
      </c>
      <c r="E3325" s="241">
        <f t="shared" si="252"/>
        <v>45330</v>
      </c>
      <c r="F3325" s="512"/>
      <c r="G3325" s="231" t="s">
        <v>1245</v>
      </c>
      <c r="H3325" s="232"/>
      <c r="I3325" s="232" t="s">
        <v>1253</v>
      </c>
      <c r="J3325" s="228" t="s">
        <v>55</v>
      </c>
      <c r="K3325" s="233"/>
      <c r="L3325" s="233">
        <v>3623.123846153846</v>
      </c>
    </row>
    <row r="3326" spans="1:15" ht="11.25" customHeight="1" x14ac:dyDescent="0.2">
      <c r="A3326" s="222">
        <v>2024</v>
      </c>
      <c r="B3326" s="222">
        <v>2</v>
      </c>
      <c r="C3326" s="222">
        <v>8</v>
      </c>
      <c r="D3326" s="223">
        <f t="shared" si="251"/>
        <v>45330</v>
      </c>
      <c r="E3326" s="240">
        <f t="shared" si="252"/>
        <v>45330</v>
      </c>
      <c r="F3326" s="511" t="s">
        <v>1247</v>
      </c>
      <c r="G3326" s="225" t="s">
        <v>1245</v>
      </c>
      <c r="H3326" s="226"/>
      <c r="I3326" s="226" t="s">
        <v>1253</v>
      </c>
      <c r="J3326" s="222" t="s">
        <v>77</v>
      </c>
      <c r="K3326" s="227">
        <v>21829.806426477611</v>
      </c>
      <c r="L3326" s="227"/>
    </row>
    <row r="3327" spans="1:15" ht="11.25" customHeight="1" x14ac:dyDescent="0.2">
      <c r="A3327" s="228">
        <v>2024</v>
      </c>
      <c r="B3327" s="228">
        <v>2</v>
      </c>
      <c r="C3327" s="228">
        <v>8</v>
      </c>
      <c r="D3327" s="229">
        <f t="shared" si="251"/>
        <v>45330</v>
      </c>
      <c r="E3327" s="241">
        <f t="shared" si="252"/>
        <v>45330</v>
      </c>
      <c r="F3327" s="512"/>
      <c r="G3327" s="231" t="s">
        <v>1245</v>
      </c>
      <c r="H3327" s="232"/>
      <c r="I3327" s="232" t="s">
        <v>1253</v>
      </c>
      <c r="J3327" s="228" t="s">
        <v>41</v>
      </c>
      <c r="K3327" s="233"/>
      <c r="L3327" s="233">
        <v>21829.806426477611</v>
      </c>
    </row>
    <row r="3328" spans="1:15" ht="11.25" customHeight="1" x14ac:dyDescent="0.2">
      <c r="A3328" s="222">
        <v>2024</v>
      </c>
      <c r="B3328" s="222">
        <v>2</v>
      </c>
      <c r="C3328" s="222">
        <v>8</v>
      </c>
      <c r="D3328" s="223">
        <f t="shared" si="251"/>
        <v>45330</v>
      </c>
      <c r="E3328" s="240">
        <f t="shared" si="252"/>
        <v>45330</v>
      </c>
      <c r="F3328" s="511" t="s">
        <v>1248</v>
      </c>
      <c r="G3328" s="225" t="s">
        <v>1245</v>
      </c>
      <c r="H3328" s="226"/>
      <c r="I3328" s="226" t="s">
        <v>1253</v>
      </c>
      <c r="J3328" s="222" t="s">
        <v>80</v>
      </c>
      <c r="K3328" s="227">
        <v>2182.9806426477608</v>
      </c>
      <c r="L3328" s="227"/>
    </row>
    <row r="3329" spans="1:14" ht="11.25" customHeight="1" x14ac:dyDescent="0.2">
      <c r="A3329" s="228">
        <v>2024</v>
      </c>
      <c r="B3329" s="228">
        <v>2</v>
      </c>
      <c r="C3329" s="228">
        <v>8</v>
      </c>
      <c r="D3329" s="229">
        <f t="shared" si="251"/>
        <v>45330</v>
      </c>
      <c r="E3329" s="241">
        <f t="shared" si="252"/>
        <v>45330</v>
      </c>
      <c r="F3329" s="512"/>
      <c r="G3329" s="231" t="s">
        <v>1245</v>
      </c>
      <c r="H3329" s="232"/>
      <c r="I3329" s="232" t="s">
        <v>1253</v>
      </c>
      <c r="J3329" s="228" t="s">
        <v>42</v>
      </c>
      <c r="K3329" s="233"/>
      <c r="L3329" s="233">
        <v>2182.9806426477608</v>
      </c>
    </row>
    <row r="3330" spans="1:14" ht="11.25" customHeight="1" x14ac:dyDescent="0.2">
      <c r="A3330" s="197">
        <v>2024</v>
      </c>
      <c r="B3330" s="197">
        <v>2</v>
      </c>
      <c r="C3330" s="197">
        <v>11</v>
      </c>
      <c r="D3330" s="198">
        <f t="shared" si="251"/>
        <v>45333</v>
      </c>
      <c r="E3330" s="209">
        <f t="shared" si="252"/>
        <v>45333</v>
      </c>
      <c r="F3330" s="513" t="s">
        <v>1210</v>
      </c>
      <c r="G3330" s="200" t="s">
        <v>1209</v>
      </c>
      <c r="H3330" s="201"/>
      <c r="I3330" s="201" t="s">
        <v>355</v>
      </c>
      <c r="J3330" s="197" t="s">
        <v>46</v>
      </c>
      <c r="K3330" s="202">
        <v>300000</v>
      </c>
      <c r="L3330" s="202"/>
    </row>
    <row r="3331" spans="1:14" ht="11.25" customHeight="1" x14ac:dyDescent="0.2">
      <c r="A3331" s="120">
        <v>2024</v>
      </c>
      <c r="B3331" s="120">
        <v>2</v>
      </c>
      <c r="C3331" s="120">
        <v>11</v>
      </c>
      <c r="D3331" s="208">
        <f t="shared" si="251"/>
        <v>45333</v>
      </c>
      <c r="E3331" s="209">
        <f t="shared" si="252"/>
        <v>45333</v>
      </c>
      <c r="F3331" s="515"/>
      <c r="G3331" s="132" t="s">
        <v>1209</v>
      </c>
      <c r="I3331" s="128" t="s">
        <v>355</v>
      </c>
      <c r="J3331" s="120" t="s">
        <v>16</v>
      </c>
      <c r="K3331" s="207"/>
      <c r="L3331" s="207">
        <v>278140</v>
      </c>
    </row>
    <row r="3332" spans="1:14" ht="11.25" customHeight="1" x14ac:dyDescent="0.2">
      <c r="A3332" s="191">
        <v>2024</v>
      </c>
      <c r="B3332" s="191">
        <v>2</v>
      </c>
      <c r="C3332" s="191">
        <v>11</v>
      </c>
      <c r="D3332" s="192">
        <f t="shared" si="251"/>
        <v>45333</v>
      </c>
      <c r="E3332" s="193">
        <f t="shared" si="252"/>
        <v>45333</v>
      </c>
      <c r="F3332" s="514"/>
      <c r="G3332" s="194" t="s">
        <v>1209</v>
      </c>
      <c r="H3332" s="195"/>
      <c r="I3332" s="195" t="s">
        <v>355</v>
      </c>
      <c r="J3332" s="191" t="s">
        <v>47</v>
      </c>
      <c r="K3332" s="196"/>
      <c r="L3332" s="196">
        <v>21860</v>
      </c>
    </row>
    <row r="3333" spans="1:14" ht="11.25" customHeight="1" x14ac:dyDescent="0.2">
      <c r="A3333" s="197">
        <v>2024</v>
      </c>
      <c r="B3333" s="197">
        <v>2</v>
      </c>
      <c r="C3333" s="197">
        <v>11</v>
      </c>
      <c r="D3333" s="198">
        <f t="shared" si="251"/>
        <v>45333</v>
      </c>
      <c r="E3333" s="209">
        <f t="shared" si="252"/>
        <v>45333</v>
      </c>
      <c r="F3333" s="513" t="s">
        <v>1280</v>
      </c>
      <c r="G3333" s="200" t="s">
        <v>1209</v>
      </c>
      <c r="H3333" s="201"/>
      <c r="I3333" s="201" t="s">
        <v>1303</v>
      </c>
      <c r="J3333" s="197" t="s">
        <v>16</v>
      </c>
      <c r="K3333" s="202">
        <v>463560</v>
      </c>
      <c r="L3333" s="202"/>
    </row>
    <row r="3334" spans="1:14" ht="11.25" customHeight="1" x14ac:dyDescent="0.2">
      <c r="A3334" s="120">
        <v>2024</v>
      </c>
      <c r="B3334" s="120">
        <v>2</v>
      </c>
      <c r="C3334" s="120">
        <v>11</v>
      </c>
      <c r="D3334" s="208">
        <f t="shared" si="251"/>
        <v>45333</v>
      </c>
      <c r="E3334" s="209">
        <f t="shared" si="252"/>
        <v>45333</v>
      </c>
      <c r="F3334" s="515"/>
      <c r="G3334" s="132" t="s">
        <v>1209</v>
      </c>
      <c r="I3334" s="128" t="s">
        <v>1303</v>
      </c>
      <c r="J3334" s="120" t="s">
        <v>47</v>
      </c>
      <c r="K3334" s="207">
        <v>36440</v>
      </c>
      <c r="L3334" s="207"/>
    </row>
    <row r="3335" spans="1:14" ht="11.25" customHeight="1" x14ac:dyDescent="0.2">
      <c r="A3335" s="191">
        <v>2024</v>
      </c>
      <c r="B3335" s="191">
        <v>2</v>
      </c>
      <c r="C3335" s="191">
        <v>11</v>
      </c>
      <c r="D3335" s="192">
        <f t="shared" si="251"/>
        <v>45333</v>
      </c>
      <c r="E3335" s="193">
        <f t="shared" si="252"/>
        <v>45333</v>
      </c>
      <c r="F3335" s="514"/>
      <c r="G3335" s="194" t="s">
        <v>1209</v>
      </c>
      <c r="H3335" s="195"/>
      <c r="I3335" s="195" t="s">
        <v>1303</v>
      </c>
      <c r="J3335" s="191" t="s">
        <v>46</v>
      </c>
      <c r="K3335" s="196"/>
      <c r="L3335" s="196">
        <v>500000</v>
      </c>
    </row>
    <row r="3336" spans="1:14" ht="11.25" customHeight="1" x14ac:dyDescent="0.2">
      <c r="A3336" s="197">
        <v>2024</v>
      </c>
      <c r="B3336" s="197">
        <v>2</v>
      </c>
      <c r="C3336" s="197">
        <v>11</v>
      </c>
      <c r="D3336" s="198">
        <f t="shared" si="251"/>
        <v>45333</v>
      </c>
      <c r="E3336" s="209">
        <f t="shared" ref="E3336:E3355" si="253">DATE(A3336,B3336,C3336)</f>
        <v>45333</v>
      </c>
      <c r="F3336" s="513" t="s">
        <v>1423</v>
      </c>
      <c r="G3336" s="200" t="s">
        <v>1209</v>
      </c>
      <c r="H3336" s="201"/>
      <c r="I3336" s="201" t="s">
        <v>1137</v>
      </c>
      <c r="J3336" s="197" t="s">
        <v>16</v>
      </c>
      <c r="K3336" s="202">
        <v>25030</v>
      </c>
      <c r="L3336" s="202"/>
    </row>
    <row r="3337" spans="1:14" ht="11.25" customHeight="1" x14ac:dyDescent="0.2">
      <c r="A3337" s="120">
        <v>2024</v>
      </c>
      <c r="B3337" s="120">
        <v>2</v>
      </c>
      <c r="C3337" s="120">
        <v>11</v>
      </c>
      <c r="D3337" s="208">
        <f t="shared" si="251"/>
        <v>45333</v>
      </c>
      <c r="E3337" s="209">
        <f t="shared" si="253"/>
        <v>45333</v>
      </c>
      <c r="F3337" s="515"/>
      <c r="G3337" s="132" t="s">
        <v>1209</v>
      </c>
      <c r="I3337" s="128" t="s">
        <v>1137</v>
      </c>
      <c r="J3337" s="120" t="s">
        <v>47</v>
      </c>
      <c r="K3337" s="207">
        <v>1970</v>
      </c>
      <c r="L3337" s="207"/>
    </row>
    <row r="3338" spans="1:14" ht="11.25" customHeight="1" x14ac:dyDescent="0.2">
      <c r="A3338" s="191">
        <v>2024</v>
      </c>
      <c r="B3338" s="191">
        <v>2</v>
      </c>
      <c r="C3338" s="191">
        <v>11</v>
      </c>
      <c r="D3338" s="192">
        <f t="shared" si="251"/>
        <v>45333</v>
      </c>
      <c r="E3338" s="193">
        <f t="shared" si="253"/>
        <v>45333</v>
      </c>
      <c r="F3338" s="514"/>
      <c r="G3338" s="194" t="s">
        <v>1209</v>
      </c>
      <c r="H3338" s="195"/>
      <c r="I3338" s="195" t="s">
        <v>1137</v>
      </c>
      <c r="J3338" s="191" t="s">
        <v>46</v>
      </c>
      <c r="K3338" s="196"/>
      <c r="L3338" s="196">
        <v>27000</v>
      </c>
    </row>
    <row r="3339" spans="1:14" ht="11.25" customHeight="1" x14ac:dyDescent="0.2">
      <c r="A3339" s="197">
        <v>2024</v>
      </c>
      <c r="B3339" s="197">
        <v>2</v>
      </c>
      <c r="C3339" s="197">
        <v>12</v>
      </c>
      <c r="D3339" s="198">
        <f t="shared" si="251"/>
        <v>45334</v>
      </c>
      <c r="E3339" s="199">
        <f>DATE(A3339,B3339,C3339)</f>
        <v>45334</v>
      </c>
      <c r="F3339" s="513" t="s">
        <v>1567</v>
      </c>
      <c r="G3339" s="200" t="s">
        <v>1209</v>
      </c>
      <c r="H3339" s="201"/>
      <c r="I3339" s="201" t="s">
        <v>1253</v>
      </c>
      <c r="J3339" s="197" t="s">
        <v>46</v>
      </c>
      <c r="K3339" s="202">
        <v>8000000</v>
      </c>
      <c r="L3339" s="202"/>
    </row>
    <row r="3340" spans="1:14" ht="11.25" customHeight="1" x14ac:dyDescent="0.2">
      <c r="A3340" s="120">
        <v>2024</v>
      </c>
      <c r="B3340" s="120">
        <v>2</v>
      </c>
      <c r="C3340" s="120">
        <v>12</v>
      </c>
      <c r="D3340" s="208">
        <f t="shared" si="251"/>
        <v>45334</v>
      </c>
      <c r="E3340" s="209">
        <f>DATE(A3340,B3340,C3340)</f>
        <v>45334</v>
      </c>
      <c r="F3340" s="515"/>
      <c r="G3340" s="132" t="s">
        <v>1209</v>
      </c>
      <c r="J3340" s="120" t="s">
        <v>1462</v>
      </c>
      <c r="K3340" s="120"/>
      <c r="L3340" s="207">
        <v>193472</v>
      </c>
    </row>
    <row r="3341" spans="1:14" ht="11.25" customHeight="1" x14ac:dyDescent="0.2">
      <c r="A3341" s="191">
        <v>2024</v>
      </c>
      <c r="B3341" s="191">
        <v>2</v>
      </c>
      <c r="C3341" s="191">
        <v>12</v>
      </c>
      <c r="D3341" s="192">
        <f t="shared" si="251"/>
        <v>45334</v>
      </c>
      <c r="E3341" s="193">
        <f>DATE(A3341,B3341,C3341)</f>
        <v>45334</v>
      </c>
      <c r="F3341" s="514"/>
      <c r="G3341" s="194" t="s">
        <v>1209</v>
      </c>
      <c r="H3341" s="195"/>
      <c r="I3341" s="195" t="s">
        <v>1253</v>
      </c>
      <c r="J3341" s="191" t="s">
        <v>1455</v>
      </c>
      <c r="K3341" s="196"/>
      <c r="L3341" s="196">
        <v>7806528</v>
      </c>
      <c r="N3341" s="130"/>
    </row>
    <row r="3342" spans="1:14" ht="11.25" customHeight="1" x14ac:dyDescent="0.2">
      <c r="A3342" s="197">
        <v>2024</v>
      </c>
      <c r="B3342" s="197">
        <v>2</v>
      </c>
      <c r="C3342" s="197">
        <v>12</v>
      </c>
      <c r="D3342" s="198">
        <f t="shared" si="251"/>
        <v>45334</v>
      </c>
      <c r="E3342" s="199">
        <f>DATE(A3342,B3342,C3342)</f>
        <v>45334</v>
      </c>
      <c r="F3342" s="513" t="s">
        <v>1568</v>
      </c>
      <c r="G3342" s="200" t="s">
        <v>1209</v>
      </c>
      <c r="H3342" s="201"/>
      <c r="I3342" s="201" t="s">
        <v>1253</v>
      </c>
      <c r="J3342" s="197" t="s">
        <v>1455</v>
      </c>
      <c r="K3342" s="202">
        <v>16532551</v>
      </c>
      <c r="L3342" s="202"/>
    </row>
    <row r="3343" spans="1:14" ht="11.25" customHeight="1" x14ac:dyDescent="0.2">
      <c r="A3343" s="191">
        <v>2024</v>
      </c>
      <c r="B3343" s="191">
        <v>2</v>
      </c>
      <c r="C3343" s="191">
        <v>12</v>
      </c>
      <c r="D3343" s="192">
        <f t="shared" si="251"/>
        <v>45334</v>
      </c>
      <c r="E3343" s="193">
        <f>DATE(A3343,B3343,C3343)</f>
        <v>45334</v>
      </c>
      <c r="F3343" s="514"/>
      <c r="G3343" s="194" t="s">
        <v>1209</v>
      </c>
      <c r="H3343" s="195"/>
      <c r="I3343" s="195" t="s">
        <v>1253</v>
      </c>
      <c r="J3343" s="191" t="s">
        <v>46</v>
      </c>
      <c r="K3343" s="196"/>
      <c r="L3343" s="196">
        <v>16532551</v>
      </c>
      <c r="N3343" s="130"/>
    </row>
    <row r="3344" spans="1:14" ht="11.25" customHeight="1" x14ac:dyDescent="0.2">
      <c r="A3344" s="197">
        <v>2024</v>
      </c>
      <c r="B3344" s="197">
        <v>2</v>
      </c>
      <c r="C3344" s="197">
        <v>13</v>
      </c>
      <c r="D3344" s="198">
        <f t="shared" si="251"/>
        <v>45335</v>
      </c>
      <c r="E3344" s="209">
        <f t="shared" si="253"/>
        <v>45335</v>
      </c>
      <c r="F3344" s="513" t="s">
        <v>1280</v>
      </c>
      <c r="G3344" s="200" t="s">
        <v>1209</v>
      </c>
      <c r="H3344" s="201"/>
      <c r="I3344" s="201" t="s">
        <v>1215</v>
      </c>
      <c r="J3344" s="197" t="s">
        <v>16</v>
      </c>
      <c r="K3344" s="202">
        <v>500000</v>
      </c>
      <c r="L3344" s="202"/>
    </row>
    <row r="3345" spans="1:15" ht="11.25" customHeight="1" x14ac:dyDescent="0.2">
      <c r="A3345" s="120">
        <v>2024</v>
      </c>
      <c r="B3345" s="120">
        <v>2</v>
      </c>
      <c r="C3345" s="120">
        <v>13</v>
      </c>
      <c r="D3345" s="208">
        <f t="shared" si="251"/>
        <v>45335</v>
      </c>
      <c r="E3345" s="209">
        <f t="shared" si="253"/>
        <v>45335</v>
      </c>
      <c r="F3345" s="515"/>
      <c r="G3345" s="132" t="s">
        <v>1209</v>
      </c>
      <c r="I3345" s="128" t="s">
        <v>1215</v>
      </c>
      <c r="J3345" s="120" t="s">
        <v>47</v>
      </c>
      <c r="K3345" s="207">
        <v>39300</v>
      </c>
      <c r="L3345" s="207"/>
    </row>
    <row r="3346" spans="1:15" ht="11.25" customHeight="1" x14ac:dyDescent="0.2">
      <c r="A3346" s="191">
        <v>2024</v>
      </c>
      <c r="B3346" s="191">
        <v>2</v>
      </c>
      <c r="C3346" s="191">
        <v>13</v>
      </c>
      <c r="D3346" s="192">
        <f t="shared" si="251"/>
        <v>45335</v>
      </c>
      <c r="E3346" s="193">
        <f t="shared" si="253"/>
        <v>45335</v>
      </c>
      <c r="F3346" s="514"/>
      <c r="G3346" s="194" t="s">
        <v>1209</v>
      </c>
      <c r="H3346" s="195"/>
      <c r="I3346" s="195" t="s">
        <v>1215</v>
      </c>
      <c r="J3346" s="191" t="s">
        <v>46</v>
      </c>
      <c r="K3346" s="196"/>
      <c r="L3346" s="196">
        <v>539300</v>
      </c>
    </row>
    <row r="3347" spans="1:15" x14ac:dyDescent="0.2">
      <c r="A3347" s="197">
        <v>2024</v>
      </c>
      <c r="B3347" s="120">
        <v>2</v>
      </c>
      <c r="C3347" s="120">
        <v>14</v>
      </c>
      <c r="D3347" s="198">
        <f t="shared" si="251"/>
        <v>45336</v>
      </c>
      <c r="E3347" s="199">
        <f t="shared" si="253"/>
        <v>45336</v>
      </c>
      <c r="F3347" s="513" t="s">
        <v>1575</v>
      </c>
      <c r="G3347" s="200" t="s">
        <v>1209</v>
      </c>
      <c r="H3347" s="200"/>
      <c r="I3347" s="201" t="s">
        <v>1253</v>
      </c>
      <c r="J3347" s="248" t="s">
        <v>175</v>
      </c>
      <c r="K3347" s="202">
        <v>2400000</v>
      </c>
      <c r="L3347" s="202"/>
    </row>
    <row r="3348" spans="1:15" ht="11.25" customHeight="1" x14ac:dyDescent="0.2">
      <c r="A3348" s="120">
        <v>2024</v>
      </c>
      <c r="B3348" s="120">
        <v>2</v>
      </c>
      <c r="C3348" s="120">
        <v>14</v>
      </c>
      <c r="D3348" s="208">
        <f t="shared" si="251"/>
        <v>45336</v>
      </c>
      <c r="E3348" s="209">
        <f t="shared" si="253"/>
        <v>45336</v>
      </c>
      <c r="F3348" s="515"/>
      <c r="G3348" s="132" t="s">
        <v>1209</v>
      </c>
      <c r="H3348" s="132"/>
      <c r="J3348" s="129" t="s">
        <v>54</v>
      </c>
      <c r="K3348" s="207">
        <v>115</v>
      </c>
      <c r="L3348" s="207"/>
    </row>
    <row r="3349" spans="1:15" ht="11.25" customHeight="1" x14ac:dyDescent="0.2">
      <c r="A3349" s="191">
        <v>2024</v>
      </c>
      <c r="B3349" s="191">
        <v>2</v>
      </c>
      <c r="C3349" s="191">
        <v>14</v>
      </c>
      <c r="D3349" s="192">
        <f t="shared" si="251"/>
        <v>45336</v>
      </c>
      <c r="E3349" s="193">
        <f t="shared" si="253"/>
        <v>45336</v>
      </c>
      <c r="F3349" s="514"/>
      <c r="G3349" s="194" t="s">
        <v>1209</v>
      </c>
      <c r="H3349" s="194"/>
      <c r="I3349" s="195" t="s">
        <v>1253</v>
      </c>
      <c r="J3349" s="250" t="s">
        <v>46</v>
      </c>
      <c r="K3349" s="196"/>
      <c r="L3349" s="196">
        <v>2400115</v>
      </c>
      <c r="M3349" s="251"/>
    </row>
    <row r="3350" spans="1:15" ht="11.25" customHeight="1" x14ac:dyDescent="0.2">
      <c r="A3350" s="197">
        <v>2024</v>
      </c>
      <c r="B3350" s="197">
        <v>2</v>
      </c>
      <c r="C3350" s="197">
        <v>15</v>
      </c>
      <c r="D3350" s="198">
        <f t="shared" si="251"/>
        <v>45337</v>
      </c>
      <c r="E3350" s="209">
        <f t="shared" si="253"/>
        <v>45337</v>
      </c>
      <c r="F3350" s="513" t="s">
        <v>1280</v>
      </c>
      <c r="G3350" s="200" t="s">
        <v>1209</v>
      </c>
      <c r="H3350" s="201"/>
      <c r="I3350" s="201" t="s">
        <v>453</v>
      </c>
      <c r="J3350" s="197" t="s">
        <v>16</v>
      </c>
      <c r="K3350" s="202">
        <v>2781380</v>
      </c>
      <c r="L3350" s="202"/>
    </row>
    <row r="3351" spans="1:15" ht="11.25" customHeight="1" x14ac:dyDescent="0.2">
      <c r="A3351" s="120">
        <v>2024</v>
      </c>
      <c r="B3351" s="120">
        <v>2</v>
      </c>
      <c r="C3351" s="120">
        <v>15</v>
      </c>
      <c r="D3351" s="208">
        <f t="shared" si="251"/>
        <v>45337</v>
      </c>
      <c r="E3351" s="209">
        <f t="shared" si="253"/>
        <v>45337</v>
      </c>
      <c r="F3351" s="515"/>
      <c r="G3351" s="132" t="s">
        <v>1209</v>
      </c>
      <c r="I3351" s="128" t="s">
        <v>453</v>
      </c>
      <c r="J3351" s="120" t="s">
        <v>47</v>
      </c>
      <c r="K3351" s="207">
        <v>218620</v>
      </c>
      <c r="L3351" s="207"/>
    </row>
    <row r="3352" spans="1:15" ht="11.25" customHeight="1" x14ac:dyDescent="0.2">
      <c r="A3352" s="191">
        <v>2024</v>
      </c>
      <c r="B3352" s="191">
        <v>2</v>
      </c>
      <c r="C3352" s="191">
        <v>15</v>
      </c>
      <c r="D3352" s="192">
        <f t="shared" si="251"/>
        <v>45337</v>
      </c>
      <c r="E3352" s="193">
        <f t="shared" si="253"/>
        <v>45337</v>
      </c>
      <c r="F3352" s="514"/>
      <c r="G3352" s="194" t="s">
        <v>1209</v>
      </c>
      <c r="H3352" s="195"/>
      <c r="I3352" s="195" t="s">
        <v>453</v>
      </c>
      <c r="J3352" s="191" t="s">
        <v>46</v>
      </c>
      <c r="K3352" s="196"/>
      <c r="L3352" s="196">
        <v>3000000</v>
      </c>
    </row>
    <row r="3353" spans="1:15" ht="11.25" customHeight="1" x14ac:dyDescent="0.2">
      <c r="A3353" s="197">
        <v>2024</v>
      </c>
      <c r="B3353" s="197">
        <v>2</v>
      </c>
      <c r="C3353" s="197">
        <v>15</v>
      </c>
      <c r="D3353" s="198">
        <f t="shared" si="251"/>
        <v>45337</v>
      </c>
      <c r="E3353" s="209">
        <f t="shared" si="253"/>
        <v>45337</v>
      </c>
      <c r="F3353" s="513" t="s">
        <v>1210</v>
      </c>
      <c r="G3353" s="200" t="s">
        <v>1209</v>
      </c>
      <c r="H3353" s="201"/>
      <c r="I3353" s="201" t="s">
        <v>1569</v>
      </c>
      <c r="J3353" s="197" t="s">
        <v>46</v>
      </c>
      <c r="K3353" s="202">
        <v>3699598</v>
      </c>
      <c r="L3353" s="202"/>
    </row>
    <row r="3354" spans="1:15" ht="11.25" customHeight="1" x14ac:dyDescent="0.2">
      <c r="A3354" s="120">
        <v>2024</v>
      </c>
      <c r="B3354" s="120">
        <v>2</v>
      </c>
      <c r="C3354" s="120">
        <v>15</v>
      </c>
      <c r="D3354" s="208">
        <f t="shared" si="251"/>
        <v>45337</v>
      </c>
      <c r="E3354" s="209">
        <f t="shared" si="253"/>
        <v>45337</v>
      </c>
      <c r="F3354" s="515"/>
      <c r="G3354" s="132" t="s">
        <v>1209</v>
      </c>
      <c r="I3354" s="128" t="s">
        <v>1569</v>
      </c>
      <c r="J3354" s="120" t="s">
        <v>16</v>
      </c>
      <c r="K3354" s="207"/>
      <c r="L3354" s="207">
        <v>3430000</v>
      </c>
    </row>
    <row r="3355" spans="1:15" ht="11.25" customHeight="1" x14ac:dyDescent="0.2">
      <c r="A3355" s="191">
        <v>2024</v>
      </c>
      <c r="B3355" s="191">
        <v>2</v>
      </c>
      <c r="C3355" s="191">
        <v>15</v>
      </c>
      <c r="D3355" s="192">
        <f t="shared" si="251"/>
        <v>45337</v>
      </c>
      <c r="E3355" s="193">
        <f t="shared" si="253"/>
        <v>45337</v>
      </c>
      <c r="F3355" s="514"/>
      <c r="G3355" s="194" t="s">
        <v>1209</v>
      </c>
      <c r="H3355" s="195"/>
      <c r="I3355" s="195" t="s">
        <v>1569</v>
      </c>
      <c r="J3355" s="191" t="s">
        <v>47</v>
      </c>
      <c r="K3355" s="196"/>
      <c r="L3355" s="196">
        <v>269598</v>
      </c>
    </row>
    <row r="3356" spans="1:15" ht="11.25" customHeight="1" x14ac:dyDescent="0.2">
      <c r="A3356" s="197">
        <v>2024</v>
      </c>
      <c r="B3356" s="197">
        <v>2</v>
      </c>
      <c r="C3356" s="197">
        <v>15</v>
      </c>
      <c r="D3356" s="198">
        <f t="shared" si="251"/>
        <v>45337</v>
      </c>
      <c r="E3356" s="209">
        <f t="shared" ref="E3356:E3367" si="254">DATE(A3356,B3356,C3356)</f>
        <v>45337</v>
      </c>
      <c r="F3356" s="513" t="s">
        <v>1210</v>
      </c>
      <c r="G3356" s="200" t="s">
        <v>1209</v>
      </c>
      <c r="H3356" s="201"/>
      <c r="I3356" s="201" t="s">
        <v>310</v>
      </c>
      <c r="J3356" s="197" t="s">
        <v>46</v>
      </c>
      <c r="K3356" s="202">
        <v>2500000</v>
      </c>
      <c r="L3356" s="202"/>
    </row>
    <row r="3357" spans="1:15" ht="11.25" customHeight="1" x14ac:dyDescent="0.2">
      <c r="A3357" s="120">
        <v>2024</v>
      </c>
      <c r="B3357" s="120">
        <v>2</v>
      </c>
      <c r="C3357" s="120">
        <v>15</v>
      </c>
      <c r="D3357" s="208">
        <f t="shared" si="251"/>
        <v>45337</v>
      </c>
      <c r="E3357" s="209">
        <f t="shared" si="254"/>
        <v>45337</v>
      </c>
      <c r="F3357" s="515"/>
      <c r="G3357" s="132" t="s">
        <v>1209</v>
      </c>
      <c r="I3357" s="128" t="s">
        <v>310</v>
      </c>
      <c r="J3357" s="120" t="s">
        <v>16</v>
      </c>
      <c r="K3357" s="207"/>
      <c r="L3357" s="207">
        <v>2317820</v>
      </c>
    </row>
    <row r="3358" spans="1:15" ht="11.25" customHeight="1" x14ac:dyDescent="0.2">
      <c r="A3358" s="191">
        <v>2024</v>
      </c>
      <c r="B3358" s="191">
        <v>2</v>
      </c>
      <c r="C3358" s="191">
        <v>15</v>
      </c>
      <c r="D3358" s="192">
        <f t="shared" si="251"/>
        <v>45337</v>
      </c>
      <c r="E3358" s="193">
        <f t="shared" si="254"/>
        <v>45337</v>
      </c>
      <c r="F3358" s="514"/>
      <c r="G3358" s="194" t="s">
        <v>1209</v>
      </c>
      <c r="H3358" s="195"/>
      <c r="I3358" s="195" t="s">
        <v>310</v>
      </c>
      <c r="J3358" s="191" t="s">
        <v>47</v>
      </c>
      <c r="K3358" s="196"/>
      <c r="L3358" s="196">
        <v>182180</v>
      </c>
    </row>
    <row r="3359" spans="1:15" ht="11.25" customHeight="1" x14ac:dyDescent="0.2">
      <c r="A3359" s="197">
        <v>2024</v>
      </c>
      <c r="B3359" s="197">
        <v>2</v>
      </c>
      <c r="C3359" s="197">
        <v>15</v>
      </c>
      <c r="D3359" s="198">
        <f t="shared" si="251"/>
        <v>45337</v>
      </c>
      <c r="E3359" s="290">
        <f t="shared" si="254"/>
        <v>45337</v>
      </c>
      <c r="F3359" s="513" t="s">
        <v>1514</v>
      </c>
      <c r="G3359" s="200" t="s">
        <v>1209</v>
      </c>
      <c r="H3359" s="201"/>
      <c r="I3359" s="201"/>
      <c r="J3359" s="197" t="s">
        <v>54</v>
      </c>
      <c r="K3359" s="202">
        <v>220</v>
      </c>
      <c r="L3359" s="202"/>
      <c r="M3359" s="251"/>
      <c r="N3359" s="251"/>
      <c r="O3359" s="251"/>
    </row>
    <row r="3360" spans="1:15" ht="11.25" customHeight="1" x14ac:dyDescent="0.2">
      <c r="A3360" s="191">
        <v>2024</v>
      </c>
      <c r="B3360" s="191">
        <v>2</v>
      </c>
      <c r="C3360" s="191">
        <v>15</v>
      </c>
      <c r="D3360" s="192">
        <f t="shared" si="251"/>
        <v>45337</v>
      </c>
      <c r="E3360" s="291">
        <f t="shared" si="254"/>
        <v>45337</v>
      </c>
      <c r="F3360" s="514"/>
      <c r="G3360" s="194" t="s">
        <v>1209</v>
      </c>
      <c r="H3360" s="195"/>
      <c r="I3360" s="195"/>
      <c r="J3360" s="191" t="s">
        <v>46</v>
      </c>
      <c r="K3360" s="196"/>
      <c r="L3360" s="196">
        <v>220</v>
      </c>
      <c r="M3360" s="251"/>
      <c r="N3360" s="251"/>
      <c r="O3360" s="251"/>
    </row>
    <row r="3361" spans="1:13" ht="11.25" customHeight="1" x14ac:dyDescent="0.2">
      <c r="A3361" s="197">
        <v>2024</v>
      </c>
      <c r="B3361" s="120">
        <v>2</v>
      </c>
      <c r="C3361" s="120">
        <v>15</v>
      </c>
      <c r="D3361" s="198">
        <f t="shared" si="251"/>
        <v>45337</v>
      </c>
      <c r="E3361" s="199">
        <f t="shared" si="254"/>
        <v>45337</v>
      </c>
      <c r="F3361" s="513" t="s">
        <v>1390</v>
      </c>
      <c r="G3361" s="200" t="s">
        <v>1209</v>
      </c>
      <c r="H3361" s="200"/>
      <c r="I3361" s="201" t="s">
        <v>1253</v>
      </c>
      <c r="J3361" s="197" t="s">
        <v>178</v>
      </c>
      <c r="K3361" s="202">
        <v>367706.53</v>
      </c>
      <c r="L3361" s="202"/>
    </row>
    <row r="3362" spans="1:13" ht="11.25" customHeight="1" x14ac:dyDescent="0.2">
      <c r="A3362" s="120">
        <v>2024</v>
      </c>
      <c r="B3362" s="120">
        <v>2</v>
      </c>
      <c r="C3362" s="120">
        <v>15</v>
      </c>
      <c r="D3362" s="208">
        <f t="shared" si="251"/>
        <v>45337</v>
      </c>
      <c r="E3362" s="209">
        <f t="shared" si="254"/>
        <v>45337</v>
      </c>
      <c r="F3362" s="515"/>
      <c r="G3362" s="132" t="s">
        <v>1209</v>
      </c>
      <c r="H3362" s="132"/>
      <c r="J3362" s="120" t="s">
        <v>71</v>
      </c>
      <c r="K3362" s="207">
        <v>663.07</v>
      </c>
      <c r="L3362" s="207"/>
    </row>
    <row r="3363" spans="1:13" ht="11.25" customHeight="1" x14ac:dyDescent="0.2">
      <c r="A3363" s="120">
        <v>2024</v>
      </c>
      <c r="B3363" s="120">
        <v>2</v>
      </c>
      <c r="C3363" s="120">
        <v>15</v>
      </c>
      <c r="D3363" s="208">
        <f t="shared" si="251"/>
        <v>45337</v>
      </c>
      <c r="E3363" s="209">
        <f t="shared" si="254"/>
        <v>45337</v>
      </c>
      <c r="F3363" s="515"/>
      <c r="G3363" s="132" t="s">
        <v>1209</v>
      </c>
      <c r="H3363" s="132"/>
      <c r="I3363" s="128" t="s">
        <v>1253</v>
      </c>
      <c r="J3363" s="120" t="s">
        <v>179</v>
      </c>
      <c r="K3363" s="207"/>
      <c r="L3363" s="207">
        <v>293649.59999999998</v>
      </c>
    </row>
    <row r="3364" spans="1:13" ht="11.25" customHeight="1" x14ac:dyDescent="0.2">
      <c r="A3364" s="191">
        <v>2024</v>
      </c>
      <c r="B3364" s="191">
        <v>2</v>
      </c>
      <c r="C3364" s="191">
        <v>15</v>
      </c>
      <c r="D3364" s="192">
        <f t="shared" si="251"/>
        <v>45337</v>
      </c>
      <c r="E3364" s="193">
        <f t="shared" si="254"/>
        <v>45337</v>
      </c>
      <c r="F3364" s="514"/>
      <c r="G3364" s="194" t="s">
        <v>1209</v>
      </c>
      <c r="H3364" s="194"/>
      <c r="I3364" s="195"/>
      <c r="J3364" s="191" t="s">
        <v>70</v>
      </c>
      <c r="K3364" s="196"/>
      <c r="L3364" s="196">
        <v>74720</v>
      </c>
      <c r="M3364" s="251"/>
    </row>
    <row r="3365" spans="1:13" ht="11.25" customHeight="1" x14ac:dyDescent="0.2">
      <c r="A3365" s="197">
        <v>2024</v>
      </c>
      <c r="B3365" s="197">
        <v>2</v>
      </c>
      <c r="C3365" s="197">
        <v>15</v>
      </c>
      <c r="D3365" s="198">
        <f t="shared" si="251"/>
        <v>45337</v>
      </c>
      <c r="E3365" s="209">
        <f t="shared" si="254"/>
        <v>45337</v>
      </c>
      <c r="F3365" s="513" t="s">
        <v>1296</v>
      </c>
      <c r="G3365" s="200" t="s">
        <v>1209</v>
      </c>
      <c r="H3365" s="201"/>
      <c r="I3365" s="201"/>
      <c r="J3365" s="197" t="s">
        <v>46</v>
      </c>
      <c r="K3365" s="202">
        <v>35000</v>
      </c>
      <c r="L3365" s="202"/>
    </row>
    <row r="3366" spans="1:13" ht="11.25" customHeight="1" x14ac:dyDescent="0.2">
      <c r="A3366" s="120">
        <v>2024</v>
      </c>
      <c r="B3366" s="120">
        <v>2</v>
      </c>
      <c r="C3366" s="120">
        <v>15</v>
      </c>
      <c r="D3366" s="208">
        <f t="shared" ref="D3366:D3425" si="255">DATE(A3366,B3366,C3366)</f>
        <v>45337</v>
      </c>
      <c r="E3366" s="209">
        <f t="shared" si="254"/>
        <v>45337</v>
      </c>
      <c r="F3366" s="515"/>
      <c r="G3366" s="132" t="s">
        <v>1209</v>
      </c>
      <c r="J3366" s="120" t="s">
        <v>16</v>
      </c>
      <c r="K3366" s="207"/>
      <c r="L3366" s="207">
        <v>32380</v>
      </c>
    </row>
    <row r="3367" spans="1:13" ht="11.25" customHeight="1" x14ac:dyDescent="0.2">
      <c r="A3367" s="191">
        <v>2024</v>
      </c>
      <c r="B3367" s="191">
        <v>2</v>
      </c>
      <c r="C3367" s="191">
        <v>15</v>
      </c>
      <c r="D3367" s="192">
        <f t="shared" si="255"/>
        <v>45337</v>
      </c>
      <c r="E3367" s="193">
        <f t="shared" si="254"/>
        <v>45337</v>
      </c>
      <c r="F3367" s="514"/>
      <c r="G3367" s="194" t="s">
        <v>1209</v>
      </c>
      <c r="H3367" s="195"/>
      <c r="I3367" s="195"/>
      <c r="J3367" s="191" t="s">
        <v>47</v>
      </c>
      <c r="K3367" s="196"/>
      <c r="L3367" s="196">
        <v>2620</v>
      </c>
    </row>
    <row r="3368" spans="1:13" ht="11.25" customHeight="1" x14ac:dyDescent="0.2">
      <c r="A3368" s="210">
        <v>2024</v>
      </c>
      <c r="B3368" s="210">
        <v>2</v>
      </c>
      <c r="C3368" s="210">
        <v>15</v>
      </c>
      <c r="D3368" s="211">
        <f t="shared" si="255"/>
        <v>45337</v>
      </c>
      <c r="E3368" s="238">
        <f t="shared" ref="E3368:E3386" si="256">DATE(A3368,B3368,C3368)</f>
        <v>45337</v>
      </c>
      <c r="F3368" s="520" t="s">
        <v>1278</v>
      </c>
      <c r="G3368" s="213" t="s">
        <v>1245</v>
      </c>
      <c r="H3368" s="214"/>
      <c r="I3368" s="214" t="s">
        <v>1253</v>
      </c>
      <c r="J3368" s="210" t="s">
        <v>1529</v>
      </c>
      <c r="K3368" s="215">
        <v>7491.85</v>
      </c>
      <c r="L3368" s="215"/>
    </row>
    <row r="3369" spans="1:13" ht="11.25" customHeight="1" x14ac:dyDescent="0.2">
      <c r="A3369" s="216">
        <v>2024</v>
      </c>
      <c r="B3369" s="216">
        <v>2</v>
      </c>
      <c r="C3369" s="216">
        <v>15</v>
      </c>
      <c r="D3369" s="217">
        <f t="shared" si="255"/>
        <v>45337</v>
      </c>
      <c r="E3369" s="239">
        <f t="shared" si="256"/>
        <v>45337</v>
      </c>
      <c r="F3369" s="521"/>
      <c r="G3369" s="219" t="s">
        <v>1245</v>
      </c>
      <c r="H3369" s="220"/>
      <c r="I3369" s="220" t="s">
        <v>1253</v>
      </c>
      <c r="J3369" s="216" t="s">
        <v>1581</v>
      </c>
      <c r="K3369" s="221"/>
      <c r="L3369" s="221">
        <v>7491.85</v>
      </c>
    </row>
    <row r="3370" spans="1:13" ht="11.25" customHeight="1" x14ac:dyDescent="0.2">
      <c r="A3370" s="210">
        <v>2024</v>
      </c>
      <c r="B3370" s="210">
        <v>2</v>
      </c>
      <c r="C3370" s="210">
        <v>15</v>
      </c>
      <c r="D3370" s="211">
        <f t="shared" si="255"/>
        <v>45337</v>
      </c>
      <c r="E3370" s="238">
        <f t="shared" si="256"/>
        <v>45337</v>
      </c>
      <c r="F3370" s="520" t="s">
        <v>1285</v>
      </c>
      <c r="G3370" s="213" t="s">
        <v>1245</v>
      </c>
      <c r="H3370" s="214"/>
      <c r="I3370" s="214" t="s">
        <v>1253</v>
      </c>
      <c r="J3370" s="210" t="s">
        <v>1284</v>
      </c>
      <c r="K3370" s="215">
        <v>10328.365384615385</v>
      </c>
      <c r="L3370" s="215"/>
    </row>
    <row r="3371" spans="1:13" ht="11.25" customHeight="1" x14ac:dyDescent="0.2">
      <c r="A3371" s="242">
        <v>2024</v>
      </c>
      <c r="B3371" s="216">
        <v>2</v>
      </c>
      <c r="C3371" s="216">
        <v>15</v>
      </c>
      <c r="D3371" s="243">
        <f t="shared" si="255"/>
        <v>45337</v>
      </c>
      <c r="E3371" s="244">
        <f>DATE(A3371,B3371,C3371)</f>
        <v>45337</v>
      </c>
      <c r="F3371" s="524"/>
      <c r="G3371" s="245" t="s">
        <v>1245</v>
      </c>
      <c r="H3371" s="246"/>
      <c r="I3371" s="246"/>
      <c r="J3371" s="242" t="s">
        <v>1582</v>
      </c>
      <c r="K3371" s="247"/>
      <c r="L3371" s="247">
        <v>10328.365384615385</v>
      </c>
    </row>
    <row r="3372" spans="1:13" ht="11.25" customHeight="1" x14ac:dyDescent="0.2">
      <c r="A3372" s="210">
        <v>2024</v>
      </c>
      <c r="B3372" s="210">
        <v>2</v>
      </c>
      <c r="C3372" s="210">
        <v>15</v>
      </c>
      <c r="D3372" s="211">
        <f t="shared" si="255"/>
        <v>45337</v>
      </c>
      <c r="E3372" s="238">
        <f t="shared" si="256"/>
        <v>45337</v>
      </c>
      <c r="F3372" s="520" t="s">
        <v>1259</v>
      </c>
      <c r="G3372" s="213" t="s">
        <v>1245</v>
      </c>
      <c r="H3372" s="214"/>
      <c r="I3372" s="214" t="s">
        <v>1253</v>
      </c>
      <c r="J3372" s="210" t="s">
        <v>58</v>
      </c>
      <c r="K3372" s="215">
        <v>14621.45</v>
      </c>
      <c r="L3372" s="215"/>
    </row>
    <row r="3373" spans="1:13" ht="11.25" customHeight="1" x14ac:dyDescent="0.2">
      <c r="A3373" s="216">
        <v>2024</v>
      </c>
      <c r="B3373" s="216">
        <v>2</v>
      </c>
      <c r="C3373" s="216">
        <v>15</v>
      </c>
      <c r="D3373" s="217">
        <f t="shared" si="255"/>
        <v>45337</v>
      </c>
      <c r="E3373" s="239">
        <f t="shared" si="256"/>
        <v>45337</v>
      </c>
      <c r="F3373" s="521"/>
      <c r="G3373" s="219" t="s">
        <v>1245</v>
      </c>
      <c r="H3373" s="220"/>
      <c r="I3373" s="220" t="s">
        <v>1253</v>
      </c>
      <c r="J3373" s="216" t="s">
        <v>153</v>
      </c>
      <c r="K3373" s="221"/>
      <c r="L3373" s="221">
        <v>14621.45</v>
      </c>
    </row>
    <row r="3374" spans="1:13" ht="11.25" customHeight="1" x14ac:dyDescent="0.2">
      <c r="A3374" s="312">
        <v>2024</v>
      </c>
      <c r="B3374" s="312">
        <v>2</v>
      </c>
      <c r="C3374" s="312">
        <v>15</v>
      </c>
      <c r="D3374" s="313">
        <f t="shared" si="255"/>
        <v>45337</v>
      </c>
      <c r="E3374" s="314">
        <f t="shared" si="256"/>
        <v>45337</v>
      </c>
      <c r="F3374" s="522" t="s">
        <v>1477</v>
      </c>
      <c r="G3374" s="315" t="s">
        <v>1245</v>
      </c>
      <c r="H3374" s="316"/>
      <c r="I3374" s="316" t="s">
        <v>1253</v>
      </c>
      <c r="J3374" s="312" t="s">
        <v>1460</v>
      </c>
      <c r="K3374" s="317">
        <v>193579.5</v>
      </c>
      <c r="L3374" s="317"/>
    </row>
    <row r="3375" spans="1:13" ht="11.25" customHeight="1" x14ac:dyDescent="0.2">
      <c r="A3375" s="318">
        <v>2024</v>
      </c>
      <c r="B3375" s="318">
        <v>2</v>
      </c>
      <c r="C3375" s="318">
        <v>15</v>
      </c>
      <c r="D3375" s="319">
        <f t="shared" si="255"/>
        <v>45337</v>
      </c>
      <c r="E3375" s="320">
        <f t="shared" si="256"/>
        <v>45337</v>
      </c>
      <c r="F3375" s="523"/>
      <c r="G3375" s="321" t="s">
        <v>1245</v>
      </c>
      <c r="H3375" s="322"/>
      <c r="I3375" s="322" t="s">
        <v>1253</v>
      </c>
      <c r="J3375" s="318" t="s">
        <v>1458</v>
      </c>
      <c r="K3375" s="323"/>
      <c r="L3375" s="323">
        <v>193579.5</v>
      </c>
    </row>
    <row r="3376" spans="1:13" ht="11.25" customHeight="1" x14ac:dyDescent="0.2">
      <c r="A3376" s="222">
        <v>2024</v>
      </c>
      <c r="B3376" s="222">
        <v>2</v>
      </c>
      <c r="C3376" s="222">
        <v>15</v>
      </c>
      <c r="D3376" s="223">
        <f t="shared" si="255"/>
        <v>45337</v>
      </c>
      <c r="E3376" s="240">
        <f t="shared" si="256"/>
        <v>45337</v>
      </c>
      <c r="F3376" s="511" t="s">
        <v>1244</v>
      </c>
      <c r="G3376" s="225" t="s">
        <v>1245</v>
      </c>
      <c r="H3376" s="226"/>
      <c r="I3376" s="226" t="s">
        <v>1253</v>
      </c>
      <c r="J3376" s="222" t="s">
        <v>72</v>
      </c>
      <c r="K3376" s="227">
        <v>160407.09809523821</v>
      </c>
      <c r="L3376" s="227"/>
    </row>
    <row r="3377" spans="1:14" ht="11.25" customHeight="1" x14ac:dyDescent="0.2">
      <c r="A3377" s="228">
        <v>2024</v>
      </c>
      <c r="B3377" s="228">
        <v>2</v>
      </c>
      <c r="C3377" s="228">
        <v>15</v>
      </c>
      <c r="D3377" s="229">
        <f t="shared" si="255"/>
        <v>45337</v>
      </c>
      <c r="E3377" s="241">
        <f t="shared" si="256"/>
        <v>45337</v>
      </c>
      <c r="F3377" s="512"/>
      <c r="G3377" s="231" t="s">
        <v>1245</v>
      </c>
      <c r="H3377" s="232"/>
      <c r="I3377" s="232" t="s">
        <v>1253</v>
      </c>
      <c r="J3377" s="228" t="s">
        <v>87</v>
      </c>
      <c r="K3377" s="233"/>
      <c r="L3377" s="233">
        <v>160407.09809523821</v>
      </c>
    </row>
    <row r="3378" spans="1:14" ht="11.25" customHeight="1" x14ac:dyDescent="0.2">
      <c r="A3378" s="222">
        <v>2024</v>
      </c>
      <c r="B3378" s="222">
        <v>2</v>
      </c>
      <c r="C3378" s="222">
        <v>15</v>
      </c>
      <c r="D3378" s="223">
        <f t="shared" si="255"/>
        <v>45337</v>
      </c>
      <c r="E3378" s="240">
        <f t="shared" si="256"/>
        <v>45337</v>
      </c>
      <c r="F3378" s="511" t="s">
        <v>1246</v>
      </c>
      <c r="G3378" s="225" t="s">
        <v>1245</v>
      </c>
      <c r="H3378" s="226"/>
      <c r="I3378" s="226" t="s">
        <v>1253</v>
      </c>
      <c r="J3378" s="222" t="s">
        <v>75</v>
      </c>
      <c r="K3378" s="227">
        <v>3623.123846153846</v>
      </c>
      <c r="L3378" s="227"/>
    </row>
    <row r="3379" spans="1:14" ht="11.25" customHeight="1" x14ac:dyDescent="0.2">
      <c r="A3379" s="228">
        <v>2024</v>
      </c>
      <c r="B3379" s="228">
        <v>2</v>
      </c>
      <c r="C3379" s="228">
        <v>15</v>
      </c>
      <c r="D3379" s="229">
        <f t="shared" si="255"/>
        <v>45337</v>
      </c>
      <c r="E3379" s="241">
        <f t="shared" si="256"/>
        <v>45337</v>
      </c>
      <c r="F3379" s="512"/>
      <c r="G3379" s="231" t="s">
        <v>1245</v>
      </c>
      <c r="H3379" s="232"/>
      <c r="I3379" s="232" t="s">
        <v>1253</v>
      </c>
      <c r="J3379" s="228" t="s">
        <v>55</v>
      </c>
      <c r="K3379" s="233"/>
      <c r="L3379" s="233">
        <v>3623.123846153846</v>
      </c>
    </row>
    <row r="3380" spans="1:14" ht="11.25" customHeight="1" x14ac:dyDescent="0.2">
      <c r="A3380" s="222">
        <v>2024</v>
      </c>
      <c r="B3380" s="222">
        <v>2</v>
      </c>
      <c r="C3380" s="222">
        <v>15</v>
      </c>
      <c r="D3380" s="223">
        <f t="shared" si="255"/>
        <v>45337</v>
      </c>
      <c r="E3380" s="240">
        <f t="shared" si="256"/>
        <v>45337</v>
      </c>
      <c r="F3380" s="511" t="s">
        <v>1247</v>
      </c>
      <c r="G3380" s="225" t="s">
        <v>1245</v>
      </c>
      <c r="H3380" s="226"/>
      <c r="I3380" s="226" t="s">
        <v>1253</v>
      </c>
      <c r="J3380" s="222" t="s">
        <v>77</v>
      </c>
      <c r="K3380" s="227">
        <v>22113.251449649673</v>
      </c>
      <c r="L3380" s="227"/>
    </row>
    <row r="3381" spans="1:14" ht="11.25" customHeight="1" x14ac:dyDescent="0.2">
      <c r="A3381" s="228">
        <v>2024</v>
      </c>
      <c r="B3381" s="228">
        <v>2</v>
      </c>
      <c r="C3381" s="228">
        <v>15</v>
      </c>
      <c r="D3381" s="229">
        <f t="shared" si="255"/>
        <v>45337</v>
      </c>
      <c r="E3381" s="241">
        <f t="shared" si="256"/>
        <v>45337</v>
      </c>
      <c r="F3381" s="512"/>
      <c r="G3381" s="231" t="s">
        <v>1245</v>
      </c>
      <c r="H3381" s="232"/>
      <c r="I3381" s="232" t="s">
        <v>1253</v>
      </c>
      <c r="J3381" s="228" t="s">
        <v>41</v>
      </c>
      <c r="K3381" s="233"/>
      <c r="L3381" s="233">
        <v>22113.251449649673</v>
      </c>
    </row>
    <row r="3382" spans="1:14" ht="11.25" customHeight="1" x14ac:dyDescent="0.2">
      <c r="A3382" s="222">
        <v>2024</v>
      </c>
      <c r="B3382" s="222">
        <v>2</v>
      </c>
      <c r="C3382" s="222">
        <v>15</v>
      </c>
      <c r="D3382" s="223">
        <f t="shared" si="255"/>
        <v>45337</v>
      </c>
      <c r="E3382" s="240">
        <f t="shared" si="256"/>
        <v>45337</v>
      </c>
      <c r="F3382" s="511" t="s">
        <v>1248</v>
      </c>
      <c r="G3382" s="225" t="s">
        <v>1245</v>
      </c>
      <c r="H3382" s="226"/>
      <c r="I3382" s="226" t="s">
        <v>1253</v>
      </c>
      <c r="J3382" s="222" t="s">
        <v>80</v>
      </c>
      <c r="K3382" s="227">
        <v>2211.3251449649674</v>
      </c>
      <c r="L3382" s="227"/>
    </row>
    <row r="3383" spans="1:14" ht="11.25" customHeight="1" x14ac:dyDescent="0.2">
      <c r="A3383" s="228">
        <v>2024</v>
      </c>
      <c r="B3383" s="228">
        <v>2</v>
      </c>
      <c r="C3383" s="228">
        <v>15</v>
      </c>
      <c r="D3383" s="229">
        <f t="shared" si="255"/>
        <v>45337</v>
      </c>
      <c r="E3383" s="241">
        <f t="shared" si="256"/>
        <v>45337</v>
      </c>
      <c r="F3383" s="512"/>
      <c r="G3383" s="231" t="s">
        <v>1245</v>
      </c>
      <c r="H3383" s="232"/>
      <c r="I3383" s="232" t="s">
        <v>1253</v>
      </c>
      <c r="J3383" s="228" t="s">
        <v>42</v>
      </c>
      <c r="K3383" s="233"/>
      <c r="L3383" s="233">
        <v>2211.3251449649674</v>
      </c>
    </row>
    <row r="3384" spans="1:14" ht="11.25" customHeight="1" x14ac:dyDescent="0.2">
      <c r="A3384" s="197">
        <v>2024</v>
      </c>
      <c r="B3384" s="197">
        <v>2</v>
      </c>
      <c r="C3384" s="197">
        <v>18</v>
      </c>
      <c r="D3384" s="198">
        <f t="shared" si="255"/>
        <v>45340</v>
      </c>
      <c r="E3384" s="209">
        <f t="shared" si="256"/>
        <v>45340</v>
      </c>
      <c r="F3384" s="513" t="s">
        <v>1280</v>
      </c>
      <c r="G3384" s="200" t="s">
        <v>1209</v>
      </c>
      <c r="H3384" s="201"/>
      <c r="I3384" s="201" t="s">
        <v>387</v>
      </c>
      <c r="J3384" s="197" t="s">
        <v>16</v>
      </c>
      <c r="K3384" s="202">
        <v>46250</v>
      </c>
      <c r="L3384" s="202"/>
    </row>
    <row r="3385" spans="1:14" ht="11.25" customHeight="1" x14ac:dyDescent="0.2">
      <c r="A3385" s="120">
        <v>2024</v>
      </c>
      <c r="B3385" s="120">
        <v>2</v>
      </c>
      <c r="C3385" s="120">
        <v>18</v>
      </c>
      <c r="D3385" s="208">
        <f t="shared" si="255"/>
        <v>45340</v>
      </c>
      <c r="E3385" s="209">
        <f t="shared" si="256"/>
        <v>45340</v>
      </c>
      <c r="F3385" s="515"/>
      <c r="G3385" s="132" t="s">
        <v>1209</v>
      </c>
      <c r="I3385" s="128" t="s">
        <v>387</v>
      </c>
      <c r="J3385" s="120" t="s">
        <v>47</v>
      </c>
      <c r="K3385" s="207">
        <v>3750</v>
      </c>
      <c r="L3385" s="207"/>
    </row>
    <row r="3386" spans="1:14" ht="11.25" customHeight="1" x14ac:dyDescent="0.2">
      <c r="A3386" s="191">
        <v>2024</v>
      </c>
      <c r="B3386" s="191">
        <v>2</v>
      </c>
      <c r="C3386" s="191">
        <v>18</v>
      </c>
      <c r="D3386" s="192">
        <f t="shared" si="255"/>
        <v>45340</v>
      </c>
      <c r="E3386" s="193">
        <f t="shared" si="256"/>
        <v>45340</v>
      </c>
      <c r="F3386" s="514"/>
      <c r="G3386" s="194" t="s">
        <v>1209</v>
      </c>
      <c r="H3386" s="195"/>
      <c r="I3386" s="195" t="s">
        <v>387</v>
      </c>
      <c r="J3386" s="191" t="s">
        <v>46</v>
      </c>
      <c r="K3386" s="196"/>
      <c r="L3386" s="196">
        <v>50000</v>
      </c>
    </row>
    <row r="3387" spans="1:14" ht="11.25" customHeight="1" x14ac:dyDescent="0.2">
      <c r="A3387" s="197">
        <v>2024</v>
      </c>
      <c r="B3387" s="197">
        <v>2</v>
      </c>
      <c r="C3387" s="197">
        <v>19</v>
      </c>
      <c r="D3387" s="198">
        <f t="shared" si="255"/>
        <v>45341</v>
      </c>
      <c r="E3387" s="199">
        <f>DATE(A3387,B3387,C3387)</f>
        <v>45341</v>
      </c>
      <c r="F3387" s="513" t="s">
        <v>1570</v>
      </c>
      <c r="G3387" s="200" t="s">
        <v>1209</v>
      </c>
      <c r="H3387" s="201"/>
      <c r="I3387" s="201" t="s">
        <v>1253</v>
      </c>
      <c r="J3387" s="197" t="s">
        <v>46</v>
      </c>
      <c r="K3387" s="202">
        <v>10800000</v>
      </c>
      <c r="L3387" s="202"/>
    </row>
    <row r="3388" spans="1:14" ht="11.25" customHeight="1" x14ac:dyDescent="0.2">
      <c r="A3388" s="120">
        <v>2024</v>
      </c>
      <c r="B3388" s="120">
        <v>2</v>
      </c>
      <c r="C3388" s="120">
        <v>19</v>
      </c>
      <c r="D3388" s="208">
        <f t="shared" si="255"/>
        <v>45341</v>
      </c>
      <c r="E3388" s="209">
        <f>DATE(A3388,B3388,C3388)</f>
        <v>45341</v>
      </c>
      <c r="F3388" s="515"/>
      <c r="G3388" s="132" t="s">
        <v>1209</v>
      </c>
      <c r="J3388" s="120" t="s">
        <v>1462</v>
      </c>
      <c r="K3388" s="120"/>
      <c r="L3388" s="207">
        <v>265010.40000000037</v>
      </c>
    </row>
    <row r="3389" spans="1:14" ht="11.25" customHeight="1" x14ac:dyDescent="0.2">
      <c r="A3389" s="191">
        <v>2024</v>
      </c>
      <c r="B3389" s="191">
        <v>2</v>
      </c>
      <c r="C3389" s="191">
        <v>19</v>
      </c>
      <c r="D3389" s="192">
        <f t="shared" si="255"/>
        <v>45341</v>
      </c>
      <c r="E3389" s="193">
        <f>DATE(A3389,B3389,C3389)</f>
        <v>45341</v>
      </c>
      <c r="F3389" s="514"/>
      <c r="G3389" s="194" t="s">
        <v>1209</v>
      </c>
      <c r="H3389" s="195"/>
      <c r="I3389" s="195" t="s">
        <v>1253</v>
      </c>
      <c r="J3389" s="191" t="s">
        <v>1455</v>
      </c>
      <c r="K3389" s="196"/>
      <c r="L3389" s="196">
        <v>10534989.6</v>
      </c>
      <c r="N3389" s="130"/>
    </row>
    <row r="3390" spans="1:14" ht="11.25" customHeight="1" x14ac:dyDescent="0.2">
      <c r="A3390" s="197">
        <v>2024</v>
      </c>
      <c r="B3390" s="197">
        <v>2</v>
      </c>
      <c r="C3390" s="197">
        <v>19</v>
      </c>
      <c r="D3390" s="198">
        <f t="shared" si="255"/>
        <v>45341</v>
      </c>
      <c r="E3390" s="199">
        <f>DATE(A3390,B3390,C3390)</f>
        <v>45341</v>
      </c>
      <c r="F3390" s="513" t="s">
        <v>1571</v>
      </c>
      <c r="G3390" s="200" t="s">
        <v>1209</v>
      </c>
      <c r="H3390" s="201"/>
      <c r="I3390" s="201" t="s">
        <v>1253</v>
      </c>
      <c r="J3390" s="197" t="s">
        <v>1455</v>
      </c>
      <c r="K3390" s="202">
        <v>9724820</v>
      </c>
      <c r="L3390" s="202"/>
    </row>
    <row r="3391" spans="1:14" ht="11.25" customHeight="1" x14ac:dyDescent="0.2">
      <c r="A3391" s="191">
        <v>2024</v>
      </c>
      <c r="B3391" s="191">
        <v>2</v>
      </c>
      <c r="C3391" s="191">
        <v>19</v>
      </c>
      <c r="D3391" s="192">
        <f t="shared" si="255"/>
        <v>45341</v>
      </c>
      <c r="E3391" s="193">
        <f>DATE(A3391,B3391,C3391)</f>
        <v>45341</v>
      </c>
      <c r="F3391" s="514"/>
      <c r="G3391" s="194" t="s">
        <v>1209</v>
      </c>
      <c r="H3391" s="195"/>
      <c r="I3391" s="195" t="s">
        <v>1253</v>
      </c>
      <c r="J3391" s="191" t="s">
        <v>46</v>
      </c>
      <c r="K3391" s="196"/>
      <c r="L3391" s="196">
        <v>9724820</v>
      </c>
      <c r="N3391" s="130"/>
    </row>
    <row r="3392" spans="1:14" ht="11.25" customHeight="1" x14ac:dyDescent="0.2">
      <c r="A3392" s="197">
        <v>2024</v>
      </c>
      <c r="B3392" s="197">
        <v>2</v>
      </c>
      <c r="C3392" s="197">
        <v>19</v>
      </c>
      <c r="D3392" s="198">
        <f t="shared" si="255"/>
        <v>45341</v>
      </c>
      <c r="E3392" s="199">
        <f t="shared" ref="E3392:E3398" si="257">DATE(A3392,B3392,C3392)</f>
        <v>45341</v>
      </c>
      <c r="F3392" s="513" t="s">
        <v>1571</v>
      </c>
      <c r="G3392" s="200" t="s">
        <v>1209</v>
      </c>
      <c r="H3392" s="201"/>
      <c r="I3392" s="201" t="s">
        <v>1253</v>
      </c>
      <c r="J3392" s="197" t="s">
        <v>1455</v>
      </c>
      <c r="K3392" s="202">
        <v>9725160</v>
      </c>
      <c r="L3392" s="202"/>
    </row>
    <row r="3393" spans="1:14" ht="11.25" customHeight="1" x14ac:dyDescent="0.2">
      <c r="A3393" s="191">
        <v>2024</v>
      </c>
      <c r="B3393" s="191">
        <v>2</v>
      </c>
      <c r="C3393" s="191">
        <v>19</v>
      </c>
      <c r="D3393" s="192">
        <f t="shared" si="255"/>
        <v>45341</v>
      </c>
      <c r="E3393" s="193">
        <f t="shared" si="257"/>
        <v>45341</v>
      </c>
      <c r="F3393" s="514"/>
      <c r="G3393" s="194" t="s">
        <v>1209</v>
      </c>
      <c r="H3393" s="195"/>
      <c r="I3393" s="195" t="s">
        <v>1253</v>
      </c>
      <c r="J3393" s="191" t="s">
        <v>46</v>
      </c>
      <c r="K3393" s="196"/>
      <c r="L3393" s="196">
        <v>9725160</v>
      </c>
      <c r="N3393" s="130"/>
    </row>
    <row r="3394" spans="1:14" ht="11.25" customHeight="1" x14ac:dyDescent="0.2">
      <c r="A3394" s="197">
        <v>2024</v>
      </c>
      <c r="B3394" s="197">
        <v>2</v>
      </c>
      <c r="C3394" s="197">
        <v>19</v>
      </c>
      <c r="D3394" s="198">
        <f t="shared" si="255"/>
        <v>45341</v>
      </c>
      <c r="E3394" s="199">
        <f t="shared" si="257"/>
        <v>45341</v>
      </c>
      <c r="F3394" s="513" t="s">
        <v>1391</v>
      </c>
      <c r="G3394" s="200" t="s">
        <v>1209</v>
      </c>
      <c r="H3394" s="201"/>
      <c r="I3394" s="201"/>
      <c r="J3394" s="197" t="s">
        <v>46</v>
      </c>
      <c r="K3394" s="202">
        <v>367706.53</v>
      </c>
      <c r="L3394" s="202"/>
    </row>
    <row r="3395" spans="1:14" ht="11.25" customHeight="1" x14ac:dyDescent="0.2">
      <c r="A3395" s="191">
        <v>2024</v>
      </c>
      <c r="B3395" s="191">
        <v>2</v>
      </c>
      <c r="C3395" s="191">
        <v>19</v>
      </c>
      <c r="D3395" s="192">
        <f t="shared" si="255"/>
        <v>45341</v>
      </c>
      <c r="E3395" s="193">
        <f t="shared" si="257"/>
        <v>45341</v>
      </c>
      <c r="F3395" s="514"/>
      <c r="G3395" s="194" t="s">
        <v>1209</v>
      </c>
      <c r="H3395" s="195"/>
      <c r="I3395" s="195"/>
      <c r="J3395" s="191" t="s">
        <v>178</v>
      </c>
      <c r="K3395" s="196"/>
      <c r="L3395" s="196">
        <v>367706.53</v>
      </c>
    </row>
    <row r="3396" spans="1:14" ht="11.25" customHeight="1" x14ac:dyDescent="0.2">
      <c r="A3396" s="197">
        <v>2024</v>
      </c>
      <c r="B3396" s="197">
        <v>2</v>
      </c>
      <c r="C3396" s="197">
        <v>20</v>
      </c>
      <c r="D3396" s="198">
        <f t="shared" si="255"/>
        <v>45342</v>
      </c>
      <c r="E3396" s="209">
        <f t="shared" si="257"/>
        <v>45342</v>
      </c>
      <c r="F3396" s="513" t="s">
        <v>1280</v>
      </c>
      <c r="G3396" s="200" t="s">
        <v>1209</v>
      </c>
      <c r="H3396" s="201"/>
      <c r="I3396" s="201" t="s">
        <v>386</v>
      </c>
      <c r="J3396" s="197" t="s">
        <v>16</v>
      </c>
      <c r="K3396" s="202">
        <v>69380</v>
      </c>
      <c r="L3396" s="202"/>
    </row>
    <row r="3397" spans="1:14" ht="11.25" customHeight="1" x14ac:dyDescent="0.2">
      <c r="A3397" s="120">
        <v>2024</v>
      </c>
      <c r="B3397" s="120">
        <v>2</v>
      </c>
      <c r="C3397" s="120">
        <v>20</v>
      </c>
      <c r="D3397" s="208">
        <f t="shared" si="255"/>
        <v>45342</v>
      </c>
      <c r="E3397" s="209">
        <f t="shared" si="257"/>
        <v>45342</v>
      </c>
      <c r="F3397" s="515"/>
      <c r="G3397" s="132" t="s">
        <v>1209</v>
      </c>
      <c r="I3397" s="128" t="s">
        <v>386</v>
      </c>
      <c r="J3397" s="120" t="s">
        <v>47</v>
      </c>
      <c r="K3397" s="207">
        <v>5620</v>
      </c>
      <c r="L3397" s="207"/>
    </row>
    <row r="3398" spans="1:14" ht="11.25" customHeight="1" x14ac:dyDescent="0.2">
      <c r="A3398" s="191">
        <v>2024</v>
      </c>
      <c r="B3398" s="191">
        <v>2</v>
      </c>
      <c r="C3398" s="191">
        <v>20</v>
      </c>
      <c r="D3398" s="192">
        <f t="shared" si="255"/>
        <v>45342</v>
      </c>
      <c r="E3398" s="193">
        <f t="shared" si="257"/>
        <v>45342</v>
      </c>
      <c r="F3398" s="514"/>
      <c r="G3398" s="194" t="s">
        <v>1209</v>
      </c>
      <c r="H3398" s="195"/>
      <c r="I3398" s="195" t="s">
        <v>386</v>
      </c>
      <c r="J3398" s="191" t="s">
        <v>46</v>
      </c>
      <c r="K3398" s="196"/>
      <c r="L3398" s="196">
        <v>75000</v>
      </c>
    </row>
    <row r="3399" spans="1:14" ht="11.25" customHeight="1" x14ac:dyDescent="0.2">
      <c r="A3399" s="197">
        <v>2024</v>
      </c>
      <c r="B3399" s="197">
        <v>2</v>
      </c>
      <c r="C3399" s="197">
        <v>20</v>
      </c>
      <c r="D3399" s="198">
        <f t="shared" si="255"/>
        <v>45342</v>
      </c>
      <c r="E3399" s="209">
        <f t="shared" ref="E3399:E3407" si="258">DATE(A3399,B3399,C3399)</f>
        <v>45342</v>
      </c>
      <c r="F3399" s="513" t="s">
        <v>1280</v>
      </c>
      <c r="G3399" s="200" t="s">
        <v>1209</v>
      </c>
      <c r="H3399" s="201"/>
      <c r="I3399" s="201" t="s">
        <v>394</v>
      </c>
      <c r="J3399" s="197" t="s">
        <v>16</v>
      </c>
      <c r="K3399" s="202">
        <v>277520</v>
      </c>
      <c r="L3399" s="202"/>
    </row>
    <row r="3400" spans="1:14" ht="11.25" customHeight="1" x14ac:dyDescent="0.2">
      <c r="A3400" s="120">
        <v>2024</v>
      </c>
      <c r="B3400" s="120">
        <v>2</v>
      </c>
      <c r="C3400" s="120">
        <v>20</v>
      </c>
      <c r="D3400" s="208">
        <f t="shared" si="255"/>
        <v>45342</v>
      </c>
      <c r="E3400" s="209">
        <f t="shared" si="258"/>
        <v>45342</v>
      </c>
      <c r="F3400" s="515"/>
      <c r="G3400" s="132" t="s">
        <v>1209</v>
      </c>
      <c r="I3400" s="128" t="s">
        <v>394</v>
      </c>
      <c r="J3400" s="120" t="s">
        <v>47</v>
      </c>
      <c r="K3400" s="207">
        <v>22480</v>
      </c>
      <c r="L3400" s="207"/>
    </row>
    <row r="3401" spans="1:14" ht="11.25" customHeight="1" x14ac:dyDescent="0.2">
      <c r="A3401" s="191">
        <v>2024</v>
      </c>
      <c r="B3401" s="191">
        <v>2</v>
      </c>
      <c r="C3401" s="191">
        <v>20</v>
      </c>
      <c r="D3401" s="192">
        <f t="shared" si="255"/>
        <v>45342</v>
      </c>
      <c r="E3401" s="193">
        <f t="shared" si="258"/>
        <v>45342</v>
      </c>
      <c r="F3401" s="514"/>
      <c r="G3401" s="194" t="s">
        <v>1209</v>
      </c>
      <c r="H3401" s="195"/>
      <c r="I3401" s="195" t="s">
        <v>394</v>
      </c>
      <c r="J3401" s="191" t="s">
        <v>46</v>
      </c>
      <c r="K3401" s="196"/>
      <c r="L3401" s="196">
        <v>300000</v>
      </c>
    </row>
    <row r="3402" spans="1:14" ht="11.25" customHeight="1" x14ac:dyDescent="0.2">
      <c r="A3402" s="197">
        <v>2024</v>
      </c>
      <c r="B3402" s="197">
        <v>2</v>
      </c>
      <c r="C3402" s="197">
        <v>20</v>
      </c>
      <c r="D3402" s="198">
        <f t="shared" si="255"/>
        <v>45342</v>
      </c>
      <c r="E3402" s="209">
        <f t="shared" si="258"/>
        <v>45342</v>
      </c>
      <c r="F3402" s="513" t="s">
        <v>1210</v>
      </c>
      <c r="G3402" s="200" t="s">
        <v>1209</v>
      </c>
      <c r="H3402" s="201"/>
      <c r="I3402" s="201" t="s">
        <v>351</v>
      </c>
      <c r="J3402" s="197" t="s">
        <v>46</v>
      </c>
      <c r="K3402" s="202">
        <v>500000</v>
      </c>
      <c r="L3402" s="202"/>
    </row>
    <row r="3403" spans="1:14" ht="11.25" customHeight="1" x14ac:dyDescent="0.2">
      <c r="A3403" s="120">
        <v>2024</v>
      </c>
      <c r="B3403" s="120">
        <v>2</v>
      </c>
      <c r="C3403" s="120">
        <v>20</v>
      </c>
      <c r="D3403" s="208">
        <f t="shared" si="255"/>
        <v>45342</v>
      </c>
      <c r="E3403" s="209">
        <f t="shared" si="258"/>
        <v>45342</v>
      </c>
      <c r="F3403" s="515"/>
      <c r="G3403" s="132" t="s">
        <v>1209</v>
      </c>
      <c r="I3403" s="128" t="s">
        <v>351</v>
      </c>
      <c r="J3403" s="120" t="s">
        <v>16</v>
      </c>
      <c r="K3403" s="207"/>
      <c r="L3403" s="207">
        <v>462530</v>
      </c>
    </row>
    <row r="3404" spans="1:14" ht="11.25" customHeight="1" x14ac:dyDescent="0.2">
      <c r="A3404" s="191">
        <v>2024</v>
      </c>
      <c r="B3404" s="191">
        <v>2</v>
      </c>
      <c r="C3404" s="191">
        <v>20</v>
      </c>
      <c r="D3404" s="192">
        <f t="shared" si="255"/>
        <v>45342</v>
      </c>
      <c r="E3404" s="193">
        <f t="shared" si="258"/>
        <v>45342</v>
      </c>
      <c r="F3404" s="514"/>
      <c r="G3404" s="194" t="s">
        <v>1209</v>
      </c>
      <c r="H3404" s="195"/>
      <c r="I3404" s="195" t="s">
        <v>351</v>
      </c>
      <c r="J3404" s="191" t="s">
        <v>47</v>
      </c>
      <c r="K3404" s="196"/>
      <c r="L3404" s="196">
        <v>37470</v>
      </c>
    </row>
    <row r="3405" spans="1:14" ht="11.25" customHeight="1" x14ac:dyDescent="0.2">
      <c r="A3405" s="197">
        <v>2024</v>
      </c>
      <c r="B3405" s="197">
        <v>2</v>
      </c>
      <c r="C3405" s="197">
        <v>22</v>
      </c>
      <c r="D3405" s="198">
        <f t="shared" si="255"/>
        <v>45344</v>
      </c>
      <c r="E3405" s="209">
        <f t="shared" si="258"/>
        <v>45344</v>
      </c>
      <c r="F3405" s="513" t="s">
        <v>1210</v>
      </c>
      <c r="G3405" s="200" t="s">
        <v>1209</v>
      </c>
      <c r="H3405" s="201"/>
      <c r="I3405" s="201" t="s">
        <v>1572</v>
      </c>
      <c r="J3405" s="197" t="s">
        <v>46</v>
      </c>
      <c r="K3405" s="202">
        <v>15000</v>
      </c>
      <c r="L3405" s="202"/>
    </row>
    <row r="3406" spans="1:14" ht="11.25" customHeight="1" x14ac:dyDescent="0.2">
      <c r="A3406" s="120">
        <v>2024</v>
      </c>
      <c r="B3406" s="120">
        <v>2</v>
      </c>
      <c r="C3406" s="120">
        <v>22</v>
      </c>
      <c r="D3406" s="208">
        <f t="shared" si="255"/>
        <v>45344</v>
      </c>
      <c r="E3406" s="209">
        <f t="shared" si="258"/>
        <v>45344</v>
      </c>
      <c r="F3406" s="515"/>
      <c r="G3406" s="132" t="s">
        <v>1209</v>
      </c>
      <c r="I3406" s="128" t="s">
        <v>1572</v>
      </c>
      <c r="J3406" s="120" t="s">
        <v>16</v>
      </c>
      <c r="K3406" s="207"/>
      <c r="L3406" s="207">
        <v>13880</v>
      </c>
    </row>
    <row r="3407" spans="1:14" ht="11.25" customHeight="1" x14ac:dyDescent="0.2">
      <c r="A3407" s="191">
        <v>2024</v>
      </c>
      <c r="B3407" s="191">
        <v>2</v>
      </c>
      <c r="C3407" s="191">
        <v>22</v>
      </c>
      <c r="D3407" s="192">
        <f t="shared" si="255"/>
        <v>45344</v>
      </c>
      <c r="E3407" s="193">
        <f t="shared" si="258"/>
        <v>45344</v>
      </c>
      <c r="F3407" s="514"/>
      <c r="G3407" s="194" t="s">
        <v>1209</v>
      </c>
      <c r="H3407" s="195"/>
      <c r="I3407" s="195" t="s">
        <v>1572</v>
      </c>
      <c r="J3407" s="191" t="s">
        <v>47</v>
      </c>
      <c r="K3407" s="196"/>
      <c r="L3407" s="196">
        <v>1120</v>
      </c>
    </row>
    <row r="3408" spans="1:14" ht="11.25" customHeight="1" x14ac:dyDescent="0.2">
      <c r="A3408" s="197">
        <v>2024</v>
      </c>
      <c r="B3408" s="197">
        <v>2</v>
      </c>
      <c r="C3408" s="197">
        <v>22</v>
      </c>
      <c r="D3408" s="198">
        <f t="shared" si="255"/>
        <v>45344</v>
      </c>
      <c r="E3408" s="209">
        <f t="shared" ref="E3408:E3413" si="259">DATE(A3408,B3408,C3408)</f>
        <v>45344</v>
      </c>
      <c r="F3408" s="513" t="s">
        <v>1210</v>
      </c>
      <c r="G3408" s="200" t="s">
        <v>1209</v>
      </c>
      <c r="H3408" s="201"/>
      <c r="I3408" s="201" t="s">
        <v>1498</v>
      </c>
      <c r="J3408" s="197" t="s">
        <v>46</v>
      </c>
      <c r="K3408" s="202">
        <v>100966</v>
      </c>
      <c r="L3408" s="202"/>
    </row>
    <row r="3409" spans="1:12" ht="11.25" customHeight="1" x14ac:dyDescent="0.2">
      <c r="A3409" s="120">
        <v>2024</v>
      </c>
      <c r="B3409" s="120">
        <v>2</v>
      </c>
      <c r="C3409" s="120">
        <v>22</v>
      </c>
      <c r="D3409" s="208">
        <f t="shared" si="255"/>
        <v>45344</v>
      </c>
      <c r="E3409" s="209">
        <f t="shared" si="259"/>
        <v>45344</v>
      </c>
      <c r="F3409" s="515"/>
      <c r="G3409" s="132" t="s">
        <v>1209</v>
      </c>
      <c r="I3409" s="128" t="s">
        <v>1498</v>
      </c>
      <c r="J3409" s="120" t="s">
        <v>16</v>
      </c>
      <c r="K3409" s="207"/>
      <c r="L3409" s="207">
        <v>93400</v>
      </c>
    </row>
    <row r="3410" spans="1:12" ht="11.25" customHeight="1" x14ac:dyDescent="0.2">
      <c r="A3410" s="191">
        <v>2024</v>
      </c>
      <c r="B3410" s="191">
        <v>2</v>
      </c>
      <c r="C3410" s="191">
        <v>22</v>
      </c>
      <c r="D3410" s="192">
        <f t="shared" si="255"/>
        <v>45344</v>
      </c>
      <c r="E3410" s="193">
        <f t="shared" si="259"/>
        <v>45344</v>
      </c>
      <c r="F3410" s="514"/>
      <c r="G3410" s="194" t="s">
        <v>1209</v>
      </c>
      <c r="H3410" s="195"/>
      <c r="I3410" s="195" t="s">
        <v>1498</v>
      </c>
      <c r="J3410" s="191" t="s">
        <v>47</v>
      </c>
      <c r="K3410" s="196"/>
      <c r="L3410" s="196">
        <v>7566</v>
      </c>
    </row>
    <row r="3411" spans="1:12" ht="11.25" customHeight="1" x14ac:dyDescent="0.2">
      <c r="A3411" s="197">
        <v>2024</v>
      </c>
      <c r="B3411" s="197">
        <v>2</v>
      </c>
      <c r="C3411" s="197">
        <v>22</v>
      </c>
      <c r="D3411" s="198">
        <f t="shared" si="255"/>
        <v>45344</v>
      </c>
      <c r="E3411" s="209">
        <f t="shared" si="259"/>
        <v>45344</v>
      </c>
      <c r="F3411" s="513" t="s">
        <v>1210</v>
      </c>
      <c r="G3411" s="200" t="s">
        <v>1209</v>
      </c>
      <c r="H3411" s="201"/>
      <c r="I3411" s="201" t="s">
        <v>1573</v>
      </c>
      <c r="J3411" s="197" t="s">
        <v>46</v>
      </c>
      <c r="K3411" s="202">
        <v>10810</v>
      </c>
      <c r="L3411" s="202"/>
    </row>
    <row r="3412" spans="1:12" ht="11.25" customHeight="1" x14ac:dyDescent="0.2">
      <c r="A3412" s="120">
        <v>2024</v>
      </c>
      <c r="B3412" s="120">
        <v>2</v>
      </c>
      <c r="C3412" s="120">
        <v>22</v>
      </c>
      <c r="D3412" s="208">
        <f t="shared" si="255"/>
        <v>45344</v>
      </c>
      <c r="E3412" s="209">
        <f t="shared" si="259"/>
        <v>45344</v>
      </c>
      <c r="F3412" s="515"/>
      <c r="G3412" s="132" t="s">
        <v>1209</v>
      </c>
      <c r="I3412" s="128" t="s">
        <v>1573</v>
      </c>
      <c r="J3412" s="120" t="s">
        <v>16</v>
      </c>
      <c r="K3412" s="207"/>
      <c r="L3412" s="207">
        <v>10000</v>
      </c>
    </row>
    <row r="3413" spans="1:12" ht="11.25" customHeight="1" x14ac:dyDescent="0.2">
      <c r="A3413" s="191">
        <v>2024</v>
      </c>
      <c r="B3413" s="191">
        <v>2</v>
      </c>
      <c r="C3413" s="191">
        <v>22</v>
      </c>
      <c r="D3413" s="192">
        <f t="shared" si="255"/>
        <v>45344</v>
      </c>
      <c r="E3413" s="193">
        <f t="shared" si="259"/>
        <v>45344</v>
      </c>
      <c r="F3413" s="514"/>
      <c r="G3413" s="194" t="s">
        <v>1209</v>
      </c>
      <c r="H3413" s="195"/>
      <c r="I3413" s="195" t="s">
        <v>1573</v>
      </c>
      <c r="J3413" s="191" t="s">
        <v>47</v>
      </c>
      <c r="K3413" s="196"/>
      <c r="L3413" s="196">
        <v>810</v>
      </c>
    </row>
    <row r="3414" spans="1:12" ht="11.25" customHeight="1" x14ac:dyDescent="0.2">
      <c r="A3414" s="197">
        <v>2024</v>
      </c>
      <c r="B3414" s="197">
        <v>2</v>
      </c>
      <c r="C3414" s="197">
        <v>22</v>
      </c>
      <c r="D3414" s="198">
        <f t="shared" si="255"/>
        <v>45344</v>
      </c>
      <c r="E3414" s="209">
        <f t="shared" ref="E3414:E3432" si="260">DATE(A3414,B3414,C3414)</f>
        <v>45344</v>
      </c>
      <c r="F3414" s="513" t="s">
        <v>1210</v>
      </c>
      <c r="G3414" s="200" t="s">
        <v>1209</v>
      </c>
      <c r="H3414" s="201"/>
      <c r="I3414" s="201" t="s">
        <v>724</v>
      </c>
      <c r="J3414" s="197" t="s">
        <v>46</v>
      </c>
      <c r="K3414" s="202">
        <v>10000</v>
      </c>
      <c r="L3414" s="202"/>
    </row>
    <row r="3415" spans="1:12" ht="11.25" customHeight="1" x14ac:dyDescent="0.2">
      <c r="A3415" s="120">
        <v>2024</v>
      </c>
      <c r="B3415" s="120">
        <v>2</v>
      </c>
      <c r="C3415" s="120">
        <v>22</v>
      </c>
      <c r="D3415" s="208">
        <f t="shared" si="255"/>
        <v>45344</v>
      </c>
      <c r="E3415" s="209">
        <f t="shared" si="260"/>
        <v>45344</v>
      </c>
      <c r="F3415" s="515"/>
      <c r="G3415" s="132" t="s">
        <v>1209</v>
      </c>
      <c r="I3415" s="128" t="s">
        <v>724</v>
      </c>
      <c r="J3415" s="120" t="s">
        <v>16</v>
      </c>
      <c r="K3415" s="207"/>
      <c r="L3415" s="207">
        <v>9250</v>
      </c>
    </row>
    <row r="3416" spans="1:12" ht="11.25" customHeight="1" x14ac:dyDescent="0.2">
      <c r="A3416" s="191">
        <v>2024</v>
      </c>
      <c r="B3416" s="191">
        <v>2</v>
      </c>
      <c r="C3416" s="191">
        <v>22</v>
      </c>
      <c r="D3416" s="192">
        <f t="shared" si="255"/>
        <v>45344</v>
      </c>
      <c r="E3416" s="193">
        <f t="shared" si="260"/>
        <v>45344</v>
      </c>
      <c r="F3416" s="514"/>
      <c r="G3416" s="194" t="s">
        <v>1209</v>
      </c>
      <c r="H3416" s="195"/>
      <c r="I3416" s="195" t="s">
        <v>724</v>
      </c>
      <c r="J3416" s="191" t="s">
        <v>47</v>
      </c>
      <c r="K3416" s="196"/>
      <c r="L3416" s="196">
        <v>750</v>
      </c>
    </row>
    <row r="3417" spans="1:12" ht="11.25" customHeight="1" x14ac:dyDescent="0.2">
      <c r="A3417" s="210">
        <v>2024</v>
      </c>
      <c r="B3417" s="210">
        <v>2</v>
      </c>
      <c r="C3417" s="210">
        <v>22</v>
      </c>
      <c r="D3417" s="211">
        <f t="shared" si="255"/>
        <v>45344</v>
      </c>
      <c r="E3417" s="238">
        <f t="shared" si="260"/>
        <v>45344</v>
      </c>
      <c r="F3417" s="520" t="s">
        <v>1278</v>
      </c>
      <c r="G3417" s="213" t="s">
        <v>1245</v>
      </c>
      <c r="H3417" s="214"/>
      <c r="I3417" s="214" t="s">
        <v>1253</v>
      </c>
      <c r="J3417" s="210" t="s">
        <v>1529</v>
      </c>
      <c r="K3417" s="215">
        <v>7491.85</v>
      </c>
      <c r="L3417" s="215"/>
    </row>
    <row r="3418" spans="1:12" ht="11.25" customHeight="1" x14ac:dyDescent="0.2">
      <c r="A3418" s="216">
        <v>2024</v>
      </c>
      <c r="B3418" s="216">
        <v>2</v>
      </c>
      <c r="C3418" s="216">
        <v>22</v>
      </c>
      <c r="D3418" s="217">
        <f t="shared" si="255"/>
        <v>45344</v>
      </c>
      <c r="E3418" s="239">
        <f t="shared" si="260"/>
        <v>45344</v>
      </c>
      <c r="F3418" s="521"/>
      <c r="G3418" s="219" t="s">
        <v>1245</v>
      </c>
      <c r="H3418" s="220"/>
      <c r="I3418" s="220" t="s">
        <v>1253</v>
      </c>
      <c r="J3418" s="216" t="s">
        <v>1581</v>
      </c>
      <c r="K3418" s="221"/>
      <c r="L3418" s="221">
        <v>7491.85</v>
      </c>
    </row>
    <row r="3419" spans="1:12" ht="11.25" customHeight="1" x14ac:dyDescent="0.2">
      <c r="A3419" s="210">
        <v>2024</v>
      </c>
      <c r="B3419" s="210">
        <v>2</v>
      </c>
      <c r="C3419" s="210">
        <v>22</v>
      </c>
      <c r="D3419" s="211">
        <f t="shared" si="255"/>
        <v>45344</v>
      </c>
      <c r="E3419" s="238">
        <f t="shared" si="260"/>
        <v>45344</v>
      </c>
      <c r="F3419" s="520" t="s">
        <v>1285</v>
      </c>
      <c r="G3419" s="213" t="s">
        <v>1245</v>
      </c>
      <c r="H3419" s="214"/>
      <c r="I3419" s="214" t="s">
        <v>1253</v>
      </c>
      <c r="J3419" s="210" t="s">
        <v>1284</v>
      </c>
      <c r="K3419" s="215">
        <v>10328.365384615385</v>
      </c>
      <c r="L3419" s="215"/>
    </row>
    <row r="3420" spans="1:12" ht="11.25" customHeight="1" x14ac:dyDescent="0.2">
      <c r="A3420" s="242">
        <v>2024</v>
      </c>
      <c r="B3420" s="216">
        <v>2</v>
      </c>
      <c r="C3420" s="216">
        <v>22</v>
      </c>
      <c r="D3420" s="243">
        <f t="shared" si="255"/>
        <v>45344</v>
      </c>
      <c r="E3420" s="244">
        <f>DATE(A3420,B3420,C3420)</f>
        <v>45344</v>
      </c>
      <c r="F3420" s="524"/>
      <c r="G3420" s="245" t="s">
        <v>1245</v>
      </c>
      <c r="H3420" s="246"/>
      <c r="I3420" s="246"/>
      <c r="J3420" s="242" t="s">
        <v>1582</v>
      </c>
      <c r="K3420" s="247"/>
      <c r="L3420" s="247">
        <v>10328.365384615385</v>
      </c>
    </row>
    <row r="3421" spans="1:12" ht="11.25" customHeight="1" x14ac:dyDescent="0.2">
      <c r="A3421" s="210">
        <v>2024</v>
      </c>
      <c r="B3421" s="210">
        <v>2</v>
      </c>
      <c r="C3421" s="210">
        <v>22</v>
      </c>
      <c r="D3421" s="211">
        <f t="shared" si="255"/>
        <v>45344</v>
      </c>
      <c r="E3421" s="238">
        <f t="shared" si="260"/>
        <v>45344</v>
      </c>
      <c r="F3421" s="520" t="s">
        <v>1259</v>
      </c>
      <c r="G3421" s="213" t="s">
        <v>1245</v>
      </c>
      <c r="H3421" s="214"/>
      <c r="I3421" s="214" t="s">
        <v>1253</v>
      </c>
      <c r="J3421" s="210" t="s">
        <v>58</v>
      </c>
      <c r="K3421" s="215">
        <v>5714.29</v>
      </c>
      <c r="L3421" s="215"/>
    </row>
    <row r="3422" spans="1:12" ht="11.25" customHeight="1" x14ac:dyDescent="0.2">
      <c r="A3422" s="216">
        <v>2024</v>
      </c>
      <c r="B3422" s="216">
        <v>2</v>
      </c>
      <c r="C3422" s="216">
        <v>22</v>
      </c>
      <c r="D3422" s="217">
        <f t="shared" si="255"/>
        <v>45344</v>
      </c>
      <c r="E3422" s="239">
        <f t="shared" si="260"/>
        <v>45344</v>
      </c>
      <c r="F3422" s="521"/>
      <c r="G3422" s="219" t="s">
        <v>1245</v>
      </c>
      <c r="H3422" s="220"/>
      <c r="I3422" s="220" t="s">
        <v>1253</v>
      </c>
      <c r="J3422" s="216" t="s">
        <v>153</v>
      </c>
      <c r="K3422" s="221"/>
      <c r="L3422" s="221">
        <v>5714.29</v>
      </c>
    </row>
    <row r="3423" spans="1:12" ht="11.25" customHeight="1" x14ac:dyDescent="0.2">
      <c r="A3423" s="312">
        <v>2024</v>
      </c>
      <c r="B3423" s="312">
        <v>2</v>
      </c>
      <c r="C3423" s="312">
        <v>22</v>
      </c>
      <c r="D3423" s="313">
        <f t="shared" si="255"/>
        <v>45344</v>
      </c>
      <c r="E3423" s="314">
        <f t="shared" si="260"/>
        <v>45344</v>
      </c>
      <c r="F3423" s="522" t="s">
        <v>1477</v>
      </c>
      <c r="G3423" s="315" t="s">
        <v>1245</v>
      </c>
      <c r="H3423" s="316"/>
      <c r="I3423" s="316" t="s">
        <v>1253</v>
      </c>
      <c r="J3423" s="312" t="s">
        <v>1460</v>
      </c>
      <c r="K3423" s="317">
        <v>140829.09999999404</v>
      </c>
      <c r="L3423" s="317"/>
    </row>
    <row r="3424" spans="1:12" ht="11.25" customHeight="1" x14ac:dyDescent="0.2">
      <c r="A3424" s="318">
        <v>2024</v>
      </c>
      <c r="B3424" s="318">
        <v>2</v>
      </c>
      <c r="C3424" s="318">
        <v>22</v>
      </c>
      <c r="D3424" s="319">
        <f t="shared" si="255"/>
        <v>45344</v>
      </c>
      <c r="E3424" s="320">
        <f t="shared" si="260"/>
        <v>45344</v>
      </c>
      <c r="F3424" s="523"/>
      <c r="G3424" s="321" t="s">
        <v>1245</v>
      </c>
      <c r="H3424" s="322"/>
      <c r="I3424" s="322" t="s">
        <v>1253</v>
      </c>
      <c r="J3424" s="318" t="s">
        <v>1458</v>
      </c>
      <c r="K3424" s="323"/>
      <c r="L3424" s="323">
        <v>140829.09999999404</v>
      </c>
    </row>
    <row r="3425" spans="1:15" ht="11.25" customHeight="1" x14ac:dyDescent="0.2">
      <c r="A3425" s="222">
        <v>2024</v>
      </c>
      <c r="B3425" s="222">
        <v>2</v>
      </c>
      <c r="C3425" s="222">
        <v>22</v>
      </c>
      <c r="D3425" s="223">
        <f t="shared" si="255"/>
        <v>45344</v>
      </c>
      <c r="E3425" s="240">
        <f t="shared" si="260"/>
        <v>45344</v>
      </c>
      <c r="F3425" s="511" t="s">
        <v>1244</v>
      </c>
      <c r="G3425" s="225" t="s">
        <v>1245</v>
      </c>
      <c r="H3425" s="226"/>
      <c r="I3425" s="226" t="s">
        <v>1253</v>
      </c>
      <c r="J3425" s="222" t="s">
        <v>72</v>
      </c>
      <c r="K3425" s="227">
        <v>109966.25641025975</v>
      </c>
      <c r="L3425" s="227"/>
    </row>
    <row r="3426" spans="1:15" ht="11.25" customHeight="1" x14ac:dyDescent="0.2">
      <c r="A3426" s="228">
        <v>2024</v>
      </c>
      <c r="B3426" s="228">
        <v>2</v>
      </c>
      <c r="C3426" s="228">
        <v>22</v>
      </c>
      <c r="D3426" s="229">
        <f t="shared" ref="D3426:D3487" si="261">DATE(A3426,B3426,C3426)</f>
        <v>45344</v>
      </c>
      <c r="E3426" s="241">
        <f t="shared" si="260"/>
        <v>45344</v>
      </c>
      <c r="F3426" s="512"/>
      <c r="G3426" s="231" t="s">
        <v>1245</v>
      </c>
      <c r="H3426" s="232"/>
      <c r="I3426" s="232" t="s">
        <v>1253</v>
      </c>
      <c r="J3426" s="228" t="s">
        <v>87</v>
      </c>
      <c r="K3426" s="233"/>
      <c r="L3426" s="233">
        <v>109966.25641025975</v>
      </c>
    </row>
    <row r="3427" spans="1:15" ht="11.25" customHeight="1" x14ac:dyDescent="0.2">
      <c r="A3427" s="222">
        <v>2024</v>
      </c>
      <c r="B3427" s="222">
        <v>2</v>
      </c>
      <c r="C3427" s="222">
        <v>22</v>
      </c>
      <c r="D3427" s="223">
        <f t="shared" si="261"/>
        <v>45344</v>
      </c>
      <c r="E3427" s="240">
        <f t="shared" si="260"/>
        <v>45344</v>
      </c>
      <c r="F3427" s="511" t="s">
        <v>1246</v>
      </c>
      <c r="G3427" s="225" t="s">
        <v>1245</v>
      </c>
      <c r="H3427" s="226"/>
      <c r="I3427" s="226" t="s">
        <v>1253</v>
      </c>
      <c r="J3427" s="222" t="s">
        <v>75</v>
      </c>
      <c r="K3427" s="227">
        <v>3623.123846153846</v>
      </c>
      <c r="L3427" s="227"/>
    </row>
    <row r="3428" spans="1:15" ht="11.25" customHeight="1" x14ac:dyDescent="0.2">
      <c r="A3428" s="228">
        <v>2024</v>
      </c>
      <c r="B3428" s="228">
        <v>2</v>
      </c>
      <c r="C3428" s="228">
        <v>22</v>
      </c>
      <c r="D3428" s="229">
        <f t="shared" si="261"/>
        <v>45344</v>
      </c>
      <c r="E3428" s="241">
        <f t="shared" si="260"/>
        <v>45344</v>
      </c>
      <c r="F3428" s="512"/>
      <c r="G3428" s="231" t="s">
        <v>1245</v>
      </c>
      <c r="H3428" s="232"/>
      <c r="I3428" s="232" t="s">
        <v>1253</v>
      </c>
      <c r="J3428" s="228" t="s">
        <v>55</v>
      </c>
      <c r="K3428" s="233"/>
      <c r="L3428" s="233">
        <v>3623.123846153846</v>
      </c>
    </row>
    <row r="3429" spans="1:15" ht="11.25" customHeight="1" x14ac:dyDescent="0.2">
      <c r="A3429" s="222">
        <v>2024</v>
      </c>
      <c r="B3429" s="222">
        <v>2</v>
      </c>
      <c r="C3429" s="222">
        <v>22</v>
      </c>
      <c r="D3429" s="223">
        <f t="shared" si="261"/>
        <v>45344</v>
      </c>
      <c r="E3429" s="240">
        <f t="shared" si="260"/>
        <v>45344</v>
      </c>
      <c r="F3429" s="511" t="s">
        <v>1247</v>
      </c>
      <c r="G3429" s="225" t="s">
        <v>1245</v>
      </c>
      <c r="H3429" s="226"/>
      <c r="I3429" s="226" t="s">
        <v>1253</v>
      </c>
      <c r="J3429" s="222" t="s">
        <v>77</v>
      </c>
      <c r="K3429" s="227">
        <v>22166.27266378382</v>
      </c>
      <c r="L3429" s="227"/>
    </row>
    <row r="3430" spans="1:15" ht="11.25" customHeight="1" x14ac:dyDescent="0.2">
      <c r="A3430" s="228">
        <v>2024</v>
      </c>
      <c r="B3430" s="228">
        <v>2</v>
      </c>
      <c r="C3430" s="228">
        <v>22</v>
      </c>
      <c r="D3430" s="229">
        <f t="shared" si="261"/>
        <v>45344</v>
      </c>
      <c r="E3430" s="241">
        <f t="shared" si="260"/>
        <v>45344</v>
      </c>
      <c r="F3430" s="512"/>
      <c r="G3430" s="231" t="s">
        <v>1245</v>
      </c>
      <c r="H3430" s="232"/>
      <c r="I3430" s="232" t="s">
        <v>1253</v>
      </c>
      <c r="J3430" s="228" t="s">
        <v>41</v>
      </c>
      <c r="K3430" s="233"/>
      <c r="L3430" s="233">
        <v>22166.27266378382</v>
      </c>
    </row>
    <row r="3431" spans="1:15" ht="11.25" customHeight="1" x14ac:dyDescent="0.2">
      <c r="A3431" s="222">
        <v>2024</v>
      </c>
      <c r="B3431" s="222">
        <v>2</v>
      </c>
      <c r="C3431" s="222">
        <v>22</v>
      </c>
      <c r="D3431" s="223">
        <f t="shared" si="261"/>
        <v>45344</v>
      </c>
      <c r="E3431" s="240">
        <f t="shared" si="260"/>
        <v>45344</v>
      </c>
      <c r="F3431" s="511" t="s">
        <v>1248</v>
      </c>
      <c r="G3431" s="225" t="s">
        <v>1245</v>
      </c>
      <c r="H3431" s="226"/>
      <c r="I3431" s="226" t="s">
        <v>1253</v>
      </c>
      <c r="J3431" s="222" t="s">
        <v>80</v>
      </c>
      <c r="K3431" s="227">
        <v>2216.6272663783816</v>
      </c>
      <c r="L3431" s="227"/>
    </row>
    <row r="3432" spans="1:15" ht="11.25" customHeight="1" x14ac:dyDescent="0.2">
      <c r="A3432" s="228">
        <v>2024</v>
      </c>
      <c r="B3432" s="228">
        <v>2</v>
      </c>
      <c r="C3432" s="228">
        <v>22</v>
      </c>
      <c r="D3432" s="229">
        <f t="shared" si="261"/>
        <v>45344</v>
      </c>
      <c r="E3432" s="241">
        <f t="shared" si="260"/>
        <v>45344</v>
      </c>
      <c r="F3432" s="512"/>
      <c r="G3432" s="231" t="s">
        <v>1245</v>
      </c>
      <c r="H3432" s="232"/>
      <c r="I3432" s="232" t="s">
        <v>1253</v>
      </c>
      <c r="J3432" s="228" t="s">
        <v>42</v>
      </c>
      <c r="K3432" s="233"/>
      <c r="L3432" s="233">
        <v>2216.6272663783816</v>
      </c>
    </row>
    <row r="3433" spans="1:15" ht="11.25" customHeight="1" x14ac:dyDescent="0.2">
      <c r="A3433" s="197">
        <v>2024</v>
      </c>
      <c r="B3433" s="197">
        <v>2</v>
      </c>
      <c r="C3433" s="197">
        <v>25</v>
      </c>
      <c r="D3433" s="198">
        <f t="shared" si="261"/>
        <v>45347</v>
      </c>
      <c r="E3433" s="209">
        <f t="shared" ref="E3433:E3439" si="262">DATE(A3433,B3433,C3433)</f>
        <v>45347</v>
      </c>
      <c r="F3433" s="513" t="s">
        <v>1210</v>
      </c>
      <c r="G3433" s="200" t="s">
        <v>1209</v>
      </c>
      <c r="H3433" s="201"/>
      <c r="I3433" s="201" t="s">
        <v>1333</v>
      </c>
      <c r="J3433" s="197" t="s">
        <v>46</v>
      </c>
      <c r="K3433" s="202">
        <v>100000</v>
      </c>
      <c r="L3433" s="202"/>
    </row>
    <row r="3434" spans="1:15" ht="11.25" customHeight="1" x14ac:dyDescent="0.2">
      <c r="A3434" s="120">
        <v>2024</v>
      </c>
      <c r="B3434" s="120">
        <v>2</v>
      </c>
      <c r="C3434" s="120">
        <v>25</v>
      </c>
      <c r="D3434" s="208">
        <f t="shared" si="261"/>
        <v>45347</v>
      </c>
      <c r="E3434" s="209">
        <f t="shared" si="262"/>
        <v>45347</v>
      </c>
      <c r="F3434" s="515"/>
      <c r="G3434" s="132" t="s">
        <v>1209</v>
      </c>
      <c r="I3434" s="128" t="s">
        <v>1333</v>
      </c>
      <c r="J3434" s="120" t="s">
        <v>16</v>
      </c>
      <c r="K3434" s="207"/>
      <c r="L3434" s="207">
        <v>92380</v>
      </c>
    </row>
    <row r="3435" spans="1:15" ht="11.25" customHeight="1" x14ac:dyDescent="0.2">
      <c r="A3435" s="191">
        <v>2024</v>
      </c>
      <c r="B3435" s="191">
        <v>2</v>
      </c>
      <c r="C3435" s="191">
        <v>25</v>
      </c>
      <c r="D3435" s="192">
        <f t="shared" si="261"/>
        <v>45347</v>
      </c>
      <c r="E3435" s="193">
        <f t="shared" si="262"/>
        <v>45347</v>
      </c>
      <c r="F3435" s="514"/>
      <c r="G3435" s="194" t="s">
        <v>1209</v>
      </c>
      <c r="H3435" s="195"/>
      <c r="I3435" s="195" t="s">
        <v>1333</v>
      </c>
      <c r="J3435" s="191" t="s">
        <v>47</v>
      </c>
      <c r="K3435" s="196"/>
      <c r="L3435" s="196">
        <v>7620</v>
      </c>
    </row>
    <row r="3436" spans="1:15" ht="11.25" customHeight="1" x14ac:dyDescent="0.2">
      <c r="A3436" s="197">
        <v>2024</v>
      </c>
      <c r="B3436" s="197">
        <v>2</v>
      </c>
      <c r="C3436" s="197">
        <v>27</v>
      </c>
      <c r="D3436" s="198">
        <f t="shared" si="261"/>
        <v>45349</v>
      </c>
      <c r="E3436" s="199">
        <f t="shared" si="262"/>
        <v>45349</v>
      </c>
      <c r="F3436" s="513" t="s">
        <v>1389</v>
      </c>
      <c r="G3436" s="200" t="s">
        <v>1209</v>
      </c>
      <c r="H3436" s="200"/>
      <c r="I3436" s="201" t="s">
        <v>1253</v>
      </c>
      <c r="J3436" s="248" t="s">
        <v>84</v>
      </c>
      <c r="K3436" s="202">
        <v>3.71</v>
      </c>
      <c r="L3436" s="202"/>
      <c r="M3436" s="251"/>
    </row>
    <row r="3437" spans="1:15" ht="11.25" customHeight="1" x14ac:dyDescent="0.2">
      <c r="A3437" s="191">
        <v>2024</v>
      </c>
      <c r="B3437" s="191">
        <v>2</v>
      </c>
      <c r="C3437" s="191">
        <v>27</v>
      </c>
      <c r="D3437" s="192">
        <f t="shared" si="261"/>
        <v>45349</v>
      </c>
      <c r="E3437" s="193">
        <f t="shared" si="262"/>
        <v>45349</v>
      </c>
      <c r="F3437" s="514"/>
      <c r="G3437" s="194" t="s">
        <v>1209</v>
      </c>
      <c r="H3437" s="194"/>
      <c r="I3437" s="195" t="s">
        <v>1253</v>
      </c>
      <c r="J3437" s="250" t="s">
        <v>46</v>
      </c>
      <c r="K3437" s="196"/>
      <c r="L3437" s="196">
        <v>3.71</v>
      </c>
      <c r="M3437" s="251"/>
    </row>
    <row r="3438" spans="1:15" ht="11.25" customHeight="1" x14ac:dyDescent="0.2">
      <c r="A3438" s="197">
        <v>2024</v>
      </c>
      <c r="B3438" s="197">
        <v>2</v>
      </c>
      <c r="C3438" s="197">
        <v>27</v>
      </c>
      <c r="D3438" s="198">
        <f t="shared" si="261"/>
        <v>45349</v>
      </c>
      <c r="E3438" s="290">
        <f t="shared" si="262"/>
        <v>45349</v>
      </c>
      <c r="F3438" s="513" t="s">
        <v>1514</v>
      </c>
      <c r="G3438" s="200" t="s">
        <v>1209</v>
      </c>
      <c r="H3438" s="201"/>
      <c r="I3438" s="201"/>
      <c r="J3438" s="197" t="s">
        <v>54</v>
      </c>
      <c r="K3438" s="202">
        <v>60</v>
      </c>
      <c r="L3438" s="202"/>
      <c r="M3438" s="251"/>
      <c r="N3438" s="251"/>
      <c r="O3438" s="251"/>
    </row>
    <row r="3439" spans="1:15" ht="11.25" customHeight="1" x14ac:dyDescent="0.2">
      <c r="A3439" s="191">
        <v>2024</v>
      </c>
      <c r="B3439" s="191">
        <v>2</v>
      </c>
      <c r="C3439" s="191">
        <v>27</v>
      </c>
      <c r="D3439" s="192">
        <f t="shared" si="261"/>
        <v>45349</v>
      </c>
      <c r="E3439" s="291">
        <f t="shared" si="262"/>
        <v>45349</v>
      </c>
      <c r="F3439" s="514"/>
      <c r="G3439" s="194" t="s">
        <v>1209</v>
      </c>
      <c r="H3439" s="195"/>
      <c r="I3439" s="195"/>
      <c r="J3439" s="191" t="s">
        <v>46</v>
      </c>
      <c r="K3439" s="196"/>
      <c r="L3439" s="196">
        <v>60</v>
      </c>
      <c r="M3439" s="251"/>
      <c r="N3439" s="251"/>
      <c r="O3439" s="251"/>
    </row>
    <row r="3440" spans="1:15" ht="11.25" customHeight="1" x14ac:dyDescent="0.2">
      <c r="A3440" s="197">
        <v>2024</v>
      </c>
      <c r="B3440" s="197">
        <v>2</v>
      </c>
      <c r="C3440" s="197">
        <v>27</v>
      </c>
      <c r="D3440" s="198">
        <f t="shared" si="261"/>
        <v>45349</v>
      </c>
      <c r="E3440" s="209">
        <f t="shared" ref="E3440:E3447" si="263">DATE(A3440,B3440,C3440)</f>
        <v>45349</v>
      </c>
      <c r="F3440" s="513" t="s">
        <v>1210</v>
      </c>
      <c r="G3440" s="200" t="s">
        <v>1209</v>
      </c>
      <c r="H3440" s="201"/>
      <c r="I3440" s="201" t="s">
        <v>1217</v>
      </c>
      <c r="J3440" s="197" t="s">
        <v>46</v>
      </c>
      <c r="K3440" s="202">
        <v>500000</v>
      </c>
      <c r="L3440" s="202"/>
    </row>
    <row r="3441" spans="1:15" ht="11.25" customHeight="1" x14ac:dyDescent="0.2">
      <c r="A3441" s="120">
        <v>2024</v>
      </c>
      <c r="B3441" s="120">
        <v>2</v>
      </c>
      <c r="C3441" s="120">
        <v>27</v>
      </c>
      <c r="D3441" s="208">
        <f t="shared" si="261"/>
        <v>45349</v>
      </c>
      <c r="E3441" s="209">
        <f t="shared" si="263"/>
        <v>45349</v>
      </c>
      <c r="F3441" s="515"/>
      <c r="G3441" s="132" t="s">
        <v>1209</v>
      </c>
      <c r="I3441" s="128" t="s">
        <v>1217</v>
      </c>
      <c r="J3441" s="120" t="s">
        <v>16</v>
      </c>
      <c r="K3441" s="207"/>
      <c r="L3441" s="207">
        <v>461890</v>
      </c>
    </row>
    <row r="3442" spans="1:15" ht="11.25" customHeight="1" x14ac:dyDescent="0.2">
      <c r="A3442" s="191">
        <v>2024</v>
      </c>
      <c r="B3442" s="191">
        <v>2</v>
      </c>
      <c r="C3442" s="191">
        <v>27</v>
      </c>
      <c r="D3442" s="192">
        <f t="shared" si="261"/>
        <v>45349</v>
      </c>
      <c r="E3442" s="193">
        <f t="shared" si="263"/>
        <v>45349</v>
      </c>
      <c r="F3442" s="514"/>
      <c r="G3442" s="194" t="s">
        <v>1209</v>
      </c>
      <c r="H3442" s="195"/>
      <c r="I3442" s="195" t="s">
        <v>1217</v>
      </c>
      <c r="J3442" s="191" t="s">
        <v>47</v>
      </c>
      <c r="K3442" s="196"/>
      <c r="L3442" s="196">
        <v>38110</v>
      </c>
    </row>
    <row r="3443" spans="1:15" ht="11.25" customHeight="1" x14ac:dyDescent="0.2">
      <c r="A3443" s="197">
        <v>2024</v>
      </c>
      <c r="B3443" s="197">
        <v>2</v>
      </c>
      <c r="C3443" s="197">
        <v>27</v>
      </c>
      <c r="D3443" s="198">
        <f t="shared" si="261"/>
        <v>45349</v>
      </c>
      <c r="E3443" s="209">
        <f t="shared" si="263"/>
        <v>45349</v>
      </c>
      <c r="F3443" s="513" t="s">
        <v>1296</v>
      </c>
      <c r="G3443" s="200" t="s">
        <v>1209</v>
      </c>
      <c r="H3443" s="201"/>
      <c r="I3443" s="201"/>
      <c r="J3443" s="197" t="s">
        <v>46</v>
      </c>
      <c r="K3443" s="202">
        <v>305540</v>
      </c>
      <c r="L3443" s="202"/>
    </row>
    <row r="3444" spans="1:15" ht="11.25" customHeight="1" x14ac:dyDescent="0.2">
      <c r="A3444" s="120">
        <v>2024</v>
      </c>
      <c r="B3444" s="120">
        <v>2</v>
      </c>
      <c r="C3444" s="120">
        <v>27</v>
      </c>
      <c r="D3444" s="208">
        <f t="shared" si="261"/>
        <v>45349</v>
      </c>
      <c r="E3444" s="209">
        <f t="shared" si="263"/>
        <v>45349</v>
      </c>
      <c r="F3444" s="515"/>
      <c r="G3444" s="132" t="s">
        <v>1209</v>
      </c>
      <c r="J3444" s="120" t="s">
        <v>16</v>
      </c>
      <c r="K3444" s="207"/>
      <c r="L3444" s="207">
        <v>282280</v>
      </c>
    </row>
    <row r="3445" spans="1:15" ht="11.25" customHeight="1" x14ac:dyDescent="0.2">
      <c r="A3445" s="191">
        <v>2024</v>
      </c>
      <c r="B3445" s="191">
        <v>2</v>
      </c>
      <c r="C3445" s="191">
        <v>27</v>
      </c>
      <c r="D3445" s="192">
        <f t="shared" si="261"/>
        <v>45349</v>
      </c>
      <c r="E3445" s="193">
        <f t="shared" si="263"/>
        <v>45349</v>
      </c>
      <c r="F3445" s="514"/>
      <c r="G3445" s="194" t="s">
        <v>1209</v>
      </c>
      <c r="H3445" s="195"/>
      <c r="I3445" s="195"/>
      <c r="J3445" s="191" t="s">
        <v>47</v>
      </c>
      <c r="K3445" s="196"/>
      <c r="L3445" s="196">
        <v>23260</v>
      </c>
    </row>
    <row r="3446" spans="1:15" ht="11.25" customHeight="1" x14ac:dyDescent="0.2">
      <c r="A3446" s="197">
        <v>2024</v>
      </c>
      <c r="B3446" s="197">
        <v>2</v>
      </c>
      <c r="C3446" s="197">
        <v>27</v>
      </c>
      <c r="D3446" s="198">
        <f t="shared" si="261"/>
        <v>45349</v>
      </c>
      <c r="E3446" s="290">
        <f t="shared" si="263"/>
        <v>45349</v>
      </c>
      <c r="F3446" s="513" t="s">
        <v>1514</v>
      </c>
      <c r="G3446" s="200" t="s">
        <v>1209</v>
      </c>
      <c r="H3446" s="201"/>
      <c r="I3446" s="201"/>
      <c r="J3446" s="197" t="s">
        <v>54</v>
      </c>
      <c r="K3446" s="202">
        <v>60</v>
      </c>
      <c r="L3446" s="202"/>
      <c r="M3446" s="251"/>
      <c r="N3446" s="251"/>
      <c r="O3446" s="251"/>
    </row>
    <row r="3447" spans="1:15" ht="11.25" customHeight="1" x14ac:dyDescent="0.2">
      <c r="A3447" s="191">
        <v>2024</v>
      </c>
      <c r="B3447" s="191">
        <v>2</v>
      </c>
      <c r="C3447" s="191">
        <v>27</v>
      </c>
      <c r="D3447" s="192">
        <f t="shared" si="261"/>
        <v>45349</v>
      </c>
      <c r="E3447" s="291">
        <f t="shared" si="263"/>
        <v>45349</v>
      </c>
      <c r="F3447" s="514"/>
      <c r="G3447" s="194" t="s">
        <v>1209</v>
      </c>
      <c r="H3447" s="195"/>
      <c r="I3447" s="195"/>
      <c r="J3447" s="191" t="s">
        <v>46</v>
      </c>
      <c r="K3447" s="196"/>
      <c r="L3447" s="196">
        <v>60</v>
      </c>
      <c r="M3447" s="251"/>
      <c r="N3447" s="251"/>
      <c r="O3447" s="251"/>
    </row>
    <row r="3448" spans="1:15" ht="11.25" customHeight="1" x14ac:dyDescent="0.2">
      <c r="A3448" s="197">
        <v>2024</v>
      </c>
      <c r="B3448" s="197">
        <v>2</v>
      </c>
      <c r="C3448" s="197">
        <v>27</v>
      </c>
      <c r="D3448" s="198">
        <f t="shared" si="261"/>
        <v>45349</v>
      </c>
      <c r="E3448" s="290">
        <f>DATE(A3448,B3448,C3448)</f>
        <v>45349</v>
      </c>
      <c r="F3448" s="513" t="s">
        <v>1574</v>
      </c>
      <c r="G3448" s="200" t="s">
        <v>1245</v>
      </c>
      <c r="H3448" s="201"/>
      <c r="I3448" s="201" t="s">
        <v>1253</v>
      </c>
      <c r="J3448" s="197" t="s">
        <v>46</v>
      </c>
      <c r="K3448" s="202">
        <v>2063050</v>
      </c>
      <c r="L3448" s="202"/>
    </row>
    <row r="3449" spans="1:15" ht="11.25" customHeight="1" x14ac:dyDescent="0.2">
      <c r="A3449" s="120">
        <v>2024</v>
      </c>
      <c r="B3449" s="120">
        <v>2</v>
      </c>
      <c r="C3449" s="120">
        <v>27</v>
      </c>
      <c r="D3449" s="208">
        <f t="shared" si="261"/>
        <v>45349</v>
      </c>
      <c r="E3449" s="293">
        <f>DATE(A3449,B3449,C3449)</f>
        <v>45349</v>
      </c>
      <c r="F3449" s="515"/>
      <c r="G3449" s="132" t="s">
        <v>1245</v>
      </c>
      <c r="J3449" s="120" t="s">
        <v>1283</v>
      </c>
      <c r="K3449" s="207"/>
      <c r="L3449" s="207">
        <v>1705000</v>
      </c>
    </row>
    <row r="3450" spans="1:15" ht="11.25" customHeight="1" x14ac:dyDescent="0.2">
      <c r="A3450" s="191">
        <v>2024</v>
      </c>
      <c r="B3450" s="191">
        <v>2</v>
      </c>
      <c r="C3450" s="191">
        <v>27</v>
      </c>
      <c r="D3450" s="192">
        <f t="shared" si="261"/>
        <v>45349</v>
      </c>
      <c r="E3450" s="291">
        <f>DATE(A3450,B3450,C3450)</f>
        <v>45349</v>
      </c>
      <c r="F3450" s="514"/>
      <c r="G3450" s="194" t="s">
        <v>1245</v>
      </c>
      <c r="H3450" s="195"/>
      <c r="I3450" s="195" t="s">
        <v>1253</v>
      </c>
      <c r="J3450" s="191" t="s">
        <v>1284</v>
      </c>
      <c r="K3450" s="196"/>
      <c r="L3450" s="196">
        <v>358050</v>
      </c>
    </row>
    <row r="3451" spans="1:15" ht="11.25" customHeight="1" x14ac:dyDescent="0.2">
      <c r="A3451" s="197">
        <v>2024</v>
      </c>
      <c r="B3451" s="197">
        <v>2</v>
      </c>
      <c r="C3451" s="197">
        <v>28</v>
      </c>
      <c r="D3451" s="198">
        <f t="shared" si="261"/>
        <v>45350</v>
      </c>
      <c r="E3451" s="199">
        <f t="shared" ref="E3451:E3468" si="264">DATE(A3451,B3451,C3451)</f>
        <v>45350</v>
      </c>
      <c r="F3451" s="513" t="s">
        <v>1576</v>
      </c>
      <c r="G3451" s="200" t="s">
        <v>1209</v>
      </c>
      <c r="H3451" s="200"/>
      <c r="I3451" s="201" t="s">
        <v>1253</v>
      </c>
      <c r="J3451" s="197" t="s">
        <v>70</v>
      </c>
      <c r="K3451" s="202">
        <v>35040</v>
      </c>
      <c r="L3451" s="202"/>
    </row>
    <row r="3452" spans="1:15" ht="11.25" customHeight="1" x14ac:dyDescent="0.2">
      <c r="A3452" s="120">
        <v>2024</v>
      </c>
      <c r="B3452" s="120">
        <v>2</v>
      </c>
      <c r="C3452" s="120">
        <v>28</v>
      </c>
      <c r="D3452" s="208">
        <f t="shared" si="261"/>
        <v>45350</v>
      </c>
      <c r="E3452" s="209">
        <f t="shared" si="264"/>
        <v>45350</v>
      </c>
      <c r="F3452" s="515"/>
      <c r="G3452" s="132" t="s">
        <v>1209</v>
      </c>
      <c r="H3452" s="132"/>
      <c r="I3452" s="128" t="s">
        <v>1253</v>
      </c>
      <c r="J3452" s="120" t="s">
        <v>46</v>
      </c>
      <c r="K3452" s="207">
        <v>2364960</v>
      </c>
      <c r="L3452" s="207"/>
    </row>
    <row r="3453" spans="1:15" ht="11.25" customHeight="1" x14ac:dyDescent="0.2">
      <c r="A3453" s="191">
        <v>2024</v>
      </c>
      <c r="B3453" s="191">
        <v>2</v>
      </c>
      <c r="C3453" s="191">
        <v>28</v>
      </c>
      <c r="D3453" s="192">
        <f t="shared" si="261"/>
        <v>45350</v>
      </c>
      <c r="E3453" s="193">
        <f t="shared" si="264"/>
        <v>45350</v>
      </c>
      <c r="F3453" s="514"/>
      <c r="G3453" s="194" t="s">
        <v>1209</v>
      </c>
      <c r="H3453" s="194"/>
      <c r="I3453" s="195"/>
      <c r="J3453" s="191" t="s">
        <v>175</v>
      </c>
      <c r="K3453" s="196"/>
      <c r="L3453" s="196">
        <v>2400000</v>
      </c>
      <c r="M3453" s="251"/>
    </row>
    <row r="3454" spans="1:15" ht="11.25" customHeight="1" x14ac:dyDescent="0.2">
      <c r="A3454" s="197">
        <v>2024</v>
      </c>
      <c r="B3454" s="197">
        <v>2</v>
      </c>
      <c r="C3454" s="197">
        <v>28</v>
      </c>
      <c r="D3454" s="198">
        <f t="shared" si="261"/>
        <v>45350</v>
      </c>
      <c r="E3454" s="209">
        <f t="shared" si="264"/>
        <v>45350</v>
      </c>
      <c r="F3454" s="513" t="s">
        <v>1280</v>
      </c>
      <c r="G3454" s="200" t="s">
        <v>1209</v>
      </c>
      <c r="H3454" s="201"/>
      <c r="I3454" s="201" t="s">
        <v>1137</v>
      </c>
      <c r="J3454" s="197" t="s">
        <v>16</v>
      </c>
      <c r="K3454" s="202">
        <v>13860</v>
      </c>
      <c r="L3454" s="202"/>
    </row>
    <row r="3455" spans="1:15" ht="11.25" customHeight="1" x14ac:dyDescent="0.2">
      <c r="A3455" s="120">
        <v>2024</v>
      </c>
      <c r="B3455" s="120">
        <v>2</v>
      </c>
      <c r="C3455" s="120">
        <v>28</v>
      </c>
      <c r="D3455" s="208">
        <f t="shared" si="261"/>
        <v>45350</v>
      </c>
      <c r="E3455" s="209">
        <f t="shared" si="264"/>
        <v>45350</v>
      </c>
      <c r="F3455" s="515"/>
      <c r="G3455" s="132" t="s">
        <v>1209</v>
      </c>
      <c r="I3455" s="128" t="s">
        <v>1137</v>
      </c>
      <c r="J3455" s="120" t="s">
        <v>47</v>
      </c>
      <c r="K3455" s="207">
        <v>1140</v>
      </c>
      <c r="L3455" s="207"/>
    </row>
    <row r="3456" spans="1:15" ht="11.25" customHeight="1" x14ac:dyDescent="0.2">
      <c r="A3456" s="191">
        <v>2024</v>
      </c>
      <c r="B3456" s="191">
        <v>2</v>
      </c>
      <c r="C3456" s="191">
        <v>28</v>
      </c>
      <c r="D3456" s="192">
        <f t="shared" si="261"/>
        <v>45350</v>
      </c>
      <c r="E3456" s="193">
        <f t="shared" si="264"/>
        <v>45350</v>
      </c>
      <c r="F3456" s="514"/>
      <c r="G3456" s="194" t="s">
        <v>1209</v>
      </c>
      <c r="H3456" s="195"/>
      <c r="I3456" s="195" t="s">
        <v>1137</v>
      </c>
      <c r="J3456" s="191" t="s">
        <v>46</v>
      </c>
      <c r="K3456" s="196"/>
      <c r="L3456" s="196">
        <v>15000</v>
      </c>
    </row>
    <row r="3457" spans="1:15" ht="11.25" customHeight="1" x14ac:dyDescent="0.2">
      <c r="A3457" s="197">
        <v>2024</v>
      </c>
      <c r="B3457" s="197">
        <v>2</v>
      </c>
      <c r="C3457" s="197">
        <v>28</v>
      </c>
      <c r="D3457" s="198">
        <f t="shared" si="261"/>
        <v>45350</v>
      </c>
      <c r="E3457" s="209">
        <f t="shared" si="264"/>
        <v>45350</v>
      </c>
      <c r="F3457" s="513" t="s">
        <v>1280</v>
      </c>
      <c r="G3457" s="200" t="s">
        <v>1209</v>
      </c>
      <c r="H3457" s="201"/>
      <c r="I3457" s="201" t="s">
        <v>1115</v>
      </c>
      <c r="J3457" s="197" t="s">
        <v>16</v>
      </c>
      <c r="K3457" s="202">
        <v>213050</v>
      </c>
      <c r="L3457" s="202"/>
    </row>
    <row r="3458" spans="1:15" ht="11.25" customHeight="1" x14ac:dyDescent="0.2">
      <c r="A3458" s="120">
        <v>2024</v>
      </c>
      <c r="B3458" s="120">
        <v>2</v>
      </c>
      <c r="C3458" s="120">
        <v>28</v>
      </c>
      <c r="D3458" s="208">
        <f t="shared" si="261"/>
        <v>45350</v>
      </c>
      <c r="E3458" s="209">
        <f t="shared" si="264"/>
        <v>45350</v>
      </c>
      <c r="F3458" s="515"/>
      <c r="G3458" s="132" t="s">
        <v>1209</v>
      </c>
      <c r="I3458" s="128" t="s">
        <v>1115</v>
      </c>
      <c r="J3458" s="120" t="s">
        <v>47</v>
      </c>
      <c r="K3458" s="207">
        <v>17576.630000000005</v>
      </c>
      <c r="L3458" s="207"/>
    </row>
    <row r="3459" spans="1:15" ht="11.25" customHeight="1" x14ac:dyDescent="0.2">
      <c r="A3459" s="191">
        <v>2024</v>
      </c>
      <c r="B3459" s="191">
        <v>2</v>
      </c>
      <c r="C3459" s="191">
        <v>28</v>
      </c>
      <c r="D3459" s="192">
        <f t="shared" si="261"/>
        <v>45350</v>
      </c>
      <c r="E3459" s="193">
        <f t="shared" si="264"/>
        <v>45350</v>
      </c>
      <c r="F3459" s="514"/>
      <c r="G3459" s="194" t="s">
        <v>1209</v>
      </c>
      <c r="H3459" s="195"/>
      <c r="I3459" s="195" t="s">
        <v>1115</v>
      </c>
      <c r="J3459" s="191" t="s">
        <v>46</v>
      </c>
      <c r="K3459" s="196"/>
      <c r="L3459" s="196">
        <v>230626.63</v>
      </c>
    </row>
    <row r="3460" spans="1:15" ht="11.25" customHeight="1" x14ac:dyDescent="0.2">
      <c r="A3460" s="197">
        <v>2024</v>
      </c>
      <c r="B3460" s="197">
        <v>2</v>
      </c>
      <c r="C3460" s="197">
        <v>28</v>
      </c>
      <c r="D3460" s="198">
        <f t="shared" si="261"/>
        <v>45350</v>
      </c>
      <c r="E3460" s="199">
        <f t="shared" si="264"/>
        <v>45350</v>
      </c>
      <c r="F3460" s="513" t="s">
        <v>1578</v>
      </c>
      <c r="G3460" s="200" t="s">
        <v>1209</v>
      </c>
      <c r="H3460" s="201"/>
      <c r="I3460" s="201" t="s">
        <v>1253</v>
      </c>
      <c r="J3460" s="197" t="s">
        <v>46</v>
      </c>
      <c r="K3460" s="202">
        <v>5000000</v>
      </c>
      <c r="L3460" s="202"/>
    </row>
    <row r="3461" spans="1:15" ht="11.25" customHeight="1" x14ac:dyDescent="0.2">
      <c r="A3461" s="120">
        <v>2024</v>
      </c>
      <c r="B3461" s="120">
        <v>2</v>
      </c>
      <c r="C3461" s="120">
        <v>28</v>
      </c>
      <c r="D3461" s="208">
        <f t="shared" si="261"/>
        <v>45350</v>
      </c>
      <c r="E3461" s="209">
        <f t="shared" si="264"/>
        <v>45350</v>
      </c>
      <c r="F3461" s="515"/>
      <c r="G3461" s="132" t="s">
        <v>1209</v>
      </c>
      <c r="J3461" s="120" t="s">
        <v>1462</v>
      </c>
      <c r="K3461" s="120"/>
      <c r="L3461" s="207">
        <v>124510</v>
      </c>
    </row>
    <row r="3462" spans="1:15" ht="11.25" customHeight="1" x14ac:dyDescent="0.2">
      <c r="A3462" s="191">
        <v>2024</v>
      </c>
      <c r="B3462" s="191">
        <v>2</v>
      </c>
      <c r="C3462" s="191">
        <v>28</v>
      </c>
      <c r="D3462" s="192">
        <f t="shared" si="261"/>
        <v>45350</v>
      </c>
      <c r="E3462" s="193">
        <f t="shared" si="264"/>
        <v>45350</v>
      </c>
      <c r="F3462" s="514"/>
      <c r="G3462" s="194" t="s">
        <v>1209</v>
      </c>
      <c r="H3462" s="195"/>
      <c r="I3462" s="195" t="s">
        <v>1253</v>
      </c>
      <c r="J3462" s="191" t="s">
        <v>1455</v>
      </c>
      <c r="K3462" s="196"/>
      <c r="L3462" s="196">
        <v>4875490</v>
      </c>
      <c r="N3462" s="130"/>
    </row>
    <row r="3463" spans="1:15" ht="11.25" customHeight="1" x14ac:dyDescent="0.2">
      <c r="A3463" s="197">
        <v>2024</v>
      </c>
      <c r="B3463" s="197">
        <v>2</v>
      </c>
      <c r="C3463" s="197">
        <v>29</v>
      </c>
      <c r="D3463" s="198">
        <f t="shared" si="261"/>
        <v>45351</v>
      </c>
      <c r="E3463" s="209">
        <f t="shared" si="264"/>
        <v>45351</v>
      </c>
      <c r="F3463" s="513" t="s">
        <v>1280</v>
      </c>
      <c r="G3463" s="200" t="s">
        <v>1209</v>
      </c>
      <c r="H3463" s="201"/>
      <c r="I3463" s="201" t="s">
        <v>1214</v>
      </c>
      <c r="J3463" s="197" t="s">
        <v>16</v>
      </c>
      <c r="K3463" s="202">
        <v>1077790</v>
      </c>
      <c r="L3463" s="202"/>
    </row>
    <row r="3464" spans="1:15" ht="11.25" customHeight="1" x14ac:dyDescent="0.2">
      <c r="A3464" s="120">
        <v>2024</v>
      </c>
      <c r="B3464" s="120">
        <v>2</v>
      </c>
      <c r="C3464" s="120">
        <v>29</v>
      </c>
      <c r="D3464" s="208">
        <f t="shared" si="261"/>
        <v>45351</v>
      </c>
      <c r="E3464" s="209">
        <f t="shared" si="264"/>
        <v>45351</v>
      </c>
      <c r="F3464" s="515"/>
      <c r="G3464" s="132" t="s">
        <v>1209</v>
      </c>
      <c r="I3464" s="128" t="s">
        <v>1214</v>
      </c>
      <c r="J3464" s="120" t="s">
        <v>47</v>
      </c>
      <c r="K3464" s="207">
        <v>88917.679999999935</v>
      </c>
      <c r="L3464" s="207"/>
    </row>
    <row r="3465" spans="1:15" ht="11.25" customHeight="1" x14ac:dyDescent="0.2">
      <c r="A3465" s="191">
        <v>2024</v>
      </c>
      <c r="B3465" s="191">
        <v>2</v>
      </c>
      <c r="C3465" s="191">
        <v>29</v>
      </c>
      <c r="D3465" s="192">
        <f t="shared" si="261"/>
        <v>45351</v>
      </c>
      <c r="E3465" s="193">
        <f t="shared" si="264"/>
        <v>45351</v>
      </c>
      <c r="F3465" s="514"/>
      <c r="G3465" s="194" t="s">
        <v>1209</v>
      </c>
      <c r="H3465" s="195"/>
      <c r="I3465" s="195" t="s">
        <v>1214</v>
      </c>
      <c r="J3465" s="191" t="s">
        <v>46</v>
      </c>
      <c r="K3465" s="196"/>
      <c r="L3465" s="196">
        <v>1166707.68</v>
      </c>
    </row>
    <row r="3466" spans="1:15" ht="11.25" customHeight="1" x14ac:dyDescent="0.2">
      <c r="A3466" s="197">
        <v>2024</v>
      </c>
      <c r="B3466" s="197">
        <v>2</v>
      </c>
      <c r="C3466" s="197">
        <v>29</v>
      </c>
      <c r="D3466" s="198">
        <f t="shared" si="261"/>
        <v>45351</v>
      </c>
      <c r="E3466" s="209">
        <f t="shared" si="264"/>
        <v>45351</v>
      </c>
      <c r="F3466" s="513" t="s">
        <v>1280</v>
      </c>
      <c r="G3466" s="200" t="s">
        <v>1209</v>
      </c>
      <c r="H3466" s="201"/>
      <c r="I3466" s="201" t="s">
        <v>1493</v>
      </c>
      <c r="J3466" s="197" t="s">
        <v>16</v>
      </c>
      <c r="K3466" s="202">
        <v>138000</v>
      </c>
      <c r="L3466" s="202"/>
    </row>
    <row r="3467" spans="1:15" ht="11.25" customHeight="1" x14ac:dyDescent="0.2">
      <c r="A3467" s="120">
        <v>2024</v>
      </c>
      <c r="B3467" s="120">
        <v>2</v>
      </c>
      <c r="C3467" s="120">
        <v>29</v>
      </c>
      <c r="D3467" s="208">
        <f t="shared" si="261"/>
        <v>45351</v>
      </c>
      <c r="E3467" s="209">
        <f t="shared" si="264"/>
        <v>45351</v>
      </c>
      <c r="F3467" s="515"/>
      <c r="G3467" s="132" t="s">
        <v>1209</v>
      </c>
      <c r="I3467" s="128" t="s">
        <v>1493</v>
      </c>
      <c r="J3467" s="120" t="s">
        <v>47</v>
      </c>
      <c r="K3467" s="207">
        <v>11385</v>
      </c>
      <c r="L3467" s="207"/>
    </row>
    <row r="3468" spans="1:15" ht="11.25" customHeight="1" x14ac:dyDescent="0.2">
      <c r="A3468" s="191">
        <v>2024</v>
      </c>
      <c r="B3468" s="191">
        <v>2</v>
      </c>
      <c r="C3468" s="191">
        <v>29</v>
      </c>
      <c r="D3468" s="192">
        <f t="shared" si="261"/>
        <v>45351</v>
      </c>
      <c r="E3468" s="193">
        <f t="shared" si="264"/>
        <v>45351</v>
      </c>
      <c r="F3468" s="514"/>
      <c r="G3468" s="194" t="s">
        <v>1209</v>
      </c>
      <c r="H3468" s="195"/>
      <c r="I3468" s="195" t="s">
        <v>1493</v>
      </c>
      <c r="J3468" s="191" t="s">
        <v>46</v>
      </c>
      <c r="K3468" s="196"/>
      <c r="L3468" s="196">
        <v>149385</v>
      </c>
    </row>
    <row r="3469" spans="1:15" ht="11.25" customHeight="1" x14ac:dyDescent="0.2">
      <c r="A3469" s="197">
        <v>2024</v>
      </c>
      <c r="B3469" s="197">
        <v>2</v>
      </c>
      <c r="C3469" s="197">
        <v>29</v>
      </c>
      <c r="D3469" s="198">
        <f t="shared" si="261"/>
        <v>45351</v>
      </c>
      <c r="E3469" s="209">
        <f t="shared" ref="E3469:E3506" si="265">DATE(A3469,B3469,C3469)</f>
        <v>45351</v>
      </c>
      <c r="F3469" s="513" t="s">
        <v>1210</v>
      </c>
      <c r="G3469" s="200" t="s">
        <v>1209</v>
      </c>
      <c r="H3469" s="201"/>
      <c r="I3469" s="201" t="s">
        <v>1491</v>
      </c>
      <c r="J3469" s="197" t="s">
        <v>46</v>
      </c>
      <c r="K3469" s="202">
        <v>2000</v>
      </c>
      <c r="L3469" s="202"/>
    </row>
    <row r="3470" spans="1:15" ht="11.25" customHeight="1" x14ac:dyDescent="0.2">
      <c r="A3470" s="120">
        <v>2024</v>
      </c>
      <c r="B3470" s="120">
        <v>2</v>
      </c>
      <c r="C3470" s="120">
        <v>29</v>
      </c>
      <c r="D3470" s="208">
        <f t="shared" si="261"/>
        <v>45351</v>
      </c>
      <c r="E3470" s="209">
        <f t="shared" si="265"/>
        <v>45351</v>
      </c>
      <c r="F3470" s="515"/>
      <c r="G3470" s="132" t="s">
        <v>1209</v>
      </c>
      <c r="I3470" s="128" t="s">
        <v>1491</v>
      </c>
      <c r="J3470" s="120" t="s">
        <v>16</v>
      </c>
      <c r="K3470" s="207"/>
      <c r="L3470" s="207">
        <v>1850</v>
      </c>
    </row>
    <row r="3471" spans="1:15" ht="11.25" customHeight="1" x14ac:dyDescent="0.2">
      <c r="A3471" s="191">
        <v>2024</v>
      </c>
      <c r="B3471" s="191">
        <v>2</v>
      </c>
      <c r="C3471" s="191">
        <v>29</v>
      </c>
      <c r="D3471" s="192">
        <f t="shared" si="261"/>
        <v>45351</v>
      </c>
      <c r="E3471" s="193">
        <f t="shared" si="265"/>
        <v>45351</v>
      </c>
      <c r="F3471" s="514"/>
      <c r="G3471" s="194" t="s">
        <v>1209</v>
      </c>
      <c r="H3471" s="195"/>
      <c r="I3471" s="195" t="s">
        <v>1491</v>
      </c>
      <c r="J3471" s="191" t="s">
        <v>47</v>
      </c>
      <c r="K3471" s="196"/>
      <c r="L3471" s="196">
        <v>150</v>
      </c>
    </row>
    <row r="3472" spans="1:15" ht="11.25" customHeight="1" x14ac:dyDescent="0.2">
      <c r="A3472" s="197">
        <v>2024</v>
      </c>
      <c r="B3472" s="197">
        <v>2</v>
      </c>
      <c r="C3472" s="197">
        <v>29</v>
      </c>
      <c r="D3472" s="198">
        <f t="shared" si="261"/>
        <v>45351</v>
      </c>
      <c r="E3472" s="290">
        <f t="shared" si="265"/>
        <v>45351</v>
      </c>
      <c r="F3472" s="513" t="s">
        <v>1608</v>
      </c>
      <c r="G3472" s="200" t="s">
        <v>1209</v>
      </c>
      <c r="H3472" s="201"/>
      <c r="I3472" s="201"/>
      <c r="J3472" s="197" t="s">
        <v>54</v>
      </c>
      <c r="K3472" s="202">
        <v>200</v>
      </c>
      <c r="L3472" s="202"/>
      <c r="M3472" s="251"/>
      <c r="N3472" s="251"/>
      <c r="O3472" s="251"/>
    </row>
    <row r="3473" spans="1:15" ht="11.25" customHeight="1" x14ac:dyDescent="0.2">
      <c r="A3473" s="191">
        <v>2024</v>
      </c>
      <c r="B3473" s="191">
        <v>2</v>
      </c>
      <c r="C3473" s="191">
        <v>29</v>
      </c>
      <c r="D3473" s="192">
        <f t="shared" si="261"/>
        <v>45351</v>
      </c>
      <c r="E3473" s="291">
        <f t="shared" si="265"/>
        <v>45351</v>
      </c>
      <c r="F3473" s="514"/>
      <c r="G3473" s="194" t="s">
        <v>1209</v>
      </c>
      <c r="H3473" s="195"/>
      <c r="I3473" s="195"/>
      <c r="J3473" s="191" t="s">
        <v>46</v>
      </c>
      <c r="K3473" s="196"/>
      <c r="L3473" s="196">
        <v>200</v>
      </c>
      <c r="M3473" s="251"/>
      <c r="N3473" s="251"/>
      <c r="O3473" s="251"/>
    </row>
    <row r="3474" spans="1:15" ht="11.25" customHeight="1" x14ac:dyDescent="0.2">
      <c r="A3474" s="210">
        <v>2024</v>
      </c>
      <c r="B3474" s="210">
        <v>2</v>
      </c>
      <c r="C3474" s="210">
        <v>29</v>
      </c>
      <c r="D3474" s="211">
        <f t="shared" si="261"/>
        <v>45351</v>
      </c>
      <c r="E3474" s="238">
        <f t="shared" si="265"/>
        <v>45351</v>
      </c>
      <c r="F3474" s="520" t="s">
        <v>1278</v>
      </c>
      <c r="G3474" s="213" t="s">
        <v>1245</v>
      </c>
      <c r="H3474" s="214"/>
      <c r="I3474" s="214" t="s">
        <v>1253</v>
      </c>
      <c r="J3474" s="210" t="s">
        <v>1529</v>
      </c>
      <c r="K3474" s="215">
        <v>7491.85</v>
      </c>
      <c r="L3474" s="215"/>
    </row>
    <row r="3475" spans="1:15" ht="11.25" customHeight="1" x14ac:dyDescent="0.2">
      <c r="A3475" s="216">
        <v>2024</v>
      </c>
      <c r="B3475" s="216">
        <v>2</v>
      </c>
      <c r="C3475" s="216">
        <v>29</v>
      </c>
      <c r="D3475" s="217">
        <f t="shared" si="261"/>
        <v>45351</v>
      </c>
      <c r="E3475" s="239">
        <f t="shared" si="265"/>
        <v>45351</v>
      </c>
      <c r="F3475" s="521"/>
      <c r="G3475" s="219" t="s">
        <v>1245</v>
      </c>
      <c r="H3475" s="220"/>
      <c r="I3475" s="220" t="s">
        <v>1253</v>
      </c>
      <c r="J3475" s="216" t="s">
        <v>1581</v>
      </c>
      <c r="K3475" s="221"/>
      <c r="L3475" s="221">
        <v>7491.85</v>
      </c>
    </row>
    <row r="3476" spans="1:15" ht="11.25" customHeight="1" x14ac:dyDescent="0.2">
      <c r="A3476" s="210">
        <v>2024</v>
      </c>
      <c r="B3476" s="210">
        <v>2</v>
      </c>
      <c r="C3476" s="210">
        <v>29</v>
      </c>
      <c r="D3476" s="211">
        <f t="shared" si="261"/>
        <v>45351</v>
      </c>
      <c r="E3476" s="238">
        <f t="shared" si="265"/>
        <v>45351</v>
      </c>
      <c r="F3476" s="520" t="s">
        <v>1285</v>
      </c>
      <c r="G3476" s="213" t="s">
        <v>1245</v>
      </c>
      <c r="H3476" s="214"/>
      <c r="I3476" s="214" t="s">
        <v>1253</v>
      </c>
      <c r="J3476" s="210" t="s">
        <v>1284</v>
      </c>
      <c r="K3476" s="215">
        <v>10328.365384615385</v>
      </c>
      <c r="L3476" s="215"/>
    </row>
    <row r="3477" spans="1:15" ht="11.25" customHeight="1" x14ac:dyDescent="0.2">
      <c r="A3477" s="242">
        <v>2024</v>
      </c>
      <c r="B3477" s="216">
        <v>2</v>
      </c>
      <c r="C3477" s="216">
        <v>29</v>
      </c>
      <c r="D3477" s="243">
        <f t="shared" si="261"/>
        <v>45351</v>
      </c>
      <c r="E3477" s="244">
        <f>DATE(A3477,B3477,C3477)</f>
        <v>45351</v>
      </c>
      <c r="F3477" s="524"/>
      <c r="G3477" s="245" t="s">
        <v>1245</v>
      </c>
      <c r="H3477" s="246"/>
      <c r="I3477" s="246"/>
      <c r="J3477" s="242" t="s">
        <v>1582</v>
      </c>
      <c r="K3477" s="247"/>
      <c r="L3477" s="247">
        <v>10328.365384615385</v>
      </c>
    </row>
    <row r="3478" spans="1:15" ht="11.25" customHeight="1" x14ac:dyDescent="0.2">
      <c r="A3478" s="210">
        <v>2024</v>
      </c>
      <c r="B3478" s="210">
        <v>2</v>
      </c>
      <c r="C3478" s="210">
        <v>29</v>
      </c>
      <c r="D3478" s="211">
        <f t="shared" si="261"/>
        <v>45351</v>
      </c>
      <c r="E3478" s="238">
        <f t="shared" si="265"/>
        <v>45351</v>
      </c>
      <c r="F3478" s="520" t="s">
        <v>1259</v>
      </c>
      <c r="G3478" s="213" t="s">
        <v>1245</v>
      </c>
      <c r="H3478" s="214"/>
      <c r="I3478" s="214" t="s">
        <v>1253</v>
      </c>
      <c r="J3478" s="210" t="s">
        <v>58</v>
      </c>
      <c r="K3478" s="215">
        <v>5505.73</v>
      </c>
      <c r="L3478" s="215"/>
    </row>
    <row r="3479" spans="1:15" ht="11.25" customHeight="1" x14ac:dyDescent="0.2">
      <c r="A3479" s="216">
        <v>2024</v>
      </c>
      <c r="B3479" s="216">
        <v>2</v>
      </c>
      <c r="C3479" s="216">
        <v>29</v>
      </c>
      <c r="D3479" s="217">
        <f t="shared" si="261"/>
        <v>45351</v>
      </c>
      <c r="E3479" s="239">
        <f t="shared" si="265"/>
        <v>45351</v>
      </c>
      <c r="F3479" s="521"/>
      <c r="G3479" s="219" t="s">
        <v>1245</v>
      </c>
      <c r="H3479" s="220"/>
      <c r="I3479" s="220" t="s">
        <v>1253</v>
      </c>
      <c r="J3479" s="216" t="s">
        <v>153</v>
      </c>
      <c r="K3479" s="221"/>
      <c r="L3479" s="221">
        <v>5505.73</v>
      </c>
    </row>
    <row r="3480" spans="1:15" ht="11.25" customHeight="1" x14ac:dyDescent="0.2">
      <c r="A3480" s="312">
        <v>2024</v>
      </c>
      <c r="B3480" s="312">
        <v>2</v>
      </c>
      <c r="C3480" s="312">
        <v>29</v>
      </c>
      <c r="D3480" s="313">
        <f t="shared" si="261"/>
        <v>45351</v>
      </c>
      <c r="E3480" s="314">
        <f t="shared" si="265"/>
        <v>45351</v>
      </c>
      <c r="F3480" s="522" t="s">
        <v>1477</v>
      </c>
      <c r="G3480" s="315" t="s">
        <v>1245</v>
      </c>
      <c r="H3480" s="316"/>
      <c r="I3480" s="316" t="s">
        <v>1253</v>
      </c>
      <c r="J3480" s="312" t="s">
        <v>1460</v>
      </c>
      <c r="K3480" s="317">
        <v>281760.90000003576</v>
      </c>
      <c r="L3480" s="317"/>
    </row>
    <row r="3481" spans="1:15" ht="11.25" customHeight="1" x14ac:dyDescent="0.2">
      <c r="A3481" s="318">
        <v>2024</v>
      </c>
      <c r="B3481" s="318">
        <v>2</v>
      </c>
      <c r="C3481" s="318">
        <v>29</v>
      </c>
      <c r="D3481" s="319">
        <f t="shared" si="261"/>
        <v>45351</v>
      </c>
      <c r="E3481" s="320">
        <f t="shared" si="265"/>
        <v>45351</v>
      </c>
      <c r="F3481" s="523"/>
      <c r="G3481" s="321" t="s">
        <v>1245</v>
      </c>
      <c r="H3481" s="322"/>
      <c r="I3481" s="322" t="s">
        <v>1253</v>
      </c>
      <c r="J3481" s="318" t="s">
        <v>1458</v>
      </c>
      <c r="K3481" s="323"/>
      <c r="L3481" s="323">
        <v>281760.90000003576</v>
      </c>
    </row>
    <row r="3482" spans="1:15" ht="11.25" customHeight="1" x14ac:dyDescent="0.2">
      <c r="A3482" s="222">
        <v>2024</v>
      </c>
      <c r="B3482" s="222">
        <v>2</v>
      </c>
      <c r="C3482" s="222">
        <v>29</v>
      </c>
      <c r="D3482" s="223">
        <f t="shared" si="261"/>
        <v>45351</v>
      </c>
      <c r="E3482" s="240">
        <f t="shared" si="265"/>
        <v>45351</v>
      </c>
      <c r="F3482" s="511" t="s">
        <v>1244</v>
      </c>
      <c r="G3482" s="225" t="s">
        <v>1245</v>
      </c>
      <c r="H3482" s="226"/>
      <c r="I3482" s="226" t="s">
        <v>1253</v>
      </c>
      <c r="J3482" s="222" t="s">
        <v>87</v>
      </c>
      <c r="K3482" s="227">
        <v>357405.38461538404</v>
      </c>
      <c r="L3482" s="227"/>
    </row>
    <row r="3483" spans="1:15" ht="11.25" customHeight="1" x14ac:dyDescent="0.2">
      <c r="A3483" s="228">
        <v>2024</v>
      </c>
      <c r="B3483" s="228">
        <v>2</v>
      </c>
      <c r="C3483" s="228">
        <v>29</v>
      </c>
      <c r="D3483" s="229">
        <f t="shared" si="261"/>
        <v>45351</v>
      </c>
      <c r="E3483" s="241">
        <f t="shared" si="265"/>
        <v>45351</v>
      </c>
      <c r="F3483" s="512"/>
      <c r="G3483" s="231" t="s">
        <v>1245</v>
      </c>
      <c r="H3483" s="232"/>
      <c r="I3483" s="232" t="s">
        <v>1253</v>
      </c>
      <c r="J3483" s="228" t="s">
        <v>72</v>
      </c>
      <c r="K3483" s="233"/>
      <c r="L3483" s="233">
        <v>357405.38461538404</v>
      </c>
    </row>
    <row r="3484" spans="1:15" ht="11.25" customHeight="1" x14ac:dyDescent="0.2">
      <c r="A3484" s="222">
        <v>2024</v>
      </c>
      <c r="B3484" s="222">
        <v>2</v>
      </c>
      <c r="C3484" s="222">
        <v>29</v>
      </c>
      <c r="D3484" s="223">
        <f t="shared" si="261"/>
        <v>45351</v>
      </c>
      <c r="E3484" s="240">
        <f t="shared" si="265"/>
        <v>45351</v>
      </c>
      <c r="F3484" s="511" t="s">
        <v>1246</v>
      </c>
      <c r="G3484" s="225" t="s">
        <v>1245</v>
      </c>
      <c r="H3484" s="226"/>
      <c r="I3484" s="226" t="s">
        <v>1253</v>
      </c>
      <c r="J3484" s="222" t="s">
        <v>75</v>
      </c>
      <c r="K3484" s="227">
        <v>3623.123846153846</v>
      </c>
      <c r="L3484" s="227"/>
    </row>
    <row r="3485" spans="1:15" ht="11.25" customHeight="1" x14ac:dyDescent="0.2">
      <c r="A3485" s="228">
        <v>2024</v>
      </c>
      <c r="B3485" s="228">
        <v>2</v>
      </c>
      <c r="C3485" s="228">
        <v>29</v>
      </c>
      <c r="D3485" s="229">
        <f t="shared" si="261"/>
        <v>45351</v>
      </c>
      <c r="E3485" s="241">
        <f t="shared" si="265"/>
        <v>45351</v>
      </c>
      <c r="F3485" s="512"/>
      <c r="G3485" s="231" t="s">
        <v>1245</v>
      </c>
      <c r="H3485" s="232"/>
      <c r="I3485" s="232" t="s">
        <v>1253</v>
      </c>
      <c r="J3485" s="228" t="s">
        <v>55</v>
      </c>
      <c r="K3485" s="233"/>
      <c r="L3485" s="233">
        <v>3623.123846153846</v>
      </c>
    </row>
    <row r="3486" spans="1:15" ht="11.25" customHeight="1" x14ac:dyDescent="0.2">
      <c r="A3486" s="222">
        <v>2024</v>
      </c>
      <c r="B3486" s="222">
        <v>2</v>
      </c>
      <c r="C3486" s="222">
        <v>29</v>
      </c>
      <c r="D3486" s="223">
        <f t="shared" si="261"/>
        <v>45351</v>
      </c>
      <c r="E3486" s="240">
        <f t="shared" si="265"/>
        <v>45351</v>
      </c>
      <c r="F3486" s="511" t="s">
        <v>1247</v>
      </c>
      <c r="G3486" s="225" t="s">
        <v>1245</v>
      </c>
      <c r="H3486" s="226"/>
      <c r="I3486" s="226" t="s">
        <v>1253</v>
      </c>
      <c r="J3486" s="222" t="s">
        <v>77</v>
      </c>
      <c r="K3486" s="227">
        <v>22150.108547518354</v>
      </c>
      <c r="L3486" s="227"/>
    </row>
    <row r="3487" spans="1:15" ht="11.25" customHeight="1" x14ac:dyDescent="0.2">
      <c r="A3487" s="228">
        <v>2024</v>
      </c>
      <c r="B3487" s="228">
        <v>2</v>
      </c>
      <c r="C3487" s="228">
        <v>29</v>
      </c>
      <c r="D3487" s="229">
        <f t="shared" si="261"/>
        <v>45351</v>
      </c>
      <c r="E3487" s="241">
        <f t="shared" si="265"/>
        <v>45351</v>
      </c>
      <c r="F3487" s="512"/>
      <c r="G3487" s="231" t="s">
        <v>1245</v>
      </c>
      <c r="H3487" s="232"/>
      <c r="I3487" s="232" t="s">
        <v>1253</v>
      </c>
      <c r="J3487" s="228" t="s">
        <v>41</v>
      </c>
      <c r="K3487" s="233"/>
      <c r="L3487" s="233">
        <v>22150.108547518354</v>
      </c>
    </row>
    <row r="3488" spans="1:15" ht="11.25" customHeight="1" x14ac:dyDescent="0.2">
      <c r="A3488" s="222">
        <v>2024</v>
      </c>
      <c r="B3488" s="222">
        <v>2</v>
      </c>
      <c r="C3488" s="222">
        <v>29</v>
      </c>
      <c r="D3488" s="223">
        <f t="shared" ref="D3488:D3545" si="266">DATE(A3488,B3488,C3488)</f>
        <v>45351</v>
      </c>
      <c r="E3488" s="240">
        <f t="shared" si="265"/>
        <v>45351</v>
      </c>
      <c r="F3488" s="511" t="s">
        <v>1248</v>
      </c>
      <c r="G3488" s="225" t="s">
        <v>1245</v>
      </c>
      <c r="H3488" s="226"/>
      <c r="I3488" s="226" t="s">
        <v>1253</v>
      </c>
      <c r="J3488" s="222" t="s">
        <v>80</v>
      </c>
      <c r="K3488" s="227">
        <v>2215.0108547518353</v>
      </c>
      <c r="L3488" s="227"/>
    </row>
    <row r="3489" spans="1:14" ht="11.25" customHeight="1" x14ac:dyDescent="0.2">
      <c r="A3489" s="228">
        <v>2024</v>
      </c>
      <c r="B3489" s="228">
        <v>2</v>
      </c>
      <c r="C3489" s="228">
        <v>29</v>
      </c>
      <c r="D3489" s="229">
        <f t="shared" si="266"/>
        <v>45351</v>
      </c>
      <c r="E3489" s="241">
        <f t="shared" si="265"/>
        <v>45351</v>
      </c>
      <c r="F3489" s="512"/>
      <c r="G3489" s="231" t="s">
        <v>1245</v>
      </c>
      <c r="H3489" s="232"/>
      <c r="I3489" s="232" t="s">
        <v>1253</v>
      </c>
      <c r="J3489" s="228" t="s">
        <v>42</v>
      </c>
      <c r="K3489" s="233"/>
      <c r="L3489" s="233">
        <v>2215.0108547518353</v>
      </c>
    </row>
    <row r="3490" spans="1:14" ht="11.25" customHeight="1" x14ac:dyDescent="0.2">
      <c r="A3490" s="197">
        <v>2024</v>
      </c>
      <c r="B3490" s="197">
        <v>3</v>
      </c>
      <c r="C3490" s="197">
        <v>3</v>
      </c>
      <c r="D3490" s="198">
        <f t="shared" si="266"/>
        <v>45354</v>
      </c>
      <c r="E3490" s="209">
        <f t="shared" si="265"/>
        <v>45354</v>
      </c>
      <c r="F3490" s="513" t="s">
        <v>1210</v>
      </c>
      <c r="G3490" s="200" t="s">
        <v>1209</v>
      </c>
      <c r="H3490" s="201"/>
      <c r="I3490" s="201" t="s">
        <v>724</v>
      </c>
      <c r="J3490" s="197" t="s">
        <v>46</v>
      </c>
      <c r="K3490" s="202">
        <v>400000</v>
      </c>
      <c r="L3490" s="202"/>
    </row>
    <row r="3491" spans="1:14" ht="11.25" customHeight="1" x14ac:dyDescent="0.2">
      <c r="A3491" s="120">
        <v>2024</v>
      </c>
      <c r="B3491" s="120">
        <v>3</v>
      </c>
      <c r="C3491" s="120">
        <v>3</v>
      </c>
      <c r="D3491" s="208">
        <f t="shared" si="266"/>
        <v>45354</v>
      </c>
      <c r="E3491" s="209">
        <f t="shared" si="265"/>
        <v>45354</v>
      </c>
      <c r="F3491" s="515"/>
      <c r="G3491" s="132" t="s">
        <v>1209</v>
      </c>
      <c r="I3491" s="128" t="s">
        <v>724</v>
      </c>
      <c r="J3491" s="120" t="s">
        <v>16</v>
      </c>
      <c r="K3491" s="207"/>
      <c r="L3491" s="207">
        <v>368770</v>
      </c>
    </row>
    <row r="3492" spans="1:14" ht="11.25" customHeight="1" x14ac:dyDescent="0.2">
      <c r="A3492" s="191">
        <v>2024</v>
      </c>
      <c r="B3492" s="191">
        <v>3</v>
      </c>
      <c r="C3492" s="191">
        <v>3</v>
      </c>
      <c r="D3492" s="192">
        <f t="shared" si="266"/>
        <v>45354</v>
      </c>
      <c r="E3492" s="193">
        <f t="shared" si="265"/>
        <v>45354</v>
      </c>
      <c r="F3492" s="514"/>
      <c r="G3492" s="194" t="s">
        <v>1209</v>
      </c>
      <c r="H3492" s="195"/>
      <c r="I3492" s="195" t="s">
        <v>724</v>
      </c>
      <c r="J3492" s="191" t="s">
        <v>47</v>
      </c>
      <c r="K3492" s="196"/>
      <c r="L3492" s="196">
        <v>31230</v>
      </c>
    </row>
    <row r="3493" spans="1:14" ht="11.25" customHeight="1" x14ac:dyDescent="0.2">
      <c r="A3493" s="197">
        <v>2024</v>
      </c>
      <c r="B3493" s="120">
        <v>3</v>
      </c>
      <c r="C3493" s="120">
        <v>3</v>
      </c>
      <c r="D3493" s="198">
        <f t="shared" si="266"/>
        <v>45354</v>
      </c>
      <c r="E3493" s="199">
        <f t="shared" si="265"/>
        <v>45354</v>
      </c>
      <c r="F3493" s="513" t="s">
        <v>1390</v>
      </c>
      <c r="G3493" s="200" t="s">
        <v>1209</v>
      </c>
      <c r="H3493" s="200"/>
      <c r="I3493" s="201" t="s">
        <v>1253</v>
      </c>
      <c r="J3493" s="197" t="s">
        <v>178</v>
      </c>
      <c r="K3493" s="202">
        <v>4651.1099999999997</v>
      </c>
      <c r="L3493" s="202"/>
    </row>
    <row r="3494" spans="1:14" ht="11.25" customHeight="1" x14ac:dyDescent="0.2">
      <c r="A3494" s="120">
        <v>2024</v>
      </c>
      <c r="B3494" s="120">
        <v>3</v>
      </c>
      <c r="C3494" s="120">
        <v>3</v>
      </c>
      <c r="D3494" s="208">
        <f t="shared" si="266"/>
        <v>45354</v>
      </c>
      <c r="E3494" s="209">
        <f t="shared" si="265"/>
        <v>45354</v>
      </c>
      <c r="F3494" s="515"/>
      <c r="G3494" s="132" t="s">
        <v>1209</v>
      </c>
      <c r="H3494" s="132"/>
      <c r="J3494" s="120" t="s">
        <v>71</v>
      </c>
      <c r="K3494" s="207">
        <v>8.39</v>
      </c>
      <c r="L3494" s="207"/>
    </row>
    <row r="3495" spans="1:14" ht="11.25" customHeight="1" x14ac:dyDescent="0.2">
      <c r="A3495" s="120">
        <v>2024</v>
      </c>
      <c r="B3495" s="120">
        <v>3</v>
      </c>
      <c r="C3495" s="120">
        <v>3</v>
      </c>
      <c r="D3495" s="208">
        <f t="shared" si="266"/>
        <v>45354</v>
      </c>
      <c r="E3495" s="209">
        <f t="shared" si="265"/>
        <v>45354</v>
      </c>
      <c r="F3495" s="515"/>
      <c r="G3495" s="132" t="s">
        <v>1209</v>
      </c>
      <c r="H3495" s="132"/>
      <c r="I3495" s="128" t="s">
        <v>1253</v>
      </c>
      <c r="J3495" s="120" t="s">
        <v>179</v>
      </c>
      <c r="K3495" s="207"/>
      <c r="L3495" s="207">
        <v>609.5</v>
      </c>
    </row>
    <row r="3496" spans="1:14" ht="11.25" customHeight="1" x14ac:dyDescent="0.2">
      <c r="A3496" s="191">
        <v>2024</v>
      </c>
      <c r="B3496" s="191">
        <v>3</v>
      </c>
      <c r="C3496" s="191">
        <v>3</v>
      </c>
      <c r="D3496" s="192">
        <f t="shared" si="266"/>
        <v>45354</v>
      </c>
      <c r="E3496" s="193">
        <f t="shared" si="265"/>
        <v>45354</v>
      </c>
      <c r="F3496" s="514"/>
      <c r="G3496" s="194" t="s">
        <v>1209</v>
      </c>
      <c r="H3496" s="194"/>
      <c r="I3496" s="195"/>
      <c r="J3496" s="191" t="s">
        <v>1579</v>
      </c>
      <c r="K3496" s="196"/>
      <c r="L3496" s="196">
        <v>4050</v>
      </c>
      <c r="M3496" s="251"/>
    </row>
    <row r="3497" spans="1:14" ht="11.25" customHeight="1" x14ac:dyDescent="0.2">
      <c r="A3497" s="197">
        <v>2024</v>
      </c>
      <c r="B3497" s="197">
        <v>3</v>
      </c>
      <c r="C3497" s="197">
        <v>4</v>
      </c>
      <c r="D3497" s="198">
        <f t="shared" si="266"/>
        <v>45355</v>
      </c>
      <c r="E3497" s="199">
        <f t="shared" ref="E3497:E3503" si="267">DATE(A3497,B3497,C3497)</f>
        <v>45355</v>
      </c>
      <c r="F3497" s="513" t="s">
        <v>1586</v>
      </c>
      <c r="G3497" s="200" t="s">
        <v>1209</v>
      </c>
      <c r="H3497" s="201"/>
      <c r="I3497" s="201" t="s">
        <v>1253</v>
      </c>
      <c r="J3497" s="197" t="s">
        <v>46</v>
      </c>
      <c r="K3497" s="202">
        <v>3100000</v>
      </c>
      <c r="L3497" s="202"/>
    </row>
    <row r="3498" spans="1:14" ht="11.25" customHeight="1" x14ac:dyDescent="0.2">
      <c r="A3498" s="120">
        <v>2024</v>
      </c>
      <c r="B3498" s="120">
        <v>3</v>
      </c>
      <c r="C3498" s="120">
        <v>4</v>
      </c>
      <c r="D3498" s="208">
        <f t="shared" si="266"/>
        <v>45355</v>
      </c>
      <c r="E3498" s="209">
        <f t="shared" si="267"/>
        <v>45355</v>
      </c>
      <c r="F3498" s="515"/>
      <c r="G3498" s="132" t="s">
        <v>1209</v>
      </c>
      <c r="J3498" s="120" t="s">
        <v>1462</v>
      </c>
      <c r="K3498" s="120"/>
      <c r="L3498" s="207">
        <v>78678</v>
      </c>
    </row>
    <row r="3499" spans="1:14" ht="11.25" customHeight="1" x14ac:dyDescent="0.2">
      <c r="A3499" s="191">
        <v>2024</v>
      </c>
      <c r="B3499" s="191">
        <v>3</v>
      </c>
      <c r="C3499" s="191">
        <v>4</v>
      </c>
      <c r="D3499" s="192">
        <f t="shared" si="266"/>
        <v>45355</v>
      </c>
      <c r="E3499" s="193">
        <f t="shared" si="267"/>
        <v>45355</v>
      </c>
      <c r="F3499" s="514"/>
      <c r="G3499" s="194" t="s">
        <v>1209</v>
      </c>
      <c r="H3499" s="195"/>
      <c r="I3499" s="195" t="s">
        <v>1253</v>
      </c>
      <c r="J3499" s="191" t="s">
        <v>1455</v>
      </c>
      <c r="K3499" s="196"/>
      <c r="L3499" s="196">
        <v>3021322</v>
      </c>
      <c r="N3499" s="130"/>
    </row>
    <row r="3500" spans="1:14" ht="11.25" customHeight="1" x14ac:dyDescent="0.2">
      <c r="A3500" s="197">
        <v>2024</v>
      </c>
      <c r="B3500" s="197">
        <v>3</v>
      </c>
      <c r="C3500" s="197">
        <v>4</v>
      </c>
      <c r="D3500" s="198">
        <f t="shared" si="266"/>
        <v>45355</v>
      </c>
      <c r="E3500" s="199">
        <f t="shared" si="267"/>
        <v>45355</v>
      </c>
      <c r="F3500" s="513" t="s">
        <v>1587</v>
      </c>
      <c r="G3500" s="200" t="s">
        <v>1209</v>
      </c>
      <c r="H3500" s="201"/>
      <c r="I3500" s="201" t="s">
        <v>1253</v>
      </c>
      <c r="J3500" s="197" t="s">
        <v>1455</v>
      </c>
      <c r="K3500" s="202">
        <v>7001020.7999999998</v>
      </c>
      <c r="L3500" s="202"/>
    </row>
    <row r="3501" spans="1:14" ht="11.25" customHeight="1" x14ac:dyDescent="0.2">
      <c r="A3501" s="191">
        <v>2024</v>
      </c>
      <c r="B3501" s="191">
        <v>3</v>
      </c>
      <c r="C3501" s="191">
        <v>4</v>
      </c>
      <c r="D3501" s="192">
        <f t="shared" si="266"/>
        <v>45355</v>
      </c>
      <c r="E3501" s="193">
        <f t="shared" si="267"/>
        <v>45355</v>
      </c>
      <c r="F3501" s="514"/>
      <c r="G3501" s="194" t="s">
        <v>1209</v>
      </c>
      <c r="H3501" s="195"/>
      <c r="I3501" s="195" t="s">
        <v>1253</v>
      </c>
      <c r="J3501" s="191" t="s">
        <v>46</v>
      </c>
      <c r="K3501" s="196"/>
      <c r="L3501" s="196">
        <v>7001020.7999999998</v>
      </c>
      <c r="N3501" s="130"/>
    </row>
    <row r="3502" spans="1:14" ht="11.25" customHeight="1" x14ac:dyDescent="0.2">
      <c r="A3502" s="197">
        <v>2024</v>
      </c>
      <c r="B3502" s="197">
        <v>3</v>
      </c>
      <c r="C3502" s="197">
        <v>4</v>
      </c>
      <c r="D3502" s="198">
        <f t="shared" si="266"/>
        <v>45355</v>
      </c>
      <c r="E3502" s="199">
        <f t="shared" si="267"/>
        <v>45355</v>
      </c>
      <c r="F3502" s="513" t="s">
        <v>1587</v>
      </c>
      <c r="G3502" s="200" t="s">
        <v>1209</v>
      </c>
      <c r="H3502" s="201"/>
      <c r="I3502" s="201" t="s">
        <v>1253</v>
      </c>
      <c r="J3502" s="197" t="s">
        <v>1455</v>
      </c>
      <c r="K3502" s="202">
        <v>2917221</v>
      </c>
      <c r="L3502" s="202"/>
    </row>
    <row r="3503" spans="1:14" ht="11.25" customHeight="1" x14ac:dyDescent="0.2">
      <c r="A3503" s="191">
        <v>2024</v>
      </c>
      <c r="B3503" s="191">
        <v>3</v>
      </c>
      <c r="C3503" s="191">
        <v>4</v>
      </c>
      <c r="D3503" s="192">
        <f t="shared" si="266"/>
        <v>45355</v>
      </c>
      <c r="E3503" s="193">
        <f t="shared" si="267"/>
        <v>45355</v>
      </c>
      <c r="F3503" s="514"/>
      <c r="G3503" s="194" t="s">
        <v>1209</v>
      </c>
      <c r="H3503" s="195"/>
      <c r="I3503" s="195" t="s">
        <v>1253</v>
      </c>
      <c r="J3503" s="191" t="s">
        <v>46</v>
      </c>
      <c r="K3503" s="196"/>
      <c r="L3503" s="196">
        <v>2917221</v>
      </c>
      <c r="N3503" s="130"/>
    </row>
    <row r="3504" spans="1:14" ht="11.25" customHeight="1" x14ac:dyDescent="0.2">
      <c r="A3504" s="197">
        <v>2024</v>
      </c>
      <c r="B3504" s="197">
        <v>3</v>
      </c>
      <c r="C3504" s="197">
        <v>5</v>
      </c>
      <c r="D3504" s="198">
        <f t="shared" si="266"/>
        <v>45356</v>
      </c>
      <c r="E3504" s="209">
        <f t="shared" si="265"/>
        <v>45356</v>
      </c>
      <c r="F3504" s="513" t="s">
        <v>1296</v>
      </c>
      <c r="G3504" s="200" t="s">
        <v>1209</v>
      </c>
      <c r="H3504" s="201"/>
      <c r="I3504" s="201"/>
      <c r="J3504" s="197" t="s">
        <v>46</v>
      </c>
      <c r="K3504" s="202">
        <v>205000</v>
      </c>
      <c r="L3504" s="202"/>
    </row>
    <row r="3505" spans="1:15" ht="11.25" customHeight="1" x14ac:dyDescent="0.2">
      <c r="A3505" s="120">
        <v>2024</v>
      </c>
      <c r="B3505" s="120">
        <v>3</v>
      </c>
      <c r="C3505" s="120">
        <v>5</v>
      </c>
      <c r="D3505" s="208">
        <f t="shared" si="266"/>
        <v>45356</v>
      </c>
      <c r="E3505" s="209">
        <f t="shared" si="265"/>
        <v>45356</v>
      </c>
      <c r="F3505" s="515"/>
      <c r="G3505" s="132" t="s">
        <v>1209</v>
      </c>
      <c r="J3505" s="120" t="s">
        <v>16</v>
      </c>
      <c r="K3505" s="207"/>
      <c r="L3505" s="207">
        <v>188990</v>
      </c>
    </row>
    <row r="3506" spans="1:15" ht="11.25" customHeight="1" x14ac:dyDescent="0.2">
      <c r="A3506" s="191">
        <v>2024</v>
      </c>
      <c r="B3506" s="191">
        <v>3</v>
      </c>
      <c r="C3506" s="191">
        <v>5</v>
      </c>
      <c r="D3506" s="192">
        <f t="shared" si="266"/>
        <v>45356</v>
      </c>
      <c r="E3506" s="193">
        <f t="shared" si="265"/>
        <v>45356</v>
      </c>
      <c r="F3506" s="514"/>
      <c r="G3506" s="194" t="s">
        <v>1209</v>
      </c>
      <c r="H3506" s="195"/>
      <c r="I3506" s="195"/>
      <c r="J3506" s="191" t="s">
        <v>47</v>
      </c>
      <c r="K3506" s="196"/>
      <c r="L3506" s="196">
        <v>16010</v>
      </c>
    </row>
    <row r="3507" spans="1:15" ht="11.25" customHeight="1" x14ac:dyDescent="0.2">
      <c r="A3507" s="197">
        <v>2024</v>
      </c>
      <c r="B3507" s="197">
        <v>3</v>
      </c>
      <c r="C3507" s="197">
        <v>5</v>
      </c>
      <c r="D3507" s="198">
        <f t="shared" si="266"/>
        <v>45356</v>
      </c>
      <c r="E3507" s="209">
        <f t="shared" ref="E3507:E3518" si="268">DATE(A3507,B3507,C3507)</f>
        <v>45356</v>
      </c>
      <c r="F3507" s="513" t="s">
        <v>1210</v>
      </c>
      <c r="G3507" s="200" t="s">
        <v>1209</v>
      </c>
      <c r="H3507" s="201"/>
      <c r="I3507" s="201" t="s">
        <v>355</v>
      </c>
      <c r="J3507" s="197" t="s">
        <v>46</v>
      </c>
      <c r="K3507" s="202">
        <v>90000</v>
      </c>
      <c r="L3507" s="202"/>
    </row>
    <row r="3508" spans="1:15" ht="11.25" customHeight="1" x14ac:dyDescent="0.2">
      <c r="A3508" s="120">
        <v>2024</v>
      </c>
      <c r="B3508" s="120">
        <v>3</v>
      </c>
      <c r="C3508" s="120">
        <v>5</v>
      </c>
      <c r="D3508" s="208">
        <f t="shared" si="266"/>
        <v>45356</v>
      </c>
      <c r="E3508" s="209">
        <f t="shared" si="268"/>
        <v>45356</v>
      </c>
      <c r="F3508" s="515"/>
      <c r="G3508" s="132" t="s">
        <v>1209</v>
      </c>
      <c r="I3508" s="128" t="s">
        <v>355</v>
      </c>
      <c r="J3508" s="120" t="s">
        <v>16</v>
      </c>
      <c r="K3508" s="207"/>
      <c r="L3508" s="207">
        <v>82970</v>
      </c>
      <c r="N3508" s="328"/>
      <c r="O3508" s="328"/>
    </row>
    <row r="3509" spans="1:15" ht="11.25" customHeight="1" x14ac:dyDescent="0.2">
      <c r="A3509" s="191">
        <v>2024</v>
      </c>
      <c r="B3509" s="191">
        <v>3</v>
      </c>
      <c r="C3509" s="191">
        <v>5</v>
      </c>
      <c r="D3509" s="192">
        <f t="shared" si="266"/>
        <v>45356</v>
      </c>
      <c r="E3509" s="193">
        <f t="shared" si="268"/>
        <v>45356</v>
      </c>
      <c r="F3509" s="514"/>
      <c r="G3509" s="194" t="s">
        <v>1209</v>
      </c>
      <c r="H3509" s="195"/>
      <c r="I3509" s="195" t="s">
        <v>355</v>
      </c>
      <c r="J3509" s="191" t="s">
        <v>47</v>
      </c>
      <c r="K3509" s="196"/>
      <c r="L3509" s="196">
        <v>7030</v>
      </c>
      <c r="N3509" s="328"/>
      <c r="O3509" s="328"/>
    </row>
    <row r="3510" spans="1:15" ht="11.25" customHeight="1" x14ac:dyDescent="0.2">
      <c r="A3510" s="197">
        <v>2024</v>
      </c>
      <c r="B3510" s="120">
        <v>3</v>
      </c>
      <c r="C3510" s="120">
        <v>5</v>
      </c>
      <c r="D3510" s="198">
        <f t="shared" si="266"/>
        <v>45356</v>
      </c>
      <c r="E3510" s="199">
        <f t="shared" si="268"/>
        <v>45356</v>
      </c>
      <c r="F3510" s="513" t="s">
        <v>1390</v>
      </c>
      <c r="G3510" s="200" t="s">
        <v>1209</v>
      </c>
      <c r="H3510" s="200"/>
      <c r="I3510" s="201" t="s">
        <v>1253</v>
      </c>
      <c r="J3510" s="197" t="s">
        <v>178</v>
      </c>
      <c r="K3510" s="202">
        <v>17676.14</v>
      </c>
      <c r="L3510" s="202"/>
    </row>
    <row r="3511" spans="1:15" ht="11.25" customHeight="1" x14ac:dyDescent="0.2">
      <c r="A3511" s="120">
        <v>2024</v>
      </c>
      <c r="B3511" s="120">
        <v>3</v>
      </c>
      <c r="C3511" s="120">
        <v>5</v>
      </c>
      <c r="D3511" s="208">
        <f t="shared" si="266"/>
        <v>45356</v>
      </c>
      <c r="E3511" s="209">
        <f t="shared" si="268"/>
        <v>45356</v>
      </c>
      <c r="F3511" s="515"/>
      <c r="G3511" s="132" t="s">
        <v>1209</v>
      </c>
      <c r="H3511" s="132"/>
      <c r="J3511" s="120" t="s">
        <v>71</v>
      </c>
      <c r="K3511" s="207">
        <v>31.86</v>
      </c>
      <c r="L3511" s="207"/>
    </row>
    <row r="3512" spans="1:15" ht="11.25" customHeight="1" x14ac:dyDescent="0.2">
      <c r="A3512" s="120">
        <v>2024</v>
      </c>
      <c r="B3512" s="120">
        <v>3</v>
      </c>
      <c r="C3512" s="120">
        <v>5</v>
      </c>
      <c r="D3512" s="208">
        <f t="shared" si="266"/>
        <v>45356</v>
      </c>
      <c r="E3512" s="209">
        <f t="shared" si="268"/>
        <v>45356</v>
      </c>
      <c r="F3512" s="515"/>
      <c r="G3512" s="132" t="s">
        <v>1209</v>
      </c>
      <c r="H3512" s="132"/>
      <c r="I3512" s="128" t="s">
        <v>1253</v>
      </c>
      <c r="J3512" s="120" t="s">
        <v>179</v>
      </c>
      <c r="K3512" s="207"/>
      <c r="L3512" s="207">
        <v>1508</v>
      </c>
    </row>
    <row r="3513" spans="1:15" ht="11.25" customHeight="1" x14ac:dyDescent="0.2">
      <c r="A3513" s="191">
        <v>2024</v>
      </c>
      <c r="B3513" s="191">
        <v>3</v>
      </c>
      <c r="C3513" s="191">
        <v>5</v>
      </c>
      <c r="D3513" s="192">
        <f t="shared" si="266"/>
        <v>45356</v>
      </c>
      <c r="E3513" s="193">
        <f t="shared" si="268"/>
        <v>45356</v>
      </c>
      <c r="F3513" s="514"/>
      <c r="G3513" s="194" t="s">
        <v>1209</v>
      </c>
      <c r="H3513" s="194"/>
      <c r="I3513" s="195"/>
      <c r="J3513" s="191" t="s">
        <v>1579</v>
      </c>
      <c r="K3513" s="196"/>
      <c r="L3513" s="196">
        <v>16200</v>
      </c>
      <c r="M3513" s="251"/>
    </row>
    <row r="3514" spans="1:15" ht="11.25" customHeight="1" x14ac:dyDescent="0.2">
      <c r="A3514" s="197">
        <v>2024</v>
      </c>
      <c r="B3514" s="197">
        <v>3</v>
      </c>
      <c r="C3514" s="197">
        <v>5</v>
      </c>
      <c r="D3514" s="198">
        <f t="shared" si="266"/>
        <v>45356</v>
      </c>
      <c r="E3514" s="199">
        <f t="shared" si="268"/>
        <v>45356</v>
      </c>
      <c r="F3514" s="513" t="s">
        <v>1391</v>
      </c>
      <c r="G3514" s="200" t="s">
        <v>1209</v>
      </c>
      <c r="H3514" s="201"/>
      <c r="I3514" s="201"/>
      <c r="J3514" s="197" t="s">
        <v>46</v>
      </c>
      <c r="K3514" s="202">
        <v>4651.1099999999997</v>
      </c>
      <c r="L3514" s="202"/>
    </row>
    <row r="3515" spans="1:15" ht="11.25" customHeight="1" x14ac:dyDescent="0.2">
      <c r="A3515" s="191">
        <v>2024</v>
      </c>
      <c r="B3515" s="191">
        <v>3</v>
      </c>
      <c r="C3515" s="191">
        <v>5</v>
      </c>
      <c r="D3515" s="192">
        <f t="shared" si="266"/>
        <v>45356</v>
      </c>
      <c r="E3515" s="193">
        <f t="shared" si="268"/>
        <v>45356</v>
      </c>
      <c r="F3515" s="514"/>
      <c r="G3515" s="194" t="s">
        <v>1209</v>
      </c>
      <c r="H3515" s="195"/>
      <c r="I3515" s="195"/>
      <c r="J3515" s="191" t="s">
        <v>178</v>
      </c>
      <c r="K3515" s="196"/>
      <c r="L3515" s="196">
        <v>4651.1099999999997</v>
      </c>
    </row>
    <row r="3516" spans="1:15" ht="11.25" customHeight="1" x14ac:dyDescent="0.2">
      <c r="A3516" s="197">
        <v>2024</v>
      </c>
      <c r="B3516" s="197">
        <v>3</v>
      </c>
      <c r="C3516" s="197">
        <v>6</v>
      </c>
      <c r="D3516" s="198">
        <f t="shared" si="266"/>
        <v>45357</v>
      </c>
      <c r="E3516" s="209">
        <f t="shared" si="268"/>
        <v>45357</v>
      </c>
      <c r="F3516" s="513" t="s">
        <v>1210</v>
      </c>
      <c r="G3516" s="200" t="s">
        <v>1209</v>
      </c>
      <c r="H3516" s="201"/>
      <c r="I3516" s="201" t="s">
        <v>1589</v>
      </c>
      <c r="J3516" s="197" t="s">
        <v>46</v>
      </c>
      <c r="K3516" s="202">
        <v>2000000</v>
      </c>
      <c r="L3516" s="202"/>
    </row>
    <row r="3517" spans="1:15" ht="11.25" customHeight="1" x14ac:dyDescent="0.2">
      <c r="A3517" s="120">
        <v>2024</v>
      </c>
      <c r="B3517" s="120">
        <v>3</v>
      </c>
      <c r="C3517" s="120">
        <v>6</v>
      </c>
      <c r="D3517" s="208">
        <f t="shared" si="266"/>
        <v>45357</v>
      </c>
      <c r="E3517" s="209">
        <f t="shared" si="268"/>
        <v>45357</v>
      </c>
      <c r="F3517" s="515"/>
      <c r="G3517" s="132" t="s">
        <v>1209</v>
      </c>
      <c r="I3517" s="128" t="s">
        <v>1589</v>
      </c>
      <c r="J3517" s="120" t="s">
        <v>16</v>
      </c>
      <c r="K3517" s="207"/>
      <c r="L3517" s="207">
        <v>1843830</v>
      </c>
    </row>
    <row r="3518" spans="1:15" ht="11.25" customHeight="1" x14ac:dyDescent="0.2">
      <c r="A3518" s="191">
        <v>2024</v>
      </c>
      <c r="B3518" s="191">
        <v>3</v>
      </c>
      <c r="C3518" s="191">
        <v>6</v>
      </c>
      <c r="D3518" s="192">
        <f t="shared" si="266"/>
        <v>45357</v>
      </c>
      <c r="E3518" s="193">
        <f t="shared" si="268"/>
        <v>45357</v>
      </c>
      <c r="F3518" s="514"/>
      <c r="G3518" s="194" t="s">
        <v>1209</v>
      </c>
      <c r="H3518" s="195"/>
      <c r="I3518" s="195" t="s">
        <v>1589</v>
      </c>
      <c r="J3518" s="191" t="s">
        <v>47</v>
      </c>
      <c r="K3518" s="196"/>
      <c r="L3518" s="196">
        <v>156170</v>
      </c>
    </row>
    <row r="3519" spans="1:15" ht="11.25" customHeight="1" x14ac:dyDescent="0.2">
      <c r="A3519" s="197">
        <v>2024</v>
      </c>
      <c r="B3519" s="197">
        <v>3</v>
      </c>
      <c r="C3519" s="197">
        <v>6</v>
      </c>
      <c r="D3519" s="198">
        <f t="shared" si="266"/>
        <v>45357</v>
      </c>
      <c r="E3519" s="209">
        <f t="shared" ref="E3519:E3521" si="269">DATE(A3519,B3519,C3519)</f>
        <v>45357</v>
      </c>
      <c r="F3519" s="513" t="s">
        <v>1210</v>
      </c>
      <c r="G3519" s="200" t="s">
        <v>1209</v>
      </c>
      <c r="H3519" s="201"/>
      <c r="I3519" s="201" t="s">
        <v>1590</v>
      </c>
      <c r="J3519" s="197" t="s">
        <v>46</v>
      </c>
      <c r="K3519" s="202">
        <v>5000000</v>
      </c>
      <c r="L3519" s="202"/>
    </row>
    <row r="3520" spans="1:15" ht="11.25" customHeight="1" x14ac:dyDescent="0.2">
      <c r="A3520" s="120">
        <v>2024</v>
      </c>
      <c r="B3520" s="120">
        <v>3</v>
      </c>
      <c r="C3520" s="120">
        <v>6</v>
      </c>
      <c r="D3520" s="208">
        <f t="shared" si="266"/>
        <v>45357</v>
      </c>
      <c r="E3520" s="209">
        <f t="shared" si="269"/>
        <v>45357</v>
      </c>
      <c r="F3520" s="515"/>
      <c r="G3520" s="132" t="s">
        <v>1209</v>
      </c>
      <c r="I3520" s="128" t="s">
        <v>1590</v>
      </c>
      <c r="J3520" s="120" t="s">
        <v>16</v>
      </c>
      <c r="K3520" s="207"/>
      <c r="L3520" s="207">
        <v>4609570</v>
      </c>
    </row>
    <row r="3521" spans="1:15" ht="11.25" customHeight="1" x14ac:dyDescent="0.2">
      <c r="A3521" s="191">
        <v>2024</v>
      </c>
      <c r="B3521" s="191">
        <v>3</v>
      </c>
      <c r="C3521" s="191">
        <v>6</v>
      </c>
      <c r="D3521" s="192">
        <f t="shared" si="266"/>
        <v>45357</v>
      </c>
      <c r="E3521" s="193">
        <f t="shared" si="269"/>
        <v>45357</v>
      </c>
      <c r="F3521" s="514"/>
      <c r="G3521" s="194" t="s">
        <v>1209</v>
      </c>
      <c r="H3521" s="195"/>
      <c r="I3521" s="195" t="s">
        <v>1590</v>
      </c>
      <c r="J3521" s="191" t="s">
        <v>47</v>
      </c>
      <c r="K3521" s="196"/>
      <c r="L3521" s="196">
        <v>390430</v>
      </c>
    </row>
    <row r="3522" spans="1:15" ht="11.25" customHeight="1" x14ac:dyDescent="0.2">
      <c r="A3522" s="197">
        <v>2024</v>
      </c>
      <c r="B3522" s="197">
        <v>3</v>
      </c>
      <c r="C3522" s="197">
        <v>6</v>
      </c>
      <c r="D3522" s="198">
        <f t="shared" si="266"/>
        <v>45357</v>
      </c>
      <c r="E3522" s="209">
        <f t="shared" ref="E3522:E3533" si="270">DATE(A3522,B3522,C3522)</f>
        <v>45357</v>
      </c>
      <c r="F3522" s="513" t="s">
        <v>1210</v>
      </c>
      <c r="G3522" s="200" t="s">
        <v>1209</v>
      </c>
      <c r="H3522" s="201"/>
      <c r="I3522" s="201" t="s">
        <v>1333</v>
      </c>
      <c r="J3522" s="197" t="s">
        <v>46</v>
      </c>
      <c r="K3522" s="202">
        <v>100000</v>
      </c>
      <c r="L3522" s="202"/>
    </row>
    <row r="3523" spans="1:15" ht="11.25" customHeight="1" x14ac:dyDescent="0.2">
      <c r="A3523" s="120">
        <v>2024</v>
      </c>
      <c r="B3523" s="120">
        <v>3</v>
      </c>
      <c r="C3523" s="120">
        <v>6</v>
      </c>
      <c r="D3523" s="208">
        <f t="shared" si="266"/>
        <v>45357</v>
      </c>
      <c r="E3523" s="209">
        <f t="shared" si="270"/>
        <v>45357</v>
      </c>
      <c r="F3523" s="515"/>
      <c r="G3523" s="132" t="s">
        <v>1209</v>
      </c>
      <c r="I3523" s="128" t="s">
        <v>1333</v>
      </c>
      <c r="J3523" s="120" t="s">
        <v>16</v>
      </c>
      <c r="K3523" s="207"/>
      <c r="L3523" s="207">
        <v>92190</v>
      </c>
    </row>
    <row r="3524" spans="1:15" ht="11.25" customHeight="1" x14ac:dyDescent="0.2">
      <c r="A3524" s="191">
        <v>2024</v>
      </c>
      <c r="B3524" s="191">
        <v>3</v>
      </c>
      <c r="C3524" s="191">
        <v>6</v>
      </c>
      <c r="D3524" s="192">
        <f t="shared" si="266"/>
        <v>45357</v>
      </c>
      <c r="E3524" s="193">
        <f t="shared" si="270"/>
        <v>45357</v>
      </c>
      <c r="F3524" s="514"/>
      <c r="G3524" s="194" t="s">
        <v>1209</v>
      </c>
      <c r="H3524" s="195"/>
      <c r="I3524" s="195" t="s">
        <v>1333</v>
      </c>
      <c r="J3524" s="191" t="s">
        <v>47</v>
      </c>
      <c r="K3524" s="196"/>
      <c r="L3524" s="196">
        <v>7810</v>
      </c>
    </row>
    <row r="3525" spans="1:15" ht="11.25" customHeight="1" x14ac:dyDescent="0.2">
      <c r="A3525" s="197">
        <v>2024</v>
      </c>
      <c r="B3525" s="197">
        <v>3</v>
      </c>
      <c r="C3525" s="197">
        <v>6</v>
      </c>
      <c r="D3525" s="198">
        <f t="shared" si="266"/>
        <v>45357</v>
      </c>
      <c r="E3525" s="290">
        <f t="shared" si="270"/>
        <v>45357</v>
      </c>
      <c r="F3525" s="513" t="s">
        <v>1514</v>
      </c>
      <c r="G3525" s="200" t="s">
        <v>1209</v>
      </c>
      <c r="H3525" s="201"/>
      <c r="I3525" s="201"/>
      <c r="J3525" s="197" t="s">
        <v>54</v>
      </c>
      <c r="K3525" s="202">
        <v>70</v>
      </c>
      <c r="L3525" s="202"/>
      <c r="M3525" s="251"/>
      <c r="N3525" s="251"/>
      <c r="O3525" s="251"/>
    </row>
    <row r="3526" spans="1:15" ht="11.25" customHeight="1" x14ac:dyDescent="0.2">
      <c r="A3526" s="191">
        <v>2024</v>
      </c>
      <c r="B3526" s="191">
        <v>3</v>
      </c>
      <c r="C3526" s="191">
        <v>6</v>
      </c>
      <c r="D3526" s="192">
        <f t="shared" si="266"/>
        <v>45357</v>
      </c>
      <c r="E3526" s="291">
        <f t="shared" si="270"/>
        <v>45357</v>
      </c>
      <c r="F3526" s="514"/>
      <c r="G3526" s="194" t="s">
        <v>1209</v>
      </c>
      <c r="H3526" s="195"/>
      <c r="I3526" s="195"/>
      <c r="J3526" s="191" t="s">
        <v>46</v>
      </c>
      <c r="K3526" s="196"/>
      <c r="L3526" s="196">
        <v>70</v>
      </c>
      <c r="M3526" s="251"/>
      <c r="N3526" s="251"/>
      <c r="O3526" s="251"/>
    </row>
    <row r="3527" spans="1:15" ht="11.25" customHeight="1" x14ac:dyDescent="0.2">
      <c r="A3527" s="197">
        <v>2024</v>
      </c>
      <c r="B3527" s="197">
        <v>3</v>
      </c>
      <c r="C3527" s="197">
        <v>6</v>
      </c>
      <c r="D3527" s="198">
        <f t="shared" si="266"/>
        <v>45357</v>
      </c>
      <c r="E3527" s="199">
        <f t="shared" si="270"/>
        <v>45357</v>
      </c>
      <c r="F3527" s="513" t="s">
        <v>1591</v>
      </c>
      <c r="G3527" s="200" t="s">
        <v>1209</v>
      </c>
      <c r="H3527" s="201"/>
      <c r="I3527" s="201" t="s">
        <v>1253</v>
      </c>
      <c r="J3527" s="197" t="s">
        <v>1837</v>
      </c>
      <c r="K3527" s="202">
        <v>1521152.88</v>
      </c>
      <c r="L3527" s="202"/>
    </row>
    <row r="3528" spans="1:15" ht="11.25" customHeight="1" x14ac:dyDescent="0.2">
      <c r="A3528" s="191">
        <v>2024</v>
      </c>
      <c r="B3528" s="191">
        <v>3</v>
      </c>
      <c r="C3528" s="191">
        <v>6</v>
      </c>
      <c r="D3528" s="192">
        <f t="shared" si="266"/>
        <v>45357</v>
      </c>
      <c r="E3528" s="193">
        <f t="shared" si="270"/>
        <v>45357</v>
      </c>
      <c r="F3528" s="514"/>
      <c r="G3528" s="194" t="s">
        <v>1209</v>
      </c>
      <c r="H3528" s="195"/>
      <c r="I3528" s="195" t="s">
        <v>1253</v>
      </c>
      <c r="J3528" s="191" t="s">
        <v>46</v>
      </c>
      <c r="K3528" s="196"/>
      <c r="L3528" s="196">
        <v>1521152.88</v>
      </c>
      <c r="N3528" s="130"/>
    </row>
    <row r="3529" spans="1:15" ht="11.25" customHeight="1" x14ac:dyDescent="0.2">
      <c r="A3529" s="197">
        <v>2024</v>
      </c>
      <c r="B3529" s="197">
        <v>3</v>
      </c>
      <c r="C3529" s="197">
        <v>6</v>
      </c>
      <c r="D3529" s="198">
        <f t="shared" si="266"/>
        <v>45357</v>
      </c>
      <c r="E3529" s="199">
        <f t="shared" si="270"/>
        <v>45357</v>
      </c>
      <c r="F3529" s="513" t="s">
        <v>1591</v>
      </c>
      <c r="G3529" s="200" t="s">
        <v>1209</v>
      </c>
      <c r="H3529" s="201"/>
      <c r="I3529" s="201" t="s">
        <v>1253</v>
      </c>
      <c r="J3529" s="197" t="s">
        <v>1837</v>
      </c>
      <c r="K3529" s="202">
        <v>1519954.38</v>
      </c>
      <c r="L3529" s="202"/>
    </row>
    <row r="3530" spans="1:15" ht="11.25" customHeight="1" x14ac:dyDescent="0.2">
      <c r="A3530" s="191">
        <v>2024</v>
      </c>
      <c r="B3530" s="191">
        <v>3</v>
      </c>
      <c r="C3530" s="191">
        <v>6</v>
      </c>
      <c r="D3530" s="192">
        <f t="shared" si="266"/>
        <v>45357</v>
      </c>
      <c r="E3530" s="193">
        <f t="shared" si="270"/>
        <v>45357</v>
      </c>
      <c r="F3530" s="514"/>
      <c r="G3530" s="194" t="s">
        <v>1209</v>
      </c>
      <c r="H3530" s="195"/>
      <c r="I3530" s="195" t="s">
        <v>1253</v>
      </c>
      <c r="J3530" s="191" t="s">
        <v>46</v>
      </c>
      <c r="K3530" s="196"/>
      <c r="L3530" s="196">
        <v>1519954.38</v>
      </c>
      <c r="N3530" s="130"/>
    </row>
    <row r="3531" spans="1:15" ht="11.25" customHeight="1" x14ac:dyDescent="0.2">
      <c r="A3531" s="210">
        <v>2024</v>
      </c>
      <c r="B3531" s="210">
        <v>3</v>
      </c>
      <c r="C3531" s="210">
        <v>7</v>
      </c>
      <c r="D3531" s="211">
        <f t="shared" si="266"/>
        <v>45358</v>
      </c>
      <c r="E3531" s="238">
        <f t="shared" si="270"/>
        <v>45358</v>
      </c>
      <c r="F3531" s="520" t="s">
        <v>1278</v>
      </c>
      <c r="G3531" s="213" t="s">
        <v>1245</v>
      </c>
      <c r="H3531" s="214"/>
      <c r="I3531" s="214" t="s">
        <v>1253</v>
      </c>
      <c r="J3531" s="210" t="s">
        <v>1529</v>
      </c>
      <c r="K3531" s="215">
        <v>7491.85</v>
      </c>
      <c r="L3531" s="215"/>
    </row>
    <row r="3532" spans="1:15" ht="11.25" customHeight="1" x14ac:dyDescent="0.2">
      <c r="A3532" s="216">
        <v>2024</v>
      </c>
      <c r="B3532" s="216">
        <v>3</v>
      </c>
      <c r="C3532" s="216">
        <v>7</v>
      </c>
      <c r="D3532" s="217">
        <f t="shared" si="266"/>
        <v>45358</v>
      </c>
      <c r="E3532" s="239">
        <f t="shared" si="270"/>
        <v>45358</v>
      </c>
      <c r="F3532" s="521"/>
      <c r="G3532" s="219" t="s">
        <v>1245</v>
      </c>
      <c r="H3532" s="220"/>
      <c r="I3532" s="220" t="s">
        <v>1253</v>
      </c>
      <c r="J3532" s="216" t="s">
        <v>1581</v>
      </c>
      <c r="K3532" s="221"/>
      <c r="L3532" s="221">
        <v>7491.85</v>
      </c>
    </row>
    <row r="3533" spans="1:15" ht="11.25" customHeight="1" x14ac:dyDescent="0.2">
      <c r="A3533" s="210">
        <v>2024</v>
      </c>
      <c r="B3533" s="210">
        <v>3</v>
      </c>
      <c r="C3533" s="210">
        <v>7</v>
      </c>
      <c r="D3533" s="211">
        <f t="shared" si="266"/>
        <v>45358</v>
      </c>
      <c r="E3533" s="238">
        <f t="shared" si="270"/>
        <v>45358</v>
      </c>
      <c r="F3533" s="520" t="s">
        <v>1285</v>
      </c>
      <c r="G3533" s="213" t="s">
        <v>1245</v>
      </c>
      <c r="H3533" s="214"/>
      <c r="I3533" s="214" t="s">
        <v>1253</v>
      </c>
      <c r="J3533" s="210" t="s">
        <v>1284</v>
      </c>
      <c r="K3533" s="215">
        <v>10290.504807692309</v>
      </c>
      <c r="L3533" s="215"/>
    </row>
    <row r="3534" spans="1:15" ht="11.25" customHeight="1" x14ac:dyDescent="0.2">
      <c r="A3534" s="242">
        <v>2024</v>
      </c>
      <c r="B3534" s="242">
        <v>3</v>
      </c>
      <c r="C3534" s="242">
        <v>7</v>
      </c>
      <c r="D3534" s="243">
        <f t="shared" si="266"/>
        <v>45358</v>
      </c>
      <c r="E3534" s="244">
        <f>DATE(A3534,B3534,C3534)</f>
        <v>45358</v>
      </c>
      <c r="F3534" s="524"/>
      <c r="G3534" s="245" t="s">
        <v>1245</v>
      </c>
      <c r="H3534" s="246"/>
      <c r="I3534" s="246"/>
      <c r="J3534" s="242" t="s">
        <v>1582</v>
      </c>
      <c r="K3534" s="247"/>
      <c r="L3534" s="247">
        <v>10290.504807692309</v>
      </c>
    </row>
    <row r="3535" spans="1:15" ht="11.25" customHeight="1" x14ac:dyDescent="0.2">
      <c r="A3535" s="210">
        <v>2024</v>
      </c>
      <c r="B3535" s="210">
        <v>3</v>
      </c>
      <c r="C3535" s="210">
        <v>7</v>
      </c>
      <c r="D3535" s="211">
        <f t="shared" si="266"/>
        <v>45358</v>
      </c>
      <c r="E3535" s="238">
        <f t="shared" ref="E3535:E3571" si="271">DATE(A3535,B3535,C3535)</f>
        <v>45358</v>
      </c>
      <c r="F3535" s="520" t="s">
        <v>1259</v>
      </c>
      <c r="G3535" s="213" t="s">
        <v>1245</v>
      </c>
      <c r="H3535" s="214"/>
      <c r="I3535" s="214" t="s">
        <v>1253</v>
      </c>
      <c r="J3535" s="210" t="s">
        <v>58</v>
      </c>
      <c r="K3535" s="215">
        <v>9321.1</v>
      </c>
      <c r="L3535" s="215"/>
    </row>
    <row r="3536" spans="1:15" ht="11.25" customHeight="1" x14ac:dyDescent="0.2">
      <c r="A3536" s="216">
        <v>2024</v>
      </c>
      <c r="B3536" s="216">
        <v>3</v>
      </c>
      <c r="C3536" s="216">
        <v>7</v>
      </c>
      <c r="D3536" s="217">
        <f t="shared" si="266"/>
        <v>45358</v>
      </c>
      <c r="E3536" s="239">
        <f t="shared" si="271"/>
        <v>45358</v>
      </c>
      <c r="F3536" s="521"/>
      <c r="G3536" s="219" t="s">
        <v>1245</v>
      </c>
      <c r="H3536" s="220"/>
      <c r="I3536" s="220" t="s">
        <v>1253</v>
      </c>
      <c r="J3536" s="216" t="s">
        <v>153</v>
      </c>
      <c r="K3536" s="221"/>
      <c r="L3536" s="221">
        <v>9321.1</v>
      </c>
    </row>
    <row r="3537" spans="1:12" ht="11.25" customHeight="1" x14ac:dyDescent="0.2">
      <c r="A3537" s="312">
        <v>2024</v>
      </c>
      <c r="B3537" s="312">
        <v>3</v>
      </c>
      <c r="C3537" s="312">
        <v>7</v>
      </c>
      <c r="D3537" s="313">
        <f t="shared" si="266"/>
        <v>45358</v>
      </c>
      <c r="E3537" s="314">
        <f t="shared" si="271"/>
        <v>45358</v>
      </c>
      <c r="F3537" s="522" t="s">
        <v>1477</v>
      </c>
      <c r="G3537" s="315" t="s">
        <v>1245</v>
      </c>
      <c r="H3537" s="316"/>
      <c r="I3537" s="316" t="s">
        <v>1253</v>
      </c>
      <c r="J3537" s="312" t="s">
        <v>1460</v>
      </c>
      <c r="K3537" s="317">
        <v>328733.89999997616</v>
      </c>
      <c r="L3537" s="317"/>
    </row>
    <row r="3538" spans="1:12" ht="11.25" customHeight="1" x14ac:dyDescent="0.2">
      <c r="A3538" s="318">
        <v>2024</v>
      </c>
      <c r="B3538" s="318">
        <v>3</v>
      </c>
      <c r="C3538" s="318">
        <v>7</v>
      </c>
      <c r="D3538" s="319">
        <f t="shared" si="266"/>
        <v>45358</v>
      </c>
      <c r="E3538" s="320">
        <f t="shared" si="271"/>
        <v>45358</v>
      </c>
      <c r="F3538" s="523"/>
      <c r="G3538" s="321" t="s">
        <v>1245</v>
      </c>
      <c r="H3538" s="322"/>
      <c r="I3538" s="322" t="s">
        <v>1253</v>
      </c>
      <c r="J3538" s="318" t="s">
        <v>1458</v>
      </c>
      <c r="K3538" s="323"/>
      <c r="L3538" s="323">
        <v>328733.89999997616</v>
      </c>
    </row>
    <row r="3539" spans="1:12" ht="11.25" customHeight="1" x14ac:dyDescent="0.2">
      <c r="A3539" s="222">
        <v>2024</v>
      </c>
      <c r="B3539" s="222">
        <v>3</v>
      </c>
      <c r="C3539" s="222">
        <v>7</v>
      </c>
      <c r="D3539" s="223">
        <f t="shared" si="266"/>
        <v>45358</v>
      </c>
      <c r="E3539" s="240">
        <f t="shared" si="271"/>
        <v>45358</v>
      </c>
      <c r="F3539" s="511" t="s">
        <v>1244</v>
      </c>
      <c r="G3539" s="225" t="s">
        <v>1245</v>
      </c>
      <c r="H3539" s="226"/>
      <c r="I3539" s="226" t="s">
        <v>1253</v>
      </c>
      <c r="J3539" s="222" t="s">
        <v>72</v>
      </c>
      <c r="K3539" s="227">
        <v>59238.452346041799</v>
      </c>
      <c r="L3539" s="227"/>
    </row>
    <row r="3540" spans="1:12" ht="11.25" customHeight="1" x14ac:dyDescent="0.2">
      <c r="A3540" s="228">
        <v>2024</v>
      </c>
      <c r="B3540" s="228">
        <v>3</v>
      </c>
      <c r="C3540" s="228">
        <v>7</v>
      </c>
      <c r="D3540" s="229">
        <f t="shared" si="266"/>
        <v>45358</v>
      </c>
      <c r="E3540" s="241">
        <f t="shared" si="271"/>
        <v>45358</v>
      </c>
      <c r="F3540" s="512"/>
      <c r="G3540" s="231" t="s">
        <v>1245</v>
      </c>
      <c r="H3540" s="232"/>
      <c r="I3540" s="232" t="s">
        <v>1253</v>
      </c>
      <c r="J3540" s="228" t="s">
        <v>87</v>
      </c>
      <c r="K3540" s="233"/>
      <c r="L3540" s="233">
        <v>59238.452346041799</v>
      </c>
    </row>
    <row r="3541" spans="1:12" ht="11.25" customHeight="1" x14ac:dyDescent="0.2">
      <c r="A3541" s="222">
        <v>2024</v>
      </c>
      <c r="B3541" s="222">
        <v>3</v>
      </c>
      <c r="C3541" s="222">
        <v>7</v>
      </c>
      <c r="D3541" s="223">
        <f t="shared" si="266"/>
        <v>45358</v>
      </c>
      <c r="E3541" s="240">
        <f t="shared" si="271"/>
        <v>45358</v>
      </c>
      <c r="F3541" s="511" t="s">
        <v>1246</v>
      </c>
      <c r="G3541" s="225" t="s">
        <v>1245</v>
      </c>
      <c r="H3541" s="226"/>
      <c r="I3541" s="226" t="s">
        <v>1253</v>
      </c>
      <c r="J3541" s="222" t="s">
        <v>75</v>
      </c>
      <c r="K3541" s="227">
        <v>3623.123846153846</v>
      </c>
      <c r="L3541" s="227"/>
    </row>
    <row r="3542" spans="1:12" ht="11.25" customHeight="1" x14ac:dyDescent="0.2">
      <c r="A3542" s="228">
        <v>2024</v>
      </c>
      <c r="B3542" s="228">
        <v>3</v>
      </c>
      <c r="C3542" s="228">
        <v>7</v>
      </c>
      <c r="D3542" s="229">
        <f t="shared" si="266"/>
        <v>45358</v>
      </c>
      <c r="E3542" s="241">
        <f t="shared" si="271"/>
        <v>45358</v>
      </c>
      <c r="F3542" s="512"/>
      <c r="G3542" s="231" t="s">
        <v>1245</v>
      </c>
      <c r="H3542" s="232"/>
      <c r="I3542" s="232" t="s">
        <v>1253</v>
      </c>
      <c r="J3542" s="228" t="s">
        <v>55</v>
      </c>
      <c r="K3542" s="233"/>
      <c r="L3542" s="233">
        <v>3623.123846153846</v>
      </c>
    </row>
    <row r="3543" spans="1:12" ht="11.25" customHeight="1" x14ac:dyDescent="0.2">
      <c r="A3543" s="222">
        <v>2024</v>
      </c>
      <c r="B3543" s="222">
        <v>3</v>
      </c>
      <c r="C3543" s="222">
        <v>7</v>
      </c>
      <c r="D3543" s="223">
        <f t="shared" si="266"/>
        <v>45358</v>
      </c>
      <c r="E3543" s="240">
        <f t="shared" si="271"/>
        <v>45358</v>
      </c>
      <c r="F3543" s="511" t="s">
        <v>1247</v>
      </c>
      <c r="G3543" s="225" t="s">
        <v>1245</v>
      </c>
      <c r="H3543" s="226"/>
      <c r="I3543" s="226" t="s">
        <v>1253</v>
      </c>
      <c r="J3543" s="222" t="s">
        <v>77</v>
      </c>
      <c r="K3543" s="227">
        <v>22933.213917487075</v>
      </c>
      <c r="L3543" s="227"/>
    </row>
    <row r="3544" spans="1:12" ht="11.25" customHeight="1" x14ac:dyDescent="0.2">
      <c r="A3544" s="228">
        <v>2024</v>
      </c>
      <c r="B3544" s="228">
        <v>3</v>
      </c>
      <c r="C3544" s="228">
        <v>7</v>
      </c>
      <c r="D3544" s="229">
        <f t="shared" si="266"/>
        <v>45358</v>
      </c>
      <c r="E3544" s="241">
        <f t="shared" si="271"/>
        <v>45358</v>
      </c>
      <c r="F3544" s="512"/>
      <c r="G3544" s="231" t="s">
        <v>1245</v>
      </c>
      <c r="H3544" s="232"/>
      <c r="I3544" s="232" t="s">
        <v>1253</v>
      </c>
      <c r="J3544" s="228" t="s">
        <v>41</v>
      </c>
      <c r="K3544" s="233"/>
      <c r="L3544" s="233">
        <v>22933.213917487075</v>
      </c>
    </row>
    <row r="3545" spans="1:12" ht="11.25" customHeight="1" x14ac:dyDescent="0.2">
      <c r="A3545" s="222">
        <v>2024</v>
      </c>
      <c r="B3545" s="222">
        <v>3</v>
      </c>
      <c r="C3545" s="222">
        <v>7</v>
      </c>
      <c r="D3545" s="223">
        <f t="shared" si="266"/>
        <v>45358</v>
      </c>
      <c r="E3545" s="240">
        <f t="shared" si="271"/>
        <v>45358</v>
      </c>
      <c r="F3545" s="511" t="s">
        <v>1248</v>
      </c>
      <c r="G3545" s="225" t="s">
        <v>1245</v>
      </c>
      <c r="H3545" s="226"/>
      <c r="I3545" s="226" t="s">
        <v>1253</v>
      </c>
      <c r="J3545" s="222" t="s">
        <v>80</v>
      </c>
      <c r="K3545" s="227">
        <v>2293.3213917487074</v>
      </c>
      <c r="L3545" s="227"/>
    </row>
    <row r="3546" spans="1:12" ht="11.25" customHeight="1" x14ac:dyDescent="0.2">
      <c r="A3546" s="228">
        <v>2024</v>
      </c>
      <c r="B3546" s="228">
        <v>3</v>
      </c>
      <c r="C3546" s="228">
        <v>7</v>
      </c>
      <c r="D3546" s="229">
        <f t="shared" ref="D3546:D3609" si="272">DATE(A3546,B3546,C3546)</f>
        <v>45358</v>
      </c>
      <c r="E3546" s="241">
        <f t="shared" si="271"/>
        <v>45358</v>
      </c>
      <c r="F3546" s="512"/>
      <c r="G3546" s="231" t="s">
        <v>1245</v>
      </c>
      <c r="H3546" s="232"/>
      <c r="I3546" s="232" t="s">
        <v>1253</v>
      </c>
      <c r="J3546" s="228" t="s">
        <v>42</v>
      </c>
      <c r="K3546" s="233"/>
      <c r="L3546" s="233">
        <v>2293.3213917487074</v>
      </c>
    </row>
    <row r="3547" spans="1:12" ht="11.25" customHeight="1" x14ac:dyDescent="0.2">
      <c r="A3547" s="197">
        <v>2024</v>
      </c>
      <c r="B3547" s="197">
        <v>3</v>
      </c>
      <c r="C3547" s="197">
        <v>10</v>
      </c>
      <c r="D3547" s="198">
        <f t="shared" si="272"/>
        <v>45361</v>
      </c>
      <c r="E3547" s="199">
        <f t="shared" si="271"/>
        <v>45361</v>
      </c>
      <c r="F3547" s="513" t="s">
        <v>1391</v>
      </c>
      <c r="G3547" s="200" t="s">
        <v>1209</v>
      </c>
      <c r="H3547" s="201"/>
      <c r="I3547" s="201"/>
      <c r="J3547" s="197" t="s">
        <v>46</v>
      </c>
      <c r="K3547" s="202">
        <v>17676.14</v>
      </c>
      <c r="L3547" s="202"/>
    </row>
    <row r="3548" spans="1:12" ht="11.25" customHeight="1" x14ac:dyDescent="0.2">
      <c r="A3548" s="191">
        <v>2024</v>
      </c>
      <c r="B3548" s="191">
        <v>3</v>
      </c>
      <c r="C3548" s="191">
        <v>10</v>
      </c>
      <c r="D3548" s="192">
        <f t="shared" si="272"/>
        <v>45361</v>
      </c>
      <c r="E3548" s="193">
        <f t="shared" si="271"/>
        <v>45361</v>
      </c>
      <c r="F3548" s="514"/>
      <c r="G3548" s="194" t="s">
        <v>1209</v>
      </c>
      <c r="H3548" s="195"/>
      <c r="I3548" s="195"/>
      <c r="J3548" s="191" t="s">
        <v>178</v>
      </c>
      <c r="K3548" s="196"/>
      <c r="L3548" s="196">
        <v>17676.14</v>
      </c>
    </row>
    <row r="3549" spans="1:12" ht="11.25" customHeight="1" x14ac:dyDescent="0.2">
      <c r="A3549" s="197">
        <v>2024</v>
      </c>
      <c r="B3549" s="197">
        <v>3</v>
      </c>
      <c r="C3549" s="197">
        <v>10</v>
      </c>
      <c r="D3549" s="198">
        <f t="shared" si="272"/>
        <v>45361</v>
      </c>
      <c r="E3549" s="209">
        <f t="shared" si="271"/>
        <v>45361</v>
      </c>
      <c r="F3549" s="513" t="s">
        <v>1280</v>
      </c>
      <c r="G3549" s="200" t="s">
        <v>1209</v>
      </c>
      <c r="H3549" s="201"/>
      <c r="I3549" s="201" t="s">
        <v>1357</v>
      </c>
      <c r="J3549" s="197" t="s">
        <v>16</v>
      </c>
      <c r="K3549" s="202">
        <v>73140</v>
      </c>
      <c r="L3549" s="202"/>
    </row>
    <row r="3550" spans="1:12" ht="11.25" customHeight="1" x14ac:dyDescent="0.2">
      <c r="A3550" s="120">
        <v>2024</v>
      </c>
      <c r="B3550" s="120">
        <v>3</v>
      </c>
      <c r="C3550" s="120">
        <v>10</v>
      </c>
      <c r="D3550" s="208">
        <f t="shared" si="272"/>
        <v>45361</v>
      </c>
      <c r="E3550" s="209">
        <f t="shared" si="271"/>
        <v>45361</v>
      </c>
      <c r="F3550" s="515"/>
      <c r="G3550" s="132" t="s">
        <v>1209</v>
      </c>
      <c r="I3550" s="128" t="s">
        <v>1357</v>
      </c>
      <c r="J3550" s="120" t="s">
        <v>47</v>
      </c>
      <c r="K3550" s="207">
        <v>6311.9799999999959</v>
      </c>
      <c r="L3550" s="207"/>
    </row>
    <row r="3551" spans="1:12" ht="11.25" customHeight="1" x14ac:dyDescent="0.2">
      <c r="A3551" s="191">
        <v>2024</v>
      </c>
      <c r="B3551" s="191">
        <v>3</v>
      </c>
      <c r="C3551" s="191">
        <v>10</v>
      </c>
      <c r="D3551" s="192">
        <f t="shared" si="272"/>
        <v>45361</v>
      </c>
      <c r="E3551" s="193">
        <f t="shared" si="271"/>
        <v>45361</v>
      </c>
      <c r="F3551" s="514"/>
      <c r="G3551" s="194" t="s">
        <v>1209</v>
      </c>
      <c r="H3551" s="195"/>
      <c r="I3551" s="195" t="s">
        <v>1357</v>
      </c>
      <c r="J3551" s="191" t="s">
        <v>46</v>
      </c>
      <c r="K3551" s="196"/>
      <c r="L3551" s="196">
        <v>79451.98</v>
      </c>
    </row>
    <row r="3552" spans="1:12" ht="11.25" customHeight="1" x14ac:dyDescent="0.2">
      <c r="A3552" s="197">
        <v>2024</v>
      </c>
      <c r="B3552" s="197">
        <v>3</v>
      </c>
      <c r="C3552" s="197">
        <v>10</v>
      </c>
      <c r="D3552" s="198">
        <f t="shared" si="272"/>
        <v>45361</v>
      </c>
      <c r="E3552" s="209">
        <f t="shared" si="271"/>
        <v>45361</v>
      </c>
      <c r="F3552" s="513" t="s">
        <v>1210</v>
      </c>
      <c r="G3552" s="200" t="s">
        <v>1209</v>
      </c>
      <c r="H3552" s="201"/>
      <c r="I3552" s="201" t="s">
        <v>1594</v>
      </c>
      <c r="J3552" s="197" t="s">
        <v>46</v>
      </c>
      <c r="K3552" s="202">
        <v>450000</v>
      </c>
      <c r="L3552" s="202"/>
    </row>
    <row r="3553" spans="1:15" ht="11.25" customHeight="1" x14ac:dyDescent="0.2">
      <c r="A3553" s="120">
        <v>2024</v>
      </c>
      <c r="B3553" s="120">
        <v>3</v>
      </c>
      <c r="C3553" s="120">
        <v>10</v>
      </c>
      <c r="D3553" s="208">
        <f t="shared" si="272"/>
        <v>45361</v>
      </c>
      <c r="E3553" s="209">
        <f t="shared" si="271"/>
        <v>45361</v>
      </c>
      <c r="F3553" s="515"/>
      <c r="G3553" s="132" t="s">
        <v>1209</v>
      </c>
      <c r="I3553" s="128" t="s">
        <v>1594</v>
      </c>
      <c r="J3553" s="120" t="s">
        <v>16</v>
      </c>
      <c r="K3553" s="207"/>
      <c r="L3553" s="207">
        <v>414680</v>
      </c>
    </row>
    <row r="3554" spans="1:15" ht="11.25" customHeight="1" x14ac:dyDescent="0.2">
      <c r="A3554" s="191">
        <v>2024</v>
      </c>
      <c r="B3554" s="191">
        <v>3</v>
      </c>
      <c r="C3554" s="191">
        <v>10</v>
      </c>
      <c r="D3554" s="192">
        <f t="shared" si="272"/>
        <v>45361</v>
      </c>
      <c r="E3554" s="193">
        <f t="shared" si="271"/>
        <v>45361</v>
      </c>
      <c r="F3554" s="514"/>
      <c r="G3554" s="194" t="s">
        <v>1209</v>
      </c>
      <c r="H3554" s="195"/>
      <c r="I3554" s="195" t="s">
        <v>1594</v>
      </c>
      <c r="J3554" s="191" t="s">
        <v>47</v>
      </c>
      <c r="K3554" s="196"/>
      <c r="L3554" s="196">
        <v>35320</v>
      </c>
    </row>
    <row r="3555" spans="1:15" ht="11.25" customHeight="1" x14ac:dyDescent="0.2">
      <c r="A3555" s="197">
        <v>2024</v>
      </c>
      <c r="B3555" s="197">
        <v>3</v>
      </c>
      <c r="C3555" s="197">
        <v>10</v>
      </c>
      <c r="D3555" s="198">
        <f t="shared" si="272"/>
        <v>45361</v>
      </c>
      <c r="E3555" s="209">
        <f t="shared" ref="E3555:E3557" si="273">DATE(A3555,B3555,C3555)</f>
        <v>45361</v>
      </c>
      <c r="F3555" s="513" t="s">
        <v>1210</v>
      </c>
      <c r="G3555" s="200" t="s">
        <v>1209</v>
      </c>
      <c r="H3555" s="201"/>
      <c r="I3555" s="201" t="s">
        <v>1594</v>
      </c>
      <c r="J3555" s="197" t="s">
        <v>46</v>
      </c>
      <c r="K3555" s="202">
        <v>450000</v>
      </c>
      <c r="L3555" s="202"/>
    </row>
    <row r="3556" spans="1:15" ht="11.25" customHeight="1" x14ac:dyDescent="0.2">
      <c r="A3556" s="120">
        <v>2024</v>
      </c>
      <c r="B3556" s="120">
        <v>3</v>
      </c>
      <c r="C3556" s="120">
        <v>10</v>
      </c>
      <c r="D3556" s="208">
        <f t="shared" si="272"/>
        <v>45361</v>
      </c>
      <c r="E3556" s="209">
        <f t="shared" si="273"/>
        <v>45361</v>
      </c>
      <c r="F3556" s="515"/>
      <c r="G3556" s="132" t="s">
        <v>1209</v>
      </c>
      <c r="I3556" s="128" t="s">
        <v>1594</v>
      </c>
      <c r="J3556" s="120" t="s">
        <v>16</v>
      </c>
      <c r="K3556" s="207"/>
      <c r="L3556" s="207">
        <v>414680</v>
      </c>
    </row>
    <row r="3557" spans="1:15" ht="11.25" customHeight="1" x14ac:dyDescent="0.2">
      <c r="A3557" s="191">
        <v>2024</v>
      </c>
      <c r="B3557" s="191">
        <v>3</v>
      </c>
      <c r="C3557" s="191">
        <v>10</v>
      </c>
      <c r="D3557" s="192">
        <f t="shared" si="272"/>
        <v>45361</v>
      </c>
      <c r="E3557" s="193">
        <f t="shared" si="273"/>
        <v>45361</v>
      </c>
      <c r="F3557" s="514"/>
      <c r="G3557" s="194" t="s">
        <v>1209</v>
      </c>
      <c r="H3557" s="195"/>
      <c r="I3557" s="195" t="s">
        <v>1594</v>
      </c>
      <c r="J3557" s="191" t="s">
        <v>47</v>
      </c>
      <c r="K3557" s="196"/>
      <c r="L3557" s="196">
        <v>35320</v>
      </c>
    </row>
    <row r="3558" spans="1:15" ht="11.25" customHeight="1" x14ac:dyDescent="0.2">
      <c r="A3558" s="197">
        <v>2024</v>
      </c>
      <c r="B3558" s="197">
        <v>3</v>
      </c>
      <c r="C3558" s="197">
        <v>10</v>
      </c>
      <c r="D3558" s="198">
        <f t="shared" si="272"/>
        <v>45361</v>
      </c>
      <c r="E3558" s="209">
        <f t="shared" ref="E3558:E3560" si="274">DATE(A3558,B3558,C3558)</f>
        <v>45361</v>
      </c>
      <c r="F3558" s="513" t="s">
        <v>1210</v>
      </c>
      <c r="G3558" s="200" t="s">
        <v>1209</v>
      </c>
      <c r="H3558" s="201"/>
      <c r="I3558" s="201" t="s">
        <v>1594</v>
      </c>
      <c r="J3558" s="197" t="s">
        <v>46</v>
      </c>
      <c r="K3558" s="202">
        <v>352310</v>
      </c>
      <c r="L3558" s="202"/>
    </row>
    <row r="3559" spans="1:15" ht="11.25" customHeight="1" x14ac:dyDescent="0.2">
      <c r="A3559" s="120">
        <v>2024</v>
      </c>
      <c r="B3559" s="120">
        <v>3</v>
      </c>
      <c r="C3559" s="120">
        <v>10</v>
      </c>
      <c r="D3559" s="208">
        <f t="shared" si="272"/>
        <v>45361</v>
      </c>
      <c r="E3559" s="209">
        <f t="shared" si="274"/>
        <v>45361</v>
      </c>
      <c r="F3559" s="515"/>
      <c r="G3559" s="132" t="s">
        <v>1209</v>
      </c>
      <c r="I3559" s="128" t="s">
        <v>1594</v>
      </c>
      <c r="J3559" s="120" t="s">
        <v>16</v>
      </c>
      <c r="K3559" s="207"/>
      <c r="L3559" s="207">
        <v>324800</v>
      </c>
    </row>
    <row r="3560" spans="1:15" ht="11.25" customHeight="1" x14ac:dyDescent="0.2">
      <c r="A3560" s="191">
        <v>2024</v>
      </c>
      <c r="B3560" s="191">
        <v>3</v>
      </c>
      <c r="C3560" s="191">
        <v>10</v>
      </c>
      <c r="D3560" s="192">
        <f t="shared" si="272"/>
        <v>45361</v>
      </c>
      <c r="E3560" s="193">
        <f t="shared" si="274"/>
        <v>45361</v>
      </c>
      <c r="F3560" s="514"/>
      <c r="G3560" s="194" t="s">
        <v>1209</v>
      </c>
      <c r="H3560" s="195"/>
      <c r="I3560" s="195" t="s">
        <v>1594</v>
      </c>
      <c r="J3560" s="191" t="s">
        <v>47</v>
      </c>
      <c r="K3560" s="196"/>
      <c r="L3560" s="196">
        <v>27510</v>
      </c>
    </row>
    <row r="3561" spans="1:15" ht="11.25" customHeight="1" x14ac:dyDescent="0.2">
      <c r="A3561" s="197">
        <v>2024</v>
      </c>
      <c r="B3561" s="197">
        <v>3</v>
      </c>
      <c r="C3561" s="197">
        <v>10</v>
      </c>
      <c r="D3561" s="198">
        <f t="shared" si="272"/>
        <v>45361</v>
      </c>
      <c r="E3561" s="209">
        <f t="shared" ref="E3561:E3568" si="275">DATE(A3561,B3561,C3561)</f>
        <v>45361</v>
      </c>
      <c r="F3561" s="513" t="s">
        <v>1210</v>
      </c>
      <c r="G3561" s="200" t="s">
        <v>1209</v>
      </c>
      <c r="H3561" s="201"/>
      <c r="I3561" s="201" t="s">
        <v>1594</v>
      </c>
      <c r="J3561" s="197" t="s">
        <v>46</v>
      </c>
      <c r="K3561" s="202">
        <v>369000</v>
      </c>
      <c r="L3561" s="202"/>
    </row>
    <row r="3562" spans="1:15" ht="11.25" customHeight="1" x14ac:dyDescent="0.2">
      <c r="A3562" s="120">
        <v>2024</v>
      </c>
      <c r="B3562" s="120">
        <v>3</v>
      </c>
      <c r="C3562" s="120">
        <v>10</v>
      </c>
      <c r="D3562" s="208">
        <f t="shared" si="272"/>
        <v>45361</v>
      </c>
      <c r="E3562" s="209">
        <f t="shared" si="275"/>
        <v>45361</v>
      </c>
      <c r="F3562" s="515"/>
      <c r="G3562" s="132" t="s">
        <v>1209</v>
      </c>
      <c r="I3562" s="128" t="s">
        <v>1594</v>
      </c>
      <c r="J3562" s="120" t="s">
        <v>16</v>
      </c>
      <c r="K3562" s="207"/>
      <c r="L3562" s="207">
        <v>340030</v>
      </c>
    </row>
    <row r="3563" spans="1:15" ht="11.25" customHeight="1" x14ac:dyDescent="0.2">
      <c r="A3563" s="191">
        <v>2024</v>
      </c>
      <c r="B3563" s="191">
        <v>3</v>
      </c>
      <c r="C3563" s="191">
        <v>10</v>
      </c>
      <c r="D3563" s="192">
        <f t="shared" si="272"/>
        <v>45361</v>
      </c>
      <c r="E3563" s="193">
        <f t="shared" si="275"/>
        <v>45361</v>
      </c>
      <c r="F3563" s="514"/>
      <c r="G3563" s="194" t="s">
        <v>1209</v>
      </c>
      <c r="H3563" s="195"/>
      <c r="I3563" s="195" t="s">
        <v>1594</v>
      </c>
      <c r="J3563" s="191" t="s">
        <v>47</v>
      </c>
      <c r="K3563" s="196"/>
      <c r="L3563" s="196">
        <v>28970</v>
      </c>
    </row>
    <row r="3564" spans="1:15" ht="11.25" customHeight="1" x14ac:dyDescent="0.2">
      <c r="A3564" s="197">
        <v>2024</v>
      </c>
      <c r="B3564" s="197">
        <v>3</v>
      </c>
      <c r="C3564" s="197">
        <v>11</v>
      </c>
      <c r="D3564" s="198">
        <f t="shared" si="272"/>
        <v>45362</v>
      </c>
      <c r="E3564" s="209">
        <f t="shared" ref="E3564:E3566" si="276">DATE(A3564,B3564,C3564)</f>
        <v>45362</v>
      </c>
      <c r="F3564" s="513" t="s">
        <v>1210</v>
      </c>
      <c r="G3564" s="200" t="s">
        <v>1209</v>
      </c>
      <c r="H3564" s="201"/>
      <c r="I3564" s="201" t="s">
        <v>1596</v>
      </c>
      <c r="J3564" s="197" t="s">
        <v>46</v>
      </c>
      <c r="K3564" s="202">
        <v>5000</v>
      </c>
      <c r="L3564" s="202"/>
    </row>
    <row r="3565" spans="1:15" ht="11.25" customHeight="1" x14ac:dyDescent="0.2">
      <c r="A3565" s="120">
        <v>2024</v>
      </c>
      <c r="B3565" s="120">
        <v>3</v>
      </c>
      <c r="C3565" s="120">
        <v>11</v>
      </c>
      <c r="D3565" s="208">
        <f t="shared" si="272"/>
        <v>45362</v>
      </c>
      <c r="E3565" s="209">
        <f t="shared" si="276"/>
        <v>45362</v>
      </c>
      <c r="F3565" s="515"/>
      <c r="G3565" s="132" t="s">
        <v>1209</v>
      </c>
      <c r="I3565" s="128" t="s">
        <v>1596</v>
      </c>
      <c r="J3565" s="120" t="s">
        <v>16</v>
      </c>
      <c r="K3565" s="207"/>
      <c r="L3565" s="207">
        <v>4600</v>
      </c>
    </row>
    <row r="3566" spans="1:15" ht="11.25" customHeight="1" x14ac:dyDescent="0.2">
      <c r="A3566" s="191">
        <v>2024</v>
      </c>
      <c r="B3566" s="191">
        <v>3</v>
      </c>
      <c r="C3566" s="191">
        <v>11</v>
      </c>
      <c r="D3566" s="192">
        <f t="shared" si="272"/>
        <v>45362</v>
      </c>
      <c r="E3566" s="193">
        <f t="shared" si="276"/>
        <v>45362</v>
      </c>
      <c r="F3566" s="514"/>
      <c r="G3566" s="194" t="s">
        <v>1209</v>
      </c>
      <c r="H3566" s="195"/>
      <c r="I3566" s="195" t="s">
        <v>1596</v>
      </c>
      <c r="J3566" s="191" t="s">
        <v>47</v>
      </c>
      <c r="K3566" s="196"/>
      <c r="L3566" s="196">
        <v>400</v>
      </c>
    </row>
    <row r="3567" spans="1:15" ht="11.25" customHeight="1" x14ac:dyDescent="0.2">
      <c r="A3567" s="197">
        <v>2024</v>
      </c>
      <c r="B3567" s="197">
        <v>3</v>
      </c>
      <c r="C3567" s="197">
        <v>10</v>
      </c>
      <c r="D3567" s="198">
        <f t="shared" si="272"/>
        <v>45361</v>
      </c>
      <c r="E3567" s="290">
        <f t="shared" si="275"/>
        <v>45361</v>
      </c>
      <c r="F3567" s="513" t="s">
        <v>1527</v>
      </c>
      <c r="G3567" s="200" t="s">
        <v>1209</v>
      </c>
      <c r="H3567" s="201"/>
      <c r="I3567" s="201"/>
      <c r="J3567" s="197" t="s">
        <v>54</v>
      </c>
      <c r="K3567" s="202">
        <v>40</v>
      </c>
      <c r="L3567" s="202"/>
      <c r="M3567" s="251"/>
      <c r="N3567" s="251"/>
      <c r="O3567" s="251"/>
    </row>
    <row r="3568" spans="1:15" ht="11.25" customHeight="1" x14ac:dyDescent="0.2">
      <c r="A3568" s="191">
        <v>2024</v>
      </c>
      <c r="B3568" s="191">
        <v>3</v>
      </c>
      <c r="C3568" s="191">
        <v>10</v>
      </c>
      <c r="D3568" s="192">
        <f t="shared" si="272"/>
        <v>45361</v>
      </c>
      <c r="E3568" s="291">
        <f t="shared" si="275"/>
        <v>45361</v>
      </c>
      <c r="F3568" s="514"/>
      <c r="G3568" s="194" t="s">
        <v>1209</v>
      </c>
      <c r="H3568" s="195"/>
      <c r="I3568" s="195"/>
      <c r="J3568" s="191" t="s">
        <v>46</v>
      </c>
      <c r="K3568" s="196"/>
      <c r="L3568" s="196">
        <v>40</v>
      </c>
      <c r="M3568" s="251"/>
      <c r="N3568" s="251"/>
      <c r="O3568" s="251"/>
    </row>
    <row r="3569" spans="1:14" ht="11.25" customHeight="1" x14ac:dyDescent="0.2">
      <c r="A3569" s="197">
        <v>2024</v>
      </c>
      <c r="B3569" s="197">
        <v>3</v>
      </c>
      <c r="C3569" s="197">
        <v>11</v>
      </c>
      <c r="D3569" s="198">
        <f t="shared" si="272"/>
        <v>45362</v>
      </c>
      <c r="E3569" s="199">
        <f t="shared" si="271"/>
        <v>45362</v>
      </c>
      <c r="F3569" s="513" t="s">
        <v>1592</v>
      </c>
      <c r="G3569" s="200" t="s">
        <v>1209</v>
      </c>
      <c r="H3569" s="201"/>
      <c r="I3569" s="201" t="s">
        <v>1253</v>
      </c>
      <c r="J3569" s="197" t="s">
        <v>46</v>
      </c>
      <c r="K3569" s="202">
        <v>20000000</v>
      </c>
      <c r="L3569" s="202"/>
    </row>
    <row r="3570" spans="1:14" ht="11.25" customHeight="1" x14ac:dyDescent="0.2">
      <c r="A3570" s="120">
        <v>2024</v>
      </c>
      <c r="B3570" s="120">
        <v>3</v>
      </c>
      <c r="C3570" s="120">
        <v>11</v>
      </c>
      <c r="D3570" s="208">
        <f t="shared" si="272"/>
        <v>45362</v>
      </c>
      <c r="E3570" s="209">
        <f t="shared" si="271"/>
        <v>45362</v>
      </c>
      <c r="F3570" s="515"/>
      <c r="G3570" s="132" t="s">
        <v>1209</v>
      </c>
      <c r="J3570" s="120" t="s">
        <v>1462</v>
      </c>
      <c r="K3570" s="120"/>
      <c r="L3570" s="207">
        <v>533860</v>
      </c>
    </row>
    <row r="3571" spans="1:14" ht="11.25" customHeight="1" x14ac:dyDescent="0.2">
      <c r="A3571" s="191">
        <v>2024</v>
      </c>
      <c r="B3571" s="191">
        <v>3</v>
      </c>
      <c r="C3571" s="191">
        <v>11</v>
      </c>
      <c r="D3571" s="192">
        <f t="shared" si="272"/>
        <v>45362</v>
      </c>
      <c r="E3571" s="193">
        <f t="shared" si="271"/>
        <v>45362</v>
      </c>
      <c r="F3571" s="514"/>
      <c r="G3571" s="194" t="s">
        <v>1209</v>
      </c>
      <c r="H3571" s="195"/>
      <c r="I3571" s="195" t="s">
        <v>1253</v>
      </c>
      <c r="J3571" s="191" t="s">
        <v>1455</v>
      </c>
      <c r="K3571" s="196"/>
      <c r="L3571" s="196">
        <v>19466140</v>
      </c>
      <c r="N3571" s="130"/>
    </row>
    <row r="3572" spans="1:14" ht="11.25" customHeight="1" x14ac:dyDescent="0.2">
      <c r="A3572" s="197">
        <v>2024</v>
      </c>
      <c r="B3572" s="197">
        <v>3</v>
      </c>
      <c r="C3572" s="197">
        <v>11</v>
      </c>
      <c r="D3572" s="198">
        <f t="shared" si="272"/>
        <v>45362</v>
      </c>
      <c r="E3572" s="199">
        <f t="shared" ref="E3572:E3574" si="277">DATE(A3572,B3572,C3572)</f>
        <v>45362</v>
      </c>
      <c r="F3572" s="513" t="s">
        <v>1592</v>
      </c>
      <c r="G3572" s="200" t="s">
        <v>1209</v>
      </c>
      <c r="H3572" s="201"/>
      <c r="I3572" s="201" t="s">
        <v>1253</v>
      </c>
      <c r="J3572" s="197" t="s">
        <v>46</v>
      </c>
      <c r="K3572" s="202">
        <v>6000000</v>
      </c>
      <c r="L3572" s="202"/>
    </row>
    <row r="3573" spans="1:14" ht="11.25" customHeight="1" x14ac:dyDescent="0.2">
      <c r="A3573" s="120">
        <v>2024</v>
      </c>
      <c r="B3573" s="120">
        <v>3</v>
      </c>
      <c r="C3573" s="120">
        <v>11</v>
      </c>
      <c r="D3573" s="208">
        <f t="shared" si="272"/>
        <v>45362</v>
      </c>
      <c r="E3573" s="209">
        <f t="shared" si="277"/>
        <v>45362</v>
      </c>
      <c r="F3573" s="515"/>
      <c r="G3573" s="132" t="s">
        <v>1209</v>
      </c>
      <c r="J3573" s="120" t="s">
        <v>1462</v>
      </c>
      <c r="K3573" s="120"/>
      <c r="L3573" s="207">
        <v>160158</v>
      </c>
    </row>
    <row r="3574" spans="1:14" ht="11.25" customHeight="1" x14ac:dyDescent="0.2">
      <c r="A3574" s="191">
        <v>2024</v>
      </c>
      <c r="B3574" s="191">
        <v>3</v>
      </c>
      <c r="C3574" s="191">
        <v>11</v>
      </c>
      <c r="D3574" s="192">
        <f t="shared" si="272"/>
        <v>45362</v>
      </c>
      <c r="E3574" s="193">
        <f t="shared" si="277"/>
        <v>45362</v>
      </c>
      <c r="F3574" s="514"/>
      <c r="G3574" s="194" t="s">
        <v>1209</v>
      </c>
      <c r="H3574" s="195"/>
      <c r="I3574" s="195" t="s">
        <v>1253</v>
      </c>
      <c r="J3574" s="191" t="s">
        <v>1455</v>
      </c>
      <c r="K3574" s="196"/>
      <c r="L3574" s="196">
        <v>5839842</v>
      </c>
      <c r="N3574" s="130"/>
    </row>
    <row r="3575" spans="1:14" ht="11.25" customHeight="1" x14ac:dyDescent="0.2">
      <c r="A3575" s="197">
        <v>2024</v>
      </c>
      <c r="B3575" s="197">
        <v>3</v>
      </c>
      <c r="C3575" s="197">
        <v>11</v>
      </c>
      <c r="D3575" s="198">
        <f t="shared" si="272"/>
        <v>45362</v>
      </c>
      <c r="E3575" s="199">
        <f t="shared" ref="E3575:E3581" si="278">DATE(A3575,B3575,C3575)</f>
        <v>45362</v>
      </c>
      <c r="F3575" s="513" t="s">
        <v>1592</v>
      </c>
      <c r="G3575" s="200" t="s">
        <v>1209</v>
      </c>
      <c r="H3575" s="201"/>
      <c r="I3575" s="201" t="s">
        <v>1253</v>
      </c>
      <c r="J3575" s="197" t="s">
        <v>46</v>
      </c>
      <c r="K3575" s="202">
        <v>25000000</v>
      </c>
      <c r="L3575" s="202"/>
    </row>
    <row r="3576" spans="1:14" ht="11.25" customHeight="1" x14ac:dyDescent="0.2">
      <c r="A3576" s="120">
        <v>2024</v>
      </c>
      <c r="B3576" s="120">
        <v>3</v>
      </c>
      <c r="C3576" s="120">
        <v>11</v>
      </c>
      <c r="D3576" s="208">
        <f t="shared" si="272"/>
        <v>45362</v>
      </c>
      <c r="E3576" s="209">
        <f t="shared" si="278"/>
        <v>45362</v>
      </c>
      <c r="F3576" s="515"/>
      <c r="G3576" s="132" t="s">
        <v>1209</v>
      </c>
      <c r="J3576" s="120" t="s">
        <v>1462</v>
      </c>
      <c r="K3576" s="120"/>
      <c r="L3576" s="207">
        <v>667325</v>
      </c>
    </row>
    <row r="3577" spans="1:14" ht="11.25" customHeight="1" x14ac:dyDescent="0.2">
      <c r="A3577" s="191">
        <v>2024</v>
      </c>
      <c r="B3577" s="191">
        <v>3</v>
      </c>
      <c r="C3577" s="191">
        <v>11</v>
      </c>
      <c r="D3577" s="192">
        <f t="shared" si="272"/>
        <v>45362</v>
      </c>
      <c r="E3577" s="193">
        <f t="shared" si="278"/>
        <v>45362</v>
      </c>
      <c r="F3577" s="514"/>
      <c r="G3577" s="194" t="s">
        <v>1209</v>
      </c>
      <c r="H3577" s="195"/>
      <c r="I3577" s="195" t="s">
        <v>1253</v>
      </c>
      <c r="J3577" s="191" t="s">
        <v>1455</v>
      </c>
      <c r="K3577" s="196"/>
      <c r="L3577" s="196">
        <v>24332675</v>
      </c>
      <c r="N3577" s="130"/>
    </row>
    <row r="3578" spans="1:14" ht="11.25" customHeight="1" x14ac:dyDescent="0.2">
      <c r="A3578" s="197">
        <v>2024</v>
      </c>
      <c r="B3578" s="197">
        <v>3</v>
      </c>
      <c r="C3578" s="197">
        <v>11</v>
      </c>
      <c r="D3578" s="198">
        <f t="shared" si="272"/>
        <v>45362</v>
      </c>
      <c r="E3578" s="199">
        <f t="shared" si="278"/>
        <v>45362</v>
      </c>
      <c r="F3578" s="513" t="s">
        <v>1593</v>
      </c>
      <c r="G3578" s="200" t="s">
        <v>1209</v>
      </c>
      <c r="H3578" s="201"/>
      <c r="I3578" s="201" t="s">
        <v>1253</v>
      </c>
      <c r="J3578" s="197" t="s">
        <v>1455</v>
      </c>
      <c r="K3578" s="202">
        <v>7682655.2000000002</v>
      </c>
      <c r="L3578" s="202"/>
    </row>
    <row r="3579" spans="1:14" ht="11.25" customHeight="1" x14ac:dyDescent="0.2">
      <c r="A3579" s="191">
        <v>2024</v>
      </c>
      <c r="B3579" s="191">
        <v>3</v>
      </c>
      <c r="C3579" s="191">
        <v>11</v>
      </c>
      <c r="D3579" s="192">
        <f t="shared" si="272"/>
        <v>45362</v>
      </c>
      <c r="E3579" s="193">
        <f t="shared" si="278"/>
        <v>45362</v>
      </c>
      <c r="F3579" s="514"/>
      <c r="G3579" s="194" t="s">
        <v>1209</v>
      </c>
      <c r="H3579" s="195"/>
      <c r="I3579" s="195" t="s">
        <v>1253</v>
      </c>
      <c r="J3579" s="191" t="s">
        <v>46</v>
      </c>
      <c r="K3579" s="196"/>
      <c r="L3579" s="196">
        <v>7682655.2000000002</v>
      </c>
      <c r="N3579" s="130"/>
    </row>
    <row r="3580" spans="1:14" ht="11.25" customHeight="1" x14ac:dyDescent="0.2">
      <c r="A3580" s="197">
        <v>2024</v>
      </c>
      <c r="B3580" s="197">
        <v>3</v>
      </c>
      <c r="C3580" s="197">
        <v>12</v>
      </c>
      <c r="D3580" s="198">
        <f t="shared" si="272"/>
        <v>45363</v>
      </c>
      <c r="E3580" s="199">
        <f t="shared" si="278"/>
        <v>45363</v>
      </c>
      <c r="F3580" s="513" t="s">
        <v>1587</v>
      </c>
      <c r="G3580" s="200" t="s">
        <v>1209</v>
      </c>
      <c r="H3580" s="201"/>
      <c r="I3580" s="201" t="s">
        <v>1253</v>
      </c>
      <c r="J3580" s="197" t="s">
        <v>1455</v>
      </c>
      <c r="K3580" s="202">
        <v>24370600</v>
      </c>
      <c r="L3580" s="202"/>
    </row>
    <row r="3581" spans="1:14" ht="11.25" customHeight="1" x14ac:dyDescent="0.2">
      <c r="A3581" s="191">
        <v>2024</v>
      </c>
      <c r="B3581" s="191">
        <v>3</v>
      </c>
      <c r="C3581" s="191">
        <v>12</v>
      </c>
      <c r="D3581" s="192">
        <f t="shared" si="272"/>
        <v>45363</v>
      </c>
      <c r="E3581" s="193">
        <f t="shared" si="278"/>
        <v>45363</v>
      </c>
      <c r="F3581" s="514"/>
      <c r="G3581" s="194" t="s">
        <v>1209</v>
      </c>
      <c r="H3581" s="195"/>
      <c r="I3581" s="195" t="s">
        <v>1253</v>
      </c>
      <c r="J3581" s="191" t="s">
        <v>46</v>
      </c>
      <c r="K3581" s="196"/>
      <c r="L3581" s="196">
        <v>24370600</v>
      </c>
      <c r="N3581" s="130"/>
    </row>
    <row r="3582" spans="1:14" ht="11.25" customHeight="1" x14ac:dyDescent="0.2">
      <c r="A3582" s="197">
        <v>2024</v>
      </c>
      <c r="B3582" s="197">
        <v>3</v>
      </c>
      <c r="C3582" s="197">
        <v>12</v>
      </c>
      <c r="D3582" s="198">
        <f t="shared" si="272"/>
        <v>45363</v>
      </c>
      <c r="E3582" s="209">
        <f t="shared" ref="E3582:E3584" si="279">DATE(A3582,B3582,C3582)</f>
        <v>45363</v>
      </c>
      <c r="F3582" s="513" t="s">
        <v>1280</v>
      </c>
      <c r="G3582" s="200" t="s">
        <v>1209</v>
      </c>
      <c r="H3582" s="201"/>
      <c r="I3582" s="201" t="s">
        <v>1321</v>
      </c>
      <c r="J3582" s="197" t="s">
        <v>16</v>
      </c>
      <c r="K3582" s="202">
        <v>460280</v>
      </c>
      <c r="L3582" s="202"/>
    </row>
    <row r="3583" spans="1:14" ht="11.25" customHeight="1" x14ac:dyDescent="0.2">
      <c r="A3583" s="120">
        <v>2024</v>
      </c>
      <c r="B3583" s="120">
        <v>3</v>
      </c>
      <c r="C3583" s="120">
        <v>12</v>
      </c>
      <c r="D3583" s="208">
        <f t="shared" si="272"/>
        <v>45363</v>
      </c>
      <c r="E3583" s="209">
        <f t="shared" si="279"/>
        <v>45363</v>
      </c>
      <c r="F3583" s="515"/>
      <c r="G3583" s="132" t="s">
        <v>1209</v>
      </c>
      <c r="I3583" s="128" t="s">
        <v>1321</v>
      </c>
      <c r="J3583" s="120" t="s">
        <v>47</v>
      </c>
      <c r="K3583" s="207">
        <v>39720</v>
      </c>
      <c r="L3583" s="207"/>
    </row>
    <row r="3584" spans="1:14" ht="11.25" customHeight="1" x14ac:dyDescent="0.2">
      <c r="A3584" s="191">
        <v>2024</v>
      </c>
      <c r="B3584" s="191">
        <v>3</v>
      </c>
      <c r="C3584" s="191">
        <v>12</v>
      </c>
      <c r="D3584" s="192">
        <f t="shared" si="272"/>
        <v>45363</v>
      </c>
      <c r="E3584" s="193">
        <f t="shared" si="279"/>
        <v>45363</v>
      </c>
      <c r="F3584" s="514"/>
      <c r="G3584" s="194" t="s">
        <v>1209</v>
      </c>
      <c r="H3584" s="195"/>
      <c r="I3584" s="195" t="s">
        <v>1321</v>
      </c>
      <c r="J3584" s="191" t="s">
        <v>46</v>
      </c>
      <c r="K3584" s="196"/>
      <c r="L3584" s="196">
        <v>500000</v>
      </c>
    </row>
    <row r="3585" spans="1:12" ht="11.25" customHeight="1" x14ac:dyDescent="0.2">
      <c r="A3585" s="197">
        <v>2024</v>
      </c>
      <c r="B3585" s="197">
        <v>3</v>
      </c>
      <c r="C3585" s="197">
        <v>12</v>
      </c>
      <c r="D3585" s="198">
        <f t="shared" si="272"/>
        <v>45363</v>
      </c>
      <c r="E3585" s="209">
        <f t="shared" ref="E3585:E3587" si="280">DATE(A3585,B3585,C3585)</f>
        <v>45363</v>
      </c>
      <c r="F3585" s="513" t="s">
        <v>1423</v>
      </c>
      <c r="G3585" s="200" t="s">
        <v>1209</v>
      </c>
      <c r="H3585" s="201"/>
      <c r="I3585" s="201" t="s">
        <v>636</v>
      </c>
      <c r="J3585" s="197" t="s">
        <v>16</v>
      </c>
      <c r="K3585" s="202">
        <v>18720</v>
      </c>
      <c r="L3585" s="202"/>
    </row>
    <row r="3586" spans="1:12" ht="11.25" customHeight="1" x14ac:dyDescent="0.2">
      <c r="A3586" s="120">
        <v>2024</v>
      </c>
      <c r="B3586" s="120">
        <v>3</v>
      </c>
      <c r="C3586" s="120">
        <v>12</v>
      </c>
      <c r="D3586" s="208">
        <f t="shared" si="272"/>
        <v>45363</v>
      </c>
      <c r="E3586" s="209">
        <f t="shared" si="280"/>
        <v>45363</v>
      </c>
      <c r="F3586" s="515"/>
      <c r="G3586" s="132" t="s">
        <v>1209</v>
      </c>
      <c r="I3586" s="128" t="s">
        <v>636</v>
      </c>
      <c r="J3586" s="120" t="s">
        <v>47</v>
      </c>
      <c r="K3586" s="207">
        <v>1615.5400000000009</v>
      </c>
      <c r="L3586" s="207"/>
    </row>
    <row r="3587" spans="1:12" ht="11.25" customHeight="1" x14ac:dyDescent="0.2">
      <c r="A3587" s="191">
        <v>2024</v>
      </c>
      <c r="B3587" s="191">
        <v>3</v>
      </c>
      <c r="C3587" s="191">
        <v>12</v>
      </c>
      <c r="D3587" s="192">
        <f t="shared" si="272"/>
        <v>45363</v>
      </c>
      <c r="E3587" s="193">
        <f t="shared" si="280"/>
        <v>45363</v>
      </c>
      <c r="F3587" s="514"/>
      <c r="G3587" s="194" t="s">
        <v>1209</v>
      </c>
      <c r="H3587" s="195"/>
      <c r="I3587" s="195" t="s">
        <v>636</v>
      </c>
      <c r="J3587" s="191" t="s">
        <v>46</v>
      </c>
      <c r="K3587" s="196"/>
      <c r="L3587" s="196">
        <v>20335.54</v>
      </c>
    </row>
    <row r="3588" spans="1:12" ht="11.25" customHeight="1" x14ac:dyDescent="0.2">
      <c r="A3588" s="197">
        <v>2024</v>
      </c>
      <c r="B3588" s="197">
        <v>3</v>
      </c>
      <c r="C3588" s="197">
        <v>13</v>
      </c>
      <c r="D3588" s="198">
        <f t="shared" si="272"/>
        <v>45364</v>
      </c>
      <c r="E3588" s="209">
        <f t="shared" ref="E3588:E3590" si="281">DATE(A3588,B3588,C3588)</f>
        <v>45364</v>
      </c>
      <c r="F3588" s="513" t="s">
        <v>1423</v>
      </c>
      <c r="G3588" s="200" t="s">
        <v>1209</v>
      </c>
      <c r="H3588" s="201"/>
      <c r="I3588" s="201" t="s">
        <v>1222</v>
      </c>
      <c r="J3588" s="197" t="s">
        <v>16</v>
      </c>
      <c r="K3588" s="202">
        <v>28130</v>
      </c>
      <c r="L3588" s="202"/>
    </row>
    <row r="3589" spans="1:12" ht="11.25" customHeight="1" x14ac:dyDescent="0.2">
      <c r="A3589" s="120">
        <v>2024</v>
      </c>
      <c r="B3589" s="120">
        <v>3</v>
      </c>
      <c r="C3589" s="120">
        <v>13</v>
      </c>
      <c r="D3589" s="208">
        <f t="shared" si="272"/>
        <v>45364</v>
      </c>
      <c r="E3589" s="209">
        <f t="shared" si="281"/>
        <v>45364</v>
      </c>
      <c r="F3589" s="515"/>
      <c r="G3589" s="132" t="s">
        <v>1209</v>
      </c>
      <c r="I3589" s="128" t="s">
        <v>1222</v>
      </c>
      <c r="J3589" s="120" t="s">
        <v>47</v>
      </c>
      <c r="K3589" s="207">
        <v>2427.619999999999</v>
      </c>
      <c r="L3589" s="207"/>
    </row>
    <row r="3590" spans="1:12" ht="11.25" customHeight="1" x14ac:dyDescent="0.2">
      <c r="A3590" s="191">
        <v>2024</v>
      </c>
      <c r="B3590" s="191">
        <v>3</v>
      </c>
      <c r="C3590" s="191">
        <v>13</v>
      </c>
      <c r="D3590" s="192">
        <f t="shared" si="272"/>
        <v>45364</v>
      </c>
      <c r="E3590" s="193">
        <f t="shared" si="281"/>
        <v>45364</v>
      </c>
      <c r="F3590" s="514"/>
      <c r="G3590" s="194" t="s">
        <v>1209</v>
      </c>
      <c r="H3590" s="195"/>
      <c r="I3590" s="195" t="s">
        <v>1222</v>
      </c>
      <c r="J3590" s="191" t="s">
        <v>46</v>
      </c>
      <c r="K3590" s="196"/>
      <c r="L3590" s="196">
        <v>30557.62</v>
      </c>
    </row>
    <row r="3591" spans="1:12" ht="11.25" customHeight="1" x14ac:dyDescent="0.2">
      <c r="A3591" s="197">
        <v>2024</v>
      </c>
      <c r="B3591" s="197">
        <v>3</v>
      </c>
      <c r="C3591" s="197">
        <v>13</v>
      </c>
      <c r="D3591" s="198">
        <f t="shared" si="272"/>
        <v>45364</v>
      </c>
      <c r="E3591" s="209">
        <f t="shared" ref="E3591:E3593" si="282">DATE(A3591,B3591,C3591)</f>
        <v>45364</v>
      </c>
      <c r="F3591" s="513" t="s">
        <v>1280</v>
      </c>
      <c r="G3591" s="200" t="s">
        <v>1209</v>
      </c>
      <c r="H3591" s="201"/>
      <c r="I3591" s="201" t="s">
        <v>1506</v>
      </c>
      <c r="J3591" s="197" t="s">
        <v>16</v>
      </c>
      <c r="K3591" s="202">
        <v>2765000</v>
      </c>
      <c r="L3591" s="202"/>
    </row>
    <row r="3592" spans="1:12" ht="11.25" customHeight="1" x14ac:dyDescent="0.2">
      <c r="A3592" s="120">
        <v>2024</v>
      </c>
      <c r="B3592" s="120">
        <v>3</v>
      </c>
      <c r="C3592" s="120">
        <v>13</v>
      </c>
      <c r="D3592" s="208">
        <f t="shared" si="272"/>
        <v>45364</v>
      </c>
      <c r="E3592" s="209">
        <f t="shared" si="282"/>
        <v>45364</v>
      </c>
      <c r="F3592" s="515"/>
      <c r="G3592" s="132" t="s">
        <v>1209</v>
      </c>
      <c r="I3592" s="128" t="s">
        <v>1506</v>
      </c>
      <c r="J3592" s="120" t="s">
        <v>47</v>
      </c>
      <c r="K3592" s="207">
        <v>238619.5</v>
      </c>
      <c r="L3592" s="207"/>
    </row>
    <row r="3593" spans="1:12" ht="11.25" customHeight="1" x14ac:dyDescent="0.2">
      <c r="A3593" s="191">
        <v>2024</v>
      </c>
      <c r="B3593" s="191">
        <v>3</v>
      </c>
      <c r="C3593" s="191">
        <v>13</v>
      </c>
      <c r="D3593" s="192">
        <f t="shared" si="272"/>
        <v>45364</v>
      </c>
      <c r="E3593" s="193">
        <f t="shared" si="282"/>
        <v>45364</v>
      </c>
      <c r="F3593" s="514"/>
      <c r="G3593" s="194" t="s">
        <v>1209</v>
      </c>
      <c r="H3593" s="195"/>
      <c r="I3593" s="195" t="s">
        <v>1506</v>
      </c>
      <c r="J3593" s="191" t="s">
        <v>46</v>
      </c>
      <c r="K3593" s="196"/>
      <c r="L3593" s="196">
        <v>3003619.5</v>
      </c>
    </row>
    <row r="3594" spans="1:12" ht="11.25" customHeight="1" x14ac:dyDescent="0.2">
      <c r="A3594" s="197">
        <v>2024</v>
      </c>
      <c r="B3594" s="197">
        <v>3</v>
      </c>
      <c r="C3594" s="197">
        <v>13</v>
      </c>
      <c r="D3594" s="198">
        <f t="shared" si="272"/>
        <v>45364</v>
      </c>
      <c r="E3594" s="209">
        <f t="shared" ref="E3594:E3596" si="283">DATE(A3594,B3594,C3594)</f>
        <v>45364</v>
      </c>
      <c r="F3594" s="513" t="s">
        <v>1280</v>
      </c>
      <c r="G3594" s="200" t="s">
        <v>1209</v>
      </c>
      <c r="H3594" s="201"/>
      <c r="I3594" s="201" t="s">
        <v>1505</v>
      </c>
      <c r="J3594" s="197" t="s">
        <v>16</v>
      </c>
      <c r="K3594" s="202">
        <v>2765000</v>
      </c>
      <c r="L3594" s="202"/>
    </row>
    <row r="3595" spans="1:12" ht="11.25" customHeight="1" x14ac:dyDescent="0.2">
      <c r="A3595" s="120">
        <v>2024</v>
      </c>
      <c r="B3595" s="120">
        <v>3</v>
      </c>
      <c r="C3595" s="120">
        <v>13</v>
      </c>
      <c r="D3595" s="208">
        <f t="shared" si="272"/>
        <v>45364</v>
      </c>
      <c r="E3595" s="209">
        <f t="shared" si="283"/>
        <v>45364</v>
      </c>
      <c r="F3595" s="515"/>
      <c r="G3595" s="132" t="s">
        <v>1209</v>
      </c>
      <c r="I3595" s="128" t="s">
        <v>1505</v>
      </c>
      <c r="J3595" s="120" t="s">
        <v>47</v>
      </c>
      <c r="K3595" s="207">
        <v>238619.5</v>
      </c>
      <c r="L3595" s="207"/>
    </row>
    <row r="3596" spans="1:12" ht="11.25" customHeight="1" x14ac:dyDescent="0.2">
      <c r="A3596" s="191">
        <v>2024</v>
      </c>
      <c r="B3596" s="191">
        <v>3</v>
      </c>
      <c r="C3596" s="191">
        <v>13</v>
      </c>
      <c r="D3596" s="192">
        <f t="shared" si="272"/>
        <v>45364</v>
      </c>
      <c r="E3596" s="193">
        <f t="shared" si="283"/>
        <v>45364</v>
      </c>
      <c r="F3596" s="514"/>
      <c r="G3596" s="194" t="s">
        <v>1209</v>
      </c>
      <c r="H3596" s="195"/>
      <c r="I3596" s="195" t="s">
        <v>1505</v>
      </c>
      <c r="J3596" s="191" t="s">
        <v>46</v>
      </c>
      <c r="K3596" s="196"/>
      <c r="L3596" s="196">
        <v>3003619.5</v>
      </c>
    </row>
    <row r="3597" spans="1:12" ht="11.25" customHeight="1" x14ac:dyDescent="0.2">
      <c r="A3597" s="197">
        <v>2024</v>
      </c>
      <c r="B3597" s="197">
        <v>3</v>
      </c>
      <c r="C3597" s="197">
        <v>13</v>
      </c>
      <c r="D3597" s="198">
        <f t="shared" si="272"/>
        <v>45364</v>
      </c>
      <c r="E3597" s="209">
        <f t="shared" ref="E3597:E3599" si="284">DATE(A3597,B3597,C3597)</f>
        <v>45364</v>
      </c>
      <c r="F3597" s="513" t="s">
        <v>1280</v>
      </c>
      <c r="G3597" s="200" t="s">
        <v>1209</v>
      </c>
      <c r="H3597" s="201"/>
      <c r="I3597" s="201" t="s">
        <v>1507</v>
      </c>
      <c r="J3597" s="197" t="s">
        <v>16</v>
      </c>
      <c r="K3597" s="202">
        <v>2765000</v>
      </c>
      <c r="L3597" s="202"/>
    </row>
    <row r="3598" spans="1:12" ht="11.25" customHeight="1" x14ac:dyDescent="0.2">
      <c r="A3598" s="120">
        <v>2024</v>
      </c>
      <c r="B3598" s="120">
        <v>3</v>
      </c>
      <c r="C3598" s="120">
        <v>13</v>
      </c>
      <c r="D3598" s="208">
        <f t="shared" si="272"/>
        <v>45364</v>
      </c>
      <c r="E3598" s="209">
        <f t="shared" si="284"/>
        <v>45364</v>
      </c>
      <c r="F3598" s="515"/>
      <c r="G3598" s="132" t="s">
        <v>1209</v>
      </c>
      <c r="I3598" s="128" t="s">
        <v>1507</v>
      </c>
      <c r="J3598" s="120" t="s">
        <v>47</v>
      </c>
      <c r="K3598" s="207">
        <v>238619.5</v>
      </c>
      <c r="L3598" s="207"/>
    </row>
    <row r="3599" spans="1:12" ht="11.25" customHeight="1" x14ac:dyDescent="0.2">
      <c r="A3599" s="191">
        <v>2024</v>
      </c>
      <c r="B3599" s="191">
        <v>3</v>
      </c>
      <c r="C3599" s="191">
        <v>13</v>
      </c>
      <c r="D3599" s="192">
        <f t="shared" si="272"/>
        <v>45364</v>
      </c>
      <c r="E3599" s="193">
        <f t="shared" si="284"/>
        <v>45364</v>
      </c>
      <c r="F3599" s="514"/>
      <c r="G3599" s="194" t="s">
        <v>1209</v>
      </c>
      <c r="H3599" s="195"/>
      <c r="I3599" s="195" t="s">
        <v>1507</v>
      </c>
      <c r="J3599" s="191" t="s">
        <v>46</v>
      </c>
      <c r="K3599" s="196"/>
      <c r="L3599" s="196">
        <v>3003619.5</v>
      </c>
    </row>
    <row r="3600" spans="1:12" ht="11.25" customHeight="1" x14ac:dyDescent="0.2">
      <c r="A3600" s="197">
        <v>2024</v>
      </c>
      <c r="B3600" s="197">
        <v>3</v>
      </c>
      <c r="C3600" s="197">
        <v>13</v>
      </c>
      <c r="D3600" s="198">
        <f t="shared" si="272"/>
        <v>45364</v>
      </c>
      <c r="E3600" s="209">
        <f t="shared" ref="E3600:E3608" si="285">DATE(A3600,B3600,C3600)</f>
        <v>45364</v>
      </c>
      <c r="F3600" s="513" t="s">
        <v>1280</v>
      </c>
      <c r="G3600" s="200" t="s">
        <v>1209</v>
      </c>
      <c r="H3600" s="201"/>
      <c r="I3600" s="201" t="s">
        <v>694</v>
      </c>
      <c r="J3600" s="197" t="s">
        <v>16</v>
      </c>
      <c r="K3600" s="202">
        <v>774340</v>
      </c>
      <c r="L3600" s="202"/>
    </row>
    <row r="3601" spans="1:12" ht="11.25" customHeight="1" x14ac:dyDescent="0.2">
      <c r="A3601" s="120">
        <v>2024</v>
      </c>
      <c r="B3601" s="120">
        <v>3</v>
      </c>
      <c r="C3601" s="120">
        <v>13</v>
      </c>
      <c r="D3601" s="208">
        <f t="shared" si="272"/>
        <v>45364</v>
      </c>
      <c r="E3601" s="209">
        <f t="shared" si="285"/>
        <v>45364</v>
      </c>
      <c r="F3601" s="515"/>
      <c r="G3601" s="132" t="s">
        <v>1209</v>
      </c>
      <c r="I3601" s="128" t="s">
        <v>694</v>
      </c>
      <c r="J3601" s="120" t="s">
        <v>47</v>
      </c>
      <c r="K3601" s="207">
        <v>66825.540000000037</v>
      </c>
      <c r="L3601" s="207"/>
    </row>
    <row r="3602" spans="1:12" ht="11.25" customHeight="1" x14ac:dyDescent="0.2">
      <c r="A3602" s="191">
        <v>2024</v>
      </c>
      <c r="B3602" s="191">
        <v>3</v>
      </c>
      <c r="C3602" s="191">
        <v>13</v>
      </c>
      <c r="D3602" s="192">
        <f t="shared" si="272"/>
        <v>45364</v>
      </c>
      <c r="E3602" s="193">
        <f t="shared" si="285"/>
        <v>45364</v>
      </c>
      <c r="F3602" s="514"/>
      <c r="G3602" s="194" t="s">
        <v>1209</v>
      </c>
      <c r="H3602" s="195"/>
      <c r="I3602" s="195" t="s">
        <v>694</v>
      </c>
      <c r="J3602" s="191" t="s">
        <v>46</v>
      </c>
      <c r="K3602" s="196"/>
      <c r="L3602" s="196">
        <v>841165.54</v>
      </c>
    </row>
    <row r="3603" spans="1:12" ht="11.25" customHeight="1" x14ac:dyDescent="0.2">
      <c r="A3603" s="197">
        <v>2024</v>
      </c>
      <c r="B3603" s="197">
        <v>3</v>
      </c>
      <c r="C3603" s="197">
        <v>14</v>
      </c>
      <c r="D3603" s="198">
        <f t="shared" si="272"/>
        <v>45365</v>
      </c>
      <c r="E3603" s="209">
        <f t="shared" si="285"/>
        <v>45365</v>
      </c>
      <c r="F3603" s="513" t="s">
        <v>1210</v>
      </c>
      <c r="G3603" s="200" t="s">
        <v>1209</v>
      </c>
      <c r="H3603" s="201"/>
      <c r="I3603" s="201" t="s">
        <v>1596</v>
      </c>
      <c r="J3603" s="197" t="s">
        <v>46</v>
      </c>
      <c r="K3603" s="202">
        <v>5000</v>
      </c>
      <c r="L3603" s="202"/>
    </row>
    <row r="3604" spans="1:12" ht="11.25" customHeight="1" x14ac:dyDescent="0.2">
      <c r="A3604" s="120">
        <v>2024</v>
      </c>
      <c r="B3604" s="120">
        <v>3</v>
      </c>
      <c r="C3604" s="120">
        <v>14</v>
      </c>
      <c r="D3604" s="208">
        <f t="shared" si="272"/>
        <v>45365</v>
      </c>
      <c r="E3604" s="209">
        <f t="shared" si="285"/>
        <v>45365</v>
      </c>
      <c r="F3604" s="515"/>
      <c r="G3604" s="132" t="s">
        <v>1209</v>
      </c>
      <c r="I3604" s="128" t="s">
        <v>1596</v>
      </c>
      <c r="J3604" s="120" t="s">
        <v>16</v>
      </c>
      <c r="K3604" s="207"/>
      <c r="L3604" s="207">
        <v>4600</v>
      </c>
    </row>
    <row r="3605" spans="1:12" ht="11.25" customHeight="1" x14ac:dyDescent="0.2">
      <c r="A3605" s="191">
        <v>2024</v>
      </c>
      <c r="B3605" s="191">
        <v>3</v>
      </c>
      <c r="C3605" s="191">
        <v>14</v>
      </c>
      <c r="D3605" s="192">
        <f t="shared" si="272"/>
        <v>45365</v>
      </c>
      <c r="E3605" s="193">
        <f t="shared" si="285"/>
        <v>45365</v>
      </c>
      <c r="F3605" s="514"/>
      <c r="G3605" s="194" t="s">
        <v>1209</v>
      </c>
      <c r="H3605" s="195"/>
      <c r="I3605" s="195" t="s">
        <v>1596</v>
      </c>
      <c r="J3605" s="191" t="s">
        <v>47</v>
      </c>
      <c r="K3605" s="196"/>
      <c r="L3605" s="196">
        <v>400</v>
      </c>
    </row>
    <row r="3606" spans="1:12" ht="11.25" customHeight="1" x14ac:dyDescent="0.2">
      <c r="A3606" s="210">
        <v>2024</v>
      </c>
      <c r="B3606" s="210">
        <v>3</v>
      </c>
      <c r="C3606" s="210">
        <v>14</v>
      </c>
      <c r="D3606" s="211">
        <f t="shared" si="272"/>
        <v>45365</v>
      </c>
      <c r="E3606" s="238">
        <f t="shared" si="285"/>
        <v>45365</v>
      </c>
      <c r="F3606" s="520" t="s">
        <v>1278</v>
      </c>
      <c r="G3606" s="213" t="s">
        <v>1245</v>
      </c>
      <c r="H3606" s="214"/>
      <c r="I3606" s="214" t="s">
        <v>1253</v>
      </c>
      <c r="J3606" s="210" t="s">
        <v>1529</v>
      </c>
      <c r="K3606" s="215">
        <v>7491.85</v>
      </c>
      <c r="L3606" s="215"/>
    </row>
    <row r="3607" spans="1:12" ht="11.25" customHeight="1" x14ac:dyDescent="0.2">
      <c r="A3607" s="216">
        <v>2024</v>
      </c>
      <c r="B3607" s="216">
        <v>3</v>
      </c>
      <c r="C3607" s="216">
        <v>14</v>
      </c>
      <c r="D3607" s="217">
        <f t="shared" si="272"/>
        <v>45365</v>
      </c>
      <c r="E3607" s="239">
        <f t="shared" si="285"/>
        <v>45365</v>
      </c>
      <c r="F3607" s="521"/>
      <c r="G3607" s="219" t="s">
        <v>1245</v>
      </c>
      <c r="H3607" s="220"/>
      <c r="I3607" s="220" t="s">
        <v>1253</v>
      </c>
      <c r="J3607" s="216" t="s">
        <v>1581</v>
      </c>
      <c r="K3607" s="221"/>
      <c r="L3607" s="221">
        <v>7491.85</v>
      </c>
    </row>
    <row r="3608" spans="1:12" ht="11.25" customHeight="1" x14ac:dyDescent="0.2">
      <c r="A3608" s="210">
        <v>2024</v>
      </c>
      <c r="B3608" s="210">
        <v>3</v>
      </c>
      <c r="C3608" s="210">
        <v>14</v>
      </c>
      <c r="D3608" s="211">
        <f t="shared" si="272"/>
        <v>45365</v>
      </c>
      <c r="E3608" s="238">
        <f t="shared" si="285"/>
        <v>45365</v>
      </c>
      <c r="F3608" s="520" t="s">
        <v>1285</v>
      </c>
      <c r="G3608" s="213" t="s">
        <v>1245</v>
      </c>
      <c r="H3608" s="214"/>
      <c r="I3608" s="214" t="s">
        <v>1253</v>
      </c>
      <c r="J3608" s="210" t="s">
        <v>1284</v>
      </c>
      <c r="K3608" s="215">
        <v>10290.504807692309</v>
      </c>
      <c r="L3608" s="215"/>
    </row>
    <row r="3609" spans="1:12" ht="11.25" customHeight="1" x14ac:dyDescent="0.2">
      <c r="A3609" s="242">
        <v>2024</v>
      </c>
      <c r="B3609" s="242">
        <v>3</v>
      </c>
      <c r="C3609" s="242">
        <v>14</v>
      </c>
      <c r="D3609" s="243">
        <f t="shared" si="272"/>
        <v>45365</v>
      </c>
      <c r="E3609" s="244">
        <f>DATE(A3609,B3609,C3609)</f>
        <v>45365</v>
      </c>
      <c r="F3609" s="524"/>
      <c r="G3609" s="245" t="s">
        <v>1245</v>
      </c>
      <c r="H3609" s="246"/>
      <c r="I3609" s="246"/>
      <c r="J3609" s="242" t="s">
        <v>1582</v>
      </c>
      <c r="K3609" s="247"/>
      <c r="L3609" s="247">
        <v>10290.504807692309</v>
      </c>
    </row>
    <row r="3610" spans="1:12" ht="11.25" customHeight="1" x14ac:dyDescent="0.2">
      <c r="A3610" s="210">
        <v>2024</v>
      </c>
      <c r="B3610" s="210">
        <v>3</v>
      </c>
      <c r="C3610" s="210">
        <v>14</v>
      </c>
      <c r="D3610" s="211">
        <f t="shared" ref="D3610:D3671" si="286">DATE(A3610,B3610,C3610)</f>
        <v>45365</v>
      </c>
      <c r="E3610" s="238">
        <f t="shared" ref="E3610:E3680" si="287">DATE(A3610,B3610,C3610)</f>
        <v>45365</v>
      </c>
      <c r="F3610" s="520" t="s">
        <v>1259</v>
      </c>
      <c r="G3610" s="213" t="s">
        <v>1245</v>
      </c>
      <c r="H3610" s="214"/>
      <c r="I3610" s="214" t="s">
        <v>1253</v>
      </c>
      <c r="J3610" s="210" t="s">
        <v>58</v>
      </c>
      <c r="K3610" s="215">
        <v>23788.5</v>
      </c>
      <c r="L3610" s="215"/>
    </row>
    <row r="3611" spans="1:12" ht="11.25" customHeight="1" x14ac:dyDescent="0.2">
      <c r="A3611" s="216">
        <v>2024</v>
      </c>
      <c r="B3611" s="216">
        <v>3</v>
      </c>
      <c r="C3611" s="216">
        <v>14</v>
      </c>
      <c r="D3611" s="217">
        <f t="shared" si="286"/>
        <v>45365</v>
      </c>
      <c r="E3611" s="239">
        <f t="shared" si="287"/>
        <v>45365</v>
      </c>
      <c r="F3611" s="521"/>
      <c r="G3611" s="219" t="s">
        <v>1245</v>
      </c>
      <c r="H3611" s="220"/>
      <c r="I3611" s="220" t="s">
        <v>1253</v>
      </c>
      <c r="J3611" s="216" t="s">
        <v>153</v>
      </c>
      <c r="K3611" s="221"/>
      <c r="L3611" s="221">
        <v>23788.5</v>
      </c>
    </row>
    <row r="3612" spans="1:12" ht="11.25" customHeight="1" x14ac:dyDescent="0.2">
      <c r="A3612" s="312">
        <v>2024</v>
      </c>
      <c r="B3612" s="312">
        <v>3</v>
      </c>
      <c r="C3612" s="312">
        <v>14</v>
      </c>
      <c r="D3612" s="313">
        <f t="shared" si="286"/>
        <v>45365</v>
      </c>
      <c r="E3612" s="314">
        <f t="shared" si="287"/>
        <v>45365</v>
      </c>
      <c r="F3612" s="522" t="s">
        <v>1477</v>
      </c>
      <c r="G3612" s="315" t="s">
        <v>1245</v>
      </c>
      <c r="H3612" s="316"/>
      <c r="I3612" s="316" t="s">
        <v>1253</v>
      </c>
      <c r="J3612" s="312" t="s">
        <v>1458</v>
      </c>
      <c r="K3612" s="317">
        <v>960031.09999996424</v>
      </c>
      <c r="L3612" s="317"/>
    </row>
    <row r="3613" spans="1:12" ht="11.25" customHeight="1" x14ac:dyDescent="0.2">
      <c r="A3613" s="318">
        <v>2024</v>
      </c>
      <c r="B3613" s="318">
        <v>3</v>
      </c>
      <c r="C3613" s="318">
        <v>14</v>
      </c>
      <c r="D3613" s="319">
        <f t="shared" si="286"/>
        <v>45365</v>
      </c>
      <c r="E3613" s="320">
        <f t="shared" si="287"/>
        <v>45365</v>
      </c>
      <c r="F3613" s="523"/>
      <c r="G3613" s="321" t="s">
        <v>1245</v>
      </c>
      <c r="H3613" s="322"/>
      <c r="I3613" s="322" t="s">
        <v>1253</v>
      </c>
      <c r="J3613" s="318" t="s">
        <v>1460</v>
      </c>
      <c r="K3613" s="323"/>
      <c r="L3613" s="323">
        <v>960031.09999996424</v>
      </c>
    </row>
    <row r="3614" spans="1:12" ht="11.25" customHeight="1" x14ac:dyDescent="0.2">
      <c r="A3614" s="312">
        <v>2024</v>
      </c>
      <c r="B3614" s="312">
        <v>3</v>
      </c>
      <c r="C3614" s="312">
        <v>14</v>
      </c>
      <c r="D3614" s="313">
        <f t="shared" si="286"/>
        <v>45365</v>
      </c>
      <c r="E3614" s="314">
        <f t="shared" ref="E3614:E3615" si="288">DATE(A3614,B3614,C3614)</f>
        <v>45365</v>
      </c>
      <c r="F3614" s="522" t="s">
        <v>1595</v>
      </c>
      <c r="G3614" s="315" t="s">
        <v>1245</v>
      </c>
      <c r="H3614" s="316"/>
      <c r="I3614" s="316" t="s">
        <v>1253</v>
      </c>
      <c r="J3614" s="312" t="s">
        <v>1461</v>
      </c>
      <c r="K3614" s="317">
        <v>26687.430000015069</v>
      </c>
      <c r="L3614" s="317"/>
    </row>
    <row r="3615" spans="1:12" ht="11.25" customHeight="1" x14ac:dyDescent="0.2">
      <c r="A3615" s="318">
        <v>2024</v>
      </c>
      <c r="B3615" s="318">
        <v>3</v>
      </c>
      <c r="C3615" s="318">
        <v>14</v>
      </c>
      <c r="D3615" s="319">
        <f t="shared" si="286"/>
        <v>45365</v>
      </c>
      <c r="E3615" s="320">
        <f t="shared" si="288"/>
        <v>45365</v>
      </c>
      <c r="F3615" s="523"/>
      <c r="G3615" s="321" t="s">
        <v>1245</v>
      </c>
      <c r="H3615" s="322"/>
      <c r="I3615" s="322" t="s">
        <v>1253</v>
      </c>
      <c r="J3615" s="318" t="s">
        <v>1459</v>
      </c>
      <c r="K3615" s="323"/>
      <c r="L3615" s="323">
        <v>26687.430000015069</v>
      </c>
    </row>
    <row r="3616" spans="1:12" ht="11.25" customHeight="1" x14ac:dyDescent="0.2">
      <c r="A3616" s="222">
        <v>2024</v>
      </c>
      <c r="B3616" s="222">
        <v>3</v>
      </c>
      <c r="C3616" s="222">
        <v>14</v>
      </c>
      <c r="D3616" s="223">
        <f t="shared" si="286"/>
        <v>45365</v>
      </c>
      <c r="E3616" s="240">
        <f t="shared" si="287"/>
        <v>45365</v>
      </c>
      <c r="F3616" s="511" t="s">
        <v>1244</v>
      </c>
      <c r="G3616" s="225" t="s">
        <v>1245</v>
      </c>
      <c r="H3616" s="226"/>
      <c r="I3616" s="226" t="s">
        <v>1253</v>
      </c>
      <c r="J3616" s="222" t="s">
        <v>72</v>
      </c>
      <c r="K3616" s="227">
        <v>449413.13919242099</v>
      </c>
      <c r="L3616" s="227"/>
    </row>
    <row r="3617" spans="1:12" ht="11.25" customHeight="1" x14ac:dyDescent="0.2">
      <c r="A3617" s="228">
        <v>2024</v>
      </c>
      <c r="B3617" s="228">
        <v>3</v>
      </c>
      <c r="C3617" s="228">
        <v>14</v>
      </c>
      <c r="D3617" s="229">
        <f t="shared" si="286"/>
        <v>45365</v>
      </c>
      <c r="E3617" s="241">
        <f t="shared" si="287"/>
        <v>45365</v>
      </c>
      <c r="F3617" s="512"/>
      <c r="G3617" s="231" t="s">
        <v>1245</v>
      </c>
      <c r="H3617" s="232"/>
      <c r="I3617" s="232" t="s">
        <v>1253</v>
      </c>
      <c r="J3617" s="228" t="s">
        <v>87</v>
      </c>
      <c r="K3617" s="233"/>
      <c r="L3617" s="233">
        <v>449413.13919242099</v>
      </c>
    </row>
    <row r="3618" spans="1:12" ht="11.25" customHeight="1" x14ac:dyDescent="0.2">
      <c r="A3618" s="222">
        <v>2024</v>
      </c>
      <c r="B3618" s="222">
        <v>3</v>
      </c>
      <c r="C3618" s="222">
        <v>14</v>
      </c>
      <c r="D3618" s="223">
        <f t="shared" si="286"/>
        <v>45365</v>
      </c>
      <c r="E3618" s="240">
        <f t="shared" si="287"/>
        <v>45365</v>
      </c>
      <c r="F3618" s="511" t="s">
        <v>1246</v>
      </c>
      <c r="G3618" s="225" t="s">
        <v>1245</v>
      </c>
      <c r="H3618" s="226"/>
      <c r="I3618" s="226" t="s">
        <v>1253</v>
      </c>
      <c r="J3618" s="222" t="s">
        <v>75</v>
      </c>
      <c r="K3618" s="227">
        <v>3623.123846153846</v>
      </c>
      <c r="L3618" s="227"/>
    </row>
    <row r="3619" spans="1:12" ht="11.25" customHeight="1" x14ac:dyDescent="0.2">
      <c r="A3619" s="228">
        <v>2024</v>
      </c>
      <c r="B3619" s="228">
        <v>3</v>
      </c>
      <c r="C3619" s="228">
        <v>14</v>
      </c>
      <c r="D3619" s="229">
        <f t="shared" si="286"/>
        <v>45365</v>
      </c>
      <c r="E3619" s="241">
        <f t="shared" si="287"/>
        <v>45365</v>
      </c>
      <c r="F3619" s="512"/>
      <c r="G3619" s="231" t="s">
        <v>1245</v>
      </c>
      <c r="H3619" s="232"/>
      <c r="I3619" s="232" t="s">
        <v>1253</v>
      </c>
      <c r="J3619" s="228" t="s">
        <v>55</v>
      </c>
      <c r="K3619" s="233"/>
      <c r="L3619" s="233">
        <v>3623.123846153846</v>
      </c>
    </row>
    <row r="3620" spans="1:12" ht="11.25" customHeight="1" x14ac:dyDescent="0.2">
      <c r="A3620" s="222">
        <v>2024</v>
      </c>
      <c r="B3620" s="222">
        <v>3</v>
      </c>
      <c r="C3620" s="222">
        <v>14</v>
      </c>
      <c r="D3620" s="223">
        <f t="shared" si="286"/>
        <v>45365</v>
      </c>
      <c r="E3620" s="240">
        <f t="shared" si="287"/>
        <v>45365</v>
      </c>
      <c r="F3620" s="511" t="s">
        <v>1247</v>
      </c>
      <c r="G3620" s="225" t="s">
        <v>1245</v>
      </c>
      <c r="H3620" s="226"/>
      <c r="I3620" s="226" t="s">
        <v>1253</v>
      </c>
      <c r="J3620" s="222" t="s">
        <v>77</v>
      </c>
      <c r="K3620" s="227">
        <v>22080.96248504609</v>
      </c>
      <c r="L3620" s="227"/>
    </row>
    <row r="3621" spans="1:12" ht="11.25" customHeight="1" x14ac:dyDescent="0.2">
      <c r="A3621" s="228">
        <v>2024</v>
      </c>
      <c r="B3621" s="228">
        <v>3</v>
      </c>
      <c r="C3621" s="228">
        <v>14</v>
      </c>
      <c r="D3621" s="229">
        <f t="shared" si="286"/>
        <v>45365</v>
      </c>
      <c r="E3621" s="241">
        <f t="shared" si="287"/>
        <v>45365</v>
      </c>
      <c r="F3621" s="512"/>
      <c r="G3621" s="231" t="s">
        <v>1245</v>
      </c>
      <c r="H3621" s="232"/>
      <c r="I3621" s="232" t="s">
        <v>1253</v>
      </c>
      <c r="J3621" s="228" t="s">
        <v>41</v>
      </c>
      <c r="K3621" s="233"/>
      <c r="L3621" s="233">
        <v>22080.96248504609</v>
      </c>
    </row>
    <row r="3622" spans="1:12" ht="11.25" customHeight="1" x14ac:dyDescent="0.2">
      <c r="A3622" s="222">
        <v>2024</v>
      </c>
      <c r="B3622" s="222">
        <v>3</v>
      </c>
      <c r="C3622" s="222">
        <v>14</v>
      </c>
      <c r="D3622" s="223">
        <f t="shared" si="286"/>
        <v>45365</v>
      </c>
      <c r="E3622" s="240">
        <f t="shared" si="287"/>
        <v>45365</v>
      </c>
      <c r="F3622" s="511" t="s">
        <v>1248</v>
      </c>
      <c r="G3622" s="225" t="s">
        <v>1245</v>
      </c>
      <c r="H3622" s="226"/>
      <c r="I3622" s="226" t="s">
        <v>1253</v>
      </c>
      <c r="J3622" s="222" t="s">
        <v>80</v>
      </c>
      <c r="K3622" s="227">
        <v>2208.0962485046089</v>
      </c>
      <c r="L3622" s="227"/>
    </row>
    <row r="3623" spans="1:12" ht="11.25" customHeight="1" x14ac:dyDescent="0.2">
      <c r="A3623" s="228">
        <v>2024</v>
      </c>
      <c r="B3623" s="228">
        <v>3</v>
      </c>
      <c r="C3623" s="228">
        <v>14</v>
      </c>
      <c r="D3623" s="229">
        <f t="shared" si="286"/>
        <v>45365</v>
      </c>
      <c r="E3623" s="241">
        <f t="shared" si="287"/>
        <v>45365</v>
      </c>
      <c r="F3623" s="512"/>
      <c r="G3623" s="231" t="s">
        <v>1245</v>
      </c>
      <c r="H3623" s="232"/>
      <c r="I3623" s="232" t="s">
        <v>1253</v>
      </c>
      <c r="J3623" s="228" t="s">
        <v>42</v>
      </c>
      <c r="K3623" s="233"/>
      <c r="L3623" s="233">
        <v>2208.0962485046089</v>
      </c>
    </row>
    <row r="3624" spans="1:12" ht="11.25" customHeight="1" x14ac:dyDescent="0.2">
      <c r="A3624" s="197">
        <v>2024</v>
      </c>
      <c r="B3624" s="197">
        <v>3</v>
      </c>
      <c r="C3624" s="197">
        <v>18</v>
      </c>
      <c r="D3624" s="198">
        <f t="shared" si="286"/>
        <v>45369</v>
      </c>
      <c r="E3624" s="209">
        <f t="shared" si="287"/>
        <v>45369</v>
      </c>
      <c r="F3624" s="513" t="s">
        <v>1296</v>
      </c>
      <c r="G3624" s="200" t="s">
        <v>1209</v>
      </c>
      <c r="H3624" s="201"/>
      <c r="I3624" s="201"/>
      <c r="J3624" s="197" t="s">
        <v>46</v>
      </c>
      <c r="K3624" s="202">
        <v>40000</v>
      </c>
      <c r="L3624" s="202"/>
    </row>
    <row r="3625" spans="1:12" ht="11.25" customHeight="1" x14ac:dyDescent="0.2">
      <c r="A3625" s="120">
        <v>2024</v>
      </c>
      <c r="B3625" s="120">
        <v>3</v>
      </c>
      <c r="C3625" s="120">
        <v>18</v>
      </c>
      <c r="D3625" s="208">
        <f t="shared" si="286"/>
        <v>45369</v>
      </c>
      <c r="E3625" s="209">
        <f t="shared" si="287"/>
        <v>45369</v>
      </c>
      <c r="F3625" s="515"/>
      <c r="G3625" s="132" t="s">
        <v>1209</v>
      </c>
      <c r="J3625" s="120" t="s">
        <v>16</v>
      </c>
      <c r="K3625" s="207"/>
      <c r="L3625" s="207">
        <v>36820</v>
      </c>
    </row>
    <row r="3626" spans="1:12" ht="11.25" customHeight="1" x14ac:dyDescent="0.2">
      <c r="A3626" s="191">
        <v>2024</v>
      </c>
      <c r="B3626" s="191">
        <v>3</v>
      </c>
      <c r="C3626" s="191">
        <v>18</v>
      </c>
      <c r="D3626" s="192">
        <f t="shared" si="286"/>
        <v>45369</v>
      </c>
      <c r="E3626" s="193">
        <f t="shared" si="287"/>
        <v>45369</v>
      </c>
      <c r="F3626" s="514"/>
      <c r="G3626" s="194" t="s">
        <v>1209</v>
      </c>
      <c r="H3626" s="195"/>
      <c r="I3626" s="195"/>
      <c r="J3626" s="191" t="s">
        <v>47</v>
      </c>
      <c r="K3626" s="196"/>
      <c r="L3626" s="196">
        <v>3180</v>
      </c>
    </row>
    <row r="3627" spans="1:12" ht="11.25" customHeight="1" x14ac:dyDescent="0.2">
      <c r="A3627" s="197">
        <v>2024</v>
      </c>
      <c r="B3627" s="197">
        <v>3</v>
      </c>
      <c r="C3627" s="197">
        <v>18</v>
      </c>
      <c r="D3627" s="198">
        <f t="shared" si="286"/>
        <v>45369</v>
      </c>
      <c r="E3627" s="209">
        <f t="shared" ref="E3627:E3629" si="289">DATE(A3627,B3627,C3627)</f>
        <v>45369</v>
      </c>
      <c r="F3627" s="513" t="s">
        <v>1210</v>
      </c>
      <c r="G3627" s="200" t="s">
        <v>1209</v>
      </c>
      <c r="H3627" s="201"/>
      <c r="I3627" s="201" t="s">
        <v>1597</v>
      </c>
      <c r="J3627" s="197" t="s">
        <v>46</v>
      </c>
      <c r="K3627" s="202">
        <v>450000</v>
      </c>
      <c r="L3627" s="202"/>
    </row>
    <row r="3628" spans="1:12" ht="11.25" customHeight="1" x14ac:dyDescent="0.2">
      <c r="A3628" s="120">
        <v>2024</v>
      </c>
      <c r="B3628" s="120">
        <v>3</v>
      </c>
      <c r="C3628" s="120">
        <v>18</v>
      </c>
      <c r="D3628" s="208">
        <f t="shared" si="286"/>
        <v>45369</v>
      </c>
      <c r="E3628" s="209">
        <f t="shared" si="289"/>
        <v>45369</v>
      </c>
      <c r="F3628" s="515"/>
      <c r="G3628" s="132" t="s">
        <v>1209</v>
      </c>
      <c r="I3628" s="128" t="s">
        <v>1597</v>
      </c>
      <c r="J3628" s="120" t="s">
        <v>16</v>
      </c>
      <c r="K3628" s="207"/>
      <c r="L3628" s="207">
        <v>414250</v>
      </c>
    </row>
    <row r="3629" spans="1:12" ht="11.25" customHeight="1" x14ac:dyDescent="0.2">
      <c r="A3629" s="191">
        <v>2024</v>
      </c>
      <c r="B3629" s="191">
        <v>3</v>
      </c>
      <c r="C3629" s="191">
        <v>18</v>
      </c>
      <c r="D3629" s="192">
        <f t="shared" si="286"/>
        <v>45369</v>
      </c>
      <c r="E3629" s="193">
        <f t="shared" si="289"/>
        <v>45369</v>
      </c>
      <c r="F3629" s="514"/>
      <c r="G3629" s="194" t="s">
        <v>1209</v>
      </c>
      <c r="H3629" s="195"/>
      <c r="I3629" s="195" t="s">
        <v>1597</v>
      </c>
      <c r="J3629" s="191" t="s">
        <v>47</v>
      </c>
      <c r="K3629" s="196"/>
      <c r="L3629" s="196">
        <v>35750</v>
      </c>
    </row>
    <row r="3630" spans="1:12" ht="11.25" customHeight="1" x14ac:dyDescent="0.2">
      <c r="A3630" s="197">
        <v>2024</v>
      </c>
      <c r="B3630" s="197">
        <v>3</v>
      </c>
      <c r="C3630" s="197">
        <v>18</v>
      </c>
      <c r="D3630" s="198">
        <f t="shared" si="286"/>
        <v>45369</v>
      </c>
      <c r="E3630" s="209">
        <f t="shared" ref="E3630:E3640" si="290">DATE(A3630,B3630,C3630)</f>
        <v>45369</v>
      </c>
      <c r="F3630" s="513" t="s">
        <v>1210</v>
      </c>
      <c r="G3630" s="200" t="s">
        <v>1209</v>
      </c>
      <c r="H3630" s="201"/>
      <c r="I3630" s="201" t="s">
        <v>1597</v>
      </c>
      <c r="J3630" s="197" t="s">
        <v>46</v>
      </c>
      <c r="K3630" s="202">
        <v>450000</v>
      </c>
      <c r="L3630" s="202"/>
    </row>
    <row r="3631" spans="1:12" ht="11.25" customHeight="1" x14ac:dyDescent="0.2">
      <c r="A3631" s="120">
        <v>2024</v>
      </c>
      <c r="B3631" s="120">
        <v>3</v>
      </c>
      <c r="C3631" s="120">
        <v>18</v>
      </c>
      <c r="D3631" s="208">
        <f t="shared" si="286"/>
        <v>45369</v>
      </c>
      <c r="E3631" s="209">
        <f t="shared" si="290"/>
        <v>45369</v>
      </c>
      <c r="F3631" s="515"/>
      <c r="G3631" s="132" t="s">
        <v>1209</v>
      </c>
      <c r="I3631" s="128" t="s">
        <v>1597</v>
      </c>
      <c r="J3631" s="120" t="s">
        <v>16</v>
      </c>
      <c r="K3631" s="207"/>
      <c r="L3631" s="207">
        <v>414250</v>
      </c>
    </row>
    <row r="3632" spans="1:12" ht="11.25" customHeight="1" x14ac:dyDescent="0.2">
      <c r="A3632" s="191">
        <v>2024</v>
      </c>
      <c r="B3632" s="191">
        <v>3</v>
      </c>
      <c r="C3632" s="191">
        <v>18</v>
      </c>
      <c r="D3632" s="192">
        <f t="shared" si="286"/>
        <v>45369</v>
      </c>
      <c r="E3632" s="193">
        <f t="shared" si="290"/>
        <v>45369</v>
      </c>
      <c r="F3632" s="514"/>
      <c r="G3632" s="194" t="s">
        <v>1209</v>
      </c>
      <c r="H3632" s="195"/>
      <c r="I3632" s="195" t="s">
        <v>1597</v>
      </c>
      <c r="J3632" s="191" t="s">
        <v>47</v>
      </c>
      <c r="K3632" s="196"/>
      <c r="L3632" s="196">
        <v>35750</v>
      </c>
    </row>
    <row r="3633" spans="1:15" ht="11.25" customHeight="1" x14ac:dyDescent="0.2">
      <c r="A3633" s="197">
        <v>2024</v>
      </c>
      <c r="B3633" s="197">
        <v>3</v>
      </c>
      <c r="C3633" s="197">
        <v>18</v>
      </c>
      <c r="D3633" s="198">
        <f t="shared" si="286"/>
        <v>45369</v>
      </c>
      <c r="E3633" s="290">
        <f t="shared" si="290"/>
        <v>45369</v>
      </c>
      <c r="F3633" s="513" t="s">
        <v>1527</v>
      </c>
      <c r="G3633" s="200" t="s">
        <v>1209</v>
      </c>
      <c r="H3633" s="201"/>
      <c r="I3633" s="201"/>
      <c r="J3633" s="197" t="s">
        <v>54</v>
      </c>
      <c r="K3633" s="202">
        <v>20</v>
      </c>
      <c r="L3633" s="202"/>
      <c r="M3633" s="251"/>
      <c r="N3633" s="251"/>
      <c r="O3633" s="251"/>
    </row>
    <row r="3634" spans="1:15" ht="11.25" customHeight="1" x14ac:dyDescent="0.2">
      <c r="A3634" s="191">
        <v>2024</v>
      </c>
      <c r="B3634" s="191">
        <v>3</v>
      </c>
      <c r="C3634" s="191">
        <v>18</v>
      </c>
      <c r="D3634" s="192">
        <f t="shared" si="286"/>
        <v>45369</v>
      </c>
      <c r="E3634" s="291">
        <f t="shared" si="290"/>
        <v>45369</v>
      </c>
      <c r="F3634" s="514"/>
      <c r="G3634" s="194" t="s">
        <v>1209</v>
      </c>
      <c r="H3634" s="195"/>
      <c r="I3634" s="195"/>
      <c r="J3634" s="191" t="s">
        <v>46</v>
      </c>
      <c r="K3634" s="196"/>
      <c r="L3634" s="196">
        <v>20</v>
      </c>
      <c r="M3634" s="251"/>
      <c r="N3634" s="251"/>
      <c r="O3634" s="251"/>
    </row>
    <row r="3635" spans="1:15" ht="11.25" customHeight="1" x14ac:dyDescent="0.2">
      <c r="A3635" s="197">
        <v>2024</v>
      </c>
      <c r="B3635" s="197">
        <v>3</v>
      </c>
      <c r="C3635" s="197">
        <v>18</v>
      </c>
      <c r="D3635" s="198">
        <f t="shared" si="286"/>
        <v>45369</v>
      </c>
      <c r="E3635" s="199">
        <f t="shared" si="290"/>
        <v>45369</v>
      </c>
      <c r="F3635" s="513" t="s">
        <v>1598</v>
      </c>
      <c r="G3635" s="200" t="s">
        <v>1209</v>
      </c>
      <c r="H3635" s="201"/>
      <c r="I3635" s="201" t="s">
        <v>1253</v>
      </c>
      <c r="J3635" s="197" t="s">
        <v>46</v>
      </c>
      <c r="K3635" s="202">
        <v>20000000</v>
      </c>
      <c r="L3635" s="202"/>
    </row>
    <row r="3636" spans="1:15" ht="11.25" customHeight="1" x14ac:dyDescent="0.2">
      <c r="A3636" s="120">
        <v>2024</v>
      </c>
      <c r="B3636" s="120">
        <v>3</v>
      </c>
      <c r="C3636" s="120">
        <v>18</v>
      </c>
      <c r="D3636" s="208">
        <f t="shared" si="286"/>
        <v>45369</v>
      </c>
      <c r="E3636" s="209">
        <f t="shared" si="290"/>
        <v>45369</v>
      </c>
      <c r="F3636" s="515"/>
      <c r="G3636" s="132" t="s">
        <v>1209</v>
      </c>
      <c r="J3636" s="120" t="s">
        <v>1462</v>
      </c>
      <c r="K3636" s="120"/>
      <c r="L3636" s="207">
        <v>535410</v>
      </c>
    </row>
    <row r="3637" spans="1:15" ht="11.25" customHeight="1" x14ac:dyDescent="0.2">
      <c r="A3637" s="191">
        <v>2024</v>
      </c>
      <c r="B3637" s="191">
        <v>3</v>
      </c>
      <c r="C3637" s="191">
        <v>18</v>
      </c>
      <c r="D3637" s="192">
        <f t="shared" si="286"/>
        <v>45369</v>
      </c>
      <c r="E3637" s="193">
        <f t="shared" si="290"/>
        <v>45369</v>
      </c>
      <c r="F3637" s="514"/>
      <c r="G3637" s="194" t="s">
        <v>1209</v>
      </c>
      <c r="H3637" s="195"/>
      <c r="I3637" s="195" t="s">
        <v>1253</v>
      </c>
      <c r="J3637" s="191" t="s">
        <v>1455</v>
      </c>
      <c r="K3637" s="196"/>
      <c r="L3637" s="196">
        <v>19464590</v>
      </c>
      <c r="N3637" s="130"/>
    </row>
    <row r="3638" spans="1:15" ht="11.25" customHeight="1" x14ac:dyDescent="0.2">
      <c r="A3638" s="197">
        <v>2024</v>
      </c>
      <c r="B3638" s="197">
        <v>3</v>
      </c>
      <c r="C3638" s="197">
        <v>19</v>
      </c>
      <c r="D3638" s="198">
        <f t="shared" si="286"/>
        <v>45370</v>
      </c>
      <c r="E3638" s="209">
        <f t="shared" si="290"/>
        <v>45370</v>
      </c>
      <c r="F3638" s="513" t="s">
        <v>1210</v>
      </c>
      <c r="G3638" s="200" t="s">
        <v>1209</v>
      </c>
      <c r="H3638" s="201"/>
      <c r="I3638" s="201" t="s">
        <v>1569</v>
      </c>
      <c r="J3638" s="197" t="s">
        <v>46</v>
      </c>
      <c r="K3638" s="202">
        <v>603993</v>
      </c>
      <c r="L3638" s="202"/>
    </row>
    <row r="3639" spans="1:15" ht="11.25" customHeight="1" x14ac:dyDescent="0.2">
      <c r="A3639" s="120">
        <v>2024</v>
      </c>
      <c r="B3639" s="120">
        <v>3</v>
      </c>
      <c r="C3639" s="120">
        <v>19</v>
      </c>
      <c r="D3639" s="208">
        <f t="shared" si="286"/>
        <v>45370</v>
      </c>
      <c r="E3639" s="209">
        <f t="shared" si="290"/>
        <v>45370</v>
      </c>
      <c r="F3639" s="515"/>
      <c r="G3639" s="132" t="s">
        <v>1209</v>
      </c>
      <c r="I3639" s="128" t="s">
        <v>1569</v>
      </c>
      <c r="J3639" s="120" t="s">
        <v>16</v>
      </c>
      <c r="K3639" s="207"/>
      <c r="L3639" s="207">
        <v>556010</v>
      </c>
    </row>
    <row r="3640" spans="1:15" ht="11.25" customHeight="1" x14ac:dyDescent="0.2">
      <c r="A3640" s="191">
        <v>2024</v>
      </c>
      <c r="B3640" s="191">
        <v>3</v>
      </c>
      <c r="C3640" s="191">
        <v>19</v>
      </c>
      <c r="D3640" s="192">
        <f t="shared" si="286"/>
        <v>45370</v>
      </c>
      <c r="E3640" s="193">
        <f t="shared" si="290"/>
        <v>45370</v>
      </c>
      <c r="F3640" s="514"/>
      <c r="G3640" s="194" t="s">
        <v>1209</v>
      </c>
      <c r="H3640" s="195"/>
      <c r="I3640" s="195" t="s">
        <v>1569</v>
      </c>
      <c r="J3640" s="191" t="s">
        <v>47</v>
      </c>
      <c r="K3640" s="196"/>
      <c r="L3640" s="196">
        <v>47983</v>
      </c>
    </row>
    <row r="3641" spans="1:15" ht="11.25" customHeight="1" x14ac:dyDescent="0.2">
      <c r="A3641" s="197">
        <v>2024</v>
      </c>
      <c r="B3641" s="197">
        <v>3</v>
      </c>
      <c r="C3641" s="197">
        <v>19</v>
      </c>
      <c r="D3641" s="198">
        <f t="shared" si="286"/>
        <v>45370</v>
      </c>
      <c r="E3641" s="209">
        <f t="shared" ref="E3641:E3643" si="291">DATE(A3641,B3641,C3641)</f>
        <v>45370</v>
      </c>
      <c r="F3641" s="513" t="s">
        <v>1210</v>
      </c>
      <c r="G3641" s="200" t="s">
        <v>1209</v>
      </c>
      <c r="H3641" s="201"/>
      <c r="I3641" s="201" t="s">
        <v>355</v>
      </c>
      <c r="J3641" s="197" t="s">
        <v>46</v>
      </c>
      <c r="K3641" s="202">
        <v>100000</v>
      </c>
      <c r="L3641" s="202"/>
    </row>
    <row r="3642" spans="1:15" ht="11.25" customHeight="1" x14ac:dyDescent="0.2">
      <c r="A3642" s="120">
        <v>2024</v>
      </c>
      <c r="B3642" s="120">
        <v>3</v>
      </c>
      <c r="C3642" s="120">
        <v>19</v>
      </c>
      <c r="D3642" s="208">
        <f t="shared" si="286"/>
        <v>45370</v>
      </c>
      <c r="E3642" s="209">
        <f t="shared" si="291"/>
        <v>45370</v>
      </c>
      <c r="F3642" s="515"/>
      <c r="G3642" s="132" t="s">
        <v>1209</v>
      </c>
      <c r="I3642" s="128" t="s">
        <v>355</v>
      </c>
      <c r="J3642" s="120" t="s">
        <v>16</v>
      </c>
      <c r="K3642" s="207"/>
      <c r="L3642" s="207">
        <v>92060</v>
      </c>
    </row>
    <row r="3643" spans="1:15" ht="11.25" customHeight="1" x14ac:dyDescent="0.2">
      <c r="A3643" s="191">
        <v>2024</v>
      </c>
      <c r="B3643" s="191">
        <v>3</v>
      </c>
      <c r="C3643" s="191">
        <v>19</v>
      </c>
      <c r="D3643" s="192">
        <f t="shared" si="286"/>
        <v>45370</v>
      </c>
      <c r="E3643" s="193">
        <f t="shared" si="291"/>
        <v>45370</v>
      </c>
      <c r="F3643" s="514"/>
      <c r="G3643" s="194" t="s">
        <v>1209</v>
      </c>
      <c r="H3643" s="195"/>
      <c r="I3643" s="195" t="s">
        <v>355</v>
      </c>
      <c r="J3643" s="191" t="s">
        <v>47</v>
      </c>
      <c r="K3643" s="196"/>
      <c r="L3643" s="196">
        <v>7940</v>
      </c>
    </row>
    <row r="3644" spans="1:15" ht="11.25" customHeight="1" x14ac:dyDescent="0.2">
      <c r="A3644" s="197">
        <v>2024</v>
      </c>
      <c r="B3644" s="197">
        <v>3</v>
      </c>
      <c r="C3644" s="197">
        <v>19</v>
      </c>
      <c r="D3644" s="198">
        <f t="shared" si="286"/>
        <v>45370</v>
      </c>
      <c r="E3644" s="209">
        <f t="shared" ref="E3644:E3648" si="292">DATE(A3644,B3644,C3644)</f>
        <v>45370</v>
      </c>
      <c r="F3644" s="513" t="s">
        <v>1210</v>
      </c>
      <c r="G3644" s="200" t="s">
        <v>1209</v>
      </c>
      <c r="H3644" s="201"/>
      <c r="I3644" s="201" t="s">
        <v>498</v>
      </c>
      <c r="J3644" s="197" t="s">
        <v>46</v>
      </c>
      <c r="K3644" s="202">
        <v>1400000</v>
      </c>
      <c r="L3644" s="202"/>
    </row>
    <row r="3645" spans="1:15" ht="11.25" customHeight="1" x14ac:dyDescent="0.2">
      <c r="A3645" s="120">
        <v>2024</v>
      </c>
      <c r="B3645" s="120">
        <v>3</v>
      </c>
      <c r="C3645" s="120">
        <v>19</v>
      </c>
      <c r="D3645" s="208">
        <f t="shared" si="286"/>
        <v>45370</v>
      </c>
      <c r="E3645" s="209">
        <f t="shared" si="292"/>
        <v>45370</v>
      </c>
      <c r="F3645" s="515"/>
      <c r="G3645" s="132" t="s">
        <v>1209</v>
      </c>
      <c r="I3645" s="128" t="s">
        <v>498</v>
      </c>
      <c r="J3645" s="120" t="s">
        <v>16</v>
      </c>
      <c r="K3645" s="207"/>
      <c r="L3645" s="207">
        <v>1288780</v>
      </c>
    </row>
    <row r="3646" spans="1:15" ht="11.25" customHeight="1" x14ac:dyDescent="0.2">
      <c r="A3646" s="191">
        <v>2024</v>
      </c>
      <c r="B3646" s="191">
        <v>3</v>
      </c>
      <c r="C3646" s="191">
        <v>19</v>
      </c>
      <c r="D3646" s="192">
        <f t="shared" si="286"/>
        <v>45370</v>
      </c>
      <c r="E3646" s="193">
        <f t="shared" si="292"/>
        <v>45370</v>
      </c>
      <c r="F3646" s="514"/>
      <c r="G3646" s="194" t="s">
        <v>1209</v>
      </c>
      <c r="H3646" s="195"/>
      <c r="I3646" s="195" t="s">
        <v>498</v>
      </c>
      <c r="J3646" s="191" t="s">
        <v>47</v>
      </c>
      <c r="K3646" s="196"/>
      <c r="L3646" s="196">
        <v>111220</v>
      </c>
    </row>
    <row r="3647" spans="1:15" ht="11.25" customHeight="1" x14ac:dyDescent="0.2">
      <c r="A3647" s="197">
        <v>2024</v>
      </c>
      <c r="B3647" s="197">
        <v>3</v>
      </c>
      <c r="C3647" s="197">
        <v>19</v>
      </c>
      <c r="D3647" s="198">
        <f t="shared" si="286"/>
        <v>45370</v>
      </c>
      <c r="E3647" s="290">
        <f t="shared" si="292"/>
        <v>45370</v>
      </c>
      <c r="F3647" s="513" t="s">
        <v>1527</v>
      </c>
      <c r="G3647" s="200" t="s">
        <v>1209</v>
      </c>
      <c r="H3647" s="201"/>
      <c r="I3647" s="201"/>
      <c r="J3647" s="197" t="s">
        <v>54</v>
      </c>
      <c r="K3647" s="202">
        <v>60</v>
      </c>
      <c r="L3647" s="202"/>
      <c r="M3647" s="251"/>
      <c r="N3647" s="251"/>
      <c r="O3647" s="251"/>
    </row>
    <row r="3648" spans="1:15" ht="11.25" customHeight="1" x14ac:dyDescent="0.2">
      <c r="A3648" s="191">
        <v>2024</v>
      </c>
      <c r="B3648" s="191">
        <v>3</v>
      </c>
      <c r="C3648" s="191">
        <v>19</v>
      </c>
      <c r="D3648" s="192">
        <f t="shared" si="286"/>
        <v>45370</v>
      </c>
      <c r="E3648" s="291">
        <f t="shared" si="292"/>
        <v>45370</v>
      </c>
      <c r="F3648" s="514"/>
      <c r="G3648" s="194" t="s">
        <v>1209</v>
      </c>
      <c r="H3648" s="195"/>
      <c r="I3648" s="195"/>
      <c r="J3648" s="191" t="s">
        <v>46</v>
      </c>
      <c r="K3648" s="196"/>
      <c r="L3648" s="196">
        <v>60</v>
      </c>
      <c r="M3648" s="251"/>
      <c r="N3648" s="251"/>
      <c r="O3648" s="251"/>
    </row>
    <row r="3649" spans="1:15" ht="11.25" customHeight="1" x14ac:dyDescent="0.2">
      <c r="A3649" s="197">
        <v>2024</v>
      </c>
      <c r="B3649" s="197">
        <v>3</v>
      </c>
      <c r="C3649" s="197">
        <v>19</v>
      </c>
      <c r="D3649" s="198">
        <f t="shared" si="286"/>
        <v>45370</v>
      </c>
      <c r="E3649" s="209">
        <f t="shared" ref="E3649:E3653" si="293">DATE(A3649,B3649,C3649)</f>
        <v>45370</v>
      </c>
      <c r="F3649" s="513" t="s">
        <v>1210</v>
      </c>
      <c r="G3649" s="200" t="s">
        <v>1209</v>
      </c>
      <c r="H3649" s="201"/>
      <c r="I3649" s="201" t="s">
        <v>1597</v>
      </c>
      <c r="J3649" s="197" t="s">
        <v>46</v>
      </c>
      <c r="K3649" s="202">
        <v>480000</v>
      </c>
      <c r="L3649" s="202"/>
    </row>
    <row r="3650" spans="1:15" ht="11.25" customHeight="1" x14ac:dyDescent="0.2">
      <c r="A3650" s="120">
        <v>2024</v>
      </c>
      <c r="B3650" s="120">
        <v>3</v>
      </c>
      <c r="C3650" s="120">
        <v>19</v>
      </c>
      <c r="D3650" s="208">
        <f t="shared" si="286"/>
        <v>45370</v>
      </c>
      <c r="E3650" s="209">
        <f t="shared" si="293"/>
        <v>45370</v>
      </c>
      <c r="F3650" s="515"/>
      <c r="G3650" s="132" t="s">
        <v>1209</v>
      </c>
      <c r="I3650" s="128" t="s">
        <v>1597</v>
      </c>
      <c r="J3650" s="120" t="s">
        <v>16</v>
      </c>
      <c r="K3650" s="207"/>
      <c r="L3650" s="207">
        <v>441870</v>
      </c>
    </row>
    <row r="3651" spans="1:15" ht="11.25" customHeight="1" x14ac:dyDescent="0.2">
      <c r="A3651" s="191">
        <v>2024</v>
      </c>
      <c r="B3651" s="191">
        <v>3</v>
      </c>
      <c r="C3651" s="191">
        <v>19</v>
      </c>
      <c r="D3651" s="192">
        <f t="shared" si="286"/>
        <v>45370</v>
      </c>
      <c r="E3651" s="193">
        <f t="shared" si="293"/>
        <v>45370</v>
      </c>
      <c r="F3651" s="514"/>
      <c r="G3651" s="194" t="s">
        <v>1209</v>
      </c>
      <c r="H3651" s="195"/>
      <c r="I3651" s="195" t="s">
        <v>1597</v>
      </c>
      <c r="J3651" s="191" t="s">
        <v>47</v>
      </c>
      <c r="K3651" s="196"/>
      <c r="L3651" s="196">
        <v>38130</v>
      </c>
    </row>
    <row r="3652" spans="1:15" ht="11.25" customHeight="1" x14ac:dyDescent="0.2">
      <c r="A3652" s="197">
        <v>2024</v>
      </c>
      <c r="B3652" s="197">
        <v>3</v>
      </c>
      <c r="C3652" s="197">
        <v>19</v>
      </c>
      <c r="D3652" s="198">
        <f t="shared" si="286"/>
        <v>45370</v>
      </c>
      <c r="E3652" s="290">
        <f t="shared" si="293"/>
        <v>45370</v>
      </c>
      <c r="F3652" s="513" t="s">
        <v>1527</v>
      </c>
      <c r="G3652" s="200" t="s">
        <v>1209</v>
      </c>
      <c r="H3652" s="201"/>
      <c r="I3652" s="201"/>
      <c r="J3652" s="197" t="s">
        <v>54</v>
      </c>
      <c r="K3652" s="202">
        <v>10</v>
      </c>
      <c r="L3652" s="202"/>
      <c r="M3652" s="251"/>
      <c r="N3652" s="251"/>
      <c r="O3652" s="251"/>
    </row>
    <row r="3653" spans="1:15" ht="11.25" customHeight="1" x14ac:dyDescent="0.2">
      <c r="A3653" s="191">
        <v>2024</v>
      </c>
      <c r="B3653" s="191">
        <v>3</v>
      </c>
      <c r="C3653" s="191">
        <v>19</v>
      </c>
      <c r="D3653" s="192">
        <f t="shared" si="286"/>
        <v>45370</v>
      </c>
      <c r="E3653" s="291">
        <f t="shared" si="293"/>
        <v>45370</v>
      </c>
      <c r="F3653" s="514"/>
      <c r="G3653" s="194" t="s">
        <v>1209</v>
      </c>
      <c r="H3653" s="195"/>
      <c r="I3653" s="195"/>
      <c r="J3653" s="191" t="s">
        <v>46</v>
      </c>
      <c r="K3653" s="196"/>
      <c r="L3653" s="196">
        <v>10</v>
      </c>
      <c r="M3653" s="251"/>
      <c r="N3653" s="251"/>
      <c r="O3653" s="251"/>
    </row>
    <row r="3654" spans="1:15" ht="11.25" customHeight="1" x14ac:dyDescent="0.2">
      <c r="A3654" s="197">
        <v>2024</v>
      </c>
      <c r="B3654" s="197">
        <v>3</v>
      </c>
      <c r="C3654" s="197">
        <v>19</v>
      </c>
      <c r="D3654" s="198">
        <f t="shared" si="286"/>
        <v>45370</v>
      </c>
      <c r="E3654" s="209">
        <f t="shared" si="287"/>
        <v>45370</v>
      </c>
      <c r="F3654" s="513" t="s">
        <v>1280</v>
      </c>
      <c r="G3654" s="200" t="s">
        <v>1209</v>
      </c>
      <c r="H3654" s="201"/>
      <c r="I3654" s="201" t="s">
        <v>1213</v>
      </c>
      <c r="J3654" s="197" t="s">
        <v>16</v>
      </c>
      <c r="K3654" s="202">
        <v>200000</v>
      </c>
      <c r="L3654" s="202"/>
    </row>
    <row r="3655" spans="1:15" ht="11.25" customHeight="1" x14ac:dyDescent="0.2">
      <c r="A3655" s="120">
        <v>2024</v>
      </c>
      <c r="B3655" s="120">
        <v>3</v>
      </c>
      <c r="C3655" s="120">
        <v>19</v>
      </c>
      <c r="D3655" s="208">
        <f t="shared" si="286"/>
        <v>45370</v>
      </c>
      <c r="E3655" s="209">
        <f t="shared" si="287"/>
        <v>45370</v>
      </c>
      <c r="F3655" s="515"/>
      <c r="G3655" s="132" t="s">
        <v>1209</v>
      </c>
      <c r="I3655" s="128" t="s">
        <v>1213</v>
      </c>
      <c r="J3655" s="120" t="s">
        <v>47</v>
      </c>
      <c r="K3655" s="207">
        <v>17260</v>
      </c>
      <c r="L3655" s="207"/>
    </row>
    <row r="3656" spans="1:15" ht="11.25" customHeight="1" x14ac:dyDescent="0.2">
      <c r="A3656" s="191">
        <v>2024</v>
      </c>
      <c r="B3656" s="191">
        <v>3</v>
      </c>
      <c r="C3656" s="191">
        <v>19</v>
      </c>
      <c r="D3656" s="192">
        <f t="shared" si="286"/>
        <v>45370</v>
      </c>
      <c r="E3656" s="193">
        <f t="shared" si="287"/>
        <v>45370</v>
      </c>
      <c r="F3656" s="514"/>
      <c r="G3656" s="194" t="s">
        <v>1209</v>
      </c>
      <c r="H3656" s="195"/>
      <c r="I3656" s="195" t="s">
        <v>1213</v>
      </c>
      <c r="J3656" s="191" t="s">
        <v>46</v>
      </c>
      <c r="K3656" s="196"/>
      <c r="L3656" s="196">
        <v>217260</v>
      </c>
    </row>
    <row r="3657" spans="1:15" ht="11.25" customHeight="1" x14ac:dyDescent="0.2">
      <c r="A3657" s="197">
        <v>2024</v>
      </c>
      <c r="B3657" s="197">
        <v>3</v>
      </c>
      <c r="C3657" s="197">
        <v>19</v>
      </c>
      <c r="D3657" s="198">
        <f t="shared" si="286"/>
        <v>45370</v>
      </c>
      <c r="E3657" s="199">
        <f t="shared" si="287"/>
        <v>45370</v>
      </c>
      <c r="F3657" s="513" t="s">
        <v>1591</v>
      </c>
      <c r="G3657" s="200" t="s">
        <v>1209</v>
      </c>
      <c r="H3657" s="201"/>
      <c r="I3657" s="201" t="s">
        <v>1253</v>
      </c>
      <c r="J3657" s="197" t="s">
        <v>1837</v>
      </c>
      <c r="K3657" s="202">
        <v>20366275.600000001</v>
      </c>
      <c r="L3657" s="202"/>
    </row>
    <row r="3658" spans="1:15" ht="11.25" customHeight="1" x14ac:dyDescent="0.2">
      <c r="A3658" s="191">
        <v>2024</v>
      </c>
      <c r="B3658" s="191">
        <v>3</v>
      </c>
      <c r="C3658" s="191">
        <v>19</v>
      </c>
      <c r="D3658" s="192">
        <f t="shared" si="286"/>
        <v>45370</v>
      </c>
      <c r="E3658" s="193">
        <f t="shared" si="287"/>
        <v>45370</v>
      </c>
      <c r="F3658" s="514"/>
      <c r="G3658" s="194" t="s">
        <v>1209</v>
      </c>
      <c r="H3658" s="195"/>
      <c r="I3658" s="195" t="s">
        <v>1253</v>
      </c>
      <c r="J3658" s="191" t="s">
        <v>46</v>
      </c>
      <c r="K3658" s="196"/>
      <c r="L3658" s="196">
        <v>20366275.600000001</v>
      </c>
      <c r="N3658" s="130"/>
    </row>
    <row r="3659" spans="1:15" ht="11.25" customHeight="1" x14ac:dyDescent="0.2">
      <c r="A3659" s="197">
        <v>2024</v>
      </c>
      <c r="B3659" s="197">
        <v>3</v>
      </c>
      <c r="C3659" s="197">
        <v>20</v>
      </c>
      <c r="D3659" s="198">
        <f t="shared" si="286"/>
        <v>45371</v>
      </c>
      <c r="E3659" s="209">
        <f t="shared" si="287"/>
        <v>45371</v>
      </c>
      <c r="F3659" s="513" t="s">
        <v>1210</v>
      </c>
      <c r="G3659" s="200" t="s">
        <v>1209</v>
      </c>
      <c r="H3659" s="201"/>
      <c r="I3659" s="201" t="s">
        <v>1596</v>
      </c>
      <c r="J3659" s="197" t="s">
        <v>46</v>
      </c>
      <c r="K3659" s="202">
        <v>101460</v>
      </c>
      <c r="L3659" s="202"/>
    </row>
    <row r="3660" spans="1:15" ht="11.25" customHeight="1" x14ac:dyDescent="0.2">
      <c r="A3660" s="120">
        <v>2024</v>
      </c>
      <c r="B3660" s="120">
        <v>3</v>
      </c>
      <c r="C3660" s="120">
        <v>20</v>
      </c>
      <c r="D3660" s="208">
        <f t="shared" si="286"/>
        <v>45371</v>
      </c>
      <c r="E3660" s="209">
        <f t="shared" si="287"/>
        <v>45371</v>
      </c>
      <c r="F3660" s="515"/>
      <c r="G3660" s="132" t="s">
        <v>1209</v>
      </c>
      <c r="I3660" s="128" t="s">
        <v>1596</v>
      </c>
      <c r="J3660" s="120" t="s">
        <v>16</v>
      </c>
      <c r="K3660" s="207"/>
      <c r="L3660" s="207">
        <v>93400</v>
      </c>
    </row>
    <row r="3661" spans="1:15" ht="11.25" customHeight="1" x14ac:dyDescent="0.2">
      <c r="A3661" s="191">
        <v>2024</v>
      </c>
      <c r="B3661" s="191">
        <v>3</v>
      </c>
      <c r="C3661" s="191">
        <v>20</v>
      </c>
      <c r="D3661" s="192">
        <f t="shared" si="286"/>
        <v>45371</v>
      </c>
      <c r="E3661" s="193">
        <f t="shared" si="287"/>
        <v>45371</v>
      </c>
      <c r="F3661" s="514"/>
      <c r="G3661" s="194" t="s">
        <v>1209</v>
      </c>
      <c r="H3661" s="195"/>
      <c r="I3661" s="195" t="s">
        <v>1596</v>
      </c>
      <c r="J3661" s="191" t="s">
        <v>47</v>
      </c>
      <c r="K3661" s="196"/>
      <c r="L3661" s="196">
        <v>8060</v>
      </c>
    </row>
    <row r="3662" spans="1:15" ht="11.25" customHeight="1" x14ac:dyDescent="0.2">
      <c r="A3662" s="197">
        <v>2024</v>
      </c>
      <c r="B3662" s="197">
        <v>3</v>
      </c>
      <c r="C3662" s="197">
        <v>20</v>
      </c>
      <c r="D3662" s="198">
        <f t="shared" si="286"/>
        <v>45371</v>
      </c>
      <c r="E3662" s="209">
        <f t="shared" si="287"/>
        <v>45371</v>
      </c>
      <c r="F3662" s="513" t="s">
        <v>1210</v>
      </c>
      <c r="G3662" s="200" t="s">
        <v>1209</v>
      </c>
      <c r="H3662" s="201"/>
      <c r="I3662" s="201" t="s">
        <v>355</v>
      </c>
      <c r="J3662" s="197" t="s">
        <v>46</v>
      </c>
      <c r="K3662" s="202">
        <v>100000</v>
      </c>
      <c r="L3662" s="202"/>
    </row>
    <row r="3663" spans="1:15" ht="11.25" customHeight="1" x14ac:dyDescent="0.2">
      <c r="A3663" s="120">
        <v>2024</v>
      </c>
      <c r="B3663" s="120">
        <v>3</v>
      </c>
      <c r="C3663" s="120">
        <v>20</v>
      </c>
      <c r="D3663" s="208">
        <f t="shared" si="286"/>
        <v>45371</v>
      </c>
      <c r="E3663" s="209">
        <f t="shared" si="287"/>
        <v>45371</v>
      </c>
      <c r="F3663" s="515"/>
      <c r="G3663" s="132" t="s">
        <v>1209</v>
      </c>
      <c r="I3663" s="128" t="s">
        <v>355</v>
      </c>
      <c r="J3663" s="120" t="s">
        <v>16</v>
      </c>
      <c r="K3663" s="207"/>
      <c r="L3663" s="207">
        <v>92060</v>
      </c>
    </row>
    <row r="3664" spans="1:15" ht="11.25" customHeight="1" x14ac:dyDescent="0.2">
      <c r="A3664" s="191">
        <v>2024</v>
      </c>
      <c r="B3664" s="191">
        <v>3</v>
      </c>
      <c r="C3664" s="191">
        <v>20</v>
      </c>
      <c r="D3664" s="192">
        <f t="shared" si="286"/>
        <v>45371</v>
      </c>
      <c r="E3664" s="193">
        <f t="shared" si="287"/>
        <v>45371</v>
      </c>
      <c r="F3664" s="514"/>
      <c r="G3664" s="194" t="s">
        <v>1209</v>
      </c>
      <c r="H3664" s="195"/>
      <c r="I3664" s="195" t="s">
        <v>355</v>
      </c>
      <c r="J3664" s="191" t="s">
        <v>47</v>
      </c>
      <c r="K3664" s="196"/>
      <c r="L3664" s="196">
        <v>7940</v>
      </c>
    </row>
    <row r="3665" spans="1:15" ht="11.25" customHeight="1" x14ac:dyDescent="0.2">
      <c r="A3665" s="197">
        <v>2024</v>
      </c>
      <c r="B3665" s="197">
        <v>3</v>
      </c>
      <c r="C3665" s="197">
        <v>20</v>
      </c>
      <c r="D3665" s="198">
        <f t="shared" si="286"/>
        <v>45371</v>
      </c>
      <c r="E3665" s="199">
        <f t="shared" si="287"/>
        <v>45371</v>
      </c>
      <c r="F3665" s="513" t="s">
        <v>1389</v>
      </c>
      <c r="G3665" s="200" t="s">
        <v>1209</v>
      </c>
      <c r="H3665" s="200"/>
      <c r="I3665" s="201" t="s">
        <v>1253</v>
      </c>
      <c r="J3665" s="248" t="s">
        <v>84</v>
      </c>
      <c r="K3665" s="202">
        <v>46.05</v>
      </c>
      <c r="L3665" s="202"/>
      <c r="M3665" s="251"/>
    </row>
    <row r="3666" spans="1:15" ht="11.25" customHeight="1" x14ac:dyDescent="0.2">
      <c r="A3666" s="191">
        <v>2024</v>
      </c>
      <c r="B3666" s="191">
        <v>3</v>
      </c>
      <c r="C3666" s="191">
        <v>20</v>
      </c>
      <c r="D3666" s="192">
        <f t="shared" si="286"/>
        <v>45371</v>
      </c>
      <c r="E3666" s="193">
        <f t="shared" si="287"/>
        <v>45371</v>
      </c>
      <c r="F3666" s="514"/>
      <c r="G3666" s="194" t="s">
        <v>1209</v>
      </c>
      <c r="H3666" s="194"/>
      <c r="I3666" s="195" t="s">
        <v>1253</v>
      </c>
      <c r="J3666" s="250" t="s">
        <v>46</v>
      </c>
      <c r="K3666" s="196"/>
      <c r="L3666" s="196">
        <v>46.05</v>
      </c>
      <c r="M3666" s="251"/>
    </row>
    <row r="3667" spans="1:15" ht="11.25" customHeight="1" x14ac:dyDescent="0.2">
      <c r="A3667" s="197">
        <v>2024</v>
      </c>
      <c r="B3667" s="197">
        <v>3</v>
      </c>
      <c r="C3667" s="197">
        <v>21</v>
      </c>
      <c r="D3667" s="198">
        <f t="shared" si="286"/>
        <v>45372</v>
      </c>
      <c r="E3667" s="209">
        <f t="shared" ref="E3667:E3669" si="294">DATE(A3667,B3667,C3667)</f>
        <v>45372</v>
      </c>
      <c r="F3667" s="513" t="s">
        <v>1210</v>
      </c>
      <c r="G3667" s="200" t="s">
        <v>1209</v>
      </c>
      <c r="H3667" s="201"/>
      <c r="I3667" s="201" t="s">
        <v>1597</v>
      </c>
      <c r="J3667" s="197" t="s">
        <v>46</v>
      </c>
      <c r="K3667" s="202">
        <v>455000</v>
      </c>
      <c r="L3667" s="202"/>
    </row>
    <row r="3668" spans="1:15" ht="11.25" customHeight="1" x14ac:dyDescent="0.2">
      <c r="A3668" s="120">
        <v>2024</v>
      </c>
      <c r="B3668" s="120">
        <v>3</v>
      </c>
      <c r="C3668" s="120">
        <v>21</v>
      </c>
      <c r="D3668" s="208">
        <f t="shared" si="286"/>
        <v>45372</v>
      </c>
      <c r="E3668" s="209">
        <f t="shared" si="294"/>
        <v>45372</v>
      </c>
      <c r="F3668" s="515"/>
      <c r="G3668" s="132" t="s">
        <v>1209</v>
      </c>
      <c r="I3668" s="128" t="s">
        <v>1597</v>
      </c>
      <c r="J3668" s="120" t="s">
        <v>16</v>
      </c>
      <c r="K3668" s="207"/>
      <c r="L3668" s="207">
        <v>418850</v>
      </c>
    </row>
    <row r="3669" spans="1:15" ht="11.25" customHeight="1" x14ac:dyDescent="0.2">
      <c r="A3669" s="191">
        <v>2024</v>
      </c>
      <c r="B3669" s="191">
        <v>3</v>
      </c>
      <c r="C3669" s="191">
        <v>21</v>
      </c>
      <c r="D3669" s="192">
        <f t="shared" si="286"/>
        <v>45372</v>
      </c>
      <c r="E3669" s="193">
        <f t="shared" si="294"/>
        <v>45372</v>
      </c>
      <c r="F3669" s="514"/>
      <c r="G3669" s="194" t="s">
        <v>1209</v>
      </c>
      <c r="H3669" s="195"/>
      <c r="I3669" s="195" t="s">
        <v>1597</v>
      </c>
      <c r="J3669" s="191" t="s">
        <v>47</v>
      </c>
      <c r="K3669" s="196"/>
      <c r="L3669" s="196">
        <v>36150</v>
      </c>
    </row>
    <row r="3670" spans="1:15" ht="11.25" customHeight="1" x14ac:dyDescent="0.2">
      <c r="A3670" s="197">
        <v>2024</v>
      </c>
      <c r="B3670" s="197">
        <v>3</v>
      </c>
      <c r="C3670" s="197">
        <v>21</v>
      </c>
      <c r="D3670" s="198">
        <f t="shared" si="286"/>
        <v>45372</v>
      </c>
      <c r="E3670" s="209">
        <f t="shared" ref="E3670:E3672" si="295">DATE(A3670,B3670,C3670)</f>
        <v>45372</v>
      </c>
      <c r="F3670" s="513" t="s">
        <v>1210</v>
      </c>
      <c r="G3670" s="200" t="s">
        <v>1209</v>
      </c>
      <c r="H3670" s="201"/>
      <c r="I3670" s="201" t="s">
        <v>400</v>
      </c>
      <c r="J3670" s="197" t="s">
        <v>46</v>
      </c>
      <c r="K3670" s="202">
        <v>2715750</v>
      </c>
      <c r="L3670" s="202"/>
    </row>
    <row r="3671" spans="1:15" ht="11.25" customHeight="1" x14ac:dyDescent="0.2">
      <c r="A3671" s="120">
        <v>2024</v>
      </c>
      <c r="B3671" s="120">
        <v>3</v>
      </c>
      <c r="C3671" s="120">
        <v>21</v>
      </c>
      <c r="D3671" s="208">
        <f t="shared" si="286"/>
        <v>45372</v>
      </c>
      <c r="E3671" s="209">
        <f t="shared" si="295"/>
        <v>45372</v>
      </c>
      <c r="F3671" s="515"/>
      <c r="G3671" s="132" t="s">
        <v>1209</v>
      </c>
      <c r="I3671" s="128" t="s">
        <v>400</v>
      </c>
      <c r="J3671" s="120" t="s">
        <v>16</v>
      </c>
      <c r="K3671" s="207"/>
      <c r="L3671" s="207">
        <v>2500000</v>
      </c>
    </row>
    <row r="3672" spans="1:15" ht="11.25" customHeight="1" x14ac:dyDescent="0.2">
      <c r="A3672" s="191">
        <v>2024</v>
      </c>
      <c r="B3672" s="191">
        <v>3</v>
      </c>
      <c r="C3672" s="191">
        <v>21</v>
      </c>
      <c r="D3672" s="192">
        <f t="shared" ref="D3672:D3731" si="296">DATE(A3672,B3672,C3672)</f>
        <v>45372</v>
      </c>
      <c r="E3672" s="193">
        <f t="shared" si="295"/>
        <v>45372</v>
      </c>
      <c r="F3672" s="514"/>
      <c r="G3672" s="194" t="s">
        <v>1209</v>
      </c>
      <c r="H3672" s="195"/>
      <c r="I3672" s="195" t="s">
        <v>400</v>
      </c>
      <c r="J3672" s="191" t="s">
        <v>47</v>
      </c>
      <c r="K3672" s="196"/>
      <c r="L3672" s="196">
        <v>215750</v>
      </c>
    </row>
    <row r="3673" spans="1:15" ht="11.25" customHeight="1" x14ac:dyDescent="0.2">
      <c r="A3673" s="197">
        <v>2024</v>
      </c>
      <c r="B3673" s="197">
        <v>3</v>
      </c>
      <c r="C3673" s="197">
        <v>21</v>
      </c>
      <c r="D3673" s="198">
        <f t="shared" si="296"/>
        <v>45372</v>
      </c>
      <c r="E3673" s="209">
        <f t="shared" ref="E3673:E3677" si="297">DATE(A3673,B3673,C3673)</f>
        <v>45372</v>
      </c>
      <c r="F3673" s="513" t="s">
        <v>1210</v>
      </c>
      <c r="G3673" s="200" t="s">
        <v>1209</v>
      </c>
      <c r="H3673" s="201"/>
      <c r="I3673" s="201" t="s">
        <v>362</v>
      </c>
      <c r="J3673" s="197" t="s">
        <v>46</v>
      </c>
      <c r="K3673" s="202">
        <v>500000</v>
      </c>
      <c r="L3673" s="202"/>
    </row>
    <row r="3674" spans="1:15" ht="11.25" customHeight="1" x14ac:dyDescent="0.2">
      <c r="A3674" s="120">
        <v>2024</v>
      </c>
      <c r="B3674" s="120">
        <v>3</v>
      </c>
      <c r="C3674" s="120">
        <v>21</v>
      </c>
      <c r="D3674" s="208">
        <f t="shared" si="296"/>
        <v>45372</v>
      </c>
      <c r="E3674" s="209">
        <f t="shared" si="297"/>
        <v>45372</v>
      </c>
      <c r="F3674" s="515"/>
      <c r="G3674" s="132" t="s">
        <v>1209</v>
      </c>
      <c r="I3674" s="128" t="s">
        <v>362</v>
      </c>
      <c r="J3674" s="120" t="s">
        <v>16</v>
      </c>
      <c r="K3674" s="207"/>
      <c r="L3674" s="207">
        <v>460280</v>
      </c>
    </row>
    <row r="3675" spans="1:15" ht="12" customHeight="1" x14ac:dyDescent="0.2">
      <c r="A3675" s="191">
        <v>2024</v>
      </c>
      <c r="B3675" s="191">
        <v>3</v>
      </c>
      <c r="C3675" s="191">
        <v>21</v>
      </c>
      <c r="D3675" s="192">
        <f t="shared" si="296"/>
        <v>45372</v>
      </c>
      <c r="E3675" s="193">
        <f t="shared" si="297"/>
        <v>45372</v>
      </c>
      <c r="F3675" s="514"/>
      <c r="G3675" s="194" t="s">
        <v>1209</v>
      </c>
      <c r="H3675" s="195"/>
      <c r="I3675" s="195" t="s">
        <v>362</v>
      </c>
      <c r="J3675" s="191" t="s">
        <v>47</v>
      </c>
      <c r="K3675" s="196"/>
      <c r="L3675" s="196">
        <v>39720</v>
      </c>
    </row>
    <row r="3676" spans="1:15" ht="11.25" customHeight="1" x14ac:dyDescent="0.2">
      <c r="A3676" s="197">
        <v>2024</v>
      </c>
      <c r="B3676" s="197">
        <v>3</v>
      </c>
      <c r="C3676" s="197">
        <v>21</v>
      </c>
      <c r="D3676" s="198">
        <f t="shared" si="296"/>
        <v>45372</v>
      </c>
      <c r="E3676" s="290">
        <f t="shared" si="297"/>
        <v>45372</v>
      </c>
      <c r="F3676" s="513" t="s">
        <v>1514</v>
      </c>
      <c r="G3676" s="200" t="s">
        <v>1209</v>
      </c>
      <c r="H3676" s="201"/>
      <c r="I3676" s="201"/>
      <c r="J3676" s="197" t="s">
        <v>54</v>
      </c>
      <c r="K3676" s="202">
        <v>120</v>
      </c>
      <c r="L3676" s="202"/>
      <c r="M3676" s="251"/>
      <c r="N3676" s="251"/>
      <c r="O3676" s="251"/>
    </row>
    <row r="3677" spans="1:15" ht="11.25" customHeight="1" x14ac:dyDescent="0.2">
      <c r="A3677" s="191">
        <v>2024</v>
      </c>
      <c r="B3677" s="191">
        <v>3</v>
      </c>
      <c r="C3677" s="191">
        <v>21</v>
      </c>
      <c r="D3677" s="192">
        <f t="shared" si="296"/>
        <v>45372</v>
      </c>
      <c r="E3677" s="291">
        <f t="shared" si="297"/>
        <v>45372</v>
      </c>
      <c r="F3677" s="514"/>
      <c r="G3677" s="194" t="s">
        <v>1209</v>
      </c>
      <c r="H3677" s="195"/>
      <c r="I3677" s="195"/>
      <c r="J3677" s="191" t="s">
        <v>46</v>
      </c>
      <c r="K3677" s="196"/>
      <c r="L3677" s="196">
        <v>120</v>
      </c>
      <c r="M3677" s="251"/>
      <c r="N3677" s="251"/>
      <c r="O3677" s="251"/>
    </row>
    <row r="3678" spans="1:15" ht="11.25" customHeight="1" x14ac:dyDescent="0.2">
      <c r="A3678" s="210">
        <v>2024</v>
      </c>
      <c r="B3678" s="210">
        <v>3</v>
      </c>
      <c r="C3678" s="210">
        <v>21</v>
      </c>
      <c r="D3678" s="211">
        <f t="shared" si="296"/>
        <v>45372</v>
      </c>
      <c r="E3678" s="238">
        <f t="shared" si="287"/>
        <v>45372</v>
      </c>
      <c r="F3678" s="520" t="s">
        <v>1278</v>
      </c>
      <c r="G3678" s="213" t="s">
        <v>1245</v>
      </c>
      <c r="H3678" s="214"/>
      <c r="I3678" s="214" t="s">
        <v>1253</v>
      </c>
      <c r="J3678" s="210" t="s">
        <v>1529</v>
      </c>
      <c r="K3678" s="215">
        <v>7491.85</v>
      </c>
      <c r="L3678" s="215"/>
    </row>
    <row r="3679" spans="1:15" ht="11.25" customHeight="1" x14ac:dyDescent="0.2">
      <c r="A3679" s="216">
        <v>2024</v>
      </c>
      <c r="B3679" s="216">
        <v>3</v>
      </c>
      <c r="C3679" s="216">
        <v>21</v>
      </c>
      <c r="D3679" s="217">
        <f t="shared" si="296"/>
        <v>45372</v>
      </c>
      <c r="E3679" s="239">
        <f t="shared" si="287"/>
        <v>45372</v>
      </c>
      <c r="F3679" s="521"/>
      <c r="G3679" s="219" t="s">
        <v>1245</v>
      </c>
      <c r="H3679" s="220"/>
      <c r="I3679" s="220" t="s">
        <v>1253</v>
      </c>
      <c r="J3679" s="216" t="s">
        <v>1581</v>
      </c>
      <c r="K3679" s="221"/>
      <c r="L3679" s="221">
        <v>7491.85</v>
      </c>
    </row>
    <row r="3680" spans="1:15" ht="11.25" customHeight="1" x14ac:dyDescent="0.2">
      <c r="A3680" s="210">
        <v>2024</v>
      </c>
      <c r="B3680" s="210">
        <v>3</v>
      </c>
      <c r="C3680" s="210">
        <v>21</v>
      </c>
      <c r="D3680" s="211">
        <f t="shared" si="296"/>
        <v>45372</v>
      </c>
      <c r="E3680" s="238">
        <f t="shared" si="287"/>
        <v>45372</v>
      </c>
      <c r="F3680" s="520" t="s">
        <v>1285</v>
      </c>
      <c r="G3680" s="213" t="s">
        <v>1245</v>
      </c>
      <c r="H3680" s="214"/>
      <c r="I3680" s="214" t="s">
        <v>1253</v>
      </c>
      <c r="J3680" s="210" t="s">
        <v>1284</v>
      </c>
      <c r="K3680" s="215">
        <v>10290.504807692309</v>
      </c>
      <c r="L3680" s="215"/>
    </row>
    <row r="3681" spans="1:12" ht="11.25" customHeight="1" x14ac:dyDescent="0.2">
      <c r="A3681" s="242">
        <v>2024</v>
      </c>
      <c r="B3681" s="242">
        <v>3</v>
      </c>
      <c r="C3681" s="242">
        <v>21</v>
      </c>
      <c r="D3681" s="243">
        <f t="shared" si="296"/>
        <v>45372</v>
      </c>
      <c r="E3681" s="244">
        <f>DATE(A3681,B3681,C3681)</f>
        <v>45372</v>
      </c>
      <c r="F3681" s="524"/>
      <c r="G3681" s="245" t="s">
        <v>1245</v>
      </c>
      <c r="H3681" s="246"/>
      <c r="I3681" s="246"/>
      <c r="J3681" s="242" t="s">
        <v>1582</v>
      </c>
      <c r="K3681" s="247"/>
      <c r="L3681" s="247">
        <v>10290.504807692309</v>
      </c>
    </row>
    <row r="3682" spans="1:12" ht="11.25" customHeight="1" x14ac:dyDescent="0.2">
      <c r="A3682" s="210">
        <v>2024</v>
      </c>
      <c r="B3682" s="210">
        <v>3</v>
      </c>
      <c r="C3682" s="210">
        <v>21</v>
      </c>
      <c r="D3682" s="211">
        <f t="shared" si="296"/>
        <v>45372</v>
      </c>
      <c r="E3682" s="238">
        <f t="shared" ref="E3682:E3707" si="298">DATE(A3682,B3682,C3682)</f>
        <v>45372</v>
      </c>
      <c r="F3682" s="520" t="s">
        <v>1259</v>
      </c>
      <c r="G3682" s="213" t="s">
        <v>1245</v>
      </c>
      <c r="H3682" s="214"/>
      <c r="I3682" s="214" t="s">
        <v>1253</v>
      </c>
      <c r="J3682" s="210" t="s">
        <v>58</v>
      </c>
      <c r="K3682" s="215">
        <v>27609.45</v>
      </c>
      <c r="L3682" s="215"/>
    </row>
    <row r="3683" spans="1:12" ht="11.25" customHeight="1" x14ac:dyDescent="0.2">
      <c r="A3683" s="216">
        <v>2024</v>
      </c>
      <c r="B3683" s="216">
        <v>3</v>
      </c>
      <c r="C3683" s="216">
        <v>21</v>
      </c>
      <c r="D3683" s="217">
        <f t="shared" si="296"/>
        <v>45372</v>
      </c>
      <c r="E3683" s="239">
        <f t="shared" si="298"/>
        <v>45372</v>
      </c>
      <c r="F3683" s="521"/>
      <c r="G3683" s="219" t="s">
        <v>1245</v>
      </c>
      <c r="H3683" s="220"/>
      <c r="I3683" s="220" t="s">
        <v>1253</v>
      </c>
      <c r="J3683" s="216" t="s">
        <v>153</v>
      </c>
      <c r="K3683" s="221"/>
      <c r="L3683" s="221">
        <v>27609.45</v>
      </c>
    </row>
    <row r="3684" spans="1:12" ht="11.25" customHeight="1" x14ac:dyDescent="0.2">
      <c r="A3684" s="312">
        <v>2024</v>
      </c>
      <c r="B3684" s="312">
        <v>3</v>
      </c>
      <c r="C3684" s="312">
        <v>21</v>
      </c>
      <c r="D3684" s="313">
        <f t="shared" si="296"/>
        <v>45372</v>
      </c>
      <c r="E3684" s="314">
        <f t="shared" si="298"/>
        <v>45372</v>
      </c>
      <c r="F3684" s="522" t="s">
        <v>1477</v>
      </c>
      <c r="G3684" s="315" t="s">
        <v>1245</v>
      </c>
      <c r="H3684" s="316"/>
      <c r="I3684" s="316" t="s">
        <v>1253</v>
      </c>
      <c r="J3684" s="312" t="s">
        <v>1458</v>
      </c>
      <c r="K3684" s="317">
        <v>166735.90000003576</v>
      </c>
      <c r="L3684" s="317"/>
    </row>
    <row r="3685" spans="1:12" ht="11.25" customHeight="1" x14ac:dyDescent="0.2">
      <c r="A3685" s="318">
        <v>2024</v>
      </c>
      <c r="B3685" s="318">
        <v>3</v>
      </c>
      <c r="C3685" s="318">
        <v>21</v>
      </c>
      <c r="D3685" s="319">
        <f t="shared" si="296"/>
        <v>45372</v>
      </c>
      <c r="E3685" s="320">
        <f t="shared" si="298"/>
        <v>45372</v>
      </c>
      <c r="F3685" s="523"/>
      <c r="G3685" s="321" t="s">
        <v>1245</v>
      </c>
      <c r="H3685" s="322"/>
      <c r="I3685" s="322" t="s">
        <v>1253</v>
      </c>
      <c r="J3685" s="318" t="s">
        <v>1460</v>
      </c>
      <c r="K3685" s="323"/>
      <c r="L3685" s="323">
        <v>166735.90000003576</v>
      </c>
    </row>
    <row r="3686" spans="1:12" ht="11.25" customHeight="1" x14ac:dyDescent="0.2">
      <c r="A3686" s="312">
        <v>2024</v>
      </c>
      <c r="B3686" s="312">
        <v>3</v>
      </c>
      <c r="C3686" s="312">
        <v>21</v>
      </c>
      <c r="D3686" s="313">
        <f t="shared" si="296"/>
        <v>45372</v>
      </c>
      <c r="E3686" s="314">
        <f t="shared" si="298"/>
        <v>45372</v>
      </c>
      <c r="F3686" s="522" t="s">
        <v>1595</v>
      </c>
      <c r="G3686" s="315" t="s">
        <v>1245</v>
      </c>
      <c r="H3686" s="316"/>
      <c r="I3686" s="316" t="s">
        <v>1253</v>
      </c>
      <c r="J3686" s="312" t="s">
        <v>1461</v>
      </c>
      <c r="K3686" s="317">
        <v>5342.3400000105612</v>
      </c>
      <c r="L3686" s="317"/>
    </row>
    <row r="3687" spans="1:12" ht="11.25" customHeight="1" x14ac:dyDescent="0.2">
      <c r="A3687" s="318">
        <v>2024</v>
      </c>
      <c r="B3687" s="318">
        <v>3</v>
      </c>
      <c r="C3687" s="318">
        <v>21</v>
      </c>
      <c r="D3687" s="319">
        <f t="shared" si="296"/>
        <v>45372</v>
      </c>
      <c r="E3687" s="320">
        <f t="shared" si="298"/>
        <v>45372</v>
      </c>
      <c r="F3687" s="523"/>
      <c r="G3687" s="321" t="s">
        <v>1245</v>
      </c>
      <c r="H3687" s="322"/>
      <c r="I3687" s="322" t="s">
        <v>1253</v>
      </c>
      <c r="J3687" s="318" t="s">
        <v>1459</v>
      </c>
      <c r="K3687" s="323"/>
      <c r="L3687" s="323">
        <v>5342.3400000105612</v>
      </c>
    </row>
    <row r="3688" spans="1:12" ht="11.25" customHeight="1" x14ac:dyDescent="0.2">
      <c r="A3688" s="222">
        <v>2024</v>
      </c>
      <c r="B3688" s="222">
        <v>3</v>
      </c>
      <c r="C3688" s="222">
        <v>21</v>
      </c>
      <c r="D3688" s="223">
        <f t="shared" si="296"/>
        <v>45372</v>
      </c>
      <c r="E3688" s="240">
        <f t="shared" si="298"/>
        <v>45372</v>
      </c>
      <c r="F3688" s="511" t="s">
        <v>1244</v>
      </c>
      <c r="G3688" s="225" t="s">
        <v>1245</v>
      </c>
      <c r="H3688" s="226"/>
      <c r="I3688" s="226" t="s">
        <v>1253</v>
      </c>
      <c r="J3688" s="222" t="s">
        <v>87</v>
      </c>
      <c r="K3688" s="227">
        <v>27632.280000004917</v>
      </c>
      <c r="L3688" s="227"/>
    </row>
    <row r="3689" spans="1:12" ht="11.25" customHeight="1" x14ac:dyDescent="0.2">
      <c r="A3689" s="228">
        <v>2024</v>
      </c>
      <c r="B3689" s="228">
        <v>3</v>
      </c>
      <c r="C3689" s="228">
        <v>21</v>
      </c>
      <c r="D3689" s="229">
        <f t="shared" si="296"/>
        <v>45372</v>
      </c>
      <c r="E3689" s="241">
        <f t="shared" si="298"/>
        <v>45372</v>
      </c>
      <c r="F3689" s="512"/>
      <c r="G3689" s="231" t="s">
        <v>1245</v>
      </c>
      <c r="H3689" s="232"/>
      <c r="I3689" s="232" t="s">
        <v>1253</v>
      </c>
      <c r="J3689" s="228" t="s">
        <v>72</v>
      </c>
      <c r="K3689" s="233"/>
      <c r="L3689" s="233">
        <v>27632.280000004917</v>
      </c>
    </row>
    <row r="3690" spans="1:12" ht="11.25" customHeight="1" x14ac:dyDescent="0.2">
      <c r="A3690" s="222">
        <v>2024</v>
      </c>
      <c r="B3690" s="222">
        <v>3</v>
      </c>
      <c r="C3690" s="222">
        <v>21</v>
      </c>
      <c r="D3690" s="223">
        <f t="shared" si="296"/>
        <v>45372</v>
      </c>
      <c r="E3690" s="240">
        <f t="shared" si="298"/>
        <v>45372</v>
      </c>
      <c r="F3690" s="511" t="s">
        <v>1246</v>
      </c>
      <c r="G3690" s="225" t="s">
        <v>1245</v>
      </c>
      <c r="H3690" s="226"/>
      <c r="I3690" s="226" t="s">
        <v>1253</v>
      </c>
      <c r="J3690" s="222" t="s">
        <v>75</v>
      </c>
      <c r="K3690" s="227">
        <v>3623.123846153846</v>
      </c>
      <c r="L3690" s="227"/>
    </row>
    <row r="3691" spans="1:12" ht="11.25" customHeight="1" x14ac:dyDescent="0.2">
      <c r="A3691" s="228">
        <v>2024</v>
      </c>
      <c r="B3691" s="228">
        <v>3</v>
      </c>
      <c r="C3691" s="228">
        <v>21</v>
      </c>
      <c r="D3691" s="229">
        <f t="shared" si="296"/>
        <v>45372</v>
      </c>
      <c r="E3691" s="241">
        <f t="shared" si="298"/>
        <v>45372</v>
      </c>
      <c r="F3691" s="512"/>
      <c r="G3691" s="231" t="s">
        <v>1245</v>
      </c>
      <c r="H3691" s="232"/>
      <c r="I3691" s="232" t="s">
        <v>1253</v>
      </c>
      <c r="J3691" s="228" t="s">
        <v>55</v>
      </c>
      <c r="K3691" s="233"/>
      <c r="L3691" s="233">
        <v>3623.123846153846</v>
      </c>
    </row>
    <row r="3692" spans="1:12" ht="11.25" customHeight="1" x14ac:dyDescent="0.2">
      <c r="A3692" s="222">
        <v>2024</v>
      </c>
      <c r="B3692" s="222">
        <v>3</v>
      </c>
      <c r="C3692" s="222">
        <v>21</v>
      </c>
      <c r="D3692" s="223">
        <f t="shared" si="296"/>
        <v>45372</v>
      </c>
      <c r="E3692" s="240">
        <f t="shared" si="298"/>
        <v>45372</v>
      </c>
      <c r="F3692" s="511" t="s">
        <v>1247</v>
      </c>
      <c r="G3692" s="225" t="s">
        <v>1245</v>
      </c>
      <c r="H3692" s="226"/>
      <c r="I3692" s="226" t="s">
        <v>1253</v>
      </c>
      <c r="J3692" s="222" t="s">
        <v>77</v>
      </c>
      <c r="K3692" s="227">
        <v>10000</v>
      </c>
      <c r="L3692" s="227"/>
    </row>
    <row r="3693" spans="1:12" ht="11.25" customHeight="1" x14ac:dyDescent="0.2">
      <c r="A3693" s="228">
        <v>2024</v>
      </c>
      <c r="B3693" s="228">
        <v>3</v>
      </c>
      <c r="C3693" s="228">
        <v>21</v>
      </c>
      <c r="D3693" s="229">
        <f t="shared" si="296"/>
        <v>45372</v>
      </c>
      <c r="E3693" s="241">
        <f t="shared" si="298"/>
        <v>45372</v>
      </c>
      <c r="F3693" s="512"/>
      <c r="G3693" s="231" t="s">
        <v>1245</v>
      </c>
      <c r="H3693" s="232"/>
      <c r="I3693" s="232" t="s">
        <v>1253</v>
      </c>
      <c r="J3693" s="228" t="s">
        <v>41</v>
      </c>
      <c r="K3693" s="233"/>
      <c r="L3693" s="233">
        <v>10000</v>
      </c>
    </row>
    <row r="3694" spans="1:12" ht="11.25" customHeight="1" x14ac:dyDescent="0.2">
      <c r="A3694" s="222">
        <v>2024</v>
      </c>
      <c r="B3694" s="222">
        <v>3</v>
      </c>
      <c r="C3694" s="222">
        <v>21</v>
      </c>
      <c r="D3694" s="223">
        <f t="shared" si="296"/>
        <v>45372</v>
      </c>
      <c r="E3694" s="240">
        <f t="shared" si="298"/>
        <v>45372</v>
      </c>
      <c r="F3694" s="511" t="s">
        <v>1248</v>
      </c>
      <c r="G3694" s="225" t="s">
        <v>1245</v>
      </c>
      <c r="H3694" s="226"/>
      <c r="I3694" s="226" t="s">
        <v>1253</v>
      </c>
      <c r="J3694" s="222" t="s">
        <v>80</v>
      </c>
      <c r="K3694" s="227">
        <v>2281.0560109298781</v>
      </c>
      <c r="L3694" s="227"/>
    </row>
    <row r="3695" spans="1:12" ht="11.25" customHeight="1" x14ac:dyDescent="0.2">
      <c r="A3695" s="228">
        <v>2024</v>
      </c>
      <c r="B3695" s="228">
        <v>3</v>
      </c>
      <c r="C3695" s="228">
        <v>21</v>
      </c>
      <c r="D3695" s="229">
        <f t="shared" si="296"/>
        <v>45372</v>
      </c>
      <c r="E3695" s="241">
        <f t="shared" si="298"/>
        <v>45372</v>
      </c>
      <c r="F3695" s="512"/>
      <c r="G3695" s="231" t="s">
        <v>1245</v>
      </c>
      <c r="H3695" s="232"/>
      <c r="I3695" s="232" t="s">
        <v>1253</v>
      </c>
      <c r="J3695" s="228" t="s">
        <v>42</v>
      </c>
      <c r="K3695" s="233"/>
      <c r="L3695" s="233">
        <v>2281.0560109298781</v>
      </c>
    </row>
    <row r="3696" spans="1:12" ht="11.25" customHeight="1" x14ac:dyDescent="0.2">
      <c r="A3696" s="197">
        <v>2024</v>
      </c>
      <c r="B3696" s="197">
        <v>3</v>
      </c>
      <c r="C3696" s="197">
        <v>27</v>
      </c>
      <c r="D3696" s="198">
        <f t="shared" si="296"/>
        <v>45378</v>
      </c>
      <c r="E3696" s="199">
        <f t="shared" si="298"/>
        <v>45378</v>
      </c>
      <c r="F3696" s="513" t="s">
        <v>1599</v>
      </c>
      <c r="G3696" s="200" t="s">
        <v>1209</v>
      </c>
      <c r="H3696" s="201"/>
      <c r="I3696" s="201" t="s">
        <v>1253</v>
      </c>
      <c r="J3696" s="197" t="s">
        <v>46</v>
      </c>
      <c r="K3696" s="202">
        <v>26000000</v>
      </c>
      <c r="L3696" s="202"/>
    </row>
    <row r="3697" spans="1:14" ht="11.25" customHeight="1" x14ac:dyDescent="0.2">
      <c r="A3697" s="120">
        <v>2024</v>
      </c>
      <c r="B3697" s="120">
        <v>3</v>
      </c>
      <c r="C3697" s="120">
        <v>27</v>
      </c>
      <c r="D3697" s="208">
        <f t="shared" si="296"/>
        <v>45378</v>
      </c>
      <c r="E3697" s="209">
        <f t="shared" si="298"/>
        <v>45378</v>
      </c>
      <c r="F3697" s="515"/>
      <c r="G3697" s="132" t="s">
        <v>1209</v>
      </c>
      <c r="J3697" s="120" t="s">
        <v>1462</v>
      </c>
      <c r="K3697" s="120"/>
      <c r="L3697" s="207">
        <v>691912</v>
      </c>
    </row>
    <row r="3698" spans="1:14" ht="11.25" customHeight="1" x14ac:dyDescent="0.2">
      <c r="A3698" s="191">
        <v>2024</v>
      </c>
      <c r="B3698" s="191">
        <v>3</v>
      </c>
      <c r="C3698" s="191">
        <v>27</v>
      </c>
      <c r="D3698" s="192">
        <f t="shared" si="296"/>
        <v>45378</v>
      </c>
      <c r="E3698" s="193">
        <f t="shared" si="298"/>
        <v>45378</v>
      </c>
      <c r="F3698" s="514"/>
      <c r="G3698" s="194" t="s">
        <v>1209</v>
      </c>
      <c r="H3698" s="195"/>
      <c r="I3698" s="195" t="s">
        <v>1253</v>
      </c>
      <c r="J3698" s="191" t="s">
        <v>1455</v>
      </c>
      <c r="K3698" s="196"/>
      <c r="L3698" s="196">
        <v>25308088</v>
      </c>
      <c r="N3698" s="130"/>
    </row>
    <row r="3699" spans="1:14" ht="11.25" customHeight="1" x14ac:dyDescent="0.2">
      <c r="A3699" s="197">
        <v>2024</v>
      </c>
      <c r="B3699" s="197">
        <v>3</v>
      </c>
      <c r="C3699" s="197">
        <v>24</v>
      </c>
      <c r="D3699" s="198">
        <f t="shared" si="296"/>
        <v>45375</v>
      </c>
      <c r="E3699" s="209">
        <f t="shared" ref="E3699:E3701" si="299">DATE(A3699,B3699,C3699)</f>
        <v>45375</v>
      </c>
      <c r="F3699" s="513" t="s">
        <v>1210</v>
      </c>
      <c r="G3699" s="200" t="s">
        <v>1209</v>
      </c>
      <c r="H3699" s="201"/>
      <c r="I3699" s="201" t="s">
        <v>453</v>
      </c>
      <c r="J3699" s="197" t="s">
        <v>46</v>
      </c>
      <c r="K3699" s="202">
        <v>800000</v>
      </c>
      <c r="L3699" s="202"/>
    </row>
    <row r="3700" spans="1:14" ht="11.25" customHeight="1" x14ac:dyDescent="0.2">
      <c r="A3700" s="120">
        <v>2024</v>
      </c>
      <c r="B3700" s="120">
        <v>3</v>
      </c>
      <c r="C3700" s="120">
        <v>24</v>
      </c>
      <c r="D3700" s="208">
        <f t="shared" si="296"/>
        <v>45375</v>
      </c>
      <c r="E3700" s="209">
        <f t="shared" si="299"/>
        <v>45375</v>
      </c>
      <c r="F3700" s="515"/>
      <c r="G3700" s="132" t="s">
        <v>1209</v>
      </c>
      <c r="I3700" s="128" t="s">
        <v>453</v>
      </c>
      <c r="J3700" s="120" t="s">
        <v>16</v>
      </c>
      <c r="K3700" s="207"/>
      <c r="L3700" s="207">
        <v>735090</v>
      </c>
    </row>
    <row r="3701" spans="1:14" ht="12" customHeight="1" x14ac:dyDescent="0.2">
      <c r="A3701" s="191">
        <v>2024</v>
      </c>
      <c r="B3701" s="191">
        <v>3</v>
      </c>
      <c r="C3701" s="191">
        <v>24</v>
      </c>
      <c r="D3701" s="192">
        <f t="shared" si="296"/>
        <v>45375</v>
      </c>
      <c r="E3701" s="193">
        <f t="shared" si="299"/>
        <v>45375</v>
      </c>
      <c r="F3701" s="514"/>
      <c r="G3701" s="194" t="s">
        <v>1209</v>
      </c>
      <c r="H3701" s="195"/>
      <c r="I3701" s="195" t="s">
        <v>453</v>
      </c>
      <c r="J3701" s="191" t="s">
        <v>47</v>
      </c>
      <c r="K3701" s="196"/>
      <c r="L3701" s="196">
        <v>64910</v>
      </c>
    </row>
    <row r="3702" spans="1:14" ht="11.25" customHeight="1" x14ac:dyDescent="0.2">
      <c r="A3702" s="197">
        <v>2024</v>
      </c>
      <c r="B3702" s="197">
        <v>3</v>
      </c>
      <c r="C3702" s="197">
        <v>27</v>
      </c>
      <c r="D3702" s="198">
        <f t="shared" si="296"/>
        <v>45378</v>
      </c>
      <c r="E3702" s="209">
        <f t="shared" si="298"/>
        <v>45378</v>
      </c>
      <c r="F3702" s="513" t="s">
        <v>1210</v>
      </c>
      <c r="G3702" s="200" t="s">
        <v>1209</v>
      </c>
      <c r="H3702" s="201"/>
      <c r="I3702" s="201" t="s">
        <v>1493</v>
      </c>
      <c r="J3702" s="197" t="s">
        <v>46</v>
      </c>
      <c r="K3702" s="202">
        <v>206777</v>
      </c>
      <c r="L3702" s="202"/>
    </row>
    <row r="3703" spans="1:14" ht="11.25" customHeight="1" x14ac:dyDescent="0.2">
      <c r="A3703" s="120">
        <v>2024</v>
      </c>
      <c r="B3703" s="120">
        <v>3</v>
      </c>
      <c r="C3703" s="120">
        <v>27</v>
      </c>
      <c r="D3703" s="208">
        <f t="shared" si="296"/>
        <v>45378</v>
      </c>
      <c r="E3703" s="209">
        <f t="shared" si="298"/>
        <v>45378</v>
      </c>
      <c r="F3703" s="515"/>
      <c r="G3703" s="132" t="s">
        <v>1209</v>
      </c>
      <c r="I3703" s="128" t="s">
        <v>1493</v>
      </c>
      <c r="J3703" s="120" t="s">
        <v>16</v>
      </c>
      <c r="K3703" s="207"/>
      <c r="L3703" s="207">
        <v>190000</v>
      </c>
    </row>
    <row r="3704" spans="1:14" ht="12" customHeight="1" x14ac:dyDescent="0.2">
      <c r="A3704" s="191">
        <v>2024</v>
      </c>
      <c r="B3704" s="191">
        <v>3</v>
      </c>
      <c r="C3704" s="191">
        <v>27</v>
      </c>
      <c r="D3704" s="192">
        <f t="shared" si="296"/>
        <v>45378</v>
      </c>
      <c r="E3704" s="193">
        <f t="shared" si="298"/>
        <v>45378</v>
      </c>
      <c r="F3704" s="514"/>
      <c r="G3704" s="194" t="s">
        <v>1209</v>
      </c>
      <c r="H3704" s="195"/>
      <c r="I3704" s="195" t="s">
        <v>1493</v>
      </c>
      <c r="J3704" s="191" t="s">
        <v>47</v>
      </c>
      <c r="K3704" s="196"/>
      <c r="L3704" s="196">
        <v>16777</v>
      </c>
    </row>
    <row r="3705" spans="1:14" ht="11.25" customHeight="1" x14ac:dyDescent="0.2">
      <c r="A3705" s="197">
        <v>2024</v>
      </c>
      <c r="B3705" s="197">
        <v>3</v>
      </c>
      <c r="C3705" s="197">
        <v>27</v>
      </c>
      <c r="D3705" s="198">
        <f t="shared" si="296"/>
        <v>45378</v>
      </c>
      <c r="E3705" s="209">
        <f t="shared" si="298"/>
        <v>45378</v>
      </c>
      <c r="F3705" s="513" t="s">
        <v>1296</v>
      </c>
      <c r="G3705" s="200" t="s">
        <v>1209</v>
      </c>
      <c r="H3705" s="201"/>
      <c r="I3705" s="201"/>
      <c r="J3705" s="197" t="s">
        <v>46</v>
      </c>
      <c r="K3705" s="202">
        <v>303500</v>
      </c>
      <c r="L3705" s="202"/>
    </row>
    <row r="3706" spans="1:14" ht="11.25" customHeight="1" x14ac:dyDescent="0.2">
      <c r="A3706" s="120">
        <v>2024</v>
      </c>
      <c r="B3706" s="120">
        <v>3</v>
      </c>
      <c r="C3706" s="120">
        <v>27</v>
      </c>
      <c r="D3706" s="208">
        <f t="shared" si="296"/>
        <v>45378</v>
      </c>
      <c r="E3706" s="209">
        <f t="shared" si="298"/>
        <v>45378</v>
      </c>
      <c r="F3706" s="515"/>
      <c r="G3706" s="132" t="s">
        <v>1209</v>
      </c>
      <c r="J3706" s="120" t="s">
        <v>16</v>
      </c>
      <c r="K3706" s="207"/>
      <c r="L3706" s="207">
        <v>278830</v>
      </c>
    </row>
    <row r="3707" spans="1:14" ht="11.25" customHeight="1" x14ac:dyDescent="0.2">
      <c r="A3707" s="191">
        <v>2024</v>
      </c>
      <c r="B3707" s="191">
        <v>3</v>
      </c>
      <c r="C3707" s="191">
        <v>27</v>
      </c>
      <c r="D3707" s="192">
        <f t="shared" si="296"/>
        <v>45378</v>
      </c>
      <c r="E3707" s="193">
        <f t="shared" si="298"/>
        <v>45378</v>
      </c>
      <c r="F3707" s="514"/>
      <c r="G3707" s="194" t="s">
        <v>1209</v>
      </c>
      <c r="H3707" s="195"/>
      <c r="I3707" s="195"/>
      <c r="J3707" s="191" t="s">
        <v>47</v>
      </c>
      <c r="K3707" s="196"/>
      <c r="L3707" s="196">
        <v>24670</v>
      </c>
    </row>
    <row r="3708" spans="1:14" ht="11.25" customHeight="1" x14ac:dyDescent="0.2">
      <c r="A3708" s="197">
        <v>2024</v>
      </c>
      <c r="B3708" s="197">
        <v>3</v>
      </c>
      <c r="C3708" s="197">
        <v>28</v>
      </c>
      <c r="D3708" s="198">
        <f t="shared" si="296"/>
        <v>45379</v>
      </c>
      <c r="E3708" s="209">
        <f t="shared" ref="E3708:E3710" si="300">DATE(A3708,B3708,C3708)</f>
        <v>45379</v>
      </c>
      <c r="F3708" s="513" t="s">
        <v>1210</v>
      </c>
      <c r="G3708" s="200" t="s">
        <v>1209</v>
      </c>
      <c r="H3708" s="201"/>
      <c r="I3708" s="201" t="s">
        <v>424</v>
      </c>
      <c r="J3708" s="197" t="s">
        <v>46</v>
      </c>
      <c r="K3708" s="202">
        <v>17000</v>
      </c>
      <c r="L3708" s="202"/>
    </row>
    <row r="3709" spans="1:14" ht="11.25" customHeight="1" x14ac:dyDescent="0.2">
      <c r="A3709" s="120">
        <v>2024</v>
      </c>
      <c r="B3709" s="120">
        <v>3</v>
      </c>
      <c r="C3709" s="120">
        <v>28</v>
      </c>
      <c r="D3709" s="208">
        <f t="shared" si="296"/>
        <v>45379</v>
      </c>
      <c r="E3709" s="209">
        <f t="shared" si="300"/>
        <v>45379</v>
      </c>
      <c r="F3709" s="515"/>
      <c r="G3709" s="132" t="s">
        <v>1209</v>
      </c>
      <c r="I3709" s="128" t="s">
        <v>424</v>
      </c>
      <c r="J3709" s="120" t="s">
        <v>16</v>
      </c>
      <c r="K3709" s="207"/>
      <c r="L3709" s="207">
        <v>15620</v>
      </c>
    </row>
    <row r="3710" spans="1:14" ht="12" customHeight="1" x14ac:dyDescent="0.2">
      <c r="A3710" s="191">
        <v>2024</v>
      </c>
      <c r="B3710" s="191">
        <v>3</v>
      </c>
      <c r="C3710" s="191">
        <v>28</v>
      </c>
      <c r="D3710" s="192">
        <f t="shared" si="296"/>
        <v>45379</v>
      </c>
      <c r="E3710" s="193">
        <f t="shared" si="300"/>
        <v>45379</v>
      </c>
      <c r="F3710" s="514"/>
      <c r="G3710" s="194" t="s">
        <v>1209</v>
      </c>
      <c r="H3710" s="195"/>
      <c r="I3710" s="195" t="s">
        <v>424</v>
      </c>
      <c r="J3710" s="191" t="s">
        <v>47</v>
      </c>
      <c r="K3710" s="196"/>
      <c r="L3710" s="196">
        <v>1380</v>
      </c>
    </row>
    <row r="3711" spans="1:14" ht="11.25" customHeight="1" x14ac:dyDescent="0.2">
      <c r="A3711" s="197">
        <v>2024</v>
      </c>
      <c r="B3711" s="197">
        <v>3</v>
      </c>
      <c r="C3711" s="197">
        <v>28</v>
      </c>
      <c r="D3711" s="198">
        <f t="shared" si="296"/>
        <v>45379</v>
      </c>
      <c r="E3711" s="209">
        <f t="shared" ref="E3711:E3716" si="301">DATE(A3711,B3711,C3711)</f>
        <v>45379</v>
      </c>
      <c r="F3711" s="513" t="s">
        <v>1210</v>
      </c>
      <c r="G3711" s="200" t="s">
        <v>1209</v>
      </c>
      <c r="H3711" s="201"/>
      <c r="I3711" s="201" t="s">
        <v>328</v>
      </c>
      <c r="J3711" s="197" t="s">
        <v>46</v>
      </c>
      <c r="K3711" s="202">
        <v>50000</v>
      </c>
      <c r="L3711" s="202"/>
    </row>
    <row r="3712" spans="1:14" ht="11.25" customHeight="1" x14ac:dyDescent="0.2">
      <c r="A3712" s="120">
        <v>2024</v>
      </c>
      <c r="B3712" s="120">
        <v>3</v>
      </c>
      <c r="C3712" s="120">
        <v>28</v>
      </c>
      <c r="D3712" s="208">
        <f t="shared" si="296"/>
        <v>45379</v>
      </c>
      <c r="E3712" s="209">
        <f t="shared" si="301"/>
        <v>45379</v>
      </c>
      <c r="F3712" s="515"/>
      <c r="G3712" s="132" t="s">
        <v>1209</v>
      </c>
      <c r="I3712" s="128" t="s">
        <v>328</v>
      </c>
      <c r="J3712" s="120" t="s">
        <v>16</v>
      </c>
      <c r="K3712" s="207"/>
      <c r="L3712" s="207">
        <v>45940</v>
      </c>
    </row>
    <row r="3713" spans="1:15" ht="12" customHeight="1" x14ac:dyDescent="0.2">
      <c r="A3713" s="191">
        <v>2024</v>
      </c>
      <c r="B3713" s="191">
        <v>3</v>
      </c>
      <c r="C3713" s="191">
        <v>28</v>
      </c>
      <c r="D3713" s="192">
        <f t="shared" si="296"/>
        <v>45379</v>
      </c>
      <c r="E3713" s="193">
        <f t="shared" si="301"/>
        <v>45379</v>
      </c>
      <c r="F3713" s="514"/>
      <c r="G3713" s="194" t="s">
        <v>1209</v>
      </c>
      <c r="H3713" s="195"/>
      <c r="I3713" s="195" t="s">
        <v>328</v>
      </c>
      <c r="J3713" s="191" t="s">
        <v>47</v>
      </c>
      <c r="K3713" s="196"/>
      <c r="L3713" s="196">
        <v>4060</v>
      </c>
    </row>
    <row r="3714" spans="1:15" ht="11.25" customHeight="1" x14ac:dyDescent="0.2">
      <c r="A3714" s="197">
        <v>2024</v>
      </c>
      <c r="B3714" s="197">
        <v>3</v>
      </c>
      <c r="C3714" s="197">
        <v>28</v>
      </c>
      <c r="D3714" s="198">
        <f t="shared" si="296"/>
        <v>45379</v>
      </c>
      <c r="E3714" s="209">
        <f t="shared" si="301"/>
        <v>45379</v>
      </c>
      <c r="F3714" s="513" t="s">
        <v>1280</v>
      </c>
      <c r="G3714" s="200" t="s">
        <v>1209</v>
      </c>
      <c r="H3714" s="201"/>
      <c r="I3714" s="201" t="s">
        <v>658</v>
      </c>
      <c r="J3714" s="197" t="s">
        <v>16</v>
      </c>
      <c r="K3714" s="202">
        <v>800000</v>
      </c>
      <c r="L3714" s="202"/>
    </row>
    <row r="3715" spans="1:15" ht="11.25" customHeight="1" x14ac:dyDescent="0.2">
      <c r="A3715" s="120">
        <v>2024</v>
      </c>
      <c r="B3715" s="120">
        <v>3</v>
      </c>
      <c r="C3715" s="120">
        <v>28</v>
      </c>
      <c r="D3715" s="208">
        <f t="shared" si="296"/>
        <v>45379</v>
      </c>
      <c r="E3715" s="209">
        <f t="shared" si="301"/>
        <v>45379</v>
      </c>
      <c r="F3715" s="515"/>
      <c r="G3715" s="132" t="s">
        <v>1209</v>
      </c>
      <c r="I3715" s="128" t="s">
        <v>658</v>
      </c>
      <c r="J3715" s="120" t="s">
        <v>47</v>
      </c>
      <c r="K3715" s="207">
        <v>70640</v>
      </c>
      <c r="L3715" s="207"/>
    </row>
    <row r="3716" spans="1:15" ht="11.25" customHeight="1" x14ac:dyDescent="0.2">
      <c r="A3716" s="191">
        <v>2024</v>
      </c>
      <c r="B3716" s="191">
        <v>3</v>
      </c>
      <c r="C3716" s="191">
        <v>28</v>
      </c>
      <c r="D3716" s="192">
        <f t="shared" si="296"/>
        <v>45379</v>
      </c>
      <c r="E3716" s="193">
        <f t="shared" si="301"/>
        <v>45379</v>
      </c>
      <c r="F3716" s="514"/>
      <c r="G3716" s="194" t="s">
        <v>1209</v>
      </c>
      <c r="H3716" s="195"/>
      <c r="I3716" s="195" t="s">
        <v>658</v>
      </c>
      <c r="J3716" s="191" t="s">
        <v>46</v>
      </c>
      <c r="K3716" s="196"/>
      <c r="L3716" s="196">
        <v>870640</v>
      </c>
    </row>
    <row r="3717" spans="1:15" ht="11.25" customHeight="1" x14ac:dyDescent="0.2">
      <c r="A3717" s="197">
        <v>2024</v>
      </c>
      <c r="B3717" s="197">
        <v>3</v>
      </c>
      <c r="C3717" s="197">
        <v>28</v>
      </c>
      <c r="D3717" s="198">
        <f t="shared" si="296"/>
        <v>45379</v>
      </c>
      <c r="E3717" s="209">
        <f t="shared" ref="E3717:E3729" si="302">DATE(A3717,B3717,C3717)</f>
        <v>45379</v>
      </c>
      <c r="F3717" s="513" t="s">
        <v>1210</v>
      </c>
      <c r="G3717" s="200" t="s">
        <v>1209</v>
      </c>
      <c r="H3717" s="201"/>
      <c r="I3717" s="201" t="s">
        <v>355</v>
      </c>
      <c r="J3717" s="197" t="s">
        <v>46</v>
      </c>
      <c r="K3717" s="202">
        <v>200000</v>
      </c>
      <c r="L3717" s="202"/>
    </row>
    <row r="3718" spans="1:15" ht="11.25" customHeight="1" x14ac:dyDescent="0.2">
      <c r="A3718" s="120">
        <v>2024</v>
      </c>
      <c r="B3718" s="120">
        <v>3</v>
      </c>
      <c r="C3718" s="120">
        <v>28</v>
      </c>
      <c r="D3718" s="208">
        <f t="shared" si="296"/>
        <v>45379</v>
      </c>
      <c r="E3718" s="209">
        <f t="shared" si="302"/>
        <v>45379</v>
      </c>
      <c r="F3718" s="515"/>
      <c r="G3718" s="132" t="s">
        <v>1209</v>
      </c>
      <c r="I3718" s="128" t="s">
        <v>355</v>
      </c>
      <c r="J3718" s="120" t="s">
        <v>16</v>
      </c>
      <c r="K3718" s="207"/>
      <c r="L3718" s="207">
        <v>183770</v>
      </c>
    </row>
    <row r="3719" spans="1:15" ht="12" customHeight="1" x14ac:dyDescent="0.2">
      <c r="A3719" s="191">
        <v>2024</v>
      </c>
      <c r="B3719" s="191">
        <v>3</v>
      </c>
      <c r="C3719" s="191">
        <v>28</v>
      </c>
      <c r="D3719" s="192">
        <f t="shared" si="296"/>
        <v>45379</v>
      </c>
      <c r="E3719" s="193">
        <f t="shared" si="302"/>
        <v>45379</v>
      </c>
      <c r="F3719" s="514"/>
      <c r="G3719" s="194" t="s">
        <v>1209</v>
      </c>
      <c r="H3719" s="195"/>
      <c r="I3719" s="195" t="s">
        <v>355</v>
      </c>
      <c r="J3719" s="191" t="s">
        <v>47</v>
      </c>
      <c r="K3719" s="196"/>
      <c r="L3719" s="196">
        <v>16230</v>
      </c>
    </row>
    <row r="3720" spans="1:15" ht="11.25" customHeight="1" x14ac:dyDescent="0.2">
      <c r="A3720" s="197">
        <v>2024</v>
      </c>
      <c r="B3720" s="197">
        <v>3</v>
      </c>
      <c r="C3720" s="197">
        <v>28</v>
      </c>
      <c r="D3720" s="198">
        <f t="shared" si="296"/>
        <v>45379</v>
      </c>
      <c r="E3720" s="290">
        <f t="shared" si="302"/>
        <v>45379</v>
      </c>
      <c r="F3720" s="513" t="s">
        <v>1514</v>
      </c>
      <c r="G3720" s="200" t="s">
        <v>1209</v>
      </c>
      <c r="H3720" s="201"/>
      <c r="I3720" s="201"/>
      <c r="J3720" s="197" t="s">
        <v>54</v>
      </c>
      <c r="K3720" s="202">
        <v>100</v>
      </c>
      <c r="L3720" s="202"/>
      <c r="M3720" s="251"/>
      <c r="N3720" s="251"/>
      <c r="O3720" s="251"/>
    </row>
    <row r="3721" spans="1:15" ht="11.25" customHeight="1" x14ac:dyDescent="0.2">
      <c r="A3721" s="191">
        <v>2024</v>
      </c>
      <c r="B3721" s="191">
        <v>3</v>
      </c>
      <c r="C3721" s="191">
        <v>28</v>
      </c>
      <c r="D3721" s="192">
        <f t="shared" si="296"/>
        <v>45379</v>
      </c>
      <c r="E3721" s="291">
        <f t="shared" si="302"/>
        <v>45379</v>
      </c>
      <c r="F3721" s="514"/>
      <c r="G3721" s="194" t="s">
        <v>1209</v>
      </c>
      <c r="H3721" s="195"/>
      <c r="I3721" s="195"/>
      <c r="J3721" s="191" t="s">
        <v>46</v>
      </c>
      <c r="K3721" s="196"/>
      <c r="L3721" s="196">
        <v>100</v>
      </c>
      <c r="M3721" s="251"/>
      <c r="N3721" s="251"/>
      <c r="O3721" s="251"/>
    </row>
    <row r="3722" spans="1:15" ht="11.25" customHeight="1" x14ac:dyDescent="0.2">
      <c r="A3722" s="197">
        <v>2024</v>
      </c>
      <c r="B3722" s="197">
        <v>3</v>
      </c>
      <c r="C3722" s="197">
        <v>28</v>
      </c>
      <c r="D3722" s="198">
        <f t="shared" si="296"/>
        <v>45379</v>
      </c>
      <c r="E3722" s="290">
        <f t="shared" ref="E3722:E3723" si="303">DATE(A3722,B3722,C3722)</f>
        <v>45379</v>
      </c>
      <c r="F3722" s="513" t="s">
        <v>1514</v>
      </c>
      <c r="G3722" s="200" t="s">
        <v>1209</v>
      </c>
      <c r="H3722" s="201"/>
      <c r="I3722" s="201"/>
      <c r="J3722" s="197" t="s">
        <v>54</v>
      </c>
      <c r="K3722" s="202">
        <v>10</v>
      </c>
      <c r="L3722" s="202"/>
      <c r="M3722" s="251"/>
      <c r="N3722" s="251"/>
      <c r="O3722" s="251"/>
    </row>
    <row r="3723" spans="1:15" ht="11.25" customHeight="1" x14ac:dyDescent="0.2">
      <c r="A3723" s="191">
        <v>2024</v>
      </c>
      <c r="B3723" s="191">
        <v>3</v>
      </c>
      <c r="C3723" s="191">
        <v>28</v>
      </c>
      <c r="D3723" s="192">
        <f t="shared" si="296"/>
        <v>45379</v>
      </c>
      <c r="E3723" s="291">
        <f t="shared" si="303"/>
        <v>45379</v>
      </c>
      <c r="F3723" s="514"/>
      <c r="G3723" s="194" t="s">
        <v>1209</v>
      </c>
      <c r="H3723" s="195"/>
      <c r="I3723" s="195"/>
      <c r="J3723" s="191" t="s">
        <v>46</v>
      </c>
      <c r="K3723" s="196"/>
      <c r="L3723" s="196">
        <v>10</v>
      </c>
      <c r="M3723" s="251"/>
      <c r="N3723" s="251"/>
      <c r="O3723" s="251"/>
    </row>
    <row r="3724" spans="1:15" ht="11.25" customHeight="1" x14ac:dyDescent="0.2">
      <c r="A3724" s="197">
        <v>2024</v>
      </c>
      <c r="B3724" s="197">
        <v>3</v>
      </c>
      <c r="C3724" s="197">
        <v>28</v>
      </c>
      <c r="D3724" s="198">
        <f t="shared" si="296"/>
        <v>45379</v>
      </c>
      <c r="E3724" s="209">
        <f t="shared" ref="E3724:E3726" si="304">DATE(A3724,B3724,C3724)</f>
        <v>45379</v>
      </c>
      <c r="F3724" s="513" t="s">
        <v>1210</v>
      </c>
      <c r="G3724" s="200" t="s">
        <v>1209</v>
      </c>
      <c r="H3724" s="201"/>
      <c r="I3724" s="201" t="s">
        <v>355</v>
      </c>
      <c r="J3724" s="197" t="s">
        <v>46</v>
      </c>
      <c r="K3724" s="202">
        <v>125000</v>
      </c>
      <c r="L3724" s="202"/>
    </row>
    <row r="3725" spans="1:15" ht="11.25" customHeight="1" x14ac:dyDescent="0.2">
      <c r="A3725" s="120">
        <v>2024</v>
      </c>
      <c r="B3725" s="120">
        <v>3</v>
      </c>
      <c r="C3725" s="120">
        <v>28</v>
      </c>
      <c r="D3725" s="208">
        <f t="shared" si="296"/>
        <v>45379</v>
      </c>
      <c r="E3725" s="209">
        <f t="shared" si="304"/>
        <v>45379</v>
      </c>
      <c r="F3725" s="515"/>
      <c r="G3725" s="132" t="s">
        <v>1209</v>
      </c>
      <c r="I3725" s="128" t="s">
        <v>355</v>
      </c>
      <c r="J3725" s="120" t="s">
        <v>16</v>
      </c>
      <c r="K3725" s="207"/>
      <c r="L3725" s="207">
        <v>114860</v>
      </c>
    </row>
    <row r="3726" spans="1:15" ht="12" customHeight="1" x14ac:dyDescent="0.2">
      <c r="A3726" s="191">
        <v>2024</v>
      </c>
      <c r="B3726" s="191">
        <v>3</v>
      </c>
      <c r="C3726" s="191">
        <v>28</v>
      </c>
      <c r="D3726" s="192">
        <f t="shared" si="296"/>
        <v>45379</v>
      </c>
      <c r="E3726" s="193">
        <f t="shared" si="304"/>
        <v>45379</v>
      </c>
      <c r="F3726" s="514"/>
      <c r="G3726" s="194" t="s">
        <v>1209</v>
      </c>
      <c r="H3726" s="195"/>
      <c r="I3726" s="195" t="s">
        <v>355</v>
      </c>
      <c r="J3726" s="191" t="s">
        <v>47</v>
      </c>
      <c r="K3726" s="196"/>
      <c r="L3726" s="196">
        <v>10140</v>
      </c>
    </row>
    <row r="3727" spans="1:15" ht="11.25" customHeight="1" x14ac:dyDescent="0.2">
      <c r="A3727" s="210">
        <v>2024</v>
      </c>
      <c r="B3727" s="210">
        <v>3</v>
      </c>
      <c r="C3727" s="210">
        <v>28</v>
      </c>
      <c r="D3727" s="211">
        <f t="shared" si="296"/>
        <v>45379</v>
      </c>
      <c r="E3727" s="238">
        <f t="shared" si="302"/>
        <v>45379</v>
      </c>
      <c r="F3727" s="520" t="s">
        <v>1278</v>
      </c>
      <c r="G3727" s="213" t="s">
        <v>1245</v>
      </c>
      <c r="H3727" s="214"/>
      <c r="I3727" s="214" t="s">
        <v>1253</v>
      </c>
      <c r="J3727" s="210" t="s">
        <v>1529</v>
      </c>
      <c r="K3727" s="215">
        <v>7491.85</v>
      </c>
      <c r="L3727" s="215"/>
    </row>
    <row r="3728" spans="1:15" ht="11.25" customHeight="1" x14ac:dyDescent="0.2">
      <c r="A3728" s="216">
        <v>2024</v>
      </c>
      <c r="B3728" s="216">
        <v>3</v>
      </c>
      <c r="C3728" s="216">
        <v>28</v>
      </c>
      <c r="D3728" s="217">
        <f t="shared" si="296"/>
        <v>45379</v>
      </c>
      <c r="E3728" s="239">
        <f t="shared" si="302"/>
        <v>45379</v>
      </c>
      <c r="F3728" s="521"/>
      <c r="G3728" s="219" t="s">
        <v>1245</v>
      </c>
      <c r="H3728" s="220"/>
      <c r="I3728" s="220" t="s">
        <v>1253</v>
      </c>
      <c r="J3728" s="216" t="s">
        <v>1581</v>
      </c>
      <c r="K3728" s="221"/>
      <c r="L3728" s="221">
        <v>7491.85</v>
      </c>
    </row>
    <row r="3729" spans="1:13" ht="11.25" customHeight="1" x14ac:dyDescent="0.2">
      <c r="A3729" s="210">
        <v>2024</v>
      </c>
      <c r="B3729" s="210">
        <v>3</v>
      </c>
      <c r="C3729" s="210">
        <v>28</v>
      </c>
      <c r="D3729" s="211">
        <f t="shared" si="296"/>
        <v>45379</v>
      </c>
      <c r="E3729" s="238">
        <f t="shared" si="302"/>
        <v>45379</v>
      </c>
      <c r="F3729" s="520" t="s">
        <v>1285</v>
      </c>
      <c r="G3729" s="213" t="s">
        <v>1245</v>
      </c>
      <c r="H3729" s="214"/>
      <c r="I3729" s="214" t="s">
        <v>1253</v>
      </c>
      <c r="J3729" s="210" t="s">
        <v>1284</v>
      </c>
      <c r="K3729" s="215">
        <v>10290.504807692309</v>
      </c>
      <c r="L3729" s="215"/>
    </row>
    <row r="3730" spans="1:13" ht="11.25" customHeight="1" x14ac:dyDescent="0.2">
      <c r="A3730" s="242">
        <v>2024</v>
      </c>
      <c r="B3730" s="242">
        <v>3</v>
      </c>
      <c r="C3730" s="242">
        <v>28</v>
      </c>
      <c r="D3730" s="243">
        <f t="shared" si="296"/>
        <v>45379</v>
      </c>
      <c r="E3730" s="244">
        <f>DATE(A3730,B3730,C3730)</f>
        <v>45379</v>
      </c>
      <c r="F3730" s="524"/>
      <c r="G3730" s="245" t="s">
        <v>1245</v>
      </c>
      <c r="H3730" s="246"/>
      <c r="I3730" s="246"/>
      <c r="J3730" s="242" t="s">
        <v>1582</v>
      </c>
      <c r="K3730" s="247"/>
      <c r="L3730" s="247">
        <v>10290.504807692309</v>
      </c>
    </row>
    <row r="3731" spans="1:13" ht="11.25" customHeight="1" x14ac:dyDescent="0.2">
      <c r="A3731" s="210">
        <v>2024</v>
      </c>
      <c r="B3731" s="210">
        <v>3</v>
      </c>
      <c r="C3731" s="210">
        <v>28</v>
      </c>
      <c r="D3731" s="211">
        <f t="shared" si="296"/>
        <v>45379</v>
      </c>
      <c r="E3731" s="238">
        <f t="shared" ref="E3731:E3767" si="305">DATE(A3731,B3731,C3731)</f>
        <v>45379</v>
      </c>
      <c r="F3731" s="520" t="s">
        <v>1259</v>
      </c>
      <c r="G3731" s="213" t="s">
        <v>1245</v>
      </c>
      <c r="H3731" s="214"/>
      <c r="I3731" s="214" t="s">
        <v>1253</v>
      </c>
      <c r="J3731" s="210" t="s">
        <v>58</v>
      </c>
      <c r="K3731" s="215">
        <v>41507.519999999997</v>
      </c>
      <c r="L3731" s="215"/>
    </row>
    <row r="3732" spans="1:13" ht="11.25" customHeight="1" x14ac:dyDescent="0.2">
      <c r="A3732" s="216">
        <v>2024</v>
      </c>
      <c r="B3732" s="216">
        <v>3</v>
      </c>
      <c r="C3732" s="216">
        <v>28</v>
      </c>
      <c r="D3732" s="217">
        <f t="shared" ref="D3732:D3793" si="306">DATE(A3732,B3732,C3732)</f>
        <v>45379</v>
      </c>
      <c r="E3732" s="239">
        <f t="shared" si="305"/>
        <v>45379</v>
      </c>
      <c r="F3732" s="521"/>
      <c r="G3732" s="219" t="s">
        <v>1245</v>
      </c>
      <c r="H3732" s="220"/>
      <c r="I3732" s="220" t="s">
        <v>1253</v>
      </c>
      <c r="J3732" s="216" t="s">
        <v>153</v>
      </c>
      <c r="K3732" s="221"/>
      <c r="L3732" s="221">
        <v>41507.519999999997</v>
      </c>
    </row>
    <row r="3733" spans="1:13" ht="11.25" customHeight="1" x14ac:dyDescent="0.2">
      <c r="A3733" s="312">
        <v>2024</v>
      </c>
      <c r="B3733" s="312">
        <v>3</v>
      </c>
      <c r="C3733" s="312">
        <v>28</v>
      </c>
      <c r="D3733" s="313">
        <f t="shared" si="306"/>
        <v>45379</v>
      </c>
      <c r="E3733" s="314">
        <f t="shared" si="305"/>
        <v>45379</v>
      </c>
      <c r="F3733" s="522" t="s">
        <v>1477</v>
      </c>
      <c r="G3733" s="315" t="s">
        <v>1245</v>
      </c>
      <c r="H3733" s="316"/>
      <c r="I3733" s="316" t="s">
        <v>1253</v>
      </c>
      <c r="J3733" s="312" t="s">
        <v>1458</v>
      </c>
      <c r="K3733" s="317">
        <v>367061.19999998808</v>
      </c>
      <c r="L3733" s="317"/>
    </row>
    <row r="3734" spans="1:13" ht="11.25" customHeight="1" x14ac:dyDescent="0.2">
      <c r="A3734" s="318">
        <v>2024</v>
      </c>
      <c r="B3734" s="318">
        <v>3</v>
      </c>
      <c r="C3734" s="318">
        <v>28</v>
      </c>
      <c r="D3734" s="319">
        <f t="shared" si="306"/>
        <v>45379</v>
      </c>
      <c r="E3734" s="320">
        <f t="shared" si="305"/>
        <v>45379</v>
      </c>
      <c r="F3734" s="523"/>
      <c r="G3734" s="321" t="s">
        <v>1245</v>
      </c>
      <c r="H3734" s="322"/>
      <c r="I3734" s="322" t="s">
        <v>1253</v>
      </c>
      <c r="J3734" s="318" t="s">
        <v>1460</v>
      </c>
      <c r="K3734" s="323"/>
      <c r="L3734" s="323">
        <v>367061.19999998808</v>
      </c>
    </row>
    <row r="3735" spans="1:13" ht="11.25" customHeight="1" x14ac:dyDescent="0.2">
      <c r="A3735" s="312">
        <v>2024</v>
      </c>
      <c r="B3735" s="312">
        <v>3</v>
      </c>
      <c r="C3735" s="312">
        <v>28</v>
      </c>
      <c r="D3735" s="313">
        <f t="shared" si="306"/>
        <v>45379</v>
      </c>
      <c r="E3735" s="314">
        <f t="shared" si="305"/>
        <v>45379</v>
      </c>
      <c r="F3735" s="522" t="s">
        <v>1595</v>
      </c>
      <c r="G3735" s="315" t="s">
        <v>1245</v>
      </c>
      <c r="H3735" s="316"/>
      <c r="I3735" s="316" t="s">
        <v>1253</v>
      </c>
      <c r="J3735" s="312" t="s">
        <v>1461</v>
      </c>
      <c r="K3735" s="317">
        <v>52711.52499999851</v>
      </c>
      <c r="L3735" s="317"/>
    </row>
    <row r="3736" spans="1:13" ht="11.25" customHeight="1" x14ac:dyDescent="0.2">
      <c r="A3736" s="318">
        <v>2024</v>
      </c>
      <c r="B3736" s="318">
        <v>3</v>
      </c>
      <c r="C3736" s="318">
        <v>28</v>
      </c>
      <c r="D3736" s="319">
        <f t="shared" si="306"/>
        <v>45379</v>
      </c>
      <c r="E3736" s="320">
        <f t="shared" si="305"/>
        <v>45379</v>
      </c>
      <c r="F3736" s="523"/>
      <c r="G3736" s="321" t="s">
        <v>1245</v>
      </c>
      <c r="H3736" s="322"/>
      <c r="I3736" s="322" t="s">
        <v>1253</v>
      </c>
      <c r="J3736" s="318" t="s">
        <v>1459</v>
      </c>
      <c r="K3736" s="323"/>
      <c r="L3736" s="323">
        <v>52711.52499999851</v>
      </c>
    </row>
    <row r="3737" spans="1:13" ht="11.25" customHeight="1" x14ac:dyDescent="0.2">
      <c r="A3737" s="222">
        <v>2024</v>
      </c>
      <c r="B3737" s="222">
        <v>3</v>
      </c>
      <c r="C3737" s="222">
        <v>28</v>
      </c>
      <c r="D3737" s="223">
        <f t="shared" si="306"/>
        <v>45379</v>
      </c>
      <c r="E3737" s="240">
        <f t="shared" si="305"/>
        <v>45379</v>
      </c>
      <c r="F3737" s="511" t="s">
        <v>1244</v>
      </c>
      <c r="G3737" s="225" t="s">
        <v>1245</v>
      </c>
      <c r="H3737" s="226"/>
      <c r="I3737" s="226" t="s">
        <v>1253</v>
      </c>
      <c r="J3737" s="222" t="s">
        <v>87</v>
      </c>
      <c r="K3737" s="227">
        <v>89365.739999998361</v>
      </c>
      <c r="L3737" s="227"/>
    </row>
    <row r="3738" spans="1:13" ht="11.25" customHeight="1" x14ac:dyDescent="0.2">
      <c r="A3738" s="228">
        <v>2024</v>
      </c>
      <c r="B3738" s="228">
        <v>3</v>
      </c>
      <c r="C3738" s="228">
        <v>28</v>
      </c>
      <c r="D3738" s="229">
        <f t="shared" si="306"/>
        <v>45379</v>
      </c>
      <c r="E3738" s="241">
        <f t="shared" si="305"/>
        <v>45379</v>
      </c>
      <c r="F3738" s="512"/>
      <c r="G3738" s="231" t="s">
        <v>1245</v>
      </c>
      <c r="H3738" s="232"/>
      <c r="I3738" s="232" t="s">
        <v>1253</v>
      </c>
      <c r="J3738" s="228" t="s">
        <v>72</v>
      </c>
      <c r="K3738" s="233"/>
      <c r="L3738" s="233">
        <v>89365.739999998361</v>
      </c>
    </row>
    <row r="3739" spans="1:13" ht="11.25" customHeight="1" x14ac:dyDescent="0.2">
      <c r="A3739" s="222">
        <v>2024</v>
      </c>
      <c r="B3739" s="222">
        <v>3</v>
      </c>
      <c r="C3739" s="222">
        <v>28</v>
      </c>
      <c r="D3739" s="223">
        <f t="shared" si="306"/>
        <v>45379</v>
      </c>
      <c r="E3739" s="240">
        <f t="shared" si="305"/>
        <v>45379</v>
      </c>
      <c r="F3739" s="511" t="s">
        <v>1246</v>
      </c>
      <c r="G3739" s="225" t="s">
        <v>1245</v>
      </c>
      <c r="H3739" s="226"/>
      <c r="I3739" s="226" t="s">
        <v>1253</v>
      </c>
      <c r="J3739" s="222" t="s">
        <v>75</v>
      </c>
      <c r="K3739" s="227">
        <v>3623.123846153846</v>
      </c>
      <c r="L3739" s="227"/>
    </row>
    <row r="3740" spans="1:13" ht="11.25" customHeight="1" x14ac:dyDescent="0.2">
      <c r="A3740" s="228">
        <v>2024</v>
      </c>
      <c r="B3740" s="228">
        <v>3</v>
      </c>
      <c r="C3740" s="228">
        <v>28</v>
      </c>
      <c r="D3740" s="229">
        <f t="shared" si="306"/>
        <v>45379</v>
      </c>
      <c r="E3740" s="241">
        <f t="shared" si="305"/>
        <v>45379</v>
      </c>
      <c r="F3740" s="512"/>
      <c r="G3740" s="231" t="s">
        <v>1245</v>
      </c>
      <c r="H3740" s="232"/>
      <c r="I3740" s="232" t="s">
        <v>1253</v>
      </c>
      <c r="J3740" s="228" t="s">
        <v>55</v>
      </c>
      <c r="K3740" s="233"/>
      <c r="L3740" s="233">
        <v>3623.123846153846</v>
      </c>
    </row>
    <row r="3741" spans="1:13" ht="11.25" customHeight="1" x14ac:dyDescent="0.2">
      <c r="A3741" s="222">
        <v>2024</v>
      </c>
      <c r="B3741" s="222">
        <v>3</v>
      </c>
      <c r="C3741" s="222">
        <v>28</v>
      </c>
      <c r="D3741" s="223">
        <f t="shared" si="306"/>
        <v>45379</v>
      </c>
      <c r="E3741" s="240">
        <f t="shared" si="305"/>
        <v>45379</v>
      </c>
      <c r="F3741" s="511" t="s">
        <v>1247</v>
      </c>
      <c r="G3741" s="225" t="s">
        <v>1245</v>
      </c>
      <c r="H3741" s="226"/>
      <c r="I3741" s="226" t="s">
        <v>1253</v>
      </c>
      <c r="J3741" s="222" t="s">
        <v>77</v>
      </c>
      <c r="K3741" s="227">
        <f>M3741</f>
        <v>22928.526528524799</v>
      </c>
      <c r="L3741" s="227"/>
      <c r="M3741" s="120">
        <v>22928.526528524799</v>
      </c>
    </row>
    <row r="3742" spans="1:13" ht="11.25" customHeight="1" x14ac:dyDescent="0.2">
      <c r="A3742" s="228">
        <v>2024</v>
      </c>
      <c r="B3742" s="228">
        <v>3</v>
      </c>
      <c r="C3742" s="228">
        <v>28</v>
      </c>
      <c r="D3742" s="229">
        <f t="shared" si="306"/>
        <v>45379</v>
      </c>
      <c r="E3742" s="241">
        <f t="shared" si="305"/>
        <v>45379</v>
      </c>
      <c r="F3742" s="512"/>
      <c r="G3742" s="231" t="s">
        <v>1245</v>
      </c>
      <c r="H3742" s="232"/>
      <c r="I3742" s="232" t="s">
        <v>1253</v>
      </c>
      <c r="J3742" s="228" t="s">
        <v>41</v>
      </c>
      <c r="K3742" s="233"/>
      <c r="L3742" s="233">
        <f>K3741</f>
        <v>22928.526528524799</v>
      </c>
      <c r="M3742" s="120">
        <v>2292.8526528524799</v>
      </c>
    </row>
    <row r="3743" spans="1:13" ht="11.25" customHeight="1" x14ac:dyDescent="0.2">
      <c r="A3743" s="222">
        <v>2024</v>
      </c>
      <c r="B3743" s="222">
        <v>3</v>
      </c>
      <c r="C3743" s="222">
        <v>28</v>
      </c>
      <c r="D3743" s="223">
        <f t="shared" si="306"/>
        <v>45379</v>
      </c>
      <c r="E3743" s="240">
        <f t="shared" si="305"/>
        <v>45379</v>
      </c>
      <c r="F3743" s="511" t="s">
        <v>1248</v>
      </c>
      <c r="G3743" s="225" t="s">
        <v>1245</v>
      </c>
      <c r="H3743" s="226"/>
      <c r="I3743" s="226" t="s">
        <v>1253</v>
      </c>
      <c r="J3743" s="222" t="s">
        <v>80</v>
      </c>
      <c r="K3743" s="227">
        <f>M3742</f>
        <v>2292.8526528524799</v>
      </c>
      <c r="L3743" s="227"/>
    </row>
    <row r="3744" spans="1:13" ht="11.25" customHeight="1" x14ac:dyDescent="0.2">
      <c r="A3744" s="228">
        <v>2024</v>
      </c>
      <c r="B3744" s="228">
        <v>3</v>
      </c>
      <c r="C3744" s="228">
        <v>28</v>
      </c>
      <c r="D3744" s="229">
        <f t="shared" si="306"/>
        <v>45379</v>
      </c>
      <c r="E3744" s="241">
        <f t="shared" si="305"/>
        <v>45379</v>
      </c>
      <c r="F3744" s="512"/>
      <c r="G3744" s="231" t="s">
        <v>1245</v>
      </c>
      <c r="H3744" s="232"/>
      <c r="I3744" s="232" t="s">
        <v>1253</v>
      </c>
      <c r="J3744" s="228" t="s">
        <v>42</v>
      </c>
      <c r="K3744" s="233"/>
      <c r="L3744" s="233">
        <f>K3743</f>
        <v>2292.8526528524799</v>
      </c>
    </row>
    <row r="3745" spans="1:15" ht="11.25" customHeight="1" x14ac:dyDescent="0.2">
      <c r="A3745" s="197">
        <v>2024</v>
      </c>
      <c r="B3745" s="197">
        <v>3</v>
      </c>
      <c r="C3745" s="197">
        <v>31</v>
      </c>
      <c r="D3745" s="198">
        <f t="shared" si="306"/>
        <v>45382</v>
      </c>
      <c r="E3745" s="209">
        <f t="shared" si="305"/>
        <v>45382</v>
      </c>
      <c r="F3745" s="513" t="s">
        <v>1210</v>
      </c>
      <c r="G3745" s="200" t="s">
        <v>1209</v>
      </c>
      <c r="H3745" s="201"/>
      <c r="I3745" s="201" t="s">
        <v>1491</v>
      </c>
      <c r="J3745" s="197" t="s">
        <v>46</v>
      </c>
      <c r="K3745" s="202">
        <v>2000</v>
      </c>
      <c r="L3745" s="202"/>
    </row>
    <row r="3746" spans="1:15" ht="11.25" customHeight="1" x14ac:dyDescent="0.2">
      <c r="A3746" s="120">
        <v>2024</v>
      </c>
      <c r="B3746" s="120">
        <v>3</v>
      </c>
      <c r="C3746" s="120">
        <v>31</v>
      </c>
      <c r="D3746" s="208">
        <f t="shared" si="306"/>
        <v>45382</v>
      </c>
      <c r="E3746" s="209">
        <f t="shared" si="305"/>
        <v>45382</v>
      </c>
      <c r="F3746" s="515"/>
      <c r="G3746" s="132" t="s">
        <v>1209</v>
      </c>
      <c r="I3746" s="128" t="s">
        <v>1491</v>
      </c>
      <c r="J3746" s="120" t="s">
        <v>16</v>
      </c>
      <c r="K3746" s="207"/>
      <c r="L3746" s="207">
        <v>1830</v>
      </c>
    </row>
    <row r="3747" spans="1:15" ht="12" customHeight="1" x14ac:dyDescent="0.2">
      <c r="A3747" s="191">
        <v>2024</v>
      </c>
      <c r="B3747" s="191">
        <v>3</v>
      </c>
      <c r="C3747" s="191">
        <v>31</v>
      </c>
      <c r="D3747" s="192">
        <f t="shared" si="306"/>
        <v>45382</v>
      </c>
      <c r="E3747" s="193">
        <f t="shared" si="305"/>
        <v>45382</v>
      </c>
      <c r="F3747" s="514"/>
      <c r="G3747" s="194" t="s">
        <v>1209</v>
      </c>
      <c r="H3747" s="195"/>
      <c r="I3747" s="195" t="s">
        <v>1491</v>
      </c>
      <c r="J3747" s="191" t="s">
        <v>47</v>
      </c>
      <c r="K3747" s="196"/>
      <c r="L3747" s="196">
        <v>170</v>
      </c>
    </row>
    <row r="3748" spans="1:15" ht="11.25" customHeight="1" x14ac:dyDescent="0.2">
      <c r="A3748" s="197">
        <v>2024</v>
      </c>
      <c r="B3748" s="197">
        <v>3</v>
      </c>
      <c r="C3748" s="197">
        <v>31</v>
      </c>
      <c r="D3748" s="198">
        <f t="shared" si="306"/>
        <v>45382</v>
      </c>
      <c r="E3748" s="209">
        <f t="shared" si="305"/>
        <v>45382</v>
      </c>
      <c r="F3748" s="513" t="s">
        <v>1280</v>
      </c>
      <c r="G3748" s="200" t="s">
        <v>1209</v>
      </c>
      <c r="H3748" s="201"/>
      <c r="I3748" s="201" t="s">
        <v>1242</v>
      </c>
      <c r="J3748" s="197" t="s">
        <v>16</v>
      </c>
      <c r="K3748" s="202">
        <v>183400</v>
      </c>
      <c r="L3748" s="202"/>
    </row>
    <row r="3749" spans="1:15" ht="11.25" customHeight="1" x14ac:dyDescent="0.2">
      <c r="A3749" s="120">
        <v>2024</v>
      </c>
      <c r="B3749" s="120">
        <v>3</v>
      </c>
      <c r="C3749" s="120">
        <v>31</v>
      </c>
      <c r="D3749" s="208">
        <f t="shared" si="306"/>
        <v>45382</v>
      </c>
      <c r="E3749" s="209">
        <f t="shared" si="305"/>
        <v>45382</v>
      </c>
      <c r="F3749" s="515"/>
      <c r="G3749" s="132" t="s">
        <v>1209</v>
      </c>
      <c r="I3749" s="128" t="s">
        <v>1242</v>
      </c>
      <c r="J3749" s="120" t="s">
        <v>47</v>
      </c>
      <c r="K3749" s="207">
        <v>16600</v>
      </c>
      <c r="L3749" s="207"/>
    </row>
    <row r="3750" spans="1:15" ht="11.25" customHeight="1" x14ac:dyDescent="0.2">
      <c r="A3750" s="191">
        <v>2024</v>
      </c>
      <c r="B3750" s="191">
        <v>3</v>
      </c>
      <c r="C3750" s="191">
        <v>31</v>
      </c>
      <c r="D3750" s="192">
        <f t="shared" si="306"/>
        <v>45382</v>
      </c>
      <c r="E3750" s="193">
        <f t="shared" si="305"/>
        <v>45382</v>
      </c>
      <c r="F3750" s="514"/>
      <c r="G3750" s="194" t="s">
        <v>1209</v>
      </c>
      <c r="H3750" s="195"/>
      <c r="I3750" s="195" t="s">
        <v>1242</v>
      </c>
      <c r="J3750" s="191" t="s">
        <v>46</v>
      </c>
      <c r="K3750" s="196"/>
      <c r="L3750" s="196">
        <v>200000</v>
      </c>
    </row>
    <row r="3751" spans="1:15" ht="11.25" customHeight="1" x14ac:dyDescent="0.2">
      <c r="A3751" s="197">
        <v>2024</v>
      </c>
      <c r="B3751" s="197">
        <v>3</v>
      </c>
      <c r="C3751" s="197">
        <v>31</v>
      </c>
      <c r="D3751" s="198">
        <f t="shared" si="306"/>
        <v>45382</v>
      </c>
      <c r="E3751" s="209">
        <f t="shared" ref="E3751:E3753" si="307">DATE(A3751,B3751,C3751)</f>
        <v>45382</v>
      </c>
      <c r="F3751" s="513" t="s">
        <v>1423</v>
      </c>
      <c r="G3751" s="200" t="s">
        <v>1209</v>
      </c>
      <c r="H3751" s="201"/>
      <c r="I3751" s="201" t="s">
        <v>1353</v>
      </c>
      <c r="J3751" s="197" t="s">
        <v>16</v>
      </c>
      <c r="K3751" s="202">
        <v>27570</v>
      </c>
      <c r="L3751" s="202"/>
    </row>
    <row r="3752" spans="1:15" ht="11.25" customHeight="1" x14ac:dyDescent="0.2">
      <c r="A3752" s="120">
        <v>2024</v>
      </c>
      <c r="B3752" s="120">
        <v>3</v>
      </c>
      <c r="C3752" s="120">
        <v>31</v>
      </c>
      <c r="D3752" s="208">
        <f t="shared" si="306"/>
        <v>45382</v>
      </c>
      <c r="E3752" s="209">
        <f t="shared" si="307"/>
        <v>45382</v>
      </c>
      <c r="F3752" s="515"/>
      <c r="G3752" s="132" t="s">
        <v>1209</v>
      </c>
      <c r="I3752" s="128" t="s">
        <v>1353</v>
      </c>
      <c r="J3752" s="120" t="s">
        <v>47</v>
      </c>
      <c r="K3752" s="207">
        <v>2430</v>
      </c>
      <c r="L3752" s="207"/>
    </row>
    <row r="3753" spans="1:15" ht="11.25" customHeight="1" x14ac:dyDescent="0.2">
      <c r="A3753" s="191">
        <v>2024</v>
      </c>
      <c r="B3753" s="191">
        <v>3</v>
      </c>
      <c r="C3753" s="191">
        <v>31</v>
      </c>
      <c r="D3753" s="192">
        <f t="shared" si="306"/>
        <v>45382</v>
      </c>
      <c r="E3753" s="193">
        <f t="shared" si="307"/>
        <v>45382</v>
      </c>
      <c r="F3753" s="514"/>
      <c r="G3753" s="194" t="s">
        <v>1209</v>
      </c>
      <c r="H3753" s="195"/>
      <c r="I3753" s="195" t="s">
        <v>1353</v>
      </c>
      <c r="J3753" s="191" t="s">
        <v>46</v>
      </c>
      <c r="K3753" s="196"/>
      <c r="L3753" s="196">
        <v>30000</v>
      </c>
    </row>
    <row r="3754" spans="1:15" ht="11.25" customHeight="1" x14ac:dyDescent="0.2">
      <c r="A3754" s="197">
        <v>2024</v>
      </c>
      <c r="B3754" s="120">
        <v>4</v>
      </c>
      <c r="C3754" s="120">
        <v>1</v>
      </c>
      <c r="D3754" s="198">
        <f t="shared" si="306"/>
        <v>45383</v>
      </c>
      <c r="E3754" s="199">
        <f>DATE(A3754,B3754,C3754)</f>
        <v>45383</v>
      </c>
      <c r="F3754" s="513" t="s">
        <v>1390</v>
      </c>
      <c r="G3754" s="200" t="s">
        <v>1209</v>
      </c>
      <c r="H3754" s="200"/>
      <c r="I3754" s="201" t="s">
        <v>1253</v>
      </c>
      <c r="J3754" s="197" t="s">
        <v>178</v>
      </c>
      <c r="K3754" s="202">
        <v>123818.33</v>
      </c>
      <c r="L3754" s="202"/>
    </row>
    <row r="3755" spans="1:15" ht="11.25" customHeight="1" x14ac:dyDescent="0.2">
      <c r="A3755" s="120">
        <v>2024</v>
      </c>
      <c r="B3755" s="120">
        <v>4</v>
      </c>
      <c r="C3755" s="120">
        <v>1</v>
      </c>
      <c r="D3755" s="208">
        <f t="shared" si="306"/>
        <v>45383</v>
      </c>
      <c r="E3755" s="209">
        <f>DATE(A3755,B3755,C3755)</f>
        <v>45383</v>
      </c>
      <c r="F3755" s="515"/>
      <c r="G3755" s="132" t="s">
        <v>1209</v>
      </c>
      <c r="H3755" s="132"/>
      <c r="J3755" s="120" t="s">
        <v>71</v>
      </c>
      <c r="K3755" s="207">
        <v>223.27</v>
      </c>
      <c r="L3755" s="207"/>
    </row>
    <row r="3756" spans="1:15" ht="11.25" customHeight="1" x14ac:dyDescent="0.2">
      <c r="A3756" s="120">
        <v>2024</v>
      </c>
      <c r="B3756" s="120">
        <v>4</v>
      </c>
      <c r="C3756" s="120">
        <v>1</v>
      </c>
      <c r="D3756" s="208">
        <f t="shared" si="306"/>
        <v>45383</v>
      </c>
      <c r="E3756" s="209">
        <f>DATE(A3756,B3756,C3756)</f>
        <v>45383</v>
      </c>
      <c r="F3756" s="515"/>
      <c r="G3756" s="132" t="s">
        <v>1209</v>
      </c>
      <c r="H3756" s="132"/>
      <c r="I3756" s="128" t="s">
        <v>1253</v>
      </c>
      <c r="J3756" s="120" t="s">
        <v>179</v>
      </c>
      <c r="K3756" s="207"/>
      <c r="L3756" s="207">
        <v>89001.600000000006</v>
      </c>
    </row>
    <row r="3757" spans="1:15" ht="11.25" customHeight="1" x14ac:dyDescent="0.2">
      <c r="A3757" s="191">
        <v>2024</v>
      </c>
      <c r="B3757" s="191">
        <v>4</v>
      </c>
      <c r="C3757" s="191">
        <v>1</v>
      </c>
      <c r="D3757" s="192">
        <f t="shared" si="306"/>
        <v>45383</v>
      </c>
      <c r="E3757" s="193">
        <f>DATE(A3757,B3757,C3757)</f>
        <v>45383</v>
      </c>
      <c r="F3757" s="514"/>
      <c r="G3757" s="194" t="s">
        <v>1209</v>
      </c>
      <c r="H3757" s="194"/>
      <c r="I3757" s="195"/>
      <c r="J3757" s="191" t="s">
        <v>70</v>
      </c>
      <c r="K3757" s="196"/>
      <c r="L3757" s="196">
        <v>35040</v>
      </c>
      <c r="M3757" s="251"/>
    </row>
    <row r="3758" spans="1:15" ht="11.25" customHeight="1" x14ac:dyDescent="0.2">
      <c r="A3758" s="197">
        <v>2024</v>
      </c>
      <c r="B3758" s="197">
        <v>4</v>
      </c>
      <c r="C3758" s="197">
        <v>2</v>
      </c>
      <c r="D3758" s="198">
        <f t="shared" si="306"/>
        <v>45384</v>
      </c>
      <c r="E3758" s="290">
        <f t="shared" si="305"/>
        <v>45384</v>
      </c>
      <c r="F3758" s="513" t="s">
        <v>1514</v>
      </c>
      <c r="G3758" s="200" t="s">
        <v>1209</v>
      </c>
      <c r="H3758" s="201"/>
      <c r="I3758" s="201"/>
      <c r="J3758" s="197" t="s">
        <v>457</v>
      </c>
      <c r="K3758" s="202">
        <v>2800.39</v>
      </c>
      <c r="L3758" s="202"/>
      <c r="M3758" s="251"/>
      <c r="N3758" s="251"/>
      <c r="O3758" s="251"/>
    </row>
    <row r="3759" spans="1:15" ht="11.25" customHeight="1" x14ac:dyDescent="0.2">
      <c r="A3759" s="191">
        <v>2024</v>
      </c>
      <c r="B3759" s="191">
        <v>4</v>
      </c>
      <c r="C3759" s="191">
        <v>2</v>
      </c>
      <c r="D3759" s="192">
        <f t="shared" si="306"/>
        <v>45384</v>
      </c>
      <c r="E3759" s="291">
        <f t="shared" si="305"/>
        <v>45384</v>
      </c>
      <c r="F3759" s="514"/>
      <c r="G3759" s="194" t="s">
        <v>1209</v>
      </c>
      <c r="H3759" s="195"/>
      <c r="I3759" s="195"/>
      <c r="J3759" s="191" t="s">
        <v>46</v>
      </c>
      <c r="K3759" s="196"/>
      <c r="L3759" s="196">
        <v>2800.39</v>
      </c>
      <c r="M3759" s="251"/>
      <c r="N3759" s="251"/>
      <c r="O3759" s="251"/>
    </row>
    <row r="3760" spans="1:15" ht="11.25" customHeight="1" x14ac:dyDescent="0.2">
      <c r="A3760" s="197">
        <v>2024</v>
      </c>
      <c r="B3760" s="197">
        <v>4</v>
      </c>
      <c r="C3760" s="197">
        <v>2</v>
      </c>
      <c r="D3760" s="198">
        <f t="shared" si="306"/>
        <v>45384</v>
      </c>
      <c r="E3760" s="209">
        <f t="shared" ref="E3760:E3765" si="308">DATE(A3760,B3760,C3760)</f>
        <v>45384</v>
      </c>
      <c r="F3760" s="513" t="s">
        <v>1280</v>
      </c>
      <c r="G3760" s="200" t="s">
        <v>1209</v>
      </c>
      <c r="H3760" s="201"/>
      <c r="I3760" s="201" t="s">
        <v>1215</v>
      </c>
      <c r="J3760" s="197" t="s">
        <v>16</v>
      </c>
      <c r="K3760" s="202">
        <v>500000</v>
      </c>
      <c r="L3760" s="202"/>
    </row>
    <row r="3761" spans="1:15" ht="11.25" customHeight="1" x14ac:dyDescent="0.2">
      <c r="A3761" s="120">
        <v>2024</v>
      </c>
      <c r="B3761" s="120">
        <v>4</v>
      </c>
      <c r="C3761" s="120">
        <v>2</v>
      </c>
      <c r="D3761" s="208">
        <f t="shared" si="306"/>
        <v>45384</v>
      </c>
      <c r="E3761" s="209">
        <f t="shared" si="308"/>
        <v>45384</v>
      </c>
      <c r="F3761" s="515"/>
      <c r="G3761" s="132" t="s">
        <v>1209</v>
      </c>
      <c r="I3761" s="128" t="s">
        <v>1215</v>
      </c>
      <c r="J3761" s="120" t="s">
        <v>47</v>
      </c>
      <c r="K3761" s="207">
        <v>45250</v>
      </c>
      <c r="L3761" s="207"/>
    </row>
    <row r="3762" spans="1:15" ht="11.25" customHeight="1" x14ac:dyDescent="0.2">
      <c r="A3762" s="191">
        <v>2024</v>
      </c>
      <c r="B3762" s="191">
        <v>4</v>
      </c>
      <c r="C3762" s="191">
        <v>2</v>
      </c>
      <c r="D3762" s="192">
        <f t="shared" si="306"/>
        <v>45384</v>
      </c>
      <c r="E3762" s="193">
        <f t="shared" si="308"/>
        <v>45384</v>
      </c>
      <c r="F3762" s="514"/>
      <c r="G3762" s="194" t="s">
        <v>1209</v>
      </c>
      <c r="H3762" s="195"/>
      <c r="I3762" s="195" t="s">
        <v>1215</v>
      </c>
      <c r="J3762" s="191" t="s">
        <v>46</v>
      </c>
      <c r="K3762" s="196"/>
      <c r="L3762" s="196">
        <v>545250</v>
      </c>
    </row>
    <row r="3763" spans="1:15" ht="11.25" customHeight="1" x14ac:dyDescent="0.2">
      <c r="A3763" s="197">
        <v>2024</v>
      </c>
      <c r="B3763" s="197">
        <v>4</v>
      </c>
      <c r="C3763" s="197">
        <v>2</v>
      </c>
      <c r="D3763" s="198">
        <f t="shared" si="306"/>
        <v>45384</v>
      </c>
      <c r="E3763" s="209">
        <f t="shared" si="308"/>
        <v>45384</v>
      </c>
      <c r="F3763" s="513" t="s">
        <v>1210</v>
      </c>
      <c r="G3763" s="200" t="s">
        <v>1209</v>
      </c>
      <c r="H3763" s="201"/>
      <c r="I3763" s="201" t="s">
        <v>1601</v>
      </c>
      <c r="J3763" s="197" t="s">
        <v>46</v>
      </c>
      <c r="K3763" s="202">
        <v>1200000</v>
      </c>
      <c r="L3763" s="202"/>
    </row>
    <row r="3764" spans="1:15" ht="11.25" customHeight="1" x14ac:dyDescent="0.2">
      <c r="A3764" s="120">
        <v>2024</v>
      </c>
      <c r="B3764" s="120">
        <v>4</v>
      </c>
      <c r="C3764" s="120">
        <v>2</v>
      </c>
      <c r="D3764" s="208">
        <f t="shared" si="306"/>
        <v>45384</v>
      </c>
      <c r="E3764" s="209">
        <f t="shared" si="308"/>
        <v>45384</v>
      </c>
      <c r="F3764" s="515"/>
      <c r="G3764" s="132" t="s">
        <v>1209</v>
      </c>
      <c r="I3764" s="128" t="s">
        <v>1601</v>
      </c>
      <c r="J3764" s="120" t="s">
        <v>16</v>
      </c>
      <c r="K3764" s="207"/>
      <c r="L3764" s="207">
        <v>1100410</v>
      </c>
    </row>
    <row r="3765" spans="1:15" ht="12" customHeight="1" x14ac:dyDescent="0.2">
      <c r="A3765" s="191">
        <v>2024</v>
      </c>
      <c r="B3765" s="191">
        <v>4</v>
      </c>
      <c r="C3765" s="191">
        <v>2</v>
      </c>
      <c r="D3765" s="192">
        <f t="shared" si="306"/>
        <v>45384</v>
      </c>
      <c r="E3765" s="193">
        <f t="shared" si="308"/>
        <v>45384</v>
      </c>
      <c r="F3765" s="514"/>
      <c r="G3765" s="194" t="s">
        <v>1209</v>
      </c>
      <c r="H3765" s="195"/>
      <c r="I3765" s="195" t="s">
        <v>1601</v>
      </c>
      <c r="J3765" s="191" t="s">
        <v>47</v>
      </c>
      <c r="K3765" s="196"/>
      <c r="L3765" s="196">
        <v>99590</v>
      </c>
    </row>
    <row r="3766" spans="1:15" ht="11.25" customHeight="1" x14ac:dyDescent="0.2">
      <c r="A3766" s="197">
        <v>2024</v>
      </c>
      <c r="B3766" s="197">
        <v>4</v>
      </c>
      <c r="C3766" s="197">
        <v>3</v>
      </c>
      <c r="D3766" s="198">
        <f t="shared" si="306"/>
        <v>45385</v>
      </c>
      <c r="E3766" s="199">
        <f t="shared" si="305"/>
        <v>45385</v>
      </c>
      <c r="F3766" s="513" t="s">
        <v>1600</v>
      </c>
      <c r="G3766" s="200" t="s">
        <v>1209</v>
      </c>
      <c r="H3766" s="201"/>
      <c r="I3766" s="201" t="s">
        <v>1253</v>
      </c>
      <c r="J3766" s="197" t="s">
        <v>1837</v>
      </c>
      <c r="K3766" s="202">
        <v>30000000</v>
      </c>
      <c r="L3766" s="202"/>
    </row>
    <row r="3767" spans="1:15" ht="11.25" customHeight="1" x14ac:dyDescent="0.2">
      <c r="A3767" s="191">
        <v>2024</v>
      </c>
      <c r="B3767" s="191">
        <v>4</v>
      </c>
      <c r="C3767" s="191">
        <v>3</v>
      </c>
      <c r="D3767" s="192">
        <f t="shared" si="306"/>
        <v>45385</v>
      </c>
      <c r="E3767" s="193">
        <f t="shared" si="305"/>
        <v>45385</v>
      </c>
      <c r="F3767" s="514"/>
      <c r="G3767" s="194" t="s">
        <v>1209</v>
      </c>
      <c r="H3767" s="195"/>
      <c r="I3767" s="195" t="s">
        <v>1253</v>
      </c>
      <c r="J3767" s="191" t="s">
        <v>46</v>
      </c>
      <c r="K3767" s="196"/>
      <c r="L3767" s="196">
        <v>30000000</v>
      </c>
      <c r="N3767" s="130"/>
    </row>
    <row r="3768" spans="1:15" ht="11.25" customHeight="1" x14ac:dyDescent="0.2">
      <c r="A3768" s="197">
        <v>2024</v>
      </c>
      <c r="B3768" s="197">
        <v>4</v>
      </c>
      <c r="C3768" s="197">
        <v>3</v>
      </c>
      <c r="D3768" s="198">
        <f t="shared" si="306"/>
        <v>45385</v>
      </c>
      <c r="E3768" s="199">
        <f t="shared" ref="E3768:E3783" si="309">DATE(A3768,B3768,C3768)</f>
        <v>45385</v>
      </c>
      <c r="F3768" s="513" t="s">
        <v>1600</v>
      </c>
      <c r="G3768" s="200" t="s">
        <v>1209</v>
      </c>
      <c r="H3768" s="201"/>
      <c r="I3768" s="201" t="s">
        <v>1253</v>
      </c>
      <c r="J3768" s="197" t="s">
        <v>1837</v>
      </c>
      <c r="K3768" s="202">
        <v>21012705.210000001</v>
      </c>
      <c r="L3768" s="202"/>
    </row>
    <row r="3769" spans="1:15" ht="11.25" customHeight="1" x14ac:dyDescent="0.2">
      <c r="A3769" s="191">
        <v>2024</v>
      </c>
      <c r="B3769" s="191">
        <v>4</v>
      </c>
      <c r="C3769" s="191">
        <v>3</v>
      </c>
      <c r="D3769" s="192">
        <f t="shared" si="306"/>
        <v>45385</v>
      </c>
      <c r="E3769" s="193">
        <f t="shared" si="309"/>
        <v>45385</v>
      </c>
      <c r="F3769" s="514"/>
      <c r="G3769" s="194" t="s">
        <v>1209</v>
      </c>
      <c r="H3769" s="195"/>
      <c r="I3769" s="195" t="s">
        <v>1253</v>
      </c>
      <c r="J3769" s="191" t="s">
        <v>46</v>
      </c>
      <c r="K3769" s="196"/>
      <c r="L3769" s="196">
        <v>21012705.210000001</v>
      </c>
      <c r="N3769" s="130"/>
    </row>
    <row r="3770" spans="1:15" ht="11.25" customHeight="1" x14ac:dyDescent="0.2">
      <c r="A3770" s="197">
        <v>2024</v>
      </c>
      <c r="B3770" s="197">
        <v>4</v>
      </c>
      <c r="C3770" s="197">
        <v>3</v>
      </c>
      <c r="D3770" s="198">
        <f t="shared" si="306"/>
        <v>45385</v>
      </c>
      <c r="E3770" s="209">
        <f t="shared" si="309"/>
        <v>45385</v>
      </c>
      <c r="F3770" s="513" t="s">
        <v>1210</v>
      </c>
      <c r="G3770" s="200" t="s">
        <v>1209</v>
      </c>
      <c r="H3770" s="201"/>
      <c r="I3770" s="201" t="s">
        <v>1569</v>
      </c>
      <c r="J3770" s="197" t="s">
        <v>46</v>
      </c>
      <c r="K3770" s="202">
        <v>601956</v>
      </c>
      <c r="L3770" s="202"/>
    </row>
    <row r="3771" spans="1:15" ht="11.25" customHeight="1" x14ac:dyDescent="0.2">
      <c r="A3771" s="120">
        <v>2024</v>
      </c>
      <c r="B3771" s="120">
        <v>4</v>
      </c>
      <c r="C3771" s="120">
        <v>3</v>
      </c>
      <c r="D3771" s="208">
        <f t="shared" si="306"/>
        <v>45385</v>
      </c>
      <c r="E3771" s="209">
        <f t="shared" si="309"/>
        <v>45385</v>
      </c>
      <c r="F3771" s="515"/>
      <c r="G3771" s="132" t="s">
        <v>1209</v>
      </c>
      <c r="I3771" s="128" t="s">
        <v>1569</v>
      </c>
      <c r="J3771" s="120" t="s">
        <v>16</v>
      </c>
      <c r="K3771" s="207"/>
      <c r="L3771" s="207">
        <v>552000</v>
      </c>
    </row>
    <row r="3772" spans="1:15" ht="12" customHeight="1" x14ac:dyDescent="0.2">
      <c r="A3772" s="191">
        <v>2024</v>
      </c>
      <c r="B3772" s="191">
        <v>4</v>
      </c>
      <c r="C3772" s="191">
        <v>3</v>
      </c>
      <c r="D3772" s="192">
        <f t="shared" si="306"/>
        <v>45385</v>
      </c>
      <c r="E3772" s="193">
        <f t="shared" si="309"/>
        <v>45385</v>
      </c>
      <c r="F3772" s="514"/>
      <c r="G3772" s="194" t="s">
        <v>1209</v>
      </c>
      <c r="H3772" s="195"/>
      <c r="I3772" s="195" t="s">
        <v>1569</v>
      </c>
      <c r="J3772" s="191" t="s">
        <v>47</v>
      </c>
      <c r="K3772" s="196"/>
      <c r="L3772" s="196">
        <v>49956</v>
      </c>
    </row>
    <row r="3773" spans="1:15" ht="11.25" customHeight="1" x14ac:dyDescent="0.2">
      <c r="A3773" s="197">
        <v>2024</v>
      </c>
      <c r="B3773" s="197">
        <v>4</v>
      </c>
      <c r="C3773" s="197">
        <v>3</v>
      </c>
      <c r="D3773" s="198">
        <f t="shared" si="306"/>
        <v>45385</v>
      </c>
      <c r="E3773" s="290">
        <f t="shared" si="309"/>
        <v>45385</v>
      </c>
      <c r="F3773" s="513" t="s">
        <v>1514</v>
      </c>
      <c r="G3773" s="200" t="s">
        <v>1209</v>
      </c>
      <c r="H3773" s="201"/>
      <c r="I3773" s="201"/>
      <c r="J3773" s="197" t="s">
        <v>54</v>
      </c>
      <c r="K3773" s="202">
        <v>60</v>
      </c>
      <c r="L3773" s="202"/>
      <c r="M3773" s="251"/>
      <c r="N3773" s="251"/>
      <c r="O3773" s="251"/>
    </row>
    <row r="3774" spans="1:15" ht="11.25" customHeight="1" x14ac:dyDescent="0.2">
      <c r="A3774" s="191">
        <v>2024</v>
      </c>
      <c r="B3774" s="191">
        <v>4</v>
      </c>
      <c r="C3774" s="191">
        <v>3</v>
      </c>
      <c r="D3774" s="192">
        <f t="shared" si="306"/>
        <v>45385</v>
      </c>
      <c r="E3774" s="291">
        <f t="shared" si="309"/>
        <v>45385</v>
      </c>
      <c r="F3774" s="514"/>
      <c r="G3774" s="194" t="s">
        <v>1209</v>
      </c>
      <c r="H3774" s="195"/>
      <c r="I3774" s="195"/>
      <c r="J3774" s="191" t="s">
        <v>46</v>
      </c>
      <c r="K3774" s="196"/>
      <c r="L3774" s="196">
        <v>60</v>
      </c>
      <c r="M3774" s="251"/>
      <c r="N3774" s="251"/>
      <c r="O3774" s="251"/>
    </row>
    <row r="3775" spans="1:15" ht="11.25" customHeight="1" x14ac:dyDescent="0.2">
      <c r="A3775" s="197">
        <v>2024</v>
      </c>
      <c r="B3775" s="197">
        <v>4</v>
      </c>
      <c r="C3775" s="197">
        <v>4</v>
      </c>
      <c r="D3775" s="198">
        <f t="shared" si="306"/>
        <v>45386</v>
      </c>
      <c r="E3775" s="209">
        <f t="shared" si="309"/>
        <v>45386</v>
      </c>
      <c r="F3775" s="513" t="s">
        <v>1280</v>
      </c>
      <c r="G3775" s="200" t="s">
        <v>1209</v>
      </c>
      <c r="H3775" s="201"/>
      <c r="I3775" s="201" t="s">
        <v>1113</v>
      </c>
      <c r="J3775" s="197" t="s">
        <v>16</v>
      </c>
      <c r="K3775" s="202">
        <v>113590</v>
      </c>
      <c r="L3775" s="202"/>
    </row>
    <row r="3776" spans="1:15" ht="11.25" customHeight="1" x14ac:dyDescent="0.2">
      <c r="A3776" s="120">
        <v>2024</v>
      </c>
      <c r="B3776" s="120">
        <v>4</v>
      </c>
      <c r="C3776" s="120">
        <v>4</v>
      </c>
      <c r="D3776" s="208">
        <f t="shared" si="306"/>
        <v>45386</v>
      </c>
      <c r="E3776" s="209">
        <f t="shared" si="309"/>
        <v>45386</v>
      </c>
      <c r="F3776" s="515"/>
      <c r="G3776" s="132" t="s">
        <v>1209</v>
      </c>
      <c r="I3776" s="128" t="s">
        <v>1113</v>
      </c>
      <c r="J3776" s="120" t="s">
        <v>47</v>
      </c>
      <c r="K3776" s="207">
        <v>10279.899999999994</v>
      </c>
      <c r="L3776" s="207"/>
    </row>
    <row r="3777" spans="1:12" ht="11.25" customHeight="1" x14ac:dyDescent="0.2">
      <c r="A3777" s="191">
        <v>2024</v>
      </c>
      <c r="B3777" s="191">
        <v>4</v>
      </c>
      <c r="C3777" s="191">
        <v>4</v>
      </c>
      <c r="D3777" s="192">
        <f t="shared" si="306"/>
        <v>45386</v>
      </c>
      <c r="E3777" s="193">
        <f t="shared" si="309"/>
        <v>45386</v>
      </c>
      <c r="F3777" s="514"/>
      <c r="G3777" s="194" t="s">
        <v>1209</v>
      </c>
      <c r="H3777" s="195"/>
      <c r="I3777" s="195" t="s">
        <v>1113</v>
      </c>
      <c r="J3777" s="191" t="s">
        <v>46</v>
      </c>
      <c r="K3777" s="196"/>
      <c r="L3777" s="196">
        <v>123869.9</v>
      </c>
    </row>
    <row r="3778" spans="1:12" ht="11.25" customHeight="1" x14ac:dyDescent="0.2">
      <c r="A3778" s="197">
        <v>2024</v>
      </c>
      <c r="B3778" s="197">
        <v>4</v>
      </c>
      <c r="C3778" s="197">
        <v>4</v>
      </c>
      <c r="D3778" s="198">
        <f t="shared" si="306"/>
        <v>45386</v>
      </c>
      <c r="E3778" s="209">
        <f t="shared" ref="E3778:E3780" si="310">DATE(A3778,B3778,C3778)</f>
        <v>45386</v>
      </c>
      <c r="F3778" s="513" t="s">
        <v>1210</v>
      </c>
      <c r="G3778" s="200" t="s">
        <v>1209</v>
      </c>
      <c r="H3778" s="201"/>
      <c r="I3778" s="201" t="s">
        <v>1493</v>
      </c>
      <c r="J3778" s="197" t="s">
        <v>46</v>
      </c>
      <c r="K3778" s="202">
        <v>15177.4</v>
      </c>
      <c r="L3778" s="202"/>
    </row>
    <row r="3779" spans="1:12" ht="11.25" customHeight="1" x14ac:dyDescent="0.2">
      <c r="A3779" s="120">
        <v>2024</v>
      </c>
      <c r="B3779" s="120">
        <v>4</v>
      </c>
      <c r="C3779" s="120">
        <v>4</v>
      </c>
      <c r="D3779" s="208">
        <f t="shared" si="306"/>
        <v>45386</v>
      </c>
      <c r="E3779" s="209">
        <f t="shared" si="310"/>
        <v>45386</v>
      </c>
      <c r="F3779" s="515"/>
      <c r="G3779" s="132" t="s">
        <v>1209</v>
      </c>
      <c r="I3779" s="128" t="s">
        <v>1493</v>
      </c>
      <c r="J3779" s="120" t="s">
        <v>16</v>
      </c>
      <c r="K3779" s="207"/>
      <c r="L3779" s="207">
        <v>13920</v>
      </c>
    </row>
    <row r="3780" spans="1:12" ht="12" customHeight="1" x14ac:dyDescent="0.2">
      <c r="A3780" s="191">
        <v>2024</v>
      </c>
      <c r="B3780" s="191">
        <v>4</v>
      </c>
      <c r="C3780" s="191">
        <v>4</v>
      </c>
      <c r="D3780" s="192">
        <f t="shared" si="306"/>
        <v>45386</v>
      </c>
      <c r="E3780" s="193">
        <f t="shared" si="310"/>
        <v>45386</v>
      </c>
      <c r="F3780" s="514"/>
      <c r="G3780" s="194" t="s">
        <v>1209</v>
      </c>
      <c r="H3780" s="195"/>
      <c r="I3780" s="195" t="s">
        <v>1493</v>
      </c>
      <c r="J3780" s="191" t="s">
        <v>47</v>
      </c>
      <c r="K3780" s="196"/>
      <c r="L3780" s="196">
        <v>1257.3999999999996</v>
      </c>
    </row>
    <row r="3781" spans="1:12" ht="11.25" customHeight="1" x14ac:dyDescent="0.2">
      <c r="A3781" s="210">
        <v>2024</v>
      </c>
      <c r="B3781" s="210">
        <v>4</v>
      </c>
      <c r="C3781" s="210">
        <v>4</v>
      </c>
      <c r="D3781" s="211">
        <f t="shared" si="306"/>
        <v>45386</v>
      </c>
      <c r="E3781" s="238">
        <f t="shared" si="309"/>
        <v>45386</v>
      </c>
      <c r="F3781" s="520" t="s">
        <v>1278</v>
      </c>
      <c r="G3781" s="213" t="s">
        <v>1245</v>
      </c>
      <c r="H3781" s="214"/>
      <c r="I3781" s="214" t="s">
        <v>1253</v>
      </c>
      <c r="J3781" s="210" t="s">
        <v>1529</v>
      </c>
      <c r="K3781" s="215">
        <v>7491.85</v>
      </c>
      <c r="L3781" s="215"/>
    </row>
    <row r="3782" spans="1:12" ht="11.25" customHeight="1" x14ac:dyDescent="0.2">
      <c r="A3782" s="216">
        <v>2024</v>
      </c>
      <c r="B3782" s="216">
        <v>4</v>
      </c>
      <c r="C3782" s="216">
        <v>4</v>
      </c>
      <c r="D3782" s="217">
        <f t="shared" si="306"/>
        <v>45386</v>
      </c>
      <c r="E3782" s="239">
        <f t="shared" si="309"/>
        <v>45386</v>
      </c>
      <c r="F3782" s="521"/>
      <c r="G3782" s="219" t="s">
        <v>1245</v>
      </c>
      <c r="H3782" s="220"/>
      <c r="I3782" s="220" t="s">
        <v>1253</v>
      </c>
      <c r="J3782" s="216" t="s">
        <v>1581</v>
      </c>
      <c r="K3782" s="221"/>
      <c r="L3782" s="221">
        <v>7491.85</v>
      </c>
    </row>
    <row r="3783" spans="1:12" ht="11.25" customHeight="1" x14ac:dyDescent="0.2">
      <c r="A3783" s="210">
        <v>2024</v>
      </c>
      <c r="B3783" s="210">
        <v>4</v>
      </c>
      <c r="C3783" s="210">
        <v>4</v>
      </c>
      <c r="D3783" s="211">
        <f t="shared" si="306"/>
        <v>45386</v>
      </c>
      <c r="E3783" s="238">
        <f t="shared" si="309"/>
        <v>45386</v>
      </c>
      <c r="F3783" s="520" t="s">
        <v>1285</v>
      </c>
      <c r="G3783" s="213" t="s">
        <v>1245</v>
      </c>
      <c r="H3783" s="214"/>
      <c r="I3783" s="214" t="s">
        <v>1253</v>
      </c>
      <c r="J3783" s="210" t="s">
        <v>1284</v>
      </c>
      <c r="K3783" s="215">
        <v>10290.504807692309</v>
      </c>
      <c r="L3783" s="215"/>
    </row>
    <row r="3784" spans="1:12" ht="11.25" customHeight="1" x14ac:dyDescent="0.2">
      <c r="A3784" s="242">
        <v>2024</v>
      </c>
      <c r="B3784" s="242">
        <v>4</v>
      </c>
      <c r="C3784" s="242">
        <v>4</v>
      </c>
      <c r="D3784" s="243">
        <f t="shared" si="306"/>
        <v>45386</v>
      </c>
      <c r="E3784" s="244">
        <f>DATE(A3784,B3784,C3784)</f>
        <v>45386</v>
      </c>
      <c r="F3784" s="524"/>
      <c r="G3784" s="245" t="s">
        <v>1245</v>
      </c>
      <c r="H3784" s="246"/>
      <c r="I3784" s="246"/>
      <c r="J3784" s="242" t="s">
        <v>1582</v>
      </c>
      <c r="K3784" s="247"/>
      <c r="L3784" s="247">
        <v>10290.504807692309</v>
      </c>
    </row>
    <row r="3785" spans="1:12" ht="11.25" customHeight="1" x14ac:dyDescent="0.2">
      <c r="A3785" s="210">
        <v>2024</v>
      </c>
      <c r="B3785" s="210">
        <v>4</v>
      </c>
      <c r="C3785" s="210">
        <v>4</v>
      </c>
      <c r="D3785" s="211">
        <f t="shared" si="306"/>
        <v>45386</v>
      </c>
      <c r="E3785" s="238">
        <f t="shared" ref="E3785:E3806" si="311">DATE(A3785,B3785,C3785)</f>
        <v>45386</v>
      </c>
      <c r="F3785" s="520" t="s">
        <v>1259</v>
      </c>
      <c r="G3785" s="213" t="s">
        <v>1245</v>
      </c>
      <c r="H3785" s="214"/>
      <c r="I3785" s="214" t="s">
        <v>1253</v>
      </c>
      <c r="J3785" s="210" t="s">
        <v>58</v>
      </c>
      <c r="K3785" s="215">
        <v>54717.11</v>
      </c>
      <c r="L3785" s="215"/>
    </row>
    <row r="3786" spans="1:12" ht="11.25" customHeight="1" x14ac:dyDescent="0.2">
      <c r="A3786" s="216">
        <v>2024</v>
      </c>
      <c r="B3786" s="216">
        <v>4</v>
      </c>
      <c r="C3786" s="216">
        <v>4</v>
      </c>
      <c r="D3786" s="217">
        <f t="shared" si="306"/>
        <v>45386</v>
      </c>
      <c r="E3786" s="239">
        <f t="shared" si="311"/>
        <v>45386</v>
      </c>
      <c r="F3786" s="521"/>
      <c r="G3786" s="219" t="s">
        <v>1245</v>
      </c>
      <c r="H3786" s="220"/>
      <c r="I3786" s="220" t="s">
        <v>1253</v>
      </c>
      <c r="J3786" s="216" t="s">
        <v>153</v>
      </c>
      <c r="K3786" s="221"/>
      <c r="L3786" s="221">
        <v>54717.11</v>
      </c>
    </row>
    <row r="3787" spans="1:12" ht="11.25" customHeight="1" x14ac:dyDescent="0.2">
      <c r="A3787" s="312">
        <v>2024</v>
      </c>
      <c r="B3787" s="312">
        <v>4</v>
      </c>
      <c r="C3787" s="312">
        <v>4</v>
      </c>
      <c r="D3787" s="313">
        <f t="shared" si="306"/>
        <v>45386</v>
      </c>
      <c r="E3787" s="314">
        <f t="shared" si="311"/>
        <v>45386</v>
      </c>
      <c r="F3787" s="522" t="s">
        <v>1477</v>
      </c>
      <c r="G3787" s="315" t="s">
        <v>1245</v>
      </c>
      <c r="H3787" s="316"/>
      <c r="I3787" s="316" t="s">
        <v>1253</v>
      </c>
      <c r="J3787" s="312" t="s">
        <v>1460</v>
      </c>
      <c r="K3787" s="317">
        <v>284922.9999999702</v>
      </c>
      <c r="L3787" s="317"/>
    </row>
    <row r="3788" spans="1:12" ht="11.25" customHeight="1" x14ac:dyDescent="0.2">
      <c r="A3788" s="318">
        <v>2024</v>
      </c>
      <c r="B3788" s="318">
        <v>4</v>
      </c>
      <c r="C3788" s="318">
        <v>4</v>
      </c>
      <c r="D3788" s="319">
        <f t="shared" si="306"/>
        <v>45386</v>
      </c>
      <c r="E3788" s="320">
        <f t="shared" si="311"/>
        <v>45386</v>
      </c>
      <c r="F3788" s="523"/>
      <c r="G3788" s="321" t="s">
        <v>1245</v>
      </c>
      <c r="H3788" s="322"/>
      <c r="I3788" s="322" t="s">
        <v>1253</v>
      </c>
      <c r="J3788" s="318" t="s">
        <v>1458</v>
      </c>
      <c r="K3788" s="323"/>
      <c r="L3788" s="323">
        <v>284922.9999999702</v>
      </c>
    </row>
    <row r="3789" spans="1:12" ht="11.25" customHeight="1" x14ac:dyDescent="0.2">
      <c r="A3789" s="312">
        <v>2024</v>
      </c>
      <c r="B3789" s="312">
        <v>4</v>
      </c>
      <c r="C3789" s="312">
        <v>4</v>
      </c>
      <c r="D3789" s="313">
        <f t="shared" si="306"/>
        <v>45386</v>
      </c>
      <c r="E3789" s="314">
        <f t="shared" si="311"/>
        <v>45386</v>
      </c>
      <c r="F3789" s="522" t="s">
        <v>1595</v>
      </c>
      <c r="G3789" s="315" t="s">
        <v>1245</v>
      </c>
      <c r="H3789" s="316"/>
      <c r="I3789" s="316" t="s">
        <v>1253</v>
      </c>
      <c r="J3789" s="312" t="s">
        <v>1461</v>
      </c>
      <c r="K3789" s="317">
        <v>43704.719999991357</v>
      </c>
      <c r="L3789" s="317"/>
    </row>
    <row r="3790" spans="1:12" ht="11.25" customHeight="1" x14ac:dyDescent="0.2">
      <c r="A3790" s="318">
        <v>2024</v>
      </c>
      <c r="B3790" s="318">
        <v>4</v>
      </c>
      <c r="C3790" s="318">
        <v>4</v>
      </c>
      <c r="D3790" s="319">
        <f t="shared" si="306"/>
        <v>45386</v>
      </c>
      <c r="E3790" s="320">
        <f t="shared" si="311"/>
        <v>45386</v>
      </c>
      <c r="F3790" s="523"/>
      <c r="G3790" s="321" t="s">
        <v>1245</v>
      </c>
      <c r="H3790" s="322"/>
      <c r="I3790" s="322" t="s">
        <v>1253</v>
      </c>
      <c r="J3790" s="318" t="s">
        <v>1459</v>
      </c>
      <c r="K3790" s="323"/>
      <c r="L3790" s="323">
        <v>43704.719999991357</v>
      </c>
    </row>
    <row r="3791" spans="1:12" ht="11.25" customHeight="1" x14ac:dyDescent="0.2">
      <c r="A3791" s="222">
        <v>2024</v>
      </c>
      <c r="B3791" s="222">
        <v>4</v>
      </c>
      <c r="C3791" s="222">
        <v>4</v>
      </c>
      <c r="D3791" s="223">
        <f t="shared" si="306"/>
        <v>45386</v>
      </c>
      <c r="E3791" s="240">
        <f t="shared" si="311"/>
        <v>45386</v>
      </c>
      <c r="F3791" s="511" t="s">
        <v>1244</v>
      </c>
      <c r="G3791" s="225" t="s">
        <v>1245</v>
      </c>
      <c r="H3791" s="226"/>
      <c r="I3791" s="226" t="s">
        <v>1253</v>
      </c>
      <c r="J3791" s="222" t="s">
        <v>72</v>
      </c>
      <c r="K3791" s="227">
        <v>148.66000000014901</v>
      </c>
      <c r="L3791" s="227"/>
    </row>
    <row r="3792" spans="1:12" ht="11.25" customHeight="1" x14ac:dyDescent="0.2">
      <c r="A3792" s="228">
        <v>2024</v>
      </c>
      <c r="B3792" s="228">
        <v>4</v>
      </c>
      <c r="C3792" s="228">
        <v>4</v>
      </c>
      <c r="D3792" s="229">
        <f t="shared" si="306"/>
        <v>45386</v>
      </c>
      <c r="E3792" s="241">
        <f t="shared" si="311"/>
        <v>45386</v>
      </c>
      <c r="F3792" s="512"/>
      <c r="G3792" s="231" t="s">
        <v>1245</v>
      </c>
      <c r="H3792" s="232"/>
      <c r="I3792" s="232" t="s">
        <v>1253</v>
      </c>
      <c r="J3792" s="228" t="s">
        <v>87</v>
      </c>
      <c r="K3792" s="233"/>
      <c r="L3792" s="233">
        <v>148.66000000014901</v>
      </c>
    </row>
    <row r="3793" spans="1:14" ht="11.25" customHeight="1" x14ac:dyDescent="0.2">
      <c r="A3793" s="222">
        <v>2024</v>
      </c>
      <c r="B3793" s="222">
        <v>4</v>
      </c>
      <c r="C3793" s="222">
        <v>4</v>
      </c>
      <c r="D3793" s="223">
        <f t="shared" si="306"/>
        <v>45386</v>
      </c>
      <c r="E3793" s="240">
        <f t="shared" si="311"/>
        <v>45386</v>
      </c>
      <c r="F3793" s="511" t="s">
        <v>1246</v>
      </c>
      <c r="G3793" s="225" t="s">
        <v>1245</v>
      </c>
      <c r="H3793" s="226"/>
      <c r="I3793" s="226" t="s">
        <v>1253</v>
      </c>
      <c r="J3793" s="222" t="s">
        <v>75</v>
      </c>
      <c r="K3793" s="227">
        <v>3623.123846153846</v>
      </c>
      <c r="L3793" s="227"/>
    </row>
    <row r="3794" spans="1:14" ht="11.25" customHeight="1" x14ac:dyDescent="0.2">
      <c r="A3794" s="228">
        <v>2024</v>
      </c>
      <c r="B3794" s="228">
        <v>4</v>
      </c>
      <c r="C3794" s="228">
        <v>4</v>
      </c>
      <c r="D3794" s="229">
        <f t="shared" ref="D3794:D3855" si="312">DATE(A3794,B3794,C3794)</f>
        <v>45386</v>
      </c>
      <c r="E3794" s="241">
        <f t="shared" si="311"/>
        <v>45386</v>
      </c>
      <c r="F3794" s="512"/>
      <c r="G3794" s="231" t="s">
        <v>1245</v>
      </c>
      <c r="H3794" s="232"/>
      <c r="I3794" s="232" t="s">
        <v>1253</v>
      </c>
      <c r="J3794" s="228" t="s">
        <v>55</v>
      </c>
      <c r="K3794" s="233"/>
      <c r="L3794" s="233">
        <v>3623.123846153846</v>
      </c>
    </row>
    <row r="3795" spans="1:14" ht="11.25" customHeight="1" x14ac:dyDescent="0.2">
      <c r="A3795" s="222">
        <v>2024</v>
      </c>
      <c r="B3795" s="222">
        <v>4</v>
      </c>
      <c r="C3795" s="222">
        <v>4</v>
      </c>
      <c r="D3795" s="223">
        <f t="shared" si="312"/>
        <v>45386</v>
      </c>
      <c r="E3795" s="240">
        <f t="shared" si="311"/>
        <v>45386</v>
      </c>
      <c r="F3795" s="511" t="s">
        <v>1247</v>
      </c>
      <c r="G3795" s="225" t="s">
        <v>1245</v>
      </c>
      <c r="H3795" s="226"/>
      <c r="I3795" s="226" t="s">
        <v>1253</v>
      </c>
      <c r="J3795" s="222" t="s">
        <v>77</v>
      </c>
      <c r="K3795" s="227">
        <f>M3795</f>
        <v>23083.771562349812</v>
      </c>
      <c r="L3795" s="227"/>
      <c r="M3795" s="120">
        <v>23083.771562349812</v>
      </c>
    </row>
    <row r="3796" spans="1:14" ht="11.25" customHeight="1" x14ac:dyDescent="0.2">
      <c r="A3796" s="228">
        <v>2024</v>
      </c>
      <c r="B3796" s="228">
        <v>4</v>
      </c>
      <c r="C3796" s="228">
        <v>4</v>
      </c>
      <c r="D3796" s="229">
        <f t="shared" si="312"/>
        <v>45386</v>
      </c>
      <c r="E3796" s="241">
        <f t="shared" si="311"/>
        <v>45386</v>
      </c>
      <c r="F3796" s="512"/>
      <c r="G3796" s="231" t="s">
        <v>1245</v>
      </c>
      <c r="H3796" s="232"/>
      <c r="I3796" s="232" t="s">
        <v>1253</v>
      </c>
      <c r="J3796" s="228" t="s">
        <v>41</v>
      </c>
      <c r="K3796" s="233"/>
      <c r="L3796" s="233">
        <f>K3795</f>
        <v>23083.771562349812</v>
      </c>
      <c r="M3796" s="120">
        <v>2308.3771562349812</v>
      </c>
    </row>
    <row r="3797" spans="1:14" ht="11.25" customHeight="1" x14ac:dyDescent="0.2">
      <c r="A3797" s="222">
        <v>2024</v>
      </c>
      <c r="B3797" s="222">
        <v>4</v>
      </c>
      <c r="C3797" s="222">
        <v>4</v>
      </c>
      <c r="D3797" s="223">
        <f t="shared" si="312"/>
        <v>45386</v>
      </c>
      <c r="E3797" s="240">
        <f t="shared" si="311"/>
        <v>45386</v>
      </c>
      <c r="F3797" s="511" t="s">
        <v>1248</v>
      </c>
      <c r="G3797" s="225" t="s">
        <v>1245</v>
      </c>
      <c r="H3797" s="226"/>
      <c r="I3797" s="226" t="s">
        <v>1253</v>
      </c>
      <c r="J3797" s="222" t="s">
        <v>80</v>
      </c>
      <c r="K3797" s="227">
        <f>M3796</f>
        <v>2308.3771562349812</v>
      </c>
      <c r="L3797" s="227"/>
    </row>
    <row r="3798" spans="1:14" ht="11.25" customHeight="1" x14ac:dyDescent="0.2">
      <c r="A3798" s="228">
        <v>2024</v>
      </c>
      <c r="B3798" s="228">
        <v>4</v>
      </c>
      <c r="C3798" s="228">
        <v>4</v>
      </c>
      <c r="D3798" s="229">
        <f t="shared" si="312"/>
        <v>45386</v>
      </c>
      <c r="E3798" s="241">
        <f t="shared" si="311"/>
        <v>45386</v>
      </c>
      <c r="F3798" s="512"/>
      <c r="G3798" s="231" t="s">
        <v>1245</v>
      </c>
      <c r="H3798" s="232"/>
      <c r="I3798" s="232" t="s">
        <v>1253</v>
      </c>
      <c r="J3798" s="228" t="s">
        <v>42</v>
      </c>
      <c r="K3798" s="233"/>
      <c r="L3798" s="233">
        <f>K3797</f>
        <v>2308.3771562349812</v>
      </c>
    </row>
    <row r="3799" spans="1:14" ht="11.25" customHeight="1" x14ac:dyDescent="0.2">
      <c r="A3799" s="197">
        <v>2024</v>
      </c>
      <c r="B3799" s="197">
        <v>4</v>
      </c>
      <c r="C3799" s="197">
        <v>5</v>
      </c>
      <c r="D3799" s="198">
        <f t="shared" si="312"/>
        <v>45387</v>
      </c>
      <c r="E3799" s="209">
        <f>DATE(A3799,B3799,C3799)</f>
        <v>45387</v>
      </c>
      <c r="F3799" s="513" t="s">
        <v>1296</v>
      </c>
      <c r="G3799" s="200" t="s">
        <v>1209</v>
      </c>
      <c r="H3799" s="201"/>
      <c r="I3799" s="201"/>
      <c r="J3799" s="197" t="s">
        <v>46</v>
      </c>
      <c r="K3799" s="202">
        <v>205000</v>
      </c>
      <c r="L3799" s="202"/>
    </row>
    <row r="3800" spans="1:14" ht="11.25" customHeight="1" x14ac:dyDescent="0.2">
      <c r="A3800" s="120">
        <v>2024</v>
      </c>
      <c r="B3800" s="120">
        <v>4</v>
      </c>
      <c r="C3800" s="120">
        <v>5</v>
      </c>
      <c r="D3800" s="208">
        <f t="shared" si="312"/>
        <v>45387</v>
      </c>
      <c r="E3800" s="209">
        <f>DATE(A3800,B3800,C3800)</f>
        <v>45387</v>
      </c>
      <c r="F3800" s="515"/>
      <c r="G3800" s="132" t="s">
        <v>1209</v>
      </c>
      <c r="J3800" s="120" t="s">
        <v>16</v>
      </c>
      <c r="K3800" s="207"/>
      <c r="L3800" s="207">
        <v>187630</v>
      </c>
    </row>
    <row r="3801" spans="1:14" ht="12" customHeight="1" x14ac:dyDescent="0.2">
      <c r="A3801" s="191">
        <v>2024</v>
      </c>
      <c r="B3801" s="191">
        <v>4</v>
      </c>
      <c r="C3801" s="191">
        <v>5</v>
      </c>
      <c r="D3801" s="192">
        <f t="shared" si="312"/>
        <v>45387</v>
      </c>
      <c r="E3801" s="193">
        <f>DATE(A3801,B3801,C3801)</f>
        <v>45387</v>
      </c>
      <c r="F3801" s="514"/>
      <c r="G3801" s="194" t="s">
        <v>1209</v>
      </c>
      <c r="H3801" s="195"/>
      <c r="I3801" s="195"/>
      <c r="J3801" s="191" t="s">
        <v>47</v>
      </c>
      <c r="K3801" s="196"/>
      <c r="L3801" s="196">
        <v>17370</v>
      </c>
    </row>
    <row r="3802" spans="1:14" ht="11.25" customHeight="1" x14ac:dyDescent="0.2">
      <c r="A3802" s="197">
        <v>2024</v>
      </c>
      <c r="B3802" s="197">
        <v>4</v>
      </c>
      <c r="C3802" s="197">
        <v>8</v>
      </c>
      <c r="D3802" s="198">
        <f t="shared" si="312"/>
        <v>45390</v>
      </c>
      <c r="E3802" s="199">
        <f t="shared" si="311"/>
        <v>45390</v>
      </c>
      <c r="F3802" s="513" t="s">
        <v>1391</v>
      </c>
      <c r="G3802" s="200" t="s">
        <v>1209</v>
      </c>
      <c r="H3802" s="201"/>
      <c r="I3802" s="201"/>
      <c r="J3802" s="197" t="s">
        <v>46</v>
      </c>
      <c r="K3802" s="202">
        <v>123818.32</v>
      </c>
      <c r="L3802" s="202"/>
    </row>
    <row r="3803" spans="1:14" ht="11.25" customHeight="1" x14ac:dyDescent="0.2">
      <c r="A3803" s="191">
        <v>2024</v>
      </c>
      <c r="B3803" s="191">
        <v>4</v>
      </c>
      <c r="C3803" s="191">
        <v>8</v>
      </c>
      <c r="D3803" s="192">
        <f t="shared" si="312"/>
        <v>45390</v>
      </c>
      <c r="E3803" s="193">
        <f t="shared" si="311"/>
        <v>45390</v>
      </c>
      <c r="F3803" s="514"/>
      <c r="G3803" s="194" t="s">
        <v>1209</v>
      </c>
      <c r="H3803" s="195"/>
      <c r="I3803" s="195"/>
      <c r="J3803" s="191" t="s">
        <v>178</v>
      </c>
      <c r="K3803" s="196"/>
      <c r="L3803" s="196">
        <v>123818.33</v>
      </c>
    </row>
    <row r="3804" spans="1:14" ht="11.25" customHeight="1" x14ac:dyDescent="0.2">
      <c r="A3804" s="197">
        <v>2024</v>
      </c>
      <c r="B3804" s="197">
        <v>4</v>
      </c>
      <c r="C3804" s="197">
        <v>8</v>
      </c>
      <c r="D3804" s="198">
        <f t="shared" si="312"/>
        <v>45390</v>
      </c>
      <c r="E3804" s="199">
        <f t="shared" si="311"/>
        <v>45390</v>
      </c>
      <c r="F3804" s="513" t="s">
        <v>1602</v>
      </c>
      <c r="G3804" s="200" t="s">
        <v>1209</v>
      </c>
      <c r="H3804" s="201"/>
      <c r="I3804" s="201" t="s">
        <v>1253</v>
      </c>
      <c r="J3804" s="197" t="s">
        <v>46</v>
      </c>
      <c r="K3804" s="202">
        <v>38000000</v>
      </c>
      <c r="L3804" s="202"/>
    </row>
    <row r="3805" spans="1:14" ht="11.25" customHeight="1" x14ac:dyDescent="0.2">
      <c r="A3805" s="120">
        <v>2024</v>
      </c>
      <c r="B3805" s="120">
        <v>4</v>
      </c>
      <c r="C3805" s="120">
        <v>8</v>
      </c>
      <c r="D3805" s="208">
        <f t="shared" si="312"/>
        <v>45390</v>
      </c>
      <c r="E3805" s="209">
        <f t="shared" si="311"/>
        <v>45390</v>
      </c>
      <c r="F3805" s="515"/>
      <c r="G3805" s="132" t="s">
        <v>1209</v>
      </c>
      <c r="J3805" s="120" t="s">
        <v>1462</v>
      </c>
      <c r="K3805" s="120"/>
      <c r="L3805" s="207">
        <v>802560</v>
      </c>
    </row>
    <row r="3806" spans="1:14" ht="11.25" customHeight="1" x14ac:dyDescent="0.2">
      <c r="A3806" s="191">
        <v>2024</v>
      </c>
      <c r="B3806" s="191">
        <v>4</v>
      </c>
      <c r="C3806" s="191">
        <v>8</v>
      </c>
      <c r="D3806" s="192">
        <f t="shared" si="312"/>
        <v>45390</v>
      </c>
      <c r="E3806" s="193">
        <f t="shared" si="311"/>
        <v>45390</v>
      </c>
      <c r="F3806" s="514"/>
      <c r="G3806" s="194" t="s">
        <v>1209</v>
      </c>
      <c r="H3806" s="195"/>
      <c r="I3806" s="195" t="s">
        <v>1253</v>
      </c>
      <c r="J3806" s="191" t="s">
        <v>1455</v>
      </c>
      <c r="K3806" s="196"/>
      <c r="L3806" s="196">
        <v>37197440</v>
      </c>
      <c r="N3806" s="130"/>
    </row>
    <row r="3807" spans="1:14" ht="11.25" customHeight="1" x14ac:dyDescent="0.2">
      <c r="A3807" s="197">
        <v>2024</v>
      </c>
      <c r="B3807" s="197">
        <v>4</v>
      </c>
      <c r="C3807" s="197">
        <v>8</v>
      </c>
      <c r="D3807" s="198">
        <f t="shared" si="312"/>
        <v>45390</v>
      </c>
      <c r="E3807" s="209">
        <f>DATE(A3807,B3807,C3807)</f>
        <v>45390</v>
      </c>
      <c r="F3807" s="513" t="s">
        <v>1210</v>
      </c>
      <c r="G3807" s="200" t="s">
        <v>1209</v>
      </c>
      <c r="H3807" s="201"/>
      <c r="I3807" s="201" t="s">
        <v>391</v>
      </c>
      <c r="J3807" s="197" t="s">
        <v>46</v>
      </c>
      <c r="K3807" s="202">
        <v>130000</v>
      </c>
      <c r="L3807" s="202"/>
    </row>
    <row r="3808" spans="1:14" ht="11.25" customHeight="1" x14ac:dyDescent="0.2">
      <c r="A3808" s="120">
        <v>2024</v>
      </c>
      <c r="B3808" s="120">
        <v>4</v>
      </c>
      <c r="C3808" s="120">
        <v>8</v>
      </c>
      <c r="D3808" s="208">
        <f t="shared" si="312"/>
        <v>45390</v>
      </c>
      <c r="E3808" s="209">
        <f>DATE(A3808,B3808,C3808)</f>
        <v>45390</v>
      </c>
      <c r="F3808" s="515"/>
      <c r="G3808" s="132" t="s">
        <v>1209</v>
      </c>
      <c r="I3808" s="128" t="s">
        <v>391</v>
      </c>
      <c r="J3808" s="120" t="s">
        <v>16</v>
      </c>
      <c r="K3808" s="207"/>
      <c r="L3808" s="207">
        <v>118980</v>
      </c>
    </row>
    <row r="3809" spans="1:14" ht="12" customHeight="1" x14ac:dyDescent="0.2">
      <c r="A3809" s="191">
        <v>2024</v>
      </c>
      <c r="B3809" s="191">
        <v>4</v>
      </c>
      <c r="C3809" s="191">
        <v>8</v>
      </c>
      <c r="D3809" s="192">
        <f t="shared" si="312"/>
        <v>45390</v>
      </c>
      <c r="E3809" s="193">
        <f>DATE(A3809,B3809,C3809)</f>
        <v>45390</v>
      </c>
      <c r="F3809" s="514"/>
      <c r="G3809" s="194" t="s">
        <v>1209</v>
      </c>
      <c r="H3809" s="195"/>
      <c r="I3809" s="195" t="s">
        <v>391</v>
      </c>
      <c r="J3809" s="191" t="s">
        <v>47</v>
      </c>
      <c r="K3809" s="196"/>
      <c r="L3809" s="196">
        <v>11020</v>
      </c>
    </row>
    <row r="3810" spans="1:14" ht="11.25" customHeight="1" x14ac:dyDescent="0.2">
      <c r="A3810" s="197">
        <v>2024</v>
      </c>
      <c r="B3810" s="197">
        <v>4</v>
      </c>
      <c r="C3810" s="197">
        <v>9</v>
      </c>
      <c r="D3810" s="198">
        <f t="shared" si="312"/>
        <v>45391</v>
      </c>
      <c r="E3810" s="199">
        <f t="shared" ref="E3810:E3815" si="313">DATE(A3810,B3810,C3810)</f>
        <v>45391</v>
      </c>
      <c r="F3810" s="513" t="s">
        <v>1603</v>
      </c>
      <c r="G3810" s="200" t="s">
        <v>1209</v>
      </c>
      <c r="H3810" s="201"/>
      <c r="I3810" s="201" t="s">
        <v>1253</v>
      </c>
      <c r="J3810" s="197" t="s">
        <v>46</v>
      </c>
      <c r="K3810" s="202">
        <v>13000000</v>
      </c>
      <c r="L3810" s="202"/>
    </row>
    <row r="3811" spans="1:14" ht="11.25" customHeight="1" x14ac:dyDescent="0.2">
      <c r="A3811" s="120">
        <v>2024</v>
      </c>
      <c r="B3811" s="120">
        <v>4</v>
      </c>
      <c r="C3811" s="120">
        <v>9</v>
      </c>
      <c r="D3811" s="208">
        <f t="shared" si="312"/>
        <v>45391</v>
      </c>
      <c r="E3811" s="209">
        <f t="shared" si="313"/>
        <v>45391</v>
      </c>
      <c r="F3811" s="515"/>
      <c r="G3811" s="132" t="s">
        <v>1209</v>
      </c>
      <c r="J3811" s="120" t="s">
        <v>1462</v>
      </c>
      <c r="K3811" s="120"/>
      <c r="L3811" s="207">
        <v>573012</v>
      </c>
    </row>
    <row r="3812" spans="1:14" ht="11.25" customHeight="1" x14ac:dyDescent="0.2">
      <c r="A3812" s="191">
        <v>2024</v>
      </c>
      <c r="B3812" s="191">
        <v>4</v>
      </c>
      <c r="C3812" s="191">
        <v>9</v>
      </c>
      <c r="D3812" s="192">
        <f t="shared" si="312"/>
        <v>45391</v>
      </c>
      <c r="E3812" s="193">
        <f t="shared" si="313"/>
        <v>45391</v>
      </c>
      <c r="F3812" s="514"/>
      <c r="G3812" s="194" t="s">
        <v>1209</v>
      </c>
      <c r="H3812" s="195"/>
      <c r="I3812" s="195" t="s">
        <v>1253</v>
      </c>
      <c r="J3812" s="191" t="s">
        <v>1455</v>
      </c>
      <c r="K3812" s="196"/>
      <c r="L3812" s="196">
        <v>12426988</v>
      </c>
      <c r="N3812" s="130"/>
    </row>
    <row r="3813" spans="1:14" ht="11.25" customHeight="1" x14ac:dyDescent="0.2">
      <c r="A3813" s="197">
        <v>2024</v>
      </c>
      <c r="B3813" s="197">
        <v>4</v>
      </c>
      <c r="C3813" s="197">
        <v>9</v>
      </c>
      <c r="D3813" s="198">
        <f t="shared" si="312"/>
        <v>45391</v>
      </c>
      <c r="E3813" s="199">
        <f t="shared" si="313"/>
        <v>45391</v>
      </c>
      <c r="F3813" s="513" t="s">
        <v>1604</v>
      </c>
      <c r="G3813" s="200" t="s">
        <v>1209</v>
      </c>
      <c r="H3813" s="201"/>
      <c r="I3813" s="201"/>
      <c r="J3813" s="197" t="s">
        <v>173</v>
      </c>
      <c r="K3813" s="202">
        <v>32204.47</v>
      </c>
      <c r="L3813" s="202"/>
    </row>
    <row r="3814" spans="1:14" ht="11.25" customHeight="1" x14ac:dyDescent="0.2">
      <c r="A3814" s="120">
        <v>2024</v>
      </c>
      <c r="B3814" s="120">
        <v>4</v>
      </c>
      <c r="C3814" s="120">
        <v>9</v>
      </c>
      <c r="D3814" s="208">
        <f t="shared" si="312"/>
        <v>45391</v>
      </c>
      <c r="E3814" s="209">
        <f t="shared" ref="E3814" si="314">DATE(A3814,B3814,C3814)</f>
        <v>45391</v>
      </c>
      <c r="F3814" s="515"/>
      <c r="G3814" s="132" t="s">
        <v>1209</v>
      </c>
      <c r="J3814" s="120" t="s">
        <v>457</v>
      </c>
      <c r="K3814" s="207"/>
      <c r="L3814" s="207">
        <v>2800.39</v>
      </c>
    </row>
    <row r="3815" spans="1:14" ht="11.25" customHeight="1" x14ac:dyDescent="0.2">
      <c r="A3815" s="191">
        <v>2024</v>
      </c>
      <c r="B3815" s="191">
        <v>4</v>
      </c>
      <c r="C3815" s="191">
        <v>9</v>
      </c>
      <c r="D3815" s="192">
        <f t="shared" si="312"/>
        <v>45391</v>
      </c>
      <c r="E3815" s="193">
        <f t="shared" si="313"/>
        <v>45391</v>
      </c>
      <c r="F3815" s="514"/>
      <c r="G3815" s="194" t="s">
        <v>1209</v>
      </c>
      <c r="H3815" s="195"/>
      <c r="I3815" s="195"/>
      <c r="J3815" s="191" t="s">
        <v>46</v>
      </c>
      <c r="K3815" s="196"/>
      <c r="L3815" s="196">
        <v>29404.080000000002</v>
      </c>
    </row>
    <row r="3816" spans="1:14" ht="11.25" customHeight="1" x14ac:dyDescent="0.2">
      <c r="A3816" s="197">
        <v>2024</v>
      </c>
      <c r="B3816" s="197">
        <v>4</v>
      </c>
      <c r="C3816" s="197">
        <v>9</v>
      </c>
      <c r="D3816" s="198">
        <f t="shared" si="312"/>
        <v>45391</v>
      </c>
      <c r="E3816" s="209">
        <f t="shared" ref="E3816:E3828" si="315">DATE(A3816,B3816,C3816)</f>
        <v>45391</v>
      </c>
      <c r="F3816" s="513" t="s">
        <v>1210</v>
      </c>
      <c r="G3816" s="200" t="s">
        <v>1209</v>
      </c>
      <c r="H3816" s="201"/>
      <c r="I3816" s="201" t="s">
        <v>1605</v>
      </c>
      <c r="J3816" s="197" t="s">
        <v>46</v>
      </c>
      <c r="K3816" s="202">
        <v>50008</v>
      </c>
      <c r="L3816" s="202"/>
    </row>
    <row r="3817" spans="1:14" ht="11.25" customHeight="1" x14ac:dyDescent="0.2">
      <c r="A3817" s="120">
        <v>2024</v>
      </c>
      <c r="B3817" s="120">
        <v>4</v>
      </c>
      <c r="C3817" s="120">
        <v>9</v>
      </c>
      <c r="D3817" s="208">
        <f t="shared" si="312"/>
        <v>45391</v>
      </c>
      <c r="E3817" s="209">
        <f t="shared" si="315"/>
        <v>45391</v>
      </c>
      <c r="F3817" s="515"/>
      <c r="G3817" s="132" t="s">
        <v>1209</v>
      </c>
      <c r="I3817" s="128" t="s">
        <v>1605</v>
      </c>
      <c r="J3817" s="120" t="s">
        <v>16</v>
      </c>
      <c r="K3817" s="207"/>
      <c r="L3817" s="207">
        <v>45770</v>
      </c>
    </row>
    <row r="3818" spans="1:14" ht="12" customHeight="1" x14ac:dyDescent="0.2">
      <c r="A3818" s="191">
        <v>2024</v>
      </c>
      <c r="B3818" s="191">
        <v>4</v>
      </c>
      <c r="C3818" s="191">
        <v>9</v>
      </c>
      <c r="D3818" s="192">
        <f t="shared" si="312"/>
        <v>45391</v>
      </c>
      <c r="E3818" s="193">
        <f t="shared" si="315"/>
        <v>45391</v>
      </c>
      <c r="F3818" s="514"/>
      <c r="G3818" s="194" t="s">
        <v>1209</v>
      </c>
      <c r="H3818" s="195"/>
      <c r="I3818" s="195" t="s">
        <v>1605</v>
      </c>
      <c r="J3818" s="191" t="s">
        <v>47</v>
      </c>
      <c r="K3818" s="196"/>
      <c r="L3818" s="196">
        <v>4238</v>
      </c>
    </row>
    <row r="3819" spans="1:14" ht="11.25" customHeight="1" x14ac:dyDescent="0.2">
      <c r="A3819" s="197">
        <v>2024</v>
      </c>
      <c r="B3819" s="197">
        <v>4</v>
      </c>
      <c r="C3819" s="197">
        <v>9</v>
      </c>
      <c r="D3819" s="198">
        <f t="shared" si="312"/>
        <v>45391</v>
      </c>
      <c r="E3819" s="209">
        <f t="shared" si="315"/>
        <v>45391</v>
      </c>
      <c r="F3819" s="513" t="s">
        <v>1210</v>
      </c>
      <c r="G3819" s="200" t="s">
        <v>1209</v>
      </c>
      <c r="H3819" s="201"/>
      <c r="I3819" s="201" t="s">
        <v>658</v>
      </c>
      <c r="J3819" s="197" t="s">
        <v>46</v>
      </c>
      <c r="K3819" s="202">
        <v>1092000</v>
      </c>
      <c r="L3819" s="202"/>
    </row>
    <row r="3820" spans="1:14" ht="11.25" customHeight="1" x14ac:dyDescent="0.2">
      <c r="A3820" s="120">
        <v>2024</v>
      </c>
      <c r="B3820" s="120">
        <v>4</v>
      </c>
      <c r="C3820" s="120">
        <v>9</v>
      </c>
      <c r="D3820" s="208">
        <f t="shared" si="312"/>
        <v>45391</v>
      </c>
      <c r="E3820" s="209">
        <f t="shared" si="315"/>
        <v>45391</v>
      </c>
      <c r="F3820" s="515"/>
      <c r="G3820" s="132" t="s">
        <v>1209</v>
      </c>
      <c r="I3820" s="128" t="s">
        <v>658</v>
      </c>
      <c r="J3820" s="120" t="s">
        <v>16</v>
      </c>
      <c r="K3820" s="207"/>
      <c r="L3820" s="207">
        <v>999450</v>
      </c>
    </row>
    <row r="3821" spans="1:14" ht="12" customHeight="1" x14ac:dyDescent="0.2">
      <c r="A3821" s="191">
        <v>2024</v>
      </c>
      <c r="B3821" s="191">
        <v>4</v>
      </c>
      <c r="C3821" s="191">
        <v>9</v>
      </c>
      <c r="D3821" s="192">
        <f t="shared" si="312"/>
        <v>45391</v>
      </c>
      <c r="E3821" s="193">
        <f t="shared" si="315"/>
        <v>45391</v>
      </c>
      <c r="F3821" s="514"/>
      <c r="G3821" s="194" t="s">
        <v>1209</v>
      </c>
      <c r="H3821" s="195"/>
      <c r="I3821" s="195" t="s">
        <v>658</v>
      </c>
      <c r="J3821" s="191" t="s">
        <v>47</v>
      </c>
      <c r="K3821" s="196"/>
      <c r="L3821" s="196">
        <v>92550</v>
      </c>
    </row>
    <row r="3822" spans="1:14" ht="11.25" customHeight="1" x14ac:dyDescent="0.2">
      <c r="A3822" s="197">
        <v>2024</v>
      </c>
      <c r="B3822" s="197">
        <v>4</v>
      </c>
      <c r="C3822" s="197">
        <v>9</v>
      </c>
      <c r="D3822" s="198">
        <f t="shared" si="312"/>
        <v>45391</v>
      </c>
      <c r="E3822" s="209">
        <f t="shared" si="315"/>
        <v>45391</v>
      </c>
      <c r="F3822" s="513" t="s">
        <v>1210</v>
      </c>
      <c r="G3822" s="200" t="s">
        <v>1209</v>
      </c>
      <c r="H3822" s="201"/>
      <c r="I3822" s="201" t="s">
        <v>658</v>
      </c>
      <c r="J3822" s="197" t="s">
        <v>46</v>
      </c>
      <c r="K3822" s="202">
        <v>600</v>
      </c>
      <c r="L3822" s="202"/>
    </row>
    <row r="3823" spans="1:14" ht="11.25" customHeight="1" x14ac:dyDescent="0.2">
      <c r="A3823" s="120">
        <v>2024</v>
      </c>
      <c r="B3823" s="120">
        <v>4</v>
      </c>
      <c r="C3823" s="120">
        <v>9</v>
      </c>
      <c r="D3823" s="208">
        <f t="shared" si="312"/>
        <v>45391</v>
      </c>
      <c r="E3823" s="209">
        <f t="shared" si="315"/>
        <v>45391</v>
      </c>
      <c r="F3823" s="515"/>
      <c r="G3823" s="132" t="s">
        <v>1209</v>
      </c>
      <c r="I3823" s="128" t="s">
        <v>658</v>
      </c>
      <c r="J3823" s="120" t="s">
        <v>16</v>
      </c>
      <c r="K3823" s="207"/>
      <c r="L3823" s="207">
        <v>550</v>
      </c>
    </row>
    <row r="3824" spans="1:14" ht="12" customHeight="1" x14ac:dyDescent="0.2">
      <c r="A3824" s="191">
        <v>2024</v>
      </c>
      <c r="B3824" s="191">
        <v>4</v>
      </c>
      <c r="C3824" s="191">
        <v>9</v>
      </c>
      <c r="D3824" s="192">
        <f t="shared" si="312"/>
        <v>45391</v>
      </c>
      <c r="E3824" s="193">
        <f t="shared" si="315"/>
        <v>45391</v>
      </c>
      <c r="F3824" s="514"/>
      <c r="G3824" s="194" t="s">
        <v>1209</v>
      </c>
      <c r="H3824" s="195"/>
      <c r="I3824" s="195" t="s">
        <v>658</v>
      </c>
      <c r="J3824" s="191" t="s">
        <v>47</v>
      </c>
      <c r="K3824" s="196"/>
      <c r="L3824" s="196">
        <v>50</v>
      </c>
    </row>
    <row r="3825" spans="1:15" ht="11.25" customHeight="1" x14ac:dyDescent="0.2">
      <c r="A3825" s="197">
        <v>2024</v>
      </c>
      <c r="B3825" s="197">
        <v>4</v>
      </c>
      <c r="C3825" s="197">
        <v>9</v>
      </c>
      <c r="D3825" s="198">
        <f t="shared" si="312"/>
        <v>45391</v>
      </c>
      <c r="E3825" s="290">
        <f t="shared" si="315"/>
        <v>45391</v>
      </c>
      <c r="F3825" s="513" t="s">
        <v>1514</v>
      </c>
      <c r="G3825" s="200" t="s">
        <v>1209</v>
      </c>
      <c r="H3825" s="201"/>
      <c r="I3825" s="201"/>
      <c r="J3825" s="197" t="s">
        <v>54</v>
      </c>
      <c r="K3825" s="202">
        <v>60</v>
      </c>
      <c r="L3825" s="202"/>
      <c r="M3825" s="251"/>
      <c r="N3825" s="251"/>
      <c r="O3825" s="251"/>
    </row>
    <row r="3826" spans="1:15" ht="11.25" customHeight="1" x14ac:dyDescent="0.2">
      <c r="A3826" s="191">
        <v>2024</v>
      </c>
      <c r="B3826" s="191">
        <v>4</v>
      </c>
      <c r="C3826" s="191">
        <v>9</v>
      </c>
      <c r="D3826" s="192">
        <f t="shared" si="312"/>
        <v>45391</v>
      </c>
      <c r="E3826" s="291">
        <f t="shared" si="315"/>
        <v>45391</v>
      </c>
      <c r="F3826" s="514"/>
      <c r="G3826" s="194" t="s">
        <v>1209</v>
      </c>
      <c r="H3826" s="195"/>
      <c r="I3826" s="195"/>
      <c r="J3826" s="191" t="s">
        <v>46</v>
      </c>
      <c r="K3826" s="196"/>
      <c r="L3826" s="196">
        <v>60</v>
      </c>
      <c r="M3826" s="251"/>
      <c r="N3826" s="251"/>
      <c r="O3826" s="251"/>
    </row>
    <row r="3827" spans="1:15" ht="11.25" customHeight="1" x14ac:dyDescent="0.2">
      <c r="A3827" s="197">
        <v>2024</v>
      </c>
      <c r="B3827" s="197">
        <v>4</v>
      </c>
      <c r="C3827" s="197">
        <v>9</v>
      </c>
      <c r="D3827" s="198">
        <f t="shared" si="312"/>
        <v>45391</v>
      </c>
      <c r="E3827" s="290">
        <f t="shared" si="315"/>
        <v>45391</v>
      </c>
      <c r="F3827" s="513" t="s">
        <v>1517</v>
      </c>
      <c r="G3827" s="200" t="s">
        <v>1209</v>
      </c>
      <c r="H3827" s="201"/>
      <c r="I3827" s="201"/>
      <c r="J3827" s="197" t="s">
        <v>54</v>
      </c>
      <c r="K3827" s="202">
        <v>100</v>
      </c>
      <c r="L3827" s="202"/>
      <c r="M3827" s="251"/>
      <c r="N3827" s="251"/>
      <c r="O3827" s="251"/>
    </row>
    <row r="3828" spans="1:15" ht="11.25" customHeight="1" x14ac:dyDescent="0.2">
      <c r="A3828" s="191">
        <v>2024</v>
      </c>
      <c r="B3828" s="191">
        <v>4</v>
      </c>
      <c r="C3828" s="191">
        <v>9</v>
      </c>
      <c r="D3828" s="192">
        <f t="shared" si="312"/>
        <v>45391</v>
      </c>
      <c r="E3828" s="291">
        <f t="shared" si="315"/>
        <v>45391</v>
      </c>
      <c r="F3828" s="514"/>
      <c r="G3828" s="194" t="s">
        <v>1209</v>
      </c>
      <c r="H3828" s="195"/>
      <c r="I3828" s="195"/>
      <c r="J3828" s="191" t="s">
        <v>46</v>
      </c>
      <c r="K3828" s="196"/>
      <c r="L3828" s="196">
        <v>100</v>
      </c>
      <c r="M3828" s="251"/>
      <c r="N3828" s="251"/>
      <c r="O3828" s="251"/>
    </row>
    <row r="3829" spans="1:15" ht="11.25" customHeight="1" x14ac:dyDescent="0.2">
      <c r="A3829" s="210">
        <v>2024</v>
      </c>
      <c r="B3829" s="210">
        <v>4</v>
      </c>
      <c r="C3829" s="210">
        <v>9</v>
      </c>
      <c r="D3829" s="211">
        <f t="shared" si="312"/>
        <v>45391</v>
      </c>
      <c r="E3829" s="238">
        <f t="shared" ref="E3829:E3831" si="316">DATE(A3829,B3829,C3829)</f>
        <v>45391</v>
      </c>
      <c r="F3829" s="520" t="s">
        <v>1278</v>
      </c>
      <c r="G3829" s="213" t="s">
        <v>1245</v>
      </c>
      <c r="H3829" s="214"/>
      <c r="I3829" s="214" t="s">
        <v>1253</v>
      </c>
      <c r="J3829" s="210" t="s">
        <v>1529</v>
      </c>
      <c r="K3829" s="215">
        <v>7491.85</v>
      </c>
      <c r="L3829" s="215"/>
    </row>
    <row r="3830" spans="1:15" ht="11.25" customHeight="1" x14ac:dyDescent="0.2">
      <c r="A3830" s="216">
        <v>2024</v>
      </c>
      <c r="B3830" s="216">
        <v>4</v>
      </c>
      <c r="C3830" s="216">
        <v>9</v>
      </c>
      <c r="D3830" s="217">
        <f t="shared" si="312"/>
        <v>45391</v>
      </c>
      <c r="E3830" s="239">
        <f t="shared" si="316"/>
        <v>45391</v>
      </c>
      <c r="F3830" s="521"/>
      <c r="G3830" s="219" t="s">
        <v>1245</v>
      </c>
      <c r="H3830" s="220"/>
      <c r="I3830" s="220" t="s">
        <v>1253</v>
      </c>
      <c r="J3830" s="216" t="s">
        <v>1581</v>
      </c>
      <c r="K3830" s="221"/>
      <c r="L3830" s="221">
        <v>7491.85</v>
      </c>
    </row>
    <row r="3831" spans="1:15" ht="11.25" customHeight="1" x14ac:dyDescent="0.2">
      <c r="A3831" s="210">
        <v>2024</v>
      </c>
      <c r="B3831" s="210">
        <v>4</v>
      </c>
      <c r="C3831" s="210">
        <v>9</v>
      </c>
      <c r="D3831" s="211">
        <f t="shared" si="312"/>
        <v>45391</v>
      </c>
      <c r="E3831" s="238">
        <f t="shared" si="316"/>
        <v>45391</v>
      </c>
      <c r="F3831" s="520" t="s">
        <v>1285</v>
      </c>
      <c r="G3831" s="213" t="s">
        <v>1245</v>
      </c>
      <c r="H3831" s="214"/>
      <c r="I3831" s="214" t="s">
        <v>1253</v>
      </c>
      <c r="J3831" s="210" t="s">
        <v>1284</v>
      </c>
      <c r="K3831" s="215">
        <v>10290.504807692309</v>
      </c>
      <c r="L3831" s="215"/>
    </row>
    <row r="3832" spans="1:15" ht="11.25" customHeight="1" x14ac:dyDescent="0.2">
      <c r="A3832" s="242">
        <v>2024</v>
      </c>
      <c r="B3832" s="242">
        <v>4</v>
      </c>
      <c r="C3832" s="242">
        <v>9</v>
      </c>
      <c r="D3832" s="243">
        <f t="shared" si="312"/>
        <v>45391</v>
      </c>
      <c r="E3832" s="244">
        <f>DATE(A3832,B3832,C3832)</f>
        <v>45391</v>
      </c>
      <c r="F3832" s="524"/>
      <c r="G3832" s="245" t="s">
        <v>1245</v>
      </c>
      <c r="H3832" s="246"/>
      <c r="I3832" s="246"/>
      <c r="J3832" s="242" t="s">
        <v>1582</v>
      </c>
      <c r="K3832" s="247"/>
      <c r="L3832" s="247">
        <v>10290.504807692309</v>
      </c>
    </row>
    <row r="3833" spans="1:15" ht="11.25" customHeight="1" x14ac:dyDescent="0.2">
      <c r="A3833" s="210">
        <v>2024</v>
      </c>
      <c r="B3833" s="210">
        <v>4</v>
      </c>
      <c r="C3833" s="210">
        <v>9</v>
      </c>
      <c r="D3833" s="211">
        <f t="shared" si="312"/>
        <v>45391</v>
      </c>
      <c r="E3833" s="238">
        <f t="shared" ref="E3833:E3846" si="317">DATE(A3833,B3833,C3833)</f>
        <v>45391</v>
      </c>
      <c r="F3833" s="520" t="s">
        <v>1259</v>
      </c>
      <c r="G3833" s="213" t="s">
        <v>1245</v>
      </c>
      <c r="H3833" s="214"/>
      <c r="I3833" s="214" t="s">
        <v>1253</v>
      </c>
      <c r="J3833" s="210" t="s">
        <v>58</v>
      </c>
      <c r="K3833" s="215">
        <v>77673.36</v>
      </c>
      <c r="L3833" s="215"/>
    </row>
    <row r="3834" spans="1:15" ht="11.25" customHeight="1" x14ac:dyDescent="0.2">
      <c r="A3834" s="216">
        <v>2024</v>
      </c>
      <c r="B3834" s="216">
        <v>4</v>
      </c>
      <c r="C3834" s="216">
        <v>9</v>
      </c>
      <c r="D3834" s="217">
        <f t="shared" si="312"/>
        <v>45391</v>
      </c>
      <c r="E3834" s="239">
        <f t="shared" si="317"/>
        <v>45391</v>
      </c>
      <c r="F3834" s="521"/>
      <c r="G3834" s="219" t="s">
        <v>1245</v>
      </c>
      <c r="H3834" s="220"/>
      <c r="I3834" s="220" t="s">
        <v>1253</v>
      </c>
      <c r="J3834" s="216" t="s">
        <v>153</v>
      </c>
      <c r="K3834" s="221"/>
      <c r="L3834" s="221">
        <v>77673.36</v>
      </c>
    </row>
    <row r="3835" spans="1:15" ht="11.25" customHeight="1" x14ac:dyDescent="0.2">
      <c r="A3835" s="312">
        <v>2024</v>
      </c>
      <c r="B3835" s="312">
        <v>4</v>
      </c>
      <c r="C3835" s="312">
        <v>9</v>
      </c>
      <c r="D3835" s="313">
        <f t="shared" si="312"/>
        <v>45391</v>
      </c>
      <c r="E3835" s="314">
        <f t="shared" si="317"/>
        <v>45391</v>
      </c>
      <c r="F3835" s="522" t="s">
        <v>1477</v>
      </c>
      <c r="G3835" s="315" t="s">
        <v>1245</v>
      </c>
      <c r="H3835" s="316"/>
      <c r="I3835" s="316" t="s">
        <v>1253</v>
      </c>
      <c r="J3835" s="312" t="s">
        <v>1458</v>
      </c>
      <c r="K3835" s="317">
        <v>1058913.599999994</v>
      </c>
      <c r="L3835" s="317"/>
    </row>
    <row r="3836" spans="1:15" ht="11.25" customHeight="1" x14ac:dyDescent="0.2">
      <c r="A3836" s="318">
        <v>2024</v>
      </c>
      <c r="B3836" s="318">
        <v>4</v>
      </c>
      <c r="C3836" s="318">
        <v>9</v>
      </c>
      <c r="D3836" s="319">
        <f t="shared" si="312"/>
        <v>45391</v>
      </c>
      <c r="E3836" s="320">
        <f t="shared" si="317"/>
        <v>45391</v>
      </c>
      <c r="F3836" s="523"/>
      <c r="G3836" s="321" t="s">
        <v>1245</v>
      </c>
      <c r="H3836" s="322"/>
      <c r="I3836" s="322" t="s">
        <v>1253</v>
      </c>
      <c r="J3836" s="318" t="s">
        <v>1460</v>
      </c>
      <c r="K3836" s="323"/>
      <c r="L3836" s="323">
        <v>1058913.599999994</v>
      </c>
    </row>
    <row r="3837" spans="1:15" ht="11.25" customHeight="1" x14ac:dyDescent="0.2">
      <c r="A3837" s="312">
        <v>2024</v>
      </c>
      <c r="B3837" s="312">
        <v>4</v>
      </c>
      <c r="C3837" s="312">
        <v>9</v>
      </c>
      <c r="D3837" s="313">
        <f t="shared" si="312"/>
        <v>45391</v>
      </c>
      <c r="E3837" s="314">
        <f t="shared" si="317"/>
        <v>45391</v>
      </c>
      <c r="F3837" s="522" t="s">
        <v>1595</v>
      </c>
      <c r="G3837" s="315" t="s">
        <v>1245</v>
      </c>
      <c r="H3837" s="316"/>
      <c r="I3837" s="316" t="s">
        <v>1253</v>
      </c>
      <c r="J3837" s="312" t="s">
        <v>1461</v>
      </c>
      <c r="K3837" s="317">
        <v>238644.00999999046</v>
      </c>
      <c r="L3837" s="317"/>
    </row>
    <row r="3838" spans="1:15" ht="11.25" customHeight="1" x14ac:dyDescent="0.2">
      <c r="A3838" s="318">
        <v>2024</v>
      </c>
      <c r="B3838" s="318">
        <v>4</v>
      </c>
      <c r="C3838" s="318">
        <v>9</v>
      </c>
      <c r="D3838" s="319">
        <f t="shared" si="312"/>
        <v>45391</v>
      </c>
      <c r="E3838" s="320">
        <f t="shared" si="317"/>
        <v>45391</v>
      </c>
      <c r="F3838" s="523"/>
      <c r="G3838" s="321" t="s">
        <v>1245</v>
      </c>
      <c r="H3838" s="322"/>
      <c r="I3838" s="322" t="s">
        <v>1253</v>
      </c>
      <c r="J3838" s="318" t="s">
        <v>1459</v>
      </c>
      <c r="K3838" s="323"/>
      <c r="L3838" s="323">
        <v>238644.00999999046</v>
      </c>
    </row>
    <row r="3839" spans="1:15" ht="11.25" customHeight="1" x14ac:dyDescent="0.2">
      <c r="A3839" s="222">
        <v>2024</v>
      </c>
      <c r="B3839" s="222">
        <v>4</v>
      </c>
      <c r="C3839" s="222">
        <v>9</v>
      </c>
      <c r="D3839" s="223">
        <f t="shared" si="312"/>
        <v>45391</v>
      </c>
      <c r="E3839" s="240">
        <f t="shared" si="317"/>
        <v>45391</v>
      </c>
      <c r="F3839" s="511" t="s">
        <v>1244</v>
      </c>
      <c r="G3839" s="225" t="s">
        <v>1245</v>
      </c>
      <c r="H3839" s="226"/>
      <c r="I3839" s="226" t="s">
        <v>1253</v>
      </c>
      <c r="J3839" s="222" t="s">
        <v>87</v>
      </c>
      <c r="K3839" s="227">
        <v>38795.410000000149</v>
      </c>
      <c r="L3839" s="227"/>
    </row>
    <row r="3840" spans="1:15" ht="11.25" customHeight="1" x14ac:dyDescent="0.2">
      <c r="A3840" s="228">
        <v>2024</v>
      </c>
      <c r="B3840" s="228">
        <v>4</v>
      </c>
      <c r="C3840" s="228">
        <v>9</v>
      </c>
      <c r="D3840" s="229">
        <f t="shared" si="312"/>
        <v>45391</v>
      </c>
      <c r="E3840" s="241">
        <f t="shared" si="317"/>
        <v>45391</v>
      </c>
      <c r="F3840" s="512"/>
      <c r="G3840" s="231" t="s">
        <v>1245</v>
      </c>
      <c r="H3840" s="232"/>
      <c r="I3840" s="232" t="s">
        <v>1253</v>
      </c>
      <c r="J3840" s="228" t="s">
        <v>72</v>
      </c>
      <c r="K3840" s="233"/>
      <c r="L3840" s="233">
        <v>38795.410000000149</v>
      </c>
    </row>
    <row r="3841" spans="1:14" ht="11.25" customHeight="1" x14ac:dyDescent="0.2">
      <c r="A3841" s="222">
        <v>2024</v>
      </c>
      <c r="B3841" s="222">
        <v>4</v>
      </c>
      <c r="C3841" s="222">
        <v>9</v>
      </c>
      <c r="D3841" s="223">
        <f t="shared" si="312"/>
        <v>45391</v>
      </c>
      <c r="E3841" s="240">
        <f t="shared" si="317"/>
        <v>45391</v>
      </c>
      <c r="F3841" s="511" t="s">
        <v>1246</v>
      </c>
      <c r="G3841" s="225" t="s">
        <v>1245</v>
      </c>
      <c r="H3841" s="226"/>
      <c r="I3841" s="226" t="s">
        <v>1253</v>
      </c>
      <c r="J3841" s="222" t="s">
        <v>75</v>
      </c>
      <c r="K3841" s="227">
        <v>3623.123846153846</v>
      </c>
      <c r="L3841" s="227"/>
    </row>
    <row r="3842" spans="1:14" ht="11.25" customHeight="1" x14ac:dyDescent="0.2">
      <c r="A3842" s="228">
        <v>2024</v>
      </c>
      <c r="B3842" s="228">
        <v>4</v>
      </c>
      <c r="C3842" s="228">
        <v>9</v>
      </c>
      <c r="D3842" s="229">
        <f t="shared" si="312"/>
        <v>45391</v>
      </c>
      <c r="E3842" s="241">
        <f t="shared" si="317"/>
        <v>45391</v>
      </c>
      <c r="F3842" s="512"/>
      <c r="G3842" s="231" t="s">
        <v>1245</v>
      </c>
      <c r="H3842" s="232"/>
      <c r="I3842" s="232" t="s">
        <v>1253</v>
      </c>
      <c r="J3842" s="228" t="s">
        <v>55</v>
      </c>
      <c r="K3842" s="233"/>
      <c r="L3842" s="233">
        <v>3623.123846153846</v>
      </c>
    </row>
    <row r="3843" spans="1:14" ht="11.25" customHeight="1" x14ac:dyDescent="0.2">
      <c r="A3843" s="222">
        <v>2024</v>
      </c>
      <c r="B3843" s="222">
        <v>4</v>
      </c>
      <c r="C3843" s="222">
        <v>9</v>
      </c>
      <c r="D3843" s="223">
        <f t="shared" si="312"/>
        <v>45391</v>
      </c>
      <c r="E3843" s="240">
        <f t="shared" si="317"/>
        <v>45391</v>
      </c>
      <c r="F3843" s="511" t="s">
        <v>1247</v>
      </c>
      <c r="G3843" s="225" t="s">
        <v>1245</v>
      </c>
      <c r="H3843" s="226"/>
      <c r="I3843" s="226" t="s">
        <v>1253</v>
      </c>
      <c r="J3843" s="222" t="s">
        <v>77</v>
      </c>
      <c r="K3843" s="227">
        <f>M3843</f>
        <v>23083.771562349812</v>
      </c>
      <c r="L3843" s="227"/>
      <c r="M3843" s="120">
        <v>23083.771562349812</v>
      </c>
    </row>
    <row r="3844" spans="1:14" ht="11.25" customHeight="1" x14ac:dyDescent="0.2">
      <c r="A3844" s="228">
        <v>2024</v>
      </c>
      <c r="B3844" s="228">
        <v>4</v>
      </c>
      <c r="C3844" s="228">
        <v>9</v>
      </c>
      <c r="D3844" s="229">
        <f t="shared" si="312"/>
        <v>45391</v>
      </c>
      <c r="E3844" s="241">
        <f t="shared" si="317"/>
        <v>45391</v>
      </c>
      <c r="F3844" s="512"/>
      <c r="G3844" s="231" t="s">
        <v>1245</v>
      </c>
      <c r="H3844" s="232"/>
      <c r="I3844" s="232" t="s">
        <v>1253</v>
      </c>
      <c r="J3844" s="228" t="s">
        <v>41</v>
      </c>
      <c r="K3844" s="233"/>
      <c r="L3844" s="233">
        <f>K3843</f>
        <v>23083.771562349812</v>
      </c>
      <c r="M3844" s="120">
        <v>2308.3771562349812</v>
      </c>
    </row>
    <row r="3845" spans="1:14" ht="11.25" customHeight="1" x14ac:dyDescent="0.2">
      <c r="A3845" s="222">
        <v>2024</v>
      </c>
      <c r="B3845" s="222">
        <v>4</v>
      </c>
      <c r="C3845" s="222">
        <v>9</v>
      </c>
      <c r="D3845" s="223">
        <f t="shared" si="312"/>
        <v>45391</v>
      </c>
      <c r="E3845" s="240">
        <f t="shared" si="317"/>
        <v>45391</v>
      </c>
      <c r="F3845" s="511" t="s">
        <v>1248</v>
      </c>
      <c r="G3845" s="225" t="s">
        <v>1245</v>
      </c>
      <c r="H3845" s="226"/>
      <c r="I3845" s="226" t="s">
        <v>1253</v>
      </c>
      <c r="J3845" s="222" t="s">
        <v>80</v>
      </c>
      <c r="K3845" s="227">
        <f>M3844</f>
        <v>2308.3771562349812</v>
      </c>
      <c r="L3845" s="227"/>
    </row>
    <row r="3846" spans="1:14" ht="11.25" customHeight="1" x14ac:dyDescent="0.2">
      <c r="A3846" s="228">
        <v>2024</v>
      </c>
      <c r="B3846" s="228">
        <v>4</v>
      </c>
      <c r="C3846" s="228">
        <v>9</v>
      </c>
      <c r="D3846" s="229">
        <f t="shared" si="312"/>
        <v>45391</v>
      </c>
      <c r="E3846" s="241">
        <f t="shared" si="317"/>
        <v>45391</v>
      </c>
      <c r="F3846" s="512"/>
      <c r="G3846" s="231" t="s">
        <v>1245</v>
      </c>
      <c r="H3846" s="232"/>
      <c r="I3846" s="232" t="s">
        <v>1253</v>
      </c>
      <c r="J3846" s="228" t="s">
        <v>42</v>
      </c>
      <c r="K3846" s="233"/>
      <c r="L3846" s="233">
        <f>K3845</f>
        <v>2308.3771562349812</v>
      </c>
    </row>
    <row r="3847" spans="1:14" ht="11.25" customHeight="1" x14ac:dyDescent="0.2">
      <c r="A3847" s="197">
        <v>2024</v>
      </c>
      <c r="B3847" s="197">
        <v>4</v>
      </c>
      <c r="C3847" s="197">
        <v>15</v>
      </c>
      <c r="D3847" s="198">
        <f t="shared" si="312"/>
        <v>45397</v>
      </c>
      <c r="E3847" s="209">
        <f>DATE(A3847,B3847,C3847)</f>
        <v>45397</v>
      </c>
      <c r="F3847" s="513" t="s">
        <v>1296</v>
      </c>
      <c r="G3847" s="200" t="s">
        <v>1209</v>
      </c>
      <c r="H3847" s="201"/>
      <c r="I3847" s="201"/>
      <c r="J3847" s="197" t="s">
        <v>46</v>
      </c>
      <c r="K3847" s="202">
        <v>36000</v>
      </c>
      <c r="L3847" s="202"/>
    </row>
    <row r="3848" spans="1:14" ht="11.25" customHeight="1" x14ac:dyDescent="0.2">
      <c r="A3848" s="120">
        <v>2024</v>
      </c>
      <c r="B3848" s="120">
        <v>4</v>
      </c>
      <c r="C3848" s="120">
        <v>15</v>
      </c>
      <c r="D3848" s="208">
        <f t="shared" si="312"/>
        <v>45397</v>
      </c>
      <c r="E3848" s="209">
        <f>DATE(A3848,B3848,C3848)</f>
        <v>45397</v>
      </c>
      <c r="F3848" s="515"/>
      <c r="G3848" s="132" t="s">
        <v>1209</v>
      </c>
      <c r="J3848" s="120" t="s">
        <v>16</v>
      </c>
      <c r="K3848" s="207"/>
      <c r="L3848" s="207">
        <v>32820</v>
      </c>
    </row>
    <row r="3849" spans="1:14" ht="12" customHeight="1" x14ac:dyDescent="0.2">
      <c r="A3849" s="191">
        <v>2024</v>
      </c>
      <c r="B3849" s="191">
        <v>4</v>
      </c>
      <c r="C3849" s="191">
        <v>15</v>
      </c>
      <c r="D3849" s="192">
        <f t="shared" si="312"/>
        <v>45397</v>
      </c>
      <c r="E3849" s="193">
        <f>DATE(A3849,B3849,C3849)</f>
        <v>45397</v>
      </c>
      <c r="F3849" s="514"/>
      <c r="G3849" s="194" t="s">
        <v>1209</v>
      </c>
      <c r="H3849" s="195"/>
      <c r="I3849" s="195"/>
      <c r="J3849" s="191" t="s">
        <v>47</v>
      </c>
      <c r="K3849" s="196"/>
      <c r="L3849" s="196">
        <v>3180</v>
      </c>
    </row>
    <row r="3850" spans="1:14" ht="11.25" customHeight="1" x14ac:dyDescent="0.2">
      <c r="A3850" s="197">
        <v>2024</v>
      </c>
      <c r="B3850" s="197">
        <v>4</v>
      </c>
      <c r="C3850" s="197">
        <v>15</v>
      </c>
      <c r="D3850" s="198">
        <f t="shared" si="312"/>
        <v>45397</v>
      </c>
      <c r="E3850" s="209">
        <f t="shared" ref="E3850:E3857" si="318">DATE(A3850,B3850,C3850)</f>
        <v>45397</v>
      </c>
      <c r="F3850" s="513" t="s">
        <v>1423</v>
      </c>
      <c r="G3850" s="200" t="s">
        <v>1209</v>
      </c>
      <c r="H3850" s="201"/>
      <c r="I3850" s="201" t="s">
        <v>355</v>
      </c>
      <c r="J3850" s="197" t="s">
        <v>16</v>
      </c>
      <c r="K3850" s="202">
        <v>9130</v>
      </c>
      <c r="L3850" s="202"/>
    </row>
    <row r="3851" spans="1:14" ht="11.25" customHeight="1" x14ac:dyDescent="0.2">
      <c r="A3851" s="120">
        <v>2024</v>
      </c>
      <c r="B3851" s="120">
        <v>4</v>
      </c>
      <c r="C3851" s="120">
        <v>15</v>
      </c>
      <c r="D3851" s="208">
        <f t="shared" si="312"/>
        <v>45397</v>
      </c>
      <c r="E3851" s="209">
        <f t="shared" si="318"/>
        <v>45397</v>
      </c>
      <c r="F3851" s="515"/>
      <c r="G3851" s="132" t="s">
        <v>1209</v>
      </c>
      <c r="I3851" s="128" t="s">
        <v>355</v>
      </c>
      <c r="J3851" s="120" t="s">
        <v>47</v>
      </c>
      <c r="K3851" s="207">
        <v>870</v>
      </c>
      <c r="L3851" s="207"/>
    </row>
    <row r="3852" spans="1:14" ht="11.25" customHeight="1" x14ac:dyDescent="0.2">
      <c r="A3852" s="191">
        <v>2024</v>
      </c>
      <c r="B3852" s="191">
        <v>4</v>
      </c>
      <c r="C3852" s="191">
        <v>15</v>
      </c>
      <c r="D3852" s="192">
        <f t="shared" si="312"/>
        <v>45397</v>
      </c>
      <c r="E3852" s="193">
        <f t="shared" si="318"/>
        <v>45397</v>
      </c>
      <c r="F3852" s="514"/>
      <c r="G3852" s="194" t="s">
        <v>1209</v>
      </c>
      <c r="H3852" s="195"/>
      <c r="I3852" s="195" t="s">
        <v>355</v>
      </c>
      <c r="J3852" s="191" t="s">
        <v>46</v>
      </c>
      <c r="K3852" s="196"/>
      <c r="L3852" s="196">
        <v>10000</v>
      </c>
    </row>
    <row r="3853" spans="1:14" ht="11.25" customHeight="1" x14ac:dyDescent="0.2">
      <c r="A3853" s="197">
        <v>2024</v>
      </c>
      <c r="B3853" s="197">
        <v>4</v>
      </c>
      <c r="C3853" s="197">
        <v>15</v>
      </c>
      <c r="D3853" s="198">
        <f t="shared" si="312"/>
        <v>45397</v>
      </c>
      <c r="E3853" s="199">
        <f t="shared" si="318"/>
        <v>45397</v>
      </c>
      <c r="F3853" s="513" t="s">
        <v>1609</v>
      </c>
      <c r="G3853" s="200" t="s">
        <v>1209</v>
      </c>
      <c r="H3853" s="201"/>
      <c r="I3853" s="201" t="s">
        <v>1253</v>
      </c>
      <c r="J3853" s="197" t="s">
        <v>46</v>
      </c>
      <c r="K3853" s="202">
        <v>6200000</v>
      </c>
      <c r="L3853" s="202"/>
    </row>
    <row r="3854" spans="1:14" ht="11.25" customHeight="1" x14ac:dyDescent="0.2">
      <c r="A3854" s="120">
        <v>2024</v>
      </c>
      <c r="B3854" s="120">
        <v>4</v>
      </c>
      <c r="C3854" s="120">
        <v>15</v>
      </c>
      <c r="D3854" s="208">
        <f t="shared" si="312"/>
        <v>45397</v>
      </c>
      <c r="E3854" s="209">
        <f t="shared" si="318"/>
        <v>45397</v>
      </c>
      <c r="F3854" s="515"/>
      <c r="G3854" s="132" t="s">
        <v>1209</v>
      </c>
      <c r="J3854" s="120" t="s">
        <v>1462</v>
      </c>
      <c r="K3854" s="120"/>
      <c r="L3854" s="207">
        <v>169154.59999999963</v>
      </c>
    </row>
    <row r="3855" spans="1:14" ht="11.25" customHeight="1" x14ac:dyDescent="0.2">
      <c r="A3855" s="191">
        <v>2024</v>
      </c>
      <c r="B3855" s="191">
        <v>4</v>
      </c>
      <c r="C3855" s="191">
        <v>15</v>
      </c>
      <c r="D3855" s="192">
        <f t="shared" si="312"/>
        <v>45397</v>
      </c>
      <c r="E3855" s="193">
        <f t="shared" si="318"/>
        <v>45397</v>
      </c>
      <c r="F3855" s="514"/>
      <c r="G3855" s="194" t="s">
        <v>1209</v>
      </c>
      <c r="H3855" s="195"/>
      <c r="I3855" s="195" t="s">
        <v>1253</v>
      </c>
      <c r="J3855" s="191" t="s">
        <v>1455</v>
      </c>
      <c r="K3855" s="196"/>
      <c r="L3855" s="196">
        <v>6030845.4000000004</v>
      </c>
      <c r="N3855" s="130"/>
    </row>
    <row r="3856" spans="1:14" ht="11.25" customHeight="1" x14ac:dyDescent="0.2">
      <c r="A3856" s="197">
        <v>2024</v>
      </c>
      <c r="B3856" s="197">
        <v>4</v>
      </c>
      <c r="C3856" s="197">
        <v>15</v>
      </c>
      <c r="D3856" s="198">
        <f t="shared" ref="D3856:D3917" si="319">DATE(A3856,B3856,C3856)</f>
        <v>45397</v>
      </c>
      <c r="E3856" s="199">
        <f t="shared" si="318"/>
        <v>45397</v>
      </c>
      <c r="F3856" s="513" t="s">
        <v>1610</v>
      </c>
      <c r="G3856" s="200" t="s">
        <v>1209</v>
      </c>
      <c r="H3856" s="201"/>
      <c r="I3856" s="201" t="s">
        <v>1253</v>
      </c>
      <c r="J3856" s="197" t="s">
        <v>1837</v>
      </c>
      <c r="K3856" s="202">
        <v>23035672.539999999</v>
      </c>
      <c r="L3856" s="202"/>
    </row>
    <row r="3857" spans="1:15" ht="11.25" customHeight="1" x14ac:dyDescent="0.2">
      <c r="A3857" s="191">
        <v>2024</v>
      </c>
      <c r="B3857" s="191">
        <v>4</v>
      </c>
      <c r="C3857" s="191">
        <v>15</v>
      </c>
      <c r="D3857" s="192">
        <f t="shared" si="319"/>
        <v>45397</v>
      </c>
      <c r="E3857" s="193">
        <f t="shared" si="318"/>
        <v>45397</v>
      </c>
      <c r="F3857" s="514"/>
      <c r="G3857" s="194" t="s">
        <v>1209</v>
      </c>
      <c r="H3857" s="195"/>
      <c r="I3857" s="195" t="s">
        <v>1253</v>
      </c>
      <c r="J3857" s="191" t="s">
        <v>46</v>
      </c>
      <c r="K3857" s="196"/>
      <c r="L3857" s="196">
        <v>23035672.539999999</v>
      </c>
      <c r="N3857" s="130"/>
    </row>
    <row r="3858" spans="1:15" ht="11.25" customHeight="1" x14ac:dyDescent="0.2">
      <c r="A3858" s="197">
        <v>2024</v>
      </c>
      <c r="B3858" s="197">
        <v>4</v>
      </c>
      <c r="C3858" s="197">
        <v>15</v>
      </c>
      <c r="D3858" s="198">
        <f t="shared" si="319"/>
        <v>45397</v>
      </c>
      <c r="E3858" s="199">
        <f t="shared" ref="E3858:E3871" si="320">DATE(A3858,B3858,C3858)</f>
        <v>45397</v>
      </c>
      <c r="F3858" s="513" t="s">
        <v>1610</v>
      </c>
      <c r="G3858" s="200" t="s">
        <v>1209</v>
      </c>
      <c r="H3858" s="201"/>
      <c r="I3858" s="201" t="s">
        <v>1253</v>
      </c>
      <c r="J3858" s="197" t="s">
        <v>1837</v>
      </c>
      <c r="K3858" s="202">
        <v>30055140</v>
      </c>
      <c r="L3858" s="202"/>
    </row>
    <row r="3859" spans="1:15" ht="11.25" customHeight="1" x14ac:dyDescent="0.2">
      <c r="A3859" s="191">
        <v>2024</v>
      </c>
      <c r="B3859" s="191">
        <v>4</v>
      </c>
      <c r="C3859" s="191">
        <v>15</v>
      </c>
      <c r="D3859" s="192">
        <f t="shared" si="319"/>
        <v>45397</v>
      </c>
      <c r="E3859" s="193">
        <f t="shared" si="320"/>
        <v>45397</v>
      </c>
      <c r="F3859" s="514"/>
      <c r="G3859" s="194" t="s">
        <v>1209</v>
      </c>
      <c r="H3859" s="195"/>
      <c r="I3859" s="195" t="s">
        <v>1253</v>
      </c>
      <c r="J3859" s="191" t="s">
        <v>46</v>
      </c>
      <c r="K3859" s="196"/>
      <c r="L3859" s="196">
        <v>30055140</v>
      </c>
      <c r="N3859" s="130"/>
    </row>
    <row r="3860" spans="1:15" x14ac:dyDescent="0.2">
      <c r="A3860" s="197">
        <v>2024</v>
      </c>
      <c r="B3860" s="120">
        <v>4</v>
      </c>
      <c r="C3860" s="120">
        <v>18</v>
      </c>
      <c r="D3860" s="198">
        <f t="shared" si="319"/>
        <v>45400</v>
      </c>
      <c r="E3860" s="199">
        <f t="shared" si="320"/>
        <v>45400</v>
      </c>
      <c r="F3860" s="513" t="s">
        <v>1611</v>
      </c>
      <c r="G3860" s="200" t="s">
        <v>1209</v>
      </c>
      <c r="H3860" s="200"/>
      <c r="I3860" s="201" t="s">
        <v>1253</v>
      </c>
      <c r="J3860" s="248" t="s">
        <v>175</v>
      </c>
      <c r="K3860" s="202">
        <v>4000000</v>
      </c>
      <c r="L3860" s="202"/>
    </row>
    <row r="3861" spans="1:15" ht="11.25" customHeight="1" x14ac:dyDescent="0.2">
      <c r="A3861" s="120">
        <v>2024</v>
      </c>
      <c r="B3861" s="120">
        <v>4</v>
      </c>
      <c r="C3861" s="120">
        <v>18</v>
      </c>
      <c r="D3861" s="208">
        <f t="shared" si="319"/>
        <v>45400</v>
      </c>
      <c r="E3861" s="209">
        <f t="shared" ref="E3861" si="321">DATE(A3861,B3861,C3861)</f>
        <v>45400</v>
      </c>
      <c r="F3861" s="515"/>
      <c r="G3861" s="132" t="s">
        <v>1209</v>
      </c>
      <c r="H3861" s="132"/>
      <c r="J3861" s="129" t="s">
        <v>176</v>
      </c>
      <c r="K3861" s="207">
        <v>5000</v>
      </c>
      <c r="L3861" s="207"/>
    </row>
    <row r="3862" spans="1:15" ht="11.25" customHeight="1" x14ac:dyDescent="0.2">
      <c r="A3862" s="120">
        <v>2024</v>
      </c>
      <c r="B3862" s="120">
        <v>4</v>
      </c>
      <c r="C3862" s="120">
        <v>18</v>
      </c>
      <c r="D3862" s="208">
        <f t="shared" si="319"/>
        <v>45400</v>
      </c>
      <c r="E3862" s="209">
        <f t="shared" si="320"/>
        <v>45400</v>
      </c>
      <c r="F3862" s="515"/>
      <c r="G3862" s="132" t="s">
        <v>1209</v>
      </c>
      <c r="H3862" s="132"/>
      <c r="J3862" s="129" t="s">
        <v>54</v>
      </c>
      <c r="K3862" s="207">
        <v>115</v>
      </c>
      <c r="L3862" s="207"/>
    </row>
    <row r="3863" spans="1:15" ht="11.25" customHeight="1" x14ac:dyDescent="0.2">
      <c r="A3863" s="191">
        <v>2024</v>
      </c>
      <c r="B3863" s="191">
        <v>4</v>
      </c>
      <c r="C3863" s="191">
        <v>18</v>
      </c>
      <c r="D3863" s="192">
        <f t="shared" si="319"/>
        <v>45400</v>
      </c>
      <c r="E3863" s="193">
        <f t="shared" si="320"/>
        <v>45400</v>
      </c>
      <c r="F3863" s="514"/>
      <c r="G3863" s="194" t="s">
        <v>1209</v>
      </c>
      <c r="H3863" s="194"/>
      <c r="I3863" s="195" t="s">
        <v>1253</v>
      </c>
      <c r="J3863" s="250" t="s">
        <v>46</v>
      </c>
      <c r="K3863" s="196"/>
      <c r="L3863" s="196">
        <v>4005115</v>
      </c>
      <c r="M3863" s="251"/>
    </row>
    <row r="3864" spans="1:15" x14ac:dyDescent="0.2">
      <c r="A3864" s="197">
        <v>2024</v>
      </c>
      <c r="B3864" s="120">
        <v>4</v>
      </c>
      <c r="C3864" s="120">
        <v>18</v>
      </c>
      <c r="D3864" s="198">
        <f t="shared" si="319"/>
        <v>45400</v>
      </c>
      <c r="E3864" s="199">
        <f t="shared" ref="E3864:E3868" si="322">DATE(A3864,B3864,C3864)</f>
        <v>45400</v>
      </c>
      <c r="F3864" s="513" t="s">
        <v>1612</v>
      </c>
      <c r="G3864" s="200" t="s">
        <v>1209</v>
      </c>
      <c r="H3864" s="200"/>
      <c r="I3864" s="201" t="s">
        <v>1253</v>
      </c>
      <c r="J3864" s="248" t="s">
        <v>46</v>
      </c>
      <c r="K3864" s="202">
        <v>4005000</v>
      </c>
      <c r="L3864" s="202"/>
    </row>
    <row r="3865" spans="1:15" ht="11.25" customHeight="1" x14ac:dyDescent="0.2">
      <c r="A3865" s="120">
        <v>2024</v>
      </c>
      <c r="B3865" s="120">
        <v>4</v>
      </c>
      <c r="C3865" s="120">
        <v>18</v>
      </c>
      <c r="D3865" s="208">
        <f t="shared" si="319"/>
        <v>45400</v>
      </c>
      <c r="E3865" s="209">
        <f t="shared" si="322"/>
        <v>45400</v>
      </c>
      <c r="F3865" s="515"/>
      <c r="G3865" s="132" t="s">
        <v>1209</v>
      </c>
      <c r="H3865" s="132"/>
      <c r="J3865" s="129" t="s">
        <v>176</v>
      </c>
      <c r="K3865" s="207"/>
      <c r="L3865" s="207">
        <v>5000</v>
      </c>
    </row>
    <row r="3866" spans="1:15" ht="11.25" customHeight="1" x14ac:dyDescent="0.2">
      <c r="A3866" s="191">
        <v>2024</v>
      </c>
      <c r="B3866" s="191">
        <v>4</v>
      </c>
      <c r="C3866" s="191">
        <v>18</v>
      </c>
      <c r="D3866" s="192">
        <f t="shared" si="319"/>
        <v>45400</v>
      </c>
      <c r="E3866" s="193">
        <f t="shared" si="322"/>
        <v>45400</v>
      </c>
      <c r="F3866" s="514"/>
      <c r="G3866" s="194" t="s">
        <v>1209</v>
      </c>
      <c r="H3866" s="194"/>
      <c r="I3866" s="195" t="s">
        <v>1253</v>
      </c>
      <c r="J3866" s="250" t="s">
        <v>175</v>
      </c>
      <c r="K3866" s="196"/>
      <c r="L3866" s="196">
        <v>4000000</v>
      </c>
      <c r="M3866" s="251"/>
    </row>
    <row r="3867" spans="1:15" ht="11.25" customHeight="1" x14ac:dyDescent="0.2">
      <c r="A3867" s="197">
        <v>2024</v>
      </c>
      <c r="B3867" s="197">
        <v>4</v>
      </c>
      <c r="C3867" s="197">
        <v>18</v>
      </c>
      <c r="D3867" s="198">
        <f t="shared" si="319"/>
        <v>45400</v>
      </c>
      <c r="E3867" s="290">
        <f t="shared" si="322"/>
        <v>45400</v>
      </c>
      <c r="F3867" s="513" t="s">
        <v>1514</v>
      </c>
      <c r="G3867" s="200" t="s">
        <v>1209</v>
      </c>
      <c r="H3867" s="201"/>
      <c r="I3867" s="201"/>
      <c r="J3867" s="197" t="s">
        <v>54</v>
      </c>
      <c r="K3867" s="202">
        <v>57.5</v>
      </c>
      <c r="L3867" s="202"/>
      <c r="M3867" s="251"/>
      <c r="N3867" s="251"/>
      <c r="O3867" s="251"/>
    </row>
    <row r="3868" spans="1:15" ht="11.25" customHeight="1" x14ac:dyDescent="0.2">
      <c r="A3868" s="191">
        <v>2024</v>
      </c>
      <c r="B3868" s="191">
        <v>4</v>
      </c>
      <c r="C3868" s="191">
        <v>18</v>
      </c>
      <c r="D3868" s="192">
        <f t="shared" si="319"/>
        <v>45400</v>
      </c>
      <c r="E3868" s="291">
        <f t="shared" si="322"/>
        <v>45400</v>
      </c>
      <c r="F3868" s="514"/>
      <c r="G3868" s="194" t="s">
        <v>1209</v>
      </c>
      <c r="H3868" s="195"/>
      <c r="I3868" s="195"/>
      <c r="J3868" s="191" t="s">
        <v>46</v>
      </c>
      <c r="K3868" s="196"/>
      <c r="L3868" s="196">
        <v>57.5</v>
      </c>
      <c r="M3868" s="251"/>
      <c r="N3868" s="251"/>
      <c r="O3868" s="251"/>
    </row>
    <row r="3869" spans="1:15" ht="11.25" customHeight="1" x14ac:dyDescent="0.2">
      <c r="A3869" s="210">
        <v>2024</v>
      </c>
      <c r="B3869" s="210">
        <v>4</v>
      </c>
      <c r="C3869" s="210">
        <v>18</v>
      </c>
      <c r="D3869" s="211">
        <f t="shared" si="319"/>
        <v>45400</v>
      </c>
      <c r="E3869" s="238">
        <f t="shared" si="320"/>
        <v>45400</v>
      </c>
      <c r="F3869" s="520" t="s">
        <v>1278</v>
      </c>
      <c r="G3869" s="213" t="s">
        <v>1245</v>
      </c>
      <c r="H3869" s="214"/>
      <c r="I3869" s="214" t="s">
        <v>1253</v>
      </c>
      <c r="J3869" s="210" t="s">
        <v>1529</v>
      </c>
      <c r="K3869" s="215">
        <v>7491.85</v>
      </c>
      <c r="L3869" s="215"/>
    </row>
    <row r="3870" spans="1:15" ht="11.25" customHeight="1" x14ac:dyDescent="0.2">
      <c r="A3870" s="216">
        <v>2024</v>
      </c>
      <c r="B3870" s="216">
        <v>4</v>
      </c>
      <c r="C3870" s="216">
        <v>18</v>
      </c>
      <c r="D3870" s="217">
        <f t="shared" si="319"/>
        <v>45400</v>
      </c>
      <c r="E3870" s="239">
        <f t="shared" si="320"/>
        <v>45400</v>
      </c>
      <c r="F3870" s="521"/>
      <c r="G3870" s="219" t="s">
        <v>1245</v>
      </c>
      <c r="H3870" s="220"/>
      <c r="I3870" s="220" t="s">
        <v>1253</v>
      </c>
      <c r="J3870" s="216" t="s">
        <v>1581</v>
      </c>
      <c r="K3870" s="221"/>
      <c r="L3870" s="221">
        <v>7491.85</v>
      </c>
    </row>
    <row r="3871" spans="1:15" ht="11.25" customHeight="1" x14ac:dyDescent="0.2">
      <c r="A3871" s="210">
        <v>2024</v>
      </c>
      <c r="B3871" s="210">
        <v>4</v>
      </c>
      <c r="C3871" s="210">
        <v>18</v>
      </c>
      <c r="D3871" s="211">
        <f t="shared" si="319"/>
        <v>45400</v>
      </c>
      <c r="E3871" s="238">
        <f t="shared" si="320"/>
        <v>45400</v>
      </c>
      <c r="F3871" s="520" t="s">
        <v>1285</v>
      </c>
      <c r="G3871" s="213" t="s">
        <v>1245</v>
      </c>
      <c r="H3871" s="214"/>
      <c r="I3871" s="214" t="s">
        <v>1253</v>
      </c>
      <c r="J3871" s="210" t="s">
        <v>1284</v>
      </c>
      <c r="K3871" s="215">
        <v>10290.504807692309</v>
      </c>
      <c r="L3871" s="215"/>
    </row>
    <row r="3872" spans="1:15" ht="11.25" customHeight="1" x14ac:dyDescent="0.2">
      <c r="A3872" s="242">
        <v>2024</v>
      </c>
      <c r="B3872" s="242">
        <v>4</v>
      </c>
      <c r="C3872" s="242">
        <v>18</v>
      </c>
      <c r="D3872" s="243">
        <f t="shared" si="319"/>
        <v>45400</v>
      </c>
      <c r="E3872" s="244">
        <f>DATE(A3872,B3872,C3872)</f>
        <v>45400</v>
      </c>
      <c r="F3872" s="524"/>
      <c r="G3872" s="245" t="s">
        <v>1245</v>
      </c>
      <c r="H3872" s="246"/>
      <c r="I3872" s="246"/>
      <c r="J3872" s="242" t="s">
        <v>1582</v>
      </c>
      <c r="K3872" s="247"/>
      <c r="L3872" s="247">
        <v>10290.504807692309</v>
      </c>
    </row>
    <row r="3873" spans="1:13" ht="11.25" customHeight="1" x14ac:dyDescent="0.2">
      <c r="A3873" s="210">
        <v>2024</v>
      </c>
      <c r="B3873" s="210">
        <v>4</v>
      </c>
      <c r="C3873" s="210">
        <v>18</v>
      </c>
      <c r="D3873" s="211">
        <f t="shared" si="319"/>
        <v>45400</v>
      </c>
      <c r="E3873" s="238">
        <f t="shared" ref="E3873:E3889" si="323">DATE(A3873,B3873,C3873)</f>
        <v>45400</v>
      </c>
      <c r="F3873" s="520" t="s">
        <v>1259</v>
      </c>
      <c r="G3873" s="213" t="s">
        <v>1245</v>
      </c>
      <c r="H3873" s="214"/>
      <c r="I3873" s="214" t="s">
        <v>1253</v>
      </c>
      <c r="J3873" s="210" t="s">
        <v>58</v>
      </c>
      <c r="K3873" s="215">
        <v>6254.3</v>
      </c>
      <c r="L3873" s="215"/>
    </row>
    <row r="3874" spans="1:13" ht="11.25" customHeight="1" x14ac:dyDescent="0.2">
      <c r="A3874" s="216">
        <v>2024</v>
      </c>
      <c r="B3874" s="216">
        <v>4</v>
      </c>
      <c r="C3874" s="216">
        <v>18</v>
      </c>
      <c r="D3874" s="217">
        <f t="shared" si="319"/>
        <v>45400</v>
      </c>
      <c r="E3874" s="239">
        <f t="shared" si="323"/>
        <v>45400</v>
      </c>
      <c r="F3874" s="521"/>
      <c r="G3874" s="219" t="s">
        <v>1245</v>
      </c>
      <c r="H3874" s="220"/>
      <c r="I3874" s="220" t="s">
        <v>1253</v>
      </c>
      <c r="J3874" s="216" t="s">
        <v>153</v>
      </c>
      <c r="K3874" s="221"/>
      <c r="L3874" s="221">
        <v>6254.3</v>
      </c>
    </row>
    <row r="3875" spans="1:13" ht="11.25" customHeight="1" x14ac:dyDescent="0.2">
      <c r="A3875" s="312">
        <v>2024</v>
      </c>
      <c r="B3875" s="312">
        <v>4</v>
      </c>
      <c r="C3875" s="312">
        <v>18</v>
      </c>
      <c r="D3875" s="313">
        <f t="shared" si="319"/>
        <v>45400</v>
      </c>
      <c r="E3875" s="314">
        <f t="shared" si="323"/>
        <v>45400</v>
      </c>
      <c r="F3875" s="522" t="s">
        <v>1477</v>
      </c>
      <c r="G3875" s="315" t="s">
        <v>1245</v>
      </c>
      <c r="H3875" s="316"/>
      <c r="I3875" s="316" t="s">
        <v>1253</v>
      </c>
      <c r="J3875" s="312" t="s">
        <v>1458</v>
      </c>
      <c r="K3875" s="317">
        <v>23734.499999970198</v>
      </c>
      <c r="L3875" s="317"/>
    </row>
    <row r="3876" spans="1:13" ht="11.25" customHeight="1" x14ac:dyDescent="0.2">
      <c r="A3876" s="318">
        <v>2024</v>
      </c>
      <c r="B3876" s="318">
        <v>4</v>
      </c>
      <c r="C3876" s="318">
        <v>18</v>
      </c>
      <c r="D3876" s="319">
        <f t="shared" si="319"/>
        <v>45400</v>
      </c>
      <c r="E3876" s="320">
        <f t="shared" si="323"/>
        <v>45400</v>
      </c>
      <c r="F3876" s="523"/>
      <c r="G3876" s="321" t="s">
        <v>1245</v>
      </c>
      <c r="H3876" s="322"/>
      <c r="I3876" s="322" t="s">
        <v>1253</v>
      </c>
      <c r="J3876" s="318" t="s">
        <v>1460</v>
      </c>
      <c r="K3876" s="323"/>
      <c r="L3876" s="323">
        <v>23734.499999970198</v>
      </c>
    </row>
    <row r="3877" spans="1:13" ht="11.25" customHeight="1" x14ac:dyDescent="0.2">
      <c r="A3877" s="312">
        <v>2024</v>
      </c>
      <c r="B3877" s="312">
        <v>4</v>
      </c>
      <c r="C3877" s="312">
        <v>18</v>
      </c>
      <c r="D3877" s="313">
        <f t="shared" si="319"/>
        <v>45400</v>
      </c>
      <c r="E3877" s="314">
        <f t="shared" si="323"/>
        <v>45400</v>
      </c>
      <c r="F3877" s="522" t="s">
        <v>1595</v>
      </c>
      <c r="G3877" s="315" t="s">
        <v>1245</v>
      </c>
      <c r="H3877" s="316"/>
      <c r="I3877" s="316" t="s">
        <v>1253</v>
      </c>
      <c r="J3877" s="312" t="s">
        <v>1461</v>
      </c>
      <c r="K3877" s="317">
        <v>151087.30500002205</v>
      </c>
      <c r="L3877" s="317"/>
    </row>
    <row r="3878" spans="1:13" ht="11.25" customHeight="1" x14ac:dyDescent="0.2">
      <c r="A3878" s="318">
        <v>2024</v>
      </c>
      <c r="B3878" s="318">
        <v>4</v>
      </c>
      <c r="C3878" s="318">
        <v>18</v>
      </c>
      <c r="D3878" s="319">
        <f t="shared" si="319"/>
        <v>45400</v>
      </c>
      <c r="E3878" s="320">
        <f t="shared" si="323"/>
        <v>45400</v>
      </c>
      <c r="F3878" s="523"/>
      <c r="G3878" s="321" t="s">
        <v>1245</v>
      </c>
      <c r="H3878" s="322"/>
      <c r="I3878" s="322" t="s">
        <v>1253</v>
      </c>
      <c r="J3878" s="318" t="s">
        <v>1459</v>
      </c>
      <c r="K3878" s="323"/>
      <c r="L3878" s="323">
        <v>151087.30500002205</v>
      </c>
    </row>
    <row r="3879" spans="1:13" ht="11.25" customHeight="1" x14ac:dyDescent="0.2">
      <c r="A3879" s="222">
        <v>2024</v>
      </c>
      <c r="B3879" s="222">
        <v>4</v>
      </c>
      <c r="C3879" s="222">
        <v>18</v>
      </c>
      <c r="D3879" s="223">
        <f t="shared" si="319"/>
        <v>45400</v>
      </c>
      <c r="E3879" s="240">
        <f t="shared" si="323"/>
        <v>45400</v>
      </c>
      <c r="F3879" s="511" t="s">
        <v>1244</v>
      </c>
      <c r="G3879" s="225" t="s">
        <v>1245</v>
      </c>
      <c r="H3879" s="226"/>
      <c r="I3879" s="226" t="s">
        <v>1253</v>
      </c>
      <c r="J3879" s="222" t="s">
        <v>87</v>
      </c>
      <c r="K3879" s="227">
        <v>36542.470000002533</v>
      </c>
      <c r="L3879" s="227"/>
    </row>
    <row r="3880" spans="1:13" ht="11.25" customHeight="1" x14ac:dyDescent="0.2">
      <c r="A3880" s="228">
        <v>2024</v>
      </c>
      <c r="B3880" s="228">
        <v>4</v>
      </c>
      <c r="C3880" s="228">
        <v>18</v>
      </c>
      <c r="D3880" s="229">
        <f t="shared" si="319"/>
        <v>45400</v>
      </c>
      <c r="E3880" s="241">
        <f t="shared" si="323"/>
        <v>45400</v>
      </c>
      <c r="F3880" s="512"/>
      <c r="G3880" s="231" t="s">
        <v>1245</v>
      </c>
      <c r="H3880" s="232"/>
      <c r="I3880" s="232" t="s">
        <v>1253</v>
      </c>
      <c r="J3880" s="228" t="s">
        <v>72</v>
      </c>
      <c r="K3880" s="233"/>
      <c r="L3880" s="233">
        <v>36542.470000002533</v>
      </c>
    </row>
    <row r="3881" spans="1:13" ht="11.25" customHeight="1" x14ac:dyDescent="0.2">
      <c r="A3881" s="222">
        <v>2024</v>
      </c>
      <c r="B3881" s="222">
        <v>4</v>
      </c>
      <c r="C3881" s="222">
        <v>18</v>
      </c>
      <c r="D3881" s="223">
        <f t="shared" si="319"/>
        <v>45400</v>
      </c>
      <c r="E3881" s="240">
        <f t="shared" si="323"/>
        <v>45400</v>
      </c>
      <c r="F3881" s="511" t="s">
        <v>1246</v>
      </c>
      <c r="G3881" s="225" t="s">
        <v>1245</v>
      </c>
      <c r="H3881" s="226"/>
      <c r="I3881" s="226" t="s">
        <v>1253</v>
      </c>
      <c r="J3881" s="222" t="s">
        <v>75</v>
      </c>
      <c r="K3881" s="227">
        <v>3623.123846153846</v>
      </c>
      <c r="L3881" s="227"/>
    </row>
    <row r="3882" spans="1:13" ht="11.25" customHeight="1" x14ac:dyDescent="0.2">
      <c r="A3882" s="228">
        <v>2024</v>
      </c>
      <c r="B3882" s="228">
        <v>4</v>
      </c>
      <c r="C3882" s="228">
        <v>18</v>
      </c>
      <c r="D3882" s="229">
        <f t="shared" si="319"/>
        <v>45400</v>
      </c>
      <c r="E3882" s="241">
        <f t="shared" si="323"/>
        <v>45400</v>
      </c>
      <c r="F3882" s="512"/>
      <c r="G3882" s="231" t="s">
        <v>1245</v>
      </c>
      <c r="H3882" s="232"/>
      <c r="I3882" s="232" t="s">
        <v>1253</v>
      </c>
      <c r="J3882" s="228" t="s">
        <v>55</v>
      </c>
      <c r="K3882" s="233"/>
      <c r="L3882" s="233">
        <v>3623.123846153846</v>
      </c>
    </row>
    <row r="3883" spans="1:13" ht="11.25" customHeight="1" x14ac:dyDescent="0.2">
      <c r="A3883" s="222">
        <v>2024</v>
      </c>
      <c r="B3883" s="222">
        <v>4</v>
      </c>
      <c r="C3883" s="222">
        <v>18</v>
      </c>
      <c r="D3883" s="223">
        <f t="shared" si="319"/>
        <v>45400</v>
      </c>
      <c r="E3883" s="240">
        <f t="shared" si="323"/>
        <v>45400</v>
      </c>
      <c r="F3883" s="511" t="s">
        <v>1247</v>
      </c>
      <c r="G3883" s="225" t="s">
        <v>1245</v>
      </c>
      <c r="H3883" s="226"/>
      <c r="I3883" s="226" t="s">
        <v>1253</v>
      </c>
      <c r="J3883" s="222" t="s">
        <v>77</v>
      </c>
      <c r="K3883" s="227">
        <f>M3883</f>
        <v>23307.968249800386</v>
      </c>
      <c r="L3883" s="227"/>
      <c r="M3883" s="120">
        <v>23307.968249800386</v>
      </c>
    </row>
    <row r="3884" spans="1:13" ht="11.25" customHeight="1" x14ac:dyDescent="0.2">
      <c r="A3884" s="228">
        <v>2024</v>
      </c>
      <c r="B3884" s="228">
        <v>4</v>
      </c>
      <c r="C3884" s="228">
        <v>18</v>
      </c>
      <c r="D3884" s="229">
        <f t="shared" si="319"/>
        <v>45400</v>
      </c>
      <c r="E3884" s="241">
        <f t="shared" si="323"/>
        <v>45400</v>
      </c>
      <c r="F3884" s="512"/>
      <c r="G3884" s="231" t="s">
        <v>1245</v>
      </c>
      <c r="H3884" s="232"/>
      <c r="I3884" s="232" t="s">
        <v>1253</v>
      </c>
      <c r="J3884" s="228" t="s">
        <v>41</v>
      </c>
      <c r="K3884" s="233"/>
      <c r="L3884" s="233">
        <f>K3883</f>
        <v>23307.968249800386</v>
      </c>
      <c r="M3884" s="120">
        <v>2330.7968249800388</v>
      </c>
    </row>
    <row r="3885" spans="1:13" ht="11.25" customHeight="1" x14ac:dyDescent="0.2">
      <c r="A3885" s="222">
        <v>2024</v>
      </c>
      <c r="B3885" s="222">
        <v>4</v>
      </c>
      <c r="C3885" s="222">
        <v>18</v>
      </c>
      <c r="D3885" s="223">
        <f t="shared" si="319"/>
        <v>45400</v>
      </c>
      <c r="E3885" s="240">
        <f t="shared" si="323"/>
        <v>45400</v>
      </c>
      <c r="F3885" s="511" t="s">
        <v>1248</v>
      </c>
      <c r="G3885" s="225" t="s">
        <v>1245</v>
      </c>
      <c r="H3885" s="226"/>
      <c r="I3885" s="226" t="s">
        <v>1253</v>
      </c>
      <c r="J3885" s="222" t="s">
        <v>80</v>
      </c>
      <c r="K3885" s="227">
        <f>M3884</f>
        <v>2330.7968249800388</v>
      </c>
      <c r="L3885" s="227"/>
    </row>
    <row r="3886" spans="1:13" ht="11.25" customHeight="1" x14ac:dyDescent="0.2">
      <c r="A3886" s="228">
        <v>2024</v>
      </c>
      <c r="B3886" s="228">
        <v>4</v>
      </c>
      <c r="C3886" s="228">
        <v>18</v>
      </c>
      <c r="D3886" s="229">
        <f t="shared" si="319"/>
        <v>45400</v>
      </c>
      <c r="E3886" s="241">
        <f t="shared" si="323"/>
        <v>45400</v>
      </c>
      <c r="F3886" s="512"/>
      <c r="G3886" s="231" t="s">
        <v>1245</v>
      </c>
      <c r="H3886" s="232"/>
      <c r="I3886" s="232" t="s">
        <v>1253</v>
      </c>
      <c r="J3886" s="228" t="s">
        <v>42</v>
      </c>
      <c r="K3886" s="233"/>
      <c r="L3886" s="233">
        <f>K3885</f>
        <v>2330.7968249800388</v>
      </c>
    </row>
    <row r="3887" spans="1:13" ht="11.25" customHeight="1" x14ac:dyDescent="0.2">
      <c r="A3887" s="197">
        <v>2024</v>
      </c>
      <c r="B3887" s="197">
        <v>4</v>
      </c>
      <c r="C3887" s="197">
        <v>22</v>
      </c>
      <c r="D3887" s="198">
        <f t="shared" si="319"/>
        <v>45404</v>
      </c>
      <c r="E3887" s="209">
        <f t="shared" si="323"/>
        <v>45404</v>
      </c>
      <c r="F3887" s="513" t="s">
        <v>1280</v>
      </c>
      <c r="G3887" s="200" t="s">
        <v>1209</v>
      </c>
      <c r="H3887" s="201"/>
      <c r="I3887" s="201" t="s">
        <v>1597</v>
      </c>
      <c r="J3887" s="197" t="s">
        <v>16</v>
      </c>
      <c r="K3887" s="202">
        <v>450000</v>
      </c>
      <c r="L3887" s="202"/>
    </row>
    <row r="3888" spans="1:13" ht="11.25" customHeight="1" x14ac:dyDescent="0.2">
      <c r="A3888" s="120">
        <v>2024</v>
      </c>
      <c r="B3888" s="120">
        <v>4</v>
      </c>
      <c r="C3888" s="120">
        <v>22</v>
      </c>
      <c r="D3888" s="208">
        <f t="shared" si="319"/>
        <v>45404</v>
      </c>
      <c r="E3888" s="209">
        <f t="shared" si="323"/>
        <v>45404</v>
      </c>
      <c r="F3888" s="515"/>
      <c r="G3888" s="132" t="s">
        <v>1209</v>
      </c>
      <c r="I3888" s="128" t="s">
        <v>1597</v>
      </c>
      <c r="J3888" s="120" t="s">
        <v>47</v>
      </c>
      <c r="K3888" s="207">
        <v>43830</v>
      </c>
      <c r="L3888" s="207"/>
    </row>
    <row r="3889" spans="1:13" ht="11.25" customHeight="1" x14ac:dyDescent="0.2">
      <c r="A3889" s="191">
        <v>2024</v>
      </c>
      <c r="B3889" s="191">
        <v>4</v>
      </c>
      <c r="C3889" s="191">
        <v>22</v>
      </c>
      <c r="D3889" s="192">
        <f t="shared" si="319"/>
        <v>45404</v>
      </c>
      <c r="E3889" s="193">
        <f t="shared" si="323"/>
        <v>45404</v>
      </c>
      <c r="F3889" s="514"/>
      <c r="G3889" s="194" t="s">
        <v>1209</v>
      </c>
      <c r="H3889" s="195"/>
      <c r="I3889" s="195" t="s">
        <v>1597</v>
      </c>
      <c r="J3889" s="191" t="s">
        <v>46</v>
      </c>
      <c r="K3889" s="196"/>
      <c r="L3889" s="196">
        <v>493830</v>
      </c>
    </row>
    <row r="3890" spans="1:13" ht="11.25" customHeight="1" x14ac:dyDescent="0.2">
      <c r="A3890" s="197">
        <v>2024</v>
      </c>
      <c r="B3890" s="197">
        <v>4</v>
      </c>
      <c r="C3890" s="197">
        <v>22</v>
      </c>
      <c r="D3890" s="198">
        <f t="shared" si="319"/>
        <v>45404</v>
      </c>
      <c r="E3890" s="209">
        <f t="shared" ref="E3890:E3892" si="324">DATE(A3890,B3890,C3890)</f>
        <v>45404</v>
      </c>
      <c r="F3890" s="513" t="s">
        <v>1280</v>
      </c>
      <c r="G3890" s="200" t="s">
        <v>1209</v>
      </c>
      <c r="H3890" s="201"/>
      <c r="I3890" s="201" t="s">
        <v>1498</v>
      </c>
      <c r="J3890" s="197" t="s">
        <v>16</v>
      </c>
      <c r="K3890" s="202">
        <v>364500</v>
      </c>
      <c r="L3890" s="202"/>
    </row>
    <row r="3891" spans="1:13" ht="11.25" customHeight="1" x14ac:dyDescent="0.2">
      <c r="A3891" s="120">
        <v>2024</v>
      </c>
      <c r="B3891" s="120">
        <v>4</v>
      </c>
      <c r="C3891" s="120">
        <v>22</v>
      </c>
      <c r="D3891" s="208">
        <f t="shared" si="319"/>
        <v>45404</v>
      </c>
      <c r="E3891" s="209">
        <f t="shared" si="324"/>
        <v>45404</v>
      </c>
      <c r="F3891" s="515"/>
      <c r="G3891" s="132" t="s">
        <v>1209</v>
      </c>
      <c r="I3891" s="128" t="s">
        <v>1498</v>
      </c>
      <c r="J3891" s="120" t="s">
        <v>47</v>
      </c>
      <c r="K3891" s="207">
        <v>35502.299999999988</v>
      </c>
      <c r="L3891" s="207"/>
    </row>
    <row r="3892" spans="1:13" ht="11.25" customHeight="1" x14ac:dyDescent="0.2">
      <c r="A3892" s="191">
        <v>2024</v>
      </c>
      <c r="B3892" s="191">
        <v>4</v>
      </c>
      <c r="C3892" s="191">
        <v>22</v>
      </c>
      <c r="D3892" s="192">
        <f t="shared" si="319"/>
        <v>45404</v>
      </c>
      <c r="E3892" s="193">
        <f t="shared" si="324"/>
        <v>45404</v>
      </c>
      <c r="F3892" s="514"/>
      <c r="G3892" s="194" t="s">
        <v>1209</v>
      </c>
      <c r="H3892" s="195"/>
      <c r="I3892" s="195" t="s">
        <v>1498</v>
      </c>
      <c r="J3892" s="191" t="s">
        <v>46</v>
      </c>
      <c r="K3892" s="196"/>
      <c r="L3892" s="196">
        <v>400002.3</v>
      </c>
    </row>
    <row r="3893" spans="1:13" ht="11.25" customHeight="1" x14ac:dyDescent="0.2">
      <c r="A3893" s="197">
        <v>2024</v>
      </c>
      <c r="B3893" s="197">
        <v>4</v>
      </c>
      <c r="C3893" s="197">
        <v>22</v>
      </c>
      <c r="D3893" s="198">
        <f t="shared" si="319"/>
        <v>45404</v>
      </c>
      <c r="E3893" s="209">
        <f t="shared" ref="E3893:E3895" si="325">DATE(A3893,B3893,C3893)</f>
        <v>45404</v>
      </c>
      <c r="F3893" s="513" t="s">
        <v>1280</v>
      </c>
      <c r="G3893" s="200" t="s">
        <v>1209</v>
      </c>
      <c r="H3893" s="201"/>
      <c r="I3893" s="201" t="s">
        <v>453</v>
      </c>
      <c r="J3893" s="197" t="s">
        <v>16</v>
      </c>
      <c r="K3893" s="202">
        <v>1093490</v>
      </c>
      <c r="L3893" s="202"/>
    </row>
    <row r="3894" spans="1:13" ht="11.25" customHeight="1" x14ac:dyDescent="0.2">
      <c r="A3894" s="120">
        <v>2024</v>
      </c>
      <c r="B3894" s="120">
        <v>4</v>
      </c>
      <c r="C3894" s="120">
        <v>22</v>
      </c>
      <c r="D3894" s="208">
        <f t="shared" si="319"/>
        <v>45404</v>
      </c>
      <c r="E3894" s="209">
        <f t="shared" si="325"/>
        <v>45404</v>
      </c>
      <c r="F3894" s="515"/>
      <c r="G3894" s="132" t="s">
        <v>1209</v>
      </c>
      <c r="I3894" s="128" t="s">
        <v>453</v>
      </c>
      <c r="J3894" s="120" t="s">
        <v>47</v>
      </c>
      <c r="K3894" s="207">
        <v>106510</v>
      </c>
      <c r="L3894" s="207"/>
    </row>
    <row r="3895" spans="1:13" ht="11.25" customHeight="1" x14ac:dyDescent="0.2">
      <c r="A3895" s="191">
        <v>2024</v>
      </c>
      <c r="B3895" s="191">
        <v>4</v>
      </c>
      <c r="C3895" s="191">
        <v>22</v>
      </c>
      <c r="D3895" s="192">
        <f t="shared" si="319"/>
        <v>45404</v>
      </c>
      <c r="E3895" s="193">
        <f t="shared" si="325"/>
        <v>45404</v>
      </c>
      <c r="F3895" s="514"/>
      <c r="G3895" s="194" t="s">
        <v>1209</v>
      </c>
      <c r="H3895" s="195"/>
      <c r="I3895" s="195" t="s">
        <v>453</v>
      </c>
      <c r="J3895" s="191" t="s">
        <v>46</v>
      </c>
      <c r="K3895" s="196"/>
      <c r="L3895" s="196">
        <v>1200000</v>
      </c>
    </row>
    <row r="3896" spans="1:13" ht="11.25" customHeight="1" x14ac:dyDescent="0.2">
      <c r="A3896" s="197">
        <v>2024</v>
      </c>
      <c r="B3896" s="197">
        <v>4</v>
      </c>
      <c r="C3896" s="197">
        <v>22</v>
      </c>
      <c r="D3896" s="198">
        <f t="shared" si="319"/>
        <v>45404</v>
      </c>
      <c r="E3896" s="209">
        <f t="shared" ref="E3896:E3898" si="326">DATE(A3896,B3896,C3896)</f>
        <v>45404</v>
      </c>
      <c r="F3896" s="513" t="s">
        <v>1280</v>
      </c>
      <c r="G3896" s="200" t="s">
        <v>1209</v>
      </c>
      <c r="H3896" s="201"/>
      <c r="I3896" s="201" t="s">
        <v>366</v>
      </c>
      <c r="J3896" s="197" t="s">
        <v>16</v>
      </c>
      <c r="K3896" s="202">
        <v>56630</v>
      </c>
      <c r="L3896" s="202"/>
    </row>
    <row r="3897" spans="1:13" ht="11.25" customHeight="1" x14ac:dyDescent="0.2">
      <c r="A3897" s="120">
        <v>2024</v>
      </c>
      <c r="B3897" s="120">
        <v>4</v>
      </c>
      <c r="C3897" s="120">
        <v>22</v>
      </c>
      <c r="D3897" s="208">
        <f t="shared" si="319"/>
        <v>45404</v>
      </c>
      <c r="E3897" s="209">
        <f t="shared" si="326"/>
        <v>45404</v>
      </c>
      <c r="F3897" s="515"/>
      <c r="G3897" s="132" t="s">
        <v>1209</v>
      </c>
      <c r="I3897" s="128" t="s">
        <v>366</v>
      </c>
      <c r="J3897" s="120" t="s">
        <v>47</v>
      </c>
      <c r="K3897" s="207">
        <v>5515.760000000002</v>
      </c>
      <c r="L3897" s="207"/>
    </row>
    <row r="3898" spans="1:13" ht="11.25" customHeight="1" x14ac:dyDescent="0.2">
      <c r="A3898" s="191">
        <v>2024</v>
      </c>
      <c r="B3898" s="191">
        <v>4</v>
      </c>
      <c r="C3898" s="191">
        <v>22</v>
      </c>
      <c r="D3898" s="192">
        <f t="shared" si="319"/>
        <v>45404</v>
      </c>
      <c r="E3898" s="193">
        <f t="shared" si="326"/>
        <v>45404</v>
      </c>
      <c r="F3898" s="514"/>
      <c r="G3898" s="194" t="s">
        <v>1209</v>
      </c>
      <c r="H3898" s="195"/>
      <c r="I3898" s="195" t="s">
        <v>366</v>
      </c>
      <c r="J3898" s="191" t="s">
        <v>46</v>
      </c>
      <c r="K3898" s="196"/>
      <c r="L3898" s="196">
        <v>62145.760000000002</v>
      </c>
    </row>
    <row r="3899" spans="1:13" ht="11.25" customHeight="1" x14ac:dyDescent="0.2">
      <c r="A3899" s="197">
        <v>2024</v>
      </c>
      <c r="B3899" s="197">
        <v>4</v>
      </c>
      <c r="C3899" s="197">
        <v>22</v>
      </c>
      <c r="D3899" s="198">
        <f t="shared" si="319"/>
        <v>45404</v>
      </c>
      <c r="E3899" s="209">
        <f>DATE(A3899,B3899,C3899)</f>
        <v>45404</v>
      </c>
      <c r="F3899" s="513" t="s">
        <v>1210</v>
      </c>
      <c r="G3899" s="200" t="s">
        <v>1209</v>
      </c>
      <c r="H3899" s="201"/>
      <c r="I3899" s="201" t="s">
        <v>355</v>
      </c>
      <c r="J3899" s="197" t="s">
        <v>46</v>
      </c>
      <c r="K3899" s="202">
        <v>175000</v>
      </c>
      <c r="L3899" s="202"/>
    </row>
    <row r="3900" spans="1:13" ht="11.25" customHeight="1" x14ac:dyDescent="0.2">
      <c r="A3900" s="120">
        <v>2024</v>
      </c>
      <c r="B3900" s="120">
        <v>4</v>
      </c>
      <c r="C3900" s="120">
        <v>22</v>
      </c>
      <c r="D3900" s="208">
        <f t="shared" si="319"/>
        <v>45404</v>
      </c>
      <c r="E3900" s="209">
        <f>DATE(A3900,B3900,C3900)</f>
        <v>45404</v>
      </c>
      <c r="F3900" s="515"/>
      <c r="G3900" s="132" t="s">
        <v>1209</v>
      </c>
      <c r="I3900" s="128" t="s">
        <v>355</v>
      </c>
      <c r="J3900" s="120" t="s">
        <v>16</v>
      </c>
      <c r="K3900" s="207"/>
      <c r="L3900" s="207">
        <v>159470</v>
      </c>
    </row>
    <row r="3901" spans="1:13" ht="12" customHeight="1" x14ac:dyDescent="0.2">
      <c r="A3901" s="191">
        <v>2024</v>
      </c>
      <c r="B3901" s="191">
        <v>4</v>
      </c>
      <c r="C3901" s="191">
        <v>22</v>
      </c>
      <c r="D3901" s="192">
        <f t="shared" si="319"/>
        <v>45404</v>
      </c>
      <c r="E3901" s="193">
        <f>DATE(A3901,B3901,C3901)</f>
        <v>45404</v>
      </c>
      <c r="F3901" s="514"/>
      <c r="G3901" s="194" t="s">
        <v>1209</v>
      </c>
      <c r="H3901" s="195"/>
      <c r="I3901" s="195" t="s">
        <v>355</v>
      </c>
      <c r="J3901" s="191" t="s">
        <v>47</v>
      </c>
      <c r="K3901" s="196"/>
      <c r="L3901" s="196">
        <v>15530</v>
      </c>
    </row>
    <row r="3902" spans="1:13" x14ac:dyDescent="0.2">
      <c r="A3902" s="197">
        <v>2024</v>
      </c>
      <c r="B3902" s="120">
        <v>4</v>
      </c>
      <c r="C3902" s="120">
        <v>24</v>
      </c>
      <c r="D3902" s="198">
        <f t="shared" si="319"/>
        <v>45406</v>
      </c>
      <c r="E3902" s="199">
        <f t="shared" ref="E3902:E3907" si="327">DATE(A3902,B3902,C3902)</f>
        <v>45406</v>
      </c>
      <c r="F3902" s="513" t="s">
        <v>1613</v>
      </c>
      <c r="G3902" s="200" t="s">
        <v>1209</v>
      </c>
      <c r="H3902" s="200"/>
      <c r="I3902" s="201" t="s">
        <v>1253</v>
      </c>
      <c r="J3902" s="248" t="s">
        <v>175</v>
      </c>
      <c r="K3902" s="202">
        <v>2400000</v>
      </c>
      <c r="L3902" s="202"/>
    </row>
    <row r="3903" spans="1:13" ht="11.25" customHeight="1" x14ac:dyDescent="0.2">
      <c r="A3903" s="120">
        <v>2024</v>
      </c>
      <c r="B3903" s="120">
        <v>4</v>
      </c>
      <c r="C3903" s="120">
        <v>24</v>
      </c>
      <c r="D3903" s="208">
        <f t="shared" si="319"/>
        <v>45406</v>
      </c>
      <c r="E3903" s="209">
        <f t="shared" si="327"/>
        <v>45406</v>
      </c>
      <c r="F3903" s="515"/>
      <c r="G3903" s="132" t="s">
        <v>1209</v>
      </c>
      <c r="H3903" s="132"/>
      <c r="J3903" s="129" t="s">
        <v>54</v>
      </c>
      <c r="K3903" s="207">
        <v>115</v>
      </c>
      <c r="L3903" s="207"/>
    </row>
    <row r="3904" spans="1:13" ht="11.25" customHeight="1" x14ac:dyDescent="0.2">
      <c r="A3904" s="191">
        <v>2024</v>
      </c>
      <c r="B3904" s="191">
        <v>4</v>
      </c>
      <c r="C3904" s="191">
        <v>24</v>
      </c>
      <c r="D3904" s="192">
        <f t="shared" si="319"/>
        <v>45406</v>
      </c>
      <c r="E3904" s="193">
        <f t="shared" si="327"/>
        <v>45406</v>
      </c>
      <c r="F3904" s="514"/>
      <c r="G3904" s="194" t="s">
        <v>1209</v>
      </c>
      <c r="H3904" s="194"/>
      <c r="I3904" s="195" t="s">
        <v>1253</v>
      </c>
      <c r="J3904" s="250" t="s">
        <v>46</v>
      </c>
      <c r="K3904" s="196"/>
      <c r="L3904" s="196">
        <v>2400115</v>
      </c>
      <c r="M3904" s="251"/>
    </row>
    <row r="3905" spans="1:12" ht="11.25" customHeight="1" x14ac:dyDescent="0.2">
      <c r="A3905" s="197">
        <v>2024</v>
      </c>
      <c r="B3905" s="197">
        <v>4</v>
      </c>
      <c r="C3905" s="197">
        <v>24</v>
      </c>
      <c r="D3905" s="198">
        <f t="shared" si="319"/>
        <v>45406</v>
      </c>
      <c r="E3905" s="290">
        <f t="shared" si="327"/>
        <v>45406</v>
      </c>
      <c r="F3905" s="513" t="s">
        <v>1614</v>
      </c>
      <c r="G3905" s="200" t="s">
        <v>1209</v>
      </c>
      <c r="H3905" s="201"/>
      <c r="I3905" s="201" t="s">
        <v>1253</v>
      </c>
      <c r="J3905" s="197" t="s">
        <v>42</v>
      </c>
      <c r="K3905" s="202">
        <v>62159.96</v>
      </c>
      <c r="L3905" s="202"/>
    </row>
    <row r="3906" spans="1:12" ht="11.25" customHeight="1" x14ac:dyDescent="0.2">
      <c r="A3906" s="120">
        <v>2024</v>
      </c>
      <c r="B3906" s="120">
        <v>4</v>
      </c>
      <c r="C3906" s="120">
        <v>24</v>
      </c>
      <c r="D3906" s="208">
        <f t="shared" si="319"/>
        <v>45406</v>
      </c>
      <c r="E3906" s="293">
        <f t="shared" ref="E3906" si="328">DATE(A3906,B3906,C3906)</f>
        <v>45406</v>
      </c>
      <c r="F3906" s="515"/>
      <c r="G3906" s="132" t="s">
        <v>1209</v>
      </c>
      <c r="J3906" s="120" t="s">
        <v>457</v>
      </c>
      <c r="K3906" s="120"/>
      <c r="L3906" s="207">
        <v>6215.99</v>
      </c>
    </row>
    <row r="3907" spans="1:12" ht="11.25" customHeight="1" x14ac:dyDescent="0.2">
      <c r="A3907" s="191">
        <v>2024</v>
      </c>
      <c r="B3907" s="191">
        <v>4</v>
      </c>
      <c r="C3907" s="191">
        <v>24</v>
      </c>
      <c r="D3907" s="192">
        <f t="shared" si="319"/>
        <v>45406</v>
      </c>
      <c r="E3907" s="291">
        <f t="shared" si="327"/>
        <v>45406</v>
      </c>
      <c r="F3907" s="514"/>
      <c r="G3907" s="194" t="s">
        <v>1209</v>
      </c>
      <c r="H3907" s="195"/>
      <c r="I3907" s="195" t="s">
        <v>1253</v>
      </c>
      <c r="J3907" s="191" t="s">
        <v>46</v>
      </c>
      <c r="K3907" s="196"/>
      <c r="L3907" s="196">
        <v>55943.97</v>
      </c>
    </row>
    <row r="3908" spans="1:12" ht="11.25" customHeight="1" x14ac:dyDescent="0.2">
      <c r="A3908" s="197">
        <v>2024</v>
      </c>
      <c r="B3908" s="197">
        <v>4</v>
      </c>
      <c r="C3908" s="197">
        <v>24</v>
      </c>
      <c r="D3908" s="198">
        <f t="shared" si="319"/>
        <v>45406</v>
      </c>
      <c r="E3908" s="209">
        <f t="shared" ref="E3908:E3913" si="329">DATE(A3908,B3908,C3908)</f>
        <v>45406</v>
      </c>
      <c r="F3908" s="513" t="s">
        <v>1210</v>
      </c>
      <c r="G3908" s="200" t="s">
        <v>1209</v>
      </c>
      <c r="H3908" s="201"/>
      <c r="I3908" s="201" t="s">
        <v>1333</v>
      </c>
      <c r="J3908" s="197" t="s">
        <v>46</v>
      </c>
      <c r="K3908" s="202">
        <v>40000</v>
      </c>
      <c r="L3908" s="202"/>
    </row>
    <row r="3909" spans="1:12" ht="11.25" customHeight="1" x14ac:dyDescent="0.2">
      <c r="A3909" s="120">
        <v>2024</v>
      </c>
      <c r="B3909" s="120">
        <v>4</v>
      </c>
      <c r="C3909" s="120">
        <v>24</v>
      </c>
      <c r="D3909" s="208">
        <f t="shared" si="319"/>
        <v>45406</v>
      </c>
      <c r="E3909" s="209">
        <f t="shared" si="329"/>
        <v>45406</v>
      </c>
      <c r="F3909" s="515"/>
      <c r="G3909" s="132" t="s">
        <v>1209</v>
      </c>
      <c r="I3909" s="128" t="s">
        <v>1333</v>
      </c>
      <c r="J3909" s="120" t="s">
        <v>16</v>
      </c>
      <c r="K3909" s="207"/>
      <c r="L3909" s="207">
        <v>36450</v>
      </c>
    </row>
    <row r="3910" spans="1:12" ht="12" customHeight="1" x14ac:dyDescent="0.2">
      <c r="A3910" s="191">
        <v>2024</v>
      </c>
      <c r="B3910" s="191">
        <v>4</v>
      </c>
      <c r="C3910" s="191">
        <v>24</v>
      </c>
      <c r="D3910" s="192">
        <f t="shared" si="319"/>
        <v>45406</v>
      </c>
      <c r="E3910" s="193">
        <f t="shared" si="329"/>
        <v>45406</v>
      </c>
      <c r="F3910" s="514"/>
      <c r="G3910" s="194" t="s">
        <v>1209</v>
      </c>
      <c r="H3910" s="195"/>
      <c r="I3910" s="195" t="s">
        <v>1333</v>
      </c>
      <c r="J3910" s="191" t="s">
        <v>47</v>
      </c>
      <c r="K3910" s="196"/>
      <c r="L3910" s="196">
        <v>3550</v>
      </c>
    </row>
    <row r="3911" spans="1:12" ht="11.25" customHeight="1" x14ac:dyDescent="0.2">
      <c r="A3911" s="197">
        <v>2024</v>
      </c>
      <c r="B3911" s="197">
        <v>4</v>
      </c>
      <c r="C3911" s="197">
        <v>25</v>
      </c>
      <c r="D3911" s="198">
        <f t="shared" si="319"/>
        <v>45407</v>
      </c>
      <c r="E3911" s="209">
        <f t="shared" si="329"/>
        <v>45407</v>
      </c>
      <c r="F3911" s="513" t="s">
        <v>1210</v>
      </c>
      <c r="G3911" s="200" t="s">
        <v>1209</v>
      </c>
      <c r="H3911" s="201"/>
      <c r="I3911" s="201" t="s">
        <v>355</v>
      </c>
      <c r="J3911" s="197" t="s">
        <v>46</v>
      </c>
      <c r="K3911" s="202">
        <v>200000</v>
      </c>
      <c r="L3911" s="202"/>
    </row>
    <row r="3912" spans="1:12" ht="11.25" customHeight="1" x14ac:dyDescent="0.2">
      <c r="A3912" s="120">
        <v>2024</v>
      </c>
      <c r="B3912" s="120">
        <v>4</v>
      </c>
      <c r="C3912" s="120">
        <v>25</v>
      </c>
      <c r="D3912" s="208">
        <f t="shared" si="319"/>
        <v>45407</v>
      </c>
      <c r="E3912" s="209">
        <f t="shared" si="329"/>
        <v>45407</v>
      </c>
      <c r="F3912" s="515"/>
      <c r="G3912" s="132" t="s">
        <v>1209</v>
      </c>
      <c r="I3912" s="128" t="s">
        <v>355</v>
      </c>
      <c r="J3912" s="120" t="s">
        <v>16</v>
      </c>
      <c r="K3912" s="207"/>
      <c r="L3912" s="207">
        <v>182250</v>
      </c>
    </row>
    <row r="3913" spans="1:12" ht="12" customHeight="1" x14ac:dyDescent="0.2">
      <c r="A3913" s="191">
        <v>2024</v>
      </c>
      <c r="B3913" s="191">
        <v>4</v>
      </c>
      <c r="C3913" s="191">
        <v>25</v>
      </c>
      <c r="D3913" s="192">
        <f t="shared" si="319"/>
        <v>45407</v>
      </c>
      <c r="E3913" s="193">
        <f t="shared" si="329"/>
        <v>45407</v>
      </c>
      <c r="F3913" s="514"/>
      <c r="G3913" s="194" t="s">
        <v>1209</v>
      </c>
      <c r="H3913" s="195"/>
      <c r="I3913" s="195" t="s">
        <v>355</v>
      </c>
      <c r="J3913" s="191" t="s">
        <v>47</v>
      </c>
      <c r="K3913" s="196"/>
      <c r="L3913" s="196">
        <v>17750</v>
      </c>
    </row>
    <row r="3914" spans="1:12" ht="11.25" customHeight="1" x14ac:dyDescent="0.2">
      <c r="A3914" s="210">
        <v>2024</v>
      </c>
      <c r="B3914" s="210">
        <v>4</v>
      </c>
      <c r="C3914" s="210">
        <v>25</v>
      </c>
      <c r="D3914" s="211">
        <f t="shared" si="319"/>
        <v>45407</v>
      </c>
      <c r="E3914" s="238">
        <f t="shared" ref="E3914:E3916" si="330">DATE(A3914,B3914,C3914)</f>
        <v>45407</v>
      </c>
      <c r="F3914" s="520" t="s">
        <v>1278</v>
      </c>
      <c r="G3914" s="213" t="s">
        <v>1245</v>
      </c>
      <c r="H3914" s="214"/>
      <c r="I3914" s="214" t="s">
        <v>1253</v>
      </c>
      <c r="J3914" s="210" t="s">
        <v>1529</v>
      </c>
      <c r="K3914" s="215">
        <v>7491.85</v>
      </c>
      <c r="L3914" s="215"/>
    </row>
    <row r="3915" spans="1:12" ht="11.25" customHeight="1" x14ac:dyDescent="0.2">
      <c r="A3915" s="216">
        <v>2024</v>
      </c>
      <c r="B3915" s="216">
        <v>4</v>
      </c>
      <c r="C3915" s="216">
        <v>25</v>
      </c>
      <c r="D3915" s="217">
        <f t="shared" si="319"/>
        <v>45407</v>
      </c>
      <c r="E3915" s="239">
        <f t="shared" si="330"/>
        <v>45407</v>
      </c>
      <c r="F3915" s="521"/>
      <c r="G3915" s="219" t="s">
        <v>1245</v>
      </c>
      <c r="H3915" s="220"/>
      <c r="I3915" s="220" t="s">
        <v>1253</v>
      </c>
      <c r="J3915" s="216" t="s">
        <v>1581</v>
      </c>
      <c r="K3915" s="221"/>
      <c r="L3915" s="221">
        <v>7491.85</v>
      </c>
    </row>
    <row r="3916" spans="1:12" ht="11.25" customHeight="1" x14ac:dyDescent="0.2">
      <c r="A3916" s="210">
        <v>2024</v>
      </c>
      <c r="B3916" s="210">
        <v>4</v>
      </c>
      <c r="C3916" s="210">
        <v>25</v>
      </c>
      <c r="D3916" s="211">
        <f t="shared" si="319"/>
        <v>45407</v>
      </c>
      <c r="E3916" s="238">
        <f t="shared" si="330"/>
        <v>45407</v>
      </c>
      <c r="F3916" s="520" t="s">
        <v>1285</v>
      </c>
      <c r="G3916" s="213" t="s">
        <v>1245</v>
      </c>
      <c r="H3916" s="214"/>
      <c r="I3916" s="214" t="s">
        <v>1253</v>
      </c>
      <c r="J3916" s="210" t="s">
        <v>1284</v>
      </c>
      <c r="K3916" s="215">
        <v>10290.504807692309</v>
      </c>
      <c r="L3916" s="215"/>
    </row>
    <row r="3917" spans="1:12" ht="11.25" customHeight="1" x14ac:dyDescent="0.2">
      <c r="A3917" s="242">
        <v>2024</v>
      </c>
      <c r="B3917" s="242">
        <v>4</v>
      </c>
      <c r="C3917" s="242">
        <v>25</v>
      </c>
      <c r="D3917" s="243">
        <f t="shared" si="319"/>
        <v>45407</v>
      </c>
      <c r="E3917" s="244">
        <f>DATE(A3917,B3917,C3917)</f>
        <v>45407</v>
      </c>
      <c r="F3917" s="524"/>
      <c r="G3917" s="245" t="s">
        <v>1245</v>
      </c>
      <c r="H3917" s="246"/>
      <c r="I3917" s="246"/>
      <c r="J3917" s="242" t="s">
        <v>1582</v>
      </c>
      <c r="K3917" s="247"/>
      <c r="L3917" s="247">
        <v>10290.504807692309</v>
      </c>
    </row>
    <row r="3918" spans="1:12" ht="11.25" customHeight="1" x14ac:dyDescent="0.2">
      <c r="A3918" s="210">
        <v>2024</v>
      </c>
      <c r="B3918" s="210">
        <v>4</v>
      </c>
      <c r="C3918" s="210">
        <v>25</v>
      </c>
      <c r="D3918" s="211">
        <f t="shared" ref="D3918:D3979" si="331">DATE(A3918,B3918,C3918)</f>
        <v>45407</v>
      </c>
      <c r="E3918" s="238">
        <f t="shared" ref="E3918:E3937" si="332">DATE(A3918,B3918,C3918)</f>
        <v>45407</v>
      </c>
      <c r="F3918" s="520" t="s">
        <v>1259</v>
      </c>
      <c r="G3918" s="213" t="s">
        <v>1245</v>
      </c>
      <c r="H3918" s="214"/>
      <c r="I3918" s="214" t="s">
        <v>1253</v>
      </c>
      <c r="J3918" s="210" t="s">
        <v>58</v>
      </c>
      <c r="K3918" s="215">
        <v>9725.1299999999992</v>
      </c>
      <c r="L3918" s="215"/>
    </row>
    <row r="3919" spans="1:12" ht="11.25" customHeight="1" x14ac:dyDescent="0.2">
      <c r="A3919" s="216">
        <v>2024</v>
      </c>
      <c r="B3919" s="216">
        <v>4</v>
      </c>
      <c r="C3919" s="216">
        <v>25</v>
      </c>
      <c r="D3919" s="217">
        <f t="shared" si="331"/>
        <v>45407</v>
      </c>
      <c r="E3919" s="239">
        <f t="shared" si="332"/>
        <v>45407</v>
      </c>
      <c r="F3919" s="521"/>
      <c r="G3919" s="219" t="s">
        <v>1245</v>
      </c>
      <c r="H3919" s="220"/>
      <c r="I3919" s="220" t="s">
        <v>1253</v>
      </c>
      <c r="J3919" s="216" t="s">
        <v>153</v>
      </c>
      <c r="K3919" s="221"/>
      <c r="L3919" s="221">
        <v>9725.1299999999992</v>
      </c>
    </row>
    <row r="3920" spans="1:12" ht="11.25" customHeight="1" x14ac:dyDescent="0.2">
      <c r="A3920" s="312">
        <v>2024</v>
      </c>
      <c r="B3920" s="312">
        <v>4</v>
      </c>
      <c r="C3920" s="312">
        <v>25</v>
      </c>
      <c r="D3920" s="313">
        <f t="shared" si="331"/>
        <v>45407</v>
      </c>
      <c r="E3920" s="314">
        <f t="shared" si="332"/>
        <v>45407</v>
      </c>
      <c r="F3920" s="522" t="s">
        <v>1477</v>
      </c>
      <c r="G3920" s="315" t="s">
        <v>1245</v>
      </c>
      <c r="H3920" s="316"/>
      <c r="I3920" s="316" t="s">
        <v>1253</v>
      </c>
      <c r="J3920" s="312" t="s">
        <v>1460</v>
      </c>
      <c r="K3920" s="317">
        <v>165284.39999999106</v>
      </c>
      <c r="L3920" s="317"/>
    </row>
    <row r="3921" spans="1:13" ht="11.25" customHeight="1" x14ac:dyDescent="0.2">
      <c r="A3921" s="318">
        <v>2024</v>
      </c>
      <c r="B3921" s="318">
        <v>4</v>
      </c>
      <c r="C3921" s="318">
        <v>25</v>
      </c>
      <c r="D3921" s="319">
        <f t="shared" si="331"/>
        <v>45407</v>
      </c>
      <c r="E3921" s="320">
        <f t="shared" si="332"/>
        <v>45407</v>
      </c>
      <c r="F3921" s="523"/>
      <c r="G3921" s="321" t="s">
        <v>1245</v>
      </c>
      <c r="H3921" s="322"/>
      <c r="I3921" s="322" t="s">
        <v>1253</v>
      </c>
      <c r="J3921" s="318" t="s">
        <v>1458</v>
      </c>
      <c r="K3921" s="323"/>
      <c r="L3921" s="323">
        <v>165284.39999999106</v>
      </c>
    </row>
    <row r="3922" spans="1:13" ht="11.25" customHeight="1" x14ac:dyDescent="0.2">
      <c r="A3922" s="312">
        <v>2024</v>
      </c>
      <c r="B3922" s="312">
        <v>4</v>
      </c>
      <c r="C3922" s="312">
        <v>25</v>
      </c>
      <c r="D3922" s="313">
        <f t="shared" si="331"/>
        <v>45407</v>
      </c>
      <c r="E3922" s="314">
        <f t="shared" si="332"/>
        <v>45407</v>
      </c>
      <c r="F3922" s="522" t="s">
        <v>1595</v>
      </c>
      <c r="G3922" s="315" t="s">
        <v>1245</v>
      </c>
      <c r="H3922" s="316"/>
      <c r="I3922" s="316" t="s">
        <v>1253</v>
      </c>
      <c r="J3922" s="312" t="s">
        <v>1461</v>
      </c>
      <c r="K3922" s="317">
        <v>288808.38999998569</v>
      </c>
      <c r="L3922" s="317"/>
    </row>
    <row r="3923" spans="1:13" ht="11.25" customHeight="1" x14ac:dyDescent="0.2">
      <c r="A3923" s="318">
        <v>2024</v>
      </c>
      <c r="B3923" s="318">
        <v>4</v>
      </c>
      <c r="C3923" s="318">
        <v>25</v>
      </c>
      <c r="D3923" s="319">
        <f t="shared" si="331"/>
        <v>45407</v>
      </c>
      <c r="E3923" s="320">
        <f t="shared" si="332"/>
        <v>45407</v>
      </c>
      <c r="F3923" s="523"/>
      <c r="G3923" s="321" t="s">
        <v>1245</v>
      </c>
      <c r="H3923" s="322"/>
      <c r="I3923" s="322" t="s">
        <v>1253</v>
      </c>
      <c r="J3923" s="318" t="s">
        <v>1459</v>
      </c>
      <c r="K3923" s="323"/>
      <c r="L3923" s="323">
        <v>288808.38999998569</v>
      </c>
    </row>
    <row r="3924" spans="1:13" ht="11.25" customHeight="1" x14ac:dyDescent="0.2">
      <c r="A3924" s="222">
        <v>2024</v>
      </c>
      <c r="B3924" s="222">
        <v>4</v>
      </c>
      <c r="C3924" s="222">
        <v>25</v>
      </c>
      <c r="D3924" s="223">
        <f t="shared" si="331"/>
        <v>45407</v>
      </c>
      <c r="E3924" s="240">
        <f t="shared" si="332"/>
        <v>45407</v>
      </c>
      <c r="F3924" s="511" t="s">
        <v>1244</v>
      </c>
      <c r="G3924" s="225" t="s">
        <v>1245</v>
      </c>
      <c r="H3924" s="226"/>
      <c r="I3924" s="226" t="s">
        <v>1253</v>
      </c>
      <c r="J3924" s="222" t="s">
        <v>87</v>
      </c>
      <c r="K3924" s="227">
        <v>37668.939999997616</v>
      </c>
      <c r="L3924" s="227"/>
    </row>
    <row r="3925" spans="1:13" ht="11.25" customHeight="1" x14ac:dyDescent="0.2">
      <c r="A3925" s="228">
        <v>2024</v>
      </c>
      <c r="B3925" s="228">
        <v>4</v>
      </c>
      <c r="C3925" s="228">
        <v>25</v>
      </c>
      <c r="D3925" s="229">
        <f t="shared" si="331"/>
        <v>45407</v>
      </c>
      <c r="E3925" s="241">
        <f t="shared" si="332"/>
        <v>45407</v>
      </c>
      <c r="F3925" s="512"/>
      <c r="G3925" s="231" t="s">
        <v>1245</v>
      </c>
      <c r="H3925" s="232"/>
      <c r="I3925" s="232" t="s">
        <v>1253</v>
      </c>
      <c r="J3925" s="228" t="s">
        <v>72</v>
      </c>
      <c r="K3925" s="233"/>
      <c r="L3925" s="233">
        <v>37668.939999997616</v>
      </c>
    </row>
    <row r="3926" spans="1:13" ht="11.25" customHeight="1" x14ac:dyDescent="0.2">
      <c r="A3926" s="222">
        <v>2024</v>
      </c>
      <c r="B3926" s="222">
        <v>4</v>
      </c>
      <c r="C3926" s="222">
        <v>25</v>
      </c>
      <c r="D3926" s="223">
        <f t="shared" si="331"/>
        <v>45407</v>
      </c>
      <c r="E3926" s="240">
        <f t="shared" si="332"/>
        <v>45407</v>
      </c>
      <c r="F3926" s="511" t="s">
        <v>1246</v>
      </c>
      <c r="G3926" s="225" t="s">
        <v>1245</v>
      </c>
      <c r="H3926" s="226"/>
      <c r="I3926" s="226" t="s">
        <v>1253</v>
      </c>
      <c r="J3926" s="222" t="s">
        <v>75</v>
      </c>
      <c r="K3926" s="227">
        <v>3623.123846153846</v>
      </c>
      <c r="L3926" s="227"/>
    </row>
    <row r="3927" spans="1:13" ht="11.25" customHeight="1" x14ac:dyDescent="0.2">
      <c r="A3927" s="228">
        <v>2024</v>
      </c>
      <c r="B3927" s="228">
        <v>4</v>
      </c>
      <c r="C3927" s="228">
        <v>25</v>
      </c>
      <c r="D3927" s="229">
        <f t="shared" si="331"/>
        <v>45407</v>
      </c>
      <c r="E3927" s="241">
        <f t="shared" si="332"/>
        <v>45407</v>
      </c>
      <c r="F3927" s="512"/>
      <c r="G3927" s="231" t="s">
        <v>1245</v>
      </c>
      <c r="H3927" s="232"/>
      <c r="I3927" s="232" t="s">
        <v>1253</v>
      </c>
      <c r="J3927" s="228" t="s">
        <v>55</v>
      </c>
      <c r="K3927" s="233"/>
      <c r="L3927" s="233">
        <v>3623.123846153846</v>
      </c>
    </row>
    <row r="3928" spans="1:13" ht="11.25" customHeight="1" x14ac:dyDescent="0.2">
      <c r="A3928" s="222">
        <v>2024</v>
      </c>
      <c r="B3928" s="222">
        <v>4</v>
      </c>
      <c r="C3928" s="222">
        <v>25</v>
      </c>
      <c r="D3928" s="223">
        <f t="shared" si="331"/>
        <v>45407</v>
      </c>
      <c r="E3928" s="240">
        <f t="shared" si="332"/>
        <v>45407</v>
      </c>
      <c r="F3928" s="511" t="s">
        <v>1247</v>
      </c>
      <c r="G3928" s="225" t="s">
        <v>1245</v>
      </c>
      <c r="H3928" s="226"/>
      <c r="I3928" s="226" t="s">
        <v>1253</v>
      </c>
      <c r="J3928" s="222" t="s">
        <v>77</v>
      </c>
      <c r="K3928" s="227">
        <f>M3928</f>
        <v>23188.157842674111</v>
      </c>
      <c r="L3928" s="227"/>
      <c r="M3928" s="120">
        <v>23188.157842674111</v>
      </c>
    </row>
    <row r="3929" spans="1:13" ht="11.25" customHeight="1" x14ac:dyDescent="0.2">
      <c r="A3929" s="228">
        <v>2024</v>
      </c>
      <c r="B3929" s="228">
        <v>4</v>
      </c>
      <c r="C3929" s="228">
        <v>25</v>
      </c>
      <c r="D3929" s="229">
        <f t="shared" si="331"/>
        <v>45407</v>
      </c>
      <c r="E3929" s="241">
        <f t="shared" si="332"/>
        <v>45407</v>
      </c>
      <c r="F3929" s="512"/>
      <c r="G3929" s="231" t="s">
        <v>1245</v>
      </c>
      <c r="H3929" s="232"/>
      <c r="I3929" s="232" t="s">
        <v>1253</v>
      </c>
      <c r="J3929" s="228" t="s">
        <v>41</v>
      </c>
      <c r="K3929" s="233"/>
      <c r="L3929" s="233">
        <f>K3928</f>
        <v>23188.157842674111</v>
      </c>
      <c r="M3929" s="120">
        <v>2318.8157842674109</v>
      </c>
    </row>
    <row r="3930" spans="1:13" ht="11.25" customHeight="1" x14ac:dyDescent="0.2">
      <c r="A3930" s="222">
        <v>2024</v>
      </c>
      <c r="B3930" s="222">
        <v>4</v>
      </c>
      <c r="C3930" s="222">
        <v>25</v>
      </c>
      <c r="D3930" s="223">
        <f t="shared" si="331"/>
        <v>45407</v>
      </c>
      <c r="E3930" s="240">
        <f t="shared" si="332"/>
        <v>45407</v>
      </c>
      <c r="F3930" s="511" t="s">
        <v>1248</v>
      </c>
      <c r="G3930" s="225" t="s">
        <v>1245</v>
      </c>
      <c r="H3930" s="226"/>
      <c r="I3930" s="226" t="s">
        <v>1253</v>
      </c>
      <c r="J3930" s="222" t="s">
        <v>80</v>
      </c>
      <c r="K3930" s="227">
        <f>M3929</f>
        <v>2318.8157842674109</v>
      </c>
      <c r="L3930" s="227"/>
    </row>
    <row r="3931" spans="1:13" ht="11.25" customHeight="1" x14ac:dyDescent="0.2">
      <c r="A3931" s="228">
        <v>2024</v>
      </c>
      <c r="B3931" s="228">
        <v>4</v>
      </c>
      <c r="C3931" s="228">
        <v>25</v>
      </c>
      <c r="D3931" s="229">
        <f t="shared" si="331"/>
        <v>45407</v>
      </c>
      <c r="E3931" s="241">
        <f t="shared" si="332"/>
        <v>45407</v>
      </c>
      <c r="F3931" s="512"/>
      <c r="G3931" s="231" t="s">
        <v>1245</v>
      </c>
      <c r="H3931" s="232"/>
      <c r="I3931" s="232" t="s">
        <v>1253</v>
      </c>
      <c r="J3931" s="228" t="s">
        <v>42</v>
      </c>
      <c r="K3931" s="233"/>
      <c r="L3931" s="233">
        <f>K3930</f>
        <v>2318.8157842674109</v>
      </c>
    </row>
    <row r="3932" spans="1:13" ht="11.25" customHeight="1" x14ac:dyDescent="0.2">
      <c r="A3932" s="197">
        <v>2024</v>
      </c>
      <c r="B3932" s="197">
        <v>4</v>
      </c>
      <c r="C3932" s="197">
        <v>28</v>
      </c>
      <c r="D3932" s="198">
        <f t="shared" si="331"/>
        <v>45410</v>
      </c>
      <c r="E3932" s="209">
        <f t="shared" si="332"/>
        <v>45410</v>
      </c>
      <c r="F3932" s="513" t="s">
        <v>1296</v>
      </c>
      <c r="G3932" s="200" t="s">
        <v>1209</v>
      </c>
      <c r="H3932" s="201"/>
      <c r="I3932" s="201"/>
      <c r="J3932" s="197" t="s">
        <v>46</v>
      </c>
      <c r="K3932" s="202">
        <v>320540</v>
      </c>
      <c r="L3932" s="202"/>
    </row>
    <row r="3933" spans="1:13" ht="11.25" customHeight="1" x14ac:dyDescent="0.2">
      <c r="A3933" s="120">
        <v>2024</v>
      </c>
      <c r="B3933" s="120">
        <v>4</v>
      </c>
      <c r="C3933" s="120">
        <v>28</v>
      </c>
      <c r="D3933" s="208">
        <f t="shared" si="331"/>
        <v>45410</v>
      </c>
      <c r="E3933" s="209">
        <f t="shared" si="332"/>
        <v>45410</v>
      </c>
      <c r="F3933" s="515"/>
      <c r="G3933" s="132" t="s">
        <v>1209</v>
      </c>
      <c r="J3933" s="120" t="s">
        <v>16</v>
      </c>
      <c r="K3933" s="207"/>
      <c r="L3933" s="207">
        <v>291680</v>
      </c>
    </row>
    <row r="3934" spans="1:13" ht="12" customHeight="1" x14ac:dyDescent="0.2">
      <c r="A3934" s="191">
        <v>2024</v>
      </c>
      <c r="B3934" s="191">
        <v>4</v>
      </c>
      <c r="C3934" s="191">
        <v>28</v>
      </c>
      <c r="D3934" s="192">
        <f t="shared" si="331"/>
        <v>45410</v>
      </c>
      <c r="E3934" s="193">
        <f t="shared" si="332"/>
        <v>45410</v>
      </c>
      <c r="F3934" s="514"/>
      <c r="G3934" s="194" t="s">
        <v>1209</v>
      </c>
      <c r="H3934" s="195"/>
      <c r="I3934" s="195"/>
      <c r="J3934" s="191" t="s">
        <v>47</v>
      </c>
      <c r="K3934" s="196"/>
      <c r="L3934" s="196">
        <v>28860</v>
      </c>
    </row>
    <row r="3935" spans="1:13" ht="11.25" customHeight="1" x14ac:dyDescent="0.2">
      <c r="A3935" s="197">
        <v>2024</v>
      </c>
      <c r="B3935" s="197">
        <v>4</v>
      </c>
      <c r="C3935" s="197">
        <v>28</v>
      </c>
      <c r="D3935" s="198">
        <f t="shared" si="331"/>
        <v>45410</v>
      </c>
      <c r="E3935" s="209">
        <f t="shared" si="332"/>
        <v>45410</v>
      </c>
      <c r="F3935" s="513" t="s">
        <v>1280</v>
      </c>
      <c r="G3935" s="200" t="s">
        <v>1209</v>
      </c>
      <c r="H3935" s="201"/>
      <c r="I3935" s="201" t="s">
        <v>1504</v>
      </c>
      <c r="J3935" s="197" t="s">
        <v>16</v>
      </c>
      <c r="K3935" s="202">
        <v>469040</v>
      </c>
      <c r="L3935" s="202"/>
    </row>
    <row r="3936" spans="1:13" ht="11.25" customHeight="1" x14ac:dyDescent="0.2">
      <c r="A3936" s="120">
        <v>2024</v>
      </c>
      <c r="B3936" s="120">
        <v>4</v>
      </c>
      <c r="C3936" s="120">
        <v>28</v>
      </c>
      <c r="D3936" s="208">
        <f t="shared" si="331"/>
        <v>45410</v>
      </c>
      <c r="E3936" s="209">
        <f t="shared" si="332"/>
        <v>45410</v>
      </c>
      <c r="F3936" s="515"/>
      <c r="G3936" s="132" t="s">
        <v>1209</v>
      </c>
      <c r="I3936" s="128" t="s">
        <v>1504</v>
      </c>
      <c r="J3936" s="120" t="s">
        <v>47</v>
      </c>
      <c r="K3936" s="207">
        <v>46481.859999999986</v>
      </c>
      <c r="L3936" s="207"/>
    </row>
    <row r="3937" spans="1:15" ht="11.25" customHeight="1" x14ac:dyDescent="0.2">
      <c r="A3937" s="191">
        <v>2024</v>
      </c>
      <c r="B3937" s="191">
        <v>4</v>
      </c>
      <c r="C3937" s="191">
        <v>28</v>
      </c>
      <c r="D3937" s="192">
        <f t="shared" si="331"/>
        <v>45410</v>
      </c>
      <c r="E3937" s="193">
        <f t="shared" si="332"/>
        <v>45410</v>
      </c>
      <c r="F3937" s="514"/>
      <c r="G3937" s="194" t="s">
        <v>1209</v>
      </c>
      <c r="H3937" s="195"/>
      <c r="I3937" s="195" t="s">
        <v>1504</v>
      </c>
      <c r="J3937" s="191" t="s">
        <v>46</v>
      </c>
      <c r="K3937" s="196"/>
      <c r="L3937" s="196">
        <v>515521.86</v>
      </c>
    </row>
    <row r="3938" spans="1:15" ht="11.25" customHeight="1" x14ac:dyDescent="0.2">
      <c r="A3938" s="197">
        <v>2024</v>
      </c>
      <c r="B3938" s="197">
        <v>4</v>
      </c>
      <c r="C3938" s="197">
        <v>28</v>
      </c>
      <c r="D3938" s="198">
        <f t="shared" si="331"/>
        <v>45410</v>
      </c>
      <c r="E3938" s="209">
        <f t="shared" ref="E3938:E3943" si="333">DATE(A3938,B3938,C3938)</f>
        <v>45410</v>
      </c>
      <c r="F3938" s="513" t="s">
        <v>1280</v>
      </c>
      <c r="G3938" s="200" t="s">
        <v>1209</v>
      </c>
      <c r="H3938" s="201"/>
      <c r="I3938" s="201" t="s">
        <v>379</v>
      </c>
      <c r="J3938" s="197" t="s">
        <v>16</v>
      </c>
      <c r="K3938" s="202">
        <v>272950</v>
      </c>
      <c r="L3938" s="202"/>
    </row>
    <row r="3939" spans="1:15" ht="11.25" customHeight="1" x14ac:dyDescent="0.2">
      <c r="A3939" s="120">
        <v>2024</v>
      </c>
      <c r="B3939" s="120">
        <v>4</v>
      </c>
      <c r="C3939" s="120">
        <v>28</v>
      </c>
      <c r="D3939" s="208">
        <f t="shared" si="331"/>
        <v>45410</v>
      </c>
      <c r="E3939" s="209">
        <f t="shared" si="333"/>
        <v>45410</v>
      </c>
      <c r="F3939" s="515"/>
      <c r="G3939" s="132" t="s">
        <v>1209</v>
      </c>
      <c r="I3939" s="128" t="s">
        <v>379</v>
      </c>
      <c r="J3939" s="120" t="s">
        <v>47</v>
      </c>
      <c r="K3939" s="207">
        <v>27050</v>
      </c>
      <c r="L3939" s="207"/>
    </row>
    <row r="3940" spans="1:15" ht="11.25" customHeight="1" x14ac:dyDescent="0.2">
      <c r="A3940" s="191">
        <v>2024</v>
      </c>
      <c r="B3940" s="191">
        <v>4</v>
      </c>
      <c r="C3940" s="191">
        <v>28</v>
      </c>
      <c r="D3940" s="192">
        <f t="shared" si="331"/>
        <v>45410</v>
      </c>
      <c r="E3940" s="193">
        <f t="shared" si="333"/>
        <v>45410</v>
      </c>
      <c r="F3940" s="514"/>
      <c r="G3940" s="194" t="s">
        <v>1209</v>
      </c>
      <c r="H3940" s="195"/>
      <c r="I3940" s="195" t="s">
        <v>379</v>
      </c>
      <c r="J3940" s="191" t="s">
        <v>46</v>
      </c>
      <c r="K3940" s="196"/>
      <c r="L3940" s="196">
        <v>300000</v>
      </c>
    </row>
    <row r="3941" spans="1:15" ht="11.25" customHeight="1" x14ac:dyDescent="0.2">
      <c r="A3941" s="197">
        <v>2024</v>
      </c>
      <c r="B3941" s="197">
        <v>4</v>
      </c>
      <c r="C3941" s="197">
        <v>28</v>
      </c>
      <c r="D3941" s="198">
        <f t="shared" si="331"/>
        <v>45410</v>
      </c>
      <c r="E3941" s="209">
        <f t="shared" si="333"/>
        <v>45410</v>
      </c>
      <c r="F3941" s="513" t="s">
        <v>1210</v>
      </c>
      <c r="G3941" s="200" t="s">
        <v>1209</v>
      </c>
      <c r="H3941" s="201"/>
      <c r="I3941" s="201" t="s">
        <v>1321</v>
      </c>
      <c r="J3941" s="197" t="s">
        <v>46</v>
      </c>
      <c r="K3941" s="202">
        <v>2000000</v>
      </c>
      <c r="L3941" s="202"/>
    </row>
    <row r="3942" spans="1:15" ht="11.25" customHeight="1" x14ac:dyDescent="0.2">
      <c r="A3942" s="120">
        <v>2024</v>
      </c>
      <c r="B3942" s="120">
        <v>4</v>
      </c>
      <c r="C3942" s="120">
        <v>28</v>
      </c>
      <c r="D3942" s="208">
        <f t="shared" si="331"/>
        <v>45410</v>
      </c>
      <c r="E3942" s="209">
        <f t="shared" si="333"/>
        <v>45410</v>
      </c>
      <c r="F3942" s="515"/>
      <c r="G3942" s="132" t="s">
        <v>1209</v>
      </c>
      <c r="I3942" s="128" t="s">
        <v>1321</v>
      </c>
      <c r="J3942" s="120" t="s">
        <v>16</v>
      </c>
      <c r="K3942" s="207"/>
      <c r="L3942" s="207">
        <v>1819670</v>
      </c>
    </row>
    <row r="3943" spans="1:15" ht="12" customHeight="1" x14ac:dyDescent="0.2">
      <c r="A3943" s="191">
        <v>2024</v>
      </c>
      <c r="B3943" s="191">
        <v>4</v>
      </c>
      <c r="C3943" s="191">
        <v>28</v>
      </c>
      <c r="D3943" s="192">
        <f t="shared" si="331"/>
        <v>45410</v>
      </c>
      <c r="E3943" s="193">
        <f t="shared" si="333"/>
        <v>45410</v>
      </c>
      <c r="F3943" s="514"/>
      <c r="G3943" s="194" t="s">
        <v>1209</v>
      </c>
      <c r="H3943" s="195"/>
      <c r="I3943" s="195" t="s">
        <v>1321</v>
      </c>
      <c r="J3943" s="191" t="s">
        <v>47</v>
      </c>
      <c r="K3943" s="196"/>
      <c r="L3943" s="196">
        <v>180330</v>
      </c>
    </row>
    <row r="3944" spans="1:15" ht="11.25" customHeight="1" x14ac:dyDescent="0.2">
      <c r="A3944" s="197">
        <v>2024</v>
      </c>
      <c r="B3944" s="197">
        <v>4</v>
      </c>
      <c r="C3944" s="197">
        <v>28</v>
      </c>
      <c r="D3944" s="198">
        <f t="shared" si="331"/>
        <v>45410</v>
      </c>
      <c r="E3944" s="209">
        <f t="shared" ref="E3944:E3948" si="334">DATE(A3944,B3944,C3944)</f>
        <v>45410</v>
      </c>
      <c r="F3944" s="513" t="s">
        <v>1280</v>
      </c>
      <c r="G3944" s="200" t="s">
        <v>1209</v>
      </c>
      <c r="H3944" s="201"/>
      <c r="I3944" s="201" t="s">
        <v>532</v>
      </c>
      <c r="J3944" s="197" t="s">
        <v>16</v>
      </c>
      <c r="K3944" s="202">
        <v>136800</v>
      </c>
      <c r="L3944" s="202"/>
    </row>
    <row r="3945" spans="1:15" ht="11.25" customHeight="1" x14ac:dyDescent="0.2">
      <c r="A3945" s="120">
        <v>2024</v>
      </c>
      <c r="B3945" s="120">
        <v>4</v>
      </c>
      <c r="C3945" s="120">
        <v>28</v>
      </c>
      <c r="D3945" s="208">
        <f t="shared" si="331"/>
        <v>45410</v>
      </c>
      <c r="E3945" s="209">
        <f t="shared" si="334"/>
        <v>45410</v>
      </c>
      <c r="F3945" s="515"/>
      <c r="G3945" s="132" t="s">
        <v>1209</v>
      </c>
      <c r="I3945" s="128" t="s">
        <v>532</v>
      </c>
      <c r="J3945" s="120" t="s">
        <v>47</v>
      </c>
      <c r="K3945" s="207">
        <v>13556.880000000005</v>
      </c>
      <c r="L3945" s="207"/>
    </row>
    <row r="3946" spans="1:15" ht="11.25" customHeight="1" x14ac:dyDescent="0.2">
      <c r="A3946" s="191">
        <v>2024</v>
      </c>
      <c r="B3946" s="191">
        <v>4</v>
      </c>
      <c r="C3946" s="191">
        <v>28</v>
      </c>
      <c r="D3946" s="192">
        <f t="shared" si="331"/>
        <v>45410</v>
      </c>
      <c r="E3946" s="193">
        <f t="shared" si="334"/>
        <v>45410</v>
      </c>
      <c r="F3946" s="514"/>
      <c r="G3946" s="194" t="s">
        <v>1209</v>
      </c>
      <c r="H3946" s="195"/>
      <c r="I3946" s="195" t="s">
        <v>532</v>
      </c>
      <c r="J3946" s="191" t="s">
        <v>46</v>
      </c>
      <c r="K3946" s="196"/>
      <c r="L3946" s="196">
        <v>150356.88</v>
      </c>
    </row>
    <row r="3947" spans="1:15" ht="11.25" customHeight="1" x14ac:dyDescent="0.2">
      <c r="A3947" s="197">
        <v>2024</v>
      </c>
      <c r="B3947" s="197">
        <v>4</v>
      </c>
      <c r="C3947" s="197">
        <v>28</v>
      </c>
      <c r="D3947" s="198">
        <f t="shared" si="331"/>
        <v>45410</v>
      </c>
      <c r="E3947" s="290">
        <f t="shared" si="334"/>
        <v>45410</v>
      </c>
      <c r="F3947" s="513" t="s">
        <v>1514</v>
      </c>
      <c r="G3947" s="200" t="s">
        <v>1209</v>
      </c>
      <c r="H3947" s="201"/>
      <c r="I3947" s="201"/>
      <c r="J3947" s="197" t="s">
        <v>54</v>
      </c>
      <c r="K3947" s="202">
        <v>60</v>
      </c>
      <c r="L3947" s="202"/>
      <c r="M3947" s="251"/>
      <c r="N3947" s="251"/>
      <c r="O3947" s="251"/>
    </row>
    <row r="3948" spans="1:15" ht="11.25" customHeight="1" x14ac:dyDescent="0.2">
      <c r="A3948" s="191">
        <v>2024</v>
      </c>
      <c r="B3948" s="191">
        <v>4</v>
      </c>
      <c r="C3948" s="191">
        <v>28</v>
      </c>
      <c r="D3948" s="192">
        <f t="shared" si="331"/>
        <v>45410</v>
      </c>
      <c r="E3948" s="291">
        <f t="shared" si="334"/>
        <v>45410</v>
      </c>
      <c r="F3948" s="514"/>
      <c r="G3948" s="194" t="s">
        <v>1209</v>
      </c>
      <c r="H3948" s="195"/>
      <c r="I3948" s="195"/>
      <c r="J3948" s="191" t="s">
        <v>46</v>
      </c>
      <c r="K3948" s="196"/>
      <c r="L3948" s="196">
        <v>60</v>
      </c>
      <c r="M3948" s="251"/>
      <c r="N3948" s="251"/>
      <c r="O3948" s="251"/>
    </row>
    <row r="3949" spans="1:15" ht="11.25" customHeight="1" x14ac:dyDescent="0.2">
      <c r="A3949" s="197">
        <v>2024</v>
      </c>
      <c r="B3949" s="197">
        <v>4</v>
      </c>
      <c r="C3949" s="197">
        <v>29</v>
      </c>
      <c r="D3949" s="198">
        <f t="shared" si="331"/>
        <v>45411</v>
      </c>
      <c r="E3949" s="290">
        <f t="shared" ref="E3949:E3950" si="335">DATE(A3949,B3949,C3949)</f>
        <v>45411</v>
      </c>
      <c r="F3949" s="513" t="s">
        <v>1514</v>
      </c>
      <c r="G3949" s="200" t="s">
        <v>1209</v>
      </c>
      <c r="H3949" s="201"/>
      <c r="I3949" s="201"/>
      <c r="J3949" s="197" t="s">
        <v>54</v>
      </c>
      <c r="K3949" s="202">
        <v>60</v>
      </c>
      <c r="L3949" s="202"/>
      <c r="M3949" s="251"/>
      <c r="N3949" s="251"/>
      <c r="O3949" s="251"/>
    </row>
    <row r="3950" spans="1:15" ht="11.25" customHeight="1" x14ac:dyDescent="0.2">
      <c r="A3950" s="191">
        <v>2024</v>
      </c>
      <c r="B3950" s="191">
        <v>4</v>
      </c>
      <c r="C3950" s="191">
        <v>29</v>
      </c>
      <c r="D3950" s="192">
        <f t="shared" si="331"/>
        <v>45411</v>
      </c>
      <c r="E3950" s="291">
        <f t="shared" si="335"/>
        <v>45411</v>
      </c>
      <c r="F3950" s="514"/>
      <c r="G3950" s="194" t="s">
        <v>1209</v>
      </c>
      <c r="H3950" s="195"/>
      <c r="I3950" s="195"/>
      <c r="J3950" s="191" t="s">
        <v>46</v>
      </c>
      <c r="K3950" s="196"/>
      <c r="L3950" s="196">
        <v>60</v>
      </c>
      <c r="M3950" s="251"/>
      <c r="N3950" s="251"/>
      <c r="O3950" s="251"/>
    </row>
    <row r="3951" spans="1:15" ht="11.25" customHeight="1" x14ac:dyDescent="0.2">
      <c r="A3951" s="197">
        <v>2024</v>
      </c>
      <c r="B3951" s="197">
        <v>4</v>
      </c>
      <c r="C3951" s="197">
        <v>29</v>
      </c>
      <c r="D3951" s="198">
        <f t="shared" si="331"/>
        <v>45411</v>
      </c>
      <c r="E3951" s="209">
        <f t="shared" ref="E3951:E3960" si="336">DATE(A3951,B3951,C3951)</f>
        <v>45411</v>
      </c>
      <c r="F3951" s="513" t="s">
        <v>1210</v>
      </c>
      <c r="G3951" s="200" t="s">
        <v>1209</v>
      </c>
      <c r="H3951" s="201"/>
      <c r="I3951" s="201" t="s">
        <v>498</v>
      </c>
      <c r="J3951" s="197" t="s">
        <v>46</v>
      </c>
      <c r="K3951" s="202">
        <v>500000</v>
      </c>
      <c r="L3951" s="202"/>
    </row>
    <row r="3952" spans="1:15" ht="11.25" customHeight="1" x14ac:dyDescent="0.2">
      <c r="A3952" s="120">
        <v>2024</v>
      </c>
      <c r="B3952" s="120">
        <v>4</v>
      </c>
      <c r="C3952" s="120">
        <v>29</v>
      </c>
      <c r="D3952" s="208">
        <f t="shared" si="331"/>
        <v>45411</v>
      </c>
      <c r="E3952" s="209">
        <f t="shared" si="336"/>
        <v>45411</v>
      </c>
      <c r="F3952" s="515"/>
      <c r="G3952" s="132" t="s">
        <v>1209</v>
      </c>
      <c r="I3952" s="128" t="s">
        <v>498</v>
      </c>
      <c r="J3952" s="120" t="s">
        <v>16</v>
      </c>
      <c r="K3952" s="207"/>
      <c r="L3952" s="207">
        <v>454920</v>
      </c>
    </row>
    <row r="3953" spans="1:15" ht="11.25" customHeight="1" x14ac:dyDescent="0.2">
      <c r="A3953" s="191">
        <v>2024</v>
      </c>
      <c r="B3953" s="191">
        <v>4</v>
      </c>
      <c r="C3953" s="191">
        <v>29</v>
      </c>
      <c r="D3953" s="192">
        <f t="shared" si="331"/>
        <v>45411</v>
      </c>
      <c r="E3953" s="193">
        <f t="shared" si="336"/>
        <v>45411</v>
      </c>
      <c r="F3953" s="514"/>
      <c r="G3953" s="194" t="s">
        <v>1209</v>
      </c>
      <c r="H3953" s="195"/>
      <c r="I3953" s="195" t="s">
        <v>498</v>
      </c>
      <c r="J3953" s="191" t="s">
        <v>47</v>
      </c>
      <c r="K3953" s="196"/>
      <c r="L3953" s="196">
        <v>45080</v>
      </c>
    </row>
    <row r="3954" spans="1:15" ht="11.25" customHeight="1" x14ac:dyDescent="0.2">
      <c r="A3954" s="197">
        <v>2024</v>
      </c>
      <c r="B3954" s="197">
        <v>4</v>
      </c>
      <c r="C3954" s="197">
        <v>29</v>
      </c>
      <c r="D3954" s="198">
        <f t="shared" si="331"/>
        <v>45411</v>
      </c>
      <c r="E3954" s="209">
        <f t="shared" si="336"/>
        <v>45411</v>
      </c>
      <c r="F3954" s="513" t="s">
        <v>1280</v>
      </c>
      <c r="G3954" s="200" t="s">
        <v>1209</v>
      </c>
      <c r="H3954" s="201"/>
      <c r="I3954" s="201" t="s">
        <v>520</v>
      </c>
      <c r="J3954" s="197" t="s">
        <v>16</v>
      </c>
      <c r="K3954" s="202">
        <v>18200</v>
      </c>
      <c r="L3954" s="202"/>
    </row>
    <row r="3955" spans="1:15" ht="11.25" customHeight="1" x14ac:dyDescent="0.2">
      <c r="A3955" s="120">
        <v>2024</v>
      </c>
      <c r="B3955" s="120">
        <v>4</v>
      </c>
      <c r="C3955" s="120">
        <v>29</v>
      </c>
      <c r="D3955" s="208">
        <f t="shared" si="331"/>
        <v>45411</v>
      </c>
      <c r="E3955" s="209">
        <f t="shared" si="336"/>
        <v>45411</v>
      </c>
      <c r="F3955" s="515"/>
      <c r="G3955" s="132" t="s">
        <v>1209</v>
      </c>
      <c r="I3955" s="128" t="s">
        <v>520</v>
      </c>
      <c r="J3955" s="120" t="s">
        <v>47</v>
      </c>
      <c r="K3955" s="207">
        <v>1800</v>
      </c>
      <c r="L3955" s="207"/>
    </row>
    <row r="3956" spans="1:15" ht="11.25" customHeight="1" x14ac:dyDescent="0.2">
      <c r="A3956" s="191">
        <v>2024</v>
      </c>
      <c r="B3956" s="191">
        <v>4</v>
      </c>
      <c r="C3956" s="191">
        <v>29</v>
      </c>
      <c r="D3956" s="192">
        <f t="shared" si="331"/>
        <v>45411</v>
      </c>
      <c r="E3956" s="193">
        <f t="shared" si="336"/>
        <v>45411</v>
      </c>
      <c r="F3956" s="514"/>
      <c r="G3956" s="194" t="s">
        <v>1209</v>
      </c>
      <c r="H3956" s="195"/>
      <c r="I3956" s="195" t="s">
        <v>520</v>
      </c>
      <c r="J3956" s="191" t="s">
        <v>46</v>
      </c>
      <c r="K3956" s="196"/>
      <c r="L3956" s="196">
        <v>20000</v>
      </c>
    </row>
    <row r="3957" spans="1:15" ht="11.25" customHeight="1" x14ac:dyDescent="0.2">
      <c r="A3957" s="197">
        <v>2024</v>
      </c>
      <c r="B3957" s="197">
        <v>4</v>
      </c>
      <c r="C3957" s="197">
        <v>29</v>
      </c>
      <c r="D3957" s="198">
        <f t="shared" si="331"/>
        <v>45411</v>
      </c>
      <c r="E3957" s="199">
        <f t="shared" si="336"/>
        <v>45411</v>
      </c>
      <c r="F3957" s="513" t="s">
        <v>1615</v>
      </c>
      <c r="G3957" s="200" t="s">
        <v>1209</v>
      </c>
      <c r="H3957" s="201"/>
      <c r="I3957" s="201" t="s">
        <v>1253</v>
      </c>
      <c r="J3957" s="197" t="s">
        <v>1455</v>
      </c>
      <c r="K3957" s="202">
        <v>3889956</v>
      </c>
      <c r="L3957" s="202"/>
    </row>
    <row r="3958" spans="1:15" ht="11.25" customHeight="1" x14ac:dyDescent="0.2">
      <c r="A3958" s="191">
        <v>2024</v>
      </c>
      <c r="B3958" s="191">
        <v>4</v>
      </c>
      <c r="C3958" s="191">
        <v>29</v>
      </c>
      <c r="D3958" s="192">
        <f t="shared" si="331"/>
        <v>45411</v>
      </c>
      <c r="E3958" s="193">
        <f t="shared" si="336"/>
        <v>45411</v>
      </c>
      <c r="F3958" s="514"/>
      <c r="G3958" s="194" t="s">
        <v>1209</v>
      </c>
      <c r="H3958" s="195"/>
      <c r="I3958" s="195" t="s">
        <v>1253</v>
      </c>
      <c r="J3958" s="191" t="s">
        <v>46</v>
      </c>
      <c r="K3958" s="196"/>
      <c r="L3958" s="196">
        <v>3889956</v>
      </c>
      <c r="N3958" s="130"/>
    </row>
    <row r="3959" spans="1:15" ht="11.25" customHeight="1" x14ac:dyDescent="0.2">
      <c r="A3959" s="197">
        <v>2024</v>
      </c>
      <c r="B3959" s="197">
        <v>4</v>
      </c>
      <c r="C3959" s="197">
        <v>30</v>
      </c>
      <c r="D3959" s="198">
        <f t="shared" si="331"/>
        <v>45412</v>
      </c>
      <c r="E3959" s="290">
        <f t="shared" si="336"/>
        <v>45412</v>
      </c>
      <c r="F3959" s="513" t="s">
        <v>1514</v>
      </c>
      <c r="G3959" s="200" t="s">
        <v>1209</v>
      </c>
      <c r="H3959" s="201"/>
      <c r="I3959" s="201"/>
      <c r="J3959" s="197" t="s">
        <v>54</v>
      </c>
      <c r="K3959" s="202">
        <v>60</v>
      </c>
      <c r="L3959" s="202"/>
      <c r="M3959" s="251"/>
      <c r="N3959" s="251"/>
      <c r="O3959" s="251"/>
    </row>
    <row r="3960" spans="1:15" ht="11.25" customHeight="1" x14ac:dyDescent="0.2">
      <c r="A3960" s="191">
        <v>2024</v>
      </c>
      <c r="B3960" s="191">
        <v>4</v>
      </c>
      <c r="C3960" s="191">
        <v>30</v>
      </c>
      <c r="D3960" s="192">
        <f t="shared" si="331"/>
        <v>45412</v>
      </c>
      <c r="E3960" s="291">
        <f t="shared" si="336"/>
        <v>45412</v>
      </c>
      <c r="F3960" s="514"/>
      <c r="G3960" s="194" t="s">
        <v>1209</v>
      </c>
      <c r="H3960" s="195"/>
      <c r="I3960" s="195"/>
      <c r="J3960" s="191" t="s">
        <v>46</v>
      </c>
      <c r="K3960" s="196"/>
      <c r="L3960" s="196">
        <v>60</v>
      </c>
      <c r="M3960" s="251"/>
      <c r="N3960" s="251"/>
      <c r="O3960" s="251"/>
    </row>
    <row r="3961" spans="1:15" ht="11.25" customHeight="1" x14ac:dyDescent="0.2">
      <c r="A3961" s="197">
        <v>2024</v>
      </c>
      <c r="B3961" s="197">
        <v>4</v>
      </c>
      <c r="C3961" s="197">
        <v>30</v>
      </c>
      <c r="D3961" s="198">
        <f t="shared" si="331"/>
        <v>45412</v>
      </c>
      <c r="E3961" s="209">
        <f t="shared" ref="E3961:E3963" si="337">DATE(A3961,B3961,C3961)</f>
        <v>45412</v>
      </c>
      <c r="F3961" s="513" t="s">
        <v>1210</v>
      </c>
      <c r="G3961" s="200" t="s">
        <v>1209</v>
      </c>
      <c r="H3961" s="201"/>
      <c r="I3961" s="201" t="s">
        <v>1491</v>
      </c>
      <c r="J3961" s="197" t="s">
        <v>46</v>
      </c>
      <c r="K3961" s="202">
        <v>2000</v>
      </c>
      <c r="L3961" s="202"/>
    </row>
    <row r="3962" spans="1:15" ht="11.25" customHeight="1" x14ac:dyDescent="0.2">
      <c r="A3962" s="120">
        <v>2024</v>
      </c>
      <c r="B3962" s="120">
        <v>4</v>
      </c>
      <c r="C3962" s="120">
        <v>30</v>
      </c>
      <c r="D3962" s="208">
        <f t="shared" si="331"/>
        <v>45412</v>
      </c>
      <c r="E3962" s="209">
        <f t="shared" si="337"/>
        <v>45412</v>
      </c>
      <c r="F3962" s="515"/>
      <c r="G3962" s="132" t="s">
        <v>1209</v>
      </c>
      <c r="I3962" s="128" t="s">
        <v>1491</v>
      </c>
      <c r="J3962" s="120" t="s">
        <v>16</v>
      </c>
      <c r="K3962" s="207"/>
      <c r="L3962" s="207">
        <v>1820</v>
      </c>
    </row>
    <row r="3963" spans="1:15" ht="11.25" customHeight="1" x14ac:dyDescent="0.2">
      <c r="A3963" s="191">
        <v>2024</v>
      </c>
      <c r="B3963" s="191">
        <v>4</v>
      </c>
      <c r="C3963" s="191">
        <v>30</v>
      </c>
      <c r="D3963" s="192">
        <f t="shared" si="331"/>
        <v>45412</v>
      </c>
      <c r="E3963" s="193">
        <f t="shared" si="337"/>
        <v>45412</v>
      </c>
      <c r="F3963" s="514"/>
      <c r="G3963" s="194" t="s">
        <v>1209</v>
      </c>
      <c r="H3963" s="195"/>
      <c r="I3963" s="195" t="s">
        <v>1491</v>
      </c>
      <c r="J3963" s="191" t="s">
        <v>47</v>
      </c>
      <c r="K3963" s="196"/>
      <c r="L3963" s="196">
        <v>180</v>
      </c>
    </row>
    <row r="3964" spans="1:15" ht="11.25" customHeight="1" x14ac:dyDescent="0.2">
      <c r="A3964" s="197">
        <v>2024</v>
      </c>
      <c r="B3964" s="197">
        <v>5</v>
      </c>
      <c r="C3964" s="197">
        <v>2</v>
      </c>
      <c r="D3964" s="198">
        <f t="shared" si="331"/>
        <v>45414</v>
      </c>
      <c r="E3964" s="209">
        <f t="shared" ref="E3964:E3969" si="338">DATE(A3964,B3964,C3964)</f>
        <v>45414</v>
      </c>
      <c r="F3964" s="513" t="s">
        <v>1210</v>
      </c>
      <c r="G3964" s="200" t="s">
        <v>1209</v>
      </c>
      <c r="H3964" s="201"/>
      <c r="I3964" s="201" t="s">
        <v>1218</v>
      </c>
      <c r="J3964" s="197" t="s">
        <v>46</v>
      </c>
      <c r="K3964" s="202">
        <v>10000000</v>
      </c>
      <c r="L3964" s="202"/>
    </row>
    <row r="3965" spans="1:15" ht="11.25" customHeight="1" x14ac:dyDescent="0.2">
      <c r="A3965" s="120">
        <v>2024</v>
      </c>
      <c r="B3965" s="120">
        <v>5</v>
      </c>
      <c r="C3965" s="120">
        <v>2</v>
      </c>
      <c r="D3965" s="208">
        <f t="shared" si="331"/>
        <v>45414</v>
      </c>
      <c r="E3965" s="209">
        <f t="shared" si="338"/>
        <v>45414</v>
      </c>
      <c r="F3965" s="515"/>
      <c r="G3965" s="132" t="s">
        <v>1209</v>
      </c>
      <c r="I3965" s="128" t="s">
        <v>1218</v>
      </c>
      <c r="J3965" s="120" t="s">
        <v>16</v>
      </c>
      <c r="K3965" s="207"/>
      <c r="L3965" s="207">
        <v>9098350</v>
      </c>
    </row>
    <row r="3966" spans="1:15" ht="11.25" customHeight="1" x14ac:dyDescent="0.2">
      <c r="A3966" s="191">
        <v>2024</v>
      </c>
      <c r="B3966" s="191">
        <v>5</v>
      </c>
      <c r="C3966" s="191">
        <v>2</v>
      </c>
      <c r="D3966" s="192">
        <f t="shared" si="331"/>
        <v>45414</v>
      </c>
      <c r="E3966" s="193">
        <f t="shared" si="338"/>
        <v>45414</v>
      </c>
      <c r="F3966" s="514"/>
      <c r="G3966" s="194" t="s">
        <v>1209</v>
      </c>
      <c r="H3966" s="195"/>
      <c r="I3966" s="195" t="s">
        <v>1218</v>
      </c>
      <c r="J3966" s="191" t="s">
        <v>47</v>
      </c>
      <c r="K3966" s="196"/>
      <c r="L3966" s="196">
        <v>901650</v>
      </c>
    </row>
    <row r="3967" spans="1:15" ht="11.25" customHeight="1" x14ac:dyDescent="0.2">
      <c r="A3967" s="197">
        <v>2024</v>
      </c>
      <c r="B3967" s="197">
        <v>5</v>
      </c>
      <c r="C3967" s="197">
        <v>2</v>
      </c>
      <c r="D3967" s="198">
        <f t="shared" si="331"/>
        <v>45414</v>
      </c>
      <c r="E3967" s="209">
        <f t="shared" si="338"/>
        <v>45414</v>
      </c>
      <c r="F3967" s="513" t="s">
        <v>1280</v>
      </c>
      <c r="G3967" s="200" t="s">
        <v>1209</v>
      </c>
      <c r="H3967" s="201"/>
      <c r="I3967" s="201" t="s">
        <v>394</v>
      </c>
      <c r="J3967" s="197" t="s">
        <v>16</v>
      </c>
      <c r="K3967" s="202">
        <v>181970</v>
      </c>
      <c r="L3967" s="202"/>
    </row>
    <row r="3968" spans="1:15" ht="11.25" customHeight="1" x14ac:dyDescent="0.2">
      <c r="A3968" s="120">
        <v>2024</v>
      </c>
      <c r="B3968" s="120">
        <v>5</v>
      </c>
      <c r="C3968" s="120">
        <v>2</v>
      </c>
      <c r="D3968" s="208">
        <f t="shared" si="331"/>
        <v>45414</v>
      </c>
      <c r="E3968" s="209">
        <f t="shared" si="338"/>
        <v>45414</v>
      </c>
      <c r="F3968" s="515"/>
      <c r="G3968" s="132" t="s">
        <v>1209</v>
      </c>
      <c r="I3968" s="128" t="s">
        <v>394</v>
      </c>
      <c r="J3968" s="120" t="s">
        <v>47</v>
      </c>
      <c r="K3968" s="207">
        <v>18030</v>
      </c>
      <c r="L3968" s="207"/>
    </row>
    <row r="3969" spans="1:15" ht="11.25" customHeight="1" x14ac:dyDescent="0.2">
      <c r="A3969" s="191">
        <v>2024</v>
      </c>
      <c r="B3969" s="191">
        <v>5</v>
      </c>
      <c r="C3969" s="191">
        <v>2</v>
      </c>
      <c r="D3969" s="192">
        <f t="shared" si="331"/>
        <v>45414</v>
      </c>
      <c r="E3969" s="193">
        <f t="shared" si="338"/>
        <v>45414</v>
      </c>
      <c r="F3969" s="514"/>
      <c r="G3969" s="194" t="s">
        <v>1209</v>
      </c>
      <c r="H3969" s="195"/>
      <c r="I3969" s="195" t="s">
        <v>394</v>
      </c>
      <c r="J3969" s="191" t="s">
        <v>46</v>
      </c>
      <c r="K3969" s="196"/>
      <c r="L3969" s="196">
        <v>200000</v>
      </c>
    </row>
    <row r="3970" spans="1:15" ht="11.25" customHeight="1" x14ac:dyDescent="0.2">
      <c r="A3970" s="197">
        <v>2024</v>
      </c>
      <c r="B3970" s="197">
        <v>5</v>
      </c>
      <c r="C3970" s="197">
        <v>2</v>
      </c>
      <c r="D3970" s="198">
        <f t="shared" si="331"/>
        <v>45414</v>
      </c>
      <c r="E3970" s="209">
        <f t="shared" ref="E3970:E3972" si="339">DATE(A3970,B3970,C3970)</f>
        <v>45414</v>
      </c>
      <c r="F3970" s="513" t="s">
        <v>1210</v>
      </c>
      <c r="G3970" s="200" t="s">
        <v>1209</v>
      </c>
      <c r="H3970" s="201"/>
      <c r="I3970" s="201" t="s">
        <v>355</v>
      </c>
      <c r="J3970" s="197" t="s">
        <v>46</v>
      </c>
      <c r="K3970" s="202">
        <v>205000</v>
      </c>
      <c r="L3970" s="202"/>
    </row>
    <row r="3971" spans="1:15" ht="11.25" customHeight="1" x14ac:dyDescent="0.2">
      <c r="A3971" s="120">
        <v>2024</v>
      </c>
      <c r="B3971" s="120">
        <v>5</v>
      </c>
      <c r="C3971" s="120">
        <v>2</v>
      </c>
      <c r="D3971" s="208">
        <f t="shared" si="331"/>
        <v>45414</v>
      </c>
      <c r="E3971" s="209">
        <f t="shared" si="339"/>
        <v>45414</v>
      </c>
      <c r="F3971" s="515"/>
      <c r="G3971" s="132" t="s">
        <v>1209</v>
      </c>
      <c r="I3971" s="128" t="s">
        <v>355</v>
      </c>
      <c r="J3971" s="120" t="s">
        <v>16</v>
      </c>
      <c r="K3971" s="207"/>
      <c r="L3971" s="207">
        <v>186520</v>
      </c>
    </row>
    <row r="3972" spans="1:15" ht="11.25" customHeight="1" x14ac:dyDescent="0.2">
      <c r="A3972" s="191">
        <v>2024</v>
      </c>
      <c r="B3972" s="191">
        <v>5</v>
      </c>
      <c r="C3972" s="191">
        <v>2</v>
      </c>
      <c r="D3972" s="192">
        <f t="shared" si="331"/>
        <v>45414</v>
      </c>
      <c r="E3972" s="193">
        <f t="shared" si="339"/>
        <v>45414</v>
      </c>
      <c r="F3972" s="514"/>
      <c r="G3972" s="194" t="s">
        <v>1209</v>
      </c>
      <c r="H3972" s="195"/>
      <c r="I3972" s="195" t="s">
        <v>355</v>
      </c>
      <c r="J3972" s="191" t="s">
        <v>47</v>
      </c>
      <c r="K3972" s="196"/>
      <c r="L3972" s="196">
        <v>18480</v>
      </c>
    </row>
    <row r="3973" spans="1:15" ht="11.25" customHeight="1" x14ac:dyDescent="0.2">
      <c r="A3973" s="197">
        <v>2024</v>
      </c>
      <c r="B3973" s="197">
        <v>5</v>
      </c>
      <c r="C3973" s="197">
        <v>2</v>
      </c>
      <c r="D3973" s="198">
        <f t="shared" si="331"/>
        <v>45414</v>
      </c>
      <c r="E3973" s="209">
        <f t="shared" ref="E3973:E3982" si="340">DATE(A3973,B3973,C3973)</f>
        <v>45414</v>
      </c>
      <c r="F3973" s="513" t="s">
        <v>1210</v>
      </c>
      <c r="G3973" s="200" t="s">
        <v>1209</v>
      </c>
      <c r="H3973" s="201"/>
      <c r="I3973" s="201" t="s">
        <v>1597</v>
      </c>
      <c r="J3973" s="197" t="s">
        <v>46</v>
      </c>
      <c r="K3973" s="202">
        <v>800000</v>
      </c>
      <c r="L3973" s="202"/>
    </row>
    <row r="3974" spans="1:15" ht="11.25" customHeight="1" x14ac:dyDescent="0.2">
      <c r="A3974" s="120">
        <v>2024</v>
      </c>
      <c r="B3974" s="120">
        <v>5</v>
      </c>
      <c r="C3974" s="120">
        <v>2</v>
      </c>
      <c r="D3974" s="208">
        <f t="shared" si="331"/>
        <v>45414</v>
      </c>
      <c r="E3974" s="209">
        <f t="shared" si="340"/>
        <v>45414</v>
      </c>
      <c r="F3974" s="515"/>
      <c r="G3974" s="132" t="s">
        <v>1209</v>
      </c>
      <c r="I3974" s="128" t="s">
        <v>1597</v>
      </c>
      <c r="J3974" s="120" t="s">
        <v>16</v>
      </c>
      <c r="K3974" s="207"/>
      <c r="L3974" s="207">
        <v>727870</v>
      </c>
    </row>
    <row r="3975" spans="1:15" ht="11.25" customHeight="1" x14ac:dyDescent="0.2">
      <c r="A3975" s="191">
        <v>2024</v>
      </c>
      <c r="B3975" s="191">
        <v>5</v>
      </c>
      <c r="C3975" s="191">
        <v>2</v>
      </c>
      <c r="D3975" s="192">
        <f t="shared" si="331"/>
        <v>45414</v>
      </c>
      <c r="E3975" s="193">
        <f t="shared" si="340"/>
        <v>45414</v>
      </c>
      <c r="F3975" s="514"/>
      <c r="G3975" s="194" t="s">
        <v>1209</v>
      </c>
      <c r="H3975" s="195"/>
      <c r="I3975" s="195" t="s">
        <v>1597</v>
      </c>
      <c r="J3975" s="191" t="s">
        <v>47</v>
      </c>
      <c r="K3975" s="196"/>
      <c r="L3975" s="196">
        <v>72130</v>
      </c>
    </row>
    <row r="3976" spans="1:15" ht="11.25" customHeight="1" x14ac:dyDescent="0.2">
      <c r="A3976" s="197">
        <v>2024</v>
      </c>
      <c r="B3976" s="197">
        <v>5</v>
      </c>
      <c r="C3976" s="197">
        <v>2</v>
      </c>
      <c r="D3976" s="198">
        <f t="shared" si="331"/>
        <v>45414</v>
      </c>
      <c r="E3976" s="290">
        <f t="shared" si="340"/>
        <v>45414</v>
      </c>
      <c r="F3976" s="513" t="s">
        <v>1514</v>
      </c>
      <c r="G3976" s="200" t="s">
        <v>1209</v>
      </c>
      <c r="H3976" s="201"/>
      <c r="I3976" s="201"/>
      <c r="J3976" s="197" t="s">
        <v>54</v>
      </c>
      <c r="K3976" s="202">
        <v>58</v>
      </c>
      <c r="L3976" s="202"/>
      <c r="M3976" s="251"/>
      <c r="N3976" s="251"/>
      <c r="O3976" s="251"/>
    </row>
    <row r="3977" spans="1:15" ht="11.25" customHeight="1" x14ac:dyDescent="0.2">
      <c r="A3977" s="191">
        <v>2024</v>
      </c>
      <c r="B3977" s="191">
        <v>5</v>
      </c>
      <c r="C3977" s="191">
        <v>2</v>
      </c>
      <c r="D3977" s="192">
        <f t="shared" si="331"/>
        <v>45414</v>
      </c>
      <c r="E3977" s="291">
        <f t="shared" si="340"/>
        <v>45414</v>
      </c>
      <c r="F3977" s="514"/>
      <c r="G3977" s="194" t="s">
        <v>1209</v>
      </c>
      <c r="H3977" s="195"/>
      <c r="I3977" s="195"/>
      <c r="J3977" s="191" t="s">
        <v>46</v>
      </c>
      <c r="K3977" s="196"/>
      <c r="L3977" s="196">
        <v>58</v>
      </c>
      <c r="M3977" s="251"/>
      <c r="N3977" s="251"/>
      <c r="O3977" s="251"/>
    </row>
    <row r="3978" spans="1:15" ht="11.25" customHeight="1" x14ac:dyDescent="0.2">
      <c r="A3978" s="197">
        <v>2024</v>
      </c>
      <c r="B3978" s="197">
        <v>5</v>
      </c>
      <c r="C3978" s="197">
        <v>2</v>
      </c>
      <c r="D3978" s="198">
        <f t="shared" si="331"/>
        <v>45414</v>
      </c>
      <c r="E3978" s="290">
        <f t="shared" ref="E3978:E3979" si="341">DATE(A3978,B3978,C3978)</f>
        <v>45414</v>
      </c>
      <c r="F3978" s="513" t="s">
        <v>1514</v>
      </c>
      <c r="G3978" s="200" t="s">
        <v>1209</v>
      </c>
      <c r="H3978" s="201"/>
      <c r="I3978" s="201"/>
      <c r="J3978" s="197" t="s">
        <v>54</v>
      </c>
      <c r="K3978" s="202">
        <v>60</v>
      </c>
      <c r="L3978" s="202"/>
      <c r="M3978" s="251"/>
      <c r="N3978" s="251"/>
      <c r="O3978" s="251"/>
    </row>
    <row r="3979" spans="1:15" ht="11.25" customHeight="1" x14ac:dyDescent="0.2">
      <c r="A3979" s="191">
        <v>2024</v>
      </c>
      <c r="B3979" s="191">
        <v>5</v>
      </c>
      <c r="C3979" s="191">
        <v>2</v>
      </c>
      <c r="D3979" s="192">
        <f t="shared" si="331"/>
        <v>45414</v>
      </c>
      <c r="E3979" s="291">
        <f t="shared" si="341"/>
        <v>45414</v>
      </c>
      <c r="F3979" s="514"/>
      <c r="G3979" s="194" t="s">
        <v>1209</v>
      </c>
      <c r="H3979" s="195"/>
      <c r="I3979" s="195"/>
      <c r="J3979" s="191" t="s">
        <v>46</v>
      </c>
      <c r="K3979" s="196"/>
      <c r="L3979" s="196">
        <v>60</v>
      </c>
      <c r="M3979" s="251"/>
      <c r="N3979" s="251"/>
      <c r="O3979" s="251"/>
    </row>
    <row r="3980" spans="1:15" ht="11.25" customHeight="1" x14ac:dyDescent="0.2">
      <c r="A3980" s="210">
        <v>2024</v>
      </c>
      <c r="B3980" s="210">
        <v>5</v>
      </c>
      <c r="C3980" s="210">
        <v>2</v>
      </c>
      <c r="D3980" s="211">
        <f t="shared" ref="D3980:D4041" si="342">DATE(A3980,B3980,C3980)</f>
        <v>45414</v>
      </c>
      <c r="E3980" s="238">
        <f t="shared" si="340"/>
        <v>45414</v>
      </c>
      <c r="F3980" s="520" t="s">
        <v>1278</v>
      </c>
      <c r="G3980" s="213" t="s">
        <v>1245</v>
      </c>
      <c r="H3980" s="214"/>
      <c r="I3980" s="214" t="s">
        <v>1253</v>
      </c>
      <c r="J3980" s="210" t="s">
        <v>1529</v>
      </c>
      <c r="K3980" s="215">
        <v>7491.85</v>
      </c>
      <c r="L3980" s="215"/>
    </row>
    <row r="3981" spans="1:15" ht="11.25" customHeight="1" x14ac:dyDescent="0.2">
      <c r="A3981" s="216">
        <v>2024</v>
      </c>
      <c r="B3981" s="216">
        <v>5</v>
      </c>
      <c r="C3981" s="216">
        <v>2</v>
      </c>
      <c r="D3981" s="217">
        <f t="shared" si="342"/>
        <v>45414</v>
      </c>
      <c r="E3981" s="239">
        <f t="shared" si="340"/>
        <v>45414</v>
      </c>
      <c r="F3981" s="521"/>
      <c r="G3981" s="219" t="s">
        <v>1245</v>
      </c>
      <c r="H3981" s="220"/>
      <c r="I3981" s="220" t="s">
        <v>1253</v>
      </c>
      <c r="J3981" s="216" t="s">
        <v>1581</v>
      </c>
      <c r="K3981" s="221"/>
      <c r="L3981" s="221">
        <v>7491.85</v>
      </c>
    </row>
    <row r="3982" spans="1:15" ht="11.25" customHeight="1" x14ac:dyDescent="0.2">
      <c r="A3982" s="210">
        <v>2024</v>
      </c>
      <c r="B3982" s="210">
        <v>5</v>
      </c>
      <c r="C3982" s="210">
        <v>2</v>
      </c>
      <c r="D3982" s="211">
        <f t="shared" si="342"/>
        <v>45414</v>
      </c>
      <c r="E3982" s="238">
        <f t="shared" si="340"/>
        <v>45414</v>
      </c>
      <c r="F3982" s="520" t="s">
        <v>1285</v>
      </c>
      <c r="G3982" s="213" t="s">
        <v>1245</v>
      </c>
      <c r="H3982" s="214"/>
      <c r="I3982" s="214" t="s">
        <v>1253</v>
      </c>
      <c r="J3982" s="210" t="s">
        <v>1284</v>
      </c>
      <c r="K3982" s="215">
        <v>10290.504807692309</v>
      </c>
      <c r="L3982" s="215"/>
    </row>
    <row r="3983" spans="1:15" ht="11.25" customHeight="1" x14ac:dyDescent="0.2">
      <c r="A3983" s="242">
        <v>2024</v>
      </c>
      <c r="B3983" s="242">
        <v>5</v>
      </c>
      <c r="C3983" s="242">
        <v>2</v>
      </c>
      <c r="D3983" s="243">
        <f t="shared" si="342"/>
        <v>45414</v>
      </c>
      <c r="E3983" s="244">
        <f>DATE(A3983,B3983,C3983)</f>
        <v>45414</v>
      </c>
      <c r="F3983" s="524"/>
      <c r="G3983" s="245" t="s">
        <v>1245</v>
      </c>
      <c r="H3983" s="246"/>
      <c r="I3983" s="246"/>
      <c r="J3983" s="242" t="s">
        <v>1582</v>
      </c>
      <c r="K3983" s="247"/>
      <c r="L3983" s="247">
        <v>10290.504807692309</v>
      </c>
    </row>
    <row r="3984" spans="1:15" ht="11.25" customHeight="1" x14ac:dyDescent="0.2">
      <c r="A3984" s="210">
        <v>2024</v>
      </c>
      <c r="B3984" s="210">
        <v>5</v>
      </c>
      <c r="C3984" s="210">
        <v>2</v>
      </c>
      <c r="D3984" s="211">
        <f t="shared" si="342"/>
        <v>45414</v>
      </c>
      <c r="E3984" s="238">
        <f t="shared" ref="E3984:E3999" si="343">DATE(A3984,B3984,C3984)</f>
        <v>45414</v>
      </c>
      <c r="F3984" s="520" t="s">
        <v>1259</v>
      </c>
      <c r="G3984" s="213" t="s">
        <v>1245</v>
      </c>
      <c r="H3984" s="214"/>
      <c r="I3984" s="214" t="s">
        <v>1253</v>
      </c>
      <c r="J3984" s="210" t="s">
        <v>58</v>
      </c>
      <c r="K3984" s="215">
        <v>8802.86</v>
      </c>
      <c r="L3984" s="215"/>
    </row>
    <row r="3985" spans="1:14" ht="11.25" customHeight="1" x14ac:dyDescent="0.2">
      <c r="A3985" s="216">
        <v>2024</v>
      </c>
      <c r="B3985" s="216">
        <v>5</v>
      </c>
      <c r="C3985" s="216">
        <v>2</v>
      </c>
      <c r="D3985" s="217">
        <f t="shared" si="342"/>
        <v>45414</v>
      </c>
      <c r="E3985" s="239">
        <f t="shared" si="343"/>
        <v>45414</v>
      </c>
      <c r="F3985" s="521"/>
      <c r="G3985" s="219" t="s">
        <v>1245</v>
      </c>
      <c r="H3985" s="220"/>
      <c r="I3985" s="220" t="s">
        <v>1253</v>
      </c>
      <c r="J3985" s="216" t="s">
        <v>153</v>
      </c>
      <c r="K3985" s="221"/>
      <c r="L3985" s="221">
        <v>8802.86</v>
      </c>
    </row>
    <row r="3986" spans="1:14" ht="11.25" customHeight="1" x14ac:dyDescent="0.2">
      <c r="A3986" s="312">
        <v>2024</v>
      </c>
      <c r="B3986" s="312">
        <v>5</v>
      </c>
      <c r="C3986" s="312">
        <v>2</v>
      </c>
      <c r="D3986" s="313">
        <f t="shared" si="342"/>
        <v>45414</v>
      </c>
      <c r="E3986" s="314">
        <f t="shared" si="343"/>
        <v>45414</v>
      </c>
      <c r="F3986" s="522" t="s">
        <v>1477</v>
      </c>
      <c r="G3986" s="315" t="s">
        <v>1245</v>
      </c>
      <c r="H3986" s="316"/>
      <c r="I3986" s="316" t="s">
        <v>1253</v>
      </c>
      <c r="J3986" s="312" t="s">
        <v>1460</v>
      </c>
      <c r="K3986" s="317">
        <v>170524.29999999702</v>
      </c>
      <c r="L3986" s="317"/>
    </row>
    <row r="3987" spans="1:14" ht="11.25" customHeight="1" x14ac:dyDescent="0.2">
      <c r="A3987" s="318">
        <v>2024</v>
      </c>
      <c r="B3987" s="318">
        <v>5</v>
      </c>
      <c r="C3987" s="318">
        <v>2</v>
      </c>
      <c r="D3987" s="319">
        <f t="shared" si="342"/>
        <v>45414</v>
      </c>
      <c r="E3987" s="320">
        <f t="shared" si="343"/>
        <v>45414</v>
      </c>
      <c r="F3987" s="523"/>
      <c r="G3987" s="321" t="s">
        <v>1245</v>
      </c>
      <c r="H3987" s="322"/>
      <c r="I3987" s="322" t="s">
        <v>1253</v>
      </c>
      <c r="J3987" s="318" t="s">
        <v>1458</v>
      </c>
      <c r="K3987" s="323"/>
      <c r="L3987" s="323">
        <f>K3986</f>
        <v>170524.29999999702</v>
      </c>
    </row>
    <row r="3988" spans="1:14" ht="11.25" customHeight="1" x14ac:dyDescent="0.2">
      <c r="A3988" s="312">
        <v>2024</v>
      </c>
      <c r="B3988" s="312">
        <v>5</v>
      </c>
      <c r="C3988" s="312">
        <v>2</v>
      </c>
      <c r="D3988" s="313">
        <f t="shared" si="342"/>
        <v>45414</v>
      </c>
      <c r="E3988" s="314">
        <f t="shared" si="343"/>
        <v>45414</v>
      </c>
      <c r="F3988" s="522" t="s">
        <v>1595</v>
      </c>
      <c r="G3988" s="315" t="s">
        <v>1245</v>
      </c>
      <c r="H3988" s="316"/>
      <c r="I3988" s="316" t="s">
        <v>1253</v>
      </c>
      <c r="J3988" s="312" t="s">
        <v>1461</v>
      </c>
      <c r="K3988" s="317">
        <v>289658.92000000179</v>
      </c>
      <c r="L3988" s="317"/>
    </row>
    <row r="3989" spans="1:14" ht="11.25" customHeight="1" x14ac:dyDescent="0.2">
      <c r="A3989" s="318">
        <v>2024</v>
      </c>
      <c r="B3989" s="318">
        <v>5</v>
      </c>
      <c r="C3989" s="318">
        <v>2</v>
      </c>
      <c r="D3989" s="319">
        <f t="shared" si="342"/>
        <v>45414</v>
      </c>
      <c r="E3989" s="320">
        <f t="shared" si="343"/>
        <v>45414</v>
      </c>
      <c r="F3989" s="523"/>
      <c r="G3989" s="321" t="s">
        <v>1245</v>
      </c>
      <c r="H3989" s="322"/>
      <c r="I3989" s="322" t="s">
        <v>1253</v>
      </c>
      <c r="J3989" s="318" t="s">
        <v>1459</v>
      </c>
      <c r="K3989" s="323"/>
      <c r="L3989" s="323">
        <f>K3988</f>
        <v>289658.92000000179</v>
      </c>
    </row>
    <row r="3990" spans="1:14" ht="11.25" customHeight="1" x14ac:dyDescent="0.2">
      <c r="A3990" s="222">
        <v>2024</v>
      </c>
      <c r="B3990" s="222">
        <v>5</v>
      </c>
      <c r="C3990" s="222">
        <v>2</v>
      </c>
      <c r="D3990" s="223">
        <f t="shared" si="342"/>
        <v>45414</v>
      </c>
      <c r="E3990" s="240">
        <f t="shared" si="343"/>
        <v>45414</v>
      </c>
      <c r="F3990" s="511" t="s">
        <v>1244</v>
      </c>
      <c r="G3990" s="225" t="s">
        <v>1245</v>
      </c>
      <c r="H3990" s="226"/>
      <c r="I3990" s="226" t="s">
        <v>1253</v>
      </c>
      <c r="J3990" s="222" t="s">
        <v>87</v>
      </c>
      <c r="K3990" s="227">
        <v>126208.93999999762</v>
      </c>
      <c r="L3990" s="227"/>
    </row>
    <row r="3991" spans="1:14" ht="11.25" customHeight="1" x14ac:dyDescent="0.2">
      <c r="A3991" s="228">
        <v>2024</v>
      </c>
      <c r="B3991" s="228">
        <v>5</v>
      </c>
      <c r="C3991" s="228">
        <v>2</v>
      </c>
      <c r="D3991" s="229">
        <f t="shared" si="342"/>
        <v>45414</v>
      </c>
      <c r="E3991" s="241">
        <f t="shared" si="343"/>
        <v>45414</v>
      </c>
      <c r="F3991" s="512"/>
      <c r="G3991" s="231" t="s">
        <v>1245</v>
      </c>
      <c r="H3991" s="232"/>
      <c r="I3991" s="232" t="s">
        <v>1253</v>
      </c>
      <c r="J3991" s="228" t="s">
        <v>72</v>
      </c>
      <c r="K3991" s="233"/>
      <c r="L3991" s="233">
        <f>K3990</f>
        <v>126208.93999999762</v>
      </c>
    </row>
    <row r="3992" spans="1:14" ht="11.25" customHeight="1" x14ac:dyDescent="0.2">
      <c r="A3992" s="222">
        <v>2024</v>
      </c>
      <c r="B3992" s="222">
        <v>5</v>
      </c>
      <c r="C3992" s="222">
        <v>2</v>
      </c>
      <c r="D3992" s="223">
        <f t="shared" si="342"/>
        <v>45414</v>
      </c>
      <c r="E3992" s="240">
        <f t="shared" si="343"/>
        <v>45414</v>
      </c>
      <c r="F3992" s="511" t="s">
        <v>1246</v>
      </c>
      <c r="G3992" s="225" t="s">
        <v>1245</v>
      </c>
      <c r="H3992" s="226"/>
      <c r="I3992" s="226" t="s">
        <v>1253</v>
      </c>
      <c r="J3992" s="222" t="s">
        <v>75</v>
      </c>
      <c r="K3992" s="227">
        <v>3623.123846153846</v>
      </c>
      <c r="L3992" s="227"/>
    </row>
    <row r="3993" spans="1:14" ht="11.25" customHeight="1" x14ac:dyDescent="0.2">
      <c r="A3993" s="228">
        <v>2024</v>
      </c>
      <c r="B3993" s="228">
        <v>5</v>
      </c>
      <c r="C3993" s="228">
        <v>2</v>
      </c>
      <c r="D3993" s="229">
        <f t="shared" si="342"/>
        <v>45414</v>
      </c>
      <c r="E3993" s="241">
        <f t="shared" si="343"/>
        <v>45414</v>
      </c>
      <c r="F3993" s="512"/>
      <c r="G3993" s="231" t="s">
        <v>1245</v>
      </c>
      <c r="H3993" s="232"/>
      <c r="I3993" s="232" t="s">
        <v>1253</v>
      </c>
      <c r="J3993" s="228" t="s">
        <v>55</v>
      </c>
      <c r="K3993" s="233"/>
      <c r="L3993" s="233">
        <v>3623.123846153846</v>
      </c>
    </row>
    <row r="3994" spans="1:14" ht="11.25" customHeight="1" x14ac:dyDescent="0.2">
      <c r="A3994" s="222">
        <v>2024</v>
      </c>
      <c r="B3994" s="222">
        <v>5</v>
      </c>
      <c r="C3994" s="222">
        <v>2</v>
      </c>
      <c r="D3994" s="223">
        <f t="shared" si="342"/>
        <v>45414</v>
      </c>
      <c r="E3994" s="240">
        <f t="shared" si="343"/>
        <v>45414</v>
      </c>
      <c r="F3994" s="511" t="s">
        <v>1247</v>
      </c>
      <c r="G3994" s="225" t="s">
        <v>1245</v>
      </c>
      <c r="H3994" s="226"/>
      <c r="I3994" s="226" t="s">
        <v>1253</v>
      </c>
      <c r="J3994" s="222" t="s">
        <v>77</v>
      </c>
      <c r="K3994" s="227">
        <f>M3994</f>
        <v>24459.808855879357</v>
      </c>
      <c r="L3994" s="227"/>
      <c r="M3994" s="120">
        <v>24459.808855879357</v>
      </c>
    </row>
    <row r="3995" spans="1:14" ht="11.25" customHeight="1" x14ac:dyDescent="0.2">
      <c r="A3995" s="228">
        <v>2024</v>
      </c>
      <c r="B3995" s="228">
        <v>5</v>
      </c>
      <c r="C3995" s="228">
        <v>2</v>
      </c>
      <c r="D3995" s="229">
        <f t="shared" si="342"/>
        <v>45414</v>
      </c>
      <c r="E3995" s="241">
        <f t="shared" si="343"/>
        <v>45414</v>
      </c>
      <c r="F3995" s="512"/>
      <c r="G3995" s="231" t="s">
        <v>1245</v>
      </c>
      <c r="H3995" s="232"/>
      <c r="I3995" s="232" t="s">
        <v>1253</v>
      </c>
      <c r="J3995" s="228" t="s">
        <v>41</v>
      </c>
      <c r="K3995" s="233"/>
      <c r="L3995" s="233">
        <f>K3994</f>
        <v>24459.808855879357</v>
      </c>
      <c r="M3995" s="120">
        <v>2445.980885587936</v>
      </c>
    </row>
    <row r="3996" spans="1:14" ht="11.25" customHeight="1" x14ac:dyDescent="0.2">
      <c r="A3996" s="222">
        <v>2024</v>
      </c>
      <c r="B3996" s="222">
        <v>5</v>
      </c>
      <c r="C3996" s="222">
        <v>2</v>
      </c>
      <c r="D3996" s="223">
        <f t="shared" si="342"/>
        <v>45414</v>
      </c>
      <c r="E3996" s="240">
        <f t="shared" si="343"/>
        <v>45414</v>
      </c>
      <c r="F3996" s="511" t="s">
        <v>1248</v>
      </c>
      <c r="G3996" s="225" t="s">
        <v>1245</v>
      </c>
      <c r="H3996" s="226"/>
      <c r="I3996" s="226" t="s">
        <v>1253</v>
      </c>
      <c r="J3996" s="222" t="s">
        <v>80</v>
      </c>
      <c r="K3996" s="227">
        <f>M3995</f>
        <v>2445.980885587936</v>
      </c>
      <c r="L3996" s="227"/>
    </row>
    <row r="3997" spans="1:14" ht="11.25" customHeight="1" x14ac:dyDescent="0.2">
      <c r="A3997" s="228">
        <v>2024</v>
      </c>
      <c r="B3997" s="228">
        <v>5</v>
      </c>
      <c r="C3997" s="228">
        <v>2</v>
      </c>
      <c r="D3997" s="229">
        <f t="shared" si="342"/>
        <v>45414</v>
      </c>
      <c r="E3997" s="241">
        <f t="shared" si="343"/>
        <v>45414</v>
      </c>
      <c r="F3997" s="512"/>
      <c r="G3997" s="231" t="s">
        <v>1245</v>
      </c>
      <c r="H3997" s="232"/>
      <c r="I3997" s="232" t="s">
        <v>1253</v>
      </c>
      <c r="J3997" s="228" t="s">
        <v>42</v>
      </c>
      <c r="K3997" s="233"/>
      <c r="L3997" s="233">
        <f>K3996</f>
        <v>2445.980885587936</v>
      </c>
    </row>
    <row r="3998" spans="1:14" ht="11.25" customHeight="1" x14ac:dyDescent="0.2">
      <c r="A3998" s="197">
        <v>2024</v>
      </c>
      <c r="B3998" s="197">
        <v>5</v>
      </c>
      <c r="C3998" s="197">
        <v>5</v>
      </c>
      <c r="D3998" s="198">
        <f t="shared" si="342"/>
        <v>45417</v>
      </c>
      <c r="E3998" s="199">
        <f t="shared" si="343"/>
        <v>45417</v>
      </c>
      <c r="F3998" s="513" t="s">
        <v>1616</v>
      </c>
      <c r="G3998" s="200" t="s">
        <v>1209</v>
      </c>
      <c r="H3998" s="201"/>
      <c r="I3998" s="201" t="s">
        <v>1253</v>
      </c>
      <c r="J3998" s="197" t="s">
        <v>1455</v>
      </c>
      <c r="K3998" s="202">
        <v>4862405</v>
      </c>
      <c r="L3998" s="202"/>
    </row>
    <row r="3999" spans="1:14" ht="11.25" customHeight="1" x14ac:dyDescent="0.2">
      <c r="A3999" s="191">
        <v>2024</v>
      </c>
      <c r="B3999" s="191">
        <v>5</v>
      </c>
      <c r="C3999" s="191">
        <v>5</v>
      </c>
      <c r="D3999" s="192">
        <f t="shared" si="342"/>
        <v>45417</v>
      </c>
      <c r="E3999" s="193">
        <f t="shared" si="343"/>
        <v>45417</v>
      </c>
      <c r="F3999" s="514"/>
      <c r="G3999" s="194" t="s">
        <v>1209</v>
      </c>
      <c r="H3999" s="195"/>
      <c r="I3999" s="195" t="s">
        <v>1253</v>
      </c>
      <c r="J3999" s="191" t="s">
        <v>46</v>
      </c>
      <c r="K3999" s="196"/>
      <c r="L3999" s="196">
        <v>4862405</v>
      </c>
      <c r="N3999" s="130"/>
    </row>
    <row r="4000" spans="1:14" ht="11.25" customHeight="1" x14ac:dyDescent="0.2">
      <c r="A4000" s="197">
        <v>2024</v>
      </c>
      <c r="B4000" s="197">
        <v>5</v>
      </c>
      <c r="C4000" s="197">
        <v>5</v>
      </c>
      <c r="D4000" s="198">
        <f t="shared" si="342"/>
        <v>45417</v>
      </c>
      <c r="E4000" s="199">
        <f t="shared" ref="E4000:E4015" si="344">DATE(A4000,B4000,C4000)</f>
        <v>45417</v>
      </c>
      <c r="F4000" s="513" t="s">
        <v>1617</v>
      </c>
      <c r="G4000" s="200" t="s">
        <v>1209</v>
      </c>
      <c r="H4000" s="201"/>
      <c r="I4000" s="201" t="s">
        <v>1253</v>
      </c>
      <c r="J4000" s="197" t="s">
        <v>1837</v>
      </c>
      <c r="K4000" s="202">
        <v>5051454</v>
      </c>
      <c r="L4000" s="202"/>
    </row>
    <row r="4001" spans="1:15" ht="11.25" customHeight="1" x14ac:dyDescent="0.2">
      <c r="A4001" s="191">
        <v>2024</v>
      </c>
      <c r="B4001" s="191">
        <v>5</v>
      </c>
      <c r="C4001" s="191">
        <v>5</v>
      </c>
      <c r="D4001" s="192">
        <f t="shared" si="342"/>
        <v>45417</v>
      </c>
      <c r="E4001" s="193">
        <f t="shared" si="344"/>
        <v>45417</v>
      </c>
      <c r="F4001" s="514"/>
      <c r="G4001" s="194" t="s">
        <v>1209</v>
      </c>
      <c r="H4001" s="195"/>
      <c r="I4001" s="195" t="s">
        <v>1253</v>
      </c>
      <c r="J4001" s="191" t="s">
        <v>46</v>
      </c>
      <c r="K4001" s="196"/>
      <c r="L4001" s="196">
        <v>5051454</v>
      </c>
      <c r="N4001" s="130"/>
    </row>
    <row r="4002" spans="1:15" ht="11.25" customHeight="1" x14ac:dyDescent="0.2">
      <c r="A4002" s="197">
        <v>2024</v>
      </c>
      <c r="B4002" s="197">
        <v>5</v>
      </c>
      <c r="C4002" s="197">
        <v>5</v>
      </c>
      <c r="D4002" s="198">
        <f t="shared" si="342"/>
        <v>45417</v>
      </c>
      <c r="E4002" s="199">
        <f t="shared" si="344"/>
        <v>45417</v>
      </c>
      <c r="F4002" s="513" t="s">
        <v>1618</v>
      </c>
      <c r="G4002" s="200" t="s">
        <v>1209</v>
      </c>
      <c r="H4002" s="200"/>
      <c r="I4002" s="201" t="s">
        <v>1253</v>
      </c>
      <c r="J4002" s="197" t="s">
        <v>70</v>
      </c>
      <c r="K4002" s="202">
        <v>25760</v>
      </c>
      <c r="L4002" s="202"/>
    </row>
    <row r="4003" spans="1:15" ht="11.25" customHeight="1" x14ac:dyDescent="0.2">
      <c r="A4003" s="120">
        <v>2024</v>
      </c>
      <c r="B4003" s="120">
        <v>5</v>
      </c>
      <c r="C4003" s="120">
        <v>5</v>
      </c>
      <c r="D4003" s="208">
        <f t="shared" si="342"/>
        <v>45417</v>
      </c>
      <c r="E4003" s="209">
        <f t="shared" si="344"/>
        <v>45417</v>
      </c>
      <c r="F4003" s="515"/>
      <c r="G4003" s="132" t="s">
        <v>1209</v>
      </c>
      <c r="H4003" s="132"/>
      <c r="I4003" s="128" t="s">
        <v>1253</v>
      </c>
      <c r="J4003" s="120" t="s">
        <v>46</v>
      </c>
      <c r="K4003" s="207">
        <v>2374240</v>
      </c>
      <c r="L4003" s="207"/>
    </row>
    <row r="4004" spans="1:15" ht="11.25" customHeight="1" x14ac:dyDescent="0.2">
      <c r="A4004" s="191">
        <v>2024</v>
      </c>
      <c r="B4004" s="191">
        <v>5</v>
      </c>
      <c r="C4004" s="191">
        <v>5</v>
      </c>
      <c r="D4004" s="192">
        <f t="shared" si="342"/>
        <v>45417</v>
      </c>
      <c r="E4004" s="193">
        <f t="shared" si="344"/>
        <v>45417</v>
      </c>
      <c r="F4004" s="514"/>
      <c r="G4004" s="194" t="s">
        <v>1209</v>
      </c>
      <c r="H4004" s="194"/>
      <c r="I4004" s="195"/>
      <c r="J4004" s="191" t="s">
        <v>175</v>
      </c>
      <c r="K4004" s="196"/>
      <c r="L4004" s="196">
        <v>2400000</v>
      </c>
      <c r="M4004" s="251"/>
    </row>
    <row r="4005" spans="1:15" ht="11.25" customHeight="1" x14ac:dyDescent="0.2">
      <c r="A4005" s="197">
        <v>2024</v>
      </c>
      <c r="B4005" s="197">
        <v>5</v>
      </c>
      <c r="C4005" s="197">
        <v>5</v>
      </c>
      <c r="D4005" s="198">
        <f t="shared" si="342"/>
        <v>45417</v>
      </c>
      <c r="E4005" s="209">
        <f t="shared" si="344"/>
        <v>45417</v>
      </c>
      <c r="F4005" s="513" t="s">
        <v>1210</v>
      </c>
      <c r="G4005" s="200" t="s">
        <v>1209</v>
      </c>
      <c r="H4005" s="201"/>
      <c r="I4005" s="201" t="s">
        <v>1597</v>
      </c>
      <c r="J4005" s="197" t="s">
        <v>46</v>
      </c>
      <c r="K4005" s="202">
        <v>2500000</v>
      </c>
      <c r="L4005" s="202"/>
    </row>
    <row r="4006" spans="1:15" ht="11.25" customHeight="1" x14ac:dyDescent="0.2">
      <c r="A4006" s="120">
        <v>2024</v>
      </c>
      <c r="B4006" s="120">
        <v>5</v>
      </c>
      <c r="C4006" s="120">
        <v>5</v>
      </c>
      <c r="D4006" s="208">
        <f t="shared" si="342"/>
        <v>45417</v>
      </c>
      <c r="E4006" s="209">
        <f t="shared" si="344"/>
        <v>45417</v>
      </c>
      <c r="F4006" s="515"/>
      <c r="G4006" s="132" t="s">
        <v>1209</v>
      </c>
      <c r="I4006" s="128" t="s">
        <v>1597</v>
      </c>
      <c r="J4006" s="120" t="s">
        <v>16</v>
      </c>
      <c r="K4006" s="207"/>
      <c r="L4006" s="207">
        <v>2270040</v>
      </c>
    </row>
    <row r="4007" spans="1:15" ht="11.25" customHeight="1" x14ac:dyDescent="0.2">
      <c r="A4007" s="191">
        <v>2024</v>
      </c>
      <c r="B4007" s="191">
        <v>5</v>
      </c>
      <c r="C4007" s="191">
        <v>5</v>
      </c>
      <c r="D4007" s="192">
        <f t="shared" si="342"/>
        <v>45417</v>
      </c>
      <c r="E4007" s="193">
        <f t="shared" si="344"/>
        <v>45417</v>
      </c>
      <c r="F4007" s="514"/>
      <c r="G4007" s="194" t="s">
        <v>1209</v>
      </c>
      <c r="H4007" s="195"/>
      <c r="I4007" s="195" t="s">
        <v>1597</v>
      </c>
      <c r="J4007" s="191" t="s">
        <v>47</v>
      </c>
      <c r="K4007" s="196"/>
      <c r="L4007" s="196">
        <v>229960</v>
      </c>
    </row>
    <row r="4008" spans="1:15" ht="11.25" customHeight="1" x14ac:dyDescent="0.2">
      <c r="A4008" s="197">
        <v>2024</v>
      </c>
      <c r="B4008" s="197">
        <v>5</v>
      </c>
      <c r="C4008" s="197">
        <v>5</v>
      </c>
      <c r="D4008" s="198">
        <f t="shared" si="342"/>
        <v>45417</v>
      </c>
      <c r="E4008" s="290">
        <f t="shared" si="344"/>
        <v>45417</v>
      </c>
      <c r="F4008" s="513" t="s">
        <v>1527</v>
      </c>
      <c r="G4008" s="200" t="s">
        <v>1209</v>
      </c>
      <c r="H4008" s="201"/>
      <c r="I4008" s="201"/>
      <c r="J4008" s="197" t="s">
        <v>54</v>
      </c>
      <c r="K4008" s="202">
        <v>160</v>
      </c>
      <c r="L4008" s="202"/>
      <c r="M4008" s="251"/>
      <c r="N4008" s="251"/>
      <c r="O4008" s="251"/>
    </row>
    <row r="4009" spans="1:15" ht="11.25" customHeight="1" x14ac:dyDescent="0.2">
      <c r="A4009" s="191">
        <v>2024</v>
      </c>
      <c r="B4009" s="191">
        <v>5</v>
      </c>
      <c r="C4009" s="191">
        <v>5</v>
      </c>
      <c r="D4009" s="192">
        <f t="shared" si="342"/>
        <v>45417</v>
      </c>
      <c r="E4009" s="291">
        <f t="shared" si="344"/>
        <v>45417</v>
      </c>
      <c r="F4009" s="514"/>
      <c r="G4009" s="194" t="s">
        <v>1209</v>
      </c>
      <c r="H4009" s="195"/>
      <c r="I4009" s="195"/>
      <c r="J4009" s="191" t="s">
        <v>46</v>
      </c>
      <c r="K4009" s="196"/>
      <c r="L4009" s="196">
        <v>160</v>
      </c>
      <c r="M4009" s="251"/>
      <c r="N4009" s="251"/>
      <c r="O4009" s="251"/>
    </row>
    <row r="4010" spans="1:15" ht="11.25" customHeight="1" x14ac:dyDescent="0.2">
      <c r="A4010" s="197">
        <v>2024</v>
      </c>
      <c r="B4010" s="197">
        <v>5</v>
      </c>
      <c r="C4010" s="197">
        <v>5</v>
      </c>
      <c r="D4010" s="198">
        <f t="shared" si="342"/>
        <v>45417</v>
      </c>
      <c r="E4010" s="209">
        <f t="shared" ref="E4010:E4012" si="345">DATE(A4010,B4010,C4010)</f>
        <v>45417</v>
      </c>
      <c r="F4010" s="513" t="s">
        <v>1296</v>
      </c>
      <c r="G4010" s="200" t="s">
        <v>1209</v>
      </c>
      <c r="H4010" s="201"/>
      <c r="I4010" s="201"/>
      <c r="J4010" s="197" t="s">
        <v>46</v>
      </c>
      <c r="K4010" s="202">
        <v>200000</v>
      </c>
      <c r="L4010" s="202"/>
    </row>
    <row r="4011" spans="1:15" ht="11.25" customHeight="1" x14ac:dyDescent="0.2">
      <c r="A4011" s="120">
        <v>2024</v>
      </c>
      <c r="B4011" s="120">
        <v>5</v>
      </c>
      <c r="C4011" s="120">
        <v>5</v>
      </c>
      <c r="D4011" s="208">
        <f t="shared" si="342"/>
        <v>45417</v>
      </c>
      <c r="E4011" s="209">
        <f t="shared" si="345"/>
        <v>45417</v>
      </c>
      <c r="F4011" s="515"/>
      <c r="G4011" s="132" t="s">
        <v>1209</v>
      </c>
      <c r="J4011" s="120" t="s">
        <v>16</v>
      </c>
      <c r="K4011" s="207"/>
      <c r="L4011" s="207">
        <v>181610</v>
      </c>
    </row>
    <row r="4012" spans="1:15" ht="11.25" customHeight="1" x14ac:dyDescent="0.2">
      <c r="A4012" s="191">
        <v>2024</v>
      </c>
      <c r="B4012" s="191">
        <v>5</v>
      </c>
      <c r="C4012" s="191">
        <v>5</v>
      </c>
      <c r="D4012" s="192">
        <f t="shared" si="342"/>
        <v>45417</v>
      </c>
      <c r="E4012" s="193">
        <f t="shared" si="345"/>
        <v>45417</v>
      </c>
      <c r="F4012" s="514"/>
      <c r="G4012" s="194" t="s">
        <v>1209</v>
      </c>
      <c r="H4012" s="195"/>
      <c r="I4012" s="195"/>
      <c r="J4012" s="191" t="s">
        <v>47</v>
      </c>
      <c r="K4012" s="196"/>
      <c r="L4012" s="196">
        <v>18390</v>
      </c>
    </row>
    <row r="4013" spans="1:15" ht="11.25" customHeight="1" x14ac:dyDescent="0.2">
      <c r="A4013" s="197">
        <v>2024</v>
      </c>
      <c r="B4013" s="197">
        <v>5</v>
      </c>
      <c r="C4013" s="197">
        <v>6</v>
      </c>
      <c r="D4013" s="198">
        <f t="shared" si="342"/>
        <v>45418</v>
      </c>
      <c r="E4013" s="209">
        <f t="shared" si="344"/>
        <v>45418</v>
      </c>
      <c r="F4013" s="513" t="s">
        <v>1210</v>
      </c>
      <c r="G4013" s="200" t="s">
        <v>1209</v>
      </c>
      <c r="H4013" s="201"/>
      <c r="I4013" s="201" t="s">
        <v>397</v>
      </c>
      <c r="J4013" s="197" t="s">
        <v>46</v>
      </c>
      <c r="K4013" s="202">
        <v>21000</v>
      </c>
      <c r="L4013" s="202"/>
    </row>
    <row r="4014" spans="1:15" ht="11.25" customHeight="1" x14ac:dyDescent="0.2">
      <c r="A4014" s="120">
        <v>2024</v>
      </c>
      <c r="B4014" s="120">
        <v>5</v>
      </c>
      <c r="C4014" s="120">
        <v>6</v>
      </c>
      <c r="D4014" s="208">
        <f t="shared" si="342"/>
        <v>45418</v>
      </c>
      <c r="E4014" s="209">
        <f t="shared" si="344"/>
        <v>45418</v>
      </c>
      <c r="F4014" s="515"/>
      <c r="G4014" s="132" t="s">
        <v>1209</v>
      </c>
      <c r="I4014" s="128" t="s">
        <v>397</v>
      </c>
      <c r="J4014" s="120" t="s">
        <v>16</v>
      </c>
      <c r="K4014" s="207"/>
      <c r="L4014" s="207">
        <v>19070</v>
      </c>
    </row>
    <row r="4015" spans="1:15" ht="11.25" customHeight="1" x14ac:dyDescent="0.2">
      <c r="A4015" s="191">
        <v>2024</v>
      </c>
      <c r="B4015" s="191">
        <v>5</v>
      </c>
      <c r="C4015" s="191">
        <v>6</v>
      </c>
      <c r="D4015" s="192">
        <f t="shared" si="342"/>
        <v>45418</v>
      </c>
      <c r="E4015" s="193">
        <f t="shared" si="344"/>
        <v>45418</v>
      </c>
      <c r="F4015" s="514"/>
      <c r="G4015" s="194" t="s">
        <v>1209</v>
      </c>
      <c r="H4015" s="195"/>
      <c r="I4015" s="195" t="s">
        <v>397</v>
      </c>
      <c r="J4015" s="191" t="s">
        <v>47</v>
      </c>
      <c r="K4015" s="196"/>
      <c r="L4015" s="196">
        <v>1930</v>
      </c>
    </row>
    <row r="4016" spans="1:15" ht="11.25" customHeight="1" x14ac:dyDescent="0.2">
      <c r="A4016" s="197">
        <v>2024</v>
      </c>
      <c r="B4016" s="197">
        <v>5</v>
      </c>
      <c r="C4016" s="197">
        <v>6</v>
      </c>
      <c r="D4016" s="198">
        <f t="shared" si="342"/>
        <v>45418</v>
      </c>
      <c r="E4016" s="209">
        <f t="shared" ref="E4016:E4018" si="346">DATE(A4016,B4016,C4016)</f>
        <v>45418</v>
      </c>
      <c r="F4016" s="513" t="s">
        <v>1210</v>
      </c>
      <c r="G4016" s="200" t="s">
        <v>1209</v>
      </c>
      <c r="H4016" s="201"/>
      <c r="I4016" s="201" t="s">
        <v>1619</v>
      </c>
      <c r="J4016" s="197" t="s">
        <v>46</v>
      </c>
      <c r="K4016" s="202">
        <v>3000000</v>
      </c>
      <c r="L4016" s="202"/>
    </row>
    <row r="4017" spans="1:15" ht="11.25" customHeight="1" x14ac:dyDescent="0.2">
      <c r="A4017" s="120">
        <v>2024</v>
      </c>
      <c r="B4017" s="120">
        <v>5</v>
      </c>
      <c r="C4017" s="120">
        <v>6</v>
      </c>
      <c r="D4017" s="208">
        <f t="shared" si="342"/>
        <v>45418</v>
      </c>
      <c r="E4017" s="209">
        <f t="shared" si="346"/>
        <v>45418</v>
      </c>
      <c r="F4017" s="515"/>
      <c r="G4017" s="132" t="s">
        <v>1209</v>
      </c>
      <c r="I4017" s="128" t="s">
        <v>1619</v>
      </c>
      <c r="J4017" s="120" t="s">
        <v>16</v>
      </c>
      <c r="K4017" s="207"/>
      <c r="L4017" s="207">
        <v>2724050</v>
      </c>
    </row>
    <row r="4018" spans="1:15" ht="11.25" customHeight="1" x14ac:dyDescent="0.2">
      <c r="A4018" s="191">
        <v>2024</v>
      </c>
      <c r="B4018" s="191">
        <v>5</v>
      </c>
      <c r="C4018" s="191">
        <v>6</v>
      </c>
      <c r="D4018" s="192">
        <f t="shared" si="342"/>
        <v>45418</v>
      </c>
      <c r="E4018" s="193">
        <f t="shared" si="346"/>
        <v>45418</v>
      </c>
      <c r="F4018" s="514"/>
      <c r="G4018" s="194" t="s">
        <v>1209</v>
      </c>
      <c r="H4018" s="195"/>
      <c r="I4018" s="195" t="s">
        <v>1619</v>
      </c>
      <c r="J4018" s="191" t="s">
        <v>47</v>
      </c>
      <c r="K4018" s="196"/>
      <c r="L4018" s="196">
        <v>275950</v>
      </c>
    </row>
    <row r="4019" spans="1:15" ht="11.25" customHeight="1" x14ac:dyDescent="0.2">
      <c r="A4019" s="197">
        <v>2024</v>
      </c>
      <c r="B4019" s="197">
        <v>5</v>
      </c>
      <c r="C4019" s="197">
        <v>6</v>
      </c>
      <c r="D4019" s="198">
        <f t="shared" si="342"/>
        <v>45418</v>
      </c>
      <c r="E4019" s="209">
        <f t="shared" ref="E4019:E4023" si="347">DATE(A4019,B4019,C4019)</f>
        <v>45418</v>
      </c>
      <c r="F4019" s="513" t="s">
        <v>1210</v>
      </c>
      <c r="G4019" s="200" t="s">
        <v>1209</v>
      </c>
      <c r="H4019" s="201"/>
      <c r="I4019" s="201" t="s">
        <v>1597</v>
      </c>
      <c r="J4019" s="197" t="s">
        <v>46</v>
      </c>
      <c r="K4019" s="202">
        <v>1500000</v>
      </c>
      <c r="L4019" s="202"/>
    </row>
    <row r="4020" spans="1:15" ht="11.25" customHeight="1" x14ac:dyDescent="0.2">
      <c r="A4020" s="120">
        <v>2024</v>
      </c>
      <c r="B4020" s="120">
        <v>5</v>
      </c>
      <c r="C4020" s="120">
        <v>6</v>
      </c>
      <c r="D4020" s="208">
        <f t="shared" si="342"/>
        <v>45418</v>
      </c>
      <c r="E4020" s="209">
        <f t="shared" si="347"/>
        <v>45418</v>
      </c>
      <c r="F4020" s="515"/>
      <c r="G4020" s="132" t="s">
        <v>1209</v>
      </c>
      <c r="I4020" s="128" t="s">
        <v>1597</v>
      </c>
      <c r="J4020" s="120" t="s">
        <v>16</v>
      </c>
      <c r="K4020" s="207"/>
      <c r="L4020" s="207">
        <v>1362030</v>
      </c>
    </row>
    <row r="4021" spans="1:15" ht="11.25" customHeight="1" x14ac:dyDescent="0.2">
      <c r="A4021" s="191">
        <v>2024</v>
      </c>
      <c r="B4021" s="191">
        <v>5</v>
      </c>
      <c r="C4021" s="191">
        <v>6</v>
      </c>
      <c r="D4021" s="192">
        <f t="shared" si="342"/>
        <v>45418</v>
      </c>
      <c r="E4021" s="193">
        <f t="shared" si="347"/>
        <v>45418</v>
      </c>
      <c r="F4021" s="514"/>
      <c r="G4021" s="194" t="s">
        <v>1209</v>
      </c>
      <c r="H4021" s="195"/>
      <c r="I4021" s="195" t="s">
        <v>1597</v>
      </c>
      <c r="J4021" s="191" t="s">
        <v>47</v>
      </c>
      <c r="K4021" s="196"/>
      <c r="L4021" s="196">
        <v>137970</v>
      </c>
    </row>
    <row r="4022" spans="1:15" ht="11.25" customHeight="1" x14ac:dyDescent="0.2">
      <c r="A4022" s="197">
        <v>2024</v>
      </c>
      <c r="B4022" s="197">
        <v>5</v>
      </c>
      <c r="C4022" s="197">
        <v>6</v>
      </c>
      <c r="D4022" s="198">
        <f t="shared" si="342"/>
        <v>45418</v>
      </c>
      <c r="E4022" s="290">
        <f t="shared" si="347"/>
        <v>45418</v>
      </c>
      <c r="F4022" s="513" t="s">
        <v>1527</v>
      </c>
      <c r="G4022" s="200" t="s">
        <v>1209</v>
      </c>
      <c r="H4022" s="201"/>
      <c r="I4022" s="201"/>
      <c r="J4022" s="197" t="s">
        <v>54</v>
      </c>
      <c r="K4022" s="202">
        <v>60</v>
      </c>
      <c r="L4022" s="202"/>
      <c r="M4022" s="251"/>
      <c r="N4022" s="251"/>
      <c r="O4022" s="251"/>
    </row>
    <row r="4023" spans="1:15" ht="11.25" customHeight="1" x14ac:dyDescent="0.2">
      <c r="A4023" s="191">
        <v>2024</v>
      </c>
      <c r="B4023" s="191">
        <v>5</v>
      </c>
      <c r="C4023" s="191">
        <v>6</v>
      </c>
      <c r="D4023" s="192">
        <f t="shared" si="342"/>
        <v>45418</v>
      </c>
      <c r="E4023" s="291">
        <f t="shared" si="347"/>
        <v>45418</v>
      </c>
      <c r="F4023" s="514"/>
      <c r="G4023" s="194" t="s">
        <v>1209</v>
      </c>
      <c r="H4023" s="195"/>
      <c r="I4023" s="195"/>
      <c r="J4023" s="191" t="s">
        <v>46</v>
      </c>
      <c r="K4023" s="196"/>
      <c r="L4023" s="196">
        <v>60</v>
      </c>
      <c r="M4023" s="251"/>
      <c r="N4023" s="251"/>
      <c r="O4023" s="251"/>
    </row>
    <row r="4024" spans="1:15" ht="11.25" customHeight="1" x14ac:dyDescent="0.2">
      <c r="A4024" s="197">
        <v>2024</v>
      </c>
      <c r="B4024" s="197">
        <v>5</v>
      </c>
      <c r="C4024" s="197">
        <v>6</v>
      </c>
      <c r="D4024" s="198">
        <f t="shared" si="342"/>
        <v>45418</v>
      </c>
      <c r="E4024" s="290">
        <f t="shared" ref="E4024:E4025" si="348">DATE(A4024,B4024,C4024)</f>
        <v>45418</v>
      </c>
      <c r="F4024" s="513" t="s">
        <v>1514</v>
      </c>
      <c r="G4024" s="200" t="s">
        <v>1209</v>
      </c>
      <c r="H4024" s="201"/>
      <c r="I4024" s="201"/>
      <c r="J4024" s="197" t="s">
        <v>54</v>
      </c>
      <c r="K4024" s="202">
        <v>60</v>
      </c>
      <c r="L4024" s="202"/>
      <c r="M4024" s="251"/>
      <c r="N4024" s="251"/>
      <c r="O4024" s="251"/>
    </row>
    <row r="4025" spans="1:15" ht="11.25" customHeight="1" x14ac:dyDescent="0.2">
      <c r="A4025" s="191">
        <v>2024</v>
      </c>
      <c r="B4025" s="191">
        <v>5</v>
      </c>
      <c r="C4025" s="191">
        <v>6</v>
      </c>
      <c r="D4025" s="192">
        <f t="shared" si="342"/>
        <v>45418</v>
      </c>
      <c r="E4025" s="291">
        <f t="shared" si="348"/>
        <v>45418</v>
      </c>
      <c r="F4025" s="514"/>
      <c r="G4025" s="194" t="s">
        <v>1209</v>
      </c>
      <c r="H4025" s="195"/>
      <c r="I4025" s="195"/>
      <c r="J4025" s="191" t="s">
        <v>46</v>
      </c>
      <c r="K4025" s="196"/>
      <c r="L4025" s="196">
        <v>60</v>
      </c>
      <c r="M4025" s="251"/>
      <c r="N4025" s="251"/>
      <c r="O4025" s="251"/>
    </row>
    <row r="4026" spans="1:15" ht="11.25" customHeight="1" x14ac:dyDescent="0.2">
      <c r="A4026" s="197">
        <v>2024</v>
      </c>
      <c r="B4026" s="197">
        <v>5</v>
      </c>
      <c r="C4026" s="197">
        <v>7</v>
      </c>
      <c r="D4026" s="198">
        <f t="shared" si="342"/>
        <v>45419</v>
      </c>
      <c r="E4026" s="209">
        <f t="shared" ref="E4026:E4028" si="349">DATE(A4026,B4026,C4026)</f>
        <v>45419</v>
      </c>
      <c r="F4026" s="513" t="s">
        <v>1210</v>
      </c>
      <c r="G4026" s="200" t="s">
        <v>1209</v>
      </c>
      <c r="H4026" s="201"/>
      <c r="I4026" s="201" t="s">
        <v>644</v>
      </c>
      <c r="J4026" s="197" t="s">
        <v>46</v>
      </c>
      <c r="K4026" s="202">
        <v>1000000</v>
      </c>
      <c r="L4026" s="202"/>
    </row>
    <row r="4027" spans="1:15" ht="11.25" customHeight="1" x14ac:dyDescent="0.2">
      <c r="A4027" s="120">
        <v>2024</v>
      </c>
      <c r="B4027" s="120">
        <v>5</v>
      </c>
      <c r="C4027" s="120">
        <v>7</v>
      </c>
      <c r="D4027" s="208">
        <f t="shared" si="342"/>
        <v>45419</v>
      </c>
      <c r="E4027" s="209">
        <f t="shared" si="349"/>
        <v>45419</v>
      </c>
      <c r="F4027" s="515"/>
      <c r="G4027" s="132" t="s">
        <v>1209</v>
      </c>
      <c r="I4027" s="128" t="s">
        <v>644</v>
      </c>
      <c r="J4027" s="120" t="s">
        <v>16</v>
      </c>
      <c r="K4027" s="207"/>
      <c r="L4027" s="207">
        <v>908020</v>
      </c>
    </row>
    <row r="4028" spans="1:15" ht="11.25" customHeight="1" x14ac:dyDescent="0.2">
      <c r="A4028" s="191">
        <v>2024</v>
      </c>
      <c r="B4028" s="191">
        <v>5</v>
      </c>
      <c r="C4028" s="191">
        <v>7</v>
      </c>
      <c r="D4028" s="192">
        <f t="shared" si="342"/>
        <v>45419</v>
      </c>
      <c r="E4028" s="193">
        <f t="shared" si="349"/>
        <v>45419</v>
      </c>
      <c r="F4028" s="514"/>
      <c r="G4028" s="194" t="s">
        <v>1209</v>
      </c>
      <c r="H4028" s="195"/>
      <c r="I4028" s="195" t="s">
        <v>644</v>
      </c>
      <c r="J4028" s="191" t="s">
        <v>47</v>
      </c>
      <c r="K4028" s="196"/>
      <c r="L4028" s="196">
        <v>91980</v>
      </c>
    </row>
    <row r="4029" spans="1:15" ht="11.25" customHeight="1" x14ac:dyDescent="0.2">
      <c r="A4029" s="197">
        <v>2024</v>
      </c>
      <c r="B4029" s="197">
        <v>5</v>
      </c>
      <c r="C4029" s="197">
        <v>7</v>
      </c>
      <c r="D4029" s="198">
        <f t="shared" si="342"/>
        <v>45419</v>
      </c>
      <c r="E4029" s="209">
        <f t="shared" ref="E4029:E4033" si="350">DATE(A4029,B4029,C4029)</f>
        <v>45419</v>
      </c>
      <c r="F4029" s="513" t="s">
        <v>1210</v>
      </c>
      <c r="G4029" s="200" t="s">
        <v>1209</v>
      </c>
      <c r="H4029" s="201"/>
      <c r="I4029" s="201"/>
      <c r="J4029" s="197" t="s">
        <v>46</v>
      </c>
      <c r="K4029" s="202">
        <v>3898700</v>
      </c>
      <c r="L4029" s="202"/>
    </row>
    <row r="4030" spans="1:15" ht="11.25" customHeight="1" x14ac:dyDescent="0.2">
      <c r="A4030" s="120">
        <v>2024</v>
      </c>
      <c r="B4030" s="120">
        <v>5</v>
      </c>
      <c r="C4030" s="120">
        <v>7</v>
      </c>
      <c r="D4030" s="208">
        <f t="shared" si="342"/>
        <v>45419</v>
      </c>
      <c r="E4030" s="209">
        <f t="shared" si="350"/>
        <v>45419</v>
      </c>
      <c r="F4030" s="515"/>
      <c r="G4030" s="132" t="s">
        <v>1209</v>
      </c>
      <c r="J4030" s="120" t="s">
        <v>16</v>
      </c>
      <c r="K4030" s="207"/>
      <c r="L4030" s="207">
        <v>3540090</v>
      </c>
    </row>
    <row r="4031" spans="1:15" ht="11.25" customHeight="1" x14ac:dyDescent="0.2">
      <c r="A4031" s="191">
        <v>2024</v>
      </c>
      <c r="B4031" s="191">
        <v>5</v>
      </c>
      <c r="C4031" s="191">
        <v>7</v>
      </c>
      <c r="D4031" s="192">
        <f t="shared" si="342"/>
        <v>45419</v>
      </c>
      <c r="E4031" s="193">
        <f t="shared" si="350"/>
        <v>45419</v>
      </c>
      <c r="F4031" s="514"/>
      <c r="G4031" s="194" t="s">
        <v>1209</v>
      </c>
      <c r="H4031" s="195"/>
      <c r="I4031" s="195"/>
      <c r="J4031" s="191" t="s">
        <v>47</v>
      </c>
      <c r="K4031" s="196"/>
      <c r="L4031" s="196">
        <v>358610</v>
      </c>
    </row>
    <row r="4032" spans="1:15" ht="11.25" customHeight="1" x14ac:dyDescent="0.2">
      <c r="A4032" s="197">
        <v>2024</v>
      </c>
      <c r="B4032" s="197">
        <v>5</v>
      </c>
      <c r="C4032" s="197">
        <v>7</v>
      </c>
      <c r="D4032" s="198">
        <f t="shared" si="342"/>
        <v>45419</v>
      </c>
      <c r="E4032" s="290">
        <f t="shared" si="350"/>
        <v>45419</v>
      </c>
      <c r="F4032" s="513" t="s">
        <v>1514</v>
      </c>
      <c r="G4032" s="200" t="s">
        <v>1209</v>
      </c>
      <c r="H4032" s="201"/>
      <c r="I4032" s="201"/>
      <c r="J4032" s="197" t="s">
        <v>54</v>
      </c>
      <c r="K4032" s="202">
        <v>120</v>
      </c>
      <c r="L4032" s="202"/>
      <c r="M4032" s="251"/>
      <c r="N4032" s="251"/>
      <c r="O4032" s="251"/>
    </row>
    <row r="4033" spans="1:15" ht="11.25" customHeight="1" x14ac:dyDescent="0.2">
      <c r="A4033" s="191">
        <v>2024</v>
      </c>
      <c r="B4033" s="191">
        <v>5</v>
      </c>
      <c r="C4033" s="191">
        <v>7</v>
      </c>
      <c r="D4033" s="192">
        <f t="shared" si="342"/>
        <v>45419</v>
      </c>
      <c r="E4033" s="291">
        <f t="shared" si="350"/>
        <v>45419</v>
      </c>
      <c r="F4033" s="514"/>
      <c r="G4033" s="194" t="s">
        <v>1209</v>
      </c>
      <c r="H4033" s="195"/>
      <c r="I4033" s="195"/>
      <c r="J4033" s="191" t="s">
        <v>46</v>
      </c>
      <c r="K4033" s="196"/>
      <c r="L4033" s="196">
        <v>120</v>
      </c>
      <c r="M4033" s="251"/>
      <c r="N4033" s="251"/>
      <c r="O4033" s="251"/>
    </row>
    <row r="4034" spans="1:15" ht="11.25" customHeight="1" x14ac:dyDescent="0.2">
      <c r="A4034" s="197">
        <v>2024</v>
      </c>
      <c r="B4034" s="197">
        <v>5</v>
      </c>
      <c r="C4034" s="197">
        <v>8</v>
      </c>
      <c r="D4034" s="198">
        <f t="shared" si="342"/>
        <v>45420</v>
      </c>
      <c r="E4034" s="290">
        <f t="shared" ref="E4034:E4035" si="351">DATE(A4034,B4034,C4034)</f>
        <v>45420</v>
      </c>
      <c r="F4034" s="513" t="s">
        <v>1514</v>
      </c>
      <c r="G4034" s="200" t="s">
        <v>1209</v>
      </c>
      <c r="H4034" s="201"/>
      <c r="I4034" s="201"/>
      <c r="J4034" s="197" t="s">
        <v>54</v>
      </c>
      <c r="K4034" s="202">
        <v>60</v>
      </c>
      <c r="L4034" s="202"/>
      <c r="M4034" s="251"/>
      <c r="N4034" s="251"/>
      <c r="O4034" s="251"/>
    </row>
    <row r="4035" spans="1:15" ht="11.25" customHeight="1" x14ac:dyDescent="0.2">
      <c r="A4035" s="191">
        <v>2024</v>
      </c>
      <c r="B4035" s="191">
        <v>5</v>
      </c>
      <c r="C4035" s="191">
        <v>8</v>
      </c>
      <c r="D4035" s="192">
        <f t="shared" si="342"/>
        <v>45420</v>
      </c>
      <c r="E4035" s="291">
        <f t="shared" si="351"/>
        <v>45420</v>
      </c>
      <c r="F4035" s="514"/>
      <c r="G4035" s="194" t="s">
        <v>1209</v>
      </c>
      <c r="H4035" s="195"/>
      <c r="I4035" s="195"/>
      <c r="J4035" s="191" t="s">
        <v>46</v>
      </c>
      <c r="K4035" s="196"/>
      <c r="L4035" s="196">
        <v>60</v>
      </c>
      <c r="M4035" s="251"/>
      <c r="N4035" s="251"/>
      <c r="O4035" s="251"/>
    </row>
    <row r="4036" spans="1:15" ht="11.25" customHeight="1" x14ac:dyDescent="0.2">
      <c r="A4036" s="197">
        <v>2024</v>
      </c>
      <c r="B4036" s="197">
        <v>5</v>
      </c>
      <c r="C4036" s="197">
        <v>8</v>
      </c>
      <c r="D4036" s="198">
        <f t="shared" si="342"/>
        <v>45420</v>
      </c>
      <c r="E4036" s="209">
        <f t="shared" ref="E4036:E4038" si="352">DATE(A4036,B4036,C4036)</f>
        <v>45420</v>
      </c>
      <c r="F4036" s="513" t="s">
        <v>1210</v>
      </c>
      <c r="G4036" s="200" t="s">
        <v>1209</v>
      </c>
      <c r="H4036" s="201"/>
      <c r="I4036" s="201" t="s">
        <v>1620</v>
      </c>
      <c r="J4036" s="197" t="s">
        <v>46</v>
      </c>
      <c r="K4036" s="202">
        <v>2000000</v>
      </c>
      <c r="L4036" s="202"/>
    </row>
    <row r="4037" spans="1:15" ht="11.25" customHeight="1" x14ac:dyDescent="0.2">
      <c r="A4037" s="120">
        <v>2024</v>
      </c>
      <c r="B4037" s="120">
        <v>5</v>
      </c>
      <c r="C4037" s="120">
        <v>8</v>
      </c>
      <c r="D4037" s="208">
        <f t="shared" si="342"/>
        <v>45420</v>
      </c>
      <c r="E4037" s="209">
        <f t="shared" si="352"/>
        <v>45420</v>
      </c>
      <c r="F4037" s="515"/>
      <c r="G4037" s="132" t="s">
        <v>1209</v>
      </c>
      <c r="I4037" s="128" t="s">
        <v>1620</v>
      </c>
      <c r="J4037" s="120" t="s">
        <v>16</v>
      </c>
      <c r="K4037" s="207"/>
      <c r="L4037" s="207">
        <v>1816040</v>
      </c>
    </row>
    <row r="4038" spans="1:15" ht="11.25" customHeight="1" x14ac:dyDescent="0.2">
      <c r="A4038" s="191">
        <v>2024</v>
      </c>
      <c r="B4038" s="191">
        <v>5</v>
      </c>
      <c r="C4038" s="191">
        <v>8</v>
      </c>
      <c r="D4038" s="192">
        <f t="shared" si="342"/>
        <v>45420</v>
      </c>
      <c r="E4038" s="193">
        <f t="shared" si="352"/>
        <v>45420</v>
      </c>
      <c r="F4038" s="514"/>
      <c r="G4038" s="194" t="s">
        <v>1209</v>
      </c>
      <c r="H4038" s="195"/>
      <c r="I4038" s="195" t="s">
        <v>1620</v>
      </c>
      <c r="J4038" s="191" t="s">
        <v>47</v>
      </c>
      <c r="K4038" s="196"/>
      <c r="L4038" s="196">
        <v>183960</v>
      </c>
    </row>
    <row r="4039" spans="1:15" ht="11.25" customHeight="1" x14ac:dyDescent="0.2">
      <c r="A4039" s="197">
        <v>2024</v>
      </c>
      <c r="B4039" s="197">
        <v>5</v>
      </c>
      <c r="C4039" s="197">
        <v>8</v>
      </c>
      <c r="D4039" s="198">
        <f t="shared" si="342"/>
        <v>45420</v>
      </c>
      <c r="E4039" s="209">
        <f t="shared" ref="E4039:E4054" si="353">DATE(A4039,B4039,C4039)</f>
        <v>45420</v>
      </c>
      <c r="F4039" s="513" t="s">
        <v>1210</v>
      </c>
      <c r="G4039" s="200" t="s">
        <v>1209</v>
      </c>
      <c r="H4039" s="201"/>
      <c r="I4039" s="201" t="s">
        <v>355</v>
      </c>
      <c r="J4039" s="197" t="s">
        <v>46</v>
      </c>
      <c r="K4039" s="202">
        <v>186500</v>
      </c>
      <c r="L4039" s="202"/>
    </row>
    <row r="4040" spans="1:15" ht="11.25" customHeight="1" x14ac:dyDescent="0.2">
      <c r="A4040" s="120">
        <v>2024</v>
      </c>
      <c r="B4040" s="120">
        <v>5</v>
      </c>
      <c r="C4040" s="120">
        <v>8</v>
      </c>
      <c r="D4040" s="208">
        <f t="shared" si="342"/>
        <v>45420</v>
      </c>
      <c r="E4040" s="209">
        <f t="shared" si="353"/>
        <v>45420</v>
      </c>
      <c r="F4040" s="515"/>
      <c r="G4040" s="132" t="s">
        <v>1209</v>
      </c>
      <c r="I4040" s="128" t="s">
        <v>355</v>
      </c>
      <c r="J4040" s="120" t="s">
        <v>16</v>
      </c>
      <c r="K4040" s="207"/>
      <c r="L4040" s="207">
        <v>169350</v>
      </c>
    </row>
    <row r="4041" spans="1:15" ht="11.25" customHeight="1" x14ac:dyDescent="0.2">
      <c r="A4041" s="191">
        <v>2024</v>
      </c>
      <c r="B4041" s="191">
        <v>5</v>
      </c>
      <c r="C4041" s="191">
        <v>8</v>
      </c>
      <c r="D4041" s="192">
        <f t="shared" si="342"/>
        <v>45420</v>
      </c>
      <c r="E4041" s="193">
        <f t="shared" si="353"/>
        <v>45420</v>
      </c>
      <c r="F4041" s="514"/>
      <c r="G4041" s="194" t="s">
        <v>1209</v>
      </c>
      <c r="H4041" s="195"/>
      <c r="I4041" s="195" t="s">
        <v>355</v>
      </c>
      <c r="J4041" s="191" t="s">
        <v>47</v>
      </c>
      <c r="K4041" s="196"/>
      <c r="L4041" s="196">
        <v>17150</v>
      </c>
    </row>
    <row r="4042" spans="1:15" ht="11.25" customHeight="1" x14ac:dyDescent="0.2">
      <c r="A4042" s="197">
        <v>2024</v>
      </c>
      <c r="B4042" s="197">
        <v>5</v>
      </c>
      <c r="C4042" s="197">
        <v>8</v>
      </c>
      <c r="D4042" s="198">
        <f t="shared" ref="D4042:D4101" si="354">DATE(A4042,B4042,C4042)</f>
        <v>45420</v>
      </c>
      <c r="E4042" s="199">
        <f t="shared" si="353"/>
        <v>45420</v>
      </c>
      <c r="F4042" s="513" t="s">
        <v>1279</v>
      </c>
      <c r="G4042" s="200" t="s">
        <v>1209</v>
      </c>
      <c r="H4042" s="201"/>
      <c r="I4042" s="201" t="s">
        <v>1253</v>
      </c>
      <c r="J4042" s="197" t="s">
        <v>76</v>
      </c>
      <c r="K4042" s="202">
        <v>10000000</v>
      </c>
      <c r="L4042" s="202"/>
    </row>
    <row r="4043" spans="1:15" ht="11.25" customHeight="1" x14ac:dyDescent="0.2">
      <c r="A4043" s="191">
        <v>2024</v>
      </c>
      <c r="B4043" s="191">
        <v>5</v>
      </c>
      <c r="C4043" s="191">
        <v>8</v>
      </c>
      <c r="D4043" s="192">
        <f t="shared" si="354"/>
        <v>45420</v>
      </c>
      <c r="E4043" s="193">
        <f t="shared" si="353"/>
        <v>45420</v>
      </c>
      <c r="F4043" s="514"/>
      <c r="G4043" s="194" t="s">
        <v>1209</v>
      </c>
      <c r="H4043" s="195"/>
      <c r="I4043" s="195" t="s">
        <v>1253</v>
      </c>
      <c r="J4043" s="191" t="s">
        <v>46</v>
      </c>
      <c r="K4043" s="196"/>
      <c r="L4043" s="196">
        <v>10000000</v>
      </c>
    </row>
    <row r="4044" spans="1:15" ht="11.25" customHeight="1" x14ac:dyDescent="0.2">
      <c r="A4044" s="197">
        <v>2024</v>
      </c>
      <c r="B4044" s="197">
        <v>5</v>
      </c>
      <c r="C4044" s="197">
        <v>8</v>
      </c>
      <c r="D4044" s="198">
        <f t="shared" si="354"/>
        <v>45420</v>
      </c>
      <c r="E4044" s="290">
        <f t="shared" si="353"/>
        <v>45420</v>
      </c>
      <c r="F4044" s="513" t="s">
        <v>1514</v>
      </c>
      <c r="G4044" s="200" t="s">
        <v>1209</v>
      </c>
      <c r="H4044" s="201"/>
      <c r="I4044" s="201"/>
      <c r="J4044" s="197" t="s">
        <v>54</v>
      </c>
      <c r="K4044" s="202">
        <v>100</v>
      </c>
      <c r="L4044" s="202"/>
      <c r="M4044" s="251"/>
      <c r="N4044" s="251"/>
      <c r="O4044" s="251"/>
    </row>
    <row r="4045" spans="1:15" ht="11.25" customHeight="1" x14ac:dyDescent="0.2">
      <c r="A4045" s="191">
        <v>2024</v>
      </c>
      <c r="B4045" s="191">
        <v>5</v>
      </c>
      <c r="C4045" s="191">
        <v>8</v>
      </c>
      <c r="D4045" s="192">
        <f t="shared" si="354"/>
        <v>45420</v>
      </c>
      <c r="E4045" s="291">
        <f t="shared" si="353"/>
        <v>45420</v>
      </c>
      <c r="F4045" s="514"/>
      <c r="G4045" s="194" t="s">
        <v>1209</v>
      </c>
      <c r="H4045" s="195"/>
      <c r="I4045" s="195"/>
      <c r="J4045" s="191" t="s">
        <v>46</v>
      </c>
      <c r="K4045" s="196"/>
      <c r="L4045" s="196">
        <v>100</v>
      </c>
      <c r="M4045" s="251"/>
      <c r="N4045" s="251"/>
      <c r="O4045" s="251"/>
    </row>
    <row r="4046" spans="1:15" ht="11.25" customHeight="1" x14ac:dyDescent="0.2">
      <c r="A4046" s="197">
        <v>2024</v>
      </c>
      <c r="B4046" s="197">
        <v>5</v>
      </c>
      <c r="C4046" s="197">
        <v>8</v>
      </c>
      <c r="D4046" s="198">
        <f t="shared" si="354"/>
        <v>45420</v>
      </c>
      <c r="E4046" s="199">
        <f t="shared" si="353"/>
        <v>45420</v>
      </c>
      <c r="F4046" s="513" t="s">
        <v>1623</v>
      </c>
      <c r="G4046" s="200" t="s">
        <v>1209</v>
      </c>
      <c r="H4046" s="201"/>
      <c r="I4046" s="201" t="s">
        <v>1253</v>
      </c>
      <c r="J4046" s="197" t="s">
        <v>1837</v>
      </c>
      <c r="K4046" s="202">
        <v>2000000</v>
      </c>
      <c r="L4046" s="202"/>
    </row>
    <row r="4047" spans="1:15" ht="11.25" customHeight="1" x14ac:dyDescent="0.2">
      <c r="A4047" s="191">
        <v>2024</v>
      </c>
      <c r="B4047" s="191">
        <v>5</v>
      </c>
      <c r="C4047" s="191">
        <v>8</v>
      </c>
      <c r="D4047" s="192">
        <f t="shared" si="354"/>
        <v>45420</v>
      </c>
      <c r="E4047" s="193">
        <f t="shared" si="353"/>
        <v>45420</v>
      </c>
      <c r="F4047" s="514"/>
      <c r="G4047" s="194" t="s">
        <v>1209</v>
      </c>
      <c r="H4047" s="195"/>
      <c r="I4047" s="195" t="s">
        <v>1253</v>
      </c>
      <c r="J4047" s="191" t="s">
        <v>46</v>
      </c>
      <c r="K4047" s="196"/>
      <c r="L4047" s="196">
        <v>2000000</v>
      </c>
      <c r="N4047" s="130"/>
    </row>
    <row r="4048" spans="1:15" ht="11.25" customHeight="1" x14ac:dyDescent="0.2">
      <c r="A4048" s="197">
        <v>2024</v>
      </c>
      <c r="B4048" s="197">
        <v>5</v>
      </c>
      <c r="C4048" s="197">
        <v>9</v>
      </c>
      <c r="D4048" s="198">
        <f t="shared" si="354"/>
        <v>45421</v>
      </c>
      <c r="E4048" s="199">
        <f t="shared" ref="E4048:E4049" si="355">DATE(A4048,B4048,C4048)</f>
        <v>45421</v>
      </c>
      <c r="F4048" s="513" t="s">
        <v>1622</v>
      </c>
      <c r="G4048" s="200" t="s">
        <v>1209</v>
      </c>
      <c r="H4048" s="201"/>
      <c r="I4048" s="201" t="s">
        <v>1253</v>
      </c>
      <c r="J4048" s="197" t="s">
        <v>1455</v>
      </c>
      <c r="K4048" s="202">
        <v>2917464</v>
      </c>
      <c r="L4048" s="202"/>
    </row>
    <row r="4049" spans="1:14" ht="11.25" customHeight="1" x14ac:dyDescent="0.2">
      <c r="A4049" s="191">
        <v>2024</v>
      </c>
      <c r="B4049" s="191">
        <v>5</v>
      </c>
      <c r="C4049" s="191">
        <v>9</v>
      </c>
      <c r="D4049" s="192">
        <f t="shared" si="354"/>
        <v>45421</v>
      </c>
      <c r="E4049" s="193">
        <f t="shared" si="355"/>
        <v>45421</v>
      </c>
      <c r="F4049" s="514"/>
      <c r="G4049" s="194" t="s">
        <v>1209</v>
      </c>
      <c r="H4049" s="195"/>
      <c r="I4049" s="195" t="s">
        <v>1253</v>
      </c>
      <c r="J4049" s="191" t="s">
        <v>46</v>
      </c>
      <c r="K4049" s="196"/>
      <c r="L4049" s="196">
        <v>2917464</v>
      </c>
      <c r="N4049" s="130"/>
    </row>
    <row r="4050" spans="1:14" ht="11.25" customHeight="1" x14ac:dyDescent="0.2">
      <c r="A4050" s="344">
        <v>2024</v>
      </c>
      <c r="B4050" s="344">
        <v>5</v>
      </c>
      <c r="C4050" s="344">
        <v>8</v>
      </c>
      <c r="D4050" s="345">
        <f t="shared" si="354"/>
        <v>45420</v>
      </c>
      <c r="E4050" s="346">
        <f t="shared" ref="E4050:E4051" si="356">DATE(A4050,B4050,C4050)</f>
        <v>45420</v>
      </c>
      <c r="F4050" s="518" t="s">
        <v>1621</v>
      </c>
      <c r="G4050" s="347" t="s">
        <v>1245</v>
      </c>
      <c r="H4050" s="348"/>
      <c r="I4050" s="348" t="s">
        <v>1253</v>
      </c>
      <c r="J4050" s="344" t="s">
        <v>113</v>
      </c>
      <c r="K4050" s="349">
        <v>22307.69</v>
      </c>
      <c r="L4050" s="349"/>
    </row>
    <row r="4051" spans="1:14" ht="11.25" customHeight="1" x14ac:dyDescent="0.2">
      <c r="A4051" s="350">
        <v>2024</v>
      </c>
      <c r="B4051" s="350">
        <v>5</v>
      </c>
      <c r="C4051" s="350">
        <v>8</v>
      </c>
      <c r="D4051" s="351">
        <f t="shared" si="354"/>
        <v>45420</v>
      </c>
      <c r="E4051" s="352">
        <f t="shared" si="356"/>
        <v>45420</v>
      </c>
      <c r="F4051" s="519"/>
      <c r="G4051" s="353" t="s">
        <v>1245</v>
      </c>
      <c r="H4051" s="354"/>
      <c r="I4051" s="354" t="s">
        <v>1253</v>
      </c>
      <c r="J4051" s="350" t="s">
        <v>153</v>
      </c>
      <c r="K4051" s="355"/>
      <c r="L4051" s="355">
        <v>22307.69</v>
      </c>
    </row>
    <row r="4052" spans="1:14" ht="11.25" customHeight="1" x14ac:dyDescent="0.2">
      <c r="A4052" s="210">
        <v>2024</v>
      </c>
      <c r="B4052" s="210">
        <v>5</v>
      </c>
      <c r="C4052" s="210">
        <v>8</v>
      </c>
      <c r="D4052" s="211">
        <f t="shared" si="354"/>
        <v>45420</v>
      </c>
      <c r="E4052" s="238">
        <f t="shared" si="353"/>
        <v>45420</v>
      </c>
      <c r="F4052" s="520" t="s">
        <v>1278</v>
      </c>
      <c r="G4052" s="213" t="s">
        <v>1245</v>
      </c>
      <c r="H4052" s="214"/>
      <c r="I4052" s="214" t="s">
        <v>1253</v>
      </c>
      <c r="J4052" s="210" t="s">
        <v>1529</v>
      </c>
      <c r="K4052" s="215">
        <v>7491.85</v>
      </c>
      <c r="L4052" s="215"/>
    </row>
    <row r="4053" spans="1:14" ht="11.25" customHeight="1" x14ac:dyDescent="0.2">
      <c r="A4053" s="216">
        <v>2024</v>
      </c>
      <c r="B4053" s="216">
        <v>5</v>
      </c>
      <c r="C4053" s="216">
        <v>8</v>
      </c>
      <c r="D4053" s="217">
        <f t="shared" si="354"/>
        <v>45420</v>
      </c>
      <c r="E4053" s="239">
        <f t="shared" si="353"/>
        <v>45420</v>
      </c>
      <c r="F4053" s="521"/>
      <c r="G4053" s="219" t="s">
        <v>1245</v>
      </c>
      <c r="H4053" s="220"/>
      <c r="I4053" s="220" t="s">
        <v>1253</v>
      </c>
      <c r="J4053" s="216" t="s">
        <v>1581</v>
      </c>
      <c r="K4053" s="221"/>
      <c r="L4053" s="221">
        <v>7491.85</v>
      </c>
    </row>
    <row r="4054" spans="1:14" ht="11.25" customHeight="1" x14ac:dyDescent="0.2">
      <c r="A4054" s="210">
        <v>2024</v>
      </c>
      <c r="B4054" s="210">
        <v>5</v>
      </c>
      <c r="C4054" s="210">
        <v>8</v>
      </c>
      <c r="D4054" s="211">
        <f t="shared" si="354"/>
        <v>45420</v>
      </c>
      <c r="E4054" s="238">
        <f t="shared" si="353"/>
        <v>45420</v>
      </c>
      <c r="F4054" s="520" t="s">
        <v>1285</v>
      </c>
      <c r="G4054" s="213" t="s">
        <v>1245</v>
      </c>
      <c r="H4054" s="214"/>
      <c r="I4054" s="214" t="s">
        <v>1253</v>
      </c>
      <c r="J4054" s="210" t="s">
        <v>1284</v>
      </c>
      <c r="K4054" s="215">
        <v>10290.504807692309</v>
      </c>
      <c r="L4054" s="215"/>
    </row>
    <row r="4055" spans="1:14" ht="11.25" customHeight="1" x14ac:dyDescent="0.2">
      <c r="A4055" s="242">
        <v>2024</v>
      </c>
      <c r="B4055" s="242">
        <v>5</v>
      </c>
      <c r="C4055" s="242">
        <v>8</v>
      </c>
      <c r="D4055" s="243">
        <f t="shared" si="354"/>
        <v>45420</v>
      </c>
      <c r="E4055" s="244">
        <f>DATE(A4055,B4055,C4055)</f>
        <v>45420</v>
      </c>
      <c r="F4055" s="524"/>
      <c r="G4055" s="245" t="s">
        <v>1245</v>
      </c>
      <c r="H4055" s="246"/>
      <c r="I4055" s="246"/>
      <c r="J4055" s="242" t="s">
        <v>1582</v>
      </c>
      <c r="K4055" s="247"/>
      <c r="L4055" s="247">
        <v>10290.504807692309</v>
      </c>
    </row>
    <row r="4056" spans="1:14" ht="11.25" customHeight="1" x14ac:dyDescent="0.2">
      <c r="A4056" s="210">
        <v>2024</v>
      </c>
      <c r="B4056" s="210">
        <v>5</v>
      </c>
      <c r="C4056" s="210">
        <v>8</v>
      </c>
      <c r="D4056" s="211">
        <f t="shared" si="354"/>
        <v>45420</v>
      </c>
      <c r="E4056" s="238">
        <f t="shared" ref="E4056:E4080" si="357">DATE(A4056,B4056,C4056)</f>
        <v>45420</v>
      </c>
      <c r="F4056" s="520" t="s">
        <v>1259</v>
      </c>
      <c r="G4056" s="213" t="s">
        <v>1245</v>
      </c>
      <c r="H4056" s="214"/>
      <c r="I4056" s="214" t="s">
        <v>1253</v>
      </c>
      <c r="J4056" s="210" t="s">
        <v>58</v>
      </c>
      <c r="K4056" s="215">
        <v>10865.39</v>
      </c>
      <c r="L4056" s="215"/>
    </row>
    <row r="4057" spans="1:14" ht="11.25" customHeight="1" x14ac:dyDescent="0.2">
      <c r="A4057" s="216">
        <v>2024</v>
      </c>
      <c r="B4057" s="216">
        <v>5</v>
      </c>
      <c r="C4057" s="216">
        <v>8</v>
      </c>
      <c r="D4057" s="217">
        <f t="shared" si="354"/>
        <v>45420</v>
      </c>
      <c r="E4057" s="239">
        <f t="shared" si="357"/>
        <v>45420</v>
      </c>
      <c r="F4057" s="521"/>
      <c r="G4057" s="219" t="s">
        <v>1245</v>
      </c>
      <c r="H4057" s="220"/>
      <c r="I4057" s="220" t="s">
        <v>1253</v>
      </c>
      <c r="J4057" s="216" t="s">
        <v>153</v>
      </c>
      <c r="K4057" s="221"/>
      <c r="L4057" s="221">
        <v>10865.39</v>
      </c>
    </row>
    <row r="4058" spans="1:14" ht="11.25" customHeight="1" x14ac:dyDescent="0.2">
      <c r="A4058" s="312">
        <v>2024</v>
      </c>
      <c r="B4058" s="312">
        <v>5</v>
      </c>
      <c r="C4058" s="312">
        <v>8</v>
      </c>
      <c r="D4058" s="313">
        <f t="shared" si="354"/>
        <v>45420</v>
      </c>
      <c r="E4058" s="314">
        <f t="shared" si="357"/>
        <v>45420</v>
      </c>
      <c r="F4058" s="522" t="s">
        <v>1477</v>
      </c>
      <c r="G4058" s="315" t="s">
        <v>1245</v>
      </c>
      <c r="H4058" s="316"/>
      <c r="I4058" s="316" t="s">
        <v>1253</v>
      </c>
      <c r="J4058" s="312" t="s">
        <v>1460</v>
      </c>
      <c r="K4058" s="317">
        <v>179671.09999999404</v>
      </c>
      <c r="L4058" s="317"/>
    </row>
    <row r="4059" spans="1:14" ht="11.25" customHeight="1" x14ac:dyDescent="0.2">
      <c r="A4059" s="318">
        <v>2024</v>
      </c>
      <c r="B4059" s="318">
        <v>5</v>
      </c>
      <c r="C4059" s="318">
        <v>8</v>
      </c>
      <c r="D4059" s="319">
        <f t="shared" si="354"/>
        <v>45420</v>
      </c>
      <c r="E4059" s="320">
        <f t="shared" si="357"/>
        <v>45420</v>
      </c>
      <c r="F4059" s="523"/>
      <c r="G4059" s="321" t="s">
        <v>1245</v>
      </c>
      <c r="H4059" s="322"/>
      <c r="I4059" s="322" t="s">
        <v>1253</v>
      </c>
      <c r="J4059" s="318" t="s">
        <v>1458</v>
      </c>
      <c r="K4059" s="323"/>
      <c r="L4059" s="323">
        <v>179671.09999999404</v>
      </c>
    </row>
    <row r="4060" spans="1:14" ht="11.25" customHeight="1" x14ac:dyDescent="0.2">
      <c r="A4060" s="312">
        <v>2024</v>
      </c>
      <c r="B4060" s="312">
        <v>5</v>
      </c>
      <c r="C4060" s="312">
        <v>8</v>
      </c>
      <c r="D4060" s="313">
        <f t="shared" si="354"/>
        <v>45420</v>
      </c>
      <c r="E4060" s="314">
        <f t="shared" si="357"/>
        <v>45420</v>
      </c>
      <c r="F4060" s="522" t="s">
        <v>1595</v>
      </c>
      <c r="G4060" s="315" t="s">
        <v>1245</v>
      </c>
      <c r="H4060" s="316"/>
      <c r="I4060" s="316" t="s">
        <v>1253</v>
      </c>
      <c r="J4060" s="312" t="s">
        <v>1461</v>
      </c>
      <c r="K4060" s="317">
        <v>232754.21000000834</v>
      </c>
      <c r="L4060" s="317"/>
    </row>
    <row r="4061" spans="1:14" ht="11.25" customHeight="1" x14ac:dyDescent="0.2">
      <c r="A4061" s="318">
        <v>2024</v>
      </c>
      <c r="B4061" s="318">
        <v>5</v>
      </c>
      <c r="C4061" s="318">
        <v>8</v>
      </c>
      <c r="D4061" s="319">
        <f t="shared" si="354"/>
        <v>45420</v>
      </c>
      <c r="E4061" s="320">
        <f t="shared" si="357"/>
        <v>45420</v>
      </c>
      <c r="F4061" s="523"/>
      <c r="G4061" s="321" t="s">
        <v>1245</v>
      </c>
      <c r="H4061" s="322"/>
      <c r="I4061" s="322" t="s">
        <v>1253</v>
      </c>
      <c r="J4061" s="318" t="s">
        <v>1459</v>
      </c>
      <c r="K4061" s="323"/>
      <c r="L4061" s="323">
        <v>232754.21000000834</v>
      </c>
    </row>
    <row r="4062" spans="1:14" ht="11.25" customHeight="1" x14ac:dyDescent="0.2">
      <c r="A4062" s="222">
        <v>2024</v>
      </c>
      <c r="B4062" s="222">
        <v>5</v>
      </c>
      <c r="C4062" s="222">
        <v>8</v>
      </c>
      <c r="D4062" s="223">
        <f t="shared" si="354"/>
        <v>45420</v>
      </c>
      <c r="E4062" s="240">
        <f t="shared" si="357"/>
        <v>45420</v>
      </c>
      <c r="F4062" s="511" t="s">
        <v>1244</v>
      </c>
      <c r="G4062" s="225" t="s">
        <v>1245</v>
      </c>
      <c r="H4062" s="226"/>
      <c r="I4062" s="226" t="s">
        <v>1253</v>
      </c>
      <c r="J4062" s="222" t="s">
        <v>87</v>
      </c>
      <c r="K4062" s="227">
        <v>37668.940000001341</v>
      </c>
      <c r="L4062" s="227"/>
    </row>
    <row r="4063" spans="1:14" ht="11.25" customHeight="1" x14ac:dyDescent="0.2">
      <c r="A4063" s="228">
        <v>2024</v>
      </c>
      <c r="B4063" s="228">
        <v>5</v>
      </c>
      <c r="C4063" s="228">
        <v>8</v>
      </c>
      <c r="D4063" s="229">
        <f t="shared" si="354"/>
        <v>45420</v>
      </c>
      <c r="E4063" s="241">
        <f t="shared" si="357"/>
        <v>45420</v>
      </c>
      <c r="F4063" s="512"/>
      <c r="G4063" s="231" t="s">
        <v>1245</v>
      </c>
      <c r="H4063" s="232"/>
      <c r="I4063" s="232" t="s">
        <v>1253</v>
      </c>
      <c r="J4063" s="228" t="s">
        <v>72</v>
      </c>
      <c r="K4063" s="233"/>
      <c r="L4063" s="233">
        <v>37668.940000001341</v>
      </c>
    </row>
    <row r="4064" spans="1:14" ht="11.25" customHeight="1" x14ac:dyDescent="0.2">
      <c r="A4064" s="222">
        <v>2024</v>
      </c>
      <c r="B4064" s="222">
        <v>5</v>
      </c>
      <c r="C4064" s="222">
        <v>8</v>
      </c>
      <c r="D4064" s="223">
        <f t="shared" si="354"/>
        <v>45420</v>
      </c>
      <c r="E4064" s="240">
        <f t="shared" si="357"/>
        <v>45420</v>
      </c>
      <c r="F4064" s="511" t="s">
        <v>1246</v>
      </c>
      <c r="G4064" s="225" t="s">
        <v>1245</v>
      </c>
      <c r="H4064" s="226"/>
      <c r="I4064" s="226" t="s">
        <v>1253</v>
      </c>
      <c r="J4064" s="222" t="s">
        <v>75</v>
      </c>
      <c r="K4064" s="227">
        <v>3623.123846153846</v>
      </c>
      <c r="L4064" s="227"/>
    </row>
    <row r="4065" spans="1:14" ht="11.25" customHeight="1" x14ac:dyDescent="0.2">
      <c r="A4065" s="228">
        <v>2024</v>
      </c>
      <c r="B4065" s="228">
        <v>5</v>
      </c>
      <c r="C4065" s="228">
        <v>8</v>
      </c>
      <c r="D4065" s="229">
        <f t="shared" si="354"/>
        <v>45420</v>
      </c>
      <c r="E4065" s="241">
        <f t="shared" si="357"/>
        <v>45420</v>
      </c>
      <c r="F4065" s="512"/>
      <c r="G4065" s="231" t="s">
        <v>1245</v>
      </c>
      <c r="H4065" s="232"/>
      <c r="I4065" s="232" t="s">
        <v>1253</v>
      </c>
      <c r="J4065" s="228" t="s">
        <v>55</v>
      </c>
      <c r="K4065" s="233"/>
      <c r="L4065" s="233">
        <v>3623.123846153846</v>
      </c>
    </row>
    <row r="4066" spans="1:14" ht="11.25" customHeight="1" x14ac:dyDescent="0.2">
      <c r="A4066" s="222">
        <v>2024</v>
      </c>
      <c r="B4066" s="222">
        <v>5</v>
      </c>
      <c r="C4066" s="222">
        <v>8</v>
      </c>
      <c r="D4066" s="223">
        <f t="shared" si="354"/>
        <v>45420</v>
      </c>
      <c r="E4066" s="240">
        <f t="shared" si="357"/>
        <v>45420</v>
      </c>
      <c r="F4066" s="511" t="s">
        <v>1247</v>
      </c>
      <c r="G4066" s="225" t="s">
        <v>1245</v>
      </c>
      <c r="H4066" s="226"/>
      <c r="I4066" s="226" t="s">
        <v>1253</v>
      </c>
      <c r="J4066" s="222" t="s">
        <v>77</v>
      </c>
      <c r="K4066" s="227">
        <f>M4066</f>
        <v>25880.587776410877</v>
      </c>
      <c r="L4066" s="227"/>
      <c r="M4066" s="120">
        <v>25880.587776410877</v>
      </c>
    </row>
    <row r="4067" spans="1:14" ht="11.25" customHeight="1" x14ac:dyDescent="0.2">
      <c r="A4067" s="228">
        <v>2024</v>
      </c>
      <c r="B4067" s="228">
        <v>5</v>
      </c>
      <c r="C4067" s="228">
        <v>8</v>
      </c>
      <c r="D4067" s="229">
        <f t="shared" si="354"/>
        <v>45420</v>
      </c>
      <c r="E4067" s="241">
        <f t="shared" si="357"/>
        <v>45420</v>
      </c>
      <c r="F4067" s="512"/>
      <c r="G4067" s="231" t="s">
        <v>1245</v>
      </c>
      <c r="H4067" s="232"/>
      <c r="I4067" s="232" t="s">
        <v>1253</v>
      </c>
      <c r="J4067" s="228" t="s">
        <v>41</v>
      </c>
      <c r="K4067" s="233"/>
      <c r="L4067" s="233">
        <f>K4066</f>
        <v>25880.587776410877</v>
      </c>
      <c r="M4067" s="120">
        <v>2588.058777641088</v>
      </c>
    </row>
    <row r="4068" spans="1:14" ht="11.25" customHeight="1" x14ac:dyDescent="0.2">
      <c r="A4068" s="222">
        <v>2024</v>
      </c>
      <c r="B4068" s="222">
        <v>5</v>
      </c>
      <c r="C4068" s="222">
        <v>8</v>
      </c>
      <c r="D4068" s="223">
        <f t="shared" si="354"/>
        <v>45420</v>
      </c>
      <c r="E4068" s="240">
        <f t="shared" si="357"/>
        <v>45420</v>
      </c>
      <c r="F4068" s="511" t="s">
        <v>1248</v>
      </c>
      <c r="G4068" s="225" t="s">
        <v>1245</v>
      </c>
      <c r="H4068" s="226"/>
      <c r="I4068" s="226" t="s">
        <v>1253</v>
      </c>
      <c r="J4068" s="222" t="s">
        <v>80</v>
      </c>
      <c r="K4068" s="227">
        <f>M4067</f>
        <v>2588.058777641088</v>
      </c>
      <c r="L4068" s="227"/>
    </row>
    <row r="4069" spans="1:14" ht="11.25" customHeight="1" x14ac:dyDescent="0.2">
      <c r="A4069" s="228">
        <v>2024</v>
      </c>
      <c r="B4069" s="228">
        <v>5</v>
      </c>
      <c r="C4069" s="228">
        <v>8</v>
      </c>
      <c r="D4069" s="229">
        <f t="shared" si="354"/>
        <v>45420</v>
      </c>
      <c r="E4069" s="241">
        <f t="shared" si="357"/>
        <v>45420</v>
      </c>
      <c r="F4069" s="512"/>
      <c r="G4069" s="231" t="s">
        <v>1245</v>
      </c>
      <c r="H4069" s="232"/>
      <c r="I4069" s="232" t="s">
        <v>1253</v>
      </c>
      <c r="J4069" s="228" t="s">
        <v>42</v>
      </c>
      <c r="K4069" s="233"/>
      <c r="L4069" s="233">
        <f>K4068</f>
        <v>2588.058777641088</v>
      </c>
    </row>
    <row r="4070" spans="1:14" ht="11.25" customHeight="1" x14ac:dyDescent="0.2">
      <c r="A4070" s="197">
        <v>2024</v>
      </c>
      <c r="B4070" s="197">
        <v>5</v>
      </c>
      <c r="C4070" s="197">
        <v>13</v>
      </c>
      <c r="D4070" s="198">
        <f t="shared" si="354"/>
        <v>45425</v>
      </c>
      <c r="E4070" s="290">
        <f t="shared" si="357"/>
        <v>45425</v>
      </c>
      <c r="F4070" s="513" t="s">
        <v>1624</v>
      </c>
      <c r="G4070" s="200" t="s">
        <v>1209</v>
      </c>
      <c r="H4070" s="201"/>
      <c r="I4070" s="201" t="s">
        <v>1253</v>
      </c>
      <c r="J4070" s="197" t="s">
        <v>457</v>
      </c>
      <c r="K4070" s="202">
        <v>6215.99</v>
      </c>
      <c r="L4070" s="202"/>
    </row>
    <row r="4071" spans="1:14" ht="11.25" customHeight="1" x14ac:dyDescent="0.2">
      <c r="A4071" s="120">
        <v>2024</v>
      </c>
      <c r="B4071" s="120">
        <v>5</v>
      </c>
      <c r="C4071" s="120">
        <v>13</v>
      </c>
      <c r="D4071" s="208">
        <f t="shared" si="354"/>
        <v>45425</v>
      </c>
      <c r="E4071" s="293">
        <f t="shared" si="357"/>
        <v>45425</v>
      </c>
      <c r="F4071" s="515"/>
      <c r="G4071" s="132" t="s">
        <v>1209</v>
      </c>
      <c r="J4071" s="120" t="s">
        <v>457</v>
      </c>
      <c r="K4071" s="328">
        <v>5</v>
      </c>
      <c r="L4071" s="207"/>
    </row>
    <row r="4072" spans="1:14" ht="11.25" customHeight="1" x14ac:dyDescent="0.2">
      <c r="A4072" s="191">
        <v>2024</v>
      </c>
      <c r="B4072" s="191">
        <v>5</v>
      </c>
      <c r="C4072" s="191">
        <v>13</v>
      </c>
      <c r="D4072" s="192">
        <f t="shared" si="354"/>
        <v>45425</v>
      </c>
      <c r="E4072" s="291">
        <f t="shared" si="357"/>
        <v>45425</v>
      </c>
      <c r="F4072" s="514"/>
      <c r="G4072" s="194" t="s">
        <v>1209</v>
      </c>
      <c r="H4072" s="195"/>
      <c r="I4072" s="195" t="s">
        <v>1253</v>
      </c>
      <c r="J4072" s="191" t="s">
        <v>46</v>
      </c>
      <c r="K4072" s="196"/>
      <c r="L4072" s="196">
        <v>6220.99</v>
      </c>
    </row>
    <row r="4073" spans="1:14" ht="11.25" customHeight="1" x14ac:dyDescent="0.2">
      <c r="A4073" s="197">
        <v>2024</v>
      </c>
      <c r="B4073" s="197">
        <v>5</v>
      </c>
      <c r="C4073" s="197">
        <v>13</v>
      </c>
      <c r="D4073" s="198">
        <f t="shared" si="354"/>
        <v>45425</v>
      </c>
      <c r="E4073" s="209">
        <f t="shared" si="357"/>
        <v>45425</v>
      </c>
      <c r="F4073" s="513" t="s">
        <v>1280</v>
      </c>
      <c r="G4073" s="200" t="s">
        <v>1209</v>
      </c>
      <c r="H4073" s="201"/>
      <c r="I4073" s="201" t="s">
        <v>1224</v>
      </c>
      <c r="J4073" s="197" t="s">
        <v>16</v>
      </c>
      <c r="K4073" s="202">
        <v>1000000</v>
      </c>
      <c r="L4073" s="202"/>
    </row>
    <row r="4074" spans="1:14" ht="11.25" customHeight="1" x14ac:dyDescent="0.2">
      <c r="A4074" s="120">
        <v>2024</v>
      </c>
      <c r="B4074" s="120">
        <v>5</v>
      </c>
      <c r="C4074" s="120">
        <v>13</v>
      </c>
      <c r="D4074" s="208">
        <f t="shared" si="354"/>
        <v>45425</v>
      </c>
      <c r="E4074" s="209">
        <f t="shared" si="357"/>
        <v>45425</v>
      </c>
      <c r="F4074" s="515"/>
      <c r="G4074" s="132" t="s">
        <v>1209</v>
      </c>
      <c r="I4074" s="128" t="s">
        <v>1224</v>
      </c>
      <c r="J4074" s="120" t="s">
        <v>47</v>
      </c>
      <c r="K4074" s="207">
        <v>103600</v>
      </c>
      <c r="L4074" s="207"/>
    </row>
    <row r="4075" spans="1:14" ht="11.25" customHeight="1" x14ac:dyDescent="0.2">
      <c r="A4075" s="191">
        <v>2024</v>
      </c>
      <c r="B4075" s="191">
        <v>5</v>
      </c>
      <c r="C4075" s="191">
        <v>13</v>
      </c>
      <c r="D4075" s="192">
        <f t="shared" si="354"/>
        <v>45425</v>
      </c>
      <c r="E4075" s="193">
        <f t="shared" si="357"/>
        <v>45425</v>
      </c>
      <c r="F4075" s="514"/>
      <c r="G4075" s="194" t="s">
        <v>1209</v>
      </c>
      <c r="H4075" s="195"/>
      <c r="I4075" s="195" t="s">
        <v>1224</v>
      </c>
      <c r="J4075" s="191" t="s">
        <v>46</v>
      </c>
      <c r="K4075" s="196"/>
      <c r="L4075" s="196">
        <v>1103600</v>
      </c>
    </row>
    <row r="4076" spans="1:14" ht="11.25" customHeight="1" x14ac:dyDescent="0.2">
      <c r="A4076" s="197">
        <v>2024</v>
      </c>
      <c r="B4076" s="197">
        <v>5</v>
      </c>
      <c r="C4076" s="197">
        <v>13</v>
      </c>
      <c r="D4076" s="198">
        <f t="shared" si="354"/>
        <v>45425</v>
      </c>
      <c r="E4076" s="199">
        <f t="shared" si="357"/>
        <v>45425</v>
      </c>
      <c r="F4076" s="513" t="s">
        <v>1625</v>
      </c>
      <c r="G4076" s="200" t="s">
        <v>1209</v>
      </c>
      <c r="H4076" s="201"/>
      <c r="I4076" s="201" t="s">
        <v>1253</v>
      </c>
      <c r="J4076" s="197" t="s">
        <v>46</v>
      </c>
      <c r="K4076" s="202">
        <v>17000000</v>
      </c>
      <c r="L4076" s="202"/>
    </row>
    <row r="4077" spans="1:14" ht="11.25" customHeight="1" x14ac:dyDescent="0.2">
      <c r="A4077" s="120">
        <v>2024</v>
      </c>
      <c r="B4077" s="120">
        <v>5</v>
      </c>
      <c r="C4077" s="120">
        <v>13</v>
      </c>
      <c r="D4077" s="208">
        <f t="shared" si="354"/>
        <v>45425</v>
      </c>
      <c r="E4077" s="209">
        <f t="shared" si="357"/>
        <v>45425</v>
      </c>
      <c r="F4077" s="515"/>
      <c r="G4077" s="132" t="s">
        <v>1209</v>
      </c>
      <c r="J4077" s="120" t="s">
        <v>1462</v>
      </c>
      <c r="K4077" s="120"/>
      <c r="L4077" s="207">
        <v>467449</v>
      </c>
    </row>
    <row r="4078" spans="1:14" ht="11.25" customHeight="1" x14ac:dyDescent="0.2">
      <c r="A4078" s="191">
        <v>2024</v>
      </c>
      <c r="B4078" s="191">
        <v>5</v>
      </c>
      <c r="C4078" s="191">
        <v>13</v>
      </c>
      <c r="D4078" s="192">
        <f t="shared" si="354"/>
        <v>45425</v>
      </c>
      <c r="E4078" s="193">
        <f t="shared" si="357"/>
        <v>45425</v>
      </c>
      <c r="F4078" s="514"/>
      <c r="G4078" s="194" t="s">
        <v>1209</v>
      </c>
      <c r="H4078" s="195"/>
      <c r="I4078" s="195" t="s">
        <v>1253</v>
      </c>
      <c r="J4078" s="191" t="s">
        <v>1455</v>
      </c>
      <c r="K4078" s="196"/>
      <c r="L4078" s="196">
        <v>16532551</v>
      </c>
      <c r="N4078" s="130"/>
    </row>
    <row r="4079" spans="1:14" ht="11.25" customHeight="1" x14ac:dyDescent="0.2">
      <c r="A4079" s="197">
        <v>2024</v>
      </c>
      <c r="B4079" s="197">
        <v>5</v>
      </c>
      <c r="C4079" s="197">
        <v>13</v>
      </c>
      <c r="D4079" s="198">
        <f t="shared" si="354"/>
        <v>45425</v>
      </c>
      <c r="E4079" s="199">
        <f t="shared" si="357"/>
        <v>45425</v>
      </c>
      <c r="F4079" s="513" t="s">
        <v>1626</v>
      </c>
      <c r="G4079" s="200" t="s">
        <v>1209</v>
      </c>
      <c r="H4079" s="201"/>
      <c r="I4079" s="201" t="s">
        <v>1253</v>
      </c>
      <c r="J4079" s="197" t="s">
        <v>1455</v>
      </c>
      <c r="K4079" s="202">
        <v>3889456</v>
      </c>
      <c r="L4079" s="202"/>
    </row>
    <row r="4080" spans="1:14" ht="11.25" customHeight="1" x14ac:dyDescent="0.2">
      <c r="A4080" s="191">
        <v>2024</v>
      </c>
      <c r="B4080" s="191">
        <v>5</v>
      </c>
      <c r="C4080" s="191">
        <v>13</v>
      </c>
      <c r="D4080" s="192">
        <f t="shared" si="354"/>
        <v>45425</v>
      </c>
      <c r="E4080" s="193">
        <f t="shared" si="357"/>
        <v>45425</v>
      </c>
      <c r="F4080" s="514"/>
      <c r="G4080" s="194" t="s">
        <v>1209</v>
      </c>
      <c r="H4080" s="195"/>
      <c r="I4080" s="195" t="s">
        <v>1253</v>
      </c>
      <c r="J4080" s="191" t="s">
        <v>46</v>
      </c>
      <c r="K4080" s="196"/>
      <c r="L4080" s="196">
        <v>3889456</v>
      </c>
      <c r="N4080" s="130"/>
    </row>
    <row r="4081" spans="1:14" ht="11.25" customHeight="1" x14ac:dyDescent="0.2">
      <c r="A4081" s="197">
        <v>2024</v>
      </c>
      <c r="B4081" s="197">
        <v>5</v>
      </c>
      <c r="C4081" s="197">
        <v>15</v>
      </c>
      <c r="D4081" s="198">
        <f t="shared" si="354"/>
        <v>45427</v>
      </c>
      <c r="E4081" s="209">
        <f t="shared" ref="E4081:E4083" si="358">DATE(A4081,B4081,C4081)</f>
        <v>45427</v>
      </c>
      <c r="F4081" s="513" t="s">
        <v>1280</v>
      </c>
      <c r="G4081" s="200" t="s">
        <v>1209</v>
      </c>
      <c r="H4081" s="201"/>
      <c r="I4081" s="201" t="s">
        <v>1241</v>
      </c>
      <c r="J4081" s="197" t="s">
        <v>16</v>
      </c>
      <c r="K4081" s="202">
        <v>6343000</v>
      </c>
      <c r="L4081" s="202"/>
    </row>
    <row r="4082" spans="1:14" ht="11.25" customHeight="1" x14ac:dyDescent="0.2">
      <c r="A4082" s="120">
        <v>2024</v>
      </c>
      <c r="B4082" s="120">
        <v>5</v>
      </c>
      <c r="C4082" s="120">
        <v>15</v>
      </c>
      <c r="D4082" s="208">
        <f t="shared" si="354"/>
        <v>45427</v>
      </c>
      <c r="E4082" s="209">
        <f t="shared" si="358"/>
        <v>45427</v>
      </c>
      <c r="F4082" s="515"/>
      <c r="G4082" s="132" t="s">
        <v>1209</v>
      </c>
      <c r="I4082" s="128" t="s">
        <v>1241</v>
      </c>
      <c r="J4082" s="120" t="s">
        <v>47</v>
      </c>
      <c r="K4082" s="207">
        <v>657134.79999999981</v>
      </c>
      <c r="L4082" s="207"/>
    </row>
    <row r="4083" spans="1:14" ht="11.25" customHeight="1" x14ac:dyDescent="0.2">
      <c r="A4083" s="191">
        <v>2024</v>
      </c>
      <c r="B4083" s="191">
        <v>5</v>
      </c>
      <c r="C4083" s="191">
        <v>15</v>
      </c>
      <c r="D4083" s="192">
        <f t="shared" si="354"/>
        <v>45427</v>
      </c>
      <c r="E4083" s="193">
        <f t="shared" si="358"/>
        <v>45427</v>
      </c>
      <c r="F4083" s="514"/>
      <c r="G4083" s="194" t="s">
        <v>1209</v>
      </c>
      <c r="H4083" s="195"/>
      <c r="I4083" s="195" t="s">
        <v>1241</v>
      </c>
      <c r="J4083" s="191" t="s">
        <v>46</v>
      </c>
      <c r="K4083" s="196"/>
      <c r="L4083" s="196">
        <v>7000134.7999999998</v>
      </c>
    </row>
    <row r="4084" spans="1:14" ht="11.25" customHeight="1" x14ac:dyDescent="0.2">
      <c r="A4084" s="197">
        <v>2024</v>
      </c>
      <c r="B4084" s="197">
        <v>5</v>
      </c>
      <c r="C4084" s="197">
        <v>15</v>
      </c>
      <c r="D4084" s="198">
        <f t="shared" si="354"/>
        <v>45427</v>
      </c>
      <c r="E4084" s="209">
        <f t="shared" ref="E4084:E4086" si="359">DATE(A4084,B4084,C4084)</f>
        <v>45427</v>
      </c>
      <c r="F4084" s="513" t="s">
        <v>1210</v>
      </c>
      <c r="G4084" s="200" t="s">
        <v>1209</v>
      </c>
      <c r="H4084" s="201"/>
      <c r="I4084" s="201" t="s">
        <v>1569</v>
      </c>
      <c r="J4084" s="197" t="s">
        <v>46</v>
      </c>
      <c r="K4084" s="202">
        <v>71734</v>
      </c>
      <c r="L4084" s="202"/>
    </row>
    <row r="4085" spans="1:14" ht="11.25" customHeight="1" x14ac:dyDescent="0.2">
      <c r="A4085" s="120">
        <v>2024</v>
      </c>
      <c r="B4085" s="120">
        <v>5</v>
      </c>
      <c r="C4085" s="120">
        <v>15</v>
      </c>
      <c r="D4085" s="208">
        <f t="shared" si="354"/>
        <v>45427</v>
      </c>
      <c r="E4085" s="209">
        <f t="shared" si="359"/>
        <v>45427</v>
      </c>
      <c r="F4085" s="515"/>
      <c r="G4085" s="132" t="s">
        <v>1209</v>
      </c>
      <c r="I4085" s="128" t="s">
        <v>1569</v>
      </c>
      <c r="J4085" s="120" t="s">
        <v>16</v>
      </c>
      <c r="K4085" s="207"/>
      <c r="L4085" s="207">
        <v>65000</v>
      </c>
    </row>
    <row r="4086" spans="1:14" ht="11.25" customHeight="1" x14ac:dyDescent="0.2">
      <c r="A4086" s="191">
        <v>2024</v>
      </c>
      <c r="B4086" s="191">
        <v>5</v>
      </c>
      <c r="C4086" s="191">
        <v>15</v>
      </c>
      <c r="D4086" s="192">
        <f t="shared" si="354"/>
        <v>45427</v>
      </c>
      <c r="E4086" s="193">
        <f t="shared" si="359"/>
        <v>45427</v>
      </c>
      <c r="F4086" s="514"/>
      <c r="G4086" s="194" t="s">
        <v>1209</v>
      </c>
      <c r="H4086" s="195"/>
      <c r="I4086" s="195" t="s">
        <v>1569</v>
      </c>
      <c r="J4086" s="191" t="s">
        <v>47</v>
      </c>
      <c r="K4086" s="196"/>
      <c r="L4086" s="196">
        <v>6734</v>
      </c>
    </row>
    <row r="4087" spans="1:14" ht="11.25" customHeight="1" x14ac:dyDescent="0.2">
      <c r="A4087" s="197">
        <v>2024</v>
      </c>
      <c r="B4087" s="197">
        <v>5</v>
      </c>
      <c r="C4087" s="197">
        <v>15</v>
      </c>
      <c r="D4087" s="198">
        <f t="shared" si="354"/>
        <v>45427</v>
      </c>
      <c r="E4087" s="209">
        <f t="shared" ref="E4087:E4100" si="360">DATE(A4087,B4087,C4087)</f>
        <v>45427</v>
      </c>
      <c r="F4087" s="513" t="s">
        <v>1296</v>
      </c>
      <c r="G4087" s="200" t="s">
        <v>1209</v>
      </c>
      <c r="H4087" s="201"/>
      <c r="I4087" s="201"/>
      <c r="J4087" s="197" t="s">
        <v>46</v>
      </c>
      <c r="K4087" s="202">
        <v>26000</v>
      </c>
      <c r="L4087" s="202"/>
    </row>
    <row r="4088" spans="1:14" ht="11.25" customHeight="1" x14ac:dyDescent="0.2">
      <c r="A4088" s="120">
        <v>2024</v>
      </c>
      <c r="B4088" s="120">
        <v>5</v>
      </c>
      <c r="C4088" s="120">
        <v>15</v>
      </c>
      <c r="D4088" s="208">
        <f t="shared" si="354"/>
        <v>45427</v>
      </c>
      <c r="E4088" s="209">
        <f t="shared" si="360"/>
        <v>45427</v>
      </c>
      <c r="F4088" s="515"/>
      <c r="G4088" s="132" t="s">
        <v>1209</v>
      </c>
      <c r="J4088" s="120" t="s">
        <v>16</v>
      </c>
      <c r="K4088" s="207"/>
      <c r="L4088" s="207">
        <v>23560</v>
      </c>
    </row>
    <row r="4089" spans="1:14" ht="11.25" customHeight="1" x14ac:dyDescent="0.2">
      <c r="A4089" s="191">
        <v>2024</v>
      </c>
      <c r="B4089" s="191">
        <v>5</v>
      </c>
      <c r="C4089" s="191">
        <v>15</v>
      </c>
      <c r="D4089" s="192">
        <f t="shared" si="354"/>
        <v>45427</v>
      </c>
      <c r="E4089" s="193">
        <f t="shared" si="360"/>
        <v>45427</v>
      </c>
      <c r="F4089" s="514"/>
      <c r="G4089" s="194" t="s">
        <v>1209</v>
      </c>
      <c r="H4089" s="195"/>
      <c r="I4089" s="195"/>
      <c r="J4089" s="191" t="s">
        <v>47</v>
      </c>
      <c r="K4089" s="196"/>
      <c r="L4089" s="196">
        <v>2440</v>
      </c>
    </row>
    <row r="4090" spans="1:14" ht="11.25" customHeight="1" x14ac:dyDescent="0.2">
      <c r="A4090" s="197">
        <v>2024</v>
      </c>
      <c r="B4090" s="197">
        <v>5</v>
      </c>
      <c r="C4090" s="197">
        <v>15</v>
      </c>
      <c r="D4090" s="198">
        <f t="shared" si="354"/>
        <v>45427</v>
      </c>
      <c r="E4090" s="199">
        <f t="shared" si="360"/>
        <v>45427</v>
      </c>
      <c r="F4090" s="513" t="s">
        <v>1627</v>
      </c>
      <c r="G4090" s="200" t="s">
        <v>1209</v>
      </c>
      <c r="H4090" s="201"/>
      <c r="I4090" s="201" t="s">
        <v>1253</v>
      </c>
      <c r="J4090" s="197" t="s">
        <v>46</v>
      </c>
      <c r="K4090" s="202">
        <v>17500808.129999999</v>
      </c>
      <c r="L4090" s="202"/>
    </row>
    <row r="4091" spans="1:14" ht="11.25" customHeight="1" x14ac:dyDescent="0.2">
      <c r="A4091" s="120">
        <v>2024</v>
      </c>
      <c r="B4091" s="120">
        <v>5</v>
      </c>
      <c r="C4091" s="120">
        <v>15</v>
      </c>
      <c r="D4091" s="208">
        <f t="shared" si="354"/>
        <v>45427</v>
      </c>
      <c r="E4091" s="209">
        <f t="shared" ref="E4091" si="361">DATE(A4091,B4091,C4091)</f>
        <v>45427</v>
      </c>
      <c r="F4091" s="515"/>
      <c r="G4091" s="132" t="s">
        <v>1209</v>
      </c>
      <c r="J4091" s="120" t="s">
        <v>179</v>
      </c>
      <c r="K4091" s="207"/>
      <c r="L4091" s="207">
        <v>148452.35</v>
      </c>
    </row>
    <row r="4092" spans="1:14" ht="11.25" customHeight="1" x14ac:dyDescent="0.2">
      <c r="A4092" s="191">
        <v>2024</v>
      </c>
      <c r="B4092" s="191">
        <v>5</v>
      </c>
      <c r="C4092" s="191">
        <v>15</v>
      </c>
      <c r="D4092" s="192">
        <f t="shared" si="354"/>
        <v>45427</v>
      </c>
      <c r="E4092" s="193">
        <f t="shared" si="360"/>
        <v>45427</v>
      </c>
      <c r="F4092" s="514"/>
      <c r="G4092" s="194" t="s">
        <v>1209</v>
      </c>
      <c r="H4092" s="195"/>
      <c r="I4092" s="195" t="s">
        <v>1253</v>
      </c>
      <c r="J4092" s="191" t="s">
        <v>70</v>
      </c>
      <c r="K4092" s="196"/>
      <c r="L4092" s="196">
        <v>17352355.780000001</v>
      </c>
    </row>
    <row r="4093" spans="1:14" ht="11.25" customHeight="1" x14ac:dyDescent="0.2">
      <c r="A4093" s="197">
        <v>2024</v>
      </c>
      <c r="B4093" s="197">
        <v>5</v>
      </c>
      <c r="C4093" s="197">
        <v>16</v>
      </c>
      <c r="D4093" s="198">
        <f t="shared" si="354"/>
        <v>45428</v>
      </c>
      <c r="E4093" s="199">
        <f t="shared" si="360"/>
        <v>45428</v>
      </c>
      <c r="F4093" s="513" t="s">
        <v>1628</v>
      </c>
      <c r="G4093" s="200" t="s">
        <v>1209</v>
      </c>
      <c r="H4093" s="201"/>
      <c r="I4093" s="201" t="s">
        <v>1253</v>
      </c>
      <c r="J4093" s="197" t="s">
        <v>46</v>
      </c>
      <c r="K4093" s="202">
        <v>49603631.5</v>
      </c>
      <c r="L4093" s="202"/>
    </row>
    <row r="4094" spans="1:14" ht="11.25" customHeight="1" x14ac:dyDescent="0.2">
      <c r="A4094" s="120">
        <v>2024</v>
      </c>
      <c r="B4094" s="120">
        <v>5</v>
      </c>
      <c r="C4094" s="120">
        <v>16</v>
      </c>
      <c r="D4094" s="208">
        <f t="shared" si="354"/>
        <v>45428</v>
      </c>
      <c r="E4094" s="209">
        <f t="shared" si="360"/>
        <v>45428</v>
      </c>
      <c r="F4094" s="515"/>
      <c r="G4094" s="132" t="s">
        <v>1209</v>
      </c>
      <c r="J4094" s="120" t="s">
        <v>1463</v>
      </c>
      <c r="K4094" s="328">
        <v>482528.1</v>
      </c>
      <c r="L4094" s="207"/>
    </row>
    <row r="4095" spans="1:14" ht="11.25" customHeight="1" x14ac:dyDescent="0.2">
      <c r="A4095" s="191">
        <v>2024</v>
      </c>
      <c r="B4095" s="191">
        <v>5</v>
      </c>
      <c r="C4095" s="191">
        <v>16</v>
      </c>
      <c r="D4095" s="192">
        <f t="shared" si="354"/>
        <v>45428</v>
      </c>
      <c r="E4095" s="193">
        <f t="shared" si="360"/>
        <v>45428</v>
      </c>
      <c r="F4095" s="514"/>
      <c r="G4095" s="194" t="s">
        <v>1209</v>
      </c>
      <c r="H4095" s="195"/>
      <c r="I4095" s="195" t="s">
        <v>1253</v>
      </c>
      <c r="J4095" s="197" t="s">
        <v>1837</v>
      </c>
      <c r="K4095" s="196"/>
      <c r="L4095" s="196">
        <v>50086159.600000001</v>
      </c>
      <c r="N4095" s="130"/>
    </row>
    <row r="4096" spans="1:14" ht="11.25" customHeight="1" x14ac:dyDescent="0.2">
      <c r="A4096" s="344">
        <v>2024</v>
      </c>
      <c r="B4096" s="344">
        <v>5</v>
      </c>
      <c r="C4096" s="344">
        <v>16</v>
      </c>
      <c r="D4096" s="345">
        <f t="shared" si="354"/>
        <v>45428</v>
      </c>
      <c r="E4096" s="346">
        <f t="shared" si="360"/>
        <v>45428</v>
      </c>
      <c r="F4096" s="518" t="s">
        <v>1621</v>
      </c>
      <c r="G4096" s="347" t="s">
        <v>1245</v>
      </c>
      <c r="H4096" s="348"/>
      <c r="I4096" s="348" t="s">
        <v>1253</v>
      </c>
      <c r="J4096" s="344" t="s">
        <v>113</v>
      </c>
      <c r="K4096" s="349">
        <v>22307.69</v>
      </c>
      <c r="L4096" s="349"/>
    </row>
    <row r="4097" spans="1:13" ht="11.25" customHeight="1" x14ac:dyDescent="0.2">
      <c r="A4097" s="350">
        <v>2024</v>
      </c>
      <c r="B4097" s="350">
        <v>5</v>
      </c>
      <c r="C4097" s="350">
        <v>16</v>
      </c>
      <c r="D4097" s="351">
        <f t="shared" si="354"/>
        <v>45428</v>
      </c>
      <c r="E4097" s="352">
        <f t="shared" si="360"/>
        <v>45428</v>
      </c>
      <c r="F4097" s="519"/>
      <c r="G4097" s="353" t="s">
        <v>1245</v>
      </c>
      <c r="H4097" s="354"/>
      <c r="I4097" s="354" t="s">
        <v>1253</v>
      </c>
      <c r="J4097" s="350" t="s">
        <v>153</v>
      </c>
      <c r="K4097" s="355"/>
      <c r="L4097" s="355">
        <v>22307.69</v>
      </c>
    </row>
    <row r="4098" spans="1:13" ht="11.25" customHeight="1" x14ac:dyDescent="0.2">
      <c r="A4098" s="210">
        <v>2024</v>
      </c>
      <c r="B4098" s="210">
        <v>5</v>
      </c>
      <c r="C4098" s="210">
        <v>16</v>
      </c>
      <c r="D4098" s="211">
        <f t="shared" si="354"/>
        <v>45428</v>
      </c>
      <c r="E4098" s="238">
        <f t="shared" si="360"/>
        <v>45428</v>
      </c>
      <c r="F4098" s="520" t="s">
        <v>1278</v>
      </c>
      <c r="G4098" s="213" t="s">
        <v>1245</v>
      </c>
      <c r="H4098" s="214"/>
      <c r="I4098" s="214" t="s">
        <v>1253</v>
      </c>
      <c r="J4098" s="210" t="s">
        <v>1529</v>
      </c>
      <c r="K4098" s="215">
        <v>7491.85</v>
      </c>
      <c r="L4098" s="215"/>
    </row>
    <row r="4099" spans="1:13" ht="11.25" customHeight="1" x14ac:dyDescent="0.2">
      <c r="A4099" s="216">
        <v>2024</v>
      </c>
      <c r="B4099" s="216">
        <v>5</v>
      </c>
      <c r="C4099" s="216">
        <v>16</v>
      </c>
      <c r="D4099" s="217">
        <f t="shared" si="354"/>
        <v>45428</v>
      </c>
      <c r="E4099" s="239">
        <f t="shared" si="360"/>
        <v>45428</v>
      </c>
      <c r="F4099" s="521"/>
      <c r="G4099" s="219" t="s">
        <v>1245</v>
      </c>
      <c r="H4099" s="220"/>
      <c r="I4099" s="220" t="s">
        <v>1253</v>
      </c>
      <c r="J4099" s="216" t="s">
        <v>1581</v>
      </c>
      <c r="K4099" s="221"/>
      <c r="L4099" s="221">
        <v>7491.85</v>
      </c>
    </row>
    <row r="4100" spans="1:13" ht="11.25" customHeight="1" x14ac:dyDescent="0.2">
      <c r="A4100" s="210">
        <v>2024</v>
      </c>
      <c r="B4100" s="210">
        <v>5</v>
      </c>
      <c r="C4100" s="210">
        <v>16</v>
      </c>
      <c r="D4100" s="211">
        <f t="shared" si="354"/>
        <v>45428</v>
      </c>
      <c r="E4100" s="238">
        <f t="shared" si="360"/>
        <v>45428</v>
      </c>
      <c r="F4100" s="520" t="s">
        <v>1285</v>
      </c>
      <c r="G4100" s="213" t="s">
        <v>1245</v>
      </c>
      <c r="H4100" s="214"/>
      <c r="I4100" s="214" t="s">
        <v>1253</v>
      </c>
      <c r="J4100" s="210" t="s">
        <v>1284</v>
      </c>
      <c r="K4100" s="215">
        <v>10290.504807692309</v>
      </c>
      <c r="L4100" s="215"/>
    </row>
    <row r="4101" spans="1:13" ht="11.25" customHeight="1" x14ac:dyDescent="0.2">
      <c r="A4101" s="242">
        <v>2024</v>
      </c>
      <c r="B4101" s="242">
        <v>5</v>
      </c>
      <c r="C4101" s="242">
        <v>16</v>
      </c>
      <c r="D4101" s="243">
        <f t="shared" si="354"/>
        <v>45428</v>
      </c>
      <c r="E4101" s="244">
        <f>DATE(A4101,B4101,C4101)</f>
        <v>45428</v>
      </c>
      <c r="F4101" s="524"/>
      <c r="G4101" s="245" t="s">
        <v>1245</v>
      </c>
      <c r="H4101" s="246"/>
      <c r="I4101" s="246"/>
      <c r="J4101" s="242" t="s">
        <v>1582</v>
      </c>
      <c r="K4101" s="247"/>
      <c r="L4101" s="247">
        <v>10290.504807692309</v>
      </c>
    </row>
    <row r="4102" spans="1:13" ht="11.25" customHeight="1" x14ac:dyDescent="0.2">
      <c r="A4102" s="210">
        <v>2024</v>
      </c>
      <c r="B4102" s="210">
        <v>5</v>
      </c>
      <c r="C4102" s="210">
        <v>16</v>
      </c>
      <c r="D4102" s="211">
        <f t="shared" ref="D4102:D4165" si="362">DATE(A4102,B4102,C4102)</f>
        <v>45428</v>
      </c>
      <c r="E4102" s="238">
        <f t="shared" ref="E4102:E4115" si="363">DATE(A4102,B4102,C4102)</f>
        <v>45428</v>
      </c>
      <c r="F4102" s="520" t="s">
        <v>1259</v>
      </c>
      <c r="G4102" s="213" t="s">
        <v>1245</v>
      </c>
      <c r="H4102" s="214"/>
      <c r="I4102" s="214" t="s">
        <v>1253</v>
      </c>
      <c r="J4102" s="210" t="s">
        <v>58</v>
      </c>
      <c r="K4102" s="215">
        <v>60547.87</v>
      </c>
      <c r="L4102" s="215"/>
    </row>
    <row r="4103" spans="1:13" ht="11.25" customHeight="1" x14ac:dyDescent="0.2">
      <c r="A4103" s="216">
        <v>2024</v>
      </c>
      <c r="B4103" s="216">
        <v>5</v>
      </c>
      <c r="C4103" s="216">
        <v>16</v>
      </c>
      <c r="D4103" s="217">
        <f t="shared" si="362"/>
        <v>45428</v>
      </c>
      <c r="E4103" s="239">
        <f t="shared" si="363"/>
        <v>45428</v>
      </c>
      <c r="F4103" s="521"/>
      <c r="G4103" s="219" t="s">
        <v>1245</v>
      </c>
      <c r="H4103" s="220"/>
      <c r="I4103" s="220" t="s">
        <v>1253</v>
      </c>
      <c r="J4103" s="216" t="s">
        <v>153</v>
      </c>
      <c r="K4103" s="221"/>
      <c r="L4103" s="221">
        <v>60547.87</v>
      </c>
    </row>
    <row r="4104" spans="1:13" ht="11.25" customHeight="1" x14ac:dyDescent="0.2">
      <c r="A4104" s="312">
        <v>2024</v>
      </c>
      <c r="B4104" s="312">
        <v>5</v>
      </c>
      <c r="C4104" s="312">
        <v>16</v>
      </c>
      <c r="D4104" s="313">
        <f t="shared" si="362"/>
        <v>45428</v>
      </c>
      <c r="E4104" s="314">
        <f t="shared" si="363"/>
        <v>45428</v>
      </c>
      <c r="F4104" s="522" t="s">
        <v>1477</v>
      </c>
      <c r="G4104" s="315" t="s">
        <v>1245</v>
      </c>
      <c r="H4104" s="316"/>
      <c r="I4104" s="316" t="s">
        <v>1253</v>
      </c>
      <c r="J4104" s="312" t="s">
        <v>1458</v>
      </c>
      <c r="K4104" s="317">
        <v>306037.19999998808</v>
      </c>
      <c r="L4104" s="317"/>
    </row>
    <row r="4105" spans="1:13" ht="11.25" customHeight="1" x14ac:dyDescent="0.2">
      <c r="A4105" s="318">
        <v>2024</v>
      </c>
      <c r="B4105" s="318">
        <v>5</v>
      </c>
      <c r="C4105" s="318">
        <v>16</v>
      </c>
      <c r="D4105" s="319">
        <f t="shared" si="362"/>
        <v>45428</v>
      </c>
      <c r="E4105" s="320">
        <f t="shared" si="363"/>
        <v>45428</v>
      </c>
      <c r="F4105" s="523"/>
      <c r="G4105" s="321" t="s">
        <v>1245</v>
      </c>
      <c r="H4105" s="322"/>
      <c r="I4105" s="322" t="s">
        <v>1253</v>
      </c>
      <c r="J4105" s="318" t="s">
        <v>1460</v>
      </c>
      <c r="K4105" s="323"/>
      <c r="L4105" s="323">
        <f>K4104</f>
        <v>306037.19999998808</v>
      </c>
    </row>
    <row r="4106" spans="1:13" ht="11.25" customHeight="1" x14ac:dyDescent="0.2">
      <c r="A4106" s="312">
        <v>2024</v>
      </c>
      <c r="B4106" s="312">
        <v>5</v>
      </c>
      <c r="C4106" s="312">
        <v>16</v>
      </c>
      <c r="D4106" s="313">
        <f t="shared" si="362"/>
        <v>45428</v>
      </c>
      <c r="E4106" s="314">
        <f t="shared" si="363"/>
        <v>45428</v>
      </c>
      <c r="F4106" s="522" t="s">
        <v>1595</v>
      </c>
      <c r="G4106" s="315" t="s">
        <v>1245</v>
      </c>
      <c r="H4106" s="316"/>
      <c r="I4106" s="316" t="s">
        <v>1253</v>
      </c>
      <c r="J4106" s="312" t="s">
        <v>1459</v>
      </c>
      <c r="K4106" s="317">
        <v>167857.6400000006</v>
      </c>
      <c r="L4106" s="317"/>
    </row>
    <row r="4107" spans="1:13" ht="11.25" customHeight="1" x14ac:dyDescent="0.2">
      <c r="A4107" s="318">
        <v>2024</v>
      </c>
      <c r="B4107" s="318">
        <v>5</v>
      </c>
      <c r="C4107" s="318">
        <v>16</v>
      </c>
      <c r="D4107" s="319">
        <f t="shared" si="362"/>
        <v>45428</v>
      </c>
      <c r="E4107" s="320">
        <f t="shared" si="363"/>
        <v>45428</v>
      </c>
      <c r="F4107" s="523"/>
      <c r="G4107" s="321" t="s">
        <v>1245</v>
      </c>
      <c r="H4107" s="322"/>
      <c r="I4107" s="322" t="s">
        <v>1253</v>
      </c>
      <c r="J4107" s="318" t="s">
        <v>1461</v>
      </c>
      <c r="K4107" s="323"/>
      <c r="L4107" s="323">
        <f>K4106</f>
        <v>167857.6400000006</v>
      </c>
    </row>
    <row r="4108" spans="1:13" ht="11.25" customHeight="1" x14ac:dyDescent="0.2">
      <c r="A4108" s="222">
        <v>2024</v>
      </c>
      <c r="B4108" s="222">
        <v>5</v>
      </c>
      <c r="C4108" s="222">
        <v>16</v>
      </c>
      <c r="D4108" s="223">
        <f t="shared" si="362"/>
        <v>45428</v>
      </c>
      <c r="E4108" s="240">
        <f t="shared" si="363"/>
        <v>45428</v>
      </c>
      <c r="F4108" s="511" t="s">
        <v>1244</v>
      </c>
      <c r="G4108" s="225" t="s">
        <v>1245</v>
      </c>
      <c r="H4108" s="226"/>
      <c r="I4108" s="226" t="s">
        <v>1253</v>
      </c>
      <c r="J4108" s="222" t="s">
        <v>72</v>
      </c>
      <c r="K4108" s="227">
        <v>9976.3499999977648</v>
      </c>
      <c r="L4108" s="227"/>
    </row>
    <row r="4109" spans="1:13" ht="11.25" customHeight="1" x14ac:dyDescent="0.2">
      <c r="A4109" s="228">
        <v>2024</v>
      </c>
      <c r="B4109" s="228">
        <v>5</v>
      </c>
      <c r="C4109" s="228">
        <v>16</v>
      </c>
      <c r="D4109" s="229">
        <f t="shared" si="362"/>
        <v>45428</v>
      </c>
      <c r="E4109" s="241">
        <f t="shared" si="363"/>
        <v>45428</v>
      </c>
      <c r="F4109" s="512"/>
      <c r="G4109" s="231" t="s">
        <v>1245</v>
      </c>
      <c r="H4109" s="232"/>
      <c r="I4109" s="232" t="s">
        <v>1253</v>
      </c>
      <c r="J4109" s="228" t="s">
        <v>87</v>
      </c>
      <c r="K4109" s="233"/>
      <c r="L4109" s="233">
        <f>K4108</f>
        <v>9976.3499999977648</v>
      </c>
    </row>
    <row r="4110" spans="1:13" ht="11.25" customHeight="1" x14ac:dyDescent="0.2">
      <c r="A4110" s="222">
        <v>2024</v>
      </c>
      <c r="B4110" s="222">
        <v>5</v>
      </c>
      <c r="C4110" s="222">
        <v>16</v>
      </c>
      <c r="D4110" s="223">
        <f t="shared" si="362"/>
        <v>45428</v>
      </c>
      <c r="E4110" s="240">
        <f t="shared" si="363"/>
        <v>45428</v>
      </c>
      <c r="F4110" s="511" t="s">
        <v>1246</v>
      </c>
      <c r="G4110" s="225" t="s">
        <v>1245</v>
      </c>
      <c r="H4110" s="226"/>
      <c r="I4110" s="226" t="s">
        <v>1253</v>
      </c>
      <c r="J4110" s="222" t="s">
        <v>75</v>
      </c>
      <c r="K4110" s="227">
        <v>3623.123846153846</v>
      </c>
      <c r="L4110" s="227"/>
    </row>
    <row r="4111" spans="1:13" ht="11.25" customHeight="1" x14ac:dyDescent="0.2">
      <c r="A4111" s="228">
        <v>2024</v>
      </c>
      <c r="B4111" s="228">
        <v>5</v>
      </c>
      <c r="C4111" s="228">
        <v>16</v>
      </c>
      <c r="D4111" s="229">
        <f t="shared" si="362"/>
        <v>45428</v>
      </c>
      <c r="E4111" s="241">
        <f t="shared" si="363"/>
        <v>45428</v>
      </c>
      <c r="F4111" s="512"/>
      <c r="G4111" s="231" t="s">
        <v>1245</v>
      </c>
      <c r="H4111" s="232"/>
      <c r="I4111" s="232" t="s">
        <v>1253</v>
      </c>
      <c r="J4111" s="228" t="s">
        <v>55</v>
      </c>
      <c r="K4111" s="233"/>
      <c r="L4111" s="233">
        <v>3623.123846153846</v>
      </c>
    </row>
    <row r="4112" spans="1:13" ht="11.25" customHeight="1" x14ac:dyDescent="0.2">
      <c r="A4112" s="222">
        <v>2024</v>
      </c>
      <c r="B4112" s="222">
        <v>5</v>
      </c>
      <c r="C4112" s="222">
        <v>16</v>
      </c>
      <c r="D4112" s="223">
        <f t="shared" si="362"/>
        <v>45428</v>
      </c>
      <c r="E4112" s="240">
        <f t="shared" si="363"/>
        <v>45428</v>
      </c>
      <c r="F4112" s="511" t="s">
        <v>1247</v>
      </c>
      <c r="G4112" s="225" t="s">
        <v>1245</v>
      </c>
      <c r="H4112" s="226"/>
      <c r="I4112" s="226" t="s">
        <v>1253</v>
      </c>
      <c r="J4112" s="222" t="s">
        <v>77</v>
      </c>
      <c r="K4112" s="227">
        <f>M4112</f>
        <v>25107.707719364258</v>
      </c>
      <c r="L4112" s="227"/>
      <c r="M4112" s="120">
        <v>25107.707719364258</v>
      </c>
    </row>
    <row r="4113" spans="1:15" ht="11.25" customHeight="1" x14ac:dyDescent="0.2">
      <c r="A4113" s="228">
        <v>2024</v>
      </c>
      <c r="B4113" s="228">
        <v>5</v>
      </c>
      <c r="C4113" s="228">
        <v>16</v>
      </c>
      <c r="D4113" s="229">
        <f t="shared" si="362"/>
        <v>45428</v>
      </c>
      <c r="E4113" s="241">
        <f t="shared" si="363"/>
        <v>45428</v>
      </c>
      <c r="F4113" s="512"/>
      <c r="G4113" s="231" t="s">
        <v>1245</v>
      </c>
      <c r="H4113" s="232"/>
      <c r="I4113" s="232" t="s">
        <v>1253</v>
      </c>
      <c r="J4113" s="228" t="s">
        <v>41</v>
      </c>
      <c r="K4113" s="233"/>
      <c r="L4113" s="233">
        <f>K4112</f>
        <v>25107.707719364258</v>
      </c>
      <c r="M4113" s="120">
        <v>2510.7707719364257</v>
      </c>
    </row>
    <row r="4114" spans="1:15" ht="11.25" customHeight="1" x14ac:dyDescent="0.2">
      <c r="A4114" s="222">
        <v>2024</v>
      </c>
      <c r="B4114" s="222">
        <v>5</v>
      </c>
      <c r="C4114" s="222">
        <v>16</v>
      </c>
      <c r="D4114" s="223">
        <f t="shared" si="362"/>
        <v>45428</v>
      </c>
      <c r="E4114" s="240">
        <f t="shared" si="363"/>
        <v>45428</v>
      </c>
      <c r="F4114" s="511" t="s">
        <v>1248</v>
      </c>
      <c r="G4114" s="225" t="s">
        <v>1245</v>
      </c>
      <c r="H4114" s="226"/>
      <c r="I4114" s="226" t="s">
        <v>1253</v>
      </c>
      <c r="J4114" s="222" t="s">
        <v>80</v>
      </c>
      <c r="K4114" s="227">
        <f>M4113</f>
        <v>2510.7707719364257</v>
      </c>
      <c r="L4114" s="227"/>
    </row>
    <row r="4115" spans="1:15" ht="11.25" customHeight="1" x14ac:dyDescent="0.2">
      <c r="A4115" s="228">
        <v>2024</v>
      </c>
      <c r="B4115" s="228">
        <v>5</v>
      </c>
      <c r="C4115" s="228">
        <v>16</v>
      </c>
      <c r="D4115" s="229">
        <f t="shared" si="362"/>
        <v>45428</v>
      </c>
      <c r="E4115" s="241">
        <f t="shared" si="363"/>
        <v>45428</v>
      </c>
      <c r="F4115" s="512"/>
      <c r="G4115" s="231" t="s">
        <v>1245</v>
      </c>
      <c r="H4115" s="232"/>
      <c r="I4115" s="232" t="s">
        <v>1253</v>
      </c>
      <c r="J4115" s="228" t="s">
        <v>42</v>
      </c>
      <c r="K4115" s="233"/>
      <c r="L4115" s="233">
        <f>K4114</f>
        <v>2510.7707719364257</v>
      </c>
    </row>
    <row r="4116" spans="1:15" ht="11.25" customHeight="1" x14ac:dyDescent="0.2">
      <c r="A4116" s="222">
        <v>2024</v>
      </c>
      <c r="B4116" s="222">
        <v>5</v>
      </c>
      <c r="C4116" s="222">
        <v>16</v>
      </c>
      <c r="D4116" s="223">
        <f t="shared" si="362"/>
        <v>45428</v>
      </c>
      <c r="E4116" s="240">
        <f t="shared" ref="E4116:E4127" si="364">DATE(A4116,B4116,C4116)</f>
        <v>45428</v>
      </c>
      <c r="F4116" s="511" t="s">
        <v>1629</v>
      </c>
      <c r="G4116" s="225" t="s">
        <v>1245</v>
      </c>
      <c r="H4116" s="226"/>
      <c r="I4116" s="226" t="s">
        <v>1253</v>
      </c>
      <c r="J4116" s="222" t="s">
        <v>41</v>
      </c>
      <c r="K4116" s="227">
        <v>250000</v>
      </c>
      <c r="L4116" s="227"/>
    </row>
    <row r="4117" spans="1:15" ht="11.25" customHeight="1" x14ac:dyDescent="0.2">
      <c r="A4117" s="228">
        <v>2024</v>
      </c>
      <c r="B4117" s="228">
        <v>5</v>
      </c>
      <c r="C4117" s="228">
        <v>16</v>
      </c>
      <c r="D4117" s="229">
        <f t="shared" si="362"/>
        <v>45428</v>
      </c>
      <c r="E4117" s="241">
        <f t="shared" si="364"/>
        <v>45428</v>
      </c>
      <c r="F4117" s="512"/>
      <c r="G4117" s="231" t="s">
        <v>1245</v>
      </c>
      <c r="H4117" s="232"/>
      <c r="I4117" s="232" t="s">
        <v>1253</v>
      </c>
      <c r="J4117" s="228" t="s">
        <v>77</v>
      </c>
      <c r="K4117" s="233"/>
      <c r="L4117" s="233">
        <f>K4116</f>
        <v>250000</v>
      </c>
    </row>
    <row r="4118" spans="1:15" ht="11.25" customHeight="1" x14ac:dyDescent="0.2">
      <c r="A4118" s="197">
        <v>2024</v>
      </c>
      <c r="B4118" s="197">
        <v>5</v>
      </c>
      <c r="C4118" s="197">
        <v>19</v>
      </c>
      <c r="D4118" s="198">
        <f t="shared" si="362"/>
        <v>45431</v>
      </c>
      <c r="E4118" s="199">
        <f t="shared" si="364"/>
        <v>45431</v>
      </c>
      <c r="F4118" s="513" t="s">
        <v>1279</v>
      </c>
      <c r="G4118" s="200" t="s">
        <v>1209</v>
      </c>
      <c r="H4118" s="201"/>
      <c r="I4118" s="201" t="s">
        <v>1253</v>
      </c>
      <c r="J4118" s="197" t="s">
        <v>76</v>
      </c>
      <c r="K4118" s="202">
        <v>50000000</v>
      </c>
      <c r="L4118" s="202"/>
    </row>
    <row r="4119" spans="1:15" ht="11.25" customHeight="1" x14ac:dyDescent="0.2">
      <c r="A4119" s="191">
        <v>2024</v>
      </c>
      <c r="B4119" s="191">
        <v>5</v>
      </c>
      <c r="C4119" s="191">
        <v>19</v>
      </c>
      <c r="D4119" s="192">
        <f t="shared" si="362"/>
        <v>45431</v>
      </c>
      <c r="E4119" s="193">
        <f t="shared" si="364"/>
        <v>45431</v>
      </c>
      <c r="F4119" s="514"/>
      <c r="G4119" s="194" t="s">
        <v>1209</v>
      </c>
      <c r="H4119" s="195"/>
      <c r="I4119" s="195" t="s">
        <v>1253</v>
      </c>
      <c r="J4119" s="191" t="s">
        <v>46</v>
      </c>
      <c r="K4119" s="196"/>
      <c r="L4119" s="196">
        <v>50000000</v>
      </c>
    </row>
    <row r="4120" spans="1:15" ht="11.25" customHeight="1" x14ac:dyDescent="0.2">
      <c r="A4120" s="197">
        <v>2024</v>
      </c>
      <c r="B4120" s="197">
        <v>5</v>
      </c>
      <c r="C4120" s="197">
        <v>19</v>
      </c>
      <c r="D4120" s="198">
        <f t="shared" si="362"/>
        <v>45431</v>
      </c>
      <c r="E4120" s="290">
        <f t="shared" si="364"/>
        <v>45431</v>
      </c>
      <c r="F4120" s="513" t="s">
        <v>1514</v>
      </c>
      <c r="G4120" s="200" t="s">
        <v>1209</v>
      </c>
      <c r="H4120" s="201"/>
      <c r="I4120" s="201"/>
      <c r="J4120" s="197" t="s">
        <v>54</v>
      </c>
      <c r="K4120" s="202">
        <v>100</v>
      </c>
      <c r="L4120" s="202"/>
      <c r="M4120" s="251"/>
      <c r="N4120" s="251"/>
      <c r="O4120" s="251"/>
    </row>
    <row r="4121" spans="1:15" ht="11.25" customHeight="1" x14ac:dyDescent="0.2">
      <c r="A4121" s="191">
        <v>2024</v>
      </c>
      <c r="B4121" s="191">
        <v>5</v>
      </c>
      <c r="C4121" s="191">
        <v>19</v>
      </c>
      <c r="D4121" s="192">
        <f t="shared" si="362"/>
        <v>45431</v>
      </c>
      <c r="E4121" s="291">
        <f t="shared" si="364"/>
        <v>45431</v>
      </c>
      <c r="F4121" s="514"/>
      <c r="G4121" s="194" t="s">
        <v>1209</v>
      </c>
      <c r="H4121" s="195"/>
      <c r="I4121" s="195"/>
      <c r="J4121" s="191" t="s">
        <v>46</v>
      </c>
      <c r="K4121" s="196"/>
      <c r="L4121" s="196">
        <v>100</v>
      </c>
      <c r="M4121" s="251"/>
      <c r="N4121" s="251"/>
      <c r="O4121" s="251"/>
    </row>
    <row r="4122" spans="1:15" ht="11.25" customHeight="1" x14ac:dyDescent="0.2">
      <c r="A4122" s="197">
        <v>2024</v>
      </c>
      <c r="B4122" s="197">
        <v>5</v>
      </c>
      <c r="C4122" s="197">
        <v>19</v>
      </c>
      <c r="D4122" s="198">
        <f t="shared" si="362"/>
        <v>45431</v>
      </c>
      <c r="E4122" s="199">
        <f t="shared" si="364"/>
        <v>45431</v>
      </c>
      <c r="F4122" s="513" t="s">
        <v>1389</v>
      </c>
      <c r="G4122" s="200" t="s">
        <v>1209</v>
      </c>
      <c r="H4122" s="200"/>
      <c r="I4122" s="201" t="s">
        <v>1253</v>
      </c>
      <c r="J4122" s="248" t="s">
        <v>84</v>
      </c>
      <c r="K4122" s="202">
        <v>50</v>
      </c>
      <c r="L4122" s="202"/>
      <c r="M4122" s="251"/>
    </row>
    <row r="4123" spans="1:15" ht="11.25" customHeight="1" x14ac:dyDescent="0.2">
      <c r="A4123" s="120">
        <v>2024</v>
      </c>
      <c r="B4123" s="120">
        <v>5</v>
      </c>
      <c r="C4123" s="120">
        <v>19</v>
      </c>
      <c r="D4123" s="208">
        <f t="shared" si="362"/>
        <v>45431</v>
      </c>
      <c r="E4123" s="209">
        <f t="shared" ref="E4123" si="365">DATE(A4123,B4123,C4123)</f>
        <v>45431</v>
      </c>
      <c r="F4123" s="515"/>
      <c r="G4123" s="132" t="s">
        <v>1209</v>
      </c>
      <c r="H4123" s="132"/>
      <c r="J4123" s="129" t="s">
        <v>457</v>
      </c>
      <c r="K4123" s="207"/>
      <c r="L4123" s="207">
        <v>5</v>
      </c>
      <c r="M4123" s="251"/>
    </row>
    <row r="4124" spans="1:15" ht="11.25" customHeight="1" x14ac:dyDescent="0.2">
      <c r="A4124" s="191">
        <v>2024</v>
      </c>
      <c r="B4124" s="191">
        <v>5</v>
      </c>
      <c r="C4124" s="191">
        <v>19</v>
      </c>
      <c r="D4124" s="192">
        <f t="shared" si="362"/>
        <v>45431</v>
      </c>
      <c r="E4124" s="193">
        <f t="shared" si="364"/>
        <v>45431</v>
      </c>
      <c r="F4124" s="514"/>
      <c r="G4124" s="194" t="s">
        <v>1209</v>
      </c>
      <c r="H4124" s="194"/>
      <c r="I4124" s="195" t="s">
        <v>1253</v>
      </c>
      <c r="J4124" s="250" t="s">
        <v>46</v>
      </c>
      <c r="K4124" s="196"/>
      <c r="L4124" s="196">
        <v>45</v>
      </c>
      <c r="M4124" s="251"/>
    </row>
    <row r="4125" spans="1:15" ht="11.25" customHeight="1" x14ac:dyDescent="0.2">
      <c r="A4125" s="197">
        <v>2024</v>
      </c>
      <c r="B4125" s="197">
        <v>5</v>
      </c>
      <c r="C4125" s="197">
        <v>19</v>
      </c>
      <c r="D4125" s="198">
        <f t="shared" si="362"/>
        <v>45431</v>
      </c>
      <c r="E4125" s="209">
        <f t="shared" si="364"/>
        <v>45431</v>
      </c>
      <c r="F4125" s="513" t="s">
        <v>1210</v>
      </c>
      <c r="G4125" s="200" t="s">
        <v>1209</v>
      </c>
      <c r="H4125" s="201"/>
      <c r="I4125" s="201" t="s">
        <v>453</v>
      </c>
      <c r="J4125" s="197" t="s">
        <v>46</v>
      </c>
      <c r="K4125" s="202">
        <v>1900000</v>
      </c>
      <c r="L4125" s="202"/>
    </row>
    <row r="4126" spans="1:15" ht="11.25" customHeight="1" x14ac:dyDescent="0.2">
      <c r="A4126" s="120">
        <v>2024</v>
      </c>
      <c r="B4126" s="120">
        <v>5</v>
      </c>
      <c r="C4126" s="120">
        <v>19</v>
      </c>
      <c r="D4126" s="208">
        <f t="shared" si="362"/>
        <v>45431</v>
      </c>
      <c r="E4126" s="209">
        <f t="shared" si="364"/>
        <v>45431</v>
      </c>
      <c r="F4126" s="515"/>
      <c r="G4126" s="132" t="s">
        <v>1209</v>
      </c>
      <c r="I4126" s="128" t="s">
        <v>453</v>
      </c>
      <c r="J4126" s="120" t="s">
        <v>16</v>
      </c>
      <c r="K4126" s="207"/>
      <c r="L4126" s="207">
        <v>1721950</v>
      </c>
    </row>
    <row r="4127" spans="1:15" ht="11.25" customHeight="1" x14ac:dyDescent="0.2">
      <c r="A4127" s="191">
        <v>2024</v>
      </c>
      <c r="B4127" s="191">
        <v>5</v>
      </c>
      <c r="C4127" s="191">
        <v>19</v>
      </c>
      <c r="D4127" s="192">
        <f t="shared" si="362"/>
        <v>45431</v>
      </c>
      <c r="E4127" s="193">
        <f t="shared" si="364"/>
        <v>45431</v>
      </c>
      <c r="F4127" s="514"/>
      <c r="G4127" s="194" t="s">
        <v>1209</v>
      </c>
      <c r="H4127" s="195"/>
      <c r="I4127" s="195" t="s">
        <v>453</v>
      </c>
      <c r="J4127" s="191" t="s">
        <v>47</v>
      </c>
      <c r="K4127" s="196"/>
      <c r="L4127" s="196">
        <v>178050</v>
      </c>
    </row>
    <row r="4128" spans="1:15" ht="11.25" customHeight="1" x14ac:dyDescent="0.2">
      <c r="A4128" s="197">
        <v>2024</v>
      </c>
      <c r="B4128" s="197">
        <v>5</v>
      </c>
      <c r="C4128" s="197">
        <v>19</v>
      </c>
      <c r="D4128" s="198">
        <f t="shared" si="362"/>
        <v>45431</v>
      </c>
      <c r="E4128" s="209">
        <f t="shared" ref="E4128:E4130" si="366">DATE(A4128,B4128,C4128)</f>
        <v>45431</v>
      </c>
      <c r="F4128" s="513" t="s">
        <v>1210</v>
      </c>
      <c r="G4128" s="200" t="s">
        <v>1209</v>
      </c>
      <c r="H4128" s="201"/>
      <c r="I4128" s="201" t="s">
        <v>1630</v>
      </c>
      <c r="J4128" s="197" t="s">
        <v>46</v>
      </c>
      <c r="K4128" s="202">
        <v>190000</v>
      </c>
      <c r="L4128" s="202"/>
    </row>
    <row r="4129" spans="1:15" ht="11.25" customHeight="1" x14ac:dyDescent="0.2">
      <c r="A4129" s="120">
        <v>2024</v>
      </c>
      <c r="B4129" s="120">
        <v>5</v>
      </c>
      <c r="C4129" s="120">
        <v>19</v>
      </c>
      <c r="D4129" s="208">
        <f t="shared" si="362"/>
        <v>45431</v>
      </c>
      <c r="E4129" s="209">
        <f t="shared" si="366"/>
        <v>45431</v>
      </c>
      <c r="F4129" s="515"/>
      <c r="G4129" s="132" t="s">
        <v>1209</v>
      </c>
      <c r="I4129" s="128" t="s">
        <v>1630</v>
      </c>
      <c r="J4129" s="120" t="s">
        <v>16</v>
      </c>
      <c r="K4129" s="207"/>
      <c r="L4129" s="207">
        <v>172200</v>
      </c>
    </row>
    <row r="4130" spans="1:15" ht="11.25" customHeight="1" x14ac:dyDescent="0.2">
      <c r="A4130" s="191">
        <v>2024</v>
      </c>
      <c r="B4130" s="191">
        <v>5</v>
      </c>
      <c r="C4130" s="191">
        <v>19</v>
      </c>
      <c r="D4130" s="192">
        <f t="shared" si="362"/>
        <v>45431</v>
      </c>
      <c r="E4130" s="193">
        <f t="shared" si="366"/>
        <v>45431</v>
      </c>
      <c r="F4130" s="514"/>
      <c r="G4130" s="194" t="s">
        <v>1209</v>
      </c>
      <c r="H4130" s="195"/>
      <c r="I4130" s="195" t="s">
        <v>1630</v>
      </c>
      <c r="J4130" s="191" t="s">
        <v>47</v>
      </c>
      <c r="K4130" s="196"/>
      <c r="L4130" s="196">
        <v>17800</v>
      </c>
    </row>
    <row r="4131" spans="1:15" ht="11.25" customHeight="1" x14ac:dyDescent="0.2">
      <c r="A4131" s="197">
        <v>2024</v>
      </c>
      <c r="B4131" s="197">
        <v>5</v>
      </c>
      <c r="C4131" s="197">
        <v>19</v>
      </c>
      <c r="D4131" s="198">
        <f t="shared" si="362"/>
        <v>45431</v>
      </c>
      <c r="E4131" s="209">
        <f t="shared" ref="E4131:E4133" si="367">DATE(A4131,B4131,C4131)</f>
        <v>45431</v>
      </c>
      <c r="F4131" s="513" t="s">
        <v>1210</v>
      </c>
      <c r="G4131" s="200" t="s">
        <v>1209</v>
      </c>
      <c r="H4131" s="201"/>
      <c r="I4131" s="201" t="s">
        <v>1631</v>
      </c>
      <c r="J4131" s="197" t="s">
        <v>46</v>
      </c>
      <c r="K4131" s="202">
        <v>3000000</v>
      </c>
      <c r="L4131" s="202"/>
    </row>
    <row r="4132" spans="1:15" ht="11.25" customHeight="1" x14ac:dyDescent="0.2">
      <c r="A4132" s="120">
        <v>2024</v>
      </c>
      <c r="B4132" s="120">
        <v>5</v>
      </c>
      <c r="C4132" s="120">
        <v>19</v>
      </c>
      <c r="D4132" s="208">
        <f t="shared" si="362"/>
        <v>45431</v>
      </c>
      <c r="E4132" s="209">
        <f t="shared" si="367"/>
        <v>45431</v>
      </c>
      <c r="F4132" s="515"/>
      <c r="G4132" s="132" t="s">
        <v>1209</v>
      </c>
      <c r="I4132" s="128" t="s">
        <v>1631</v>
      </c>
      <c r="J4132" s="120" t="s">
        <v>16</v>
      </c>
      <c r="K4132" s="207"/>
      <c r="L4132" s="207">
        <v>2718870</v>
      </c>
    </row>
    <row r="4133" spans="1:15" ht="11.25" customHeight="1" x14ac:dyDescent="0.2">
      <c r="A4133" s="191">
        <v>2024</v>
      </c>
      <c r="B4133" s="191">
        <v>5</v>
      </c>
      <c r="C4133" s="191">
        <v>19</v>
      </c>
      <c r="D4133" s="192">
        <f t="shared" si="362"/>
        <v>45431</v>
      </c>
      <c r="E4133" s="193">
        <f t="shared" si="367"/>
        <v>45431</v>
      </c>
      <c r="F4133" s="514"/>
      <c r="G4133" s="194" t="s">
        <v>1209</v>
      </c>
      <c r="H4133" s="195"/>
      <c r="I4133" s="195" t="s">
        <v>1631</v>
      </c>
      <c r="J4133" s="191" t="s">
        <v>47</v>
      </c>
      <c r="K4133" s="196"/>
      <c r="L4133" s="196">
        <v>281130</v>
      </c>
    </row>
    <row r="4134" spans="1:15" ht="11.25" customHeight="1" x14ac:dyDescent="0.2">
      <c r="A4134" s="197">
        <v>2024</v>
      </c>
      <c r="B4134" s="197">
        <v>5</v>
      </c>
      <c r="C4134" s="197">
        <v>19</v>
      </c>
      <c r="D4134" s="198">
        <f t="shared" si="362"/>
        <v>45431</v>
      </c>
      <c r="E4134" s="209">
        <f t="shared" ref="E4134:E4141" si="368">DATE(A4134,B4134,C4134)</f>
        <v>45431</v>
      </c>
      <c r="F4134" s="513" t="s">
        <v>1280</v>
      </c>
      <c r="G4134" s="200" t="s">
        <v>1209</v>
      </c>
      <c r="H4134" s="201"/>
      <c r="I4134" s="201" t="s">
        <v>1531</v>
      </c>
      <c r="J4134" s="197" t="s">
        <v>16</v>
      </c>
      <c r="K4134" s="202">
        <v>934840</v>
      </c>
      <c r="L4134" s="202"/>
    </row>
    <row r="4135" spans="1:15" ht="11.25" customHeight="1" x14ac:dyDescent="0.2">
      <c r="A4135" s="120">
        <v>2024</v>
      </c>
      <c r="B4135" s="120">
        <v>5</v>
      </c>
      <c r="C4135" s="120">
        <v>19</v>
      </c>
      <c r="D4135" s="208">
        <f t="shared" si="362"/>
        <v>45431</v>
      </c>
      <c r="E4135" s="209">
        <f t="shared" si="368"/>
        <v>45431</v>
      </c>
      <c r="F4135" s="515"/>
      <c r="G4135" s="132" t="s">
        <v>1209</v>
      </c>
      <c r="I4135" s="128" t="s">
        <v>1531</v>
      </c>
      <c r="J4135" s="120" t="s">
        <v>47</v>
      </c>
      <c r="K4135" s="207">
        <v>96662.46</v>
      </c>
      <c r="L4135" s="207"/>
    </row>
    <row r="4136" spans="1:15" ht="11.25" customHeight="1" x14ac:dyDescent="0.2">
      <c r="A4136" s="191">
        <v>2024</v>
      </c>
      <c r="B4136" s="191">
        <v>5</v>
      </c>
      <c r="C4136" s="191">
        <v>19</v>
      </c>
      <c r="D4136" s="192">
        <f t="shared" si="362"/>
        <v>45431</v>
      </c>
      <c r="E4136" s="193">
        <f t="shared" si="368"/>
        <v>45431</v>
      </c>
      <c r="F4136" s="514"/>
      <c r="G4136" s="194" t="s">
        <v>1209</v>
      </c>
      <c r="H4136" s="195"/>
      <c r="I4136" s="195" t="s">
        <v>1531</v>
      </c>
      <c r="J4136" s="191" t="s">
        <v>46</v>
      </c>
      <c r="K4136" s="196"/>
      <c r="L4136" s="196">
        <v>1031502.46</v>
      </c>
    </row>
    <row r="4137" spans="1:15" ht="11.25" customHeight="1" x14ac:dyDescent="0.2">
      <c r="A4137" s="197">
        <v>2024</v>
      </c>
      <c r="B4137" s="197">
        <v>5</v>
      </c>
      <c r="C4137" s="197">
        <v>19</v>
      </c>
      <c r="D4137" s="198">
        <f t="shared" si="362"/>
        <v>45431</v>
      </c>
      <c r="E4137" s="209">
        <f t="shared" si="368"/>
        <v>45431</v>
      </c>
      <c r="F4137" s="513" t="s">
        <v>1210</v>
      </c>
      <c r="G4137" s="200" t="s">
        <v>1209</v>
      </c>
      <c r="H4137" s="201"/>
      <c r="I4137" s="201" t="s">
        <v>1632</v>
      </c>
      <c r="J4137" s="197" t="s">
        <v>46</v>
      </c>
      <c r="K4137" s="202">
        <v>1800000</v>
      </c>
      <c r="L4137" s="202"/>
    </row>
    <row r="4138" spans="1:15" ht="11.25" customHeight="1" x14ac:dyDescent="0.2">
      <c r="A4138" s="120">
        <v>2024</v>
      </c>
      <c r="B4138" s="120">
        <v>5</v>
      </c>
      <c r="C4138" s="120">
        <v>19</v>
      </c>
      <c r="D4138" s="208">
        <f t="shared" si="362"/>
        <v>45431</v>
      </c>
      <c r="E4138" s="209">
        <f t="shared" si="368"/>
        <v>45431</v>
      </c>
      <c r="F4138" s="515"/>
      <c r="G4138" s="132" t="s">
        <v>1209</v>
      </c>
      <c r="I4138" s="128" t="s">
        <v>1632</v>
      </c>
      <c r="J4138" s="120" t="s">
        <v>16</v>
      </c>
      <c r="K4138" s="207"/>
      <c r="L4138" s="207">
        <v>1631320</v>
      </c>
    </row>
    <row r="4139" spans="1:15" ht="11.25" customHeight="1" x14ac:dyDescent="0.2">
      <c r="A4139" s="191">
        <v>2024</v>
      </c>
      <c r="B4139" s="191">
        <v>5</v>
      </c>
      <c r="C4139" s="191">
        <v>19</v>
      </c>
      <c r="D4139" s="192">
        <f t="shared" si="362"/>
        <v>45431</v>
      </c>
      <c r="E4139" s="193">
        <f t="shared" si="368"/>
        <v>45431</v>
      </c>
      <c r="F4139" s="514"/>
      <c r="G4139" s="194" t="s">
        <v>1209</v>
      </c>
      <c r="H4139" s="195"/>
      <c r="I4139" s="195" t="s">
        <v>1632</v>
      </c>
      <c r="J4139" s="191" t="s">
        <v>47</v>
      </c>
      <c r="K4139" s="196"/>
      <c r="L4139" s="196">
        <v>168680</v>
      </c>
    </row>
    <row r="4140" spans="1:15" ht="11.25" customHeight="1" x14ac:dyDescent="0.2">
      <c r="A4140" s="197">
        <v>2024</v>
      </c>
      <c r="B4140" s="197">
        <v>5</v>
      </c>
      <c r="C4140" s="197">
        <v>19</v>
      </c>
      <c r="D4140" s="198">
        <f t="shared" si="362"/>
        <v>45431</v>
      </c>
      <c r="E4140" s="290">
        <f t="shared" si="368"/>
        <v>45431</v>
      </c>
      <c r="F4140" s="513" t="s">
        <v>1514</v>
      </c>
      <c r="G4140" s="200" t="s">
        <v>1209</v>
      </c>
      <c r="H4140" s="201"/>
      <c r="I4140" s="201"/>
      <c r="J4140" s="197" t="s">
        <v>54</v>
      </c>
      <c r="K4140" s="202">
        <v>180</v>
      </c>
      <c r="L4140" s="202"/>
      <c r="M4140" s="251"/>
      <c r="N4140" s="251"/>
      <c r="O4140" s="251"/>
    </row>
    <row r="4141" spans="1:15" ht="11.25" customHeight="1" x14ac:dyDescent="0.2">
      <c r="A4141" s="191">
        <v>2024</v>
      </c>
      <c r="B4141" s="191">
        <v>5</v>
      </c>
      <c r="C4141" s="191">
        <v>19</v>
      </c>
      <c r="D4141" s="192">
        <f t="shared" si="362"/>
        <v>45431</v>
      </c>
      <c r="E4141" s="291">
        <f t="shared" si="368"/>
        <v>45431</v>
      </c>
      <c r="F4141" s="514"/>
      <c r="G4141" s="194" t="s">
        <v>1209</v>
      </c>
      <c r="H4141" s="195"/>
      <c r="I4141" s="195"/>
      <c r="J4141" s="191" t="s">
        <v>46</v>
      </c>
      <c r="K4141" s="196"/>
      <c r="L4141" s="196">
        <v>180</v>
      </c>
      <c r="M4141" s="251"/>
      <c r="N4141" s="251"/>
      <c r="O4141" s="251"/>
    </row>
    <row r="4142" spans="1:15" ht="11.25" customHeight="1" x14ac:dyDescent="0.2">
      <c r="A4142" s="197">
        <v>2024</v>
      </c>
      <c r="B4142" s="197">
        <v>5</v>
      </c>
      <c r="C4142" s="197">
        <v>19</v>
      </c>
      <c r="D4142" s="198">
        <f t="shared" si="362"/>
        <v>45431</v>
      </c>
      <c r="E4142" s="209">
        <f t="shared" ref="E4142:E4153" si="369">DATE(A4142,B4142,C4142)</f>
        <v>45431</v>
      </c>
      <c r="F4142" s="513" t="s">
        <v>1210</v>
      </c>
      <c r="G4142" s="200" t="s">
        <v>1209</v>
      </c>
      <c r="H4142" s="201"/>
      <c r="I4142" s="201" t="s">
        <v>391</v>
      </c>
      <c r="J4142" s="197" t="s">
        <v>46</v>
      </c>
      <c r="K4142" s="202">
        <v>1000000</v>
      </c>
      <c r="L4142" s="202"/>
    </row>
    <row r="4143" spans="1:15" ht="11.25" customHeight="1" x14ac:dyDescent="0.2">
      <c r="A4143" s="120">
        <v>2024</v>
      </c>
      <c r="B4143" s="120">
        <v>5</v>
      </c>
      <c r="C4143" s="120">
        <v>19</v>
      </c>
      <c r="D4143" s="208">
        <f t="shared" si="362"/>
        <v>45431</v>
      </c>
      <c r="E4143" s="209">
        <f t="shared" si="369"/>
        <v>45431</v>
      </c>
      <c r="F4143" s="515"/>
      <c r="G4143" s="132" t="s">
        <v>1209</v>
      </c>
      <c r="I4143" s="128" t="s">
        <v>391</v>
      </c>
      <c r="J4143" s="120" t="s">
        <v>16</v>
      </c>
      <c r="K4143" s="207"/>
      <c r="L4143" s="207">
        <v>906290</v>
      </c>
    </row>
    <row r="4144" spans="1:15" ht="11.25" customHeight="1" x14ac:dyDescent="0.2">
      <c r="A4144" s="191">
        <v>2024</v>
      </c>
      <c r="B4144" s="191">
        <v>5</v>
      </c>
      <c r="C4144" s="191">
        <v>19</v>
      </c>
      <c r="D4144" s="192">
        <f t="shared" si="362"/>
        <v>45431</v>
      </c>
      <c r="E4144" s="193">
        <f t="shared" si="369"/>
        <v>45431</v>
      </c>
      <c r="F4144" s="514"/>
      <c r="G4144" s="194" t="s">
        <v>1209</v>
      </c>
      <c r="H4144" s="195"/>
      <c r="I4144" s="195" t="s">
        <v>391</v>
      </c>
      <c r="J4144" s="191" t="s">
        <v>47</v>
      </c>
      <c r="K4144" s="196"/>
      <c r="L4144" s="196">
        <v>93710</v>
      </c>
    </row>
    <row r="4145" spans="1:15" ht="11.25" customHeight="1" x14ac:dyDescent="0.2">
      <c r="A4145" s="197">
        <v>2024</v>
      </c>
      <c r="B4145" s="197">
        <v>5</v>
      </c>
      <c r="C4145" s="197">
        <v>19</v>
      </c>
      <c r="D4145" s="198">
        <f t="shared" si="362"/>
        <v>45431</v>
      </c>
      <c r="E4145" s="290">
        <f t="shared" si="369"/>
        <v>45431</v>
      </c>
      <c r="F4145" s="513" t="s">
        <v>1514</v>
      </c>
      <c r="G4145" s="200" t="s">
        <v>1209</v>
      </c>
      <c r="H4145" s="201"/>
      <c r="I4145" s="201"/>
      <c r="J4145" s="197" t="s">
        <v>54</v>
      </c>
      <c r="K4145" s="202">
        <v>70</v>
      </c>
      <c r="L4145" s="202"/>
      <c r="M4145" s="251"/>
      <c r="N4145" s="251"/>
      <c r="O4145" s="251"/>
    </row>
    <row r="4146" spans="1:15" ht="11.25" customHeight="1" x14ac:dyDescent="0.2">
      <c r="A4146" s="191">
        <v>2024</v>
      </c>
      <c r="B4146" s="191">
        <v>5</v>
      </c>
      <c r="C4146" s="191">
        <v>19</v>
      </c>
      <c r="D4146" s="192">
        <f t="shared" si="362"/>
        <v>45431</v>
      </c>
      <c r="E4146" s="291">
        <f t="shared" si="369"/>
        <v>45431</v>
      </c>
      <c r="F4146" s="514"/>
      <c r="G4146" s="194" t="s">
        <v>1209</v>
      </c>
      <c r="H4146" s="195"/>
      <c r="I4146" s="195"/>
      <c r="J4146" s="191" t="s">
        <v>46</v>
      </c>
      <c r="K4146" s="196"/>
      <c r="L4146" s="196">
        <v>70</v>
      </c>
      <c r="M4146" s="251"/>
      <c r="N4146" s="251"/>
      <c r="O4146" s="251"/>
    </row>
    <row r="4147" spans="1:15" ht="11.25" customHeight="1" x14ac:dyDescent="0.2">
      <c r="A4147" s="197">
        <v>2024</v>
      </c>
      <c r="B4147" s="197">
        <v>5</v>
      </c>
      <c r="C4147" s="197">
        <v>20</v>
      </c>
      <c r="D4147" s="198">
        <f t="shared" si="362"/>
        <v>45432</v>
      </c>
      <c r="E4147" s="199">
        <f t="shared" si="369"/>
        <v>45432</v>
      </c>
      <c r="F4147" s="513" t="s">
        <v>1635</v>
      </c>
      <c r="G4147" s="200" t="s">
        <v>1209</v>
      </c>
      <c r="H4147" s="201"/>
      <c r="I4147" s="201" t="s">
        <v>1253</v>
      </c>
      <c r="J4147" s="197" t="s">
        <v>1455</v>
      </c>
      <c r="K4147" s="202">
        <v>29156760</v>
      </c>
      <c r="L4147" s="202"/>
    </row>
    <row r="4148" spans="1:15" ht="11.25" customHeight="1" x14ac:dyDescent="0.2">
      <c r="A4148" s="191">
        <v>2024</v>
      </c>
      <c r="B4148" s="191">
        <v>5</v>
      </c>
      <c r="C4148" s="191">
        <v>20</v>
      </c>
      <c r="D4148" s="192">
        <f t="shared" si="362"/>
        <v>45432</v>
      </c>
      <c r="E4148" s="193">
        <f t="shared" si="369"/>
        <v>45432</v>
      </c>
      <c r="F4148" s="514"/>
      <c r="G4148" s="194" t="s">
        <v>1209</v>
      </c>
      <c r="H4148" s="195"/>
      <c r="I4148" s="195" t="s">
        <v>1253</v>
      </c>
      <c r="J4148" s="191" t="s">
        <v>46</v>
      </c>
      <c r="K4148" s="196"/>
      <c r="L4148" s="196">
        <v>29156760</v>
      </c>
      <c r="N4148" s="130"/>
    </row>
    <row r="4149" spans="1:15" ht="11.25" customHeight="1" x14ac:dyDescent="0.2">
      <c r="A4149" s="197">
        <v>2024</v>
      </c>
      <c r="B4149" s="197">
        <v>5</v>
      </c>
      <c r="C4149" s="197">
        <v>20</v>
      </c>
      <c r="D4149" s="198">
        <f t="shared" si="362"/>
        <v>45432</v>
      </c>
      <c r="E4149" s="199">
        <f t="shared" ref="E4149:E4150" si="370">DATE(A4149,B4149,C4149)</f>
        <v>45432</v>
      </c>
      <c r="F4149" s="513" t="s">
        <v>1626</v>
      </c>
      <c r="G4149" s="200" t="s">
        <v>1209</v>
      </c>
      <c r="H4149" s="201"/>
      <c r="I4149" s="201" t="s">
        <v>1253</v>
      </c>
      <c r="J4149" s="197" t="s">
        <v>1455</v>
      </c>
      <c r="K4149" s="202">
        <v>18466537</v>
      </c>
      <c r="L4149" s="202"/>
    </row>
    <row r="4150" spans="1:15" ht="11.25" customHeight="1" x14ac:dyDescent="0.2">
      <c r="A4150" s="191">
        <v>2024</v>
      </c>
      <c r="B4150" s="191">
        <v>5</v>
      </c>
      <c r="C4150" s="191">
        <v>20</v>
      </c>
      <c r="D4150" s="192">
        <f t="shared" si="362"/>
        <v>45432</v>
      </c>
      <c r="E4150" s="193">
        <f t="shared" si="370"/>
        <v>45432</v>
      </c>
      <c r="F4150" s="514"/>
      <c r="G4150" s="194" t="s">
        <v>1209</v>
      </c>
      <c r="H4150" s="195"/>
      <c r="I4150" s="195" t="s">
        <v>1253</v>
      </c>
      <c r="J4150" s="191" t="s">
        <v>46</v>
      </c>
      <c r="K4150" s="196"/>
      <c r="L4150" s="196">
        <v>18466537</v>
      </c>
      <c r="N4150" s="130"/>
    </row>
    <row r="4151" spans="1:15" ht="11.25" customHeight="1" x14ac:dyDescent="0.2">
      <c r="A4151" s="197">
        <v>2024</v>
      </c>
      <c r="B4151" s="197">
        <v>5</v>
      </c>
      <c r="C4151" s="197">
        <v>20</v>
      </c>
      <c r="D4151" s="198">
        <f t="shared" si="362"/>
        <v>45432</v>
      </c>
      <c r="E4151" s="199">
        <f t="shared" si="369"/>
        <v>45432</v>
      </c>
      <c r="F4151" s="513" t="s">
        <v>1634</v>
      </c>
      <c r="G4151" s="200" t="s">
        <v>1209</v>
      </c>
      <c r="H4151" s="201"/>
      <c r="I4151" s="201" t="s">
        <v>1253</v>
      </c>
      <c r="J4151" s="197" t="s">
        <v>46</v>
      </c>
      <c r="K4151" s="202">
        <v>20000000</v>
      </c>
      <c r="L4151" s="202"/>
    </row>
    <row r="4152" spans="1:15" ht="11.25" customHeight="1" x14ac:dyDescent="0.2">
      <c r="A4152" s="120">
        <v>2024</v>
      </c>
      <c r="B4152" s="120">
        <v>5</v>
      </c>
      <c r="C4152" s="120">
        <v>20</v>
      </c>
      <c r="D4152" s="208">
        <f t="shared" si="362"/>
        <v>45432</v>
      </c>
      <c r="E4152" s="209">
        <f t="shared" si="369"/>
        <v>45432</v>
      </c>
      <c r="F4152" s="515"/>
      <c r="G4152" s="132" t="s">
        <v>1209</v>
      </c>
      <c r="J4152" s="120" t="s">
        <v>1462</v>
      </c>
      <c r="K4152" s="328"/>
      <c r="L4152" s="207">
        <v>550020</v>
      </c>
    </row>
    <row r="4153" spans="1:15" ht="11.25" customHeight="1" x14ac:dyDescent="0.2">
      <c r="A4153" s="191">
        <v>2024</v>
      </c>
      <c r="B4153" s="191">
        <v>5</v>
      </c>
      <c r="C4153" s="191">
        <v>20</v>
      </c>
      <c r="D4153" s="192">
        <f t="shared" si="362"/>
        <v>45432</v>
      </c>
      <c r="E4153" s="193">
        <f t="shared" si="369"/>
        <v>45432</v>
      </c>
      <c r="F4153" s="514"/>
      <c r="G4153" s="194" t="s">
        <v>1209</v>
      </c>
      <c r="H4153" s="195"/>
      <c r="I4153" s="195" t="s">
        <v>1253</v>
      </c>
      <c r="J4153" s="191" t="s">
        <v>1455</v>
      </c>
      <c r="K4153" s="196"/>
      <c r="L4153" s="196">
        <v>19449980</v>
      </c>
      <c r="N4153" s="130"/>
    </row>
    <row r="4154" spans="1:15" ht="11.25" customHeight="1" x14ac:dyDescent="0.2">
      <c r="A4154" s="197">
        <v>2024</v>
      </c>
      <c r="B4154" s="197">
        <v>5</v>
      </c>
      <c r="C4154" s="197">
        <v>21</v>
      </c>
      <c r="D4154" s="198">
        <f t="shared" si="362"/>
        <v>45433</v>
      </c>
      <c r="E4154" s="209">
        <f t="shared" ref="E4154:E4156" si="371">DATE(A4154,B4154,C4154)</f>
        <v>45433</v>
      </c>
      <c r="F4154" s="513" t="s">
        <v>1210</v>
      </c>
      <c r="G4154" s="200" t="s">
        <v>1209</v>
      </c>
      <c r="H4154" s="201"/>
      <c r="I4154" s="201" t="s">
        <v>1633</v>
      </c>
      <c r="J4154" s="197" t="s">
        <v>46</v>
      </c>
      <c r="K4154" s="202">
        <v>5000000</v>
      </c>
      <c r="L4154" s="202"/>
    </row>
    <row r="4155" spans="1:15" ht="11.25" customHeight="1" x14ac:dyDescent="0.2">
      <c r="A4155" s="120">
        <v>2024</v>
      </c>
      <c r="B4155" s="120">
        <v>5</v>
      </c>
      <c r="C4155" s="120">
        <v>21</v>
      </c>
      <c r="D4155" s="208">
        <f t="shared" si="362"/>
        <v>45433</v>
      </c>
      <c r="E4155" s="209">
        <f t="shared" si="371"/>
        <v>45433</v>
      </c>
      <c r="F4155" s="515"/>
      <c r="G4155" s="132" t="s">
        <v>1209</v>
      </c>
      <c r="I4155" s="128" t="s">
        <v>1633</v>
      </c>
      <c r="J4155" s="120" t="s">
        <v>16</v>
      </c>
      <c r="K4155" s="207"/>
      <c r="L4155" s="207">
        <v>4531450</v>
      </c>
    </row>
    <row r="4156" spans="1:15" ht="11.25" customHeight="1" x14ac:dyDescent="0.2">
      <c r="A4156" s="191">
        <v>2024</v>
      </c>
      <c r="B4156" s="191">
        <v>5</v>
      </c>
      <c r="C4156" s="191">
        <v>21</v>
      </c>
      <c r="D4156" s="192">
        <f t="shared" si="362"/>
        <v>45433</v>
      </c>
      <c r="E4156" s="193">
        <f t="shared" si="371"/>
        <v>45433</v>
      </c>
      <c r="F4156" s="514"/>
      <c r="G4156" s="194" t="s">
        <v>1209</v>
      </c>
      <c r="H4156" s="195"/>
      <c r="I4156" s="195" t="s">
        <v>1633</v>
      </c>
      <c r="J4156" s="191" t="s">
        <v>47</v>
      </c>
      <c r="K4156" s="196"/>
      <c r="L4156" s="196">
        <v>468550</v>
      </c>
    </row>
    <row r="4157" spans="1:15" ht="11.25" customHeight="1" x14ac:dyDescent="0.2">
      <c r="A4157" s="197">
        <v>2024</v>
      </c>
      <c r="B4157" s="197">
        <v>5</v>
      </c>
      <c r="C4157" s="197">
        <v>21</v>
      </c>
      <c r="D4157" s="198">
        <f t="shared" si="362"/>
        <v>45433</v>
      </c>
      <c r="E4157" s="209">
        <f t="shared" ref="E4157:E4161" si="372">DATE(A4157,B4157,C4157)</f>
        <v>45433</v>
      </c>
      <c r="F4157" s="513" t="s">
        <v>1210</v>
      </c>
      <c r="G4157" s="200" t="s">
        <v>1209</v>
      </c>
      <c r="H4157" s="201"/>
      <c r="I4157" s="201" t="s">
        <v>366</v>
      </c>
      <c r="J4157" s="197" t="s">
        <v>46</v>
      </c>
      <c r="K4157" s="202">
        <v>550000</v>
      </c>
      <c r="L4157" s="202"/>
    </row>
    <row r="4158" spans="1:15" ht="11.25" customHeight="1" x14ac:dyDescent="0.2">
      <c r="A4158" s="120">
        <v>2024</v>
      </c>
      <c r="B4158" s="120">
        <v>5</v>
      </c>
      <c r="C4158" s="120">
        <v>21</v>
      </c>
      <c r="D4158" s="208">
        <f t="shared" si="362"/>
        <v>45433</v>
      </c>
      <c r="E4158" s="209">
        <f t="shared" si="372"/>
        <v>45433</v>
      </c>
      <c r="F4158" s="515"/>
      <c r="G4158" s="132" t="s">
        <v>1209</v>
      </c>
      <c r="I4158" s="128" t="s">
        <v>366</v>
      </c>
      <c r="J4158" s="120" t="s">
        <v>16</v>
      </c>
      <c r="K4158" s="207"/>
      <c r="L4158" s="207">
        <v>498460</v>
      </c>
    </row>
    <row r="4159" spans="1:15" ht="11.25" customHeight="1" x14ac:dyDescent="0.2">
      <c r="A4159" s="191">
        <v>2024</v>
      </c>
      <c r="B4159" s="191">
        <v>5</v>
      </c>
      <c r="C4159" s="191">
        <v>21</v>
      </c>
      <c r="D4159" s="192">
        <f t="shared" si="362"/>
        <v>45433</v>
      </c>
      <c r="E4159" s="193">
        <f t="shared" si="372"/>
        <v>45433</v>
      </c>
      <c r="F4159" s="514"/>
      <c r="G4159" s="194" t="s">
        <v>1209</v>
      </c>
      <c r="H4159" s="195"/>
      <c r="I4159" s="195" t="s">
        <v>366</v>
      </c>
      <c r="J4159" s="191" t="s">
        <v>47</v>
      </c>
      <c r="K4159" s="196"/>
      <c r="L4159" s="196">
        <v>51540</v>
      </c>
    </row>
    <row r="4160" spans="1:15" ht="11.25" customHeight="1" x14ac:dyDescent="0.2">
      <c r="A4160" s="197">
        <v>2024</v>
      </c>
      <c r="B4160" s="197">
        <v>5</v>
      </c>
      <c r="C4160" s="197">
        <v>21</v>
      </c>
      <c r="D4160" s="198">
        <f t="shared" si="362"/>
        <v>45433</v>
      </c>
      <c r="E4160" s="290">
        <f t="shared" si="372"/>
        <v>45433</v>
      </c>
      <c r="F4160" s="513" t="s">
        <v>1514</v>
      </c>
      <c r="G4160" s="200" t="s">
        <v>1209</v>
      </c>
      <c r="H4160" s="201"/>
      <c r="I4160" s="201"/>
      <c r="J4160" s="197" t="s">
        <v>54</v>
      </c>
      <c r="K4160" s="202">
        <v>60</v>
      </c>
      <c r="L4160" s="202"/>
      <c r="M4160" s="251"/>
      <c r="N4160" s="251"/>
      <c r="O4160" s="251"/>
    </row>
    <row r="4161" spans="1:15" ht="11.25" customHeight="1" x14ac:dyDescent="0.2">
      <c r="A4161" s="191">
        <v>2024</v>
      </c>
      <c r="B4161" s="191">
        <v>5</v>
      </c>
      <c r="C4161" s="191">
        <v>21</v>
      </c>
      <c r="D4161" s="192">
        <f t="shared" si="362"/>
        <v>45433</v>
      </c>
      <c r="E4161" s="291">
        <f t="shared" si="372"/>
        <v>45433</v>
      </c>
      <c r="F4161" s="514"/>
      <c r="G4161" s="194" t="s">
        <v>1209</v>
      </c>
      <c r="H4161" s="195"/>
      <c r="I4161" s="195"/>
      <c r="J4161" s="191" t="s">
        <v>46</v>
      </c>
      <c r="K4161" s="196"/>
      <c r="L4161" s="196">
        <v>60</v>
      </c>
      <c r="M4161" s="251"/>
      <c r="N4161" s="251"/>
      <c r="O4161" s="251"/>
    </row>
    <row r="4162" spans="1:15" ht="11.25" customHeight="1" x14ac:dyDescent="0.2">
      <c r="A4162" s="197">
        <v>2024</v>
      </c>
      <c r="B4162" s="197">
        <v>5</v>
      </c>
      <c r="C4162" s="197">
        <v>23</v>
      </c>
      <c r="D4162" s="198">
        <f t="shared" si="362"/>
        <v>45435</v>
      </c>
      <c r="E4162" s="209">
        <f t="shared" ref="E4162:E4164" si="373">DATE(A4162,B4162,C4162)</f>
        <v>45435</v>
      </c>
      <c r="F4162" s="513" t="s">
        <v>1210</v>
      </c>
      <c r="G4162" s="200" t="s">
        <v>1209</v>
      </c>
      <c r="H4162" s="201"/>
      <c r="I4162" s="201" t="s">
        <v>1242</v>
      </c>
      <c r="J4162" s="197" t="s">
        <v>46</v>
      </c>
      <c r="K4162" s="202">
        <v>40000</v>
      </c>
      <c r="L4162" s="202"/>
    </row>
    <row r="4163" spans="1:15" ht="11.25" customHeight="1" x14ac:dyDescent="0.2">
      <c r="A4163" s="120">
        <v>2024</v>
      </c>
      <c r="B4163" s="120">
        <v>5</v>
      </c>
      <c r="C4163" s="120">
        <v>23</v>
      </c>
      <c r="D4163" s="208">
        <f t="shared" si="362"/>
        <v>45435</v>
      </c>
      <c r="E4163" s="209">
        <f t="shared" si="373"/>
        <v>45435</v>
      </c>
      <c r="F4163" s="515"/>
      <c r="G4163" s="132" t="s">
        <v>1209</v>
      </c>
      <c r="I4163" s="128" t="s">
        <v>1242</v>
      </c>
      <c r="J4163" s="120" t="s">
        <v>16</v>
      </c>
      <c r="K4163" s="207"/>
      <c r="L4163" s="207">
        <v>36250</v>
      </c>
    </row>
    <row r="4164" spans="1:15" ht="11.25" customHeight="1" x14ac:dyDescent="0.2">
      <c r="A4164" s="191">
        <v>2024</v>
      </c>
      <c r="B4164" s="191">
        <v>5</v>
      </c>
      <c r="C4164" s="191">
        <v>23</v>
      </c>
      <c r="D4164" s="192">
        <f t="shared" si="362"/>
        <v>45435</v>
      </c>
      <c r="E4164" s="193">
        <f t="shared" si="373"/>
        <v>45435</v>
      </c>
      <c r="F4164" s="514"/>
      <c r="G4164" s="194" t="s">
        <v>1209</v>
      </c>
      <c r="H4164" s="195"/>
      <c r="I4164" s="195" t="s">
        <v>1242</v>
      </c>
      <c r="J4164" s="191" t="s">
        <v>47</v>
      </c>
      <c r="K4164" s="196"/>
      <c r="L4164" s="196">
        <v>3750</v>
      </c>
    </row>
    <row r="4165" spans="1:15" ht="11.25" customHeight="1" x14ac:dyDescent="0.2">
      <c r="A4165" s="197">
        <v>2024</v>
      </c>
      <c r="B4165" s="197">
        <v>5</v>
      </c>
      <c r="C4165" s="197">
        <v>23</v>
      </c>
      <c r="D4165" s="198">
        <f t="shared" si="362"/>
        <v>45435</v>
      </c>
      <c r="E4165" s="209">
        <f t="shared" ref="E4165:E4185" si="374">DATE(A4165,B4165,C4165)</f>
        <v>45435</v>
      </c>
      <c r="F4165" s="513" t="s">
        <v>1210</v>
      </c>
      <c r="G4165" s="200" t="s">
        <v>1209</v>
      </c>
      <c r="H4165" s="201"/>
      <c r="I4165" s="201" t="s">
        <v>1637</v>
      </c>
      <c r="J4165" s="197" t="s">
        <v>46</v>
      </c>
      <c r="K4165" s="202">
        <v>20000</v>
      </c>
      <c r="L4165" s="202"/>
    </row>
    <row r="4166" spans="1:15" ht="11.25" customHeight="1" x14ac:dyDescent="0.2">
      <c r="A4166" s="120">
        <v>2024</v>
      </c>
      <c r="B4166" s="120">
        <v>5</v>
      </c>
      <c r="C4166" s="120">
        <v>23</v>
      </c>
      <c r="D4166" s="208">
        <f t="shared" ref="D4166:D4227" si="375">DATE(A4166,B4166,C4166)</f>
        <v>45435</v>
      </c>
      <c r="E4166" s="209">
        <f t="shared" si="374"/>
        <v>45435</v>
      </c>
      <c r="F4166" s="515"/>
      <c r="G4166" s="132" t="s">
        <v>1209</v>
      </c>
      <c r="I4166" s="128" t="s">
        <v>1637</v>
      </c>
      <c r="J4166" s="120" t="s">
        <v>16</v>
      </c>
      <c r="K4166" s="207"/>
      <c r="L4166" s="207">
        <v>18130</v>
      </c>
    </row>
    <row r="4167" spans="1:15" ht="11.25" customHeight="1" x14ac:dyDescent="0.2">
      <c r="A4167" s="191">
        <v>2024</v>
      </c>
      <c r="B4167" s="191">
        <v>5</v>
      </c>
      <c r="C4167" s="191">
        <v>23</v>
      </c>
      <c r="D4167" s="192">
        <f t="shared" si="375"/>
        <v>45435</v>
      </c>
      <c r="E4167" s="193">
        <f t="shared" si="374"/>
        <v>45435</v>
      </c>
      <c r="F4167" s="514"/>
      <c r="G4167" s="194" t="s">
        <v>1209</v>
      </c>
      <c r="H4167" s="195"/>
      <c r="I4167" s="195" t="s">
        <v>1637</v>
      </c>
      <c r="J4167" s="191" t="s">
        <v>47</v>
      </c>
      <c r="K4167" s="196"/>
      <c r="L4167" s="196">
        <v>1870</v>
      </c>
    </row>
    <row r="4168" spans="1:15" ht="11.25" customHeight="1" x14ac:dyDescent="0.2">
      <c r="A4168" s="197">
        <v>2024</v>
      </c>
      <c r="B4168" s="197">
        <v>5</v>
      </c>
      <c r="C4168" s="197">
        <v>23</v>
      </c>
      <c r="D4168" s="198">
        <f t="shared" si="375"/>
        <v>45435</v>
      </c>
      <c r="E4168" s="209">
        <f t="shared" si="374"/>
        <v>45435</v>
      </c>
      <c r="F4168" s="513" t="s">
        <v>1210</v>
      </c>
      <c r="G4168" s="200" t="s">
        <v>1209</v>
      </c>
      <c r="H4168" s="201"/>
      <c r="I4168" s="201" t="s">
        <v>1242</v>
      </c>
      <c r="J4168" s="197" t="s">
        <v>46</v>
      </c>
      <c r="K4168" s="202">
        <v>460000</v>
      </c>
      <c r="L4168" s="202"/>
    </row>
    <row r="4169" spans="1:15" ht="11.25" customHeight="1" x14ac:dyDescent="0.2">
      <c r="A4169" s="120">
        <v>2024</v>
      </c>
      <c r="B4169" s="120">
        <v>5</v>
      </c>
      <c r="C4169" s="120">
        <v>23</v>
      </c>
      <c r="D4169" s="208">
        <f t="shared" si="375"/>
        <v>45435</v>
      </c>
      <c r="E4169" s="209">
        <f t="shared" si="374"/>
        <v>45435</v>
      </c>
      <c r="F4169" s="515"/>
      <c r="G4169" s="132" t="s">
        <v>1209</v>
      </c>
      <c r="I4169" s="128" t="s">
        <v>1242</v>
      </c>
      <c r="J4169" s="120" t="s">
        <v>16</v>
      </c>
      <c r="K4169" s="207"/>
      <c r="L4169" s="207">
        <v>416890</v>
      </c>
    </row>
    <row r="4170" spans="1:15" ht="11.25" customHeight="1" x14ac:dyDescent="0.2">
      <c r="A4170" s="191">
        <v>2024</v>
      </c>
      <c r="B4170" s="191">
        <v>5</v>
      </c>
      <c r="C4170" s="191">
        <v>23</v>
      </c>
      <c r="D4170" s="192">
        <f t="shared" si="375"/>
        <v>45435</v>
      </c>
      <c r="E4170" s="193">
        <f t="shared" si="374"/>
        <v>45435</v>
      </c>
      <c r="F4170" s="514"/>
      <c r="G4170" s="194" t="s">
        <v>1209</v>
      </c>
      <c r="H4170" s="195"/>
      <c r="I4170" s="195" t="s">
        <v>1242</v>
      </c>
      <c r="J4170" s="191" t="s">
        <v>47</v>
      </c>
      <c r="K4170" s="196"/>
      <c r="L4170" s="196">
        <v>43110</v>
      </c>
    </row>
    <row r="4171" spans="1:15" ht="11.25" customHeight="1" x14ac:dyDescent="0.2">
      <c r="A4171" s="197">
        <v>2024</v>
      </c>
      <c r="B4171" s="197">
        <v>5</v>
      </c>
      <c r="C4171" s="197">
        <v>23</v>
      </c>
      <c r="D4171" s="198">
        <f t="shared" si="375"/>
        <v>45435</v>
      </c>
      <c r="E4171" s="209">
        <f t="shared" ref="E4171:E4173" si="376">DATE(A4171,B4171,C4171)</f>
        <v>45435</v>
      </c>
      <c r="F4171" s="513" t="s">
        <v>1210</v>
      </c>
      <c r="G4171" s="200" t="s">
        <v>1209</v>
      </c>
      <c r="H4171" s="201"/>
      <c r="I4171" s="201" t="s">
        <v>1636</v>
      </c>
      <c r="J4171" s="197" t="s">
        <v>46</v>
      </c>
      <c r="K4171" s="202">
        <v>2500000</v>
      </c>
      <c r="L4171" s="202"/>
    </row>
    <row r="4172" spans="1:15" ht="11.25" customHeight="1" x14ac:dyDescent="0.2">
      <c r="A4172" s="120">
        <v>2024</v>
      </c>
      <c r="B4172" s="120">
        <v>5</v>
      </c>
      <c r="C4172" s="120">
        <v>23</v>
      </c>
      <c r="D4172" s="208">
        <f t="shared" si="375"/>
        <v>45435</v>
      </c>
      <c r="E4172" s="209">
        <f t="shared" si="376"/>
        <v>45435</v>
      </c>
      <c r="F4172" s="515"/>
      <c r="G4172" s="132" t="s">
        <v>1209</v>
      </c>
      <c r="I4172" s="128" t="s">
        <v>1636</v>
      </c>
      <c r="J4172" s="120" t="s">
        <v>16</v>
      </c>
      <c r="K4172" s="207"/>
      <c r="L4172" s="207">
        <v>2265720</v>
      </c>
    </row>
    <row r="4173" spans="1:15" ht="11.25" customHeight="1" x14ac:dyDescent="0.2">
      <c r="A4173" s="191">
        <v>2024</v>
      </c>
      <c r="B4173" s="191">
        <v>5</v>
      </c>
      <c r="C4173" s="191">
        <v>23</v>
      </c>
      <c r="D4173" s="192">
        <f t="shared" si="375"/>
        <v>45435</v>
      </c>
      <c r="E4173" s="193">
        <f t="shared" si="376"/>
        <v>45435</v>
      </c>
      <c r="F4173" s="514"/>
      <c r="G4173" s="194" t="s">
        <v>1209</v>
      </c>
      <c r="H4173" s="195"/>
      <c r="I4173" s="195" t="s">
        <v>1636</v>
      </c>
      <c r="J4173" s="191" t="s">
        <v>47</v>
      </c>
      <c r="K4173" s="196"/>
      <c r="L4173" s="196">
        <v>234280</v>
      </c>
    </row>
    <row r="4174" spans="1:15" ht="11.25" customHeight="1" x14ac:dyDescent="0.2">
      <c r="A4174" s="197">
        <v>2024</v>
      </c>
      <c r="B4174" s="197">
        <v>5</v>
      </c>
      <c r="C4174" s="197">
        <v>23</v>
      </c>
      <c r="D4174" s="198">
        <f t="shared" si="375"/>
        <v>45435</v>
      </c>
      <c r="E4174" s="209">
        <f t="shared" ref="E4174:E4178" si="377">DATE(A4174,B4174,C4174)</f>
        <v>45435</v>
      </c>
      <c r="F4174" s="513" t="s">
        <v>1210</v>
      </c>
      <c r="G4174" s="200" t="s">
        <v>1209</v>
      </c>
      <c r="H4174" s="201"/>
      <c r="I4174" s="201" t="s">
        <v>1137</v>
      </c>
      <c r="J4174" s="197" t="s">
        <v>46</v>
      </c>
      <c r="K4174" s="202">
        <v>300000</v>
      </c>
      <c r="L4174" s="202"/>
    </row>
    <row r="4175" spans="1:15" ht="11.25" customHeight="1" x14ac:dyDescent="0.2">
      <c r="A4175" s="120">
        <v>2024</v>
      </c>
      <c r="B4175" s="120">
        <v>5</v>
      </c>
      <c r="C4175" s="120">
        <v>23</v>
      </c>
      <c r="D4175" s="208">
        <f t="shared" si="375"/>
        <v>45435</v>
      </c>
      <c r="E4175" s="209">
        <f t="shared" si="377"/>
        <v>45435</v>
      </c>
      <c r="F4175" s="515"/>
      <c r="G4175" s="132" t="s">
        <v>1209</v>
      </c>
      <c r="I4175" s="128" t="s">
        <v>1137</v>
      </c>
      <c r="J4175" s="120" t="s">
        <v>16</v>
      </c>
      <c r="K4175" s="207"/>
      <c r="L4175" s="207">
        <v>271890</v>
      </c>
    </row>
    <row r="4176" spans="1:15" ht="11.25" customHeight="1" x14ac:dyDescent="0.2">
      <c r="A4176" s="191">
        <v>2024</v>
      </c>
      <c r="B4176" s="191">
        <v>5</v>
      </c>
      <c r="C4176" s="191">
        <v>23</v>
      </c>
      <c r="D4176" s="192">
        <f t="shared" si="375"/>
        <v>45435</v>
      </c>
      <c r="E4176" s="193">
        <f t="shared" si="377"/>
        <v>45435</v>
      </c>
      <c r="F4176" s="514"/>
      <c r="G4176" s="194" t="s">
        <v>1209</v>
      </c>
      <c r="H4176" s="195"/>
      <c r="I4176" s="195" t="s">
        <v>1137</v>
      </c>
      <c r="J4176" s="191" t="s">
        <v>47</v>
      </c>
      <c r="K4176" s="196"/>
      <c r="L4176" s="196">
        <v>28110</v>
      </c>
    </row>
    <row r="4177" spans="1:15" ht="11.25" customHeight="1" x14ac:dyDescent="0.2">
      <c r="A4177" s="197">
        <v>2024</v>
      </c>
      <c r="B4177" s="197">
        <v>5</v>
      </c>
      <c r="C4177" s="197">
        <v>23</v>
      </c>
      <c r="D4177" s="198">
        <f t="shared" si="375"/>
        <v>45435</v>
      </c>
      <c r="E4177" s="290">
        <f t="shared" si="377"/>
        <v>45435</v>
      </c>
      <c r="F4177" s="513" t="s">
        <v>1514</v>
      </c>
      <c r="G4177" s="200" t="s">
        <v>1209</v>
      </c>
      <c r="H4177" s="201"/>
      <c r="I4177" s="201"/>
      <c r="J4177" s="197" t="s">
        <v>54</v>
      </c>
      <c r="K4177" s="202">
        <v>60</v>
      </c>
      <c r="L4177" s="202"/>
      <c r="M4177" s="251"/>
      <c r="N4177" s="251"/>
      <c r="O4177" s="251"/>
    </row>
    <row r="4178" spans="1:15" ht="11.25" customHeight="1" x14ac:dyDescent="0.2">
      <c r="A4178" s="191">
        <v>2024</v>
      </c>
      <c r="B4178" s="191">
        <v>5</v>
      </c>
      <c r="C4178" s="191">
        <v>23</v>
      </c>
      <c r="D4178" s="192">
        <f t="shared" si="375"/>
        <v>45435</v>
      </c>
      <c r="E4178" s="291">
        <f t="shared" si="377"/>
        <v>45435</v>
      </c>
      <c r="F4178" s="514"/>
      <c r="G4178" s="194" t="s">
        <v>1209</v>
      </c>
      <c r="H4178" s="195"/>
      <c r="I4178" s="195"/>
      <c r="J4178" s="191" t="s">
        <v>46</v>
      </c>
      <c r="K4178" s="196"/>
      <c r="L4178" s="196">
        <v>60</v>
      </c>
      <c r="M4178" s="251"/>
      <c r="N4178" s="251"/>
      <c r="O4178" s="251"/>
    </row>
    <row r="4179" spans="1:15" ht="11.25" customHeight="1" x14ac:dyDescent="0.2">
      <c r="A4179" s="197">
        <v>2024</v>
      </c>
      <c r="B4179" s="197">
        <v>5</v>
      </c>
      <c r="C4179" s="197">
        <v>23</v>
      </c>
      <c r="D4179" s="198">
        <f t="shared" si="375"/>
        <v>45435</v>
      </c>
      <c r="E4179" s="290">
        <f t="shared" ref="E4179:E4180" si="378">DATE(A4179,B4179,C4179)</f>
        <v>45435</v>
      </c>
      <c r="F4179" s="513" t="s">
        <v>1514</v>
      </c>
      <c r="G4179" s="200" t="s">
        <v>1209</v>
      </c>
      <c r="H4179" s="201"/>
      <c r="I4179" s="201"/>
      <c r="J4179" s="197" t="s">
        <v>54</v>
      </c>
      <c r="K4179" s="202">
        <v>10</v>
      </c>
      <c r="L4179" s="202"/>
      <c r="M4179" s="251"/>
      <c r="N4179" s="251"/>
      <c r="O4179" s="251"/>
    </row>
    <row r="4180" spans="1:15" ht="11.25" customHeight="1" x14ac:dyDescent="0.2">
      <c r="A4180" s="191">
        <v>2024</v>
      </c>
      <c r="B4180" s="191">
        <v>5</v>
      </c>
      <c r="C4180" s="191">
        <v>23</v>
      </c>
      <c r="D4180" s="192">
        <f t="shared" si="375"/>
        <v>45435</v>
      </c>
      <c r="E4180" s="291">
        <f t="shared" si="378"/>
        <v>45435</v>
      </c>
      <c r="F4180" s="514"/>
      <c r="G4180" s="194" t="s">
        <v>1209</v>
      </c>
      <c r="H4180" s="195"/>
      <c r="I4180" s="195"/>
      <c r="J4180" s="191" t="s">
        <v>46</v>
      </c>
      <c r="K4180" s="196"/>
      <c r="L4180" s="196">
        <v>10</v>
      </c>
      <c r="M4180" s="251"/>
      <c r="N4180" s="251"/>
      <c r="O4180" s="251"/>
    </row>
    <row r="4181" spans="1:15" ht="11.25" customHeight="1" x14ac:dyDescent="0.2">
      <c r="A4181" s="344">
        <v>2024</v>
      </c>
      <c r="B4181" s="344">
        <v>5</v>
      </c>
      <c r="C4181" s="344">
        <v>23</v>
      </c>
      <c r="D4181" s="345">
        <f t="shared" si="375"/>
        <v>45435</v>
      </c>
      <c r="E4181" s="346">
        <f t="shared" si="374"/>
        <v>45435</v>
      </c>
      <c r="F4181" s="518" t="s">
        <v>1621</v>
      </c>
      <c r="G4181" s="347" t="s">
        <v>1245</v>
      </c>
      <c r="H4181" s="348"/>
      <c r="I4181" s="348" t="s">
        <v>1253</v>
      </c>
      <c r="J4181" s="344" t="s">
        <v>113</v>
      </c>
      <c r="K4181" s="349">
        <v>136730.76999999999</v>
      </c>
      <c r="L4181" s="349"/>
    </row>
    <row r="4182" spans="1:15" ht="11.25" customHeight="1" x14ac:dyDescent="0.2">
      <c r="A4182" s="350">
        <v>2024</v>
      </c>
      <c r="B4182" s="350">
        <v>5</v>
      </c>
      <c r="C4182" s="350">
        <v>23</v>
      </c>
      <c r="D4182" s="351">
        <f t="shared" si="375"/>
        <v>45435</v>
      </c>
      <c r="E4182" s="352">
        <f t="shared" si="374"/>
        <v>45435</v>
      </c>
      <c r="F4182" s="519"/>
      <c r="G4182" s="353" t="s">
        <v>1245</v>
      </c>
      <c r="H4182" s="354"/>
      <c r="I4182" s="354" t="s">
        <v>1253</v>
      </c>
      <c r="J4182" s="350" t="s">
        <v>153</v>
      </c>
      <c r="K4182" s="355"/>
      <c r="L4182" s="355">
        <v>136730.76999999999</v>
      </c>
    </row>
    <row r="4183" spans="1:15" ht="11.25" customHeight="1" x14ac:dyDescent="0.2">
      <c r="A4183" s="210">
        <v>2024</v>
      </c>
      <c r="B4183" s="210">
        <v>5</v>
      </c>
      <c r="C4183" s="210">
        <v>23</v>
      </c>
      <c r="D4183" s="211">
        <f t="shared" si="375"/>
        <v>45435</v>
      </c>
      <c r="E4183" s="238">
        <f t="shared" si="374"/>
        <v>45435</v>
      </c>
      <c r="F4183" s="520" t="s">
        <v>1278</v>
      </c>
      <c r="G4183" s="213" t="s">
        <v>1245</v>
      </c>
      <c r="H4183" s="214"/>
      <c r="I4183" s="214" t="s">
        <v>1253</v>
      </c>
      <c r="J4183" s="210" t="s">
        <v>1529</v>
      </c>
      <c r="K4183" s="215">
        <v>7491.85</v>
      </c>
      <c r="L4183" s="215"/>
    </row>
    <row r="4184" spans="1:15" ht="11.25" customHeight="1" x14ac:dyDescent="0.2">
      <c r="A4184" s="216">
        <v>2024</v>
      </c>
      <c r="B4184" s="216">
        <v>5</v>
      </c>
      <c r="C4184" s="216">
        <v>23</v>
      </c>
      <c r="D4184" s="217">
        <f t="shared" si="375"/>
        <v>45435</v>
      </c>
      <c r="E4184" s="239">
        <f t="shared" si="374"/>
        <v>45435</v>
      </c>
      <c r="F4184" s="521"/>
      <c r="G4184" s="219" t="s">
        <v>1245</v>
      </c>
      <c r="H4184" s="220"/>
      <c r="I4184" s="220" t="s">
        <v>1253</v>
      </c>
      <c r="J4184" s="216" t="s">
        <v>1581</v>
      </c>
      <c r="K4184" s="221"/>
      <c r="L4184" s="221">
        <v>7491.85</v>
      </c>
    </row>
    <row r="4185" spans="1:15" ht="11.25" customHeight="1" x14ac:dyDescent="0.2">
      <c r="A4185" s="210">
        <v>2024</v>
      </c>
      <c r="B4185" s="210">
        <v>5</v>
      </c>
      <c r="C4185" s="210">
        <v>23</v>
      </c>
      <c r="D4185" s="211">
        <f t="shared" si="375"/>
        <v>45435</v>
      </c>
      <c r="E4185" s="238">
        <f t="shared" si="374"/>
        <v>45435</v>
      </c>
      <c r="F4185" s="520" t="s">
        <v>1285</v>
      </c>
      <c r="G4185" s="213" t="s">
        <v>1245</v>
      </c>
      <c r="H4185" s="214"/>
      <c r="I4185" s="214" t="s">
        <v>1253</v>
      </c>
      <c r="J4185" s="210" t="s">
        <v>1284</v>
      </c>
      <c r="K4185" s="215">
        <v>10290.504807692309</v>
      </c>
      <c r="L4185" s="215"/>
    </row>
    <row r="4186" spans="1:15" ht="11.25" customHeight="1" x14ac:dyDescent="0.2">
      <c r="A4186" s="242">
        <v>2024</v>
      </c>
      <c r="B4186" s="242">
        <v>5</v>
      </c>
      <c r="C4186" s="242">
        <v>23</v>
      </c>
      <c r="D4186" s="243">
        <f t="shared" si="375"/>
        <v>45435</v>
      </c>
      <c r="E4186" s="244">
        <f>DATE(A4186,B4186,C4186)</f>
        <v>45435</v>
      </c>
      <c r="F4186" s="524"/>
      <c r="G4186" s="245" t="s">
        <v>1245</v>
      </c>
      <c r="H4186" s="246"/>
      <c r="I4186" s="246"/>
      <c r="J4186" s="242" t="s">
        <v>1582</v>
      </c>
      <c r="K4186" s="247"/>
      <c r="L4186" s="247">
        <v>10290.504807692309</v>
      </c>
    </row>
    <row r="4187" spans="1:15" ht="11.25" customHeight="1" x14ac:dyDescent="0.2">
      <c r="A4187" s="210">
        <v>2024</v>
      </c>
      <c r="B4187" s="210">
        <v>5</v>
      </c>
      <c r="C4187" s="210">
        <v>23</v>
      </c>
      <c r="D4187" s="211">
        <f t="shared" si="375"/>
        <v>45435</v>
      </c>
      <c r="E4187" s="238">
        <f t="shared" ref="E4187:E4203" si="379">DATE(A4187,B4187,C4187)</f>
        <v>45435</v>
      </c>
      <c r="F4187" s="520" t="s">
        <v>1259</v>
      </c>
      <c r="G4187" s="213" t="s">
        <v>1245</v>
      </c>
      <c r="H4187" s="214"/>
      <c r="I4187" s="214" t="s">
        <v>1253</v>
      </c>
      <c r="J4187" s="210" t="s">
        <v>58</v>
      </c>
      <c r="K4187" s="215">
        <v>21395.71</v>
      </c>
      <c r="L4187" s="215"/>
    </row>
    <row r="4188" spans="1:15" ht="11.25" customHeight="1" x14ac:dyDescent="0.2">
      <c r="A4188" s="216">
        <v>2024</v>
      </c>
      <c r="B4188" s="216">
        <v>5</v>
      </c>
      <c r="C4188" s="216">
        <v>23</v>
      </c>
      <c r="D4188" s="217">
        <f t="shared" si="375"/>
        <v>45435</v>
      </c>
      <c r="E4188" s="239">
        <f t="shared" si="379"/>
        <v>45435</v>
      </c>
      <c r="F4188" s="521"/>
      <c r="G4188" s="219" t="s">
        <v>1245</v>
      </c>
      <c r="H4188" s="220"/>
      <c r="I4188" s="220" t="s">
        <v>1253</v>
      </c>
      <c r="J4188" s="216" t="s">
        <v>153</v>
      </c>
      <c r="K4188" s="221"/>
      <c r="L4188" s="221">
        <f>K4187</f>
        <v>21395.71</v>
      </c>
    </row>
    <row r="4189" spans="1:15" ht="11.25" customHeight="1" x14ac:dyDescent="0.2">
      <c r="A4189" s="312">
        <v>2024</v>
      </c>
      <c r="B4189" s="312">
        <v>5</v>
      </c>
      <c r="C4189" s="312">
        <v>23</v>
      </c>
      <c r="D4189" s="313">
        <f t="shared" si="375"/>
        <v>45435</v>
      </c>
      <c r="E4189" s="314">
        <f t="shared" si="379"/>
        <v>45435</v>
      </c>
      <c r="F4189" s="522" t="s">
        <v>1477</v>
      </c>
      <c r="G4189" s="315" t="s">
        <v>1245</v>
      </c>
      <c r="H4189" s="316"/>
      <c r="I4189" s="316" t="s">
        <v>1253</v>
      </c>
      <c r="J4189" s="312" t="s">
        <v>1458</v>
      </c>
      <c r="K4189" s="317">
        <v>339380.80000001192</v>
      </c>
      <c r="L4189" s="317"/>
    </row>
    <row r="4190" spans="1:15" ht="11.25" customHeight="1" x14ac:dyDescent="0.2">
      <c r="A4190" s="318">
        <v>2024</v>
      </c>
      <c r="B4190" s="318">
        <v>5</v>
      </c>
      <c r="C4190" s="318">
        <v>23</v>
      </c>
      <c r="D4190" s="319">
        <f t="shared" si="375"/>
        <v>45435</v>
      </c>
      <c r="E4190" s="320">
        <f t="shared" si="379"/>
        <v>45435</v>
      </c>
      <c r="F4190" s="523"/>
      <c r="G4190" s="321" t="s">
        <v>1245</v>
      </c>
      <c r="H4190" s="322"/>
      <c r="I4190" s="322" t="s">
        <v>1253</v>
      </c>
      <c r="J4190" s="318" t="s">
        <v>1460</v>
      </c>
      <c r="K4190" s="323"/>
      <c r="L4190" s="323">
        <f>K4189</f>
        <v>339380.80000001192</v>
      </c>
    </row>
    <row r="4191" spans="1:15" ht="11.25" customHeight="1" x14ac:dyDescent="0.2">
      <c r="A4191" s="312">
        <v>2024</v>
      </c>
      <c r="B4191" s="312">
        <v>5</v>
      </c>
      <c r="C4191" s="312">
        <v>23</v>
      </c>
      <c r="D4191" s="313">
        <f t="shared" si="375"/>
        <v>45435</v>
      </c>
      <c r="E4191" s="314">
        <f t="shared" si="379"/>
        <v>45435</v>
      </c>
      <c r="F4191" s="522" t="s">
        <v>1595</v>
      </c>
      <c r="G4191" s="315" t="s">
        <v>1245</v>
      </c>
      <c r="H4191" s="316"/>
      <c r="I4191" s="316" t="s">
        <v>1253</v>
      </c>
      <c r="J4191" s="312" t="s">
        <v>1461</v>
      </c>
      <c r="K4191" s="317">
        <v>139299.90999999642</v>
      </c>
      <c r="L4191" s="317"/>
    </row>
    <row r="4192" spans="1:15" ht="11.25" customHeight="1" x14ac:dyDescent="0.2">
      <c r="A4192" s="318">
        <v>2024</v>
      </c>
      <c r="B4192" s="318">
        <v>5</v>
      </c>
      <c r="C4192" s="318">
        <v>23</v>
      </c>
      <c r="D4192" s="319">
        <f t="shared" si="375"/>
        <v>45435</v>
      </c>
      <c r="E4192" s="320">
        <f t="shared" si="379"/>
        <v>45435</v>
      </c>
      <c r="F4192" s="523"/>
      <c r="G4192" s="321" t="s">
        <v>1245</v>
      </c>
      <c r="H4192" s="322"/>
      <c r="I4192" s="322" t="s">
        <v>1253</v>
      </c>
      <c r="J4192" s="318" t="s">
        <v>1459</v>
      </c>
      <c r="K4192" s="323"/>
      <c r="L4192" s="323">
        <f>K4191</f>
        <v>139299.90999999642</v>
      </c>
    </row>
    <row r="4193" spans="1:13" ht="11.25" customHeight="1" x14ac:dyDescent="0.2">
      <c r="A4193" s="222">
        <v>2024</v>
      </c>
      <c r="B4193" s="222">
        <v>5</v>
      </c>
      <c r="C4193" s="222">
        <v>23</v>
      </c>
      <c r="D4193" s="223">
        <f t="shared" si="375"/>
        <v>45435</v>
      </c>
      <c r="E4193" s="240">
        <f t="shared" si="379"/>
        <v>45435</v>
      </c>
      <c r="F4193" s="511" t="s">
        <v>1244</v>
      </c>
      <c r="G4193" s="225" t="s">
        <v>1245</v>
      </c>
      <c r="H4193" s="226"/>
      <c r="I4193" s="226" t="s">
        <v>1253</v>
      </c>
      <c r="J4193" s="222" t="s">
        <v>87</v>
      </c>
      <c r="K4193" s="227">
        <v>15495</v>
      </c>
      <c r="L4193" s="227"/>
    </row>
    <row r="4194" spans="1:13" ht="11.25" customHeight="1" x14ac:dyDescent="0.2">
      <c r="A4194" s="228">
        <v>2024</v>
      </c>
      <c r="B4194" s="228">
        <v>5</v>
      </c>
      <c r="C4194" s="228">
        <v>23</v>
      </c>
      <c r="D4194" s="229">
        <f t="shared" si="375"/>
        <v>45435</v>
      </c>
      <c r="E4194" s="241">
        <f t="shared" si="379"/>
        <v>45435</v>
      </c>
      <c r="F4194" s="512"/>
      <c r="G4194" s="231" t="s">
        <v>1245</v>
      </c>
      <c r="H4194" s="232"/>
      <c r="I4194" s="232" t="s">
        <v>1253</v>
      </c>
      <c r="J4194" s="228" t="s">
        <v>72</v>
      </c>
      <c r="K4194" s="233"/>
      <c r="L4194" s="233">
        <f>K4193</f>
        <v>15495</v>
      </c>
    </row>
    <row r="4195" spans="1:13" ht="11.25" customHeight="1" x14ac:dyDescent="0.2">
      <c r="A4195" s="222">
        <v>2024</v>
      </c>
      <c r="B4195" s="222">
        <v>5</v>
      </c>
      <c r="C4195" s="222">
        <v>23</v>
      </c>
      <c r="D4195" s="223">
        <f t="shared" si="375"/>
        <v>45435</v>
      </c>
      <c r="E4195" s="240">
        <f t="shared" si="379"/>
        <v>45435</v>
      </c>
      <c r="F4195" s="511" t="s">
        <v>1246</v>
      </c>
      <c r="G4195" s="225" t="s">
        <v>1245</v>
      </c>
      <c r="H4195" s="226"/>
      <c r="I4195" s="226" t="s">
        <v>1253</v>
      </c>
      <c r="J4195" s="222" t="s">
        <v>75</v>
      </c>
      <c r="K4195" s="227">
        <v>3623.123846153846</v>
      </c>
      <c r="L4195" s="227"/>
    </row>
    <row r="4196" spans="1:13" ht="11.25" customHeight="1" x14ac:dyDescent="0.2">
      <c r="A4196" s="228">
        <v>2024</v>
      </c>
      <c r="B4196" s="228">
        <v>5</v>
      </c>
      <c r="C4196" s="228">
        <v>23</v>
      </c>
      <c r="D4196" s="229">
        <f t="shared" si="375"/>
        <v>45435</v>
      </c>
      <c r="E4196" s="241">
        <f t="shared" si="379"/>
        <v>45435</v>
      </c>
      <c r="F4196" s="512"/>
      <c r="G4196" s="231" t="s">
        <v>1245</v>
      </c>
      <c r="H4196" s="232"/>
      <c r="I4196" s="232" t="s">
        <v>1253</v>
      </c>
      <c r="J4196" s="228" t="s">
        <v>55</v>
      </c>
      <c r="K4196" s="233"/>
      <c r="L4196" s="233">
        <v>3623.123846153846</v>
      </c>
    </row>
    <row r="4197" spans="1:13" ht="11.25" customHeight="1" x14ac:dyDescent="0.2">
      <c r="A4197" s="222">
        <v>2024</v>
      </c>
      <c r="B4197" s="222">
        <v>5</v>
      </c>
      <c r="C4197" s="222">
        <v>23</v>
      </c>
      <c r="D4197" s="223">
        <f t="shared" si="375"/>
        <v>45435</v>
      </c>
      <c r="E4197" s="240">
        <f t="shared" si="379"/>
        <v>45435</v>
      </c>
      <c r="F4197" s="511" t="s">
        <v>1247</v>
      </c>
      <c r="G4197" s="225" t="s">
        <v>1245</v>
      </c>
      <c r="H4197" s="226"/>
      <c r="I4197" s="226" t="s">
        <v>1253</v>
      </c>
      <c r="J4197" s="222" t="s">
        <v>77</v>
      </c>
      <c r="K4197" s="227">
        <f>M4197</f>
        <v>26669.061457619533</v>
      </c>
      <c r="L4197" s="227"/>
      <c r="M4197" s="120">
        <v>26669.061457619533</v>
      </c>
    </row>
    <row r="4198" spans="1:13" ht="11.25" customHeight="1" x14ac:dyDescent="0.2">
      <c r="A4198" s="228">
        <v>2024</v>
      </c>
      <c r="B4198" s="228">
        <v>5</v>
      </c>
      <c r="C4198" s="228">
        <v>23</v>
      </c>
      <c r="D4198" s="229">
        <f t="shared" si="375"/>
        <v>45435</v>
      </c>
      <c r="E4198" s="241">
        <f t="shared" si="379"/>
        <v>45435</v>
      </c>
      <c r="F4198" s="512"/>
      <c r="G4198" s="231" t="s">
        <v>1245</v>
      </c>
      <c r="H4198" s="232"/>
      <c r="I4198" s="232" t="s">
        <v>1253</v>
      </c>
      <c r="J4198" s="228" t="s">
        <v>41</v>
      </c>
      <c r="K4198" s="233"/>
      <c r="L4198" s="233">
        <f>K4197</f>
        <v>26669.061457619533</v>
      </c>
      <c r="M4198" s="120">
        <v>2666.9061457619532</v>
      </c>
    </row>
    <row r="4199" spans="1:13" ht="11.25" customHeight="1" x14ac:dyDescent="0.2">
      <c r="A4199" s="222">
        <v>2024</v>
      </c>
      <c r="B4199" s="222">
        <v>5</v>
      </c>
      <c r="C4199" s="222">
        <v>23</v>
      </c>
      <c r="D4199" s="223">
        <f t="shared" si="375"/>
        <v>45435</v>
      </c>
      <c r="E4199" s="240">
        <f t="shared" si="379"/>
        <v>45435</v>
      </c>
      <c r="F4199" s="511" t="s">
        <v>1248</v>
      </c>
      <c r="G4199" s="225" t="s">
        <v>1245</v>
      </c>
      <c r="H4199" s="226"/>
      <c r="I4199" s="226" t="s">
        <v>1253</v>
      </c>
      <c r="J4199" s="222" t="s">
        <v>80</v>
      </c>
      <c r="K4199" s="227">
        <f>M4198</f>
        <v>2666.9061457619532</v>
      </c>
      <c r="L4199" s="227"/>
    </row>
    <row r="4200" spans="1:13" ht="11.25" customHeight="1" x14ac:dyDescent="0.2">
      <c r="A4200" s="228">
        <v>2024</v>
      </c>
      <c r="B4200" s="228">
        <v>5</v>
      </c>
      <c r="C4200" s="228">
        <v>23</v>
      </c>
      <c r="D4200" s="229">
        <f t="shared" si="375"/>
        <v>45435</v>
      </c>
      <c r="E4200" s="241">
        <f t="shared" si="379"/>
        <v>45435</v>
      </c>
      <c r="F4200" s="512"/>
      <c r="G4200" s="231" t="s">
        <v>1245</v>
      </c>
      <c r="H4200" s="232"/>
      <c r="I4200" s="232" t="s">
        <v>1253</v>
      </c>
      <c r="J4200" s="228" t="s">
        <v>42</v>
      </c>
      <c r="K4200" s="233"/>
      <c r="L4200" s="233">
        <f>K4199</f>
        <v>2666.9061457619532</v>
      </c>
    </row>
    <row r="4201" spans="1:13" ht="11.25" customHeight="1" x14ac:dyDescent="0.2">
      <c r="A4201" s="197">
        <v>2024</v>
      </c>
      <c r="B4201" s="197">
        <v>5</v>
      </c>
      <c r="C4201" s="197">
        <v>26</v>
      </c>
      <c r="D4201" s="198">
        <f t="shared" si="375"/>
        <v>45438</v>
      </c>
      <c r="E4201" s="209">
        <f t="shared" si="379"/>
        <v>45438</v>
      </c>
      <c r="F4201" s="513" t="s">
        <v>1210</v>
      </c>
      <c r="G4201" s="200" t="s">
        <v>1209</v>
      </c>
      <c r="H4201" s="201"/>
      <c r="I4201" s="201" t="s">
        <v>479</v>
      </c>
      <c r="J4201" s="197" t="s">
        <v>46</v>
      </c>
      <c r="K4201" s="202">
        <v>500000</v>
      </c>
      <c r="L4201" s="202"/>
    </row>
    <row r="4202" spans="1:13" ht="11.25" customHeight="1" x14ac:dyDescent="0.2">
      <c r="A4202" s="120">
        <v>2024</v>
      </c>
      <c r="B4202" s="120">
        <v>5</v>
      </c>
      <c r="C4202" s="120">
        <v>26</v>
      </c>
      <c r="D4202" s="208">
        <f t="shared" si="375"/>
        <v>45438</v>
      </c>
      <c r="E4202" s="209">
        <f t="shared" si="379"/>
        <v>45438</v>
      </c>
      <c r="F4202" s="515"/>
      <c r="G4202" s="132" t="s">
        <v>1209</v>
      </c>
      <c r="I4202" s="128" t="s">
        <v>479</v>
      </c>
      <c r="J4202" s="120" t="s">
        <v>16</v>
      </c>
      <c r="K4202" s="207"/>
      <c r="L4202" s="207">
        <v>452320</v>
      </c>
    </row>
    <row r="4203" spans="1:13" ht="11.25" customHeight="1" x14ac:dyDescent="0.2">
      <c r="A4203" s="191">
        <v>2024</v>
      </c>
      <c r="B4203" s="191">
        <v>5</v>
      </c>
      <c r="C4203" s="191">
        <v>26</v>
      </c>
      <c r="D4203" s="192">
        <f t="shared" si="375"/>
        <v>45438</v>
      </c>
      <c r="E4203" s="193">
        <f t="shared" si="379"/>
        <v>45438</v>
      </c>
      <c r="F4203" s="514"/>
      <c r="G4203" s="194" t="s">
        <v>1209</v>
      </c>
      <c r="H4203" s="195"/>
      <c r="I4203" s="195" t="s">
        <v>479</v>
      </c>
      <c r="J4203" s="191" t="s">
        <v>47</v>
      </c>
      <c r="K4203" s="196"/>
      <c r="L4203" s="196">
        <v>47680</v>
      </c>
    </row>
    <row r="4204" spans="1:13" ht="11.25" customHeight="1" x14ac:dyDescent="0.2">
      <c r="A4204" s="197">
        <v>2024</v>
      </c>
      <c r="B4204" s="197">
        <v>5</v>
      </c>
      <c r="C4204" s="197">
        <v>26</v>
      </c>
      <c r="D4204" s="198">
        <f t="shared" si="375"/>
        <v>45438</v>
      </c>
      <c r="E4204" s="209">
        <f t="shared" ref="E4204:E4206" si="380">DATE(A4204,B4204,C4204)</f>
        <v>45438</v>
      </c>
      <c r="F4204" s="513" t="s">
        <v>1210</v>
      </c>
      <c r="G4204" s="200" t="s">
        <v>1209</v>
      </c>
      <c r="H4204" s="201"/>
      <c r="I4204" s="201" t="s">
        <v>479</v>
      </c>
      <c r="J4204" s="197" t="s">
        <v>46</v>
      </c>
      <c r="K4204" s="202">
        <v>100000</v>
      </c>
      <c r="L4204" s="202"/>
    </row>
    <row r="4205" spans="1:13" ht="11.25" customHeight="1" x14ac:dyDescent="0.2">
      <c r="A4205" s="120">
        <v>2024</v>
      </c>
      <c r="B4205" s="120">
        <v>5</v>
      </c>
      <c r="C4205" s="120">
        <v>26</v>
      </c>
      <c r="D4205" s="208">
        <f t="shared" si="375"/>
        <v>45438</v>
      </c>
      <c r="E4205" s="209">
        <f t="shared" si="380"/>
        <v>45438</v>
      </c>
      <c r="F4205" s="515"/>
      <c r="G4205" s="132" t="s">
        <v>1209</v>
      </c>
      <c r="I4205" s="128" t="s">
        <v>479</v>
      </c>
      <c r="J4205" s="120" t="s">
        <v>16</v>
      </c>
      <c r="K4205" s="207"/>
      <c r="L4205" s="207">
        <v>90460</v>
      </c>
    </row>
    <row r="4206" spans="1:13" ht="11.25" customHeight="1" x14ac:dyDescent="0.2">
      <c r="A4206" s="191">
        <v>2024</v>
      </c>
      <c r="B4206" s="191">
        <v>5</v>
      </c>
      <c r="C4206" s="191">
        <v>26</v>
      </c>
      <c r="D4206" s="192">
        <f t="shared" si="375"/>
        <v>45438</v>
      </c>
      <c r="E4206" s="193">
        <f t="shared" si="380"/>
        <v>45438</v>
      </c>
      <c r="F4206" s="514"/>
      <c r="G4206" s="194" t="s">
        <v>1209</v>
      </c>
      <c r="H4206" s="195"/>
      <c r="I4206" s="195" t="s">
        <v>479</v>
      </c>
      <c r="J4206" s="191" t="s">
        <v>47</v>
      </c>
      <c r="K4206" s="196"/>
      <c r="L4206" s="196">
        <v>9540</v>
      </c>
    </row>
    <row r="4207" spans="1:13" ht="11.25" customHeight="1" x14ac:dyDescent="0.2">
      <c r="A4207" s="197">
        <v>2024</v>
      </c>
      <c r="B4207" s="197">
        <v>5</v>
      </c>
      <c r="C4207" s="197">
        <v>26</v>
      </c>
      <c r="D4207" s="198">
        <f t="shared" si="375"/>
        <v>45438</v>
      </c>
      <c r="E4207" s="209">
        <f t="shared" ref="E4207:E4209" si="381">DATE(A4207,B4207,C4207)</f>
        <v>45438</v>
      </c>
      <c r="F4207" s="513" t="s">
        <v>1210</v>
      </c>
      <c r="G4207" s="200" t="s">
        <v>1209</v>
      </c>
      <c r="H4207" s="201"/>
      <c r="I4207" s="201" t="s">
        <v>479</v>
      </c>
      <c r="J4207" s="197" t="s">
        <v>46</v>
      </c>
      <c r="K4207" s="202">
        <v>400000</v>
      </c>
      <c r="L4207" s="202"/>
    </row>
    <row r="4208" spans="1:13" ht="11.25" customHeight="1" x14ac:dyDescent="0.2">
      <c r="A4208" s="120">
        <v>2024</v>
      </c>
      <c r="B4208" s="120">
        <v>5</v>
      </c>
      <c r="C4208" s="120">
        <v>26</v>
      </c>
      <c r="D4208" s="208">
        <f t="shared" si="375"/>
        <v>45438</v>
      </c>
      <c r="E4208" s="209">
        <f t="shared" si="381"/>
        <v>45438</v>
      </c>
      <c r="F4208" s="515"/>
      <c r="G4208" s="132" t="s">
        <v>1209</v>
      </c>
      <c r="I4208" s="128" t="s">
        <v>479</v>
      </c>
      <c r="J4208" s="120" t="s">
        <v>16</v>
      </c>
      <c r="K4208" s="207"/>
      <c r="L4208" s="207">
        <v>361860</v>
      </c>
    </row>
    <row r="4209" spans="1:15" ht="11.25" customHeight="1" x14ac:dyDescent="0.2">
      <c r="A4209" s="191">
        <v>2024</v>
      </c>
      <c r="B4209" s="191">
        <v>5</v>
      </c>
      <c r="C4209" s="191">
        <v>26</v>
      </c>
      <c r="D4209" s="192">
        <f t="shared" si="375"/>
        <v>45438</v>
      </c>
      <c r="E4209" s="193">
        <f t="shared" si="381"/>
        <v>45438</v>
      </c>
      <c r="F4209" s="514"/>
      <c r="G4209" s="194" t="s">
        <v>1209</v>
      </c>
      <c r="H4209" s="195"/>
      <c r="I4209" s="195" t="s">
        <v>479</v>
      </c>
      <c r="J4209" s="191" t="s">
        <v>47</v>
      </c>
      <c r="K4209" s="196"/>
      <c r="L4209" s="196">
        <v>38140</v>
      </c>
    </row>
    <row r="4210" spans="1:15" ht="11.25" customHeight="1" x14ac:dyDescent="0.2">
      <c r="A4210" s="197">
        <v>2024</v>
      </c>
      <c r="B4210" s="197">
        <v>5</v>
      </c>
      <c r="C4210" s="197">
        <v>26</v>
      </c>
      <c r="D4210" s="198">
        <f t="shared" si="375"/>
        <v>45438</v>
      </c>
      <c r="E4210" s="209">
        <f t="shared" ref="E4210:E4217" si="382">DATE(A4210,B4210,C4210)</f>
        <v>45438</v>
      </c>
      <c r="F4210" s="513" t="s">
        <v>1210</v>
      </c>
      <c r="G4210" s="200" t="s">
        <v>1209</v>
      </c>
      <c r="H4210" s="201"/>
      <c r="I4210" s="201" t="s">
        <v>479</v>
      </c>
      <c r="J4210" s="197" t="s">
        <v>46</v>
      </c>
      <c r="K4210" s="202">
        <v>500000</v>
      </c>
      <c r="L4210" s="202"/>
    </row>
    <row r="4211" spans="1:15" ht="11.25" customHeight="1" x14ac:dyDescent="0.2">
      <c r="A4211" s="120">
        <v>2024</v>
      </c>
      <c r="B4211" s="120">
        <v>5</v>
      </c>
      <c r="C4211" s="120">
        <v>26</v>
      </c>
      <c r="D4211" s="208">
        <f t="shared" si="375"/>
        <v>45438</v>
      </c>
      <c r="E4211" s="209">
        <f t="shared" si="382"/>
        <v>45438</v>
      </c>
      <c r="F4211" s="515"/>
      <c r="G4211" s="132" t="s">
        <v>1209</v>
      </c>
      <c r="I4211" s="128" t="s">
        <v>479</v>
      </c>
      <c r="J4211" s="120" t="s">
        <v>16</v>
      </c>
      <c r="K4211" s="207"/>
      <c r="L4211" s="207">
        <v>452320</v>
      </c>
    </row>
    <row r="4212" spans="1:15" ht="11.25" customHeight="1" x14ac:dyDescent="0.2">
      <c r="A4212" s="191">
        <v>2024</v>
      </c>
      <c r="B4212" s="191">
        <v>5</v>
      </c>
      <c r="C4212" s="191">
        <v>26</v>
      </c>
      <c r="D4212" s="192">
        <f t="shared" si="375"/>
        <v>45438</v>
      </c>
      <c r="E4212" s="193">
        <f t="shared" si="382"/>
        <v>45438</v>
      </c>
      <c r="F4212" s="514"/>
      <c r="G4212" s="194" t="s">
        <v>1209</v>
      </c>
      <c r="H4212" s="195"/>
      <c r="I4212" s="195" t="s">
        <v>479</v>
      </c>
      <c r="J4212" s="191" t="s">
        <v>47</v>
      </c>
      <c r="K4212" s="196"/>
      <c r="L4212" s="196">
        <v>47680</v>
      </c>
    </row>
    <row r="4213" spans="1:15" ht="11.25" customHeight="1" x14ac:dyDescent="0.2">
      <c r="A4213" s="197">
        <v>2024</v>
      </c>
      <c r="B4213" s="197">
        <v>5</v>
      </c>
      <c r="C4213" s="197">
        <v>26</v>
      </c>
      <c r="D4213" s="198">
        <f t="shared" si="375"/>
        <v>45438</v>
      </c>
      <c r="E4213" s="209">
        <f t="shared" si="382"/>
        <v>45438</v>
      </c>
      <c r="F4213" s="513" t="s">
        <v>1296</v>
      </c>
      <c r="G4213" s="200" t="s">
        <v>1209</v>
      </c>
      <c r="H4213" s="201"/>
      <c r="I4213" s="201"/>
      <c r="J4213" s="197" t="s">
        <v>46</v>
      </c>
      <c r="K4213" s="202">
        <v>273500</v>
      </c>
      <c r="L4213" s="202"/>
    </row>
    <row r="4214" spans="1:15" ht="11.25" customHeight="1" x14ac:dyDescent="0.2">
      <c r="A4214" s="120">
        <v>2024</v>
      </c>
      <c r="B4214" s="120">
        <v>5</v>
      </c>
      <c r="C4214" s="120">
        <v>26</v>
      </c>
      <c r="D4214" s="208">
        <f t="shared" si="375"/>
        <v>45438</v>
      </c>
      <c r="E4214" s="209">
        <f t="shared" si="382"/>
        <v>45438</v>
      </c>
      <c r="F4214" s="515"/>
      <c r="G4214" s="132" t="s">
        <v>1209</v>
      </c>
      <c r="J4214" s="120" t="s">
        <v>16</v>
      </c>
      <c r="K4214" s="207"/>
      <c r="L4214" s="207">
        <v>247390</v>
      </c>
    </row>
    <row r="4215" spans="1:15" ht="11.25" customHeight="1" x14ac:dyDescent="0.2">
      <c r="A4215" s="191">
        <v>2024</v>
      </c>
      <c r="B4215" s="191">
        <v>5</v>
      </c>
      <c r="C4215" s="191">
        <v>26</v>
      </c>
      <c r="D4215" s="192">
        <f t="shared" si="375"/>
        <v>45438</v>
      </c>
      <c r="E4215" s="193">
        <f t="shared" si="382"/>
        <v>45438</v>
      </c>
      <c r="F4215" s="514"/>
      <c r="G4215" s="194" t="s">
        <v>1209</v>
      </c>
      <c r="H4215" s="195"/>
      <c r="I4215" s="195"/>
      <c r="J4215" s="191" t="s">
        <v>47</v>
      </c>
      <c r="K4215" s="196"/>
      <c r="L4215" s="196">
        <v>26110</v>
      </c>
    </row>
    <row r="4216" spans="1:15" ht="11.25" customHeight="1" x14ac:dyDescent="0.2">
      <c r="A4216" s="197">
        <v>2024</v>
      </c>
      <c r="B4216" s="197">
        <v>5</v>
      </c>
      <c r="C4216" s="197">
        <v>26</v>
      </c>
      <c r="D4216" s="198">
        <f t="shared" si="375"/>
        <v>45438</v>
      </c>
      <c r="E4216" s="290">
        <f t="shared" si="382"/>
        <v>45438</v>
      </c>
      <c r="F4216" s="513" t="s">
        <v>1514</v>
      </c>
      <c r="G4216" s="200" t="s">
        <v>1209</v>
      </c>
      <c r="H4216" s="201"/>
      <c r="I4216" s="201"/>
      <c r="J4216" s="197" t="s">
        <v>54</v>
      </c>
      <c r="K4216" s="202">
        <v>60</v>
      </c>
      <c r="L4216" s="202"/>
      <c r="M4216" s="251"/>
      <c r="N4216" s="251"/>
      <c r="O4216" s="251"/>
    </row>
    <row r="4217" spans="1:15" ht="11.25" customHeight="1" x14ac:dyDescent="0.2">
      <c r="A4217" s="191">
        <v>2024</v>
      </c>
      <c r="B4217" s="191">
        <v>5</v>
      </c>
      <c r="C4217" s="191">
        <v>26</v>
      </c>
      <c r="D4217" s="192">
        <f t="shared" si="375"/>
        <v>45438</v>
      </c>
      <c r="E4217" s="291">
        <f t="shared" si="382"/>
        <v>45438</v>
      </c>
      <c r="F4217" s="514"/>
      <c r="G4217" s="194" t="s">
        <v>1209</v>
      </c>
      <c r="H4217" s="195"/>
      <c r="I4217" s="195"/>
      <c r="J4217" s="191" t="s">
        <v>46</v>
      </c>
      <c r="K4217" s="196"/>
      <c r="L4217" s="196">
        <v>60</v>
      </c>
      <c r="M4217" s="251"/>
      <c r="N4217" s="251"/>
      <c r="O4217" s="251"/>
    </row>
    <row r="4218" spans="1:15" ht="11.25" customHeight="1" x14ac:dyDescent="0.2">
      <c r="A4218" s="197">
        <v>2024</v>
      </c>
      <c r="B4218" s="197">
        <v>5</v>
      </c>
      <c r="C4218" s="197">
        <v>27</v>
      </c>
      <c r="D4218" s="198">
        <f t="shared" si="375"/>
        <v>45439</v>
      </c>
      <c r="E4218" s="209">
        <f t="shared" ref="E4218:E4236" si="383">DATE(A4218,B4218,C4218)</f>
        <v>45439</v>
      </c>
      <c r="F4218" s="513" t="s">
        <v>1210</v>
      </c>
      <c r="G4218" s="200" t="s">
        <v>1209</v>
      </c>
      <c r="H4218" s="201"/>
      <c r="I4218" s="201" t="s">
        <v>1493</v>
      </c>
      <c r="J4218" s="197" t="s">
        <v>46</v>
      </c>
      <c r="K4218" s="202">
        <v>132648</v>
      </c>
      <c r="L4218" s="202"/>
    </row>
    <row r="4219" spans="1:15" ht="11.25" customHeight="1" x14ac:dyDescent="0.2">
      <c r="A4219" s="120">
        <v>2024</v>
      </c>
      <c r="B4219" s="120">
        <v>5</v>
      </c>
      <c r="C4219" s="120">
        <v>27</v>
      </c>
      <c r="D4219" s="208">
        <f t="shared" si="375"/>
        <v>45439</v>
      </c>
      <c r="E4219" s="209">
        <f t="shared" si="383"/>
        <v>45439</v>
      </c>
      <c r="F4219" s="515"/>
      <c r="G4219" s="132" t="s">
        <v>1209</v>
      </c>
      <c r="I4219" s="128" t="s">
        <v>1493</v>
      </c>
      <c r="J4219" s="120" t="s">
        <v>16</v>
      </c>
      <c r="K4219" s="207"/>
      <c r="L4219" s="207">
        <v>120000</v>
      </c>
    </row>
    <row r="4220" spans="1:15" ht="11.25" customHeight="1" x14ac:dyDescent="0.2">
      <c r="A4220" s="191">
        <v>2024</v>
      </c>
      <c r="B4220" s="191">
        <v>5</v>
      </c>
      <c r="C4220" s="191">
        <v>27</v>
      </c>
      <c r="D4220" s="192">
        <f t="shared" si="375"/>
        <v>45439</v>
      </c>
      <c r="E4220" s="193">
        <f t="shared" si="383"/>
        <v>45439</v>
      </c>
      <c r="F4220" s="514"/>
      <c r="G4220" s="194" t="s">
        <v>1209</v>
      </c>
      <c r="H4220" s="195"/>
      <c r="I4220" s="195" t="s">
        <v>1493</v>
      </c>
      <c r="J4220" s="191" t="s">
        <v>47</v>
      </c>
      <c r="K4220" s="196"/>
      <c r="L4220" s="196">
        <v>12648</v>
      </c>
    </row>
    <row r="4221" spans="1:15" ht="11.25" customHeight="1" x14ac:dyDescent="0.2">
      <c r="A4221" s="197">
        <v>2024</v>
      </c>
      <c r="B4221" s="197">
        <v>5</v>
      </c>
      <c r="C4221" s="197">
        <v>27</v>
      </c>
      <c r="D4221" s="198">
        <f t="shared" si="375"/>
        <v>45439</v>
      </c>
      <c r="E4221" s="199">
        <f t="shared" si="383"/>
        <v>45439</v>
      </c>
      <c r="F4221" s="513" t="s">
        <v>1640</v>
      </c>
      <c r="G4221" s="200" t="s">
        <v>1209</v>
      </c>
      <c r="H4221" s="200"/>
      <c r="I4221" s="201" t="s">
        <v>1253</v>
      </c>
      <c r="J4221" s="248" t="s">
        <v>457</v>
      </c>
      <c r="K4221" s="202">
        <v>0.38</v>
      </c>
      <c r="L4221" s="202"/>
      <c r="M4221" s="251"/>
    </row>
    <row r="4222" spans="1:15" ht="11.25" customHeight="1" x14ac:dyDescent="0.2">
      <c r="A4222" s="191">
        <v>2024</v>
      </c>
      <c r="B4222" s="191">
        <v>5</v>
      </c>
      <c r="C4222" s="191">
        <v>27</v>
      </c>
      <c r="D4222" s="192">
        <f t="shared" si="375"/>
        <v>45439</v>
      </c>
      <c r="E4222" s="193">
        <f t="shared" si="383"/>
        <v>45439</v>
      </c>
      <c r="F4222" s="514"/>
      <c r="G4222" s="194" t="s">
        <v>1209</v>
      </c>
      <c r="H4222" s="194"/>
      <c r="I4222" s="195" t="s">
        <v>1253</v>
      </c>
      <c r="J4222" s="250" t="s">
        <v>46</v>
      </c>
      <c r="K4222" s="196"/>
      <c r="L4222" s="196">
        <v>0.38</v>
      </c>
      <c r="M4222" s="251"/>
    </row>
    <row r="4223" spans="1:15" ht="11.25" customHeight="1" x14ac:dyDescent="0.2">
      <c r="A4223" s="197">
        <v>2024</v>
      </c>
      <c r="B4223" s="197">
        <v>5</v>
      </c>
      <c r="C4223" s="197">
        <v>27</v>
      </c>
      <c r="D4223" s="198">
        <f t="shared" si="375"/>
        <v>45439</v>
      </c>
      <c r="E4223" s="199">
        <f t="shared" si="383"/>
        <v>45439</v>
      </c>
      <c r="F4223" s="513" t="s">
        <v>1638</v>
      </c>
      <c r="G4223" s="200" t="s">
        <v>1209</v>
      </c>
      <c r="H4223" s="201"/>
      <c r="I4223" s="201" t="s">
        <v>1253</v>
      </c>
      <c r="J4223" s="197" t="s">
        <v>1455</v>
      </c>
      <c r="K4223" s="202">
        <v>12633075</v>
      </c>
      <c r="L4223" s="202"/>
    </row>
    <row r="4224" spans="1:15" ht="11.25" customHeight="1" x14ac:dyDescent="0.2">
      <c r="A4224" s="191">
        <v>2024</v>
      </c>
      <c r="B4224" s="191">
        <v>5</v>
      </c>
      <c r="C4224" s="191">
        <v>27</v>
      </c>
      <c r="D4224" s="192">
        <f t="shared" si="375"/>
        <v>45439</v>
      </c>
      <c r="E4224" s="193">
        <f t="shared" si="383"/>
        <v>45439</v>
      </c>
      <c r="F4224" s="514"/>
      <c r="G4224" s="194" t="s">
        <v>1209</v>
      </c>
      <c r="H4224" s="195"/>
      <c r="I4224" s="195" t="s">
        <v>1253</v>
      </c>
      <c r="J4224" s="191" t="s">
        <v>46</v>
      </c>
      <c r="K4224" s="196"/>
      <c r="L4224" s="196">
        <v>12633075</v>
      </c>
      <c r="N4224" s="130"/>
    </row>
    <row r="4225" spans="1:13" ht="11.25" customHeight="1" x14ac:dyDescent="0.2">
      <c r="A4225" s="197">
        <v>2024</v>
      </c>
      <c r="B4225" s="197">
        <v>5</v>
      </c>
      <c r="C4225" s="197">
        <v>28</v>
      </c>
      <c r="D4225" s="198">
        <f t="shared" si="375"/>
        <v>45440</v>
      </c>
      <c r="E4225" s="209">
        <f t="shared" si="383"/>
        <v>45440</v>
      </c>
      <c r="F4225" s="513" t="s">
        <v>1210</v>
      </c>
      <c r="G4225" s="200" t="s">
        <v>1209</v>
      </c>
      <c r="H4225" s="201"/>
      <c r="I4225" s="201" t="s">
        <v>1639</v>
      </c>
      <c r="J4225" s="197" t="s">
        <v>46</v>
      </c>
      <c r="K4225" s="202">
        <v>25000</v>
      </c>
      <c r="L4225" s="202"/>
    </row>
    <row r="4226" spans="1:13" ht="11.25" customHeight="1" x14ac:dyDescent="0.2">
      <c r="A4226" s="120">
        <v>2024</v>
      </c>
      <c r="B4226" s="120">
        <v>5</v>
      </c>
      <c r="C4226" s="120">
        <v>28</v>
      </c>
      <c r="D4226" s="208">
        <f t="shared" si="375"/>
        <v>45440</v>
      </c>
      <c r="E4226" s="209">
        <f t="shared" si="383"/>
        <v>45440</v>
      </c>
      <c r="F4226" s="515"/>
      <c r="G4226" s="132" t="s">
        <v>1209</v>
      </c>
      <c r="I4226" s="128" t="s">
        <v>1639</v>
      </c>
      <c r="J4226" s="120" t="s">
        <v>16</v>
      </c>
      <c r="K4226" s="207"/>
      <c r="L4226" s="207">
        <v>22620</v>
      </c>
    </row>
    <row r="4227" spans="1:13" ht="11.25" customHeight="1" x14ac:dyDescent="0.2">
      <c r="A4227" s="191">
        <v>2024</v>
      </c>
      <c r="B4227" s="191">
        <v>5</v>
      </c>
      <c r="C4227" s="191">
        <v>28</v>
      </c>
      <c r="D4227" s="192">
        <f t="shared" si="375"/>
        <v>45440</v>
      </c>
      <c r="E4227" s="193">
        <f t="shared" si="383"/>
        <v>45440</v>
      </c>
      <c r="F4227" s="514"/>
      <c r="G4227" s="194" t="s">
        <v>1209</v>
      </c>
      <c r="H4227" s="195"/>
      <c r="I4227" s="195" t="s">
        <v>1639</v>
      </c>
      <c r="J4227" s="191" t="s">
        <v>47</v>
      </c>
      <c r="K4227" s="196"/>
      <c r="L4227" s="196">
        <v>2380</v>
      </c>
    </row>
    <row r="4228" spans="1:13" ht="11.25" customHeight="1" x14ac:dyDescent="0.2">
      <c r="A4228" s="197">
        <v>2024</v>
      </c>
      <c r="B4228" s="197">
        <v>5</v>
      </c>
      <c r="C4228" s="197">
        <v>29</v>
      </c>
      <c r="D4228" s="198">
        <f t="shared" ref="D4228:D4289" si="384">DATE(A4228,B4228,C4228)</f>
        <v>45441</v>
      </c>
      <c r="E4228" s="209">
        <f t="shared" ref="E4228:E4230" si="385">DATE(A4228,B4228,C4228)</f>
        <v>45441</v>
      </c>
      <c r="F4228" s="513" t="s">
        <v>1210</v>
      </c>
      <c r="G4228" s="200" t="s">
        <v>1209</v>
      </c>
      <c r="H4228" s="201"/>
      <c r="I4228" s="201" t="s">
        <v>710</v>
      </c>
      <c r="J4228" s="197" t="s">
        <v>46</v>
      </c>
      <c r="K4228" s="202">
        <v>244799.32</v>
      </c>
      <c r="L4228" s="202"/>
    </row>
    <row r="4229" spans="1:13" ht="11.25" customHeight="1" x14ac:dyDescent="0.2">
      <c r="A4229" s="120">
        <v>2024</v>
      </c>
      <c r="B4229" s="120">
        <v>5</v>
      </c>
      <c r="C4229" s="120">
        <v>29</v>
      </c>
      <c r="D4229" s="208">
        <f t="shared" si="384"/>
        <v>45441</v>
      </c>
      <c r="E4229" s="209">
        <f t="shared" si="385"/>
        <v>45441</v>
      </c>
      <c r="F4229" s="515"/>
      <c r="G4229" s="132" t="s">
        <v>1209</v>
      </c>
      <c r="I4229" s="128" t="s">
        <v>710</v>
      </c>
      <c r="J4229" s="120" t="s">
        <v>16</v>
      </c>
      <c r="K4229" s="207"/>
      <c r="L4229" s="207">
        <v>221460</v>
      </c>
    </row>
    <row r="4230" spans="1:13" ht="11.25" customHeight="1" x14ac:dyDescent="0.2">
      <c r="A4230" s="191">
        <v>2024</v>
      </c>
      <c r="B4230" s="191">
        <v>5</v>
      </c>
      <c r="C4230" s="191">
        <v>29</v>
      </c>
      <c r="D4230" s="192">
        <f t="shared" si="384"/>
        <v>45441</v>
      </c>
      <c r="E4230" s="193">
        <f t="shared" si="385"/>
        <v>45441</v>
      </c>
      <c r="F4230" s="514"/>
      <c r="G4230" s="194" t="s">
        <v>1209</v>
      </c>
      <c r="H4230" s="195"/>
      <c r="I4230" s="195" t="s">
        <v>710</v>
      </c>
      <c r="J4230" s="191" t="s">
        <v>47</v>
      </c>
      <c r="K4230" s="196"/>
      <c r="L4230" s="196">
        <v>23339.320000000007</v>
      </c>
    </row>
    <row r="4231" spans="1:13" ht="11.25" customHeight="1" x14ac:dyDescent="0.2">
      <c r="A4231" s="197">
        <v>2024</v>
      </c>
      <c r="B4231" s="197">
        <v>5</v>
      </c>
      <c r="C4231" s="197">
        <v>29</v>
      </c>
      <c r="D4231" s="198">
        <f t="shared" si="384"/>
        <v>45441</v>
      </c>
      <c r="E4231" s="209">
        <f t="shared" ref="E4231:E4233" si="386">DATE(A4231,B4231,C4231)</f>
        <v>45441</v>
      </c>
      <c r="F4231" s="513" t="s">
        <v>1210</v>
      </c>
      <c r="G4231" s="200" t="s">
        <v>1209</v>
      </c>
      <c r="H4231" s="201"/>
      <c r="I4231" s="201" t="s">
        <v>1123</v>
      </c>
      <c r="J4231" s="197" t="s">
        <v>46</v>
      </c>
      <c r="K4231" s="202">
        <v>150000</v>
      </c>
      <c r="L4231" s="202"/>
    </row>
    <row r="4232" spans="1:13" ht="11.25" customHeight="1" x14ac:dyDescent="0.2">
      <c r="A4232" s="120">
        <v>2024</v>
      </c>
      <c r="B4232" s="120">
        <v>5</v>
      </c>
      <c r="C4232" s="120">
        <v>29</v>
      </c>
      <c r="D4232" s="208">
        <f t="shared" si="384"/>
        <v>45441</v>
      </c>
      <c r="E4232" s="209">
        <f t="shared" si="386"/>
        <v>45441</v>
      </c>
      <c r="F4232" s="515"/>
      <c r="G4232" s="132" t="s">
        <v>1209</v>
      </c>
      <c r="I4232" s="128" t="s">
        <v>1123</v>
      </c>
      <c r="J4232" s="120" t="s">
        <v>16</v>
      </c>
      <c r="K4232" s="207"/>
      <c r="L4232" s="207">
        <v>135700</v>
      </c>
    </row>
    <row r="4233" spans="1:13" ht="11.25" customHeight="1" x14ac:dyDescent="0.2">
      <c r="A4233" s="191">
        <v>2024</v>
      </c>
      <c r="B4233" s="191">
        <v>5</v>
      </c>
      <c r="C4233" s="191">
        <v>29</v>
      </c>
      <c r="D4233" s="192">
        <f t="shared" si="384"/>
        <v>45441</v>
      </c>
      <c r="E4233" s="193">
        <f t="shared" si="386"/>
        <v>45441</v>
      </c>
      <c r="F4233" s="514"/>
      <c r="G4233" s="194" t="s">
        <v>1209</v>
      </c>
      <c r="H4233" s="195"/>
      <c r="I4233" s="195" t="s">
        <v>1123</v>
      </c>
      <c r="J4233" s="191" t="s">
        <v>47</v>
      </c>
      <c r="K4233" s="196"/>
      <c r="L4233" s="196">
        <v>14300</v>
      </c>
    </row>
    <row r="4234" spans="1:13" ht="11.25" customHeight="1" x14ac:dyDescent="0.2">
      <c r="A4234" s="197">
        <v>2024</v>
      </c>
      <c r="B4234" s="197">
        <v>5</v>
      </c>
      <c r="C4234" s="197">
        <v>30</v>
      </c>
      <c r="D4234" s="198">
        <f t="shared" si="384"/>
        <v>45442</v>
      </c>
      <c r="E4234" s="209">
        <f t="shared" si="383"/>
        <v>45442</v>
      </c>
      <c r="F4234" s="513" t="s">
        <v>1280</v>
      </c>
      <c r="G4234" s="200" t="s">
        <v>1209</v>
      </c>
      <c r="H4234" s="201"/>
      <c r="I4234" s="201" t="s">
        <v>415</v>
      </c>
      <c r="J4234" s="197" t="s">
        <v>16</v>
      </c>
      <c r="K4234" s="202">
        <v>289480</v>
      </c>
      <c r="L4234" s="202"/>
    </row>
    <row r="4235" spans="1:13" ht="11.25" customHeight="1" x14ac:dyDescent="0.2">
      <c r="A4235" s="120">
        <v>2024</v>
      </c>
      <c r="B4235" s="120">
        <v>5</v>
      </c>
      <c r="C4235" s="120">
        <v>30</v>
      </c>
      <c r="D4235" s="208">
        <f t="shared" si="384"/>
        <v>45442</v>
      </c>
      <c r="E4235" s="209">
        <f t="shared" si="383"/>
        <v>45442</v>
      </c>
      <c r="F4235" s="515"/>
      <c r="G4235" s="132" t="s">
        <v>1209</v>
      </c>
      <c r="I4235" s="128" t="s">
        <v>415</v>
      </c>
      <c r="J4235" s="120" t="s">
        <v>47</v>
      </c>
      <c r="K4235" s="207">
        <v>30511.190000000002</v>
      </c>
      <c r="L4235" s="207"/>
    </row>
    <row r="4236" spans="1:13" ht="11.25" customHeight="1" x14ac:dyDescent="0.2">
      <c r="A4236" s="191">
        <v>2024</v>
      </c>
      <c r="B4236" s="191">
        <v>5</v>
      </c>
      <c r="C4236" s="191">
        <v>30</v>
      </c>
      <c r="D4236" s="192">
        <f t="shared" si="384"/>
        <v>45442</v>
      </c>
      <c r="E4236" s="193">
        <f t="shared" si="383"/>
        <v>45442</v>
      </c>
      <c r="F4236" s="514"/>
      <c r="G4236" s="194" t="s">
        <v>1209</v>
      </c>
      <c r="H4236" s="195"/>
      <c r="I4236" s="195" t="s">
        <v>415</v>
      </c>
      <c r="J4236" s="191" t="s">
        <v>46</v>
      </c>
      <c r="K4236" s="196"/>
      <c r="L4236" s="196">
        <v>319991.19</v>
      </c>
    </row>
    <row r="4237" spans="1:13" ht="11.25" customHeight="1" x14ac:dyDescent="0.2">
      <c r="A4237" s="197">
        <v>2024</v>
      </c>
      <c r="B4237" s="197">
        <v>5</v>
      </c>
      <c r="C4237" s="197">
        <v>30</v>
      </c>
      <c r="D4237" s="198">
        <f t="shared" si="384"/>
        <v>45442</v>
      </c>
      <c r="E4237" s="209">
        <f t="shared" ref="E4237:E4260" si="387">DATE(A4237,B4237,C4237)</f>
        <v>45442</v>
      </c>
      <c r="F4237" s="513" t="s">
        <v>1210</v>
      </c>
      <c r="G4237" s="200" t="s">
        <v>1209</v>
      </c>
      <c r="H4237" s="201"/>
      <c r="I4237" s="201" t="s">
        <v>397</v>
      </c>
      <c r="J4237" s="197" t="s">
        <v>46</v>
      </c>
      <c r="K4237" s="202">
        <v>50000</v>
      </c>
      <c r="L4237" s="202"/>
    </row>
    <row r="4238" spans="1:13" ht="11.25" customHeight="1" x14ac:dyDescent="0.2">
      <c r="A4238" s="120">
        <v>2024</v>
      </c>
      <c r="B4238" s="120">
        <v>5</v>
      </c>
      <c r="C4238" s="120">
        <v>30</v>
      </c>
      <c r="D4238" s="208">
        <f t="shared" si="384"/>
        <v>45442</v>
      </c>
      <c r="E4238" s="209">
        <f t="shared" si="387"/>
        <v>45442</v>
      </c>
      <c r="F4238" s="515"/>
      <c r="G4238" s="132" t="s">
        <v>1209</v>
      </c>
      <c r="I4238" s="128" t="s">
        <v>397</v>
      </c>
      <c r="J4238" s="120" t="s">
        <v>16</v>
      </c>
      <c r="K4238" s="207"/>
      <c r="L4238" s="207">
        <v>45230</v>
      </c>
    </row>
    <row r="4239" spans="1:13" ht="11.25" customHeight="1" x14ac:dyDescent="0.2">
      <c r="A4239" s="191">
        <v>2024</v>
      </c>
      <c r="B4239" s="191">
        <v>5</v>
      </c>
      <c r="C4239" s="191">
        <v>30</v>
      </c>
      <c r="D4239" s="192">
        <f t="shared" si="384"/>
        <v>45442</v>
      </c>
      <c r="E4239" s="193">
        <f t="shared" si="387"/>
        <v>45442</v>
      </c>
      <c r="F4239" s="514"/>
      <c r="G4239" s="194" t="s">
        <v>1209</v>
      </c>
      <c r="H4239" s="195"/>
      <c r="I4239" s="195" t="s">
        <v>397</v>
      </c>
      <c r="J4239" s="191" t="s">
        <v>47</v>
      </c>
      <c r="K4239" s="196"/>
      <c r="L4239" s="196">
        <v>4770</v>
      </c>
    </row>
    <row r="4240" spans="1:13" ht="11.25" customHeight="1" x14ac:dyDescent="0.2">
      <c r="A4240" s="197">
        <v>2024</v>
      </c>
      <c r="B4240" s="197">
        <v>5</v>
      </c>
      <c r="C4240" s="197">
        <v>30</v>
      </c>
      <c r="D4240" s="198">
        <f t="shared" si="384"/>
        <v>45442</v>
      </c>
      <c r="E4240" s="199">
        <f t="shared" si="387"/>
        <v>45442</v>
      </c>
      <c r="F4240" s="513" t="s">
        <v>1389</v>
      </c>
      <c r="G4240" s="200" t="s">
        <v>1209</v>
      </c>
      <c r="H4240" s="200"/>
      <c r="I4240" s="201" t="s">
        <v>1253</v>
      </c>
      <c r="J4240" s="248" t="s">
        <v>84</v>
      </c>
      <c r="K4240" s="202">
        <v>3.75</v>
      </c>
      <c r="L4240" s="202"/>
      <c r="M4240" s="251"/>
    </row>
    <row r="4241" spans="1:15" ht="11.25" customHeight="1" x14ac:dyDescent="0.2">
      <c r="A4241" s="120">
        <v>2024</v>
      </c>
      <c r="B4241" s="120">
        <v>5</v>
      </c>
      <c r="C4241" s="120">
        <v>30</v>
      </c>
      <c r="D4241" s="208">
        <f t="shared" si="384"/>
        <v>45442</v>
      </c>
      <c r="E4241" s="209">
        <f t="shared" si="387"/>
        <v>45442</v>
      </c>
      <c r="F4241" s="515"/>
      <c r="G4241" s="132" t="s">
        <v>1209</v>
      </c>
      <c r="H4241" s="132"/>
      <c r="J4241" s="129" t="s">
        <v>457</v>
      </c>
      <c r="K4241" s="207"/>
      <c r="L4241" s="207">
        <v>0.38</v>
      </c>
      <c r="M4241" s="251"/>
    </row>
    <row r="4242" spans="1:15" ht="11.25" customHeight="1" x14ac:dyDescent="0.2">
      <c r="A4242" s="191">
        <v>2024</v>
      </c>
      <c r="B4242" s="191">
        <v>5</v>
      </c>
      <c r="C4242" s="191">
        <v>30</v>
      </c>
      <c r="D4242" s="192">
        <f t="shared" si="384"/>
        <v>45442</v>
      </c>
      <c r="E4242" s="193">
        <f t="shared" si="387"/>
        <v>45442</v>
      </c>
      <c r="F4242" s="514"/>
      <c r="G4242" s="194" t="s">
        <v>1209</v>
      </c>
      <c r="H4242" s="194"/>
      <c r="I4242" s="195" t="s">
        <v>1253</v>
      </c>
      <c r="J4242" s="250" t="s">
        <v>46</v>
      </c>
      <c r="K4242" s="196"/>
      <c r="L4242" s="196">
        <v>3.37</v>
      </c>
      <c r="M4242" s="251"/>
    </row>
    <row r="4243" spans="1:15" ht="11.25" customHeight="1" x14ac:dyDescent="0.2">
      <c r="A4243" s="197">
        <v>2024</v>
      </c>
      <c r="B4243" s="197">
        <v>5</v>
      </c>
      <c r="C4243" s="197">
        <v>30</v>
      </c>
      <c r="D4243" s="198">
        <f t="shared" si="384"/>
        <v>45442</v>
      </c>
      <c r="E4243" s="209">
        <f t="shared" ref="E4243:E4245" si="388">DATE(A4243,B4243,C4243)</f>
        <v>45442</v>
      </c>
      <c r="F4243" s="513" t="s">
        <v>1210</v>
      </c>
      <c r="G4243" s="200" t="s">
        <v>1209</v>
      </c>
      <c r="H4243" s="201"/>
      <c r="I4243" s="201" t="s">
        <v>1641</v>
      </c>
      <c r="J4243" s="197" t="s">
        <v>46</v>
      </c>
      <c r="K4243" s="202">
        <v>1200000</v>
      </c>
      <c r="L4243" s="202"/>
    </row>
    <row r="4244" spans="1:15" ht="11.25" customHeight="1" x14ac:dyDescent="0.2">
      <c r="A4244" s="120">
        <v>2024</v>
      </c>
      <c r="B4244" s="120">
        <v>5</v>
      </c>
      <c r="C4244" s="120">
        <v>30</v>
      </c>
      <c r="D4244" s="208">
        <f t="shared" si="384"/>
        <v>45442</v>
      </c>
      <c r="E4244" s="209">
        <f t="shared" si="388"/>
        <v>45442</v>
      </c>
      <c r="F4244" s="515"/>
      <c r="G4244" s="132" t="s">
        <v>1209</v>
      </c>
      <c r="I4244" s="128" t="s">
        <v>1641</v>
      </c>
      <c r="J4244" s="120" t="s">
        <v>16</v>
      </c>
      <c r="K4244" s="207"/>
      <c r="L4244" s="207">
        <v>1085580</v>
      </c>
    </row>
    <row r="4245" spans="1:15" ht="11.25" customHeight="1" x14ac:dyDescent="0.2">
      <c r="A4245" s="191">
        <v>2024</v>
      </c>
      <c r="B4245" s="191">
        <v>5</v>
      </c>
      <c r="C4245" s="191">
        <v>30</v>
      </c>
      <c r="D4245" s="192">
        <f t="shared" si="384"/>
        <v>45442</v>
      </c>
      <c r="E4245" s="193">
        <f t="shared" si="388"/>
        <v>45442</v>
      </c>
      <c r="F4245" s="514"/>
      <c r="G4245" s="194" t="s">
        <v>1209</v>
      </c>
      <c r="H4245" s="195"/>
      <c r="I4245" s="195" t="s">
        <v>1641</v>
      </c>
      <c r="J4245" s="191" t="s">
        <v>47</v>
      </c>
      <c r="K4245" s="196"/>
      <c r="L4245" s="196">
        <v>114420</v>
      </c>
    </row>
    <row r="4246" spans="1:15" ht="11.25" customHeight="1" x14ac:dyDescent="0.2">
      <c r="A4246" s="197">
        <v>2024</v>
      </c>
      <c r="B4246" s="197">
        <v>5</v>
      </c>
      <c r="C4246" s="197">
        <v>30</v>
      </c>
      <c r="D4246" s="198">
        <f t="shared" si="384"/>
        <v>45442</v>
      </c>
      <c r="E4246" s="209">
        <f t="shared" ref="E4246:E4248" si="389">DATE(A4246,B4246,C4246)</f>
        <v>45442</v>
      </c>
      <c r="F4246" s="513" t="s">
        <v>1210</v>
      </c>
      <c r="G4246" s="200" t="s">
        <v>1209</v>
      </c>
      <c r="H4246" s="201"/>
      <c r="I4246" s="201" t="s">
        <v>1642</v>
      </c>
      <c r="J4246" s="197" t="s">
        <v>46</v>
      </c>
      <c r="K4246" s="202">
        <v>1400000</v>
      </c>
      <c r="L4246" s="202"/>
    </row>
    <row r="4247" spans="1:15" ht="11.25" customHeight="1" x14ac:dyDescent="0.2">
      <c r="A4247" s="120">
        <v>2024</v>
      </c>
      <c r="B4247" s="120">
        <v>5</v>
      </c>
      <c r="C4247" s="120">
        <v>30</v>
      </c>
      <c r="D4247" s="208">
        <f t="shared" si="384"/>
        <v>45442</v>
      </c>
      <c r="E4247" s="209">
        <f t="shared" si="389"/>
        <v>45442</v>
      </c>
      <c r="F4247" s="515"/>
      <c r="G4247" s="132" t="s">
        <v>1209</v>
      </c>
      <c r="I4247" s="128" t="s">
        <v>1642</v>
      </c>
      <c r="J4247" s="120" t="s">
        <v>16</v>
      </c>
      <c r="K4247" s="207"/>
      <c r="L4247" s="207">
        <v>1266510</v>
      </c>
    </row>
    <row r="4248" spans="1:15" ht="11.25" customHeight="1" x14ac:dyDescent="0.2">
      <c r="A4248" s="191">
        <v>2024</v>
      </c>
      <c r="B4248" s="191">
        <v>5</v>
      </c>
      <c r="C4248" s="191">
        <v>30</v>
      </c>
      <c r="D4248" s="192">
        <f t="shared" si="384"/>
        <v>45442</v>
      </c>
      <c r="E4248" s="193">
        <f t="shared" si="389"/>
        <v>45442</v>
      </c>
      <c r="F4248" s="514"/>
      <c r="G4248" s="194" t="s">
        <v>1209</v>
      </c>
      <c r="H4248" s="195"/>
      <c r="I4248" s="195" t="s">
        <v>1642</v>
      </c>
      <c r="J4248" s="191" t="s">
        <v>47</v>
      </c>
      <c r="K4248" s="196"/>
      <c r="L4248" s="196">
        <v>133490</v>
      </c>
    </row>
    <row r="4249" spans="1:15" ht="11.25" customHeight="1" x14ac:dyDescent="0.2">
      <c r="A4249" s="197">
        <v>2024</v>
      </c>
      <c r="B4249" s="197">
        <v>5</v>
      </c>
      <c r="C4249" s="197">
        <v>30</v>
      </c>
      <c r="D4249" s="198">
        <f t="shared" si="384"/>
        <v>45442</v>
      </c>
      <c r="E4249" s="209">
        <f t="shared" ref="E4249:E4253" si="390">DATE(A4249,B4249,C4249)</f>
        <v>45442</v>
      </c>
      <c r="F4249" s="513" t="s">
        <v>1210</v>
      </c>
      <c r="G4249" s="200" t="s">
        <v>1209</v>
      </c>
      <c r="H4249" s="201"/>
      <c r="I4249" s="201" t="s">
        <v>1334</v>
      </c>
      <c r="J4249" s="197" t="s">
        <v>46</v>
      </c>
      <c r="K4249" s="202">
        <v>2000000</v>
      </c>
      <c r="L4249" s="202"/>
    </row>
    <row r="4250" spans="1:15" ht="11.25" customHeight="1" x14ac:dyDescent="0.2">
      <c r="A4250" s="120">
        <v>2024</v>
      </c>
      <c r="B4250" s="120">
        <v>5</v>
      </c>
      <c r="C4250" s="120">
        <v>30</v>
      </c>
      <c r="D4250" s="208">
        <f t="shared" si="384"/>
        <v>45442</v>
      </c>
      <c r="E4250" s="209">
        <f t="shared" si="390"/>
        <v>45442</v>
      </c>
      <c r="F4250" s="515"/>
      <c r="G4250" s="132" t="s">
        <v>1209</v>
      </c>
      <c r="I4250" s="128" t="s">
        <v>1334</v>
      </c>
      <c r="J4250" s="120" t="s">
        <v>16</v>
      </c>
      <c r="K4250" s="207"/>
      <c r="L4250" s="207">
        <v>1812580</v>
      </c>
    </row>
    <row r="4251" spans="1:15" ht="11.25" customHeight="1" x14ac:dyDescent="0.2">
      <c r="A4251" s="191">
        <v>2024</v>
      </c>
      <c r="B4251" s="191">
        <v>5</v>
      </c>
      <c r="C4251" s="191">
        <v>30</v>
      </c>
      <c r="D4251" s="192">
        <f t="shared" si="384"/>
        <v>45442</v>
      </c>
      <c r="E4251" s="193">
        <f t="shared" si="390"/>
        <v>45442</v>
      </c>
      <c r="F4251" s="514"/>
      <c r="G4251" s="194" t="s">
        <v>1209</v>
      </c>
      <c r="H4251" s="195"/>
      <c r="I4251" s="195" t="s">
        <v>1334</v>
      </c>
      <c r="J4251" s="191" t="s">
        <v>47</v>
      </c>
      <c r="K4251" s="196"/>
      <c r="L4251" s="196">
        <v>187420</v>
      </c>
    </row>
    <row r="4252" spans="1:15" ht="11.25" customHeight="1" x14ac:dyDescent="0.2">
      <c r="A4252" s="197">
        <v>2024</v>
      </c>
      <c r="B4252" s="197">
        <v>5</v>
      </c>
      <c r="C4252" s="197">
        <v>30</v>
      </c>
      <c r="D4252" s="198">
        <f t="shared" si="384"/>
        <v>45442</v>
      </c>
      <c r="E4252" s="290">
        <f t="shared" si="390"/>
        <v>45442</v>
      </c>
      <c r="F4252" s="513" t="s">
        <v>1514</v>
      </c>
      <c r="G4252" s="200" t="s">
        <v>1209</v>
      </c>
      <c r="H4252" s="201"/>
      <c r="I4252" s="201"/>
      <c r="J4252" s="197" t="s">
        <v>54</v>
      </c>
      <c r="K4252" s="202">
        <v>120</v>
      </c>
      <c r="L4252" s="202"/>
      <c r="M4252" s="251"/>
      <c r="N4252" s="251"/>
      <c r="O4252" s="251"/>
    </row>
    <row r="4253" spans="1:15" ht="11.25" customHeight="1" x14ac:dyDescent="0.2">
      <c r="A4253" s="191">
        <v>2024</v>
      </c>
      <c r="B4253" s="191">
        <v>5</v>
      </c>
      <c r="C4253" s="191">
        <v>30</v>
      </c>
      <c r="D4253" s="192">
        <f t="shared" si="384"/>
        <v>45442</v>
      </c>
      <c r="E4253" s="291">
        <f t="shared" si="390"/>
        <v>45442</v>
      </c>
      <c r="F4253" s="514"/>
      <c r="G4253" s="194" t="s">
        <v>1209</v>
      </c>
      <c r="H4253" s="195"/>
      <c r="I4253" s="195"/>
      <c r="J4253" s="191" t="s">
        <v>46</v>
      </c>
      <c r="K4253" s="196"/>
      <c r="L4253" s="196">
        <v>120</v>
      </c>
      <c r="M4253" s="251"/>
      <c r="N4253" s="251"/>
      <c r="O4253" s="251"/>
    </row>
    <row r="4254" spans="1:15" ht="11.25" customHeight="1" x14ac:dyDescent="0.2">
      <c r="A4254" s="197">
        <v>2024</v>
      </c>
      <c r="B4254" s="197">
        <v>5</v>
      </c>
      <c r="C4254" s="197">
        <v>30</v>
      </c>
      <c r="D4254" s="198">
        <f t="shared" si="384"/>
        <v>45442</v>
      </c>
      <c r="E4254" s="290">
        <f t="shared" ref="E4254:E4255" si="391">DATE(A4254,B4254,C4254)</f>
        <v>45442</v>
      </c>
      <c r="F4254" s="513" t="s">
        <v>1514</v>
      </c>
      <c r="G4254" s="200" t="s">
        <v>1209</v>
      </c>
      <c r="H4254" s="201"/>
      <c r="I4254" s="201"/>
      <c r="J4254" s="197" t="s">
        <v>54</v>
      </c>
      <c r="K4254" s="202">
        <v>25</v>
      </c>
      <c r="L4254" s="202"/>
      <c r="M4254" s="251"/>
      <c r="N4254" s="251"/>
      <c r="O4254" s="251"/>
    </row>
    <row r="4255" spans="1:15" ht="11.25" customHeight="1" x14ac:dyDescent="0.2">
      <c r="A4255" s="191">
        <v>2024</v>
      </c>
      <c r="B4255" s="191">
        <v>5</v>
      </c>
      <c r="C4255" s="191">
        <v>30</v>
      </c>
      <c r="D4255" s="192">
        <f t="shared" si="384"/>
        <v>45442</v>
      </c>
      <c r="E4255" s="291">
        <f t="shared" si="391"/>
        <v>45442</v>
      </c>
      <c r="F4255" s="514"/>
      <c r="G4255" s="194" t="s">
        <v>1209</v>
      </c>
      <c r="H4255" s="195"/>
      <c r="I4255" s="195"/>
      <c r="J4255" s="191" t="s">
        <v>46</v>
      </c>
      <c r="K4255" s="196"/>
      <c r="L4255" s="196">
        <v>25</v>
      </c>
      <c r="M4255" s="251"/>
      <c r="N4255" s="251"/>
      <c r="O4255" s="251"/>
    </row>
    <row r="4256" spans="1:15" ht="11.25" customHeight="1" x14ac:dyDescent="0.2">
      <c r="A4256" s="344">
        <v>2024</v>
      </c>
      <c r="B4256" s="344">
        <v>5</v>
      </c>
      <c r="C4256" s="344">
        <v>30</v>
      </c>
      <c r="D4256" s="345">
        <f t="shared" si="384"/>
        <v>45442</v>
      </c>
      <c r="E4256" s="346">
        <f t="shared" si="387"/>
        <v>45442</v>
      </c>
      <c r="F4256" s="518" t="s">
        <v>1621</v>
      </c>
      <c r="G4256" s="347" t="s">
        <v>1245</v>
      </c>
      <c r="H4256" s="348"/>
      <c r="I4256" s="348" t="s">
        <v>1253</v>
      </c>
      <c r="J4256" s="344" t="s">
        <v>113</v>
      </c>
      <c r="K4256" s="349">
        <v>136730.76999999999</v>
      </c>
      <c r="L4256" s="349"/>
    </row>
    <row r="4257" spans="1:13" ht="11.25" customHeight="1" x14ac:dyDescent="0.2">
      <c r="A4257" s="350">
        <v>2024</v>
      </c>
      <c r="B4257" s="350">
        <v>5</v>
      </c>
      <c r="C4257" s="350">
        <v>30</v>
      </c>
      <c r="D4257" s="351">
        <f t="shared" si="384"/>
        <v>45442</v>
      </c>
      <c r="E4257" s="352">
        <f t="shared" si="387"/>
        <v>45442</v>
      </c>
      <c r="F4257" s="519"/>
      <c r="G4257" s="353" t="s">
        <v>1245</v>
      </c>
      <c r="H4257" s="354"/>
      <c r="I4257" s="354" t="s">
        <v>1253</v>
      </c>
      <c r="J4257" s="350" t="s">
        <v>153</v>
      </c>
      <c r="K4257" s="355"/>
      <c r="L4257" s="355">
        <v>136730.76999999999</v>
      </c>
    </row>
    <row r="4258" spans="1:13" ht="11.25" customHeight="1" x14ac:dyDescent="0.2">
      <c r="A4258" s="210">
        <v>2024</v>
      </c>
      <c r="B4258" s="210">
        <v>5</v>
      </c>
      <c r="C4258" s="210">
        <v>30</v>
      </c>
      <c r="D4258" s="211">
        <f t="shared" si="384"/>
        <v>45442</v>
      </c>
      <c r="E4258" s="238">
        <f t="shared" si="387"/>
        <v>45442</v>
      </c>
      <c r="F4258" s="520" t="s">
        <v>1278</v>
      </c>
      <c r="G4258" s="213" t="s">
        <v>1245</v>
      </c>
      <c r="H4258" s="214"/>
      <c r="I4258" s="214" t="s">
        <v>1253</v>
      </c>
      <c r="J4258" s="210" t="s">
        <v>1529</v>
      </c>
      <c r="K4258" s="215">
        <v>7491.85</v>
      </c>
      <c r="L4258" s="215"/>
    </row>
    <row r="4259" spans="1:13" ht="11.25" customHeight="1" x14ac:dyDescent="0.2">
      <c r="A4259" s="216">
        <v>2024</v>
      </c>
      <c r="B4259" s="216">
        <v>5</v>
      </c>
      <c r="C4259" s="216">
        <v>30</v>
      </c>
      <c r="D4259" s="217">
        <f t="shared" si="384"/>
        <v>45442</v>
      </c>
      <c r="E4259" s="239">
        <f t="shared" si="387"/>
        <v>45442</v>
      </c>
      <c r="F4259" s="521"/>
      <c r="G4259" s="219" t="s">
        <v>1245</v>
      </c>
      <c r="H4259" s="220"/>
      <c r="I4259" s="220" t="s">
        <v>1253</v>
      </c>
      <c r="J4259" s="216" t="s">
        <v>1581</v>
      </c>
      <c r="K4259" s="221"/>
      <c r="L4259" s="221">
        <v>7491.85</v>
      </c>
    </row>
    <row r="4260" spans="1:13" ht="11.25" customHeight="1" x14ac:dyDescent="0.2">
      <c r="A4260" s="210">
        <v>2024</v>
      </c>
      <c r="B4260" s="210">
        <v>5</v>
      </c>
      <c r="C4260" s="210">
        <v>30</v>
      </c>
      <c r="D4260" s="211">
        <f t="shared" si="384"/>
        <v>45442</v>
      </c>
      <c r="E4260" s="238">
        <f t="shared" si="387"/>
        <v>45442</v>
      </c>
      <c r="F4260" s="520" t="s">
        <v>1285</v>
      </c>
      <c r="G4260" s="213" t="s">
        <v>1245</v>
      </c>
      <c r="H4260" s="214"/>
      <c r="I4260" s="214" t="s">
        <v>1253</v>
      </c>
      <c r="J4260" s="210" t="s">
        <v>1284</v>
      </c>
      <c r="K4260" s="215">
        <v>10290.504807692309</v>
      </c>
      <c r="L4260" s="215"/>
    </row>
    <row r="4261" spans="1:13" ht="11.25" customHeight="1" x14ac:dyDescent="0.2">
      <c r="A4261" s="242">
        <v>2024</v>
      </c>
      <c r="B4261" s="242">
        <v>5</v>
      </c>
      <c r="C4261" s="242">
        <v>30</v>
      </c>
      <c r="D4261" s="243">
        <f t="shared" si="384"/>
        <v>45442</v>
      </c>
      <c r="E4261" s="244">
        <f>DATE(A4261,B4261,C4261)</f>
        <v>45442</v>
      </c>
      <c r="F4261" s="524"/>
      <c r="G4261" s="245" t="s">
        <v>1245</v>
      </c>
      <c r="H4261" s="246"/>
      <c r="I4261" s="246"/>
      <c r="J4261" s="242" t="s">
        <v>1582</v>
      </c>
      <c r="K4261" s="247"/>
      <c r="L4261" s="247">
        <v>10290.504807692309</v>
      </c>
    </row>
    <row r="4262" spans="1:13" ht="11.25" customHeight="1" x14ac:dyDescent="0.2">
      <c r="A4262" s="210">
        <v>2024</v>
      </c>
      <c r="B4262" s="210">
        <v>5</v>
      </c>
      <c r="C4262" s="210">
        <v>30</v>
      </c>
      <c r="D4262" s="211">
        <f t="shared" si="384"/>
        <v>45442</v>
      </c>
      <c r="E4262" s="238">
        <f t="shared" ref="E4262:E4278" si="392">DATE(A4262,B4262,C4262)</f>
        <v>45442</v>
      </c>
      <c r="F4262" s="520" t="s">
        <v>1259</v>
      </c>
      <c r="G4262" s="213" t="s">
        <v>1245</v>
      </c>
      <c r="H4262" s="214"/>
      <c r="I4262" s="214" t="s">
        <v>1253</v>
      </c>
      <c r="J4262" s="210" t="s">
        <v>58</v>
      </c>
      <c r="K4262" s="215">
        <v>10606.98</v>
      </c>
      <c r="L4262" s="215"/>
    </row>
    <row r="4263" spans="1:13" ht="11.25" customHeight="1" x14ac:dyDescent="0.2">
      <c r="A4263" s="216">
        <v>2024</v>
      </c>
      <c r="B4263" s="216">
        <v>5</v>
      </c>
      <c r="C4263" s="216">
        <v>30</v>
      </c>
      <c r="D4263" s="217">
        <f t="shared" si="384"/>
        <v>45442</v>
      </c>
      <c r="E4263" s="239">
        <f t="shared" si="392"/>
        <v>45442</v>
      </c>
      <c r="F4263" s="521"/>
      <c r="G4263" s="219" t="s">
        <v>1245</v>
      </c>
      <c r="H4263" s="220"/>
      <c r="I4263" s="220" t="s">
        <v>1253</v>
      </c>
      <c r="J4263" s="216" t="s">
        <v>153</v>
      </c>
      <c r="K4263" s="221"/>
      <c r="L4263" s="221">
        <v>10606.98</v>
      </c>
    </row>
    <row r="4264" spans="1:13" ht="11.25" customHeight="1" x14ac:dyDescent="0.2">
      <c r="A4264" s="312">
        <v>2024</v>
      </c>
      <c r="B4264" s="312">
        <v>5</v>
      </c>
      <c r="C4264" s="312">
        <v>30</v>
      </c>
      <c r="D4264" s="313">
        <f t="shared" si="384"/>
        <v>45442</v>
      </c>
      <c r="E4264" s="314">
        <f t="shared" si="392"/>
        <v>45442</v>
      </c>
      <c r="F4264" s="522" t="s">
        <v>1477</v>
      </c>
      <c r="G4264" s="315" t="s">
        <v>1245</v>
      </c>
      <c r="H4264" s="316"/>
      <c r="I4264" s="316" t="s">
        <v>1253</v>
      </c>
      <c r="J4264" s="312" t="s">
        <v>1460</v>
      </c>
      <c r="K4264" s="317">
        <v>259824.60000000894</v>
      </c>
      <c r="L4264" s="317"/>
    </row>
    <row r="4265" spans="1:13" ht="11.25" customHeight="1" x14ac:dyDescent="0.2">
      <c r="A4265" s="318">
        <v>2024</v>
      </c>
      <c r="B4265" s="318">
        <v>5</v>
      </c>
      <c r="C4265" s="318">
        <v>30</v>
      </c>
      <c r="D4265" s="319">
        <f t="shared" si="384"/>
        <v>45442</v>
      </c>
      <c r="E4265" s="320">
        <f t="shared" si="392"/>
        <v>45442</v>
      </c>
      <c r="F4265" s="523"/>
      <c r="G4265" s="321" t="s">
        <v>1245</v>
      </c>
      <c r="H4265" s="322"/>
      <c r="I4265" s="322" t="s">
        <v>1253</v>
      </c>
      <c r="J4265" s="318" t="s">
        <v>1458</v>
      </c>
      <c r="K4265" s="323"/>
      <c r="L4265" s="323">
        <f>K4264</f>
        <v>259824.60000000894</v>
      </c>
    </row>
    <row r="4266" spans="1:13" ht="11.25" customHeight="1" x14ac:dyDescent="0.2">
      <c r="A4266" s="312">
        <v>2024</v>
      </c>
      <c r="B4266" s="312">
        <v>5</v>
      </c>
      <c r="C4266" s="312">
        <v>30</v>
      </c>
      <c r="D4266" s="313">
        <f t="shared" si="384"/>
        <v>45442</v>
      </c>
      <c r="E4266" s="314">
        <f t="shared" si="392"/>
        <v>45442</v>
      </c>
      <c r="F4266" s="522" t="s">
        <v>1595</v>
      </c>
      <c r="G4266" s="315" t="s">
        <v>1245</v>
      </c>
      <c r="H4266" s="316"/>
      <c r="I4266" s="316" t="s">
        <v>1253</v>
      </c>
      <c r="J4266" s="312" t="s">
        <v>1461</v>
      </c>
      <c r="K4266" s="317">
        <v>251215.18000002205</v>
      </c>
      <c r="L4266" s="317"/>
    </row>
    <row r="4267" spans="1:13" ht="11.25" customHeight="1" x14ac:dyDescent="0.2">
      <c r="A4267" s="318">
        <v>2024</v>
      </c>
      <c r="B4267" s="318">
        <v>5</v>
      </c>
      <c r="C4267" s="318">
        <v>30</v>
      </c>
      <c r="D4267" s="319">
        <f t="shared" si="384"/>
        <v>45442</v>
      </c>
      <c r="E4267" s="320">
        <f t="shared" si="392"/>
        <v>45442</v>
      </c>
      <c r="F4267" s="523"/>
      <c r="G4267" s="321" t="s">
        <v>1245</v>
      </c>
      <c r="H4267" s="322"/>
      <c r="I4267" s="322" t="s">
        <v>1253</v>
      </c>
      <c r="J4267" s="318" t="s">
        <v>1459</v>
      </c>
      <c r="K4267" s="323"/>
      <c r="L4267" s="323">
        <f>K4266</f>
        <v>251215.18000002205</v>
      </c>
    </row>
    <row r="4268" spans="1:13" ht="11.25" customHeight="1" x14ac:dyDescent="0.2">
      <c r="A4268" s="222">
        <v>2024</v>
      </c>
      <c r="B4268" s="222">
        <v>5</v>
      </c>
      <c r="C4268" s="222">
        <v>30</v>
      </c>
      <c r="D4268" s="223">
        <f t="shared" si="384"/>
        <v>45442</v>
      </c>
      <c r="E4268" s="240">
        <f t="shared" si="392"/>
        <v>45442</v>
      </c>
      <c r="F4268" s="511" t="s">
        <v>1244</v>
      </c>
      <c r="G4268" s="225" t="s">
        <v>1245</v>
      </c>
      <c r="H4268" s="226"/>
      <c r="I4268" s="226" t="s">
        <v>1253</v>
      </c>
      <c r="J4268" s="222" t="s">
        <v>87</v>
      </c>
      <c r="K4268" s="227">
        <v>11654.599999999627</v>
      </c>
      <c r="L4268" s="227"/>
    </row>
    <row r="4269" spans="1:13" ht="11.25" customHeight="1" x14ac:dyDescent="0.2">
      <c r="A4269" s="228">
        <v>2024</v>
      </c>
      <c r="B4269" s="228">
        <v>5</v>
      </c>
      <c r="C4269" s="228">
        <v>30</v>
      </c>
      <c r="D4269" s="229">
        <f t="shared" si="384"/>
        <v>45442</v>
      </c>
      <c r="E4269" s="241">
        <f t="shared" si="392"/>
        <v>45442</v>
      </c>
      <c r="F4269" s="512"/>
      <c r="G4269" s="231" t="s">
        <v>1245</v>
      </c>
      <c r="H4269" s="232"/>
      <c r="I4269" s="232" t="s">
        <v>1253</v>
      </c>
      <c r="J4269" s="228" t="s">
        <v>72</v>
      </c>
      <c r="K4269" s="233"/>
      <c r="L4269" s="233">
        <f>K4268</f>
        <v>11654.599999999627</v>
      </c>
    </row>
    <row r="4270" spans="1:13" ht="11.25" customHeight="1" x14ac:dyDescent="0.2">
      <c r="A4270" s="222">
        <v>2024</v>
      </c>
      <c r="B4270" s="222">
        <v>5</v>
      </c>
      <c r="C4270" s="222">
        <v>30</v>
      </c>
      <c r="D4270" s="223">
        <f t="shared" si="384"/>
        <v>45442</v>
      </c>
      <c r="E4270" s="240">
        <f t="shared" si="392"/>
        <v>45442</v>
      </c>
      <c r="F4270" s="511" t="s">
        <v>1246</v>
      </c>
      <c r="G4270" s="225" t="s">
        <v>1245</v>
      </c>
      <c r="H4270" s="226"/>
      <c r="I4270" s="226" t="s">
        <v>1253</v>
      </c>
      <c r="J4270" s="222" t="s">
        <v>75</v>
      </c>
      <c r="K4270" s="227">
        <v>3623.123846153846</v>
      </c>
      <c r="L4270" s="227"/>
    </row>
    <row r="4271" spans="1:13" ht="11.25" customHeight="1" x14ac:dyDescent="0.2">
      <c r="A4271" s="228">
        <v>2024</v>
      </c>
      <c r="B4271" s="228">
        <v>5</v>
      </c>
      <c r="C4271" s="228">
        <v>30</v>
      </c>
      <c r="D4271" s="229">
        <f t="shared" si="384"/>
        <v>45442</v>
      </c>
      <c r="E4271" s="241">
        <f t="shared" si="392"/>
        <v>45442</v>
      </c>
      <c r="F4271" s="512"/>
      <c r="G4271" s="231" t="s">
        <v>1245</v>
      </c>
      <c r="H4271" s="232"/>
      <c r="I4271" s="232" t="s">
        <v>1253</v>
      </c>
      <c r="J4271" s="228" t="s">
        <v>55</v>
      </c>
      <c r="K4271" s="233"/>
      <c r="L4271" s="233">
        <v>3623.123846153846</v>
      </c>
    </row>
    <row r="4272" spans="1:13" ht="11.25" customHeight="1" x14ac:dyDescent="0.2">
      <c r="A4272" s="222">
        <v>2024</v>
      </c>
      <c r="B4272" s="222">
        <v>5</v>
      </c>
      <c r="C4272" s="222">
        <v>30</v>
      </c>
      <c r="D4272" s="223">
        <f t="shared" si="384"/>
        <v>45442</v>
      </c>
      <c r="E4272" s="240">
        <f t="shared" si="392"/>
        <v>45442</v>
      </c>
      <c r="F4272" s="511" t="s">
        <v>1247</v>
      </c>
      <c r="G4272" s="225" t="s">
        <v>1245</v>
      </c>
      <c r="H4272" s="226"/>
      <c r="I4272" s="226" t="s">
        <v>1253</v>
      </c>
      <c r="J4272" s="222" t="s">
        <v>77</v>
      </c>
      <c r="K4272" s="227">
        <f>M4272</f>
        <v>27372.003070442435</v>
      </c>
      <c r="L4272" s="227"/>
      <c r="M4272" s="120">
        <v>27372.003070442435</v>
      </c>
    </row>
    <row r="4273" spans="1:15" ht="11.25" customHeight="1" x14ac:dyDescent="0.2">
      <c r="A4273" s="228">
        <v>2024</v>
      </c>
      <c r="B4273" s="228">
        <v>5</v>
      </c>
      <c r="C4273" s="228">
        <v>30</v>
      </c>
      <c r="D4273" s="229">
        <f t="shared" si="384"/>
        <v>45442</v>
      </c>
      <c r="E4273" s="241">
        <f t="shared" si="392"/>
        <v>45442</v>
      </c>
      <c r="F4273" s="512"/>
      <c r="G4273" s="231" t="s">
        <v>1245</v>
      </c>
      <c r="H4273" s="232"/>
      <c r="I4273" s="232" t="s">
        <v>1253</v>
      </c>
      <c r="J4273" s="228" t="s">
        <v>41</v>
      </c>
      <c r="K4273" s="233"/>
      <c r="L4273" s="233">
        <f>K4272</f>
        <v>27372.003070442435</v>
      </c>
      <c r="M4273" s="120">
        <v>2737.2003070442438</v>
      </c>
    </row>
    <row r="4274" spans="1:15" ht="11.25" customHeight="1" x14ac:dyDescent="0.2">
      <c r="A4274" s="222">
        <v>2024</v>
      </c>
      <c r="B4274" s="222">
        <v>5</v>
      </c>
      <c r="C4274" s="222">
        <v>30</v>
      </c>
      <c r="D4274" s="223">
        <f t="shared" si="384"/>
        <v>45442</v>
      </c>
      <c r="E4274" s="240">
        <f t="shared" si="392"/>
        <v>45442</v>
      </c>
      <c r="F4274" s="511" t="s">
        <v>1248</v>
      </c>
      <c r="G4274" s="225" t="s">
        <v>1245</v>
      </c>
      <c r="H4274" s="226"/>
      <c r="I4274" s="226" t="s">
        <v>1253</v>
      </c>
      <c r="J4274" s="222" t="s">
        <v>80</v>
      </c>
      <c r="K4274" s="227">
        <f>M4273</f>
        <v>2737.2003070442438</v>
      </c>
      <c r="L4274" s="227"/>
    </row>
    <row r="4275" spans="1:15" ht="11.25" customHeight="1" x14ac:dyDescent="0.2">
      <c r="A4275" s="228">
        <v>2024</v>
      </c>
      <c r="B4275" s="228">
        <v>5</v>
      </c>
      <c r="C4275" s="228">
        <v>30</v>
      </c>
      <c r="D4275" s="229">
        <f t="shared" si="384"/>
        <v>45442</v>
      </c>
      <c r="E4275" s="241">
        <f t="shared" si="392"/>
        <v>45442</v>
      </c>
      <c r="F4275" s="512"/>
      <c r="G4275" s="231" t="s">
        <v>1245</v>
      </c>
      <c r="H4275" s="232"/>
      <c r="I4275" s="232" t="s">
        <v>1253</v>
      </c>
      <c r="J4275" s="228" t="s">
        <v>42</v>
      </c>
      <c r="K4275" s="233"/>
      <c r="L4275" s="233">
        <f>K4274</f>
        <v>2737.2003070442438</v>
      </c>
    </row>
    <row r="4276" spans="1:15" ht="11.25" customHeight="1" x14ac:dyDescent="0.2">
      <c r="A4276" s="197">
        <v>2024</v>
      </c>
      <c r="B4276" s="197">
        <v>6</v>
      </c>
      <c r="C4276" s="197">
        <v>2</v>
      </c>
      <c r="D4276" s="198">
        <f t="shared" si="384"/>
        <v>45445</v>
      </c>
      <c r="E4276" s="209">
        <f t="shared" si="392"/>
        <v>45445</v>
      </c>
      <c r="F4276" s="513" t="s">
        <v>1210</v>
      </c>
      <c r="G4276" s="200" t="s">
        <v>1209</v>
      </c>
      <c r="H4276" s="201"/>
      <c r="I4276" s="201"/>
      <c r="J4276" s="197" t="s">
        <v>46</v>
      </c>
      <c r="K4276" s="202">
        <v>500000</v>
      </c>
      <c r="L4276" s="202"/>
    </row>
    <row r="4277" spans="1:15" ht="11.25" customHeight="1" x14ac:dyDescent="0.2">
      <c r="A4277" s="120">
        <v>2024</v>
      </c>
      <c r="B4277" s="120">
        <v>6</v>
      </c>
      <c r="C4277" s="120">
        <v>2</v>
      </c>
      <c r="D4277" s="208">
        <f t="shared" si="384"/>
        <v>45445</v>
      </c>
      <c r="E4277" s="209">
        <f t="shared" si="392"/>
        <v>45445</v>
      </c>
      <c r="F4277" s="515"/>
      <c r="G4277" s="132" t="s">
        <v>1209</v>
      </c>
      <c r="J4277" s="120" t="s">
        <v>16</v>
      </c>
      <c r="K4277" s="207"/>
      <c r="L4277" s="207">
        <v>451180</v>
      </c>
    </row>
    <row r="4278" spans="1:15" ht="11.25" customHeight="1" x14ac:dyDescent="0.2">
      <c r="A4278" s="191">
        <v>2024</v>
      </c>
      <c r="B4278" s="191">
        <v>6</v>
      </c>
      <c r="C4278" s="191">
        <v>2</v>
      </c>
      <c r="D4278" s="192">
        <f t="shared" si="384"/>
        <v>45445</v>
      </c>
      <c r="E4278" s="193">
        <f t="shared" si="392"/>
        <v>45445</v>
      </c>
      <c r="F4278" s="514"/>
      <c r="G4278" s="194" t="s">
        <v>1209</v>
      </c>
      <c r="H4278" s="195"/>
      <c r="I4278" s="195"/>
      <c r="J4278" s="191" t="s">
        <v>47</v>
      </c>
      <c r="K4278" s="196"/>
      <c r="L4278" s="196">
        <v>48820</v>
      </c>
    </row>
    <row r="4279" spans="1:15" ht="11.25" customHeight="1" x14ac:dyDescent="0.2">
      <c r="A4279" s="197">
        <v>2024</v>
      </c>
      <c r="B4279" s="197">
        <v>6</v>
      </c>
      <c r="C4279" s="197">
        <v>2</v>
      </c>
      <c r="D4279" s="198">
        <f t="shared" si="384"/>
        <v>45445</v>
      </c>
      <c r="E4279" s="209">
        <f t="shared" ref="E4279:E4283" si="393">DATE(A4279,B4279,C4279)</f>
        <v>45445</v>
      </c>
      <c r="F4279" s="513" t="s">
        <v>1210</v>
      </c>
      <c r="G4279" s="200" t="s">
        <v>1209</v>
      </c>
      <c r="H4279" s="201"/>
      <c r="I4279" s="201" t="s">
        <v>1643</v>
      </c>
      <c r="J4279" s="197" t="s">
        <v>46</v>
      </c>
      <c r="K4279" s="202">
        <v>2000000</v>
      </c>
      <c r="L4279" s="202"/>
    </row>
    <row r="4280" spans="1:15" ht="11.25" customHeight="1" x14ac:dyDescent="0.2">
      <c r="A4280" s="120">
        <v>2024</v>
      </c>
      <c r="B4280" s="120">
        <v>6</v>
      </c>
      <c r="C4280" s="120">
        <v>2</v>
      </c>
      <c r="D4280" s="208">
        <f t="shared" si="384"/>
        <v>45445</v>
      </c>
      <c r="E4280" s="209">
        <f t="shared" si="393"/>
        <v>45445</v>
      </c>
      <c r="F4280" s="515"/>
      <c r="G4280" s="132" t="s">
        <v>1209</v>
      </c>
      <c r="I4280" s="128" t="s">
        <v>1643</v>
      </c>
      <c r="J4280" s="120" t="s">
        <v>16</v>
      </c>
      <c r="K4280" s="207"/>
      <c r="L4280" s="207">
        <v>1804730</v>
      </c>
    </row>
    <row r="4281" spans="1:15" ht="11.25" customHeight="1" x14ac:dyDescent="0.2">
      <c r="A4281" s="191">
        <v>2024</v>
      </c>
      <c r="B4281" s="191">
        <v>6</v>
      </c>
      <c r="C4281" s="191">
        <v>2</v>
      </c>
      <c r="D4281" s="192">
        <f t="shared" si="384"/>
        <v>45445</v>
      </c>
      <c r="E4281" s="193">
        <f t="shared" si="393"/>
        <v>45445</v>
      </c>
      <c r="F4281" s="514"/>
      <c r="G4281" s="194" t="s">
        <v>1209</v>
      </c>
      <c r="H4281" s="195"/>
      <c r="I4281" s="195" t="s">
        <v>1643</v>
      </c>
      <c r="J4281" s="191" t="s">
        <v>47</v>
      </c>
      <c r="K4281" s="196"/>
      <c r="L4281" s="196">
        <v>195270</v>
      </c>
    </row>
    <row r="4282" spans="1:15" ht="11.25" customHeight="1" x14ac:dyDescent="0.2">
      <c r="A4282" s="197">
        <v>2024</v>
      </c>
      <c r="B4282" s="197">
        <v>6</v>
      </c>
      <c r="C4282" s="197">
        <v>2</v>
      </c>
      <c r="D4282" s="198">
        <f t="shared" si="384"/>
        <v>45445</v>
      </c>
      <c r="E4282" s="290">
        <f t="shared" si="393"/>
        <v>45445</v>
      </c>
      <c r="F4282" s="513" t="s">
        <v>1514</v>
      </c>
      <c r="G4282" s="200" t="s">
        <v>1209</v>
      </c>
      <c r="H4282" s="201"/>
      <c r="I4282" s="201"/>
      <c r="J4282" s="197" t="s">
        <v>54</v>
      </c>
      <c r="K4282" s="202">
        <v>120</v>
      </c>
      <c r="L4282" s="202"/>
      <c r="M4282" s="251"/>
      <c r="N4282" s="251"/>
      <c r="O4282" s="251"/>
    </row>
    <row r="4283" spans="1:15" ht="11.25" customHeight="1" x14ac:dyDescent="0.2">
      <c r="A4283" s="191">
        <v>2024</v>
      </c>
      <c r="B4283" s="191">
        <v>6</v>
      </c>
      <c r="C4283" s="191">
        <v>2</v>
      </c>
      <c r="D4283" s="192">
        <f t="shared" si="384"/>
        <v>45445</v>
      </c>
      <c r="E4283" s="291">
        <f t="shared" si="393"/>
        <v>45445</v>
      </c>
      <c r="F4283" s="514"/>
      <c r="G4283" s="194" t="s">
        <v>1209</v>
      </c>
      <c r="H4283" s="195"/>
      <c r="I4283" s="195"/>
      <c r="J4283" s="191" t="s">
        <v>46</v>
      </c>
      <c r="K4283" s="196"/>
      <c r="L4283" s="196">
        <v>120</v>
      </c>
      <c r="M4283" s="251"/>
      <c r="N4283" s="251"/>
      <c r="O4283" s="251"/>
    </row>
    <row r="4284" spans="1:15" ht="11.25" customHeight="1" x14ac:dyDescent="0.2">
      <c r="A4284" s="197">
        <v>2024</v>
      </c>
      <c r="B4284" s="197">
        <v>6</v>
      </c>
      <c r="C4284" s="197">
        <v>2</v>
      </c>
      <c r="D4284" s="198">
        <f t="shared" si="384"/>
        <v>45445</v>
      </c>
      <c r="E4284" s="209">
        <f t="shared" ref="E4284:E4290" si="394">DATE(A4284,B4284,C4284)</f>
        <v>45445</v>
      </c>
      <c r="F4284" s="513" t="s">
        <v>1210</v>
      </c>
      <c r="G4284" s="200" t="s">
        <v>1209</v>
      </c>
      <c r="H4284" s="201"/>
      <c r="I4284" s="201" t="s">
        <v>1335</v>
      </c>
      <c r="J4284" s="197" t="s">
        <v>46</v>
      </c>
      <c r="K4284" s="202">
        <v>293000</v>
      </c>
      <c r="L4284" s="202"/>
    </row>
    <row r="4285" spans="1:15" ht="11.25" customHeight="1" x14ac:dyDescent="0.2">
      <c r="A4285" s="120">
        <v>2024</v>
      </c>
      <c r="B4285" s="120">
        <v>6</v>
      </c>
      <c r="C4285" s="120">
        <v>2</v>
      </c>
      <c r="D4285" s="208">
        <f t="shared" si="384"/>
        <v>45445</v>
      </c>
      <c r="E4285" s="209">
        <f t="shared" si="394"/>
        <v>45445</v>
      </c>
      <c r="F4285" s="515"/>
      <c r="G4285" s="132" t="s">
        <v>1209</v>
      </c>
      <c r="I4285" s="128" t="s">
        <v>1335</v>
      </c>
      <c r="J4285" s="120" t="s">
        <v>16</v>
      </c>
      <c r="K4285" s="207"/>
      <c r="L4285" s="207">
        <v>264390</v>
      </c>
    </row>
    <row r="4286" spans="1:15" ht="11.25" customHeight="1" x14ac:dyDescent="0.2">
      <c r="A4286" s="191">
        <v>2024</v>
      </c>
      <c r="B4286" s="191">
        <v>6</v>
      </c>
      <c r="C4286" s="191">
        <v>2</v>
      </c>
      <c r="D4286" s="192">
        <f t="shared" si="384"/>
        <v>45445</v>
      </c>
      <c r="E4286" s="193">
        <f t="shared" si="394"/>
        <v>45445</v>
      </c>
      <c r="F4286" s="514"/>
      <c r="G4286" s="194" t="s">
        <v>1209</v>
      </c>
      <c r="H4286" s="195"/>
      <c r="I4286" s="195" t="s">
        <v>1335</v>
      </c>
      <c r="J4286" s="191" t="s">
        <v>47</v>
      </c>
      <c r="K4286" s="196"/>
      <c r="L4286" s="196">
        <v>28610</v>
      </c>
    </row>
    <row r="4287" spans="1:15" ht="11.25" customHeight="1" x14ac:dyDescent="0.2">
      <c r="A4287" s="197">
        <v>2024</v>
      </c>
      <c r="B4287" s="197">
        <v>6</v>
      </c>
      <c r="C4287" s="197">
        <v>2</v>
      </c>
      <c r="D4287" s="198">
        <f t="shared" si="384"/>
        <v>45445</v>
      </c>
      <c r="E4287" s="199">
        <f t="shared" si="394"/>
        <v>45445</v>
      </c>
      <c r="F4287" s="513" t="s">
        <v>1279</v>
      </c>
      <c r="G4287" s="200" t="s">
        <v>1209</v>
      </c>
      <c r="H4287" s="201"/>
      <c r="I4287" s="201" t="s">
        <v>1253</v>
      </c>
      <c r="J4287" s="197" t="s">
        <v>76</v>
      </c>
      <c r="K4287" s="202">
        <v>5500000</v>
      </c>
      <c r="L4287" s="202"/>
    </row>
    <row r="4288" spans="1:15" ht="11.25" customHeight="1" x14ac:dyDescent="0.2">
      <c r="A4288" s="191">
        <v>2024</v>
      </c>
      <c r="B4288" s="191">
        <v>6</v>
      </c>
      <c r="C4288" s="191">
        <v>2</v>
      </c>
      <c r="D4288" s="192">
        <f t="shared" si="384"/>
        <v>45445</v>
      </c>
      <c r="E4288" s="193">
        <f t="shared" si="394"/>
        <v>45445</v>
      </c>
      <c r="F4288" s="514"/>
      <c r="G4288" s="194" t="s">
        <v>1209</v>
      </c>
      <c r="H4288" s="195"/>
      <c r="I4288" s="195" t="s">
        <v>1253</v>
      </c>
      <c r="J4288" s="191" t="s">
        <v>46</v>
      </c>
      <c r="K4288" s="196"/>
      <c r="L4288" s="196">
        <v>5500000</v>
      </c>
    </row>
    <row r="4289" spans="1:15" ht="11.25" customHeight="1" x14ac:dyDescent="0.2">
      <c r="A4289" s="197">
        <v>2024</v>
      </c>
      <c r="B4289" s="197">
        <v>6</v>
      </c>
      <c r="C4289" s="197">
        <v>2</v>
      </c>
      <c r="D4289" s="198">
        <f t="shared" si="384"/>
        <v>45445</v>
      </c>
      <c r="E4289" s="290">
        <f t="shared" si="394"/>
        <v>45445</v>
      </c>
      <c r="F4289" s="513" t="s">
        <v>1514</v>
      </c>
      <c r="G4289" s="200" t="s">
        <v>1209</v>
      </c>
      <c r="H4289" s="201"/>
      <c r="I4289" s="201"/>
      <c r="J4289" s="197" t="s">
        <v>54</v>
      </c>
      <c r="K4289" s="202">
        <v>100</v>
      </c>
      <c r="L4289" s="202"/>
      <c r="M4289" s="251"/>
      <c r="N4289" s="251"/>
      <c r="O4289" s="251"/>
    </row>
    <row r="4290" spans="1:15" ht="11.25" customHeight="1" x14ac:dyDescent="0.2">
      <c r="A4290" s="191">
        <v>2024</v>
      </c>
      <c r="B4290" s="191">
        <v>6</v>
      </c>
      <c r="C4290" s="191">
        <v>2</v>
      </c>
      <c r="D4290" s="192">
        <f t="shared" ref="D4290:D4353" si="395">DATE(A4290,B4290,C4290)</f>
        <v>45445</v>
      </c>
      <c r="E4290" s="291">
        <f t="shared" si="394"/>
        <v>45445</v>
      </c>
      <c r="F4290" s="514"/>
      <c r="G4290" s="194" t="s">
        <v>1209</v>
      </c>
      <c r="H4290" s="195"/>
      <c r="I4290" s="195"/>
      <c r="J4290" s="191" t="s">
        <v>46</v>
      </c>
      <c r="K4290" s="196"/>
      <c r="L4290" s="196">
        <v>100</v>
      </c>
      <c r="M4290" s="251"/>
      <c r="N4290" s="251"/>
      <c r="O4290" s="251"/>
    </row>
    <row r="4291" spans="1:15" ht="11.25" customHeight="1" x14ac:dyDescent="0.2">
      <c r="A4291" s="197">
        <v>2024</v>
      </c>
      <c r="B4291" s="197">
        <v>6</v>
      </c>
      <c r="C4291" s="197">
        <v>3</v>
      </c>
      <c r="D4291" s="198">
        <f t="shared" si="395"/>
        <v>45446</v>
      </c>
      <c r="E4291" s="209">
        <f t="shared" ref="E4291:E4304" si="396">DATE(A4291,B4291,C4291)</f>
        <v>45446</v>
      </c>
      <c r="F4291" s="513" t="s">
        <v>1210</v>
      </c>
      <c r="G4291" s="200" t="s">
        <v>1209</v>
      </c>
      <c r="H4291" s="201"/>
      <c r="I4291" s="201" t="s">
        <v>1504</v>
      </c>
      <c r="J4291" s="197" t="s">
        <v>46</v>
      </c>
      <c r="K4291" s="202">
        <v>498500</v>
      </c>
      <c r="L4291" s="202"/>
    </row>
    <row r="4292" spans="1:15" ht="11.25" customHeight="1" x14ac:dyDescent="0.2">
      <c r="A4292" s="120">
        <v>2024</v>
      </c>
      <c r="B4292" s="120">
        <v>6</v>
      </c>
      <c r="C4292" s="120">
        <v>3</v>
      </c>
      <c r="D4292" s="208">
        <f t="shared" si="395"/>
        <v>45446</v>
      </c>
      <c r="E4292" s="209">
        <f t="shared" si="396"/>
        <v>45446</v>
      </c>
      <c r="F4292" s="515"/>
      <c r="G4292" s="132" t="s">
        <v>1209</v>
      </c>
      <c r="I4292" s="128" t="s">
        <v>1504</v>
      </c>
      <c r="J4292" s="120" t="s">
        <v>16</v>
      </c>
      <c r="K4292" s="207"/>
      <c r="L4292" s="207">
        <v>449830</v>
      </c>
    </row>
    <row r="4293" spans="1:15" ht="11.25" customHeight="1" x14ac:dyDescent="0.2">
      <c r="A4293" s="191">
        <v>2024</v>
      </c>
      <c r="B4293" s="191">
        <v>6</v>
      </c>
      <c r="C4293" s="191">
        <v>3</v>
      </c>
      <c r="D4293" s="192">
        <f t="shared" si="395"/>
        <v>45446</v>
      </c>
      <c r="E4293" s="193">
        <f t="shared" si="396"/>
        <v>45446</v>
      </c>
      <c r="F4293" s="514"/>
      <c r="G4293" s="194" t="s">
        <v>1209</v>
      </c>
      <c r="H4293" s="195"/>
      <c r="I4293" s="195" t="s">
        <v>1504</v>
      </c>
      <c r="J4293" s="191" t="s">
        <v>47</v>
      </c>
      <c r="K4293" s="196"/>
      <c r="L4293" s="196">
        <v>48670</v>
      </c>
    </row>
    <row r="4294" spans="1:15" ht="11.25" customHeight="1" x14ac:dyDescent="0.2">
      <c r="A4294" s="197">
        <v>2024</v>
      </c>
      <c r="B4294" s="197">
        <v>6</v>
      </c>
      <c r="C4294" s="197">
        <v>3</v>
      </c>
      <c r="D4294" s="198">
        <f t="shared" si="395"/>
        <v>45446</v>
      </c>
      <c r="E4294" s="290">
        <f t="shared" si="396"/>
        <v>45446</v>
      </c>
      <c r="F4294" s="513" t="s">
        <v>1514</v>
      </c>
      <c r="G4294" s="200" t="s">
        <v>1209</v>
      </c>
      <c r="H4294" s="201"/>
      <c r="I4294" s="201"/>
      <c r="J4294" s="197" t="s">
        <v>54</v>
      </c>
      <c r="K4294" s="202">
        <v>10</v>
      </c>
      <c r="L4294" s="202"/>
      <c r="M4294" s="251"/>
      <c r="N4294" s="251"/>
      <c r="O4294" s="251"/>
    </row>
    <row r="4295" spans="1:15" ht="11.25" customHeight="1" x14ac:dyDescent="0.2">
      <c r="A4295" s="191">
        <v>2024</v>
      </c>
      <c r="B4295" s="191">
        <v>6</v>
      </c>
      <c r="C4295" s="191">
        <v>3</v>
      </c>
      <c r="D4295" s="192">
        <f t="shared" si="395"/>
        <v>45446</v>
      </c>
      <c r="E4295" s="291">
        <f t="shared" si="396"/>
        <v>45446</v>
      </c>
      <c r="F4295" s="514"/>
      <c r="G4295" s="194" t="s">
        <v>1209</v>
      </c>
      <c r="H4295" s="195"/>
      <c r="I4295" s="195"/>
      <c r="J4295" s="191" t="s">
        <v>46</v>
      </c>
      <c r="K4295" s="196"/>
      <c r="L4295" s="196">
        <v>10</v>
      </c>
      <c r="M4295" s="251"/>
      <c r="N4295" s="251"/>
      <c r="O4295" s="251"/>
    </row>
    <row r="4296" spans="1:15" ht="11.25" customHeight="1" x14ac:dyDescent="0.2">
      <c r="A4296" s="197">
        <v>2024</v>
      </c>
      <c r="B4296" s="197">
        <v>6</v>
      </c>
      <c r="C4296" s="197">
        <v>3</v>
      </c>
      <c r="D4296" s="198">
        <f t="shared" si="395"/>
        <v>45446</v>
      </c>
      <c r="E4296" s="199">
        <f t="shared" si="396"/>
        <v>45446</v>
      </c>
      <c r="F4296" s="513" t="s">
        <v>1279</v>
      </c>
      <c r="G4296" s="200" t="s">
        <v>1209</v>
      </c>
      <c r="H4296" s="201"/>
      <c r="I4296" s="201" t="s">
        <v>1253</v>
      </c>
      <c r="J4296" s="197" t="s">
        <v>76</v>
      </c>
      <c r="K4296" s="202">
        <v>4500000</v>
      </c>
      <c r="L4296" s="202"/>
    </row>
    <row r="4297" spans="1:15" ht="11.25" customHeight="1" x14ac:dyDescent="0.2">
      <c r="A4297" s="191">
        <v>2024</v>
      </c>
      <c r="B4297" s="191">
        <v>6</v>
      </c>
      <c r="C4297" s="191">
        <v>3</v>
      </c>
      <c r="D4297" s="192">
        <f t="shared" si="395"/>
        <v>45446</v>
      </c>
      <c r="E4297" s="193">
        <f t="shared" si="396"/>
        <v>45446</v>
      </c>
      <c r="F4297" s="514"/>
      <c r="G4297" s="194" t="s">
        <v>1209</v>
      </c>
      <c r="H4297" s="195"/>
      <c r="I4297" s="195" t="s">
        <v>1253</v>
      </c>
      <c r="J4297" s="191" t="s">
        <v>46</v>
      </c>
      <c r="K4297" s="196"/>
      <c r="L4297" s="196">
        <v>4500000</v>
      </c>
    </row>
    <row r="4298" spans="1:15" ht="11.25" customHeight="1" x14ac:dyDescent="0.2">
      <c r="A4298" s="197">
        <v>2024</v>
      </c>
      <c r="B4298" s="197">
        <v>6</v>
      </c>
      <c r="C4298" s="197">
        <v>3</v>
      </c>
      <c r="D4298" s="198">
        <f t="shared" si="395"/>
        <v>45446</v>
      </c>
      <c r="E4298" s="290">
        <f t="shared" si="396"/>
        <v>45446</v>
      </c>
      <c r="F4298" s="513" t="s">
        <v>1514</v>
      </c>
      <c r="G4298" s="200" t="s">
        <v>1209</v>
      </c>
      <c r="H4298" s="201"/>
      <c r="I4298" s="201"/>
      <c r="J4298" s="197" t="s">
        <v>54</v>
      </c>
      <c r="K4298" s="202">
        <v>100</v>
      </c>
      <c r="L4298" s="202"/>
      <c r="M4298" s="251"/>
      <c r="N4298" s="251"/>
      <c r="O4298" s="251"/>
    </row>
    <row r="4299" spans="1:15" ht="11.25" customHeight="1" x14ac:dyDescent="0.2">
      <c r="A4299" s="191">
        <v>2024</v>
      </c>
      <c r="B4299" s="191">
        <v>6</v>
      </c>
      <c r="C4299" s="191">
        <v>3</v>
      </c>
      <c r="D4299" s="192">
        <f t="shared" si="395"/>
        <v>45446</v>
      </c>
      <c r="E4299" s="291">
        <f t="shared" si="396"/>
        <v>45446</v>
      </c>
      <c r="F4299" s="514"/>
      <c r="G4299" s="194" t="s">
        <v>1209</v>
      </c>
      <c r="H4299" s="195"/>
      <c r="I4299" s="195"/>
      <c r="J4299" s="191" t="s">
        <v>46</v>
      </c>
      <c r="K4299" s="196"/>
      <c r="L4299" s="196">
        <v>100</v>
      </c>
      <c r="M4299" s="251"/>
      <c r="N4299" s="251"/>
      <c r="O4299" s="251"/>
    </row>
    <row r="4300" spans="1:15" ht="11.25" customHeight="1" x14ac:dyDescent="0.2">
      <c r="A4300" s="197">
        <v>2024</v>
      </c>
      <c r="B4300" s="197">
        <v>6</v>
      </c>
      <c r="C4300" s="197">
        <v>3</v>
      </c>
      <c r="D4300" s="198">
        <f t="shared" si="395"/>
        <v>45446</v>
      </c>
      <c r="E4300" s="199">
        <f t="shared" si="396"/>
        <v>45446</v>
      </c>
      <c r="F4300" s="513" t="s">
        <v>1645</v>
      </c>
      <c r="G4300" s="200" t="s">
        <v>1209</v>
      </c>
      <c r="H4300" s="201"/>
      <c r="I4300" s="201" t="s">
        <v>1253</v>
      </c>
      <c r="J4300" s="197" t="s">
        <v>46</v>
      </c>
      <c r="K4300" s="202">
        <v>35200000</v>
      </c>
      <c r="L4300" s="202"/>
    </row>
    <row r="4301" spans="1:15" ht="11.25" customHeight="1" x14ac:dyDescent="0.2">
      <c r="A4301" s="120">
        <v>2024</v>
      </c>
      <c r="B4301" s="120">
        <v>6</v>
      </c>
      <c r="C4301" s="120">
        <v>3</v>
      </c>
      <c r="D4301" s="208">
        <f t="shared" si="395"/>
        <v>45446</v>
      </c>
      <c r="E4301" s="209">
        <f t="shared" si="396"/>
        <v>45446</v>
      </c>
      <c r="F4301" s="515"/>
      <c r="G4301" s="132" t="s">
        <v>1209</v>
      </c>
      <c r="J4301" s="120" t="s">
        <v>1462</v>
      </c>
      <c r="K4301" s="328"/>
      <c r="L4301" s="207">
        <v>911158.2</v>
      </c>
    </row>
    <row r="4302" spans="1:15" ht="11.25" customHeight="1" x14ac:dyDescent="0.2">
      <c r="A4302" s="191">
        <v>2024</v>
      </c>
      <c r="B4302" s="191">
        <v>6</v>
      </c>
      <c r="C4302" s="191">
        <v>3</v>
      </c>
      <c r="D4302" s="192">
        <f t="shared" si="395"/>
        <v>45446</v>
      </c>
      <c r="E4302" s="193">
        <f t="shared" si="396"/>
        <v>45446</v>
      </c>
      <c r="F4302" s="514"/>
      <c r="G4302" s="194" t="s">
        <v>1209</v>
      </c>
      <c r="H4302" s="195"/>
      <c r="I4302" s="195" t="s">
        <v>1253</v>
      </c>
      <c r="J4302" s="191" t="s">
        <v>1455</v>
      </c>
      <c r="K4302" s="196"/>
      <c r="L4302" s="196">
        <v>34288841.799999997</v>
      </c>
      <c r="N4302" s="130"/>
    </row>
    <row r="4303" spans="1:15" ht="11.25" customHeight="1" x14ac:dyDescent="0.2">
      <c r="A4303" s="197">
        <v>2024</v>
      </c>
      <c r="B4303" s="197">
        <v>6</v>
      </c>
      <c r="C4303" s="197">
        <v>3</v>
      </c>
      <c r="D4303" s="198">
        <f t="shared" si="395"/>
        <v>45446</v>
      </c>
      <c r="E4303" s="199">
        <f t="shared" si="396"/>
        <v>45446</v>
      </c>
      <c r="F4303" s="513" t="s">
        <v>1638</v>
      </c>
      <c r="G4303" s="200" t="s">
        <v>1209</v>
      </c>
      <c r="H4303" s="201"/>
      <c r="I4303" s="201" t="s">
        <v>1253</v>
      </c>
      <c r="J4303" s="197" t="s">
        <v>1455</v>
      </c>
      <c r="K4303" s="202">
        <v>33040350</v>
      </c>
      <c r="L4303" s="202"/>
    </row>
    <row r="4304" spans="1:15" ht="11.25" customHeight="1" x14ac:dyDescent="0.2">
      <c r="A4304" s="191">
        <v>2024</v>
      </c>
      <c r="B4304" s="191">
        <v>6</v>
      </c>
      <c r="C4304" s="191">
        <v>3</v>
      </c>
      <c r="D4304" s="192">
        <f t="shared" si="395"/>
        <v>45446</v>
      </c>
      <c r="E4304" s="193">
        <f t="shared" si="396"/>
        <v>45446</v>
      </c>
      <c r="F4304" s="514"/>
      <c r="G4304" s="194" t="s">
        <v>1209</v>
      </c>
      <c r="H4304" s="195"/>
      <c r="I4304" s="195" t="s">
        <v>1253</v>
      </c>
      <c r="J4304" s="191" t="s">
        <v>46</v>
      </c>
      <c r="K4304" s="196"/>
      <c r="L4304" s="196">
        <v>33040350</v>
      </c>
      <c r="N4304" s="130"/>
    </row>
    <row r="4305" spans="1:15" ht="11.25" customHeight="1" x14ac:dyDescent="0.2">
      <c r="A4305" s="197">
        <v>2024</v>
      </c>
      <c r="B4305" s="197">
        <v>6</v>
      </c>
      <c r="C4305" s="197">
        <v>4</v>
      </c>
      <c r="D4305" s="198">
        <f t="shared" si="395"/>
        <v>45447</v>
      </c>
      <c r="E4305" s="209">
        <f t="shared" ref="E4305:E4311" si="397">DATE(A4305,B4305,C4305)</f>
        <v>45447</v>
      </c>
      <c r="F4305" s="513" t="s">
        <v>1210</v>
      </c>
      <c r="G4305" s="200" t="s">
        <v>1209</v>
      </c>
      <c r="H4305" s="201"/>
      <c r="I4305" s="201" t="s">
        <v>1644</v>
      </c>
      <c r="J4305" s="197" t="s">
        <v>46</v>
      </c>
      <c r="K4305" s="202">
        <v>40000000</v>
      </c>
      <c r="L4305" s="202"/>
    </row>
    <row r="4306" spans="1:15" ht="11.25" customHeight="1" x14ac:dyDescent="0.2">
      <c r="A4306" s="120">
        <v>2024</v>
      </c>
      <c r="B4306" s="120">
        <v>6</v>
      </c>
      <c r="C4306" s="120">
        <v>4</v>
      </c>
      <c r="D4306" s="208">
        <f t="shared" si="395"/>
        <v>45447</v>
      </c>
      <c r="E4306" s="209">
        <f t="shared" si="397"/>
        <v>45447</v>
      </c>
      <c r="F4306" s="515"/>
      <c r="G4306" s="132" t="s">
        <v>1209</v>
      </c>
      <c r="I4306" s="128" t="s">
        <v>1644</v>
      </c>
      <c r="J4306" s="120" t="s">
        <v>16</v>
      </c>
      <c r="K4306" s="207"/>
      <c r="L4306" s="207">
        <v>36094570</v>
      </c>
    </row>
    <row r="4307" spans="1:15" ht="11.25" customHeight="1" x14ac:dyDescent="0.2">
      <c r="A4307" s="191">
        <v>2024</v>
      </c>
      <c r="B4307" s="191">
        <v>6</v>
      </c>
      <c r="C4307" s="191">
        <v>4</v>
      </c>
      <c r="D4307" s="192">
        <f t="shared" si="395"/>
        <v>45447</v>
      </c>
      <c r="E4307" s="193">
        <f t="shared" si="397"/>
        <v>45447</v>
      </c>
      <c r="F4307" s="514"/>
      <c r="G4307" s="194" t="s">
        <v>1209</v>
      </c>
      <c r="H4307" s="195"/>
      <c r="I4307" s="195" t="s">
        <v>1644</v>
      </c>
      <c r="J4307" s="191" t="s">
        <v>47</v>
      </c>
      <c r="K4307" s="196"/>
      <c r="L4307" s="196">
        <v>3905430</v>
      </c>
    </row>
    <row r="4308" spans="1:15" ht="11.25" customHeight="1" x14ac:dyDescent="0.2">
      <c r="A4308" s="197">
        <v>2024</v>
      </c>
      <c r="B4308" s="197">
        <v>6</v>
      </c>
      <c r="C4308" s="197">
        <v>4</v>
      </c>
      <c r="D4308" s="198">
        <f t="shared" si="395"/>
        <v>45447</v>
      </c>
      <c r="E4308" s="290">
        <f t="shared" si="397"/>
        <v>45447</v>
      </c>
      <c r="F4308" s="513" t="s">
        <v>1514</v>
      </c>
      <c r="G4308" s="200" t="s">
        <v>1209</v>
      </c>
      <c r="H4308" s="201"/>
      <c r="I4308" s="201"/>
      <c r="J4308" s="197" t="s">
        <v>54</v>
      </c>
      <c r="K4308" s="202">
        <v>60</v>
      </c>
      <c r="L4308" s="202"/>
      <c r="M4308" s="251"/>
      <c r="N4308" s="251"/>
      <c r="O4308" s="251"/>
    </row>
    <row r="4309" spans="1:15" ht="11.25" customHeight="1" x14ac:dyDescent="0.2">
      <c r="A4309" s="191">
        <v>2024</v>
      </c>
      <c r="B4309" s="191">
        <v>6</v>
      </c>
      <c r="C4309" s="191">
        <v>4</v>
      </c>
      <c r="D4309" s="192">
        <f t="shared" si="395"/>
        <v>45447</v>
      </c>
      <c r="E4309" s="291">
        <f t="shared" si="397"/>
        <v>45447</v>
      </c>
      <c r="F4309" s="514"/>
      <c r="G4309" s="194" t="s">
        <v>1209</v>
      </c>
      <c r="H4309" s="195"/>
      <c r="I4309" s="195"/>
      <c r="J4309" s="191" t="s">
        <v>46</v>
      </c>
      <c r="K4309" s="196"/>
      <c r="L4309" s="196">
        <v>60</v>
      </c>
      <c r="M4309" s="251"/>
      <c r="N4309" s="251"/>
      <c r="O4309" s="251"/>
    </row>
    <row r="4310" spans="1:15" ht="11.25" customHeight="1" x14ac:dyDescent="0.2">
      <c r="A4310" s="197">
        <v>2024</v>
      </c>
      <c r="B4310" s="197">
        <v>6</v>
      </c>
      <c r="C4310" s="197">
        <v>5</v>
      </c>
      <c r="D4310" s="198">
        <f t="shared" si="395"/>
        <v>45448</v>
      </c>
      <c r="E4310" s="199">
        <f t="shared" si="397"/>
        <v>45448</v>
      </c>
      <c r="F4310" s="513" t="s">
        <v>1279</v>
      </c>
      <c r="G4310" s="200" t="s">
        <v>1209</v>
      </c>
      <c r="H4310" s="201"/>
      <c r="I4310" s="201" t="s">
        <v>1253</v>
      </c>
      <c r="J4310" s="197" t="s">
        <v>76</v>
      </c>
      <c r="K4310" s="202">
        <v>10000000</v>
      </c>
      <c r="L4310" s="202"/>
    </row>
    <row r="4311" spans="1:15" ht="11.25" customHeight="1" x14ac:dyDescent="0.2">
      <c r="A4311" s="191">
        <v>2024</v>
      </c>
      <c r="B4311" s="191">
        <v>6</v>
      </c>
      <c r="C4311" s="191">
        <v>5</v>
      </c>
      <c r="D4311" s="192">
        <f t="shared" si="395"/>
        <v>45448</v>
      </c>
      <c r="E4311" s="193">
        <f t="shared" si="397"/>
        <v>45448</v>
      </c>
      <c r="F4311" s="514"/>
      <c r="G4311" s="194" t="s">
        <v>1209</v>
      </c>
      <c r="H4311" s="195"/>
      <c r="I4311" s="195" t="s">
        <v>1253</v>
      </c>
      <c r="J4311" s="191" t="s">
        <v>46</v>
      </c>
      <c r="K4311" s="196"/>
      <c r="L4311" s="196">
        <v>10000000</v>
      </c>
    </row>
    <row r="4312" spans="1:15" ht="11.25" customHeight="1" x14ac:dyDescent="0.2">
      <c r="A4312" s="197">
        <v>2024</v>
      </c>
      <c r="B4312" s="197">
        <v>6</v>
      </c>
      <c r="C4312" s="197">
        <v>5</v>
      </c>
      <c r="D4312" s="198">
        <f t="shared" si="395"/>
        <v>45448</v>
      </c>
      <c r="E4312" s="290">
        <f t="shared" ref="E4312:E4313" si="398">DATE(A4312,B4312,C4312)</f>
        <v>45448</v>
      </c>
      <c r="F4312" s="513" t="s">
        <v>1514</v>
      </c>
      <c r="G4312" s="200" t="s">
        <v>1209</v>
      </c>
      <c r="H4312" s="201"/>
      <c r="I4312" s="201"/>
      <c r="J4312" s="197" t="s">
        <v>54</v>
      </c>
      <c r="K4312" s="202">
        <v>100</v>
      </c>
      <c r="L4312" s="202"/>
      <c r="M4312" s="251"/>
      <c r="N4312" s="251"/>
      <c r="O4312" s="251"/>
    </row>
    <row r="4313" spans="1:15" ht="11.25" customHeight="1" x14ac:dyDescent="0.2">
      <c r="A4313" s="191">
        <v>2024</v>
      </c>
      <c r="B4313" s="191">
        <v>6</v>
      </c>
      <c r="C4313" s="191">
        <v>5</v>
      </c>
      <c r="D4313" s="192">
        <f t="shared" si="395"/>
        <v>45448</v>
      </c>
      <c r="E4313" s="291">
        <f t="shared" si="398"/>
        <v>45448</v>
      </c>
      <c r="F4313" s="514"/>
      <c r="G4313" s="194" t="s">
        <v>1209</v>
      </c>
      <c r="H4313" s="195"/>
      <c r="I4313" s="195"/>
      <c r="J4313" s="191" t="s">
        <v>46</v>
      </c>
      <c r="K4313" s="196"/>
      <c r="L4313" s="196">
        <v>100</v>
      </c>
      <c r="M4313" s="251"/>
      <c r="N4313" s="251"/>
      <c r="O4313" s="251"/>
    </row>
    <row r="4314" spans="1:15" ht="11.25" customHeight="1" x14ac:dyDescent="0.2">
      <c r="A4314" s="197">
        <v>2024</v>
      </c>
      <c r="B4314" s="197">
        <v>6</v>
      </c>
      <c r="C4314" s="197">
        <v>5</v>
      </c>
      <c r="D4314" s="198">
        <f t="shared" si="395"/>
        <v>45448</v>
      </c>
      <c r="E4314" s="209">
        <f t="shared" ref="E4314:E4316" si="399">DATE(A4314,B4314,C4314)</f>
        <v>45448</v>
      </c>
      <c r="F4314" s="513" t="s">
        <v>1210</v>
      </c>
      <c r="G4314" s="200" t="s">
        <v>1209</v>
      </c>
      <c r="H4314" s="201"/>
      <c r="I4314" s="201" t="s">
        <v>426</v>
      </c>
      <c r="J4314" s="197" t="s">
        <v>46</v>
      </c>
      <c r="K4314" s="202">
        <v>500000</v>
      </c>
      <c r="L4314" s="202"/>
    </row>
    <row r="4315" spans="1:15" ht="11.25" customHeight="1" x14ac:dyDescent="0.2">
      <c r="A4315" s="120">
        <v>2024</v>
      </c>
      <c r="B4315" s="120">
        <v>6</v>
      </c>
      <c r="C4315" s="120">
        <v>5</v>
      </c>
      <c r="D4315" s="208">
        <f t="shared" si="395"/>
        <v>45448</v>
      </c>
      <c r="E4315" s="209">
        <f t="shared" si="399"/>
        <v>45448</v>
      </c>
      <c r="F4315" s="515"/>
      <c r="G4315" s="132" t="s">
        <v>1209</v>
      </c>
      <c r="I4315" s="128" t="s">
        <v>426</v>
      </c>
      <c r="J4315" s="120" t="s">
        <v>16</v>
      </c>
      <c r="K4315" s="207"/>
      <c r="L4315" s="207">
        <v>451180</v>
      </c>
    </row>
    <row r="4316" spans="1:15" ht="11.25" customHeight="1" x14ac:dyDescent="0.2">
      <c r="A4316" s="191">
        <v>2024</v>
      </c>
      <c r="B4316" s="191">
        <v>6</v>
      </c>
      <c r="C4316" s="191">
        <v>5</v>
      </c>
      <c r="D4316" s="192">
        <f t="shared" si="395"/>
        <v>45448</v>
      </c>
      <c r="E4316" s="193">
        <f t="shared" si="399"/>
        <v>45448</v>
      </c>
      <c r="F4316" s="514"/>
      <c r="G4316" s="194" t="s">
        <v>1209</v>
      </c>
      <c r="H4316" s="195"/>
      <c r="I4316" s="195" t="s">
        <v>426</v>
      </c>
      <c r="J4316" s="191" t="s">
        <v>47</v>
      </c>
      <c r="K4316" s="196"/>
      <c r="L4316" s="196">
        <v>48820</v>
      </c>
    </row>
    <row r="4317" spans="1:15" ht="11.25" customHeight="1" x14ac:dyDescent="0.2">
      <c r="A4317" s="197">
        <v>2024</v>
      </c>
      <c r="B4317" s="197">
        <v>6</v>
      </c>
      <c r="C4317" s="197">
        <v>5</v>
      </c>
      <c r="D4317" s="198">
        <f t="shared" si="395"/>
        <v>45448</v>
      </c>
      <c r="E4317" s="209">
        <f t="shared" ref="E4317:E4319" si="400">DATE(A4317,B4317,C4317)</f>
        <v>45448</v>
      </c>
      <c r="F4317" s="513" t="s">
        <v>1210</v>
      </c>
      <c r="G4317" s="200" t="s">
        <v>1209</v>
      </c>
      <c r="H4317" s="201"/>
      <c r="I4317" s="201" t="s">
        <v>1569</v>
      </c>
      <c r="J4317" s="197" t="s">
        <v>46</v>
      </c>
      <c r="K4317" s="202">
        <v>66492</v>
      </c>
      <c r="L4317" s="202"/>
    </row>
    <row r="4318" spans="1:15" ht="11.25" customHeight="1" x14ac:dyDescent="0.2">
      <c r="A4318" s="120">
        <v>2024</v>
      </c>
      <c r="B4318" s="120">
        <v>6</v>
      </c>
      <c r="C4318" s="120">
        <v>5</v>
      </c>
      <c r="D4318" s="208">
        <f t="shared" si="395"/>
        <v>45448</v>
      </c>
      <c r="E4318" s="209">
        <f t="shared" si="400"/>
        <v>45448</v>
      </c>
      <c r="F4318" s="515"/>
      <c r="G4318" s="132" t="s">
        <v>1209</v>
      </c>
      <c r="I4318" s="128" t="s">
        <v>1569</v>
      </c>
      <c r="J4318" s="120" t="s">
        <v>16</v>
      </c>
      <c r="K4318" s="207"/>
      <c r="L4318" s="207">
        <v>60000</v>
      </c>
    </row>
    <row r="4319" spans="1:15" ht="11.25" customHeight="1" x14ac:dyDescent="0.2">
      <c r="A4319" s="191">
        <v>2024</v>
      </c>
      <c r="B4319" s="191">
        <v>6</v>
      </c>
      <c r="C4319" s="191">
        <v>5</v>
      </c>
      <c r="D4319" s="192">
        <f t="shared" si="395"/>
        <v>45448</v>
      </c>
      <c r="E4319" s="193">
        <f t="shared" si="400"/>
        <v>45448</v>
      </c>
      <c r="F4319" s="514"/>
      <c r="G4319" s="194" t="s">
        <v>1209</v>
      </c>
      <c r="H4319" s="195"/>
      <c r="I4319" s="195" t="s">
        <v>1569</v>
      </c>
      <c r="J4319" s="191" t="s">
        <v>47</v>
      </c>
      <c r="K4319" s="196"/>
      <c r="L4319" s="196">
        <v>6492</v>
      </c>
    </row>
    <row r="4320" spans="1:15" ht="11.25" customHeight="1" x14ac:dyDescent="0.2">
      <c r="A4320" s="197">
        <v>2024</v>
      </c>
      <c r="B4320" s="197">
        <v>6</v>
      </c>
      <c r="C4320" s="197">
        <v>5</v>
      </c>
      <c r="D4320" s="198">
        <f t="shared" si="395"/>
        <v>45448</v>
      </c>
      <c r="E4320" s="209">
        <f t="shared" ref="E4320:E4333" si="401">DATE(A4320,B4320,C4320)</f>
        <v>45448</v>
      </c>
      <c r="F4320" s="513" t="s">
        <v>1210</v>
      </c>
      <c r="G4320" s="200" t="s">
        <v>1209</v>
      </c>
      <c r="H4320" s="201"/>
      <c r="I4320" s="201" t="s">
        <v>1491</v>
      </c>
      <c r="J4320" s="197" t="s">
        <v>46</v>
      </c>
      <c r="K4320" s="202">
        <v>2000</v>
      </c>
      <c r="L4320" s="202"/>
    </row>
    <row r="4321" spans="1:15" ht="11.25" customHeight="1" x14ac:dyDescent="0.2">
      <c r="A4321" s="120">
        <v>2024</v>
      </c>
      <c r="B4321" s="120">
        <v>6</v>
      </c>
      <c r="C4321" s="120">
        <v>5</v>
      </c>
      <c r="D4321" s="208">
        <f t="shared" si="395"/>
        <v>45448</v>
      </c>
      <c r="E4321" s="209">
        <f t="shared" si="401"/>
        <v>45448</v>
      </c>
      <c r="F4321" s="515"/>
      <c r="G4321" s="132" t="s">
        <v>1209</v>
      </c>
      <c r="I4321" s="128" t="s">
        <v>1491</v>
      </c>
      <c r="J4321" s="120" t="s">
        <v>16</v>
      </c>
      <c r="K4321" s="207"/>
      <c r="L4321" s="207">
        <v>1800</v>
      </c>
    </row>
    <row r="4322" spans="1:15" ht="11.25" customHeight="1" x14ac:dyDescent="0.2">
      <c r="A4322" s="191">
        <v>2024</v>
      </c>
      <c r="B4322" s="191">
        <v>6</v>
      </c>
      <c r="C4322" s="191">
        <v>5</v>
      </c>
      <c r="D4322" s="192">
        <f t="shared" si="395"/>
        <v>45448</v>
      </c>
      <c r="E4322" s="193">
        <f t="shared" si="401"/>
        <v>45448</v>
      </c>
      <c r="F4322" s="514"/>
      <c r="G4322" s="194" t="s">
        <v>1209</v>
      </c>
      <c r="H4322" s="195"/>
      <c r="I4322" s="195" t="s">
        <v>1491</v>
      </c>
      <c r="J4322" s="191" t="s">
        <v>47</v>
      </c>
      <c r="K4322" s="196"/>
      <c r="L4322" s="196">
        <v>200</v>
      </c>
    </row>
    <row r="4323" spans="1:15" ht="11.25" customHeight="1" x14ac:dyDescent="0.2">
      <c r="A4323" s="197">
        <v>2024</v>
      </c>
      <c r="B4323" s="197">
        <v>6</v>
      </c>
      <c r="C4323" s="197">
        <v>5</v>
      </c>
      <c r="D4323" s="198">
        <f t="shared" si="395"/>
        <v>45448</v>
      </c>
      <c r="E4323" s="290">
        <f t="shared" si="401"/>
        <v>45448</v>
      </c>
      <c r="F4323" s="513" t="s">
        <v>1514</v>
      </c>
      <c r="G4323" s="200" t="s">
        <v>1209</v>
      </c>
      <c r="H4323" s="201"/>
      <c r="I4323" s="201"/>
      <c r="J4323" s="197" t="s">
        <v>54</v>
      </c>
      <c r="K4323" s="202">
        <v>10</v>
      </c>
      <c r="L4323" s="202"/>
      <c r="M4323" s="251"/>
      <c r="N4323" s="251"/>
      <c r="O4323" s="251"/>
    </row>
    <row r="4324" spans="1:15" ht="11.25" customHeight="1" x14ac:dyDescent="0.2">
      <c r="A4324" s="191">
        <v>2024</v>
      </c>
      <c r="B4324" s="191">
        <v>6</v>
      </c>
      <c r="C4324" s="191">
        <v>5</v>
      </c>
      <c r="D4324" s="192">
        <f t="shared" si="395"/>
        <v>45448</v>
      </c>
      <c r="E4324" s="291">
        <f t="shared" si="401"/>
        <v>45448</v>
      </c>
      <c r="F4324" s="514"/>
      <c r="G4324" s="194" t="s">
        <v>1209</v>
      </c>
      <c r="H4324" s="195"/>
      <c r="I4324" s="195"/>
      <c r="J4324" s="191" t="s">
        <v>46</v>
      </c>
      <c r="K4324" s="196"/>
      <c r="L4324" s="196">
        <v>10</v>
      </c>
      <c r="M4324" s="251"/>
      <c r="N4324" s="251"/>
      <c r="O4324" s="251"/>
    </row>
    <row r="4325" spans="1:15" ht="11.25" customHeight="1" x14ac:dyDescent="0.2">
      <c r="A4325" s="197">
        <v>2024</v>
      </c>
      <c r="B4325" s="197">
        <v>6</v>
      </c>
      <c r="C4325" s="197">
        <v>5</v>
      </c>
      <c r="D4325" s="198">
        <f t="shared" si="395"/>
        <v>45448</v>
      </c>
      <c r="E4325" s="209">
        <f t="shared" si="401"/>
        <v>45448</v>
      </c>
      <c r="F4325" s="513" t="s">
        <v>1296</v>
      </c>
      <c r="G4325" s="200" t="s">
        <v>1209</v>
      </c>
      <c r="H4325" s="201"/>
      <c r="I4325" s="201"/>
      <c r="J4325" s="197" t="s">
        <v>46</v>
      </c>
      <c r="K4325" s="202">
        <v>203000</v>
      </c>
      <c r="L4325" s="202"/>
    </row>
    <row r="4326" spans="1:15" ht="11.25" customHeight="1" x14ac:dyDescent="0.2">
      <c r="A4326" s="120">
        <v>2024</v>
      </c>
      <c r="B4326" s="120">
        <v>6</v>
      </c>
      <c r="C4326" s="120">
        <v>5</v>
      </c>
      <c r="D4326" s="208">
        <f t="shared" si="395"/>
        <v>45448</v>
      </c>
      <c r="E4326" s="209">
        <f t="shared" si="401"/>
        <v>45448</v>
      </c>
      <c r="F4326" s="515"/>
      <c r="G4326" s="132" t="s">
        <v>1209</v>
      </c>
      <c r="J4326" s="120" t="s">
        <v>16</v>
      </c>
      <c r="K4326" s="207"/>
      <c r="L4326" s="207">
        <v>183170</v>
      </c>
    </row>
    <row r="4327" spans="1:15" ht="11.25" customHeight="1" x14ac:dyDescent="0.2">
      <c r="A4327" s="191">
        <v>2024</v>
      </c>
      <c r="B4327" s="191">
        <v>6</v>
      </c>
      <c r="C4327" s="191">
        <v>5</v>
      </c>
      <c r="D4327" s="192">
        <f t="shared" si="395"/>
        <v>45448</v>
      </c>
      <c r="E4327" s="193">
        <f t="shared" si="401"/>
        <v>45448</v>
      </c>
      <c r="F4327" s="514"/>
      <c r="G4327" s="194" t="s">
        <v>1209</v>
      </c>
      <c r="H4327" s="195"/>
      <c r="I4327" s="195"/>
      <c r="J4327" s="191" t="s">
        <v>47</v>
      </c>
      <c r="K4327" s="196"/>
      <c r="L4327" s="196">
        <v>19830</v>
      </c>
    </row>
    <row r="4328" spans="1:15" ht="11.25" customHeight="1" x14ac:dyDescent="0.2">
      <c r="A4328" s="197">
        <v>2024</v>
      </c>
      <c r="B4328" s="197">
        <v>6</v>
      </c>
      <c r="C4328" s="197">
        <v>6</v>
      </c>
      <c r="D4328" s="198">
        <f t="shared" si="395"/>
        <v>45449</v>
      </c>
      <c r="E4328" s="209">
        <f t="shared" ref="E4328:E4330" si="402">DATE(A4328,B4328,C4328)</f>
        <v>45449</v>
      </c>
      <c r="F4328" s="513" t="s">
        <v>1296</v>
      </c>
      <c r="G4328" s="200" t="s">
        <v>1209</v>
      </c>
      <c r="H4328" s="201"/>
      <c r="I4328" s="201"/>
      <c r="J4328" s="197" t="s">
        <v>46</v>
      </c>
      <c r="K4328" s="202">
        <v>20000</v>
      </c>
      <c r="L4328" s="202"/>
    </row>
    <row r="4329" spans="1:15" ht="11.25" customHeight="1" x14ac:dyDescent="0.2">
      <c r="A4329" s="120">
        <v>2024</v>
      </c>
      <c r="B4329" s="120">
        <v>6</v>
      </c>
      <c r="C4329" s="120">
        <v>6</v>
      </c>
      <c r="D4329" s="208">
        <f t="shared" si="395"/>
        <v>45449</v>
      </c>
      <c r="E4329" s="209">
        <f t="shared" si="402"/>
        <v>45449</v>
      </c>
      <c r="F4329" s="515"/>
      <c r="G4329" s="132" t="s">
        <v>1209</v>
      </c>
      <c r="J4329" s="120" t="s">
        <v>16</v>
      </c>
      <c r="K4329" s="207"/>
      <c r="L4329" s="207">
        <v>18050</v>
      </c>
    </row>
    <row r="4330" spans="1:15" ht="11.25" customHeight="1" x14ac:dyDescent="0.2">
      <c r="A4330" s="191">
        <v>2024</v>
      </c>
      <c r="B4330" s="191">
        <v>6</v>
      </c>
      <c r="C4330" s="191">
        <v>6</v>
      </c>
      <c r="D4330" s="192">
        <f t="shared" si="395"/>
        <v>45449</v>
      </c>
      <c r="E4330" s="193">
        <f t="shared" si="402"/>
        <v>45449</v>
      </c>
      <c r="F4330" s="514"/>
      <c r="G4330" s="194" t="s">
        <v>1209</v>
      </c>
      <c r="H4330" s="195"/>
      <c r="I4330" s="195"/>
      <c r="J4330" s="191" t="s">
        <v>47</v>
      </c>
      <c r="K4330" s="196"/>
      <c r="L4330" s="196">
        <v>1950</v>
      </c>
    </row>
    <row r="4331" spans="1:15" ht="11.25" customHeight="1" x14ac:dyDescent="0.2">
      <c r="A4331" s="197">
        <v>2024</v>
      </c>
      <c r="B4331" s="197">
        <v>6</v>
      </c>
      <c r="C4331" s="197">
        <v>6</v>
      </c>
      <c r="D4331" s="198">
        <f t="shared" si="395"/>
        <v>45449</v>
      </c>
      <c r="E4331" s="209">
        <f t="shared" si="401"/>
        <v>45449</v>
      </c>
      <c r="F4331" s="513" t="s">
        <v>1280</v>
      </c>
      <c r="G4331" s="200" t="s">
        <v>1209</v>
      </c>
      <c r="H4331" s="201"/>
      <c r="I4331" s="201" t="s">
        <v>299</v>
      </c>
      <c r="J4331" s="197" t="s">
        <v>16</v>
      </c>
      <c r="K4331" s="202">
        <v>8125750</v>
      </c>
      <c r="L4331" s="202"/>
    </row>
    <row r="4332" spans="1:15" ht="11.25" customHeight="1" x14ac:dyDescent="0.2">
      <c r="A4332" s="120">
        <v>2024</v>
      </c>
      <c r="B4332" s="120">
        <v>6</v>
      </c>
      <c r="C4332" s="120">
        <v>6</v>
      </c>
      <c r="D4332" s="208">
        <f t="shared" si="395"/>
        <v>45449</v>
      </c>
      <c r="E4332" s="209">
        <f t="shared" si="401"/>
        <v>45449</v>
      </c>
      <c r="F4332" s="515"/>
      <c r="G4332" s="132" t="s">
        <v>1209</v>
      </c>
      <c r="I4332" s="128" t="s">
        <v>299</v>
      </c>
      <c r="J4332" s="120" t="s">
        <v>47</v>
      </c>
      <c r="K4332" s="207">
        <v>879206.15000000037</v>
      </c>
      <c r="L4332" s="207"/>
    </row>
    <row r="4333" spans="1:15" ht="11.25" customHeight="1" x14ac:dyDescent="0.2">
      <c r="A4333" s="191">
        <v>2024</v>
      </c>
      <c r="B4333" s="191">
        <v>6</v>
      </c>
      <c r="C4333" s="191">
        <v>6</v>
      </c>
      <c r="D4333" s="192">
        <f t="shared" si="395"/>
        <v>45449</v>
      </c>
      <c r="E4333" s="193">
        <f t="shared" si="401"/>
        <v>45449</v>
      </c>
      <c r="F4333" s="514"/>
      <c r="G4333" s="194" t="s">
        <v>1209</v>
      </c>
      <c r="H4333" s="195"/>
      <c r="I4333" s="195" t="s">
        <v>299</v>
      </c>
      <c r="J4333" s="191" t="s">
        <v>46</v>
      </c>
      <c r="K4333" s="196"/>
      <c r="L4333" s="196">
        <v>9004956.1500000004</v>
      </c>
    </row>
    <row r="4334" spans="1:15" ht="11.25" customHeight="1" x14ac:dyDescent="0.2">
      <c r="A4334" s="197">
        <v>2024</v>
      </c>
      <c r="B4334" s="197">
        <v>6</v>
      </c>
      <c r="C4334" s="197">
        <v>6</v>
      </c>
      <c r="D4334" s="198">
        <f t="shared" si="395"/>
        <v>45449</v>
      </c>
      <c r="E4334" s="209">
        <f t="shared" ref="E4334:E4336" si="403">DATE(A4334,B4334,C4334)</f>
        <v>45449</v>
      </c>
      <c r="F4334" s="513" t="s">
        <v>1280</v>
      </c>
      <c r="G4334" s="200" t="s">
        <v>1209</v>
      </c>
      <c r="H4334" s="201"/>
      <c r="I4334" s="201" t="s">
        <v>464</v>
      </c>
      <c r="J4334" s="197" t="s">
        <v>16</v>
      </c>
      <c r="K4334" s="202">
        <v>290380</v>
      </c>
      <c r="L4334" s="202"/>
    </row>
    <row r="4335" spans="1:15" ht="11.25" customHeight="1" x14ac:dyDescent="0.2">
      <c r="A4335" s="120">
        <v>2024</v>
      </c>
      <c r="B4335" s="120">
        <v>6</v>
      </c>
      <c r="C4335" s="120">
        <v>6</v>
      </c>
      <c r="D4335" s="208">
        <f t="shared" si="395"/>
        <v>45449</v>
      </c>
      <c r="E4335" s="209">
        <f t="shared" si="403"/>
        <v>45449</v>
      </c>
      <c r="F4335" s="515"/>
      <c r="G4335" s="132" t="s">
        <v>1209</v>
      </c>
      <c r="I4335" s="128" t="s">
        <v>464</v>
      </c>
      <c r="J4335" s="120" t="s">
        <v>47</v>
      </c>
      <c r="K4335" s="207">
        <v>31419.119999999995</v>
      </c>
      <c r="L4335" s="207"/>
    </row>
    <row r="4336" spans="1:15" ht="11.25" customHeight="1" x14ac:dyDescent="0.2">
      <c r="A4336" s="191">
        <v>2024</v>
      </c>
      <c r="B4336" s="191">
        <v>6</v>
      </c>
      <c r="C4336" s="191">
        <v>6</v>
      </c>
      <c r="D4336" s="192">
        <f t="shared" si="395"/>
        <v>45449</v>
      </c>
      <c r="E4336" s="193">
        <f t="shared" si="403"/>
        <v>45449</v>
      </c>
      <c r="F4336" s="514"/>
      <c r="G4336" s="194" t="s">
        <v>1209</v>
      </c>
      <c r="H4336" s="195"/>
      <c r="I4336" s="195" t="s">
        <v>464</v>
      </c>
      <c r="J4336" s="191" t="s">
        <v>46</v>
      </c>
      <c r="K4336" s="196"/>
      <c r="L4336" s="196">
        <v>321799.12</v>
      </c>
    </row>
    <row r="4337" spans="1:15" ht="11.25" customHeight="1" x14ac:dyDescent="0.2">
      <c r="A4337" s="197">
        <v>2024</v>
      </c>
      <c r="B4337" s="197">
        <v>6</v>
      </c>
      <c r="C4337" s="197">
        <v>6</v>
      </c>
      <c r="D4337" s="198">
        <f t="shared" si="395"/>
        <v>45449</v>
      </c>
      <c r="E4337" s="209">
        <f t="shared" ref="E4337:E4342" si="404">DATE(A4337,B4337,C4337)</f>
        <v>45449</v>
      </c>
      <c r="F4337" s="513" t="s">
        <v>1648</v>
      </c>
      <c r="G4337" s="200" t="s">
        <v>1209</v>
      </c>
      <c r="H4337" s="201"/>
      <c r="I4337" s="201" t="s">
        <v>390</v>
      </c>
      <c r="J4337" s="197" t="s">
        <v>16</v>
      </c>
      <c r="K4337" s="202">
        <v>273130</v>
      </c>
      <c r="L4337" s="202"/>
    </row>
    <row r="4338" spans="1:15" ht="11.25" customHeight="1" x14ac:dyDescent="0.2">
      <c r="A4338" s="120">
        <v>2024</v>
      </c>
      <c r="B4338" s="120">
        <v>6</v>
      </c>
      <c r="C4338" s="120">
        <v>6</v>
      </c>
      <c r="D4338" s="208">
        <f t="shared" si="395"/>
        <v>45449</v>
      </c>
      <c r="E4338" s="209">
        <f t="shared" si="404"/>
        <v>45449</v>
      </c>
      <c r="F4338" s="515"/>
      <c r="G4338" s="132" t="s">
        <v>1209</v>
      </c>
      <c r="I4338" s="128" t="s">
        <v>390</v>
      </c>
      <c r="J4338" s="120" t="s">
        <v>47</v>
      </c>
      <c r="K4338" s="207">
        <v>29552.67</v>
      </c>
      <c r="L4338" s="207"/>
    </row>
    <row r="4339" spans="1:15" ht="11.25" customHeight="1" x14ac:dyDescent="0.2">
      <c r="A4339" s="191">
        <v>2024</v>
      </c>
      <c r="B4339" s="191">
        <v>6</v>
      </c>
      <c r="C4339" s="191">
        <v>6</v>
      </c>
      <c r="D4339" s="192">
        <f t="shared" si="395"/>
        <v>45449</v>
      </c>
      <c r="E4339" s="193">
        <f t="shared" si="404"/>
        <v>45449</v>
      </c>
      <c r="F4339" s="514"/>
      <c r="G4339" s="194" t="s">
        <v>1209</v>
      </c>
      <c r="H4339" s="195"/>
      <c r="I4339" s="195" t="s">
        <v>390</v>
      </c>
      <c r="J4339" s="191" t="s">
        <v>46</v>
      </c>
      <c r="K4339" s="196"/>
      <c r="L4339" s="196">
        <v>302682.67</v>
      </c>
    </row>
    <row r="4340" spans="1:15" ht="11.25" customHeight="1" x14ac:dyDescent="0.2">
      <c r="A4340" s="197">
        <v>2024</v>
      </c>
      <c r="B4340" s="197">
        <v>6</v>
      </c>
      <c r="C4340" s="197">
        <v>6</v>
      </c>
      <c r="D4340" s="198">
        <f t="shared" si="395"/>
        <v>45449</v>
      </c>
      <c r="E4340" s="209">
        <f t="shared" si="404"/>
        <v>45449</v>
      </c>
      <c r="F4340" s="513" t="s">
        <v>1210</v>
      </c>
      <c r="G4340" s="200" t="s">
        <v>1209</v>
      </c>
      <c r="H4340" s="201"/>
      <c r="I4340" s="201" t="s">
        <v>1646</v>
      </c>
      <c r="J4340" s="197" t="s">
        <v>46</v>
      </c>
      <c r="K4340" s="202">
        <v>2500000</v>
      </c>
      <c r="L4340" s="202"/>
    </row>
    <row r="4341" spans="1:15" ht="11.25" customHeight="1" x14ac:dyDescent="0.2">
      <c r="A4341" s="120">
        <v>2024</v>
      </c>
      <c r="B4341" s="120">
        <v>6</v>
      </c>
      <c r="C4341" s="120">
        <v>6</v>
      </c>
      <c r="D4341" s="208">
        <f t="shared" si="395"/>
        <v>45449</v>
      </c>
      <c r="E4341" s="209">
        <f t="shared" si="404"/>
        <v>45449</v>
      </c>
      <c r="F4341" s="515"/>
      <c r="G4341" s="132" t="s">
        <v>1209</v>
      </c>
      <c r="I4341" s="128" t="s">
        <v>1646</v>
      </c>
      <c r="J4341" s="120" t="s">
        <v>16</v>
      </c>
      <c r="K4341" s="207"/>
      <c r="L4341" s="207">
        <v>2255910</v>
      </c>
    </row>
    <row r="4342" spans="1:15" ht="11.25" customHeight="1" x14ac:dyDescent="0.2">
      <c r="A4342" s="191">
        <v>2024</v>
      </c>
      <c r="B4342" s="191">
        <v>6</v>
      </c>
      <c r="C4342" s="191">
        <v>6</v>
      </c>
      <c r="D4342" s="192">
        <f t="shared" si="395"/>
        <v>45449</v>
      </c>
      <c r="E4342" s="193">
        <f t="shared" si="404"/>
        <v>45449</v>
      </c>
      <c r="F4342" s="514"/>
      <c r="G4342" s="194" t="s">
        <v>1209</v>
      </c>
      <c r="H4342" s="195"/>
      <c r="I4342" s="195" t="s">
        <v>1646</v>
      </c>
      <c r="J4342" s="191" t="s">
        <v>47</v>
      </c>
      <c r="K4342" s="196"/>
      <c r="L4342" s="196">
        <v>244090</v>
      </c>
    </row>
    <row r="4343" spans="1:15" ht="11.25" customHeight="1" x14ac:dyDescent="0.2">
      <c r="A4343" s="197">
        <v>2024</v>
      </c>
      <c r="B4343" s="197">
        <v>6</v>
      </c>
      <c r="C4343" s="197">
        <v>6</v>
      </c>
      <c r="D4343" s="198">
        <f t="shared" si="395"/>
        <v>45449</v>
      </c>
      <c r="E4343" s="209">
        <f t="shared" ref="E4343:E4345" si="405">DATE(A4343,B4343,C4343)</f>
        <v>45449</v>
      </c>
      <c r="F4343" s="513" t="s">
        <v>1210</v>
      </c>
      <c r="G4343" s="200" t="s">
        <v>1209</v>
      </c>
      <c r="H4343" s="201"/>
      <c r="I4343" s="201" t="s">
        <v>821</v>
      </c>
      <c r="J4343" s="197" t="s">
        <v>46</v>
      </c>
      <c r="K4343" s="202">
        <v>200000</v>
      </c>
      <c r="L4343" s="202"/>
    </row>
    <row r="4344" spans="1:15" ht="11.25" customHeight="1" x14ac:dyDescent="0.2">
      <c r="A4344" s="120">
        <v>2024</v>
      </c>
      <c r="B4344" s="120">
        <v>6</v>
      </c>
      <c r="C4344" s="120">
        <v>6</v>
      </c>
      <c r="D4344" s="208">
        <f t="shared" si="395"/>
        <v>45449</v>
      </c>
      <c r="E4344" s="209">
        <f t="shared" si="405"/>
        <v>45449</v>
      </c>
      <c r="F4344" s="515"/>
      <c r="G4344" s="132" t="s">
        <v>1209</v>
      </c>
      <c r="I4344" s="128" t="s">
        <v>821</v>
      </c>
      <c r="J4344" s="120" t="s">
        <v>16</v>
      </c>
      <c r="K4344" s="207"/>
      <c r="L4344" s="207">
        <v>180470</v>
      </c>
    </row>
    <row r="4345" spans="1:15" ht="11.25" customHeight="1" x14ac:dyDescent="0.2">
      <c r="A4345" s="191">
        <v>2024</v>
      </c>
      <c r="B4345" s="191">
        <v>6</v>
      </c>
      <c r="C4345" s="191">
        <v>6</v>
      </c>
      <c r="D4345" s="192">
        <f t="shared" si="395"/>
        <v>45449</v>
      </c>
      <c r="E4345" s="193">
        <f t="shared" si="405"/>
        <v>45449</v>
      </c>
      <c r="F4345" s="514"/>
      <c r="G4345" s="194" t="s">
        <v>1209</v>
      </c>
      <c r="H4345" s="195"/>
      <c r="I4345" s="195" t="s">
        <v>821</v>
      </c>
      <c r="J4345" s="191" t="s">
        <v>47</v>
      </c>
      <c r="K4345" s="196"/>
      <c r="L4345" s="196">
        <v>19530</v>
      </c>
    </row>
    <row r="4346" spans="1:15" ht="11.25" customHeight="1" x14ac:dyDescent="0.2">
      <c r="A4346" s="197">
        <v>2024</v>
      </c>
      <c r="B4346" s="197">
        <v>6</v>
      </c>
      <c r="C4346" s="197">
        <v>6</v>
      </c>
      <c r="D4346" s="198">
        <f t="shared" si="395"/>
        <v>45449</v>
      </c>
      <c r="E4346" s="209">
        <f t="shared" ref="E4346:E4355" si="406">DATE(A4346,B4346,C4346)</f>
        <v>45449</v>
      </c>
      <c r="F4346" s="513" t="s">
        <v>1210</v>
      </c>
      <c r="G4346" s="200" t="s">
        <v>1209</v>
      </c>
      <c r="H4346" s="201"/>
      <c r="I4346" s="201" t="s">
        <v>1647</v>
      </c>
      <c r="J4346" s="197" t="s">
        <v>46</v>
      </c>
      <c r="K4346" s="202">
        <v>220000</v>
      </c>
      <c r="L4346" s="202"/>
    </row>
    <row r="4347" spans="1:15" ht="11.25" customHeight="1" x14ac:dyDescent="0.2">
      <c r="A4347" s="120">
        <v>2024</v>
      </c>
      <c r="B4347" s="120">
        <v>6</v>
      </c>
      <c r="C4347" s="120">
        <v>6</v>
      </c>
      <c r="D4347" s="208">
        <f t="shared" si="395"/>
        <v>45449</v>
      </c>
      <c r="E4347" s="209">
        <f t="shared" si="406"/>
        <v>45449</v>
      </c>
      <c r="F4347" s="515"/>
      <c r="G4347" s="132" t="s">
        <v>1209</v>
      </c>
      <c r="I4347" s="128" t="s">
        <v>1647</v>
      </c>
      <c r="J4347" s="120" t="s">
        <v>16</v>
      </c>
      <c r="K4347" s="207"/>
      <c r="L4347" s="207">
        <v>198520</v>
      </c>
    </row>
    <row r="4348" spans="1:15" ht="11.25" customHeight="1" x14ac:dyDescent="0.2">
      <c r="A4348" s="191">
        <v>2024</v>
      </c>
      <c r="B4348" s="191">
        <v>6</v>
      </c>
      <c r="C4348" s="191">
        <v>6</v>
      </c>
      <c r="D4348" s="192">
        <f t="shared" si="395"/>
        <v>45449</v>
      </c>
      <c r="E4348" s="193">
        <f t="shared" si="406"/>
        <v>45449</v>
      </c>
      <c r="F4348" s="514"/>
      <c r="G4348" s="194" t="s">
        <v>1209</v>
      </c>
      <c r="H4348" s="195"/>
      <c r="I4348" s="195" t="s">
        <v>1647</v>
      </c>
      <c r="J4348" s="191" t="s">
        <v>47</v>
      </c>
      <c r="K4348" s="196"/>
      <c r="L4348" s="196">
        <v>21480</v>
      </c>
    </row>
    <row r="4349" spans="1:15" ht="11.25" customHeight="1" x14ac:dyDescent="0.2">
      <c r="A4349" s="197">
        <v>2024</v>
      </c>
      <c r="B4349" s="197">
        <v>6</v>
      </c>
      <c r="C4349" s="197">
        <v>6</v>
      </c>
      <c r="D4349" s="198">
        <f t="shared" si="395"/>
        <v>45449</v>
      </c>
      <c r="E4349" s="290">
        <f t="shared" si="406"/>
        <v>45449</v>
      </c>
      <c r="F4349" s="513" t="s">
        <v>1514</v>
      </c>
      <c r="G4349" s="200" t="s">
        <v>1209</v>
      </c>
      <c r="H4349" s="201"/>
      <c r="I4349" s="201"/>
      <c r="J4349" s="197" t="s">
        <v>54</v>
      </c>
      <c r="K4349" s="202">
        <v>80</v>
      </c>
      <c r="L4349" s="202"/>
      <c r="M4349" s="251"/>
      <c r="N4349" s="251"/>
      <c r="O4349" s="251"/>
    </row>
    <row r="4350" spans="1:15" ht="11.25" customHeight="1" x14ac:dyDescent="0.2">
      <c r="A4350" s="191">
        <v>2024</v>
      </c>
      <c r="B4350" s="191">
        <v>6</v>
      </c>
      <c r="C4350" s="191">
        <v>6</v>
      </c>
      <c r="D4350" s="192">
        <f t="shared" si="395"/>
        <v>45449</v>
      </c>
      <c r="E4350" s="291">
        <f t="shared" si="406"/>
        <v>45449</v>
      </c>
      <c r="F4350" s="514"/>
      <c r="G4350" s="194" t="s">
        <v>1209</v>
      </c>
      <c r="H4350" s="195"/>
      <c r="I4350" s="195"/>
      <c r="J4350" s="191" t="s">
        <v>46</v>
      </c>
      <c r="K4350" s="196"/>
      <c r="L4350" s="196">
        <v>80</v>
      </c>
      <c r="M4350" s="251"/>
      <c r="N4350" s="251"/>
      <c r="O4350" s="251"/>
    </row>
    <row r="4351" spans="1:15" ht="11.25" customHeight="1" x14ac:dyDescent="0.2">
      <c r="A4351" s="344">
        <v>2024</v>
      </c>
      <c r="B4351" s="344">
        <v>6</v>
      </c>
      <c r="C4351" s="344">
        <v>6</v>
      </c>
      <c r="D4351" s="345">
        <f t="shared" si="395"/>
        <v>45449</v>
      </c>
      <c r="E4351" s="346">
        <f t="shared" si="406"/>
        <v>45449</v>
      </c>
      <c r="F4351" s="518" t="s">
        <v>1621</v>
      </c>
      <c r="G4351" s="347" t="s">
        <v>1245</v>
      </c>
      <c r="H4351" s="348"/>
      <c r="I4351" s="348" t="s">
        <v>1253</v>
      </c>
      <c r="J4351" s="344" t="s">
        <v>113</v>
      </c>
      <c r="K4351" s="349">
        <v>182788.46153846144</v>
      </c>
      <c r="L4351" s="349"/>
    </row>
    <row r="4352" spans="1:15" ht="11.25" customHeight="1" x14ac:dyDescent="0.2">
      <c r="A4352" s="350">
        <v>2024</v>
      </c>
      <c r="B4352" s="350">
        <v>6</v>
      </c>
      <c r="C4352" s="350">
        <v>6</v>
      </c>
      <c r="D4352" s="351">
        <f t="shared" si="395"/>
        <v>45449</v>
      </c>
      <c r="E4352" s="352">
        <f t="shared" si="406"/>
        <v>45449</v>
      </c>
      <c r="F4352" s="519"/>
      <c r="G4352" s="353" t="s">
        <v>1245</v>
      </c>
      <c r="H4352" s="354"/>
      <c r="I4352" s="354" t="s">
        <v>1253</v>
      </c>
      <c r="J4352" s="350" t="s">
        <v>153</v>
      </c>
      <c r="K4352" s="355"/>
      <c r="L4352" s="355">
        <v>182788.46153846144</v>
      </c>
    </row>
    <row r="4353" spans="1:13" ht="11.25" customHeight="1" x14ac:dyDescent="0.2">
      <c r="A4353" s="210">
        <v>2024</v>
      </c>
      <c r="B4353" s="210">
        <v>6</v>
      </c>
      <c r="C4353" s="210">
        <v>6</v>
      </c>
      <c r="D4353" s="211">
        <f t="shared" si="395"/>
        <v>45449</v>
      </c>
      <c r="E4353" s="238">
        <f t="shared" si="406"/>
        <v>45449</v>
      </c>
      <c r="F4353" s="520" t="s">
        <v>1278</v>
      </c>
      <c r="G4353" s="213" t="s">
        <v>1245</v>
      </c>
      <c r="H4353" s="214"/>
      <c r="I4353" s="214" t="s">
        <v>1253</v>
      </c>
      <c r="J4353" s="210" t="s">
        <v>1529</v>
      </c>
      <c r="K4353" s="215">
        <v>7491.85</v>
      </c>
      <c r="L4353" s="215"/>
    </row>
    <row r="4354" spans="1:13" ht="11.25" customHeight="1" x14ac:dyDescent="0.2">
      <c r="A4354" s="216">
        <v>2024</v>
      </c>
      <c r="B4354" s="216">
        <v>6</v>
      </c>
      <c r="C4354" s="216">
        <v>6</v>
      </c>
      <c r="D4354" s="217">
        <f t="shared" ref="D4354:D4415" si="407">DATE(A4354,B4354,C4354)</f>
        <v>45449</v>
      </c>
      <c r="E4354" s="239">
        <f t="shared" si="406"/>
        <v>45449</v>
      </c>
      <c r="F4354" s="521"/>
      <c r="G4354" s="219" t="s">
        <v>1245</v>
      </c>
      <c r="H4354" s="220"/>
      <c r="I4354" s="220" t="s">
        <v>1253</v>
      </c>
      <c r="J4354" s="216" t="s">
        <v>1581</v>
      </c>
      <c r="K4354" s="221"/>
      <c r="L4354" s="221">
        <v>7491.85</v>
      </c>
    </row>
    <row r="4355" spans="1:13" ht="11.25" customHeight="1" x14ac:dyDescent="0.2">
      <c r="A4355" s="210">
        <v>2024</v>
      </c>
      <c r="B4355" s="210">
        <v>6</v>
      </c>
      <c r="C4355" s="210">
        <v>6</v>
      </c>
      <c r="D4355" s="211">
        <f t="shared" si="407"/>
        <v>45449</v>
      </c>
      <c r="E4355" s="238">
        <f t="shared" si="406"/>
        <v>45449</v>
      </c>
      <c r="F4355" s="520" t="s">
        <v>1285</v>
      </c>
      <c r="G4355" s="213" t="s">
        <v>1245</v>
      </c>
      <c r="H4355" s="214"/>
      <c r="I4355" s="214" t="s">
        <v>1253</v>
      </c>
      <c r="J4355" s="210" t="s">
        <v>1284</v>
      </c>
      <c r="K4355" s="215">
        <v>10290.504807692309</v>
      </c>
      <c r="L4355" s="215"/>
    </row>
    <row r="4356" spans="1:13" ht="11.25" customHeight="1" x14ac:dyDescent="0.2">
      <c r="A4356" s="242">
        <v>2024</v>
      </c>
      <c r="B4356" s="242">
        <v>6</v>
      </c>
      <c r="C4356" s="242">
        <v>6</v>
      </c>
      <c r="D4356" s="243">
        <f t="shared" si="407"/>
        <v>45449</v>
      </c>
      <c r="E4356" s="244">
        <f>DATE(A4356,B4356,C4356)</f>
        <v>45449</v>
      </c>
      <c r="F4356" s="524"/>
      <c r="G4356" s="245" t="s">
        <v>1245</v>
      </c>
      <c r="H4356" s="246"/>
      <c r="I4356" s="246"/>
      <c r="J4356" s="242" t="s">
        <v>1582</v>
      </c>
      <c r="K4356" s="247"/>
      <c r="L4356" s="247">
        <v>10290.504807692309</v>
      </c>
    </row>
    <row r="4357" spans="1:13" ht="11.25" customHeight="1" x14ac:dyDescent="0.2">
      <c r="A4357" s="210">
        <v>2024</v>
      </c>
      <c r="B4357" s="210">
        <v>6</v>
      </c>
      <c r="C4357" s="210">
        <v>6</v>
      </c>
      <c r="D4357" s="211">
        <f t="shared" si="407"/>
        <v>45449</v>
      </c>
      <c r="E4357" s="238">
        <f t="shared" ref="E4357:E4447" si="408">DATE(A4357,B4357,C4357)</f>
        <v>45449</v>
      </c>
      <c r="F4357" s="520" t="s">
        <v>1259</v>
      </c>
      <c r="G4357" s="213" t="s">
        <v>1245</v>
      </c>
      <c r="H4357" s="214"/>
      <c r="I4357" s="214" t="s">
        <v>1253</v>
      </c>
      <c r="J4357" s="210" t="s">
        <v>58</v>
      </c>
      <c r="K4357" s="215">
        <v>35653.9</v>
      </c>
      <c r="L4357" s="215"/>
    </row>
    <row r="4358" spans="1:13" ht="11.25" customHeight="1" x14ac:dyDescent="0.2">
      <c r="A4358" s="216">
        <v>2024</v>
      </c>
      <c r="B4358" s="216">
        <v>6</v>
      </c>
      <c r="C4358" s="216">
        <v>6</v>
      </c>
      <c r="D4358" s="217">
        <f t="shared" si="407"/>
        <v>45449</v>
      </c>
      <c r="E4358" s="239">
        <f t="shared" si="408"/>
        <v>45449</v>
      </c>
      <c r="F4358" s="521"/>
      <c r="G4358" s="219" t="s">
        <v>1245</v>
      </c>
      <c r="H4358" s="220"/>
      <c r="I4358" s="220" t="s">
        <v>1253</v>
      </c>
      <c r="J4358" s="216" t="s">
        <v>153</v>
      </c>
      <c r="K4358" s="221"/>
      <c r="L4358" s="221">
        <f>K4357</f>
        <v>35653.9</v>
      </c>
    </row>
    <row r="4359" spans="1:13" ht="11.25" customHeight="1" x14ac:dyDescent="0.2">
      <c r="A4359" s="312">
        <v>2024</v>
      </c>
      <c r="B4359" s="312">
        <v>6</v>
      </c>
      <c r="C4359" s="312">
        <v>6</v>
      </c>
      <c r="D4359" s="313">
        <f t="shared" si="407"/>
        <v>45449</v>
      </c>
      <c r="E4359" s="314">
        <f t="shared" si="408"/>
        <v>45449</v>
      </c>
      <c r="F4359" s="522" t="s">
        <v>1477</v>
      </c>
      <c r="G4359" s="315" t="s">
        <v>1245</v>
      </c>
      <c r="H4359" s="316"/>
      <c r="I4359" s="316" t="s">
        <v>1253</v>
      </c>
      <c r="J4359" s="312" t="s">
        <v>1458</v>
      </c>
      <c r="K4359" s="317">
        <v>635775.59999999404</v>
      </c>
      <c r="L4359" s="317"/>
    </row>
    <row r="4360" spans="1:13" ht="11.25" customHeight="1" x14ac:dyDescent="0.2">
      <c r="A4360" s="318">
        <v>2024</v>
      </c>
      <c r="B4360" s="318">
        <v>6</v>
      </c>
      <c r="C4360" s="318">
        <v>6</v>
      </c>
      <c r="D4360" s="319">
        <f t="shared" si="407"/>
        <v>45449</v>
      </c>
      <c r="E4360" s="320">
        <f t="shared" si="408"/>
        <v>45449</v>
      </c>
      <c r="F4360" s="523"/>
      <c r="G4360" s="321" t="s">
        <v>1245</v>
      </c>
      <c r="H4360" s="322"/>
      <c r="I4360" s="322" t="s">
        <v>1253</v>
      </c>
      <c r="J4360" s="318" t="s">
        <v>1460</v>
      </c>
      <c r="K4360" s="323"/>
      <c r="L4360" s="323">
        <f>K4359</f>
        <v>635775.59999999404</v>
      </c>
    </row>
    <row r="4361" spans="1:13" ht="11.25" customHeight="1" x14ac:dyDescent="0.2">
      <c r="A4361" s="312">
        <v>2024</v>
      </c>
      <c r="B4361" s="312">
        <v>6</v>
      </c>
      <c r="C4361" s="312">
        <v>6</v>
      </c>
      <c r="D4361" s="313">
        <f t="shared" si="407"/>
        <v>45449</v>
      </c>
      <c r="E4361" s="314">
        <f t="shared" si="408"/>
        <v>45449</v>
      </c>
      <c r="F4361" s="522" t="s">
        <v>1595</v>
      </c>
      <c r="G4361" s="315" t="s">
        <v>1245</v>
      </c>
      <c r="H4361" s="316"/>
      <c r="I4361" s="316" t="s">
        <v>1253</v>
      </c>
      <c r="J4361" s="312" t="s">
        <v>1461</v>
      </c>
      <c r="K4361" s="317">
        <v>195757.05999998748</v>
      </c>
      <c r="L4361" s="317"/>
    </row>
    <row r="4362" spans="1:13" ht="11.25" customHeight="1" x14ac:dyDescent="0.2">
      <c r="A4362" s="318">
        <v>2024</v>
      </c>
      <c r="B4362" s="318">
        <v>6</v>
      </c>
      <c r="C4362" s="318">
        <v>6</v>
      </c>
      <c r="D4362" s="319">
        <f t="shared" si="407"/>
        <v>45449</v>
      </c>
      <c r="E4362" s="320">
        <f t="shared" si="408"/>
        <v>45449</v>
      </c>
      <c r="F4362" s="523"/>
      <c r="G4362" s="321" t="s">
        <v>1245</v>
      </c>
      <c r="H4362" s="322"/>
      <c r="I4362" s="322" t="s">
        <v>1253</v>
      </c>
      <c r="J4362" s="318" t="s">
        <v>1459</v>
      </c>
      <c r="K4362" s="323"/>
      <c r="L4362" s="323">
        <f>K4361</f>
        <v>195757.05999998748</v>
      </c>
    </row>
    <row r="4363" spans="1:13" ht="11.25" customHeight="1" x14ac:dyDescent="0.2">
      <c r="A4363" s="222">
        <v>2024</v>
      </c>
      <c r="B4363" s="222">
        <v>6</v>
      </c>
      <c r="C4363" s="222">
        <v>6</v>
      </c>
      <c r="D4363" s="223">
        <f t="shared" si="407"/>
        <v>45449</v>
      </c>
      <c r="E4363" s="240">
        <f t="shared" si="408"/>
        <v>45449</v>
      </c>
      <c r="F4363" s="511" t="s">
        <v>1244</v>
      </c>
      <c r="G4363" s="225" t="s">
        <v>1245</v>
      </c>
      <c r="H4363" s="226"/>
      <c r="I4363" s="226" t="s">
        <v>1253</v>
      </c>
      <c r="J4363" s="222" t="s">
        <v>87</v>
      </c>
      <c r="K4363" s="227">
        <v>44642.800000000745</v>
      </c>
      <c r="L4363" s="227"/>
    </row>
    <row r="4364" spans="1:13" ht="11.25" customHeight="1" x14ac:dyDescent="0.2">
      <c r="A4364" s="228">
        <v>2024</v>
      </c>
      <c r="B4364" s="228">
        <v>6</v>
      </c>
      <c r="C4364" s="228">
        <v>6</v>
      </c>
      <c r="D4364" s="229">
        <f t="shared" si="407"/>
        <v>45449</v>
      </c>
      <c r="E4364" s="241">
        <f t="shared" si="408"/>
        <v>45449</v>
      </c>
      <c r="F4364" s="512"/>
      <c r="G4364" s="231" t="s">
        <v>1245</v>
      </c>
      <c r="H4364" s="232"/>
      <c r="I4364" s="232" t="s">
        <v>1253</v>
      </c>
      <c r="J4364" s="228" t="s">
        <v>72</v>
      </c>
      <c r="K4364" s="233"/>
      <c r="L4364" s="233">
        <f>K4363</f>
        <v>44642.800000000745</v>
      </c>
    </row>
    <row r="4365" spans="1:13" ht="11.25" customHeight="1" x14ac:dyDescent="0.2">
      <c r="A4365" s="222">
        <v>2024</v>
      </c>
      <c r="B4365" s="222">
        <v>6</v>
      </c>
      <c r="C4365" s="222">
        <v>6</v>
      </c>
      <c r="D4365" s="223">
        <f t="shared" si="407"/>
        <v>45449</v>
      </c>
      <c r="E4365" s="240">
        <f t="shared" si="408"/>
        <v>45449</v>
      </c>
      <c r="F4365" s="511" t="s">
        <v>1246</v>
      </c>
      <c r="G4365" s="225" t="s">
        <v>1245</v>
      </c>
      <c r="H4365" s="226"/>
      <c r="I4365" s="226" t="s">
        <v>1253</v>
      </c>
      <c r="J4365" s="222" t="s">
        <v>75</v>
      </c>
      <c r="K4365" s="227">
        <v>3623.123846153846</v>
      </c>
      <c r="L4365" s="227"/>
    </row>
    <row r="4366" spans="1:13" ht="11.25" customHeight="1" x14ac:dyDescent="0.2">
      <c r="A4366" s="228">
        <v>2024</v>
      </c>
      <c r="B4366" s="228">
        <v>6</v>
      </c>
      <c r="C4366" s="228">
        <v>6</v>
      </c>
      <c r="D4366" s="229">
        <f t="shared" si="407"/>
        <v>45449</v>
      </c>
      <c r="E4366" s="241">
        <f t="shared" si="408"/>
        <v>45449</v>
      </c>
      <c r="F4366" s="512"/>
      <c r="G4366" s="231" t="s">
        <v>1245</v>
      </c>
      <c r="H4366" s="232"/>
      <c r="I4366" s="232" t="s">
        <v>1253</v>
      </c>
      <c r="J4366" s="228" t="s">
        <v>55</v>
      </c>
      <c r="K4366" s="233"/>
      <c r="L4366" s="233">
        <v>3623.123846153846</v>
      </c>
    </row>
    <row r="4367" spans="1:13" ht="11.25" customHeight="1" x14ac:dyDescent="0.2">
      <c r="A4367" s="222">
        <v>2024</v>
      </c>
      <c r="B4367" s="222">
        <v>6</v>
      </c>
      <c r="C4367" s="222">
        <v>6</v>
      </c>
      <c r="D4367" s="223">
        <f t="shared" si="407"/>
        <v>45449</v>
      </c>
      <c r="E4367" s="240">
        <f t="shared" si="408"/>
        <v>45449</v>
      </c>
      <c r="F4367" s="511" t="s">
        <v>1247</v>
      </c>
      <c r="G4367" s="225" t="s">
        <v>1245</v>
      </c>
      <c r="H4367" s="226"/>
      <c r="I4367" s="226" t="s">
        <v>1253</v>
      </c>
      <c r="J4367" s="222" t="s">
        <v>77</v>
      </c>
      <c r="K4367" s="227">
        <f>M4367</f>
        <v>31034.623157858066</v>
      </c>
      <c r="L4367" s="227"/>
      <c r="M4367" s="120">
        <v>31034.623157858066</v>
      </c>
    </row>
    <row r="4368" spans="1:13" ht="11.25" customHeight="1" x14ac:dyDescent="0.2">
      <c r="A4368" s="228">
        <v>2024</v>
      </c>
      <c r="B4368" s="228">
        <v>6</v>
      </c>
      <c r="C4368" s="228">
        <v>6</v>
      </c>
      <c r="D4368" s="229">
        <f t="shared" si="407"/>
        <v>45449</v>
      </c>
      <c r="E4368" s="241">
        <f t="shared" si="408"/>
        <v>45449</v>
      </c>
      <c r="F4368" s="512"/>
      <c r="G4368" s="231" t="s">
        <v>1245</v>
      </c>
      <c r="H4368" s="232"/>
      <c r="I4368" s="232" t="s">
        <v>1253</v>
      </c>
      <c r="J4368" s="228" t="s">
        <v>41</v>
      </c>
      <c r="K4368" s="233"/>
      <c r="L4368" s="233">
        <f>K4367</f>
        <v>31034.623157858066</v>
      </c>
      <c r="M4368" s="120">
        <v>3103.4623157858068</v>
      </c>
    </row>
    <row r="4369" spans="1:13" ht="11.25" customHeight="1" x14ac:dyDescent="0.2">
      <c r="A4369" s="222">
        <v>2024</v>
      </c>
      <c r="B4369" s="222">
        <v>6</v>
      </c>
      <c r="C4369" s="222">
        <v>6</v>
      </c>
      <c r="D4369" s="223">
        <f t="shared" si="407"/>
        <v>45449</v>
      </c>
      <c r="E4369" s="240">
        <f t="shared" si="408"/>
        <v>45449</v>
      </c>
      <c r="F4369" s="511" t="s">
        <v>1248</v>
      </c>
      <c r="G4369" s="225" t="s">
        <v>1245</v>
      </c>
      <c r="H4369" s="226"/>
      <c r="I4369" s="226" t="s">
        <v>1253</v>
      </c>
      <c r="J4369" s="222" t="s">
        <v>80</v>
      </c>
      <c r="K4369" s="227">
        <f>M4368</f>
        <v>3103.4623157858068</v>
      </c>
      <c r="L4369" s="227"/>
    </row>
    <row r="4370" spans="1:13" ht="11.25" customHeight="1" x14ac:dyDescent="0.2">
      <c r="A4370" s="228">
        <v>2024</v>
      </c>
      <c r="B4370" s="228">
        <v>6</v>
      </c>
      <c r="C4370" s="228">
        <v>6</v>
      </c>
      <c r="D4370" s="229">
        <f t="shared" si="407"/>
        <v>45449</v>
      </c>
      <c r="E4370" s="241">
        <f t="shared" si="408"/>
        <v>45449</v>
      </c>
      <c r="F4370" s="512"/>
      <c r="G4370" s="231" t="s">
        <v>1245</v>
      </c>
      <c r="H4370" s="232"/>
      <c r="I4370" s="232" t="s">
        <v>1253</v>
      </c>
      <c r="J4370" s="228" t="s">
        <v>42</v>
      </c>
      <c r="K4370" s="233"/>
      <c r="L4370" s="233">
        <f>K4369</f>
        <v>3103.4623157858068</v>
      </c>
    </row>
    <row r="4371" spans="1:13" ht="11.25" customHeight="1" x14ac:dyDescent="0.2">
      <c r="A4371" s="197">
        <v>2024</v>
      </c>
      <c r="B4371" s="120">
        <v>6</v>
      </c>
      <c r="C4371" s="120">
        <v>9</v>
      </c>
      <c r="D4371" s="198">
        <f t="shared" si="407"/>
        <v>45452</v>
      </c>
      <c r="E4371" s="199">
        <f>DATE(A4371,B4371,C4371)</f>
        <v>45452</v>
      </c>
      <c r="F4371" s="513" t="s">
        <v>1390</v>
      </c>
      <c r="G4371" s="200" t="s">
        <v>1209</v>
      </c>
      <c r="H4371" s="200"/>
      <c r="I4371" s="201" t="s">
        <v>1253</v>
      </c>
      <c r="J4371" s="197" t="s">
        <v>178</v>
      </c>
      <c r="K4371" s="202">
        <v>109831.95</v>
      </c>
      <c r="L4371" s="202"/>
    </row>
    <row r="4372" spans="1:13" ht="11.25" customHeight="1" x14ac:dyDescent="0.2">
      <c r="A4372" s="120">
        <v>2024</v>
      </c>
      <c r="B4372" s="120">
        <v>6</v>
      </c>
      <c r="C4372" s="120">
        <v>9</v>
      </c>
      <c r="D4372" s="208">
        <f t="shared" si="407"/>
        <v>45452</v>
      </c>
      <c r="E4372" s="209">
        <f>DATE(A4372,B4372,C4372)</f>
        <v>45452</v>
      </c>
      <c r="F4372" s="515"/>
      <c r="G4372" s="132" t="s">
        <v>1209</v>
      </c>
      <c r="H4372" s="132"/>
      <c r="J4372" s="120" t="s">
        <v>71</v>
      </c>
      <c r="K4372" s="207">
        <v>198.05</v>
      </c>
      <c r="L4372" s="207"/>
    </row>
    <row r="4373" spans="1:13" ht="11.25" customHeight="1" x14ac:dyDescent="0.2">
      <c r="A4373" s="120">
        <v>2024</v>
      </c>
      <c r="B4373" s="120">
        <v>6</v>
      </c>
      <c r="C4373" s="120">
        <v>9</v>
      </c>
      <c r="D4373" s="208">
        <f t="shared" si="407"/>
        <v>45452</v>
      </c>
      <c r="E4373" s="209">
        <f>DATE(A4373,B4373,C4373)</f>
        <v>45452</v>
      </c>
      <c r="F4373" s="515"/>
      <c r="G4373" s="132" t="s">
        <v>1209</v>
      </c>
      <c r="H4373" s="132"/>
      <c r="I4373" s="128" t="s">
        <v>1253</v>
      </c>
      <c r="J4373" s="120" t="s">
        <v>179</v>
      </c>
      <c r="K4373" s="207"/>
      <c r="L4373" s="207">
        <v>84270</v>
      </c>
    </row>
    <row r="4374" spans="1:13" ht="11.25" customHeight="1" x14ac:dyDescent="0.2">
      <c r="A4374" s="191">
        <v>2024</v>
      </c>
      <c r="B4374" s="191">
        <v>6</v>
      </c>
      <c r="C4374" s="191">
        <v>9</v>
      </c>
      <c r="D4374" s="192">
        <f t="shared" si="407"/>
        <v>45452</v>
      </c>
      <c r="E4374" s="193">
        <f>DATE(A4374,B4374,C4374)</f>
        <v>45452</v>
      </c>
      <c r="F4374" s="514"/>
      <c r="G4374" s="194" t="s">
        <v>1209</v>
      </c>
      <c r="H4374" s="194"/>
      <c r="I4374" s="195"/>
      <c r="J4374" s="191" t="s">
        <v>70</v>
      </c>
      <c r="K4374" s="196"/>
      <c r="L4374" s="196">
        <v>25760</v>
      </c>
      <c r="M4374" s="251"/>
    </row>
    <row r="4375" spans="1:13" ht="11.25" customHeight="1" x14ac:dyDescent="0.2">
      <c r="A4375" s="197">
        <v>2024</v>
      </c>
      <c r="B4375" s="197">
        <v>6</v>
      </c>
      <c r="C4375" s="197">
        <v>9</v>
      </c>
      <c r="D4375" s="198">
        <f t="shared" si="407"/>
        <v>45452</v>
      </c>
      <c r="E4375" s="209">
        <f t="shared" ref="E4375:E4377" si="409">DATE(A4375,B4375,C4375)</f>
        <v>45452</v>
      </c>
      <c r="F4375" s="513" t="s">
        <v>1210</v>
      </c>
      <c r="G4375" s="200" t="s">
        <v>1209</v>
      </c>
      <c r="H4375" s="201"/>
      <c r="I4375" s="201"/>
      <c r="J4375" s="197" t="s">
        <v>46</v>
      </c>
      <c r="K4375" s="202">
        <v>200000</v>
      </c>
      <c r="L4375" s="202"/>
    </row>
    <row r="4376" spans="1:13" ht="11.25" customHeight="1" x14ac:dyDescent="0.2">
      <c r="A4376" s="120">
        <v>2024</v>
      </c>
      <c r="B4376" s="120">
        <v>6</v>
      </c>
      <c r="C4376" s="120">
        <v>9</v>
      </c>
      <c r="D4376" s="208">
        <f t="shared" si="407"/>
        <v>45452</v>
      </c>
      <c r="E4376" s="209">
        <f t="shared" si="409"/>
        <v>45452</v>
      </c>
      <c r="F4376" s="515"/>
      <c r="G4376" s="132" t="s">
        <v>1209</v>
      </c>
      <c r="J4376" s="120" t="s">
        <v>16</v>
      </c>
      <c r="K4376" s="207"/>
      <c r="L4376" s="207">
        <v>180100</v>
      </c>
    </row>
    <row r="4377" spans="1:13" ht="11.25" customHeight="1" x14ac:dyDescent="0.2">
      <c r="A4377" s="191">
        <v>2024</v>
      </c>
      <c r="B4377" s="191">
        <v>6</v>
      </c>
      <c r="C4377" s="191">
        <v>9</v>
      </c>
      <c r="D4377" s="192">
        <f t="shared" si="407"/>
        <v>45452</v>
      </c>
      <c r="E4377" s="193">
        <f t="shared" si="409"/>
        <v>45452</v>
      </c>
      <c r="F4377" s="514"/>
      <c r="G4377" s="194" t="s">
        <v>1209</v>
      </c>
      <c r="H4377" s="195"/>
      <c r="I4377" s="195"/>
      <c r="J4377" s="191" t="s">
        <v>47</v>
      </c>
      <c r="K4377" s="196"/>
      <c r="L4377" s="196">
        <v>19900</v>
      </c>
    </row>
    <row r="4378" spans="1:13" ht="11.25" customHeight="1" x14ac:dyDescent="0.2">
      <c r="A4378" s="197">
        <v>2024</v>
      </c>
      <c r="B4378" s="197">
        <v>6</v>
      </c>
      <c r="C4378" s="197">
        <v>9</v>
      </c>
      <c r="D4378" s="198">
        <f t="shared" si="407"/>
        <v>45452</v>
      </c>
      <c r="E4378" s="209">
        <f t="shared" ref="E4378:E4383" si="410">DATE(A4378,B4378,C4378)</f>
        <v>45452</v>
      </c>
      <c r="F4378" s="513" t="s">
        <v>1280</v>
      </c>
      <c r="G4378" s="200" t="s">
        <v>1209</v>
      </c>
      <c r="H4378" s="201"/>
      <c r="I4378" s="201" t="s">
        <v>1137</v>
      </c>
      <c r="J4378" s="197" t="s">
        <v>16</v>
      </c>
      <c r="K4378" s="202">
        <v>423970</v>
      </c>
      <c r="L4378" s="202"/>
    </row>
    <row r="4379" spans="1:13" ht="11.25" customHeight="1" x14ac:dyDescent="0.2">
      <c r="A4379" s="120">
        <v>2024</v>
      </c>
      <c r="B4379" s="120">
        <v>6</v>
      </c>
      <c r="C4379" s="120">
        <v>9</v>
      </c>
      <c r="D4379" s="208">
        <f t="shared" si="407"/>
        <v>45452</v>
      </c>
      <c r="E4379" s="209">
        <f t="shared" si="410"/>
        <v>45452</v>
      </c>
      <c r="F4379" s="515"/>
      <c r="G4379" s="132" t="s">
        <v>1209</v>
      </c>
      <c r="I4379" s="128" t="s">
        <v>1137</v>
      </c>
      <c r="J4379" s="120" t="s">
        <v>47</v>
      </c>
      <c r="K4379" s="207">
        <v>46848.69</v>
      </c>
      <c r="L4379" s="207"/>
    </row>
    <row r="4380" spans="1:13" ht="11.25" customHeight="1" x14ac:dyDescent="0.2">
      <c r="A4380" s="191">
        <v>2024</v>
      </c>
      <c r="B4380" s="191">
        <v>6</v>
      </c>
      <c r="C4380" s="191">
        <v>9</v>
      </c>
      <c r="D4380" s="192">
        <f t="shared" si="407"/>
        <v>45452</v>
      </c>
      <c r="E4380" s="193">
        <f t="shared" si="410"/>
        <v>45452</v>
      </c>
      <c r="F4380" s="514"/>
      <c r="G4380" s="194" t="s">
        <v>1209</v>
      </c>
      <c r="H4380" s="195"/>
      <c r="I4380" s="195" t="s">
        <v>1137</v>
      </c>
      <c r="J4380" s="191" t="s">
        <v>46</v>
      </c>
      <c r="K4380" s="196"/>
      <c r="L4380" s="196">
        <v>470818.69</v>
      </c>
    </row>
    <row r="4381" spans="1:13" ht="11.25" customHeight="1" x14ac:dyDescent="0.2">
      <c r="A4381" s="197">
        <v>2024</v>
      </c>
      <c r="B4381" s="197">
        <v>6</v>
      </c>
      <c r="C4381" s="197">
        <v>9</v>
      </c>
      <c r="D4381" s="198">
        <f t="shared" si="407"/>
        <v>45452</v>
      </c>
      <c r="E4381" s="209">
        <f t="shared" si="410"/>
        <v>45452</v>
      </c>
      <c r="F4381" s="513" t="s">
        <v>1280</v>
      </c>
      <c r="G4381" s="200" t="s">
        <v>1209</v>
      </c>
      <c r="H4381" s="201"/>
      <c r="I4381" s="201" t="s">
        <v>1242</v>
      </c>
      <c r="J4381" s="197" t="s">
        <v>16</v>
      </c>
      <c r="K4381" s="202">
        <v>469740</v>
      </c>
      <c r="L4381" s="202"/>
    </row>
    <row r="4382" spans="1:13" ht="11.25" customHeight="1" x14ac:dyDescent="0.2">
      <c r="A4382" s="120">
        <v>2024</v>
      </c>
      <c r="B4382" s="120">
        <v>6</v>
      </c>
      <c r="C4382" s="120">
        <v>9</v>
      </c>
      <c r="D4382" s="208">
        <f t="shared" si="407"/>
        <v>45452</v>
      </c>
      <c r="E4382" s="209">
        <f t="shared" si="410"/>
        <v>45452</v>
      </c>
      <c r="F4382" s="515"/>
      <c r="G4382" s="132" t="s">
        <v>1209</v>
      </c>
      <c r="I4382" s="128" t="s">
        <v>1242</v>
      </c>
      <c r="J4382" s="120" t="s">
        <v>47</v>
      </c>
      <c r="K4382" s="207">
        <v>51906.270000000019</v>
      </c>
      <c r="L4382" s="207"/>
    </row>
    <row r="4383" spans="1:13" ht="11.25" customHeight="1" x14ac:dyDescent="0.2">
      <c r="A4383" s="191">
        <v>2024</v>
      </c>
      <c r="B4383" s="191">
        <v>6</v>
      </c>
      <c r="C4383" s="191">
        <v>9</v>
      </c>
      <c r="D4383" s="192">
        <f t="shared" si="407"/>
        <v>45452</v>
      </c>
      <c r="E4383" s="193">
        <f t="shared" si="410"/>
        <v>45452</v>
      </c>
      <c r="F4383" s="514"/>
      <c r="G4383" s="194" t="s">
        <v>1209</v>
      </c>
      <c r="H4383" s="195"/>
      <c r="I4383" s="195" t="s">
        <v>1242</v>
      </c>
      <c r="J4383" s="191" t="s">
        <v>46</v>
      </c>
      <c r="K4383" s="196"/>
      <c r="L4383" s="196">
        <v>521646.27</v>
      </c>
    </row>
    <row r="4384" spans="1:13" ht="11.25" customHeight="1" x14ac:dyDescent="0.2">
      <c r="A4384" s="197">
        <v>2024</v>
      </c>
      <c r="B4384" s="197">
        <v>6</v>
      </c>
      <c r="C4384" s="197">
        <v>9</v>
      </c>
      <c r="D4384" s="198">
        <f t="shared" si="407"/>
        <v>45452</v>
      </c>
      <c r="E4384" s="209">
        <f t="shared" ref="E4384:E4386" si="411">DATE(A4384,B4384,C4384)</f>
        <v>45452</v>
      </c>
      <c r="F4384" s="513" t="s">
        <v>1210</v>
      </c>
      <c r="G4384" s="200" t="s">
        <v>1209</v>
      </c>
      <c r="H4384" s="201"/>
      <c r="I4384" s="201" t="s">
        <v>1652</v>
      </c>
      <c r="J4384" s="197" t="s">
        <v>46</v>
      </c>
      <c r="K4384" s="202">
        <v>50000</v>
      </c>
      <c r="L4384" s="202"/>
    </row>
    <row r="4385" spans="1:12" ht="11.25" customHeight="1" x14ac:dyDescent="0.2">
      <c r="A4385" s="120">
        <v>2024</v>
      </c>
      <c r="B4385" s="120">
        <v>6</v>
      </c>
      <c r="C4385" s="120">
        <v>9</v>
      </c>
      <c r="D4385" s="208">
        <f t="shared" si="407"/>
        <v>45452</v>
      </c>
      <c r="E4385" s="209">
        <f t="shared" si="411"/>
        <v>45452</v>
      </c>
      <c r="F4385" s="515"/>
      <c r="G4385" s="132" t="s">
        <v>1209</v>
      </c>
      <c r="I4385" s="128" t="s">
        <v>1652</v>
      </c>
      <c r="J4385" s="120" t="s">
        <v>16</v>
      </c>
      <c r="K4385" s="207"/>
      <c r="L4385" s="207">
        <v>45020</v>
      </c>
    </row>
    <row r="4386" spans="1:12" ht="11.25" customHeight="1" x14ac:dyDescent="0.2">
      <c r="A4386" s="191">
        <v>2024</v>
      </c>
      <c r="B4386" s="191">
        <v>6</v>
      </c>
      <c r="C4386" s="191">
        <v>9</v>
      </c>
      <c r="D4386" s="192">
        <f t="shared" si="407"/>
        <v>45452</v>
      </c>
      <c r="E4386" s="193">
        <f t="shared" si="411"/>
        <v>45452</v>
      </c>
      <c r="F4386" s="514"/>
      <c r="G4386" s="194" t="s">
        <v>1209</v>
      </c>
      <c r="H4386" s="195"/>
      <c r="I4386" s="195" t="s">
        <v>1652</v>
      </c>
      <c r="J4386" s="191" t="s">
        <v>47</v>
      </c>
      <c r="K4386" s="196"/>
      <c r="L4386" s="196">
        <v>4980</v>
      </c>
    </row>
    <row r="4387" spans="1:12" ht="11.25" customHeight="1" x14ac:dyDescent="0.2">
      <c r="A4387" s="197">
        <v>2024</v>
      </c>
      <c r="B4387" s="197">
        <v>6</v>
      </c>
      <c r="C4387" s="197">
        <v>9</v>
      </c>
      <c r="D4387" s="198">
        <f t="shared" si="407"/>
        <v>45452</v>
      </c>
      <c r="E4387" s="209">
        <f t="shared" ref="E4387:E4389" si="412">DATE(A4387,B4387,C4387)</f>
        <v>45452</v>
      </c>
      <c r="F4387" s="513" t="s">
        <v>1210</v>
      </c>
      <c r="G4387" s="200" t="s">
        <v>1209</v>
      </c>
      <c r="H4387" s="201"/>
      <c r="I4387" s="201" t="s">
        <v>1653</v>
      </c>
      <c r="J4387" s="197" t="s">
        <v>46</v>
      </c>
      <c r="K4387" s="202">
        <v>300000</v>
      </c>
      <c r="L4387" s="202"/>
    </row>
    <row r="4388" spans="1:12" ht="11.25" customHeight="1" x14ac:dyDescent="0.2">
      <c r="A4388" s="120">
        <v>2024</v>
      </c>
      <c r="B4388" s="120">
        <v>6</v>
      </c>
      <c r="C4388" s="120">
        <v>9</v>
      </c>
      <c r="D4388" s="208">
        <f t="shared" si="407"/>
        <v>45452</v>
      </c>
      <c r="E4388" s="209">
        <f t="shared" si="412"/>
        <v>45452</v>
      </c>
      <c r="F4388" s="515"/>
      <c r="G4388" s="132" t="s">
        <v>1209</v>
      </c>
      <c r="I4388" s="128" t="s">
        <v>1653</v>
      </c>
      <c r="J4388" s="120" t="s">
        <v>16</v>
      </c>
      <c r="K4388" s="207"/>
      <c r="L4388" s="207">
        <v>270150</v>
      </c>
    </row>
    <row r="4389" spans="1:12" ht="11.25" customHeight="1" x14ac:dyDescent="0.2">
      <c r="A4389" s="191">
        <v>2024</v>
      </c>
      <c r="B4389" s="191">
        <v>6</v>
      </c>
      <c r="C4389" s="191">
        <v>9</v>
      </c>
      <c r="D4389" s="192">
        <f t="shared" si="407"/>
        <v>45452</v>
      </c>
      <c r="E4389" s="193">
        <f t="shared" si="412"/>
        <v>45452</v>
      </c>
      <c r="F4389" s="514"/>
      <c r="G4389" s="194" t="s">
        <v>1209</v>
      </c>
      <c r="H4389" s="195"/>
      <c r="I4389" s="195" t="s">
        <v>1653</v>
      </c>
      <c r="J4389" s="191" t="s">
        <v>47</v>
      </c>
      <c r="K4389" s="196"/>
      <c r="L4389" s="196">
        <v>29850</v>
      </c>
    </row>
    <row r="4390" spans="1:12" ht="11.25" customHeight="1" x14ac:dyDescent="0.2">
      <c r="A4390" s="197">
        <v>2024</v>
      </c>
      <c r="B4390" s="197">
        <v>6</v>
      </c>
      <c r="C4390" s="197">
        <v>9</v>
      </c>
      <c r="D4390" s="198">
        <f t="shared" si="407"/>
        <v>45452</v>
      </c>
      <c r="E4390" s="209">
        <f t="shared" ref="E4390:E4392" si="413">DATE(A4390,B4390,C4390)</f>
        <v>45452</v>
      </c>
      <c r="F4390" s="513" t="s">
        <v>1210</v>
      </c>
      <c r="G4390" s="200" t="s">
        <v>1209</v>
      </c>
      <c r="H4390" s="201"/>
      <c r="I4390" s="201" t="s">
        <v>406</v>
      </c>
      <c r="J4390" s="197" t="s">
        <v>46</v>
      </c>
      <c r="K4390" s="202">
        <v>2000000</v>
      </c>
      <c r="L4390" s="202"/>
    </row>
    <row r="4391" spans="1:12" ht="11.25" customHeight="1" x14ac:dyDescent="0.2">
      <c r="A4391" s="120">
        <v>2024</v>
      </c>
      <c r="B4391" s="120">
        <v>6</v>
      </c>
      <c r="C4391" s="120">
        <v>9</v>
      </c>
      <c r="D4391" s="208">
        <f t="shared" si="407"/>
        <v>45452</v>
      </c>
      <c r="E4391" s="209">
        <f t="shared" si="413"/>
        <v>45452</v>
      </c>
      <c r="F4391" s="515"/>
      <c r="G4391" s="132" t="s">
        <v>1209</v>
      </c>
      <c r="I4391" s="128" t="s">
        <v>406</v>
      </c>
      <c r="J4391" s="120" t="s">
        <v>16</v>
      </c>
      <c r="K4391" s="207"/>
      <c r="L4391" s="207">
        <v>1800990</v>
      </c>
    </row>
    <row r="4392" spans="1:12" ht="11.25" customHeight="1" x14ac:dyDescent="0.2">
      <c r="A4392" s="191">
        <v>2024</v>
      </c>
      <c r="B4392" s="191">
        <v>6</v>
      </c>
      <c r="C4392" s="191">
        <v>9</v>
      </c>
      <c r="D4392" s="192">
        <f t="shared" si="407"/>
        <v>45452</v>
      </c>
      <c r="E4392" s="193">
        <f t="shared" si="413"/>
        <v>45452</v>
      </c>
      <c r="F4392" s="514"/>
      <c r="G4392" s="194" t="s">
        <v>1209</v>
      </c>
      <c r="H4392" s="195"/>
      <c r="I4392" s="195" t="s">
        <v>406</v>
      </c>
      <c r="J4392" s="191" t="s">
        <v>47</v>
      </c>
      <c r="K4392" s="196"/>
      <c r="L4392" s="196">
        <v>199010</v>
      </c>
    </row>
    <row r="4393" spans="1:12" ht="11.25" customHeight="1" x14ac:dyDescent="0.2">
      <c r="A4393" s="197">
        <v>2024</v>
      </c>
      <c r="B4393" s="197">
        <v>6</v>
      </c>
      <c r="C4393" s="197">
        <v>9</v>
      </c>
      <c r="D4393" s="198">
        <f t="shared" si="407"/>
        <v>45452</v>
      </c>
      <c r="E4393" s="209">
        <f t="shared" ref="E4393:E4395" si="414">DATE(A4393,B4393,C4393)</f>
        <v>45452</v>
      </c>
      <c r="F4393" s="513" t="s">
        <v>1210</v>
      </c>
      <c r="G4393" s="200" t="s">
        <v>1209</v>
      </c>
      <c r="H4393" s="201"/>
      <c r="I4393" s="201" t="s">
        <v>406</v>
      </c>
      <c r="J4393" s="197" t="s">
        <v>46</v>
      </c>
      <c r="K4393" s="202">
        <v>1000000</v>
      </c>
      <c r="L4393" s="202"/>
    </row>
    <row r="4394" spans="1:12" ht="11.25" customHeight="1" x14ac:dyDescent="0.2">
      <c r="A4394" s="120">
        <v>2024</v>
      </c>
      <c r="B4394" s="120">
        <v>6</v>
      </c>
      <c r="C4394" s="120">
        <v>9</v>
      </c>
      <c r="D4394" s="208">
        <f t="shared" si="407"/>
        <v>45452</v>
      </c>
      <c r="E4394" s="209">
        <f t="shared" si="414"/>
        <v>45452</v>
      </c>
      <c r="F4394" s="515"/>
      <c r="G4394" s="132" t="s">
        <v>1209</v>
      </c>
      <c r="I4394" s="128" t="s">
        <v>406</v>
      </c>
      <c r="J4394" s="120" t="s">
        <v>16</v>
      </c>
      <c r="K4394" s="207"/>
      <c r="L4394" s="207">
        <v>900500</v>
      </c>
    </row>
    <row r="4395" spans="1:12" ht="11.25" customHeight="1" x14ac:dyDescent="0.2">
      <c r="A4395" s="191">
        <v>2024</v>
      </c>
      <c r="B4395" s="191">
        <v>6</v>
      </c>
      <c r="C4395" s="191">
        <v>9</v>
      </c>
      <c r="D4395" s="192">
        <f t="shared" si="407"/>
        <v>45452</v>
      </c>
      <c r="E4395" s="193">
        <f t="shared" si="414"/>
        <v>45452</v>
      </c>
      <c r="F4395" s="514"/>
      <c r="G4395" s="194" t="s">
        <v>1209</v>
      </c>
      <c r="H4395" s="195"/>
      <c r="I4395" s="195" t="s">
        <v>406</v>
      </c>
      <c r="J4395" s="191" t="s">
        <v>47</v>
      </c>
      <c r="K4395" s="196"/>
      <c r="L4395" s="196">
        <v>99500</v>
      </c>
    </row>
    <row r="4396" spans="1:12" ht="11.25" customHeight="1" x14ac:dyDescent="0.2">
      <c r="A4396" s="197">
        <v>2024</v>
      </c>
      <c r="B4396" s="197">
        <v>6</v>
      </c>
      <c r="C4396" s="197">
        <v>9</v>
      </c>
      <c r="D4396" s="198">
        <f t="shared" si="407"/>
        <v>45452</v>
      </c>
      <c r="E4396" s="209">
        <f t="shared" ref="E4396:E4398" si="415">DATE(A4396,B4396,C4396)</f>
        <v>45452</v>
      </c>
      <c r="F4396" s="513" t="s">
        <v>1210</v>
      </c>
      <c r="G4396" s="200" t="s">
        <v>1209</v>
      </c>
      <c r="H4396" s="201"/>
      <c r="I4396" s="201" t="s">
        <v>426</v>
      </c>
      <c r="J4396" s="197" t="s">
        <v>46</v>
      </c>
      <c r="K4396" s="202">
        <v>4500000</v>
      </c>
      <c r="L4396" s="202"/>
    </row>
    <row r="4397" spans="1:12" ht="11.25" customHeight="1" x14ac:dyDescent="0.2">
      <c r="A4397" s="120">
        <v>2024</v>
      </c>
      <c r="B4397" s="120">
        <v>6</v>
      </c>
      <c r="C4397" s="120">
        <v>9</v>
      </c>
      <c r="D4397" s="208">
        <f t="shared" si="407"/>
        <v>45452</v>
      </c>
      <c r="E4397" s="209">
        <f t="shared" si="415"/>
        <v>45452</v>
      </c>
      <c r="F4397" s="515"/>
      <c r="G4397" s="132" t="s">
        <v>1209</v>
      </c>
      <c r="I4397" s="128" t="s">
        <v>426</v>
      </c>
      <c r="J4397" s="120" t="s">
        <v>16</v>
      </c>
      <c r="K4397" s="207"/>
      <c r="L4397" s="207">
        <v>4060640</v>
      </c>
    </row>
    <row r="4398" spans="1:12" ht="11.25" customHeight="1" x14ac:dyDescent="0.2">
      <c r="A4398" s="191">
        <v>2024</v>
      </c>
      <c r="B4398" s="191">
        <v>6</v>
      </c>
      <c r="C4398" s="191">
        <v>9</v>
      </c>
      <c r="D4398" s="192">
        <f t="shared" si="407"/>
        <v>45452</v>
      </c>
      <c r="E4398" s="193">
        <f t="shared" si="415"/>
        <v>45452</v>
      </c>
      <c r="F4398" s="514"/>
      <c r="G4398" s="194" t="s">
        <v>1209</v>
      </c>
      <c r="H4398" s="195"/>
      <c r="I4398" s="195" t="s">
        <v>426</v>
      </c>
      <c r="J4398" s="191" t="s">
        <v>47</v>
      </c>
      <c r="K4398" s="196"/>
      <c r="L4398" s="196">
        <v>439360</v>
      </c>
    </row>
    <row r="4399" spans="1:12" ht="11.25" customHeight="1" x14ac:dyDescent="0.2">
      <c r="A4399" s="197">
        <v>2024</v>
      </c>
      <c r="B4399" s="197">
        <v>6</v>
      </c>
      <c r="C4399" s="197">
        <v>9</v>
      </c>
      <c r="D4399" s="198">
        <f t="shared" si="407"/>
        <v>45452</v>
      </c>
      <c r="E4399" s="209">
        <f>DATE(A4399,B4399,C4399)</f>
        <v>45452</v>
      </c>
      <c r="F4399" s="513" t="s">
        <v>1280</v>
      </c>
      <c r="G4399" s="200" t="s">
        <v>1209</v>
      </c>
      <c r="H4399" s="201"/>
      <c r="I4399" s="201" t="s">
        <v>1619</v>
      </c>
      <c r="J4399" s="197" t="s">
        <v>16</v>
      </c>
      <c r="K4399" s="202">
        <v>22550</v>
      </c>
      <c r="L4399" s="202"/>
    </row>
    <row r="4400" spans="1:12" ht="11.25" customHeight="1" x14ac:dyDescent="0.2">
      <c r="A4400" s="120">
        <v>2024</v>
      </c>
      <c r="B4400" s="120">
        <v>6</v>
      </c>
      <c r="C4400" s="120">
        <v>9</v>
      </c>
      <c r="D4400" s="208">
        <f t="shared" si="407"/>
        <v>45452</v>
      </c>
      <c r="E4400" s="209">
        <f>DATE(A4400,B4400,C4400)</f>
        <v>45452</v>
      </c>
      <c r="F4400" s="515"/>
      <c r="G4400" s="132" t="s">
        <v>1209</v>
      </c>
      <c r="I4400" s="128" t="s">
        <v>1619</v>
      </c>
      <c r="J4400" s="120" t="s">
        <v>47</v>
      </c>
      <c r="K4400" s="207">
        <v>2491.7799999999988</v>
      </c>
      <c r="L4400" s="207"/>
    </row>
    <row r="4401" spans="1:15" ht="11.25" customHeight="1" x14ac:dyDescent="0.2">
      <c r="A4401" s="191">
        <v>2024</v>
      </c>
      <c r="B4401" s="191">
        <v>6</v>
      </c>
      <c r="C4401" s="191">
        <v>9</v>
      </c>
      <c r="D4401" s="192">
        <f t="shared" si="407"/>
        <v>45452</v>
      </c>
      <c r="E4401" s="193">
        <f>DATE(A4401,B4401,C4401)</f>
        <v>45452</v>
      </c>
      <c r="F4401" s="514"/>
      <c r="G4401" s="194" t="s">
        <v>1209</v>
      </c>
      <c r="H4401" s="195"/>
      <c r="I4401" s="195" t="s">
        <v>1619</v>
      </c>
      <c r="J4401" s="191" t="s">
        <v>46</v>
      </c>
      <c r="K4401" s="196"/>
      <c r="L4401" s="196">
        <v>25041.78</v>
      </c>
    </row>
    <row r="4402" spans="1:15" ht="11.25" customHeight="1" x14ac:dyDescent="0.2">
      <c r="A4402" s="197">
        <v>2024</v>
      </c>
      <c r="B4402" s="197">
        <v>6</v>
      </c>
      <c r="C4402" s="197">
        <v>9</v>
      </c>
      <c r="D4402" s="198">
        <f t="shared" si="407"/>
        <v>45452</v>
      </c>
      <c r="E4402" s="290">
        <f t="shared" ref="E4402:E4403" si="416">DATE(A4402,B4402,C4402)</f>
        <v>45452</v>
      </c>
      <c r="F4402" s="513" t="s">
        <v>1514</v>
      </c>
      <c r="G4402" s="200" t="s">
        <v>1209</v>
      </c>
      <c r="H4402" s="201"/>
      <c r="I4402" s="201"/>
      <c r="J4402" s="197" t="s">
        <v>54</v>
      </c>
      <c r="K4402" s="202">
        <v>60</v>
      </c>
      <c r="L4402" s="202"/>
      <c r="M4402" s="251"/>
      <c r="N4402" s="251"/>
      <c r="O4402" s="251"/>
    </row>
    <row r="4403" spans="1:15" ht="11.25" customHeight="1" x14ac:dyDescent="0.2">
      <c r="A4403" s="191">
        <v>2024</v>
      </c>
      <c r="B4403" s="191">
        <v>6</v>
      </c>
      <c r="C4403" s="191">
        <v>9</v>
      </c>
      <c r="D4403" s="192">
        <f t="shared" si="407"/>
        <v>45452</v>
      </c>
      <c r="E4403" s="291">
        <f t="shared" si="416"/>
        <v>45452</v>
      </c>
      <c r="F4403" s="514"/>
      <c r="G4403" s="194" t="s">
        <v>1209</v>
      </c>
      <c r="H4403" s="195"/>
      <c r="I4403" s="195"/>
      <c r="J4403" s="191" t="s">
        <v>46</v>
      </c>
      <c r="K4403" s="196"/>
      <c r="L4403" s="196">
        <v>60</v>
      </c>
      <c r="M4403" s="251"/>
      <c r="N4403" s="251"/>
      <c r="O4403" s="251"/>
    </row>
    <row r="4404" spans="1:15" ht="11.25" customHeight="1" x14ac:dyDescent="0.2">
      <c r="A4404" s="197">
        <v>2024</v>
      </c>
      <c r="B4404" s="197">
        <v>6</v>
      </c>
      <c r="C4404" s="197">
        <v>10</v>
      </c>
      <c r="D4404" s="198">
        <f t="shared" si="407"/>
        <v>45453</v>
      </c>
      <c r="E4404" s="290">
        <f t="shared" ref="E4404:E4405" si="417">DATE(A4404,B4404,C4404)</f>
        <v>45453</v>
      </c>
      <c r="F4404" s="513" t="s">
        <v>1514</v>
      </c>
      <c r="G4404" s="200" t="s">
        <v>1209</v>
      </c>
      <c r="H4404" s="201"/>
      <c r="I4404" s="201"/>
      <c r="J4404" s="197" t="s">
        <v>54</v>
      </c>
      <c r="K4404" s="202">
        <v>100</v>
      </c>
      <c r="L4404" s="202"/>
      <c r="M4404" s="251"/>
      <c r="N4404" s="251"/>
      <c r="O4404" s="251"/>
    </row>
    <row r="4405" spans="1:15" ht="11.25" customHeight="1" x14ac:dyDescent="0.2">
      <c r="A4405" s="191">
        <v>2024</v>
      </c>
      <c r="B4405" s="191">
        <v>6</v>
      </c>
      <c r="C4405" s="191">
        <v>10</v>
      </c>
      <c r="D4405" s="192">
        <f t="shared" si="407"/>
        <v>45453</v>
      </c>
      <c r="E4405" s="291">
        <f t="shared" si="417"/>
        <v>45453</v>
      </c>
      <c r="F4405" s="514"/>
      <c r="G4405" s="194" t="s">
        <v>1209</v>
      </c>
      <c r="H4405" s="195"/>
      <c r="I4405" s="195"/>
      <c r="J4405" s="191" t="s">
        <v>46</v>
      </c>
      <c r="K4405" s="196"/>
      <c r="L4405" s="196">
        <v>100</v>
      </c>
      <c r="M4405" s="251"/>
      <c r="N4405" s="251"/>
      <c r="O4405" s="251"/>
    </row>
    <row r="4406" spans="1:15" ht="11.25" customHeight="1" x14ac:dyDescent="0.2">
      <c r="A4406" s="197">
        <v>2024</v>
      </c>
      <c r="B4406" s="197">
        <v>6</v>
      </c>
      <c r="C4406" s="197">
        <v>10</v>
      </c>
      <c r="D4406" s="198">
        <f t="shared" si="407"/>
        <v>45453</v>
      </c>
      <c r="E4406" s="290">
        <f t="shared" ref="E4406:E4407" si="418">DATE(A4406,B4406,C4406)</f>
        <v>45453</v>
      </c>
      <c r="F4406" s="513" t="s">
        <v>1514</v>
      </c>
      <c r="G4406" s="200" t="s">
        <v>1209</v>
      </c>
      <c r="H4406" s="201"/>
      <c r="I4406" s="201"/>
      <c r="J4406" s="197" t="s">
        <v>54</v>
      </c>
      <c r="K4406" s="202">
        <v>60</v>
      </c>
      <c r="L4406" s="202"/>
      <c r="M4406" s="251"/>
      <c r="N4406" s="251"/>
      <c r="O4406" s="251"/>
    </row>
    <row r="4407" spans="1:15" ht="11.25" customHeight="1" x14ac:dyDescent="0.2">
      <c r="A4407" s="191">
        <v>2024</v>
      </c>
      <c r="B4407" s="191">
        <v>6</v>
      </c>
      <c r="C4407" s="191">
        <v>10</v>
      </c>
      <c r="D4407" s="192">
        <f t="shared" si="407"/>
        <v>45453</v>
      </c>
      <c r="E4407" s="291">
        <f t="shared" si="418"/>
        <v>45453</v>
      </c>
      <c r="F4407" s="514"/>
      <c r="G4407" s="194" t="s">
        <v>1209</v>
      </c>
      <c r="H4407" s="195"/>
      <c r="I4407" s="195"/>
      <c r="J4407" s="191" t="s">
        <v>46</v>
      </c>
      <c r="K4407" s="196"/>
      <c r="L4407" s="196">
        <v>60</v>
      </c>
      <c r="M4407" s="251"/>
      <c r="N4407" s="251"/>
      <c r="O4407" s="251"/>
    </row>
    <row r="4408" spans="1:15" ht="11.25" customHeight="1" x14ac:dyDescent="0.2">
      <c r="A4408" s="197">
        <v>2024</v>
      </c>
      <c r="B4408" s="197">
        <v>6</v>
      </c>
      <c r="C4408" s="197">
        <v>10</v>
      </c>
      <c r="D4408" s="198">
        <f t="shared" si="407"/>
        <v>45453</v>
      </c>
      <c r="E4408" s="290">
        <f t="shared" ref="E4408:E4409" si="419">DATE(A4408,B4408,C4408)</f>
        <v>45453</v>
      </c>
      <c r="F4408" s="513" t="s">
        <v>1514</v>
      </c>
      <c r="G4408" s="200" t="s">
        <v>1209</v>
      </c>
      <c r="H4408" s="201"/>
      <c r="I4408" s="201"/>
      <c r="J4408" s="197" t="s">
        <v>54</v>
      </c>
      <c r="K4408" s="202">
        <v>10</v>
      </c>
      <c r="L4408" s="202"/>
      <c r="M4408" s="251"/>
      <c r="N4408" s="251"/>
      <c r="O4408" s="251"/>
    </row>
    <row r="4409" spans="1:15" ht="11.25" customHeight="1" x14ac:dyDescent="0.2">
      <c r="A4409" s="191">
        <v>2024</v>
      </c>
      <c r="B4409" s="191">
        <v>6</v>
      </c>
      <c r="C4409" s="191">
        <v>10</v>
      </c>
      <c r="D4409" s="192">
        <f t="shared" si="407"/>
        <v>45453</v>
      </c>
      <c r="E4409" s="291">
        <f t="shared" si="419"/>
        <v>45453</v>
      </c>
      <c r="F4409" s="514"/>
      <c r="G4409" s="194" t="s">
        <v>1209</v>
      </c>
      <c r="H4409" s="195"/>
      <c r="I4409" s="195"/>
      <c r="J4409" s="191" t="s">
        <v>46</v>
      </c>
      <c r="K4409" s="196"/>
      <c r="L4409" s="196">
        <v>10</v>
      </c>
      <c r="M4409" s="251"/>
      <c r="N4409" s="251"/>
      <c r="O4409" s="251"/>
    </row>
    <row r="4410" spans="1:15" ht="11.25" customHeight="1" x14ac:dyDescent="0.2">
      <c r="A4410" s="197">
        <v>2024</v>
      </c>
      <c r="B4410" s="197">
        <v>6</v>
      </c>
      <c r="C4410" s="197">
        <v>10</v>
      </c>
      <c r="D4410" s="198">
        <f t="shared" si="407"/>
        <v>45453</v>
      </c>
      <c r="E4410" s="290">
        <f t="shared" ref="E4410:E4411" si="420">DATE(A4410,B4410,C4410)</f>
        <v>45453</v>
      </c>
      <c r="F4410" s="513" t="s">
        <v>1514</v>
      </c>
      <c r="G4410" s="200" t="s">
        <v>1209</v>
      </c>
      <c r="H4410" s="201"/>
      <c r="I4410" s="201"/>
      <c r="J4410" s="197" t="s">
        <v>54</v>
      </c>
      <c r="K4410" s="202">
        <v>60</v>
      </c>
      <c r="L4410" s="202"/>
      <c r="M4410" s="251"/>
      <c r="N4410" s="251"/>
      <c r="O4410" s="251"/>
    </row>
    <row r="4411" spans="1:15" ht="11.25" customHeight="1" x14ac:dyDescent="0.2">
      <c r="A4411" s="191">
        <v>2024</v>
      </c>
      <c r="B4411" s="191">
        <v>6</v>
      </c>
      <c r="C4411" s="191">
        <v>10</v>
      </c>
      <c r="D4411" s="192">
        <f t="shared" si="407"/>
        <v>45453</v>
      </c>
      <c r="E4411" s="291">
        <f t="shared" si="420"/>
        <v>45453</v>
      </c>
      <c r="F4411" s="514"/>
      <c r="G4411" s="194" t="s">
        <v>1209</v>
      </c>
      <c r="H4411" s="195"/>
      <c r="I4411" s="195"/>
      <c r="J4411" s="191" t="s">
        <v>46</v>
      </c>
      <c r="K4411" s="196"/>
      <c r="L4411" s="196">
        <v>60</v>
      </c>
      <c r="M4411" s="251"/>
      <c r="N4411" s="251"/>
      <c r="O4411" s="251"/>
    </row>
    <row r="4412" spans="1:15" ht="11.25" customHeight="1" x14ac:dyDescent="0.2">
      <c r="A4412" s="197">
        <v>2024</v>
      </c>
      <c r="B4412" s="197">
        <v>6</v>
      </c>
      <c r="C4412" s="197">
        <v>10</v>
      </c>
      <c r="D4412" s="198">
        <f t="shared" si="407"/>
        <v>45453</v>
      </c>
      <c r="E4412" s="209">
        <f t="shared" ref="E4412:E4414" si="421">DATE(A4412,B4412,C4412)</f>
        <v>45453</v>
      </c>
      <c r="F4412" s="513" t="s">
        <v>1210</v>
      </c>
      <c r="G4412" s="200" t="s">
        <v>1209</v>
      </c>
      <c r="H4412" s="201"/>
      <c r="I4412" s="201" t="s">
        <v>351</v>
      </c>
      <c r="J4412" s="197" t="s">
        <v>46</v>
      </c>
      <c r="K4412" s="202">
        <v>60000</v>
      </c>
      <c r="L4412" s="202"/>
    </row>
    <row r="4413" spans="1:15" ht="11.25" customHeight="1" x14ac:dyDescent="0.2">
      <c r="A4413" s="120">
        <v>2024</v>
      </c>
      <c r="B4413" s="120">
        <v>6</v>
      </c>
      <c r="C4413" s="120">
        <v>10</v>
      </c>
      <c r="D4413" s="208">
        <f t="shared" si="407"/>
        <v>45453</v>
      </c>
      <c r="E4413" s="209">
        <f t="shared" si="421"/>
        <v>45453</v>
      </c>
      <c r="F4413" s="515"/>
      <c r="G4413" s="132" t="s">
        <v>1209</v>
      </c>
      <c r="I4413" s="128" t="s">
        <v>351</v>
      </c>
      <c r="J4413" s="120" t="s">
        <v>16</v>
      </c>
      <c r="K4413" s="207"/>
      <c r="L4413" s="207">
        <v>54030</v>
      </c>
    </row>
    <row r="4414" spans="1:15" ht="11.25" customHeight="1" x14ac:dyDescent="0.2">
      <c r="A4414" s="191">
        <v>2024</v>
      </c>
      <c r="B4414" s="191">
        <v>6</v>
      </c>
      <c r="C4414" s="191">
        <v>10</v>
      </c>
      <c r="D4414" s="192">
        <f t="shared" si="407"/>
        <v>45453</v>
      </c>
      <c r="E4414" s="193">
        <f t="shared" si="421"/>
        <v>45453</v>
      </c>
      <c r="F4414" s="514"/>
      <c r="G4414" s="194" t="s">
        <v>1209</v>
      </c>
      <c r="H4414" s="195"/>
      <c r="I4414" s="195" t="s">
        <v>351</v>
      </c>
      <c r="J4414" s="191" t="s">
        <v>47</v>
      </c>
      <c r="K4414" s="196"/>
      <c r="L4414" s="196">
        <v>5970</v>
      </c>
    </row>
    <row r="4415" spans="1:15" ht="11.25" customHeight="1" x14ac:dyDescent="0.2">
      <c r="A4415" s="197">
        <v>2024</v>
      </c>
      <c r="B4415" s="197">
        <v>6</v>
      </c>
      <c r="C4415" s="197">
        <v>10</v>
      </c>
      <c r="D4415" s="198">
        <f t="shared" si="407"/>
        <v>45453</v>
      </c>
      <c r="E4415" s="209">
        <f t="shared" ref="E4415:E4417" si="422">DATE(A4415,B4415,C4415)</f>
        <v>45453</v>
      </c>
      <c r="F4415" s="513" t="s">
        <v>1210</v>
      </c>
      <c r="G4415" s="200" t="s">
        <v>1209</v>
      </c>
      <c r="H4415" s="201"/>
      <c r="I4415" s="201" t="s">
        <v>1654</v>
      </c>
      <c r="J4415" s="197" t="s">
        <v>46</v>
      </c>
      <c r="K4415" s="202">
        <v>3000000</v>
      </c>
      <c r="L4415" s="202"/>
    </row>
    <row r="4416" spans="1:15" ht="11.25" customHeight="1" x14ac:dyDescent="0.2">
      <c r="A4416" s="120">
        <v>2024</v>
      </c>
      <c r="B4416" s="120">
        <v>6</v>
      </c>
      <c r="C4416" s="120">
        <v>10</v>
      </c>
      <c r="D4416" s="208">
        <f t="shared" ref="D4416:D4479" si="423">DATE(A4416,B4416,C4416)</f>
        <v>45453</v>
      </c>
      <c r="E4416" s="209">
        <f t="shared" si="422"/>
        <v>45453</v>
      </c>
      <c r="F4416" s="515"/>
      <c r="G4416" s="132" t="s">
        <v>1209</v>
      </c>
      <c r="I4416" s="128" t="s">
        <v>1654</v>
      </c>
      <c r="J4416" s="120" t="s">
        <v>16</v>
      </c>
      <c r="K4416" s="207"/>
      <c r="L4416" s="207">
        <v>2701490</v>
      </c>
    </row>
    <row r="4417" spans="1:12" ht="11.25" customHeight="1" x14ac:dyDescent="0.2">
      <c r="A4417" s="191">
        <v>2024</v>
      </c>
      <c r="B4417" s="191">
        <v>6</v>
      </c>
      <c r="C4417" s="191">
        <v>10</v>
      </c>
      <c r="D4417" s="192">
        <f t="shared" si="423"/>
        <v>45453</v>
      </c>
      <c r="E4417" s="193">
        <f t="shared" si="422"/>
        <v>45453</v>
      </c>
      <c r="F4417" s="514"/>
      <c r="G4417" s="194" t="s">
        <v>1209</v>
      </c>
      <c r="H4417" s="195"/>
      <c r="I4417" s="195" t="s">
        <v>1654</v>
      </c>
      <c r="J4417" s="191" t="s">
        <v>47</v>
      </c>
      <c r="K4417" s="196"/>
      <c r="L4417" s="196">
        <v>298510</v>
      </c>
    </row>
    <row r="4418" spans="1:12" ht="11.25" customHeight="1" x14ac:dyDescent="0.2">
      <c r="A4418" s="197">
        <v>2024</v>
      </c>
      <c r="B4418" s="197">
        <v>6</v>
      </c>
      <c r="C4418" s="197">
        <v>10</v>
      </c>
      <c r="D4418" s="198">
        <f t="shared" si="423"/>
        <v>45453</v>
      </c>
      <c r="E4418" s="209">
        <f t="shared" ref="E4418:E4420" si="424">DATE(A4418,B4418,C4418)</f>
        <v>45453</v>
      </c>
      <c r="F4418" s="513" t="s">
        <v>1210</v>
      </c>
      <c r="G4418" s="200" t="s">
        <v>1209</v>
      </c>
      <c r="H4418" s="201"/>
      <c r="I4418" s="201" t="s">
        <v>742</v>
      </c>
      <c r="J4418" s="197" t="s">
        <v>46</v>
      </c>
      <c r="K4418" s="202">
        <v>400000</v>
      </c>
      <c r="L4418" s="202"/>
    </row>
    <row r="4419" spans="1:12" ht="11.25" customHeight="1" x14ac:dyDescent="0.2">
      <c r="A4419" s="120">
        <v>2024</v>
      </c>
      <c r="B4419" s="120">
        <v>6</v>
      </c>
      <c r="C4419" s="120">
        <v>10</v>
      </c>
      <c r="D4419" s="208">
        <f t="shared" si="423"/>
        <v>45453</v>
      </c>
      <c r="E4419" s="209">
        <f t="shared" si="424"/>
        <v>45453</v>
      </c>
      <c r="F4419" s="515"/>
      <c r="G4419" s="132" t="s">
        <v>1209</v>
      </c>
      <c r="I4419" s="128" t="s">
        <v>742</v>
      </c>
      <c r="J4419" s="120" t="s">
        <v>16</v>
      </c>
      <c r="K4419" s="207"/>
      <c r="L4419" s="207">
        <v>360200</v>
      </c>
    </row>
    <row r="4420" spans="1:12" ht="11.25" customHeight="1" x14ac:dyDescent="0.2">
      <c r="A4420" s="191">
        <v>2024</v>
      </c>
      <c r="B4420" s="191">
        <v>6</v>
      </c>
      <c r="C4420" s="191">
        <v>10</v>
      </c>
      <c r="D4420" s="192">
        <f t="shared" si="423"/>
        <v>45453</v>
      </c>
      <c r="E4420" s="193">
        <f t="shared" si="424"/>
        <v>45453</v>
      </c>
      <c r="F4420" s="514"/>
      <c r="G4420" s="194" t="s">
        <v>1209</v>
      </c>
      <c r="H4420" s="195"/>
      <c r="I4420" s="195" t="s">
        <v>742</v>
      </c>
      <c r="J4420" s="191" t="s">
        <v>47</v>
      </c>
      <c r="K4420" s="196"/>
      <c r="L4420" s="196">
        <v>39800</v>
      </c>
    </row>
    <row r="4421" spans="1:12" ht="11.25" customHeight="1" x14ac:dyDescent="0.2">
      <c r="A4421" s="197">
        <v>2024</v>
      </c>
      <c r="B4421" s="197">
        <v>6</v>
      </c>
      <c r="C4421" s="197">
        <v>10</v>
      </c>
      <c r="D4421" s="198">
        <f t="shared" si="423"/>
        <v>45453</v>
      </c>
      <c r="E4421" s="209">
        <f t="shared" ref="E4421:E4423" si="425">DATE(A4421,B4421,C4421)</f>
        <v>45453</v>
      </c>
      <c r="F4421" s="513" t="s">
        <v>1210</v>
      </c>
      <c r="G4421" s="200" t="s">
        <v>1209</v>
      </c>
      <c r="H4421" s="201"/>
      <c r="I4421" s="201" t="s">
        <v>1214</v>
      </c>
      <c r="J4421" s="197" t="s">
        <v>46</v>
      </c>
      <c r="K4421" s="202">
        <v>500000</v>
      </c>
      <c r="L4421" s="202"/>
    </row>
    <row r="4422" spans="1:12" ht="11.25" customHeight="1" x14ac:dyDescent="0.2">
      <c r="A4422" s="120">
        <v>2024</v>
      </c>
      <c r="B4422" s="120">
        <v>6</v>
      </c>
      <c r="C4422" s="120">
        <v>10</v>
      </c>
      <c r="D4422" s="208">
        <f t="shared" si="423"/>
        <v>45453</v>
      </c>
      <c r="E4422" s="209">
        <f t="shared" si="425"/>
        <v>45453</v>
      </c>
      <c r="F4422" s="515"/>
      <c r="G4422" s="132" t="s">
        <v>1209</v>
      </c>
      <c r="I4422" s="128" t="s">
        <v>1214</v>
      </c>
      <c r="J4422" s="120" t="s">
        <v>16</v>
      </c>
      <c r="K4422" s="207"/>
      <c r="L4422" s="207">
        <v>450250</v>
      </c>
    </row>
    <row r="4423" spans="1:12" ht="11.25" customHeight="1" x14ac:dyDescent="0.2">
      <c r="A4423" s="191">
        <v>2024</v>
      </c>
      <c r="B4423" s="191">
        <v>6</v>
      </c>
      <c r="C4423" s="191">
        <v>10</v>
      </c>
      <c r="D4423" s="192">
        <f t="shared" si="423"/>
        <v>45453</v>
      </c>
      <c r="E4423" s="193">
        <f t="shared" si="425"/>
        <v>45453</v>
      </c>
      <c r="F4423" s="514"/>
      <c r="G4423" s="194" t="s">
        <v>1209</v>
      </c>
      <c r="H4423" s="195"/>
      <c r="I4423" s="195" t="s">
        <v>1214</v>
      </c>
      <c r="J4423" s="191" t="s">
        <v>47</v>
      </c>
      <c r="K4423" s="196"/>
      <c r="L4423" s="196">
        <v>49750</v>
      </c>
    </row>
    <row r="4424" spans="1:12" ht="11.25" customHeight="1" x14ac:dyDescent="0.2">
      <c r="A4424" s="197">
        <v>2024</v>
      </c>
      <c r="B4424" s="197">
        <v>6</v>
      </c>
      <c r="C4424" s="197">
        <v>10</v>
      </c>
      <c r="D4424" s="198">
        <f t="shared" si="423"/>
        <v>45453</v>
      </c>
      <c r="E4424" s="209">
        <f t="shared" ref="E4424:E4432" si="426">DATE(A4424,B4424,C4424)</f>
        <v>45453</v>
      </c>
      <c r="F4424" s="513" t="s">
        <v>1280</v>
      </c>
      <c r="G4424" s="200" t="s">
        <v>1209</v>
      </c>
      <c r="H4424" s="201"/>
      <c r="I4424" s="201" t="s">
        <v>1597</v>
      </c>
      <c r="J4424" s="197" t="s">
        <v>16</v>
      </c>
      <c r="K4424" s="202">
        <v>4390810</v>
      </c>
      <c r="L4424" s="202"/>
    </row>
    <row r="4425" spans="1:12" ht="11.25" customHeight="1" x14ac:dyDescent="0.2">
      <c r="A4425" s="120">
        <v>2024</v>
      </c>
      <c r="B4425" s="120">
        <v>6</v>
      </c>
      <c r="C4425" s="120">
        <v>10</v>
      </c>
      <c r="D4425" s="208">
        <f t="shared" si="423"/>
        <v>45453</v>
      </c>
      <c r="E4425" s="209">
        <f t="shared" si="426"/>
        <v>45453</v>
      </c>
      <c r="F4425" s="515"/>
      <c r="G4425" s="132" t="s">
        <v>1209</v>
      </c>
      <c r="I4425" s="128" t="s">
        <v>1597</v>
      </c>
      <c r="J4425" s="120" t="s">
        <v>47</v>
      </c>
      <c r="K4425" s="207">
        <v>485190</v>
      </c>
      <c r="L4425" s="207"/>
    </row>
    <row r="4426" spans="1:12" ht="11.25" customHeight="1" x14ac:dyDescent="0.2">
      <c r="A4426" s="191">
        <v>2024</v>
      </c>
      <c r="B4426" s="191">
        <v>6</v>
      </c>
      <c r="C4426" s="191">
        <v>10</v>
      </c>
      <c r="D4426" s="192">
        <f t="shared" si="423"/>
        <v>45453</v>
      </c>
      <c r="E4426" s="193">
        <f t="shared" si="426"/>
        <v>45453</v>
      </c>
      <c r="F4426" s="514"/>
      <c r="G4426" s="194" t="s">
        <v>1209</v>
      </c>
      <c r="H4426" s="195"/>
      <c r="I4426" s="195" t="s">
        <v>1597</v>
      </c>
      <c r="J4426" s="191" t="s">
        <v>46</v>
      </c>
      <c r="K4426" s="196"/>
      <c r="L4426" s="196">
        <v>4876000</v>
      </c>
    </row>
    <row r="4427" spans="1:12" ht="11.25" customHeight="1" x14ac:dyDescent="0.2">
      <c r="A4427" s="197">
        <v>2024</v>
      </c>
      <c r="B4427" s="197">
        <v>6</v>
      </c>
      <c r="C4427" s="197">
        <v>10</v>
      </c>
      <c r="D4427" s="198">
        <f t="shared" si="423"/>
        <v>45453</v>
      </c>
      <c r="E4427" s="209">
        <f t="shared" si="426"/>
        <v>45453</v>
      </c>
      <c r="F4427" s="513" t="s">
        <v>1280</v>
      </c>
      <c r="G4427" s="200" t="s">
        <v>1209</v>
      </c>
      <c r="H4427" s="201"/>
      <c r="I4427" s="201" t="s">
        <v>1498</v>
      </c>
      <c r="J4427" s="197" t="s">
        <v>16</v>
      </c>
      <c r="K4427" s="202">
        <v>1237300</v>
      </c>
      <c r="L4427" s="202"/>
    </row>
    <row r="4428" spans="1:12" ht="11.25" customHeight="1" x14ac:dyDescent="0.2">
      <c r="A4428" s="120">
        <v>2024</v>
      </c>
      <c r="B4428" s="120">
        <v>6</v>
      </c>
      <c r="C4428" s="120">
        <v>10</v>
      </c>
      <c r="D4428" s="208">
        <f t="shared" si="423"/>
        <v>45453</v>
      </c>
      <c r="E4428" s="209">
        <f t="shared" si="426"/>
        <v>45453</v>
      </c>
      <c r="F4428" s="515"/>
      <c r="G4428" s="132" t="s">
        <v>1209</v>
      </c>
      <c r="I4428" s="128" t="s">
        <v>1498</v>
      </c>
      <c r="J4428" s="120" t="s">
        <v>47</v>
      </c>
      <c r="K4428" s="207">
        <v>136721.64999999991</v>
      </c>
      <c r="L4428" s="207"/>
    </row>
    <row r="4429" spans="1:12" ht="11.25" customHeight="1" x14ac:dyDescent="0.2">
      <c r="A4429" s="191">
        <v>2024</v>
      </c>
      <c r="B4429" s="191">
        <v>6</v>
      </c>
      <c r="C4429" s="191">
        <v>10</v>
      </c>
      <c r="D4429" s="192">
        <f t="shared" si="423"/>
        <v>45453</v>
      </c>
      <c r="E4429" s="193">
        <f t="shared" si="426"/>
        <v>45453</v>
      </c>
      <c r="F4429" s="514"/>
      <c r="G4429" s="194" t="s">
        <v>1209</v>
      </c>
      <c r="H4429" s="195"/>
      <c r="I4429" s="195" t="s">
        <v>1498</v>
      </c>
      <c r="J4429" s="191" t="s">
        <v>46</v>
      </c>
      <c r="K4429" s="196"/>
      <c r="L4429" s="196">
        <v>1374021.65</v>
      </c>
    </row>
    <row r="4430" spans="1:12" ht="11.25" customHeight="1" x14ac:dyDescent="0.2">
      <c r="A4430" s="197">
        <v>2024</v>
      </c>
      <c r="B4430" s="197">
        <v>6</v>
      </c>
      <c r="C4430" s="197">
        <v>10</v>
      </c>
      <c r="D4430" s="198">
        <f t="shared" si="423"/>
        <v>45453</v>
      </c>
      <c r="E4430" s="209">
        <f t="shared" si="426"/>
        <v>45453</v>
      </c>
      <c r="F4430" s="513" t="s">
        <v>1280</v>
      </c>
      <c r="G4430" s="200" t="s">
        <v>1209</v>
      </c>
      <c r="H4430" s="201"/>
      <c r="I4430" s="201" t="s">
        <v>453</v>
      </c>
      <c r="J4430" s="197" t="s">
        <v>16</v>
      </c>
      <c r="K4430" s="202">
        <v>1080590</v>
      </c>
      <c r="L4430" s="202"/>
    </row>
    <row r="4431" spans="1:12" ht="11.25" customHeight="1" x14ac:dyDescent="0.2">
      <c r="A4431" s="120">
        <v>2024</v>
      </c>
      <c r="B4431" s="120">
        <v>6</v>
      </c>
      <c r="C4431" s="120">
        <v>10</v>
      </c>
      <c r="D4431" s="208">
        <f t="shared" si="423"/>
        <v>45453</v>
      </c>
      <c r="E4431" s="209">
        <f t="shared" si="426"/>
        <v>45453</v>
      </c>
      <c r="F4431" s="515"/>
      <c r="G4431" s="132" t="s">
        <v>1209</v>
      </c>
      <c r="I4431" s="128" t="s">
        <v>453</v>
      </c>
      <c r="J4431" s="120" t="s">
        <v>47</v>
      </c>
      <c r="K4431" s="207">
        <v>119410</v>
      </c>
      <c r="L4431" s="207"/>
    </row>
    <row r="4432" spans="1:12" ht="11.25" customHeight="1" x14ac:dyDescent="0.2">
      <c r="A4432" s="191">
        <v>2024</v>
      </c>
      <c r="B4432" s="191">
        <v>6</v>
      </c>
      <c r="C4432" s="191">
        <v>10</v>
      </c>
      <c r="D4432" s="192">
        <f t="shared" si="423"/>
        <v>45453</v>
      </c>
      <c r="E4432" s="193">
        <f t="shared" si="426"/>
        <v>45453</v>
      </c>
      <c r="F4432" s="514"/>
      <c r="G4432" s="194" t="s">
        <v>1209</v>
      </c>
      <c r="H4432" s="195"/>
      <c r="I4432" s="195" t="s">
        <v>453</v>
      </c>
      <c r="J4432" s="191" t="s">
        <v>46</v>
      </c>
      <c r="K4432" s="196"/>
      <c r="L4432" s="196">
        <v>1200000</v>
      </c>
    </row>
    <row r="4433" spans="1:15" ht="11.25" customHeight="1" x14ac:dyDescent="0.2">
      <c r="A4433" s="197">
        <v>2024</v>
      </c>
      <c r="B4433" s="197">
        <v>6</v>
      </c>
      <c r="C4433" s="197">
        <v>10</v>
      </c>
      <c r="D4433" s="198">
        <f t="shared" si="423"/>
        <v>45453</v>
      </c>
      <c r="E4433" s="199">
        <f t="shared" ref="E4433:E4434" si="427">DATE(A4433,B4433,C4433)</f>
        <v>45453</v>
      </c>
      <c r="F4433" s="513" t="s">
        <v>1649</v>
      </c>
      <c r="G4433" s="200" t="s">
        <v>1209</v>
      </c>
      <c r="H4433" s="201"/>
      <c r="I4433" s="201" t="s">
        <v>1253</v>
      </c>
      <c r="J4433" s="197" t="s">
        <v>1455</v>
      </c>
      <c r="K4433" s="202">
        <v>14817645</v>
      </c>
      <c r="L4433" s="202"/>
    </row>
    <row r="4434" spans="1:15" ht="11.25" customHeight="1" x14ac:dyDescent="0.2">
      <c r="A4434" s="191">
        <v>2024</v>
      </c>
      <c r="B4434" s="191">
        <v>6</v>
      </c>
      <c r="C4434" s="191">
        <v>10</v>
      </c>
      <c r="D4434" s="192">
        <f t="shared" si="423"/>
        <v>45453</v>
      </c>
      <c r="E4434" s="193">
        <f t="shared" si="427"/>
        <v>45453</v>
      </c>
      <c r="F4434" s="514"/>
      <c r="G4434" s="194" t="s">
        <v>1209</v>
      </c>
      <c r="H4434" s="195"/>
      <c r="I4434" s="195" t="s">
        <v>1253</v>
      </c>
      <c r="J4434" s="191" t="s">
        <v>46</v>
      </c>
      <c r="K4434" s="196"/>
      <c r="L4434" s="196">
        <v>14817645</v>
      </c>
      <c r="N4434" s="130"/>
    </row>
    <row r="4435" spans="1:15" ht="11.25" customHeight="1" x14ac:dyDescent="0.2">
      <c r="A4435" s="197">
        <v>2024</v>
      </c>
      <c r="B4435" s="197">
        <v>6</v>
      </c>
      <c r="C4435" s="197">
        <v>10</v>
      </c>
      <c r="D4435" s="198">
        <f t="shared" si="423"/>
        <v>45453</v>
      </c>
      <c r="E4435" s="199">
        <f t="shared" si="408"/>
        <v>45453</v>
      </c>
      <c r="F4435" s="513" t="s">
        <v>1651</v>
      </c>
      <c r="G4435" s="200" t="s">
        <v>1209</v>
      </c>
      <c r="H4435" s="201"/>
      <c r="I4435" s="201" t="s">
        <v>1253</v>
      </c>
      <c r="J4435" s="197" t="s">
        <v>1455</v>
      </c>
      <c r="K4435" s="202">
        <v>19435500</v>
      </c>
      <c r="L4435" s="202"/>
    </row>
    <row r="4436" spans="1:15" ht="11.25" customHeight="1" x14ac:dyDescent="0.2">
      <c r="A4436" s="191">
        <v>2024</v>
      </c>
      <c r="B4436" s="191">
        <v>6</v>
      </c>
      <c r="C4436" s="191">
        <v>10</v>
      </c>
      <c r="D4436" s="192">
        <f t="shared" si="423"/>
        <v>45453</v>
      </c>
      <c r="E4436" s="193">
        <f t="shared" si="408"/>
        <v>45453</v>
      </c>
      <c r="F4436" s="514"/>
      <c r="G4436" s="194" t="s">
        <v>1209</v>
      </c>
      <c r="H4436" s="195"/>
      <c r="I4436" s="195" t="s">
        <v>1253</v>
      </c>
      <c r="J4436" s="191" t="s">
        <v>46</v>
      </c>
      <c r="K4436" s="196"/>
      <c r="L4436" s="196">
        <v>19435500</v>
      </c>
      <c r="N4436" s="130"/>
    </row>
    <row r="4437" spans="1:15" ht="11.25" customHeight="1" x14ac:dyDescent="0.2">
      <c r="A4437" s="197">
        <v>2024</v>
      </c>
      <c r="B4437" s="197">
        <v>6</v>
      </c>
      <c r="C4437" s="197">
        <v>10</v>
      </c>
      <c r="D4437" s="198">
        <f t="shared" si="423"/>
        <v>45453</v>
      </c>
      <c r="E4437" s="199">
        <f t="shared" si="408"/>
        <v>45453</v>
      </c>
      <c r="F4437" s="513" t="s">
        <v>1650</v>
      </c>
      <c r="G4437" s="200" t="s">
        <v>1209</v>
      </c>
      <c r="H4437" s="201"/>
      <c r="I4437" s="201" t="s">
        <v>1253</v>
      </c>
      <c r="J4437" s="197" t="s">
        <v>46</v>
      </c>
      <c r="K4437" s="202">
        <v>7900000</v>
      </c>
      <c r="L4437" s="202"/>
    </row>
    <row r="4438" spans="1:15" ht="11.25" customHeight="1" x14ac:dyDescent="0.2">
      <c r="A4438" s="120">
        <v>2024</v>
      </c>
      <c r="B4438" s="120">
        <v>6</v>
      </c>
      <c r="C4438" s="120">
        <v>10</v>
      </c>
      <c r="D4438" s="208">
        <f t="shared" si="423"/>
        <v>45453</v>
      </c>
      <c r="E4438" s="209">
        <f t="shared" si="408"/>
        <v>45453</v>
      </c>
      <c r="F4438" s="515"/>
      <c r="G4438" s="132" t="s">
        <v>1209</v>
      </c>
      <c r="J4438" s="120" t="s">
        <v>1462</v>
      </c>
      <c r="K4438" s="328"/>
      <c r="L4438" s="207">
        <v>217345</v>
      </c>
    </row>
    <row r="4439" spans="1:15" ht="11.25" customHeight="1" x14ac:dyDescent="0.2">
      <c r="A4439" s="191">
        <v>2024</v>
      </c>
      <c r="B4439" s="191">
        <v>6</v>
      </c>
      <c r="C4439" s="191">
        <v>10</v>
      </c>
      <c r="D4439" s="192">
        <f t="shared" si="423"/>
        <v>45453</v>
      </c>
      <c r="E4439" s="193">
        <f t="shared" si="408"/>
        <v>45453</v>
      </c>
      <c r="F4439" s="514"/>
      <c r="G4439" s="194" t="s">
        <v>1209</v>
      </c>
      <c r="H4439" s="195"/>
      <c r="I4439" s="195" t="s">
        <v>1253</v>
      </c>
      <c r="J4439" s="191" t="s">
        <v>1455</v>
      </c>
      <c r="K4439" s="196"/>
      <c r="L4439" s="196">
        <v>7682655</v>
      </c>
      <c r="N4439" s="130"/>
    </row>
    <row r="4440" spans="1:15" ht="11.25" customHeight="1" x14ac:dyDescent="0.2">
      <c r="A4440" s="197">
        <v>2024</v>
      </c>
      <c r="B4440" s="197">
        <v>6</v>
      </c>
      <c r="C4440" s="197">
        <v>10</v>
      </c>
      <c r="D4440" s="198">
        <f t="shared" si="423"/>
        <v>45453</v>
      </c>
      <c r="E4440" s="290">
        <f t="shared" si="408"/>
        <v>45453</v>
      </c>
      <c r="F4440" s="513" t="s">
        <v>1485</v>
      </c>
      <c r="G4440" s="200" t="s">
        <v>1209</v>
      </c>
      <c r="H4440" s="201"/>
      <c r="I4440" s="201" t="s">
        <v>1253</v>
      </c>
      <c r="J4440" s="197" t="s">
        <v>41</v>
      </c>
      <c r="K4440" s="202">
        <v>355000</v>
      </c>
      <c r="L4440" s="202"/>
      <c r="N4440" s="130">
        <f>K4440*0.15</f>
        <v>53250</v>
      </c>
    </row>
    <row r="4441" spans="1:15" ht="11.25" customHeight="1" x14ac:dyDescent="0.2">
      <c r="A4441" s="191">
        <v>2024</v>
      </c>
      <c r="B4441" s="191">
        <v>6</v>
      </c>
      <c r="C4441" s="191">
        <v>10</v>
      </c>
      <c r="D4441" s="192">
        <f t="shared" si="423"/>
        <v>45453</v>
      </c>
      <c r="E4441" s="291">
        <f t="shared" si="408"/>
        <v>45453</v>
      </c>
      <c r="F4441" s="514"/>
      <c r="G4441" s="194" t="s">
        <v>1209</v>
      </c>
      <c r="H4441" s="195"/>
      <c r="I4441" s="195" t="s">
        <v>1253</v>
      </c>
      <c r="J4441" s="191" t="s">
        <v>46</v>
      </c>
      <c r="K4441" s="196"/>
      <c r="L4441" s="196">
        <v>355000</v>
      </c>
    </row>
    <row r="4442" spans="1:15" ht="11.25" customHeight="1" x14ac:dyDescent="0.2">
      <c r="A4442" s="197">
        <v>2024</v>
      </c>
      <c r="B4442" s="197">
        <v>6</v>
      </c>
      <c r="C4442" s="197">
        <v>11</v>
      </c>
      <c r="D4442" s="198">
        <f t="shared" si="423"/>
        <v>45454</v>
      </c>
      <c r="E4442" s="199">
        <f t="shared" si="408"/>
        <v>45454</v>
      </c>
      <c r="F4442" s="513" t="s">
        <v>1279</v>
      </c>
      <c r="G4442" s="200" t="s">
        <v>1209</v>
      </c>
      <c r="H4442" s="201"/>
      <c r="I4442" s="201" t="s">
        <v>1253</v>
      </c>
      <c r="J4442" s="197" t="s">
        <v>76</v>
      </c>
      <c r="K4442" s="202">
        <v>4000000</v>
      </c>
      <c r="L4442" s="202"/>
    </row>
    <row r="4443" spans="1:15" ht="11.25" customHeight="1" x14ac:dyDescent="0.2">
      <c r="A4443" s="191">
        <v>2024</v>
      </c>
      <c r="B4443" s="191">
        <v>6</v>
      </c>
      <c r="C4443" s="191">
        <v>11</v>
      </c>
      <c r="D4443" s="192">
        <f t="shared" si="423"/>
        <v>45454</v>
      </c>
      <c r="E4443" s="193">
        <f t="shared" si="408"/>
        <v>45454</v>
      </c>
      <c r="F4443" s="514"/>
      <c r="G4443" s="194" t="s">
        <v>1209</v>
      </c>
      <c r="H4443" s="195"/>
      <c r="I4443" s="195" t="s">
        <v>1253</v>
      </c>
      <c r="J4443" s="191" t="s">
        <v>46</v>
      </c>
      <c r="K4443" s="196"/>
      <c r="L4443" s="196">
        <v>4000000</v>
      </c>
    </row>
    <row r="4444" spans="1:15" ht="11.25" customHeight="1" x14ac:dyDescent="0.2">
      <c r="A4444" s="197">
        <v>2024</v>
      </c>
      <c r="B4444" s="197">
        <v>6</v>
      </c>
      <c r="C4444" s="197">
        <v>11</v>
      </c>
      <c r="D4444" s="198">
        <f t="shared" si="423"/>
        <v>45454</v>
      </c>
      <c r="E4444" s="290">
        <f t="shared" si="408"/>
        <v>45454</v>
      </c>
      <c r="F4444" s="513" t="s">
        <v>1514</v>
      </c>
      <c r="G4444" s="200" t="s">
        <v>1209</v>
      </c>
      <c r="H4444" s="201"/>
      <c r="I4444" s="201"/>
      <c r="J4444" s="197" t="s">
        <v>54</v>
      </c>
      <c r="K4444" s="202">
        <v>100</v>
      </c>
      <c r="L4444" s="202"/>
      <c r="M4444" s="251"/>
      <c r="N4444" s="251"/>
      <c r="O4444" s="251"/>
    </row>
    <row r="4445" spans="1:15" ht="11.25" customHeight="1" x14ac:dyDescent="0.2">
      <c r="A4445" s="191">
        <v>2024</v>
      </c>
      <c r="B4445" s="191">
        <v>6</v>
      </c>
      <c r="C4445" s="191">
        <v>11</v>
      </c>
      <c r="D4445" s="192">
        <f t="shared" si="423"/>
        <v>45454</v>
      </c>
      <c r="E4445" s="291">
        <f t="shared" si="408"/>
        <v>45454</v>
      </c>
      <c r="F4445" s="514"/>
      <c r="G4445" s="194" t="s">
        <v>1209</v>
      </c>
      <c r="H4445" s="195"/>
      <c r="I4445" s="195"/>
      <c r="J4445" s="191" t="s">
        <v>46</v>
      </c>
      <c r="K4445" s="196"/>
      <c r="L4445" s="196">
        <v>100</v>
      </c>
      <c r="M4445" s="251"/>
      <c r="N4445" s="251"/>
      <c r="O4445" s="251"/>
    </row>
    <row r="4446" spans="1:15" ht="11.25" customHeight="1" x14ac:dyDescent="0.2">
      <c r="A4446" s="197">
        <v>2024</v>
      </c>
      <c r="B4446" s="197">
        <v>6</v>
      </c>
      <c r="C4446" s="197">
        <v>11</v>
      </c>
      <c r="D4446" s="198">
        <f t="shared" si="423"/>
        <v>45454</v>
      </c>
      <c r="E4446" s="199">
        <f t="shared" si="408"/>
        <v>45454</v>
      </c>
      <c r="F4446" s="513" t="s">
        <v>1391</v>
      </c>
      <c r="G4446" s="200" t="s">
        <v>1209</v>
      </c>
      <c r="H4446" s="201"/>
      <c r="I4446" s="201"/>
      <c r="J4446" s="197" t="s">
        <v>46</v>
      </c>
      <c r="K4446" s="202">
        <v>109831.95</v>
      </c>
      <c r="L4446" s="202"/>
    </row>
    <row r="4447" spans="1:15" ht="11.25" customHeight="1" x14ac:dyDescent="0.2">
      <c r="A4447" s="191">
        <v>2024</v>
      </c>
      <c r="B4447" s="191">
        <v>6</v>
      </c>
      <c r="C4447" s="191">
        <v>11</v>
      </c>
      <c r="D4447" s="192">
        <f t="shared" si="423"/>
        <v>45454</v>
      </c>
      <c r="E4447" s="193">
        <f t="shared" si="408"/>
        <v>45454</v>
      </c>
      <c r="F4447" s="514"/>
      <c r="G4447" s="194" t="s">
        <v>1209</v>
      </c>
      <c r="H4447" s="195"/>
      <c r="I4447" s="195"/>
      <c r="J4447" s="191" t="s">
        <v>178</v>
      </c>
      <c r="K4447" s="196"/>
      <c r="L4447" s="196">
        <v>109831.95</v>
      </c>
    </row>
    <row r="4448" spans="1:15" ht="11.25" customHeight="1" x14ac:dyDescent="0.2">
      <c r="A4448" s="197">
        <v>2024</v>
      </c>
      <c r="B4448" s="197">
        <v>6</v>
      </c>
      <c r="C4448" s="197">
        <v>11</v>
      </c>
      <c r="D4448" s="198">
        <f t="shared" si="423"/>
        <v>45454</v>
      </c>
      <c r="E4448" s="209">
        <f t="shared" ref="E4448:E4462" si="428">DATE(A4448,B4448,C4448)</f>
        <v>45454</v>
      </c>
      <c r="F4448" s="513" t="s">
        <v>1280</v>
      </c>
      <c r="G4448" s="200" t="s">
        <v>1209</v>
      </c>
      <c r="H4448" s="201"/>
      <c r="I4448" s="201" t="s">
        <v>1400</v>
      </c>
      <c r="J4448" s="197" t="s">
        <v>16</v>
      </c>
      <c r="K4448" s="202">
        <v>96460</v>
      </c>
      <c r="L4448" s="202"/>
    </row>
    <row r="4449" spans="1:15" ht="11.25" customHeight="1" x14ac:dyDescent="0.2">
      <c r="A4449" s="120">
        <v>2024</v>
      </c>
      <c r="B4449" s="120">
        <v>6</v>
      </c>
      <c r="C4449" s="120">
        <v>11</v>
      </c>
      <c r="D4449" s="208">
        <f t="shared" si="423"/>
        <v>45454</v>
      </c>
      <c r="E4449" s="209">
        <f t="shared" si="428"/>
        <v>45454</v>
      </c>
      <c r="F4449" s="515"/>
      <c r="G4449" s="132" t="s">
        <v>1209</v>
      </c>
      <c r="I4449" s="128" t="s">
        <v>1400</v>
      </c>
      <c r="J4449" s="120" t="s">
        <v>47</v>
      </c>
      <c r="K4449" s="207">
        <v>10658.830000000002</v>
      </c>
      <c r="L4449" s="207"/>
    </row>
    <row r="4450" spans="1:15" ht="11.25" customHeight="1" x14ac:dyDescent="0.2">
      <c r="A4450" s="191">
        <v>2024</v>
      </c>
      <c r="B4450" s="191">
        <v>6</v>
      </c>
      <c r="C4450" s="191">
        <v>11</v>
      </c>
      <c r="D4450" s="192">
        <f t="shared" si="423"/>
        <v>45454</v>
      </c>
      <c r="E4450" s="193">
        <f t="shared" si="428"/>
        <v>45454</v>
      </c>
      <c r="F4450" s="514"/>
      <c r="G4450" s="194" t="s">
        <v>1209</v>
      </c>
      <c r="H4450" s="195"/>
      <c r="I4450" s="195" t="s">
        <v>1400</v>
      </c>
      <c r="J4450" s="191" t="s">
        <v>46</v>
      </c>
      <c r="K4450" s="196"/>
      <c r="L4450" s="196">
        <v>107118.83</v>
      </c>
    </row>
    <row r="4451" spans="1:15" ht="11.25" customHeight="1" x14ac:dyDescent="0.2">
      <c r="A4451" s="197">
        <v>2024</v>
      </c>
      <c r="B4451" s="197">
        <v>6</v>
      </c>
      <c r="C4451" s="197">
        <v>11</v>
      </c>
      <c r="D4451" s="198">
        <f t="shared" si="423"/>
        <v>45454</v>
      </c>
      <c r="E4451" s="209">
        <f t="shared" si="428"/>
        <v>45454</v>
      </c>
      <c r="F4451" s="513" t="s">
        <v>1210</v>
      </c>
      <c r="G4451" s="200" t="s">
        <v>1209</v>
      </c>
      <c r="H4451" s="201"/>
      <c r="I4451" s="201" t="s">
        <v>1569</v>
      </c>
      <c r="J4451" s="197" t="s">
        <v>46</v>
      </c>
      <c r="K4451" s="202">
        <v>555500</v>
      </c>
      <c r="L4451" s="202"/>
    </row>
    <row r="4452" spans="1:15" ht="11.25" customHeight="1" x14ac:dyDescent="0.2">
      <c r="A4452" s="120">
        <v>2024</v>
      </c>
      <c r="B4452" s="120">
        <v>6</v>
      </c>
      <c r="C4452" s="120">
        <v>11</v>
      </c>
      <c r="D4452" s="208">
        <f t="shared" si="423"/>
        <v>45454</v>
      </c>
      <c r="E4452" s="209">
        <f t="shared" si="428"/>
        <v>45454</v>
      </c>
      <c r="F4452" s="515"/>
      <c r="G4452" s="132" t="s">
        <v>1209</v>
      </c>
      <c r="I4452" s="128" t="s">
        <v>1569</v>
      </c>
      <c r="J4452" s="120" t="s">
        <v>16</v>
      </c>
      <c r="K4452" s="207"/>
      <c r="L4452" s="207">
        <v>500230</v>
      </c>
    </row>
    <row r="4453" spans="1:15" ht="11.25" customHeight="1" x14ac:dyDescent="0.2">
      <c r="A4453" s="191">
        <v>2024</v>
      </c>
      <c r="B4453" s="191">
        <v>6</v>
      </c>
      <c r="C4453" s="191">
        <v>11</v>
      </c>
      <c r="D4453" s="192">
        <f t="shared" si="423"/>
        <v>45454</v>
      </c>
      <c r="E4453" s="193">
        <f t="shared" si="428"/>
        <v>45454</v>
      </c>
      <c r="F4453" s="514"/>
      <c r="G4453" s="194" t="s">
        <v>1209</v>
      </c>
      <c r="H4453" s="195"/>
      <c r="I4453" s="195" t="s">
        <v>1569</v>
      </c>
      <c r="J4453" s="191" t="s">
        <v>47</v>
      </c>
      <c r="K4453" s="196"/>
      <c r="L4453" s="196">
        <v>55270</v>
      </c>
    </row>
    <row r="4454" spans="1:15" ht="11.25" customHeight="1" x14ac:dyDescent="0.2">
      <c r="A4454" s="197">
        <v>2024</v>
      </c>
      <c r="B4454" s="197">
        <v>6</v>
      </c>
      <c r="C4454" s="197">
        <v>11</v>
      </c>
      <c r="D4454" s="198">
        <f t="shared" si="423"/>
        <v>45454</v>
      </c>
      <c r="E4454" s="209">
        <f t="shared" si="428"/>
        <v>45454</v>
      </c>
      <c r="F4454" s="513" t="s">
        <v>1210</v>
      </c>
      <c r="G4454" s="200" t="s">
        <v>1209</v>
      </c>
      <c r="H4454" s="201"/>
      <c r="I4454" s="201" t="s">
        <v>1655</v>
      </c>
      <c r="J4454" s="197" t="s">
        <v>46</v>
      </c>
      <c r="K4454" s="202">
        <v>500000</v>
      </c>
      <c r="L4454" s="202"/>
    </row>
    <row r="4455" spans="1:15" ht="11.25" customHeight="1" x14ac:dyDescent="0.2">
      <c r="A4455" s="120">
        <v>2024</v>
      </c>
      <c r="B4455" s="120">
        <v>6</v>
      </c>
      <c r="C4455" s="120">
        <v>11</v>
      </c>
      <c r="D4455" s="208">
        <f t="shared" si="423"/>
        <v>45454</v>
      </c>
      <c r="E4455" s="209">
        <f t="shared" si="428"/>
        <v>45454</v>
      </c>
      <c r="F4455" s="515"/>
      <c r="G4455" s="132" t="s">
        <v>1209</v>
      </c>
      <c r="I4455" s="128" t="s">
        <v>1655</v>
      </c>
      <c r="J4455" s="120" t="s">
        <v>16</v>
      </c>
      <c r="K4455" s="207"/>
      <c r="L4455" s="207">
        <v>450250</v>
      </c>
    </row>
    <row r="4456" spans="1:15" ht="11.25" customHeight="1" x14ac:dyDescent="0.2">
      <c r="A4456" s="191">
        <v>2024</v>
      </c>
      <c r="B4456" s="191">
        <v>6</v>
      </c>
      <c r="C4456" s="191">
        <v>11</v>
      </c>
      <c r="D4456" s="192">
        <f t="shared" si="423"/>
        <v>45454</v>
      </c>
      <c r="E4456" s="193">
        <f t="shared" si="428"/>
        <v>45454</v>
      </c>
      <c r="F4456" s="514"/>
      <c r="G4456" s="194" t="s">
        <v>1209</v>
      </c>
      <c r="H4456" s="195"/>
      <c r="I4456" s="195" t="s">
        <v>1655</v>
      </c>
      <c r="J4456" s="191" t="s">
        <v>47</v>
      </c>
      <c r="K4456" s="196"/>
      <c r="L4456" s="196">
        <v>49750</v>
      </c>
    </row>
    <row r="4457" spans="1:15" ht="11.25" customHeight="1" x14ac:dyDescent="0.2">
      <c r="A4457" s="197">
        <v>2024</v>
      </c>
      <c r="B4457" s="197">
        <v>6</v>
      </c>
      <c r="C4457" s="197">
        <v>11</v>
      </c>
      <c r="D4457" s="198">
        <f t="shared" si="423"/>
        <v>45454</v>
      </c>
      <c r="E4457" s="209">
        <f t="shared" si="428"/>
        <v>45454</v>
      </c>
      <c r="F4457" s="513" t="s">
        <v>1210</v>
      </c>
      <c r="G4457" s="200" t="s">
        <v>1209</v>
      </c>
      <c r="H4457" s="201"/>
      <c r="I4457" s="201" t="s">
        <v>328</v>
      </c>
      <c r="J4457" s="197" t="s">
        <v>46</v>
      </c>
      <c r="K4457" s="202">
        <v>50000</v>
      </c>
      <c r="L4457" s="202"/>
    </row>
    <row r="4458" spans="1:15" ht="11.25" customHeight="1" x14ac:dyDescent="0.2">
      <c r="A4458" s="120">
        <v>2024</v>
      </c>
      <c r="B4458" s="120">
        <v>6</v>
      </c>
      <c r="C4458" s="120">
        <v>11</v>
      </c>
      <c r="D4458" s="208">
        <f t="shared" si="423"/>
        <v>45454</v>
      </c>
      <c r="E4458" s="209">
        <f t="shared" si="428"/>
        <v>45454</v>
      </c>
      <c r="F4458" s="515"/>
      <c r="G4458" s="132" t="s">
        <v>1209</v>
      </c>
      <c r="I4458" s="128" t="s">
        <v>328</v>
      </c>
      <c r="J4458" s="120" t="s">
        <v>16</v>
      </c>
      <c r="K4458" s="207"/>
      <c r="L4458" s="207">
        <v>45020</v>
      </c>
    </row>
    <row r="4459" spans="1:15" ht="11.25" customHeight="1" x14ac:dyDescent="0.2">
      <c r="A4459" s="191">
        <v>2024</v>
      </c>
      <c r="B4459" s="191">
        <v>6</v>
      </c>
      <c r="C4459" s="191">
        <v>11</v>
      </c>
      <c r="D4459" s="192">
        <f t="shared" si="423"/>
        <v>45454</v>
      </c>
      <c r="E4459" s="193">
        <f t="shared" si="428"/>
        <v>45454</v>
      </c>
      <c r="F4459" s="514"/>
      <c r="G4459" s="194" t="s">
        <v>1209</v>
      </c>
      <c r="H4459" s="195"/>
      <c r="I4459" s="195" t="s">
        <v>328</v>
      </c>
      <c r="J4459" s="191" t="s">
        <v>47</v>
      </c>
      <c r="K4459" s="196"/>
      <c r="L4459" s="196">
        <v>4980</v>
      </c>
    </row>
    <row r="4460" spans="1:15" ht="11.25" customHeight="1" x14ac:dyDescent="0.2">
      <c r="A4460" s="197">
        <v>2024</v>
      </c>
      <c r="B4460" s="197">
        <v>6</v>
      </c>
      <c r="C4460" s="197">
        <v>11</v>
      </c>
      <c r="D4460" s="198">
        <f t="shared" si="423"/>
        <v>45454</v>
      </c>
      <c r="E4460" s="209">
        <f t="shared" si="428"/>
        <v>45454</v>
      </c>
      <c r="F4460" s="513" t="s">
        <v>1210</v>
      </c>
      <c r="G4460" s="200" t="s">
        <v>1209</v>
      </c>
      <c r="H4460" s="201"/>
      <c r="I4460" s="201" t="s">
        <v>349</v>
      </c>
      <c r="J4460" s="197" t="s">
        <v>46</v>
      </c>
      <c r="K4460" s="202">
        <v>80000</v>
      </c>
      <c r="L4460" s="202"/>
    </row>
    <row r="4461" spans="1:15" ht="11.25" customHeight="1" x14ac:dyDescent="0.2">
      <c r="A4461" s="120">
        <v>2024</v>
      </c>
      <c r="B4461" s="120">
        <v>6</v>
      </c>
      <c r="C4461" s="120">
        <v>11</v>
      </c>
      <c r="D4461" s="208">
        <f t="shared" si="423"/>
        <v>45454</v>
      </c>
      <c r="E4461" s="209">
        <f t="shared" si="428"/>
        <v>45454</v>
      </c>
      <c r="F4461" s="515"/>
      <c r="G4461" s="132" t="s">
        <v>1209</v>
      </c>
      <c r="I4461" s="128" t="s">
        <v>349</v>
      </c>
      <c r="J4461" s="120" t="s">
        <v>16</v>
      </c>
      <c r="K4461" s="207"/>
      <c r="L4461" s="207">
        <v>72040</v>
      </c>
    </row>
    <row r="4462" spans="1:15" ht="11.25" customHeight="1" x14ac:dyDescent="0.2">
      <c r="A4462" s="191">
        <v>2024</v>
      </c>
      <c r="B4462" s="191">
        <v>6</v>
      </c>
      <c r="C4462" s="191">
        <v>11</v>
      </c>
      <c r="D4462" s="192">
        <f t="shared" si="423"/>
        <v>45454</v>
      </c>
      <c r="E4462" s="193">
        <f t="shared" si="428"/>
        <v>45454</v>
      </c>
      <c r="F4462" s="514"/>
      <c r="G4462" s="194" t="s">
        <v>1209</v>
      </c>
      <c r="H4462" s="195"/>
      <c r="I4462" s="195" t="s">
        <v>349</v>
      </c>
      <c r="J4462" s="191" t="s">
        <v>47</v>
      </c>
      <c r="K4462" s="196"/>
      <c r="L4462" s="196">
        <v>7960</v>
      </c>
    </row>
    <row r="4463" spans="1:15" ht="11.25" customHeight="1" x14ac:dyDescent="0.2">
      <c r="A4463" s="197">
        <v>2024</v>
      </c>
      <c r="B4463" s="197">
        <v>6</v>
      </c>
      <c r="C4463" s="197">
        <v>11</v>
      </c>
      <c r="D4463" s="198">
        <f t="shared" si="423"/>
        <v>45454</v>
      </c>
      <c r="E4463" s="290">
        <f t="shared" ref="E4463:E4474" si="429">DATE(A4463,B4463,C4463)</f>
        <v>45454</v>
      </c>
      <c r="F4463" s="513" t="s">
        <v>1514</v>
      </c>
      <c r="G4463" s="200" t="s">
        <v>1209</v>
      </c>
      <c r="H4463" s="201"/>
      <c r="I4463" s="201"/>
      <c r="J4463" s="197" t="s">
        <v>54</v>
      </c>
      <c r="K4463" s="202">
        <v>128</v>
      </c>
      <c r="L4463" s="202"/>
      <c r="M4463" s="251"/>
      <c r="N4463" s="251"/>
      <c r="O4463" s="251"/>
    </row>
    <row r="4464" spans="1:15" ht="11.25" customHeight="1" x14ac:dyDescent="0.2">
      <c r="A4464" s="191">
        <v>2024</v>
      </c>
      <c r="B4464" s="191">
        <v>6</v>
      </c>
      <c r="C4464" s="191">
        <v>11</v>
      </c>
      <c r="D4464" s="192">
        <f t="shared" si="423"/>
        <v>45454</v>
      </c>
      <c r="E4464" s="291">
        <f t="shared" si="429"/>
        <v>45454</v>
      </c>
      <c r="F4464" s="514"/>
      <c r="G4464" s="194" t="s">
        <v>1209</v>
      </c>
      <c r="H4464" s="195"/>
      <c r="I4464" s="195"/>
      <c r="J4464" s="191" t="s">
        <v>46</v>
      </c>
      <c r="K4464" s="196"/>
      <c r="L4464" s="196">
        <v>128</v>
      </c>
      <c r="M4464" s="251"/>
      <c r="N4464" s="251"/>
      <c r="O4464" s="251"/>
    </row>
    <row r="4465" spans="1:15" ht="11.25" customHeight="1" x14ac:dyDescent="0.2">
      <c r="A4465" s="197">
        <v>2024</v>
      </c>
      <c r="B4465" s="197">
        <v>6</v>
      </c>
      <c r="C4465" s="197">
        <v>12</v>
      </c>
      <c r="D4465" s="198">
        <f t="shared" si="423"/>
        <v>45455</v>
      </c>
      <c r="E4465" s="290">
        <f t="shared" ref="E4465:E4466" si="430">DATE(A4465,B4465,C4465)</f>
        <v>45455</v>
      </c>
      <c r="F4465" s="513" t="s">
        <v>1514</v>
      </c>
      <c r="G4465" s="200" t="s">
        <v>1209</v>
      </c>
      <c r="H4465" s="201"/>
      <c r="I4465" s="201"/>
      <c r="J4465" s="197" t="s">
        <v>54</v>
      </c>
      <c r="K4465" s="202">
        <v>10</v>
      </c>
      <c r="L4465" s="202"/>
      <c r="M4465" s="251"/>
      <c r="N4465" s="251"/>
      <c r="O4465" s="251"/>
    </row>
    <row r="4466" spans="1:15" ht="11.25" customHeight="1" x14ac:dyDescent="0.2">
      <c r="A4466" s="191">
        <v>2024</v>
      </c>
      <c r="B4466" s="191">
        <v>6</v>
      </c>
      <c r="C4466" s="191">
        <v>12</v>
      </c>
      <c r="D4466" s="192">
        <f t="shared" si="423"/>
        <v>45455</v>
      </c>
      <c r="E4466" s="291">
        <f t="shared" si="430"/>
        <v>45455</v>
      </c>
      <c r="F4466" s="514"/>
      <c r="G4466" s="194" t="s">
        <v>1209</v>
      </c>
      <c r="H4466" s="195"/>
      <c r="I4466" s="195"/>
      <c r="J4466" s="191" t="s">
        <v>46</v>
      </c>
      <c r="K4466" s="196"/>
      <c r="L4466" s="196">
        <v>10</v>
      </c>
      <c r="M4466" s="251"/>
      <c r="N4466" s="251"/>
      <c r="O4466" s="251"/>
    </row>
    <row r="4467" spans="1:15" ht="11.25" customHeight="1" x14ac:dyDescent="0.2">
      <c r="A4467" s="197">
        <v>2024</v>
      </c>
      <c r="B4467" s="197">
        <v>6</v>
      </c>
      <c r="C4467" s="197">
        <v>12</v>
      </c>
      <c r="D4467" s="198">
        <f t="shared" si="423"/>
        <v>45455</v>
      </c>
      <c r="E4467" s="209">
        <f>DATE(A4467,B4467,C4467)</f>
        <v>45455</v>
      </c>
      <c r="F4467" s="513" t="s">
        <v>1210</v>
      </c>
      <c r="G4467" s="200" t="s">
        <v>1209</v>
      </c>
      <c r="H4467" s="201"/>
      <c r="I4467" s="201" t="s">
        <v>1656</v>
      </c>
      <c r="J4467" s="197" t="s">
        <v>46</v>
      </c>
      <c r="K4467" s="202">
        <v>250000</v>
      </c>
      <c r="L4467" s="202"/>
    </row>
    <row r="4468" spans="1:15" ht="11.25" customHeight="1" x14ac:dyDescent="0.2">
      <c r="A4468" s="120">
        <v>2024</v>
      </c>
      <c r="B4468" s="120">
        <v>6</v>
      </c>
      <c r="C4468" s="120">
        <v>12</v>
      </c>
      <c r="D4468" s="208">
        <f t="shared" si="423"/>
        <v>45455</v>
      </c>
      <c r="E4468" s="209">
        <f>DATE(A4468,B4468,C4468)</f>
        <v>45455</v>
      </c>
      <c r="F4468" s="515"/>
      <c r="G4468" s="132" t="s">
        <v>1209</v>
      </c>
      <c r="I4468" s="128" t="s">
        <v>1656</v>
      </c>
      <c r="J4468" s="120" t="s">
        <v>16</v>
      </c>
      <c r="K4468" s="207"/>
      <c r="L4468" s="207">
        <v>225120</v>
      </c>
    </row>
    <row r="4469" spans="1:15" ht="11.25" customHeight="1" x14ac:dyDescent="0.2">
      <c r="A4469" s="191">
        <v>2024</v>
      </c>
      <c r="B4469" s="191">
        <v>6</v>
      </c>
      <c r="C4469" s="191">
        <v>12</v>
      </c>
      <c r="D4469" s="192">
        <f t="shared" si="423"/>
        <v>45455</v>
      </c>
      <c r="E4469" s="193">
        <f>DATE(A4469,B4469,C4469)</f>
        <v>45455</v>
      </c>
      <c r="F4469" s="514"/>
      <c r="G4469" s="194" t="s">
        <v>1209</v>
      </c>
      <c r="H4469" s="195"/>
      <c r="I4469" s="195" t="s">
        <v>1656</v>
      </c>
      <c r="J4469" s="191" t="s">
        <v>47</v>
      </c>
      <c r="K4469" s="196"/>
      <c r="L4469" s="196">
        <v>24880</v>
      </c>
    </row>
    <row r="4470" spans="1:15" ht="11.25" customHeight="1" x14ac:dyDescent="0.2">
      <c r="A4470" s="197">
        <v>2024</v>
      </c>
      <c r="B4470" s="197">
        <v>6</v>
      </c>
      <c r="C4470" s="197">
        <v>12</v>
      </c>
      <c r="D4470" s="198">
        <f t="shared" si="423"/>
        <v>45455</v>
      </c>
      <c r="E4470" s="290">
        <f t="shared" si="429"/>
        <v>45455</v>
      </c>
      <c r="F4470" s="513" t="s">
        <v>1657</v>
      </c>
      <c r="G4470" s="200" t="s">
        <v>1209</v>
      </c>
      <c r="H4470" s="201"/>
      <c r="I4470" s="201" t="s">
        <v>1253</v>
      </c>
      <c r="J4470" s="197" t="s">
        <v>46</v>
      </c>
      <c r="K4470" s="202">
        <v>53250</v>
      </c>
      <c r="L4470" s="202"/>
    </row>
    <row r="4471" spans="1:15" ht="11.25" customHeight="1" x14ac:dyDescent="0.2">
      <c r="A4471" s="191">
        <v>2024</v>
      </c>
      <c r="B4471" s="191">
        <v>6</v>
      </c>
      <c r="C4471" s="191">
        <v>12</v>
      </c>
      <c r="D4471" s="192">
        <f t="shared" si="423"/>
        <v>45455</v>
      </c>
      <c r="E4471" s="291">
        <f t="shared" si="429"/>
        <v>45455</v>
      </c>
      <c r="F4471" s="514"/>
      <c r="G4471" s="194" t="s">
        <v>1209</v>
      </c>
      <c r="H4471" s="195"/>
      <c r="I4471" s="195" t="s">
        <v>1253</v>
      </c>
      <c r="J4471" s="191" t="s">
        <v>457</v>
      </c>
      <c r="K4471" s="196"/>
      <c r="L4471" s="196">
        <v>53250</v>
      </c>
    </row>
    <row r="4472" spans="1:15" ht="11.25" customHeight="1" x14ac:dyDescent="0.2">
      <c r="A4472" s="197">
        <v>2024</v>
      </c>
      <c r="B4472" s="197">
        <v>6</v>
      </c>
      <c r="C4472" s="197">
        <v>12</v>
      </c>
      <c r="D4472" s="198">
        <f t="shared" si="423"/>
        <v>45455</v>
      </c>
      <c r="E4472" s="209">
        <f t="shared" si="429"/>
        <v>45455</v>
      </c>
      <c r="F4472" s="513" t="s">
        <v>1280</v>
      </c>
      <c r="G4472" s="200" t="s">
        <v>1209</v>
      </c>
      <c r="H4472" s="201"/>
      <c r="I4472" s="201" t="s">
        <v>1333</v>
      </c>
      <c r="J4472" s="197" t="s">
        <v>16</v>
      </c>
      <c r="K4472" s="202">
        <v>221020</v>
      </c>
      <c r="L4472" s="202"/>
    </row>
    <row r="4473" spans="1:15" ht="11.25" customHeight="1" x14ac:dyDescent="0.2">
      <c r="A4473" s="120">
        <v>2024</v>
      </c>
      <c r="B4473" s="120">
        <v>6</v>
      </c>
      <c r="C4473" s="120">
        <v>12</v>
      </c>
      <c r="D4473" s="208">
        <f t="shared" si="423"/>
        <v>45455</v>
      </c>
      <c r="E4473" s="209">
        <f t="shared" si="429"/>
        <v>45455</v>
      </c>
      <c r="F4473" s="515"/>
      <c r="G4473" s="132" t="s">
        <v>1209</v>
      </c>
      <c r="I4473" s="128" t="s">
        <v>1333</v>
      </c>
      <c r="J4473" s="120" t="s">
        <v>47</v>
      </c>
      <c r="K4473" s="207">
        <v>24422.709999999992</v>
      </c>
      <c r="L4473" s="207"/>
    </row>
    <row r="4474" spans="1:15" ht="11.25" customHeight="1" x14ac:dyDescent="0.2">
      <c r="A4474" s="191">
        <v>2024</v>
      </c>
      <c r="B4474" s="191">
        <v>6</v>
      </c>
      <c r="C4474" s="191">
        <v>12</v>
      </c>
      <c r="D4474" s="192">
        <f t="shared" si="423"/>
        <v>45455</v>
      </c>
      <c r="E4474" s="193">
        <f t="shared" si="429"/>
        <v>45455</v>
      </c>
      <c r="F4474" s="514"/>
      <c r="G4474" s="194" t="s">
        <v>1209</v>
      </c>
      <c r="H4474" s="195"/>
      <c r="I4474" s="195" t="s">
        <v>1333</v>
      </c>
      <c r="J4474" s="191" t="s">
        <v>46</v>
      </c>
      <c r="K4474" s="196"/>
      <c r="L4474" s="196">
        <v>245442.71</v>
      </c>
    </row>
    <row r="4475" spans="1:15" ht="11.25" customHeight="1" x14ac:dyDescent="0.2">
      <c r="A4475" s="197">
        <v>2024</v>
      </c>
      <c r="B4475" s="197">
        <v>6</v>
      </c>
      <c r="C4475" s="197">
        <v>13</v>
      </c>
      <c r="D4475" s="198">
        <f t="shared" si="423"/>
        <v>45456</v>
      </c>
      <c r="E4475" s="209">
        <f t="shared" ref="E4475:E4486" si="431">DATE(A4475,B4475,C4475)</f>
        <v>45456</v>
      </c>
      <c r="F4475" s="513" t="s">
        <v>1210</v>
      </c>
      <c r="G4475" s="200" t="s">
        <v>1209</v>
      </c>
      <c r="H4475" s="201"/>
      <c r="I4475" s="201" t="s">
        <v>567</v>
      </c>
      <c r="J4475" s="197" t="s">
        <v>46</v>
      </c>
      <c r="K4475" s="202">
        <v>166575</v>
      </c>
      <c r="L4475" s="202"/>
    </row>
    <row r="4476" spans="1:15" ht="11.25" customHeight="1" x14ac:dyDescent="0.2">
      <c r="A4476" s="120">
        <v>2024</v>
      </c>
      <c r="B4476" s="120">
        <v>6</v>
      </c>
      <c r="C4476" s="120">
        <v>13</v>
      </c>
      <c r="D4476" s="208">
        <f t="shared" si="423"/>
        <v>45456</v>
      </c>
      <c r="E4476" s="209">
        <f t="shared" si="431"/>
        <v>45456</v>
      </c>
      <c r="F4476" s="515"/>
      <c r="G4476" s="132" t="s">
        <v>1209</v>
      </c>
      <c r="I4476" s="128" t="s">
        <v>567</v>
      </c>
      <c r="J4476" s="120" t="s">
        <v>16</v>
      </c>
      <c r="K4476" s="207"/>
      <c r="L4476" s="207">
        <v>150000</v>
      </c>
    </row>
    <row r="4477" spans="1:15" ht="11.25" customHeight="1" x14ac:dyDescent="0.2">
      <c r="A4477" s="191">
        <v>2024</v>
      </c>
      <c r="B4477" s="191">
        <v>6</v>
      </c>
      <c r="C4477" s="191">
        <v>13</v>
      </c>
      <c r="D4477" s="192">
        <f t="shared" si="423"/>
        <v>45456</v>
      </c>
      <c r="E4477" s="193">
        <f t="shared" si="431"/>
        <v>45456</v>
      </c>
      <c r="F4477" s="514"/>
      <c r="G4477" s="194" t="s">
        <v>1209</v>
      </c>
      <c r="H4477" s="195"/>
      <c r="I4477" s="195" t="s">
        <v>567</v>
      </c>
      <c r="J4477" s="191" t="s">
        <v>47</v>
      </c>
      <c r="K4477" s="196"/>
      <c r="L4477" s="196">
        <v>16575</v>
      </c>
    </row>
    <row r="4478" spans="1:15" ht="11.25" customHeight="1" x14ac:dyDescent="0.2">
      <c r="A4478" s="197">
        <v>2024</v>
      </c>
      <c r="B4478" s="197">
        <v>6</v>
      </c>
      <c r="C4478" s="197">
        <v>13</v>
      </c>
      <c r="D4478" s="198">
        <f t="shared" si="423"/>
        <v>45456</v>
      </c>
      <c r="E4478" s="209">
        <f t="shared" si="431"/>
        <v>45456</v>
      </c>
      <c r="F4478" s="513" t="s">
        <v>1210</v>
      </c>
      <c r="G4478" s="200" t="s">
        <v>1209</v>
      </c>
      <c r="H4478" s="201"/>
      <c r="I4478" s="201" t="s">
        <v>1658</v>
      </c>
      <c r="J4478" s="197" t="s">
        <v>46</v>
      </c>
      <c r="K4478" s="202">
        <v>300000</v>
      </c>
      <c r="L4478" s="202"/>
    </row>
    <row r="4479" spans="1:15" ht="11.25" customHeight="1" x14ac:dyDescent="0.2">
      <c r="A4479" s="120">
        <v>2024</v>
      </c>
      <c r="B4479" s="120">
        <v>6</v>
      </c>
      <c r="C4479" s="120">
        <v>13</v>
      </c>
      <c r="D4479" s="208">
        <f t="shared" si="423"/>
        <v>45456</v>
      </c>
      <c r="E4479" s="209">
        <f t="shared" si="431"/>
        <v>45456</v>
      </c>
      <c r="F4479" s="515"/>
      <c r="G4479" s="132" t="s">
        <v>1209</v>
      </c>
      <c r="I4479" s="128" t="s">
        <v>1658</v>
      </c>
      <c r="J4479" s="120" t="s">
        <v>16</v>
      </c>
      <c r="K4479" s="207"/>
      <c r="L4479" s="207">
        <v>270150</v>
      </c>
    </row>
    <row r="4480" spans="1:15" ht="11.25" customHeight="1" x14ac:dyDescent="0.2">
      <c r="A4480" s="191">
        <v>2024</v>
      </c>
      <c r="B4480" s="191">
        <v>6</v>
      </c>
      <c r="C4480" s="191">
        <v>13</v>
      </c>
      <c r="D4480" s="192">
        <f t="shared" ref="D4480:D4539" si="432">DATE(A4480,B4480,C4480)</f>
        <v>45456</v>
      </c>
      <c r="E4480" s="193">
        <f t="shared" si="431"/>
        <v>45456</v>
      </c>
      <c r="F4480" s="514"/>
      <c r="G4480" s="194" t="s">
        <v>1209</v>
      </c>
      <c r="H4480" s="195"/>
      <c r="I4480" s="195" t="s">
        <v>1658</v>
      </c>
      <c r="J4480" s="191" t="s">
        <v>47</v>
      </c>
      <c r="K4480" s="196"/>
      <c r="L4480" s="196">
        <v>29850</v>
      </c>
    </row>
    <row r="4481" spans="1:12" ht="11.25" customHeight="1" x14ac:dyDescent="0.2">
      <c r="A4481" s="197">
        <v>2024</v>
      </c>
      <c r="B4481" s="197">
        <v>6</v>
      </c>
      <c r="C4481" s="197">
        <v>13</v>
      </c>
      <c r="D4481" s="198">
        <f t="shared" si="432"/>
        <v>45456</v>
      </c>
      <c r="E4481" s="209">
        <f t="shared" si="431"/>
        <v>45456</v>
      </c>
      <c r="F4481" s="513" t="s">
        <v>1210</v>
      </c>
      <c r="G4481" s="200" t="s">
        <v>1209</v>
      </c>
      <c r="H4481" s="201"/>
      <c r="I4481" s="201" t="s">
        <v>1658</v>
      </c>
      <c r="J4481" s="197" t="s">
        <v>46</v>
      </c>
      <c r="K4481" s="202">
        <v>100000</v>
      </c>
      <c r="L4481" s="202"/>
    </row>
    <row r="4482" spans="1:12" ht="11.25" customHeight="1" x14ac:dyDescent="0.2">
      <c r="A4482" s="120">
        <v>2024</v>
      </c>
      <c r="B4482" s="120">
        <v>6</v>
      </c>
      <c r="C4482" s="120">
        <v>13</v>
      </c>
      <c r="D4482" s="208">
        <f t="shared" si="432"/>
        <v>45456</v>
      </c>
      <c r="E4482" s="209">
        <f t="shared" si="431"/>
        <v>45456</v>
      </c>
      <c r="F4482" s="515"/>
      <c r="G4482" s="132" t="s">
        <v>1209</v>
      </c>
      <c r="I4482" s="128" t="s">
        <v>1658</v>
      </c>
      <c r="J4482" s="120" t="s">
        <v>16</v>
      </c>
      <c r="K4482" s="207"/>
      <c r="L4482" s="207">
        <v>90050</v>
      </c>
    </row>
    <row r="4483" spans="1:12" ht="11.25" customHeight="1" x14ac:dyDescent="0.2">
      <c r="A4483" s="191">
        <v>2024</v>
      </c>
      <c r="B4483" s="191">
        <v>6</v>
      </c>
      <c r="C4483" s="191">
        <v>13</v>
      </c>
      <c r="D4483" s="192">
        <f t="shared" si="432"/>
        <v>45456</v>
      </c>
      <c r="E4483" s="193">
        <f t="shared" si="431"/>
        <v>45456</v>
      </c>
      <c r="F4483" s="514"/>
      <c r="G4483" s="194" t="s">
        <v>1209</v>
      </c>
      <c r="H4483" s="195"/>
      <c r="I4483" s="195" t="s">
        <v>1658</v>
      </c>
      <c r="J4483" s="191" t="s">
        <v>47</v>
      </c>
      <c r="K4483" s="196"/>
      <c r="L4483" s="196">
        <v>9950</v>
      </c>
    </row>
    <row r="4484" spans="1:12" ht="11.25" customHeight="1" x14ac:dyDescent="0.2">
      <c r="A4484" s="197">
        <v>2024</v>
      </c>
      <c r="B4484" s="197">
        <v>6</v>
      </c>
      <c r="C4484" s="197">
        <v>13</v>
      </c>
      <c r="D4484" s="198">
        <f t="shared" si="432"/>
        <v>45456</v>
      </c>
      <c r="E4484" s="209">
        <f t="shared" si="431"/>
        <v>45456</v>
      </c>
      <c r="F4484" s="513" t="s">
        <v>1210</v>
      </c>
      <c r="G4484" s="200" t="s">
        <v>1209</v>
      </c>
      <c r="H4484" s="201"/>
      <c r="I4484" s="201" t="s">
        <v>1658</v>
      </c>
      <c r="J4484" s="197" t="s">
        <v>46</v>
      </c>
      <c r="K4484" s="202">
        <v>100000</v>
      </c>
      <c r="L4484" s="202"/>
    </row>
    <row r="4485" spans="1:12" ht="11.25" customHeight="1" x14ac:dyDescent="0.2">
      <c r="A4485" s="120">
        <v>2024</v>
      </c>
      <c r="B4485" s="120">
        <v>6</v>
      </c>
      <c r="C4485" s="120">
        <v>13</v>
      </c>
      <c r="D4485" s="208">
        <f t="shared" si="432"/>
        <v>45456</v>
      </c>
      <c r="E4485" s="209">
        <f t="shared" si="431"/>
        <v>45456</v>
      </c>
      <c r="F4485" s="515"/>
      <c r="G4485" s="132" t="s">
        <v>1209</v>
      </c>
      <c r="I4485" s="128" t="s">
        <v>1658</v>
      </c>
      <c r="J4485" s="120" t="s">
        <v>16</v>
      </c>
      <c r="K4485" s="207"/>
      <c r="L4485" s="207">
        <v>90050</v>
      </c>
    </row>
    <row r="4486" spans="1:12" ht="11.25" customHeight="1" x14ac:dyDescent="0.2">
      <c r="A4486" s="191">
        <v>2024</v>
      </c>
      <c r="B4486" s="191">
        <v>6</v>
      </c>
      <c r="C4486" s="191">
        <v>13</v>
      </c>
      <c r="D4486" s="192">
        <f t="shared" si="432"/>
        <v>45456</v>
      </c>
      <c r="E4486" s="193">
        <f t="shared" si="431"/>
        <v>45456</v>
      </c>
      <c r="F4486" s="514"/>
      <c r="G4486" s="194" t="s">
        <v>1209</v>
      </c>
      <c r="H4486" s="195"/>
      <c r="I4486" s="195" t="s">
        <v>1658</v>
      </c>
      <c r="J4486" s="191" t="s">
        <v>47</v>
      </c>
      <c r="K4486" s="196"/>
      <c r="L4486" s="196">
        <v>9950</v>
      </c>
    </row>
    <row r="4487" spans="1:12" ht="11.25" customHeight="1" x14ac:dyDescent="0.2">
      <c r="A4487" s="344">
        <v>2024</v>
      </c>
      <c r="B4487" s="344">
        <v>6</v>
      </c>
      <c r="C4487" s="344">
        <v>13</v>
      </c>
      <c r="D4487" s="345">
        <f t="shared" si="432"/>
        <v>45456</v>
      </c>
      <c r="E4487" s="346">
        <f t="shared" ref="E4487:E4491" si="433">DATE(A4487,B4487,C4487)</f>
        <v>45456</v>
      </c>
      <c r="F4487" s="518" t="s">
        <v>1621</v>
      </c>
      <c r="G4487" s="347" t="s">
        <v>1245</v>
      </c>
      <c r="H4487" s="348"/>
      <c r="I4487" s="348" t="s">
        <v>1253</v>
      </c>
      <c r="J4487" s="344" t="s">
        <v>113</v>
      </c>
      <c r="K4487" s="349">
        <v>192019.23076923061</v>
      </c>
      <c r="L4487" s="349"/>
    </row>
    <row r="4488" spans="1:12" ht="11.25" customHeight="1" x14ac:dyDescent="0.2">
      <c r="A4488" s="350">
        <v>2024</v>
      </c>
      <c r="B4488" s="350">
        <v>6</v>
      </c>
      <c r="C4488" s="350">
        <v>13</v>
      </c>
      <c r="D4488" s="351">
        <f t="shared" si="432"/>
        <v>45456</v>
      </c>
      <c r="E4488" s="352">
        <f t="shared" si="433"/>
        <v>45456</v>
      </c>
      <c r="F4488" s="519"/>
      <c r="G4488" s="353" t="s">
        <v>1245</v>
      </c>
      <c r="H4488" s="354"/>
      <c r="I4488" s="354" t="s">
        <v>1253</v>
      </c>
      <c r="J4488" s="350" t="s">
        <v>153</v>
      </c>
      <c r="K4488" s="355"/>
      <c r="L4488" s="355">
        <f>K4487</f>
        <v>192019.23076923061</v>
      </c>
    </row>
    <row r="4489" spans="1:12" ht="11.25" customHeight="1" x14ac:dyDescent="0.2">
      <c r="A4489" s="210">
        <v>2024</v>
      </c>
      <c r="B4489" s="210">
        <v>6</v>
      </c>
      <c r="C4489" s="210">
        <v>13</v>
      </c>
      <c r="D4489" s="211">
        <f t="shared" si="432"/>
        <v>45456</v>
      </c>
      <c r="E4489" s="238">
        <f t="shared" si="433"/>
        <v>45456</v>
      </c>
      <c r="F4489" s="520" t="s">
        <v>1278</v>
      </c>
      <c r="G4489" s="213" t="s">
        <v>1245</v>
      </c>
      <c r="H4489" s="214"/>
      <c r="I4489" s="214" t="s">
        <v>1253</v>
      </c>
      <c r="J4489" s="210" t="s">
        <v>1529</v>
      </c>
      <c r="K4489" s="215">
        <v>7491.85</v>
      </c>
      <c r="L4489" s="215"/>
    </row>
    <row r="4490" spans="1:12" ht="11.25" customHeight="1" x14ac:dyDescent="0.2">
      <c r="A4490" s="216">
        <v>2024</v>
      </c>
      <c r="B4490" s="216">
        <v>6</v>
      </c>
      <c r="C4490" s="216">
        <v>13</v>
      </c>
      <c r="D4490" s="217">
        <f t="shared" si="432"/>
        <v>45456</v>
      </c>
      <c r="E4490" s="239">
        <f t="shared" si="433"/>
        <v>45456</v>
      </c>
      <c r="F4490" s="521"/>
      <c r="G4490" s="219" t="s">
        <v>1245</v>
      </c>
      <c r="H4490" s="220"/>
      <c r="I4490" s="220" t="s">
        <v>1253</v>
      </c>
      <c r="J4490" s="216" t="s">
        <v>1581</v>
      </c>
      <c r="K4490" s="221"/>
      <c r="L4490" s="221">
        <v>7491.85</v>
      </c>
    </row>
    <row r="4491" spans="1:12" ht="11.25" customHeight="1" x14ac:dyDescent="0.2">
      <c r="A4491" s="210">
        <v>2024</v>
      </c>
      <c r="B4491" s="210">
        <v>6</v>
      </c>
      <c r="C4491" s="210">
        <v>13</v>
      </c>
      <c r="D4491" s="211">
        <f t="shared" si="432"/>
        <v>45456</v>
      </c>
      <c r="E4491" s="238">
        <f t="shared" si="433"/>
        <v>45456</v>
      </c>
      <c r="F4491" s="520" t="s">
        <v>1285</v>
      </c>
      <c r="G4491" s="213" t="s">
        <v>1245</v>
      </c>
      <c r="H4491" s="214"/>
      <c r="I4491" s="214" t="s">
        <v>1253</v>
      </c>
      <c r="J4491" s="210" t="s">
        <v>1284</v>
      </c>
      <c r="K4491" s="215">
        <v>10290.504807692309</v>
      </c>
      <c r="L4491" s="215"/>
    </row>
    <row r="4492" spans="1:12" ht="11.25" customHeight="1" x14ac:dyDescent="0.2">
      <c r="A4492" s="242">
        <v>2024</v>
      </c>
      <c r="B4492" s="242">
        <v>6</v>
      </c>
      <c r="C4492" s="242">
        <v>13</v>
      </c>
      <c r="D4492" s="243">
        <f t="shared" si="432"/>
        <v>45456</v>
      </c>
      <c r="E4492" s="244">
        <f>DATE(A4492,B4492,C4492)</f>
        <v>45456</v>
      </c>
      <c r="F4492" s="524"/>
      <c r="G4492" s="245" t="s">
        <v>1245</v>
      </c>
      <c r="H4492" s="246"/>
      <c r="I4492" s="246"/>
      <c r="J4492" s="242" t="s">
        <v>1582</v>
      </c>
      <c r="K4492" s="247"/>
      <c r="L4492" s="247">
        <v>10290.504807692309</v>
      </c>
    </row>
    <row r="4493" spans="1:12" ht="11.25" customHeight="1" x14ac:dyDescent="0.2">
      <c r="A4493" s="210">
        <v>2024</v>
      </c>
      <c r="B4493" s="210">
        <v>6</v>
      </c>
      <c r="C4493" s="210">
        <v>13</v>
      </c>
      <c r="D4493" s="211">
        <f t="shared" si="432"/>
        <v>45456</v>
      </c>
      <c r="E4493" s="238">
        <f t="shared" ref="E4493:E4522" si="434">DATE(A4493,B4493,C4493)</f>
        <v>45456</v>
      </c>
      <c r="F4493" s="520" t="s">
        <v>1259</v>
      </c>
      <c r="G4493" s="213" t="s">
        <v>1245</v>
      </c>
      <c r="H4493" s="214"/>
      <c r="I4493" s="214" t="s">
        <v>1253</v>
      </c>
      <c r="J4493" s="210" t="s">
        <v>58</v>
      </c>
      <c r="K4493" s="215">
        <v>11834.12</v>
      </c>
      <c r="L4493" s="215"/>
    </row>
    <row r="4494" spans="1:12" ht="11.25" customHeight="1" x14ac:dyDescent="0.2">
      <c r="A4494" s="216">
        <v>2024</v>
      </c>
      <c r="B4494" s="216">
        <v>6</v>
      </c>
      <c r="C4494" s="216">
        <v>13</v>
      </c>
      <c r="D4494" s="217">
        <f t="shared" si="432"/>
        <v>45456</v>
      </c>
      <c r="E4494" s="239">
        <f t="shared" si="434"/>
        <v>45456</v>
      </c>
      <c r="F4494" s="521"/>
      <c r="G4494" s="219" t="s">
        <v>1245</v>
      </c>
      <c r="H4494" s="220"/>
      <c r="I4494" s="220" t="s">
        <v>1253</v>
      </c>
      <c r="J4494" s="216" t="s">
        <v>153</v>
      </c>
      <c r="K4494" s="221"/>
      <c r="L4494" s="221">
        <f>K4493</f>
        <v>11834.12</v>
      </c>
    </row>
    <row r="4495" spans="1:12" ht="11.25" customHeight="1" x14ac:dyDescent="0.2">
      <c r="A4495" s="312">
        <v>2024</v>
      </c>
      <c r="B4495" s="312">
        <v>6</v>
      </c>
      <c r="C4495" s="312">
        <v>13</v>
      </c>
      <c r="D4495" s="313">
        <f t="shared" si="432"/>
        <v>45456</v>
      </c>
      <c r="E4495" s="314">
        <f t="shared" si="434"/>
        <v>45456</v>
      </c>
      <c r="F4495" s="522" t="s">
        <v>1477</v>
      </c>
      <c r="G4495" s="315" t="s">
        <v>1245</v>
      </c>
      <c r="H4495" s="316"/>
      <c r="I4495" s="316" t="s">
        <v>1253</v>
      </c>
      <c r="J4495" s="312" t="s">
        <v>1460</v>
      </c>
      <c r="K4495" s="317">
        <v>249146.70000000298</v>
      </c>
      <c r="L4495" s="317"/>
    </row>
    <row r="4496" spans="1:12" ht="11.25" customHeight="1" x14ac:dyDescent="0.2">
      <c r="A4496" s="318">
        <v>2024</v>
      </c>
      <c r="B4496" s="318">
        <v>6</v>
      </c>
      <c r="C4496" s="318">
        <v>13</v>
      </c>
      <c r="D4496" s="319">
        <f t="shared" si="432"/>
        <v>45456</v>
      </c>
      <c r="E4496" s="320">
        <f t="shared" si="434"/>
        <v>45456</v>
      </c>
      <c r="F4496" s="523"/>
      <c r="G4496" s="321" t="s">
        <v>1245</v>
      </c>
      <c r="H4496" s="322"/>
      <c r="I4496" s="322" t="s">
        <v>1253</v>
      </c>
      <c r="J4496" s="318" t="s">
        <v>1458</v>
      </c>
      <c r="K4496" s="323"/>
      <c r="L4496" s="323">
        <f>K4495</f>
        <v>249146.70000000298</v>
      </c>
    </row>
    <row r="4497" spans="1:13" ht="11.25" customHeight="1" x14ac:dyDescent="0.2">
      <c r="A4497" s="312">
        <v>2024</v>
      </c>
      <c r="B4497" s="312">
        <v>6</v>
      </c>
      <c r="C4497" s="312">
        <v>13</v>
      </c>
      <c r="D4497" s="313">
        <f t="shared" si="432"/>
        <v>45456</v>
      </c>
      <c r="E4497" s="314">
        <f t="shared" si="434"/>
        <v>45456</v>
      </c>
      <c r="F4497" s="522" t="s">
        <v>1595</v>
      </c>
      <c r="G4497" s="315" t="s">
        <v>1245</v>
      </c>
      <c r="H4497" s="316"/>
      <c r="I4497" s="316" t="s">
        <v>1253</v>
      </c>
      <c r="J4497" s="312" t="s">
        <v>1461</v>
      </c>
      <c r="K4497" s="317">
        <v>280402.20000000298</v>
      </c>
      <c r="L4497" s="317"/>
    </row>
    <row r="4498" spans="1:13" ht="11.25" customHeight="1" x14ac:dyDescent="0.2">
      <c r="A4498" s="318">
        <v>2024</v>
      </c>
      <c r="B4498" s="318">
        <v>6</v>
      </c>
      <c r="C4498" s="318">
        <v>13</v>
      </c>
      <c r="D4498" s="319">
        <f t="shared" si="432"/>
        <v>45456</v>
      </c>
      <c r="E4498" s="320">
        <f t="shared" si="434"/>
        <v>45456</v>
      </c>
      <c r="F4498" s="523"/>
      <c r="G4498" s="321" t="s">
        <v>1245</v>
      </c>
      <c r="H4498" s="322"/>
      <c r="I4498" s="322" t="s">
        <v>1253</v>
      </c>
      <c r="J4498" s="318" t="s">
        <v>1459</v>
      </c>
      <c r="K4498" s="323"/>
      <c r="L4498" s="323">
        <f>K4497</f>
        <v>280402.20000000298</v>
      </c>
    </row>
    <row r="4499" spans="1:13" ht="11.25" customHeight="1" x14ac:dyDescent="0.2">
      <c r="A4499" s="222">
        <v>2024</v>
      </c>
      <c r="B4499" s="222">
        <v>6</v>
      </c>
      <c r="C4499" s="222">
        <v>13</v>
      </c>
      <c r="D4499" s="223">
        <f t="shared" si="432"/>
        <v>45456</v>
      </c>
      <c r="E4499" s="240">
        <f t="shared" si="434"/>
        <v>45456</v>
      </c>
      <c r="F4499" s="511" t="s">
        <v>1244</v>
      </c>
      <c r="G4499" s="225" t="s">
        <v>1245</v>
      </c>
      <c r="H4499" s="226"/>
      <c r="I4499" s="226" t="s">
        <v>1253</v>
      </c>
      <c r="J4499" s="222" t="s">
        <v>72</v>
      </c>
      <c r="K4499" s="227">
        <v>74368.400000000373</v>
      </c>
      <c r="L4499" s="227"/>
    </row>
    <row r="4500" spans="1:13" ht="11.25" customHeight="1" x14ac:dyDescent="0.2">
      <c r="A4500" s="228">
        <v>2024</v>
      </c>
      <c r="B4500" s="228">
        <v>6</v>
      </c>
      <c r="C4500" s="228">
        <v>13</v>
      </c>
      <c r="D4500" s="229">
        <f t="shared" si="432"/>
        <v>45456</v>
      </c>
      <c r="E4500" s="241">
        <f t="shared" si="434"/>
        <v>45456</v>
      </c>
      <c r="F4500" s="512"/>
      <c r="G4500" s="231" t="s">
        <v>1245</v>
      </c>
      <c r="H4500" s="232"/>
      <c r="I4500" s="232" t="s">
        <v>1253</v>
      </c>
      <c r="J4500" s="228" t="s">
        <v>87</v>
      </c>
      <c r="K4500" s="233"/>
      <c r="L4500" s="233">
        <f>K4499</f>
        <v>74368.400000000373</v>
      </c>
    </row>
    <row r="4501" spans="1:13" ht="11.25" customHeight="1" x14ac:dyDescent="0.2">
      <c r="A4501" s="222">
        <v>2024</v>
      </c>
      <c r="B4501" s="222">
        <v>6</v>
      </c>
      <c r="C4501" s="222">
        <v>13</v>
      </c>
      <c r="D4501" s="223">
        <f t="shared" si="432"/>
        <v>45456</v>
      </c>
      <c r="E4501" s="240">
        <f t="shared" si="434"/>
        <v>45456</v>
      </c>
      <c r="F4501" s="511" t="s">
        <v>1246</v>
      </c>
      <c r="G4501" s="225" t="s">
        <v>1245</v>
      </c>
      <c r="H4501" s="226"/>
      <c r="I4501" s="226" t="s">
        <v>1253</v>
      </c>
      <c r="J4501" s="222" t="s">
        <v>75</v>
      </c>
      <c r="K4501" s="227">
        <v>3623.123846153846</v>
      </c>
      <c r="L4501" s="227"/>
    </row>
    <row r="4502" spans="1:13" ht="11.25" customHeight="1" x14ac:dyDescent="0.2">
      <c r="A4502" s="228">
        <v>2024</v>
      </c>
      <c r="B4502" s="228">
        <v>6</v>
      </c>
      <c r="C4502" s="228">
        <v>13</v>
      </c>
      <c r="D4502" s="229">
        <f t="shared" si="432"/>
        <v>45456</v>
      </c>
      <c r="E4502" s="241">
        <f t="shared" si="434"/>
        <v>45456</v>
      </c>
      <c r="F4502" s="512"/>
      <c r="G4502" s="231" t="s">
        <v>1245</v>
      </c>
      <c r="H4502" s="232"/>
      <c r="I4502" s="232" t="s">
        <v>1253</v>
      </c>
      <c r="J4502" s="228" t="s">
        <v>55</v>
      </c>
      <c r="K4502" s="233"/>
      <c r="L4502" s="233">
        <v>3623.123846153846</v>
      </c>
    </row>
    <row r="4503" spans="1:13" ht="11.25" customHeight="1" x14ac:dyDescent="0.2">
      <c r="A4503" s="222">
        <v>2024</v>
      </c>
      <c r="B4503" s="222">
        <v>6</v>
      </c>
      <c r="C4503" s="222">
        <v>13</v>
      </c>
      <c r="D4503" s="223">
        <f t="shared" si="432"/>
        <v>45456</v>
      </c>
      <c r="E4503" s="240">
        <f t="shared" si="434"/>
        <v>45456</v>
      </c>
      <c r="F4503" s="511" t="s">
        <v>1247</v>
      </c>
      <c r="G4503" s="225" t="s">
        <v>1245</v>
      </c>
      <c r="H4503" s="226"/>
      <c r="I4503" s="226" t="s">
        <v>1253</v>
      </c>
      <c r="J4503" s="222" t="s">
        <v>77</v>
      </c>
      <c r="K4503" s="227">
        <f>M4503</f>
        <v>31633.843748844323</v>
      </c>
      <c r="L4503" s="227"/>
      <c r="M4503" s="120">
        <v>31633.843748844323</v>
      </c>
    </row>
    <row r="4504" spans="1:13" ht="11.25" customHeight="1" x14ac:dyDescent="0.2">
      <c r="A4504" s="228">
        <v>2024</v>
      </c>
      <c r="B4504" s="228">
        <v>6</v>
      </c>
      <c r="C4504" s="228">
        <v>13</v>
      </c>
      <c r="D4504" s="229">
        <f t="shared" si="432"/>
        <v>45456</v>
      </c>
      <c r="E4504" s="241">
        <f t="shared" si="434"/>
        <v>45456</v>
      </c>
      <c r="F4504" s="512"/>
      <c r="G4504" s="231" t="s">
        <v>1245</v>
      </c>
      <c r="H4504" s="232"/>
      <c r="I4504" s="232" t="s">
        <v>1253</v>
      </c>
      <c r="J4504" s="228" t="s">
        <v>41</v>
      </c>
      <c r="K4504" s="233"/>
      <c r="L4504" s="233">
        <f>K4503</f>
        <v>31633.843748844323</v>
      </c>
      <c r="M4504" s="120">
        <v>3163.3843748844324</v>
      </c>
    </row>
    <row r="4505" spans="1:13" ht="11.25" customHeight="1" x14ac:dyDescent="0.2">
      <c r="A4505" s="222">
        <v>2024</v>
      </c>
      <c r="B4505" s="222">
        <v>6</v>
      </c>
      <c r="C4505" s="222">
        <v>13</v>
      </c>
      <c r="D4505" s="223">
        <f t="shared" si="432"/>
        <v>45456</v>
      </c>
      <c r="E4505" s="240">
        <f t="shared" si="434"/>
        <v>45456</v>
      </c>
      <c r="F4505" s="511" t="s">
        <v>1248</v>
      </c>
      <c r="G4505" s="225" t="s">
        <v>1245</v>
      </c>
      <c r="H4505" s="226"/>
      <c r="I4505" s="226" t="s">
        <v>1253</v>
      </c>
      <c r="J4505" s="222" t="s">
        <v>80</v>
      </c>
      <c r="K4505" s="227">
        <f>M4504</f>
        <v>3163.3843748844324</v>
      </c>
      <c r="L4505" s="227"/>
    </row>
    <row r="4506" spans="1:13" ht="11.25" customHeight="1" x14ac:dyDescent="0.2">
      <c r="A4506" s="228">
        <v>2024</v>
      </c>
      <c r="B4506" s="228">
        <v>6</v>
      </c>
      <c r="C4506" s="228">
        <v>13</v>
      </c>
      <c r="D4506" s="229">
        <f t="shared" si="432"/>
        <v>45456</v>
      </c>
      <c r="E4506" s="241">
        <f t="shared" si="434"/>
        <v>45456</v>
      </c>
      <c r="F4506" s="512"/>
      <c r="G4506" s="231" t="s">
        <v>1245</v>
      </c>
      <c r="H4506" s="232"/>
      <c r="I4506" s="232" t="s">
        <v>1253</v>
      </c>
      <c r="J4506" s="228" t="s">
        <v>42</v>
      </c>
      <c r="K4506" s="233"/>
      <c r="L4506" s="233">
        <f>K4505</f>
        <v>3163.3843748844324</v>
      </c>
    </row>
    <row r="4507" spans="1:13" ht="11.25" customHeight="1" x14ac:dyDescent="0.2">
      <c r="A4507" s="197">
        <v>2024</v>
      </c>
      <c r="B4507" s="197">
        <v>6</v>
      </c>
      <c r="C4507" s="197">
        <v>15</v>
      </c>
      <c r="D4507" s="198">
        <f t="shared" si="432"/>
        <v>45458</v>
      </c>
      <c r="E4507" s="209">
        <f t="shared" si="434"/>
        <v>45458</v>
      </c>
      <c r="F4507" s="513" t="s">
        <v>1296</v>
      </c>
      <c r="G4507" s="200" t="s">
        <v>1209</v>
      </c>
      <c r="H4507" s="201"/>
      <c r="I4507" s="201"/>
      <c r="J4507" s="197" t="s">
        <v>46</v>
      </c>
      <c r="K4507" s="202">
        <v>66000</v>
      </c>
      <c r="L4507" s="202"/>
    </row>
    <row r="4508" spans="1:13" ht="11.25" customHeight="1" x14ac:dyDescent="0.2">
      <c r="A4508" s="120">
        <v>2024</v>
      </c>
      <c r="B4508" s="120">
        <v>6</v>
      </c>
      <c r="C4508" s="120">
        <v>15</v>
      </c>
      <c r="D4508" s="208">
        <f t="shared" si="432"/>
        <v>45458</v>
      </c>
      <c r="E4508" s="209">
        <f t="shared" si="434"/>
        <v>45458</v>
      </c>
      <c r="F4508" s="515"/>
      <c r="G4508" s="132" t="s">
        <v>1209</v>
      </c>
      <c r="J4508" s="120" t="s">
        <v>16</v>
      </c>
      <c r="K4508" s="207"/>
      <c r="L4508" s="207">
        <v>59270</v>
      </c>
    </row>
    <row r="4509" spans="1:13" ht="11.25" customHeight="1" x14ac:dyDescent="0.2">
      <c r="A4509" s="191">
        <v>2024</v>
      </c>
      <c r="B4509" s="191">
        <v>6</v>
      </c>
      <c r="C4509" s="191">
        <v>15</v>
      </c>
      <c r="D4509" s="192">
        <f t="shared" si="432"/>
        <v>45458</v>
      </c>
      <c r="E4509" s="193">
        <f t="shared" si="434"/>
        <v>45458</v>
      </c>
      <c r="F4509" s="514"/>
      <c r="G4509" s="194" t="s">
        <v>1209</v>
      </c>
      <c r="H4509" s="195"/>
      <c r="I4509" s="195"/>
      <c r="J4509" s="191" t="s">
        <v>47</v>
      </c>
      <c r="K4509" s="196"/>
      <c r="L4509" s="196">
        <v>6730</v>
      </c>
    </row>
    <row r="4510" spans="1:13" ht="11.25" customHeight="1" x14ac:dyDescent="0.2">
      <c r="A4510" s="197">
        <v>2024</v>
      </c>
      <c r="B4510" s="197">
        <v>6</v>
      </c>
      <c r="C4510" s="197">
        <v>20</v>
      </c>
      <c r="D4510" s="198">
        <f t="shared" si="432"/>
        <v>45463</v>
      </c>
      <c r="E4510" s="209">
        <f t="shared" si="434"/>
        <v>45463</v>
      </c>
      <c r="F4510" s="513" t="s">
        <v>1210</v>
      </c>
      <c r="G4510" s="200" t="s">
        <v>1209</v>
      </c>
      <c r="H4510" s="201"/>
      <c r="I4510" s="201" t="s">
        <v>315</v>
      </c>
      <c r="J4510" s="197" t="s">
        <v>46</v>
      </c>
      <c r="K4510" s="202">
        <v>800000</v>
      </c>
      <c r="L4510" s="202"/>
    </row>
    <row r="4511" spans="1:13" ht="11.25" customHeight="1" x14ac:dyDescent="0.2">
      <c r="A4511" s="120">
        <v>2024</v>
      </c>
      <c r="B4511" s="120">
        <v>6</v>
      </c>
      <c r="C4511" s="120">
        <v>20</v>
      </c>
      <c r="D4511" s="208">
        <f t="shared" si="432"/>
        <v>45463</v>
      </c>
      <c r="E4511" s="209">
        <f t="shared" si="434"/>
        <v>45463</v>
      </c>
      <c r="F4511" s="515"/>
      <c r="G4511" s="132" t="s">
        <v>1209</v>
      </c>
      <c r="I4511" s="128" t="s">
        <v>315</v>
      </c>
      <c r="J4511" s="120" t="s">
        <v>16</v>
      </c>
      <c r="K4511" s="207"/>
      <c r="L4511" s="207">
        <v>718390</v>
      </c>
    </row>
    <row r="4512" spans="1:13" ht="11.25" customHeight="1" x14ac:dyDescent="0.2">
      <c r="A4512" s="191">
        <v>2024</v>
      </c>
      <c r="B4512" s="191">
        <v>6</v>
      </c>
      <c r="C4512" s="191">
        <v>20</v>
      </c>
      <c r="D4512" s="192">
        <f t="shared" si="432"/>
        <v>45463</v>
      </c>
      <c r="E4512" s="193">
        <f t="shared" si="434"/>
        <v>45463</v>
      </c>
      <c r="F4512" s="514"/>
      <c r="G4512" s="194" t="s">
        <v>1209</v>
      </c>
      <c r="H4512" s="195"/>
      <c r="I4512" s="195" t="s">
        <v>315</v>
      </c>
      <c r="J4512" s="191" t="s">
        <v>47</v>
      </c>
      <c r="K4512" s="196"/>
      <c r="L4512" s="196">
        <v>81610</v>
      </c>
    </row>
    <row r="4513" spans="1:15" ht="11.25" customHeight="1" x14ac:dyDescent="0.2">
      <c r="A4513" s="197">
        <v>2024</v>
      </c>
      <c r="B4513" s="197">
        <v>6</v>
      </c>
      <c r="C4513" s="197">
        <v>20</v>
      </c>
      <c r="D4513" s="198">
        <f t="shared" si="432"/>
        <v>45463</v>
      </c>
      <c r="E4513" s="209">
        <f t="shared" ref="E4513:E4517" si="435">DATE(A4513,B4513,C4513)</f>
        <v>45463</v>
      </c>
      <c r="F4513" s="513" t="s">
        <v>1210</v>
      </c>
      <c r="G4513" s="200" t="s">
        <v>1209</v>
      </c>
      <c r="H4513" s="201"/>
      <c r="I4513" s="201" t="s">
        <v>330</v>
      </c>
      <c r="J4513" s="197" t="s">
        <v>46</v>
      </c>
      <c r="K4513" s="202">
        <v>365000</v>
      </c>
      <c r="L4513" s="202"/>
    </row>
    <row r="4514" spans="1:15" ht="11.25" customHeight="1" x14ac:dyDescent="0.2">
      <c r="A4514" s="120">
        <v>2024</v>
      </c>
      <c r="B4514" s="120">
        <v>6</v>
      </c>
      <c r="C4514" s="120">
        <v>20</v>
      </c>
      <c r="D4514" s="208">
        <f t="shared" si="432"/>
        <v>45463</v>
      </c>
      <c r="E4514" s="209">
        <f t="shared" si="435"/>
        <v>45463</v>
      </c>
      <c r="F4514" s="515"/>
      <c r="G4514" s="132" t="s">
        <v>1209</v>
      </c>
      <c r="I4514" s="128" t="s">
        <v>330</v>
      </c>
      <c r="J4514" s="120" t="s">
        <v>16</v>
      </c>
      <c r="K4514" s="207"/>
      <c r="L4514" s="207">
        <v>327770</v>
      </c>
    </row>
    <row r="4515" spans="1:15" ht="11.25" customHeight="1" x14ac:dyDescent="0.2">
      <c r="A4515" s="191">
        <v>2024</v>
      </c>
      <c r="B4515" s="191">
        <v>6</v>
      </c>
      <c r="C4515" s="191">
        <v>20</v>
      </c>
      <c r="D4515" s="192">
        <f t="shared" si="432"/>
        <v>45463</v>
      </c>
      <c r="E4515" s="193">
        <f t="shared" si="435"/>
        <v>45463</v>
      </c>
      <c r="F4515" s="514"/>
      <c r="G4515" s="194" t="s">
        <v>1209</v>
      </c>
      <c r="H4515" s="195"/>
      <c r="I4515" s="195" t="s">
        <v>330</v>
      </c>
      <c r="J4515" s="191" t="s">
        <v>47</v>
      </c>
      <c r="K4515" s="196"/>
      <c r="L4515" s="196">
        <v>37230</v>
      </c>
    </row>
    <row r="4516" spans="1:15" ht="11.25" customHeight="1" x14ac:dyDescent="0.2">
      <c r="A4516" s="197">
        <v>2024</v>
      </c>
      <c r="B4516" s="197">
        <v>6</v>
      </c>
      <c r="C4516" s="197">
        <v>20</v>
      </c>
      <c r="D4516" s="198">
        <f t="shared" si="432"/>
        <v>45463</v>
      </c>
      <c r="E4516" s="290">
        <f t="shared" si="435"/>
        <v>45463</v>
      </c>
      <c r="F4516" s="513" t="s">
        <v>1514</v>
      </c>
      <c r="G4516" s="200" t="s">
        <v>1209</v>
      </c>
      <c r="H4516" s="201"/>
      <c r="I4516" s="201"/>
      <c r="J4516" s="197" t="s">
        <v>54</v>
      </c>
      <c r="K4516" s="202">
        <v>10</v>
      </c>
      <c r="L4516" s="202"/>
      <c r="M4516" s="251"/>
      <c r="N4516" s="251"/>
      <c r="O4516" s="251"/>
    </row>
    <row r="4517" spans="1:15" ht="11.25" customHeight="1" x14ac:dyDescent="0.2">
      <c r="A4517" s="191">
        <v>2024</v>
      </c>
      <c r="B4517" s="191">
        <v>6</v>
      </c>
      <c r="C4517" s="191">
        <v>20</v>
      </c>
      <c r="D4517" s="192">
        <f t="shared" si="432"/>
        <v>45463</v>
      </c>
      <c r="E4517" s="291">
        <f t="shared" si="435"/>
        <v>45463</v>
      </c>
      <c r="F4517" s="514"/>
      <c r="G4517" s="194" t="s">
        <v>1209</v>
      </c>
      <c r="H4517" s="195"/>
      <c r="I4517" s="195"/>
      <c r="J4517" s="191" t="s">
        <v>46</v>
      </c>
      <c r="K4517" s="196"/>
      <c r="L4517" s="196">
        <v>10</v>
      </c>
      <c r="M4517" s="251"/>
      <c r="N4517" s="251"/>
      <c r="O4517" s="251"/>
    </row>
    <row r="4518" spans="1:15" ht="11.25" customHeight="1" x14ac:dyDescent="0.2">
      <c r="A4518" s="344">
        <v>2024</v>
      </c>
      <c r="B4518" s="344">
        <v>6</v>
      </c>
      <c r="C4518" s="344">
        <v>20</v>
      </c>
      <c r="D4518" s="345">
        <f t="shared" si="432"/>
        <v>45463</v>
      </c>
      <c r="E4518" s="346">
        <f t="shared" si="434"/>
        <v>45463</v>
      </c>
      <c r="F4518" s="518" t="s">
        <v>1621</v>
      </c>
      <c r="G4518" s="347" t="s">
        <v>1245</v>
      </c>
      <c r="H4518" s="348"/>
      <c r="I4518" s="348" t="s">
        <v>1253</v>
      </c>
      <c r="J4518" s="344" t="s">
        <v>113</v>
      </c>
      <c r="K4518" s="349">
        <v>192019.23076923061</v>
      </c>
      <c r="L4518" s="349"/>
    </row>
    <row r="4519" spans="1:15" ht="11.25" customHeight="1" x14ac:dyDescent="0.2">
      <c r="A4519" s="350">
        <v>2024</v>
      </c>
      <c r="B4519" s="350">
        <v>6</v>
      </c>
      <c r="C4519" s="350">
        <v>20</v>
      </c>
      <c r="D4519" s="351">
        <f t="shared" si="432"/>
        <v>45463</v>
      </c>
      <c r="E4519" s="352">
        <f t="shared" si="434"/>
        <v>45463</v>
      </c>
      <c r="F4519" s="519"/>
      <c r="G4519" s="353" t="s">
        <v>1245</v>
      </c>
      <c r="H4519" s="354"/>
      <c r="I4519" s="354" t="s">
        <v>1253</v>
      </c>
      <c r="J4519" s="350" t="s">
        <v>153</v>
      </c>
      <c r="K4519" s="355"/>
      <c r="L4519" s="355">
        <f>K4518</f>
        <v>192019.23076923061</v>
      </c>
    </row>
    <row r="4520" spans="1:15" ht="11.25" customHeight="1" x14ac:dyDescent="0.2">
      <c r="A4520" s="210">
        <v>2024</v>
      </c>
      <c r="B4520" s="210">
        <v>6</v>
      </c>
      <c r="C4520" s="210">
        <v>20</v>
      </c>
      <c r="D4520" s="211">
        <f t="shared" si="432"/>
        <v>45463</v>
      </c>
      <c r="E4520" s="238">
        <f t="shared" si="434"/>
        <v>45463</v>
      </c>
      <c r="F4520" s="520" t="s">
        <v>1278</v>
      </c>
      <c r="G4520" s="213" t="s">
        <v>1245</v>
      </c>
      <c r="H4520" s="214"/>
      <c r="I4520" s="214" t="s">
        <v>1253</v>
      </c>
      <c r="J4520" s="210" t="s">
        <v>1529</v>
      </c>
      <c r="K4520" s="215">
        <v>7491.85</v>
      </c>
      <c r="L4520" s="215"/>
    </row>
    <row r="4521" spans="1:15" ht="11.25" customHeight="1" x14ac:dyDescent="0.2">
      <c r="A4521" s="216">
        <v>2024</v>
      </c>
      <c r="B4521" s="216">
        <v>6</v>
      </c>
      <c r="C4521" s="216">
        <v>20</v>
      </c>
      <c r="D4521" s="217">
        <f t="shared" si="432"/>
        <v>45463</v>
      </c>
      <c r="E4521" s="239">
        <f t="shared" si="434"/>
        <v>45463</v>
      </c>
      <c r="F4521" s="521"/>
      <c r="G4521" s="219" t="s">
        <v>1245</v>
      </c>
      <c r="H4521" s="220"/>
      <c r="I4521" s="220" t="s">
        <v>1253</v>
      </c>
      <c r="J4521" s="216" t="s">
        <v>1581</v>
      </c>
      <c r="K4521" s="221"/>
      <c r="L4521" s="221">
        <v>7491.85</v>
      </c>
    </row>
    <row r="4522" spans="1:15" ht="11.25" customHeight="1" x14ac:dyDescent="0.2">
      <c r="A4522" s="210">
        <v>2024</v>
      </c>
      <c r="B4522" s="210">
        <v>6</v>
      </c>
      <c r="C4522" s="210">
        <v>20</v>
      </c>
      <c r="D4522" s="211">
        <f t="shared" si="432"/>
        <v>45463</v>
      </c>
      <c r="E4522" s="238">
        <f t="shared" si="434"/>
        <v>45463</v>
      </c>
      <c r="F4522" s="520" t="s">
        <v>1285</v>
      </c>
      <c r="G4522" s="213" t="s">
        <v>1245</v>
      </c>
      <c r="H4522" s="214"/>
      <c r="I4522" s="214" t="s">
        <v>1253</v>
      </c>
      <c r="J4522" s="210" t="s">
        <v>1284</v>
      </c>
      <c r="K4522" s="215">
        <v>10290.504807692309</v>
      </c>
      <c r="L4522" s="215"/>
    </row>
    <row r="4523" spans="1:15" ht="11.25" customHeight="1" x14ac:dyDescent="0.2">
      <c r="A4523" s="242">
        <v>2024</v>
      </c>
      <c r="B4523" s="242">
        <v>6</v>
      </c>
      <c r="C4523" s="242">
        <v>20</v>
      </c>
      <c r="D4523" s="243">
        <f t="shared" si="432"/>
        <v>45463</v>
      </c>
      <c r="E4523" s="244">
        <f>DATE(A4523,B4523,C4523)</f>
        <v>45463</v>
      </c>
      <c r="F4523" s="524"/>
      <c r="G4523" s="245" t="s">
        <v>1245</v>
      </c>
      <c r="H4523" s="246"/>
      <c r="I4523" s="246"/>
      <c r="J4523" s="242" t="s">
        <v>1582</v>
      </c>
      <c r="K4523" s="247"/>
      <c r="L4523" s="247">
        <v>10290.504807692309</v>
      </c>
    </row>
    <row r="4524" spans="1:15" ht="11.25" customHeight="1" x14ac:dyDescent="0.2">
      <c r="A4524" s="210">
        <v>2024</v>
      </c>
      <c r="B4524" s="210">
        <v>6</v>
      </c>
      <c r="C4524" s="210">
        <v>20</v>
      </c>
      <c r="D4524" s="211">
        <f t="shared" si="432"/>
        <v>45463</v>
      </c>
      <c r="E4524" s="238">
        <f t="shared" ref="E4524:E4540" si="436">DATE(A4524,B4524,C4524)</f>
        <v>45463</v>
      </c>
      <c r="F4524" s="520" t="s">
        <v>1259</v>
      </c>
      <c r="G4524" s="213" t="s">
        <v>1245</v>
      </c>
      <c r="H4524" s="214"/>
      <c r="I4524" s="214" t="s">
        <v>1253</v>
      </c>
      <c r="J4524" s="210" t="s">
        <v>58</v>
      </c>
      <c r="K4524" s="215">
        <v>2209.81</v>
      </c>
      <c r="L4524" s="215"/>
    </row>
    <row r="4525" spans="1:15" ht="11.25" customHeight="1" x14ac:dyDescent="0.2">
      <c r="A4525" s="216">
        <v>2024</v>
      </c>
      <c r="B4525" s="216">
        <v>6</v>
      </c>
      <c r="C4525" s="216">
        <v>20</v>
      </c>
      <c r="D4525" s="217">
        <f t="shared" si="432"/>
        <v>45463</v>
      </c>
      <c r="E4525" s="239">
        <f t="shared" si="436"/>
        <v>45463</v>
      </c>
      <c r="F4525" s="521"/>
      <c r="G4525" s="219" t="s">
        <v>1245</v>
      </c>
      <c r="H4525" s="220"/>
      <c r="I4525" s="220" t="s">
        <v>1253</v>
      </c>
      <c r="J4525" s="216" t="s">
        <v>153</v>
      </c>
      <c r="K4525" s="221"/>
      <c r="L4525" s="221">
        <f>K4524</f>
        <v>2209.81</v>
      </c>
    </row>
    <row r="4526" spans="1:15" ht="11.25" customHeight="1" x14ac:dyDescent="0.2">
      <c r="A4526" s="312">
        <v>2024</v>
      </c>
      <c r="B4526" s="312">
        <v>6</v>
      </c>
      <c r="C4526" s="312">
        <v>20</v>
      </c>
      <c r="D4526" s="313">
        <f t="shared" si="432"/>
        <v>45463</v>
      </c>
      <c r="E4526" s="314">
        <f t="shared" si="436"/>
        <v>45463</v>
      </c>
      <c r="F4526" s="522" t="s">
        <v>1477</v>
      </c>
      <c r="G4526" s="315" t="s">
        <v>1245</v>
      </c>
      <c r="H4526" s="316"/>
      <c r="I4526" s="316" t="s">
        <v>1253</v>
      </c>
      <c r="J4526" s="312" t="s">
        <v>1460</v>
      </c>
      <c r="K4526" s="317">
        <v>190860</v>
      </c>
      <c r="L4526" s="317"/>
    </row>
    <row r="4527" spans="1:15" ht="11.25" customHeight="1" x14ac:dyDescent="0.2">
      <c r="A4527" s="318">
        <v>2024</v>
      </c>
      <c r="B4527" s="318">
        <v>6</v>
      </c>
      <c r="C4527" s="318">
        <v>20</v>
      </c>
      <c r="D4527" s="319">
        <f t="shared" si="432"/>
        <v>45463</v>
      </c>
      <c r="E4527" s="320">
        <f t="shared" si="436"/>
        <v>45463</v>
      </c>
      <c r="F4527" s="523"/>
      <c r="G4527" s="321" t="s">
        <v>1245</v>
      </c>
      <c r="H4527" s="322"/>
      <c r="I4527" s="322" t="s">
        <v>1253</v>
      </c>
      <c r="J4527" s="318" t="s">
        <v>1458</v>
      </c>
      <c r="K4527" s="323"/>
      <c r="L4527" s="323">
        <f>K4526</f>
        <v>190860</v>
      </c>
    </row>
    <row r="4528" spans="1:15" ht="11.25" customHeight="1" x14ac:dyDescent="0.2">
      <c r="A4528" s="312">
        <v>2024</v>
      </c>
      <c r="B4528" s="312">
        <v>6</v>
      </c>
      <c r="C4528" s="312">
        <v>20</v>
      </c>
      <c r="D4528" s="313">
        <f t="shared" si="432"/>
        <v>45463</v>
      </c>
      <c r="E4528" s="314">
        <f t="shared" si="436"/>
        <v>45463</v>
      </c>
      <c r="F4528" s="522" t="s">
        <v>1595</v>
      </c>
      <c r="G4528" s="315" t="s">
        <v>1245</v>
      </c>
      <c r="H4528" s="316"/>
      <c r="I4528" s="316" t="s">
        <v>1253</v>
      </c>
      <c r="J4528" s="312" t="s">
        <v>1461</v>
      </c>
      <c r="K4528" s="317">
        <v>112406.42999999225</v>
      </c>
      <c r="L4528" s="317"/>
    </row>
    <row r="4529" spans="1:15" ht="11.25" customHeight="1" x14ac:dyDescent="0.2">
      <c r="A4529" s="318">
        <v>2024</v>
      </c>
      <c r="B4529" s="318">
        <v>6</v>
      </c>
      <c r="C4529" s="318">
        <v>20</v>
      </c>
      <c r="D4529" s="319">
        <f t="shared" si="432"/>
        <v>45463</v>
      </c>
      <c r="E4529" s="320">
        <f t="shared" si="436"/>
        <v>45463</v>
      </c>
      <c r="F4529" s="523"/>
      <c r="G4529" s="321" t="s">
        <v>1245</v>
      </c>
      <c r="H4529" s="322"/>
      <c r="I4529" s="322" t="s">
        <v>1253</v>
      </c>
      <c r="J4529" s="318" t="s">
        <v>1459</v>
      </c>
      <c r="K4529" s="323"/>
      <c r="L4529" s="323">
        <f>K4528</f>
        <v>112406.42999999225</v>
      </c>
    </row>
    <row r="4530" spans="1:15" ht="11.25" customHeight="1" x14ac:dyDescent="0.2">
      <c r="A4530" s="222">
        <v>2024</v>
      </c>
      <c r="B4530" s="222">
        <v>6</v>
      </c>
      <c r="C4530" s="222">
        <v>20</v>
      </c>
      <c r="D4530" s="223">
        <f t="shared" si="432"/>
        <v>45463</v>
      </c>
      <c r="E4530" s="240">
        <f t="shared" si="436"/>
        <v>45463</v>
      </c>
      <c r="F4530" s="511" t="s">
        <v>1244</v>
      </c>
      <c r="G4530" s="225" t="s">
        <v>1245</v>
      </c>
      <c r="H4530" s="226"/>
      <c r="I4530" s="226" t="s">
        <v>1253</v>
      </c>
      <c r="J4530" s="222" t="s">
        <v>87</v>
      </c>
      <c r="K4530" s="227">
        <v>5230</v>
      </c>
      <c r="L4530" s="227"/>
    </row>
    <row r="4531" spans="1:15" ht="11.25" customHeight="1" x14ac:dyDescent="0.2">
      <c r="A4531" s="228">
        <v>2024</v>
      </c>
      <c r="B4531" s="228">
        <v>6</v>
      </c>
      <c r="C4531" s="228">
        <v>20</v>
      </c>
      <c r="D4531" s="229">
        <f t="shared" si="432"/>
        <v>45463</v>
      </c>
      <c r="E4531" s="241">
        <f t="shared" si="436"/>
        <v>45463</v>
      </c>
      <c r="F4531" s="512"/>
      <c r="G4531" s="231" t="s">
        <v>1245</v>
      </c>
      <c r="H4531" s="232"/>
      <c r="I4531" s="232" t="s">
        <v>1253</v>
      </c>
      <c r="J4531" s="228" t="s">
        <v>72</v>
      </c>
      <c r="K4531" s="233"/>
      <c r="L4531" s="233">
        <f>K4530</f>
        <v>5230</v>
      </c>
    </row>
    <row r="4532" spans="1:15" ht="11.25" customHeight="1" x14ac:dyDescent="0.2">
      <c r="A4532" s="222">
        <v>2024</v>
      </c>
      <c r="B4532" s="222">
        <v>6</v>
      </c>
      <c r="C4532" s="222">
        <v>20</v>
      </c>
      <c r="D4532" s="223">
        <f t="shared" si="432"/>
        <v>45463</v>
      </c>
      <c r="E4532" s="240">
        <f t="shared" si="436"/>
        <v>45463</v>
      </c>
      <c r="F4532" s="511" t="s">
        <v>1246</v>
      </c>
      <c r="G4532" s="225" t="s">
        <v>1245</v>
      </c>
      <c r="H4532" s="226"/>
      <c r="I4532" s="226" t="s">
        <v>1253</v>
      </c>
      <c r="J4532" s="222" t="s">
        <v>75</v>
      </c>
      <c r="K4532" s="227">
        <v>3623.123846153846</v>
      </c>
      <c r="L4532" s="227"/>
    </row>
    <row r="4533" spans="1:15" ht="11.25" customHeight="1" x14ac:dyDescent="0.2">
      <c r="A4533" s="228">
        <v>2024</v>
      </c>
      <c r="B4533" s="228">
        <v>6</v>
      </c>
      <c r="C4533" s="228">
        <v>20</v>
      </c>
      <c r="D4533" s="229">
        <f t="shared" si="432"/>
        <v>45463</v>
      </c>
      <c r="E4533" s="241">
        <f t="shared" si="436"/>
        <v>45463</v>
      </c>
      <c r="F4533" s="512"/>
      <c r="G4533" s="231" t="s">
        <v>1245</v>
      </c>
      <c r="H4533" s="232"/>
      <c r="I4533" s="232" t="s">
        <v>1253</v>
      </c>
      <c r="J4533" s="228" t="s">
        <v>55</v>
      </c>
      <c r="K4533" s="233"/>
      <c r="L4533" s="233">
        <v>3623.123846153846</v>
      </c>
    </row>
    <row r="4534" spans="1:15" ht="11.25" customHeight="1" x14ac:dyDescent="0.2">
      <c r="A4534" s="222">
        <v>2024</v>
      </c>
      <c r="B4534" s="222">
        <v>6</v>
      </c>
      <c r="C4534" s="222">
        <v>20</v>
      </c>
      <c r="D4534" s="223">
        <f t="shared" si="432"/>
        <v>45463</v>
      </c>
      <c r="E4534" s="240">
        <f t="shared" si="436"/>
        <v>45463</v>
      </c>
      <c r="F4534" s="511" t="s">
        <v>1247</v>
      </c>
      <c r="G4534" s="225" t="s">
        <v>1245</v>
      </c>
      <c r="H4534" s="226"/>
      <c r="I4534" s="226" t="s">
        <v>1253</v>
      </c>
      <c r="J4534" s="222" t="s">
        <v>77</v>
      </c>
      <c r="K4534" s="227">
        <f>M4534</f>
        <v>31685.51871361423</v>
      </c>
      <c r="L4534" s="227"/>
      <c r="M4534" s="120">
        <v>31685.51871361423</v>
      </c>
    </row>
    <row r="4535" spans="1:15" ht="11.25" customHeight="1" x14ac:dyDescent="0.2">
      <c r="A4535" s="228">
        <v>2024</v>
      </c>
      <c r="B4535" s="228">
        <v>6</v>
      </c>
      <c r="C4535" s="228">
        <v>20</v>
      </c>
      <c r="D4535" s="229">
        <f t="shared" si="432"/>
        <v>45463</v>
      </c>
      <c r="E4535" s="241">
        <f t="shared" si="436"/>
        <v>45463</v>
      </c>
      <c r="F4535" s="512"/>
      <c r="G4535" s="231" t="s">
        <v>1245</v>
      </c>
      <c r="H4535" s="232"/>
      <c r="I4535" s="232" t="s">
        <v>1253</v>
      </c>
      <c r="J4535" s="228" t="s">
        <v>41</v>
      </c>
      <c r="K4535" s="233"/>
      <c r="L4535" s="233">
        <f>K4534</f>
        <v>31685.51871361423</v>
      </c>
      <c r="M4535" s="120">
        <v>3168.5518713614229</v>
      </c>
    </row>
    <row r="4536" spans="1:15" ht="11.25" customHeight="1" x14ac:dyDescent="0.2">
      <c r="A4536" s="222">
        <v>2024</v>
      </c>
      <c r="B4536" s="222">
        <v>6</v>
      </c>
      <c r="C4536" s="222">
        <v>20</v>
      </c>
      <c r="D4536" s="223">
        <f t="shared" si="432"/>
        <v>45463</v>
      </c>
      <c r="E4536" s="240">
        <f t="shared" si="436"/>
        <v>45463</v>
      </c>
      <c r="F4536" s="511" t="s">
        <v>1248</v>
      </c>
      <c r="G4536" s="225" t="s">
        <v>1245</v>
      </c>
      <c r="H4536" s="226"/>
      <c r="I4536" s="226" t="s">
        <v>1253</v>
      </c>
      <c r="J4536" s="222" t="s">
        <v>80</v>
      </c>
      <c r="K4536" s="227">
        <f>M4535</f>
        <v>3168.5518713614229</v>
      </c>
      <c r="L4536" s="227"/>
    </row>
    <row r="4537" spans="1:15" ht="11.25" customHeight="1" x14ac:dyDescent="0.2">
      <c r="A4537" s="228">
        <v>2024</v>
      </c>
      <c r="B4537" s="228">
        <v>6</v>
      </c>
      <c r="C4537" s="228">
        <v>20</v>
      </c>
      <c r="D4537" s="229">
        <f t="shared" si="432"/>
        <v>45463</v>
      </c>
      <c r="E4537" s="241">
        <f t="shared" si="436"/>
        <v>45463</v>
      </c>
      <c r="F4537" s="512"/>
      <c r="G4537" s="231" t="s">
        <v>1245</v>
      </c>
      <c r="H4537" s="232"/>
      <c r="I4537" s="232" t="s">
        <v>1253</v>
      </c>
      <c r="J4537" s="228" t="s">
        <v>42</v>
      </c>
      <c r="K4537" s="233"/>
      <c r="L4537" s="233">
        <f>K4536</f>
        <v>3168.5518713614229</v>
      </c>
    </row>
    <row r="4538" spans="1:15" ht="11.25" customHeight="1" x14ac:dyDescent="0.2">
      <c r="A4538" s="197">
        <v>2024</v>
      </c>
      <c r="B4538" s="197">
        <v>6</v>
      </c>
      <c r="C4538" s="197">
        <v>23</v>
      </c>
      <c r="D4538" s="198">
        <f t="shared" si="432"/>
        <v>45466</v>
      </c>
      <c r="E4538" s="209">
        <f t="shared" si="436"/>
        <v>45466</v>
      </c>
      <c r="F4538" s="513" t="s">
        <v>1210</v>
      </c>
      <c r="G4538" s="200" t="s">
        <v>1209</v>
      </c>
      <c r="H4538" s="201"/>
      <c r="I4538" s="201" t="s">
        <v>1821</v>
      </c>
      <c r="J4538" s="197" t="s">
        <v>46</v>
      </c>
      <c r="K4538" s="202">
        <v>1000000</v>
      </c>
      <c r="L4538" s="202"/>
    </row>
    <row r="4539" spans="1:15" ht="11.25" customHeight="1" x14ac:dyDescent="0.2">
      <c r="A4539" s="120">
        <v>2024</v>
      </c>
      <c r="B4539" s="120">
        <v>6</v>
      </c>
      <c r="C4539" s="120">
        <v>23</v>
      </c>
      <c r="D4539" s="208">
        <f t="shared" si="432"/>
        <v>45466</v>
      </c>
      <c r="E4539" s="209">
        <f t="shared" si="436"/>
        <v>45466</v>
      </c>
      <c r="F4539" s="515"/>
      <c r="G4539" s="132" t="s">
        <v>1209</v>
      </c>
      <c r="I4539" s="128" t="s">
        <v>1821</v>
      </c>
      <c r="J4539" s="120" t="s">
        <v>16</v>
      </c>
      <c r="K4539" s="207"/>
      <c r="L4539" s="207">
        <v>897990</v>
      </c>
    </row>
    <row r="4540" spans="1:15" ht="11.25" customHeight="1" x14ac:dyDescent="0.2">
      <c r="A4540" s="191">
        <v>2024</v>
      </c>
      <c r="B4540" s="191">
        <v>6</v>
      </c>
      <c r="C4540" s="191">
        <v>23</v>
      </c>
      <c r="D4540" s="192">
        <f t="shared" ref="D4540:D4603" si="437">DATE(A4540,B4540,C4540)</f>
        <v>45466</v>
      </c>
      <c r="E4540" s="193">
        <f t="shared" si="436"/>
        <v>45466</v>
      </c>
      <c r="F4540" s="514"/>
      <c r="G4540" s="194" t="s">
        <v>1209</v>
      </c>
      <c r="H4540" s="195"/>
      <c r="I4540" s="195" t="s">
        <v>1821</v>
      </c>
      <c r="J4540" s="191" t="s">
        <v>47</v>
      </c>
      <c r="K4540" s="196"/>
      <c r="L4540" s="196">
        <v>102010</v>
      </c>
    </row>
    <row r="4541" spans="1:15" ht="11.25" customHeight="1" x14ac:dyDescent="0.2">
      <c r="A4541" s="197">
        <v>2024</v>
      </c>
      <c r="B4541" s="197">
        <v>6</v>
      </c>
      <c r="C4541" s="197">
        <v>23</v>
      </c>
      <c r="D4541" s="198">
        <f t="shared" si="437"/>
        <v>45466</v>
      </c>
      <c r="E4541" s="209">
        <f t="shared" ref="E4541:E4552" si="438">DATE(A4541,B4541,C4541)</f>
        <v>45466</v>
      </c>
      <c r="F4541" s="513" t="s">
        <v>1280</v>
      </c>
      <c r="G4541" s="200" t="s">
        <v>1209</v>
      </c>
      <c r="H4541" s="201"/>
      <c r="I4541" s="201" t="s">
        <v>1321</v>
      </c>
      <c r="J4541" s="197" t="s">
        <v>16</v>
      </c>
      <c r="K4541" s="202">
        <v>1345050</v>
      </c>
      <c r="L4541" s="202"/>
    </row>
    <row r="4542" spans="1:15" ht="11.25" customHeight="1" x14ac:dyDescent="0.2">
      <c r="A4542" s="120">
        <v>2024</v>
      </c>
      <c r="B4542" s="120">
        <v>6</v>
      </c>
      <c r="C4542" s="120">
        <v>23</v>
      </c>
      <c r="D4542" s="208">
        <f t="shared" si="437"/>
        <v>45466</v>
      </c>
      <c r="E4542" s="209">
        <f t="shared" si="438"/>
        <v>45466</v>
      </c>
      <c r="F4542" s="515"/>
      <c r="G4542" s="132" t="s">
        <v>1209</v>
      </c>
      <c r="I4542" s="128" t="s">
        <v>1321</v>
      </c>
      <c r="J4542" s="120" t="s">
        <v>47</v>
      </c>
      <c r="K4542" s="207">
        <v>154950</v>
      </c>
      <c r="L4542" s="207"/>
    </row>
    <row r="4543" spans="1:15" ht="11.25" customHeight="1" x14ac:dyDescent="0.2">
      <c r="A4543" s="191">
        <v>2024</v>
      </c>
      <c r="B4543" s="191">
        <v>6</v>
      </c>
      <c r="C4543" s="191">
        <v>23</v>
      </c>
      <c r="D4543" s="192">
        <f t="shared" si="437"/>
        <v>45466</v>
      </c>
      <c r="E4543" s="193">
        <f t="shared" si="438"/>
        <v>45466</v>
      </c>
      <c r="F4543" s="514"/>
      <c r="G4543" s="194" t="s">
        <v>1209</v>
      </c>
      <c r="H4543" s="195"/>
      <c r="I4543" s="195" t="s">
        <v>1321</v>
      </c>
      <c r="J4543" s="191" t="s">
        <v>46</v>
      </c>
      <c r="K4543" s="196"/>
      <c r="L4543" s="196">
        <v>1500000</v>
      </c>
    </row>
    <row r="4544" spans="1:15" ht="11.25" customHeight="1" x14ac:dyDescent="0.2">
      <c r="A4544" s="197">
        <v>2024</v>
      </c>
      <c r="B4544" s="197">
        <v>6</v>
      </c>
      <c r="C4544" s="197">
        <v>23</v>
      </c>
      <c r="D4544" s="198">
        <f t="shared" si="437"/>
        <v>45466</v>
      </c>
      <c r="E4544" s="290">
        <f t="shared" ref="E4544:E4545" si="439">DATE(A4544,B4544,C4544)</f>
        <v>45466</v>
      </c>
      <c r="F4544" s="513" t="s">
        <v>1514</v>
      </c>
      <c r="G4544" s="200" t="s">
        <v>1209</v>
      </c>
      <c r="H4544" s="201"/>
      <c r="I4544" s="201"/>
      <c r="J4544" s="197" t="s">
        <v>54</v>
      </c>
      <c r="K4544" s="202">
        <v>100</v>
      </c>
      <c r="L4544" s="202"/>
      <c r="M4544" s="251"/>
      <c r="N4544" s="251"/>
      <c r="O4544" s="251"/>
    </row>
    <row r="4545" spans="1:15" ht="11.25" customHeight="1" x14ac:dyDescent="0.2">
      <c r="A4545" s="191">
        <v>2024</v>
      </c>
      <c r="B4545" s="191">
        <v>6</v>
      </c>
      <c r="C4545" s="191">
        <v>23</v>
      </c>
      <c r="D4545" s="192">
        <f t="shared" si="437"/>
        <v>45466</v>
      </c>
      <c r="E4545" s="291">
        <f t="shared" si="439"/>
        <v>45466</v>
      </c>
      <c r="F4545" s="514"/>
      <c r="G4545" s="194" t="s">
        <v>1209</v>
      </c>
      <c r="H4545" s="195"/>
      <c r="I4545" s="195"/>
      <c r="J4545" s="191" t="s">
        <v>46</v>
      </c>
      <c r="K4545" s="196"/>
      <c r="L4545" s="196">
        <v>100</v>
      </c>
      <c r="M4545" s="251"/>
      <c r="N4545" s="251"/>
      <c r="O4545" s="251"/>
    </row>
    <row r="4546" spans="1:15" ht="11.25" customHeight="1" x14ac:dyDescent="0.2">
      <c r="A4546" s="197">
        <v>2024</v>
      </c>
      <c r="B4546" s="197">
        <v>6</v>
      </c>
      <c r="C4546" s="197">
        <v>24</v>
      </c>
      <c r="D4546" s="198">
        <f t="shared" si="437"/>
        <v>45467</v>
      </c>
      <c r="E4546" s="209">
        <f t="shared" si="438"/>
        <v>45467</v>
      </c>
      <c r="F4546" s="513" t="s">
        <v>1210</v>
      </c>
      <c r="G4546" s="200" t="s">
        <v>1209</v>
      </c>
      <c r="H4546" s="201"/>
      <c r="I4546" s="201" t="s">
        <v>1805</v>
      </c>
      <c r="J4546" s="197" t="s">
        <v>46</v>
      </c>
      <c r="K4546" s="202">
        <v>250000</v>
      </c>
      <c r="L4546" s="202"/>
    </row>
    <row r="4547" spans="1:15" ht="11.25" customHeight="1" x14ac:dyDescent="0.2">
      <c r="A4547" s="120">
        <v>2024</v>
      </c>
      <c r="B4547" s="120">
        <v>6</v>
      </c>
      <c r="C4547" s="120">
        <v>24</v>
      </c>
      <c r="D4547" s="208">
        <f t="shared" si="437"/>
        <v>45467</v>
      </c>
      <c r="E4547" s="209">
        <f t="shared" si="438"/>
        <v>45467</v>
      </c>
      <c r="F4547" s="515"/>
      <c r="G4547" s="132" t="s">
        <v>1209</v>
      </c>
      <c r="I4547" s="128" t="s">
        <v>1805</v>
      </c>
      <c r="J4547" s="120" t="s">
        <v>16</v>
      </c>
      <c r="K4547" s="207"/>
      <c r="L4547" s="207">
        <v>224180</v>
      </c>
    </row>
    <row r="4548" spans="1:15" ht="11.25" customHeight="1" x14ac:dyDescent="0.2">
      <c r="A4548" s="191">
        <v>2024</v>
      </c>
      <c r="B4548" s="191">
        <v>6</v>
      </c>
      <c r="C4548" s="191">
        <v>24</v>
      </c>
      <c r="D4548" s="192">
        <f t="shared" si="437"/>
        <v>45467</v>
      </c>
      <c r="E4548" s="193">
        <f t="shared" si="438"/>
        <v>45467</v>
      </c>
      <c r="F4548" s="514"/>
      <c r="G4548" s="194" t="s">
        <v>1209</v>
      </c>
      <c r="H4548" s="195"/>
      <c r="I4548" s="195" t="s">
        <v>1805</v>
      </c>
      <c r="J4548" s="191" t="s">
        <v>47</v>
      </c>
      <c r="K4548" s="196"/>
      <c r="L4548" s="196">
        <v>25820</v>
      </c>
    </row>
    <row r="4549" spans="1:15" ht="11.25" customHeight="1" x14ac:dyDescent="0.2">
      <c r="A4549" s="197">
        <v>2024</v>
      </c>
      <c r="B4549" s="197">
        <v>6</v>
      </c>
      <c r="C4549" s="197">
        <v>24</v>
      </c>
      <c r="D4549" s="198">
        <f t="shared" si="437"/>
        <v>45467</v>
      </c>
      <c r="E4549" s="290">
        <f t="shared" si="438"/>
        <v>45467</v>
      </c>
      <c r="F4549" s="513" t="s">
        <v>1527</v>
      </c>
      <c r="G4549" s="200" t="s">
        <v>1209</v>
      </c>
      <c r="H4549" s="201"/>
      <c r="I4549" s="201"/>
      <c r="J4549" s="197" t="s">
        <v>54</v>
      </c>
      <c r="K4549" s="202">
        <v>10</v>
      </c>
      <c r="L4549" s="202"/>
      <c r="M4549" s="251"/>
      <c r="N4549" s="251"/>
      <c r="O4549" s="251"/>
    </row>
    <row r="4550" spans="1:15" ht="11.25" customHeight="1" x14ac:dyDescent="0.2">
      <c r="A4550" s="191">
        <v>2024</v>
      </c>
      <c r="B4550" s="191">
        <v>6</v>
      </c>
      <c r="C4550" s="191">
        <v>24</v>
      </c>
      <c r="D4550" s="192">
        <f t="shared" si="437"/>
        <v>45467</v>
      </c>
      <c r="E4550" s="291">
        <f t="shared" si="438"/>
        <v>45467</v>
      </c>
      <c r="F4550" s="514"/>
      <c r="G4550" s="194" t="s">
        <v>1209</v>
      </c>
      <c r="H4550" s="195"/>
      <c r="I4550" s="195"/>
      <c r="J4550" s="191" t="s">
        <v>46</v>
      </c>
      <c r="K4550" s="196"/>
      <c r="L4550" s="196">
        <v>10</v>
      </c>
      <c r="M4550" s="251"/>
      <c r="N4550" s="251"/>
      <c r="O4550" s="251"/>
    </row>
    <row r="4551" spans="1:15" ht="11.25" customHeight="1" x14ac:dyDescent="0.2">
      <c r="A4551" s="197">
        <v>2024</v>
      </c>
      <c r="B4551" s="197">
        <v>6</v>
      </c>
      <c r="C4551" s="197">
        <v>24</v>
      </c>
      <c r="D4551" s="198">
        <f t="shared" si="437"/>
        <v>45467</v>
      </c>
      <c r="E4551" s="199">
        <f t="shared" si="438"/>
        <v>45467</v>
      </c>
      <c r="F4551" s="513" t="s">
        <v>1825</v>
      </c>
      <c r="G4551" s="200" t="s">
        <v>1209</v>
      </c>
      <c r="H4551" s="201"/>
      <c r="I4551" s="201" t="s">
        <v>1253</v>
      </c>
      <c r="J4551" s="197" t="s">
        <v>1455</v>
      </c>
      <c r="K4551" s="202">
        <v>1943550</v>
      </c>
      <c r="L4551" s="202"/>
    </row>
    <row r="4552" spans="1:15" ht="11.25" customHeight="1" x14ac:dyDescent="0.2">
      <c r="A4552" s="191">
        <v>2024</v>
      </c>
      <c r="B4552" s="191">
        <v>6</v>
      </c>
      <c r="C4552" s="191">
        <v>24</v>
      </c>
      <c r="D4552" s="192">
        <f t="shared" si="437"/>
        <v>45467</v>
      </c>
      <c r="E4552" s="193">
        <f t="shared" si="438"/>
        <v>45467</v>
      </c>
      <c r="F4552" s="514"/>
      <c r="G4552" s="194" t="s">
        <v>1209</v>
      </c>
      <c r="H4552" s="195"/>
      <c r="I4552" s="195" t="s">
        <v>1253</v>
      </c>
      <c r="J4552" s="191" t="s">
        <v>46</v>
      </c>
      <c r="K4552" s="196"/>
      <c r="L4552" s="196">
        <v>1943550</v>
      </c>
      <c r="N4552" s="130"/>
    </row>
    <row r="4553" spans="1:15" ht="10.9" customHeight="1" x14ac:dyDescent="0.2">
      <c r="A4553" s="197">
        <v>2024</v>
      </c>
      <c r="B4553" s="197">
        <v>6</v>
      </c>
      <c r="C4553" s="197">
        <v>25</v>
      </c>
      <c r="D4553" s="198">
        <f t="shared" si="437"/>
        <v>45468</v>
      </c>
      <c r="E4553" s="290">
        <f t="shared" ref="E4553:E4556" si="440">DATE(A4553,B4553,C4553)</f>
        <v>45468</v>
      </c>
      <c r="F4553" s="513" t="s">
        <v>1527</v>
      </c>
      <c r="G4553" s="200" t="s">
        <v>1209</v>
      </c>
      <c r="H4553" s="201"/>
      <c r="I4553" s="201"/>
      <c r="J4553" s="197" t="s">
        <v>54</v>
      </c>
      <c r="K4553" s="202">
        <v>10</v>
      </c>
      <c r="L4553" s="202"/>
      <c r="M4553" s="251"/>
      <c r="N4553" s="251"/>
      <c r="O4553" s="251"/>
    </row>
    <row r="4554" spans="1:15" ht="11.25" customHeight="1" x14ac:dyDescent="0.2">
      <c r="A4554" s="191">
        <v>2024</v>
      </c>
      <c r="B4554" s="191">
        <v>6</v>
      </c>
      <c r="C4554" s="191">
        <v>25</v>
      </c>
      <c r="D4554" s="192">
        <f t="shared" si="437"/>
        <v>45468</v>
      </c>
      <c r="E4554" s="291">
        <f t="shared" si="440"/>
        <v>45468</v>
      </c>
      <c r="F4554" s="514"/>
      <c r="G4554" s="194" t="s">
        <v>1209</v>
      </c>
      <c r="H4554" s="195"/>
      <c r="I4554" s="195"/>
      <c r="J4554" s="191" t="s">
        <v>46</v>
      </c>
      <c r="K4554" s="196"/>
      <c r="L4554" s="196">
        <v>10</v>
      </c>
      <c r="M4554" s="251"/>
      <c r="N4554" s="251"/>
      <c r="O4554" s="251"/>
    </row>
    <row r="4555" spans="1:15" ht="11.25" customHeight="1" x14ac:dyDescent="0.2">
      <c r="A4555" s="197">
        <v>2024</v>
      </c>
      <c r="B4555" s="197">
        <v>6</v>
      </c>
      <c r="C4555" s="197">
        <v>25</v>
      </c>
      <c r="D4555" s="198">
        <f t="shared" si="437"/>
        <v>45468</v>
      </c>
      <c r="E4555" s="290">
        <f t="shared" si="440"/>
        <v>45468</v>
      </c>
      <c r="F4555" s="513" t="s">
        <v>1514</v>
      </c>
      <c r="G4555" s="200" t="s">
        <v>1209</v>
      </c>
      <c r="H4555" s="201"/>
      <c r="I4555" s="201"/>
      <c r="J4555" s="197" t="s">
        <v>54</v>
      </c>
      <c r="K4555" s="202">
        <v>80</v>
      </c>
      <c r="L4555" s="202"/>
      <c r="M4555" s="251"/>
      <c r="N4555" s="251"/>
      <c r="O4555" s="251"/>
    </row>
    <row r="4556" spans="1:15" ht="11.25" customHeight="1" x14ac:dyDescent="0.2">
      <c r="A4556" s="191">
        <v>2024</v>
      </c>
      <c r="B4556" s="191">
        <v>6</v>
      </c>
      <c r="C4556" s="191">
        <v>25</v>
      </c>
      <c r="D4556" s="192">
        <f t="shared" si="437"/>
        <v>45468</v>
      </c>
      <c r="E4556" s="291">
        <f t="shared" si="440"/>
        <v>45468</v>
      </c>
      <c r="F4556" s="514"/>
      <c r="G4556" s="194" t="s">
        <v>1209</v>
      </c>
      <c r="H4556" s="195"/>
      <c r="I4556" s="195"/>
      <c r="J4556" s="191" t="s">
        <v>46</v>
      </c>
      <c r="K4556" s="196"/>
      <c r="L4556" s="196">
        <v>80</v>
      </c>
      <c r="M4556" s="251"/>
      <c r="N4556" s="251"/>
      <c r="O4556" s="251"/>
    </row>
    <row r="4557" spans="1:15" ht="11.25" customHeight="1" x14ac:dyDescent="0.2">
      <c r="A4557" s="197">
        <v>2024</v>
      </c>
      <c r="B4557" s="197">
        <v>6</v>
      </c>
      <c r="C4557" s="197">
        <v>25</v>
      </c>
      <c r="D4557" s="198">
        <f t="shared" si="437"/>
        <v>45468</v>
      </c>
      <c r="E4557" s="209">
        <f t="shared" ref="E4557:E4559" si="441">DATE(A4557,B4557,C4557)</f>
        <v>45468</v>
      </c>
      <c r="F4557" s="513" t="s">
        <v>1210</v>
      </c>
      <c r="G4557" s="200" t="s">
        <v>1209</v>
      </c>
      <c r="H4557" s="201"/>
      <c r="I4557" s="201" t="s">
        <v>1235</v>
      </c>
      <c r="J4557" s="197" t="s">
        <v>46</v>
      </c>
      <c r="K4557" s="202">
        <v>60000</v>
      </c>
      <c r="L4557" s="202"/>
    </row>
    <row r="4558" spans="1:15" ht="11.25" customHeight="1" x14ac:dyDescent="0.2">
      <c r="A4558" s="120">
        <v>2024</v>
      </c>
      <c r="B4558" s="120">
        <v>6</v>
      </c>
      <c r="C4558" s="120">
        <v>25</v>
      </c>
      <c r="D4558" s="208">
        <f t="shared" si="437"/>
        <v>45468</v>
      </c>
      <c r="E4558" s="209">
        <f t="shared" si="441"/>
        <v>45468</v>
      </c>
      <c r="F4558" s="515"/>
      <c r="G4558" s="132" t="s">
        <v>1209</v>
      </c>
      <c r="I4558" s="128" t="s">
        <v>1235</v>
      </c>
      <c r="J4558" s="120" t="s">
        <v>16</v>
      </c>
      <c r="K4558" s="207"/>
      <c r="L4558" s="207">
        <v>53800</v>
      </c>
    </row>
    <row r="4559" spans="1:15" ht="11.25" customHeight="1" x14ac:dyDescent="0.2">
      <c r="A4559" s="191">
        <v>2024</v>
      </c>
      <c r="B4559" s="191">
        <v>6</v>
      </c>
      <c r="C4559" s="191">
        <v>25</v>
      </c>
      <c r="D4559" s="192">
        <f t="shared" si="437"/>
        <v>45468</v>
      </c>
      <c r="E4559" s="193">
        <f t="shared" si="441"/>
        <v>45468</v>
      </c>
      <c r="F4559" s="514"/>
      <c r="G4559" s="194" t="s">
        <v>1209</v>
      </c>
      <c r="H4559" s="195"/>
      <c r="I4559" s="195" t="s">
        <v>1235</v>
      </c>
      <c r="J4559" s="191" t="s">
        <v>47</v>
      </c>
      <c r="K4559" s="196"/>
      <c r="L4559" s="196">
        <v>6200</v>
      </c>
    </row>
    <row r="4560" spans="1:15" ht="11.25" customHeight="1" x14ac:dyDescent="0.2">
      <c r="A4560" s="197">
        <v>2024</v>
      </c>
      <c r="B4560" s="197">
        <v>6</v>
      </c>
      <c r="C4560" s="197">
        <v>25</v>
      </c>
      <c r="D4560" s="198">
        <f t="shared" si="437"/>
        <v>45468</v>
      </c>
      <c r="E4560" s="209">
        <f t="shared" ref="E4560:E4562" si="442">DATE(A4560,B4560,C4560)</f>
        <v>45468</v>
      </c>
      <c r="F4560" s="513" t="s">
        <v>1210</v>
      </c>
      <c r="G4560" s="200" t="s">
        <v>1209</v>
      </c>
      <c r="H4560" s="201"/>
      <c r="I4560" s="201" t="s">
        <v>1806</v>
      </c>
      <c r="J4560" s="197" t="s">
        <v>46</v>
      </c>
      <c r="K4560" s="202">
        <v>120000</v>
      </c>
      <c r="L4560" s="202"/>
    </row>
    <row r="4561" spans="1:12" ht="11.25" customHeight="1" x14ac:dyDescent="0.2">
      <c r="A4561" s="120">
        <v>2024</v>
      </c>
      <c r="B4561" s="120">
        <v>6</v>
      </c>
      <c r="C4561" s="120">
        <v>25</v>
      </c>
      <c r="D4561" s="208">
        <f t="shared" si="437"/>
        <v>45468</v>
      </c>
      <c r="E4561" s="209">
        <f t="shared" si="442"/>
        <v>45468</v>
      </c>
      <c r="F4561" s="515"/>
      <c r="G4561" s="132" t="s">
        <v>1209</v>
      </c>
      <c r="I4561" s="128" t="s">
        <v>1806</v>
      </c>
      <c r="J4561" s="120" t="s">
        <v>16</v>
      </c>
      <c r="K4561" s="207"/>
      <c r="L4561" s="207">
        <v>107600</v>
      </c>
    </row>
    <row r="4562" spans="1:12" ht="11.25" customHeight="1" x14ac:dyDescent="0.2">
      <c r="A4562" s="191">
        <v>2024</v>
      </c>
      <c r="B4562" s="191">
        <v>6</v>
      </c>
      <c r="C4562" s="191">
        <v>25</v>
      </c>
      <c r="D4562" s="192">
        <f t="shared" si="437"/>
        <v>45468</v>
      </c>
      <c r="E4562" s="193">
        <f t="shared" si="442"/>
        <v>45468</v>
      </c>
      <c r="F4562" s="514"/>
      <c r="G4562" s="194" t="s">
        <v>1209</v>
      </c>
      <c r="H4562" s="195"/>
      <c r="I4562" s="195" t="s">
        <v>1806</v>
      </c>
      <c r="J4562" s="191" t="s">
        <v>47</v>
      </c>
      <c r="K4562" s="196"/>
      <c r="L4562" s="196">
        <v>12400</v>
      </c>
    </row>
    <row r="4563" spans="1:12" ht="11.25" customHeight="1" x14ac:dyDescent="0.2">
      <c r="A4563" s="197">
        <v>2024</v>
      </c>
      <c r="B4563" s="197">
        <v>6</v>
      </c>
      <c r="C4563" s="197">
        <v>25</v>
      </c>
      <c r="D4563" s="198">
        <f t="shared" si="437"/>
        <v>45468</v>
      </c>
      <c r="E4563" s="209">
        <f t="shared" ref="E4563:E4565" si="443">DATE(A4563,B4563,C4563)</f>
        <v>45468</v>
      </c>
      <c r="F4563" s="513" t="s">
        <v>1210</v>
      </c>
      <c r="G4563" s="200" t="s">
        <v>1209</v>
      </c>
      <c r="H4563" s="201"/>
      <c r="I4563" s="201" t="s">
        <v>1293</v>
      </c>
      <c r="J4563" s="197" t="s">
        <v>46</v>
      </c>
      <c r="K4563" s="202">
        <v>500000</v>
      </c>
      <c r="L4563" s="202"/>
    </row>
    <row r="4564" spans="1:12" ht="11.25" customHeight="1" x14ac:dyDescent="0.2">
      <c r="A4564" s="120">
        <v>2024</v>
      </c>
      <c r="B4564" s="120">
        <v>6</v>
      </c>
      <c r="C4564" s="120">
        <v>25</v>
      </c>
      <c r="D4564" s="208">
        <f t="shared" si="437"/>
        <v>45468</v>
      </c>
      <c r="E4564" s="209">
        <f t="shared" si="443"/>
        <v>45468</v>
      </c>
      <c r="F4564" s="515"/>
      <c r="G4564" s="132" t="s">
        <v>1209</v>
      </c>
      <c r="I4564" s="128" t="s">
        <v>1293</v>
      </c>
      <c r="J4564" s="120" t="s">
        <v>16</v>
      </c>
      <c r="K4564" s="207"/>
      <c r="L4564" s="207">
        <v>448350</v>
      </c>
    </row>
    <row r="4565" spans="1:12" ht="11.25" customHeight="1" x14ac:dyDescent="0.2">
      <c r="A4565" s="191">
        <v>2024</v>
      </c>
      <c r="B4565" s="191">
        <v>6</v>
      </c>
      <c r="C4565" s="191">
        <v>25</v>
      </c>
      <c r="D4565" s="192">
        <f t="shared" si="437"/>
        <v>45468</v>
      </c>
      <c r="E4565" s="193">
        <f t="shared" si="443"/>
        <v>45468</v>
      </c>
      <c r="F4565" s="514"/>
      <c r="G4565" s="194" t="s">
        <v>1209</v>
      </c>
      <c r="H4565" s="195"/>
      <c r="I4565" s="195" t="s">
        <v>1293</v>
      </c>
      <c r="J4565" s="191" t="s">
        <v>47</v>
      </c>
      <c r="K4565" s="196"/>
      <c r="L4565" s="196">
        <v>51650</v>
      </c>
    </row>
    <row r="4566" spans="1:12" ht="11.25" customHeight="1" x14ac:dyDescent="0.2">
      <c r="A4566" s="197">
        <v>2024</v>
      </c>
      <c r="B4566" s="197">
        <v>6</v>
      </c>
      <c r="C4566" s="197">
        <v>25</v>
      </c>
      <c r="D4566" s="198">
        <f t="shared" si="437"/>
        <v>45468</v>
      </c>
      <c r="E4566" s="209">
        <f t="shared" ref="E4566:E4568" si="444">DATE(A4566,B4566,C4566)</f>
        <v>45468</v>
      </c>
      <c r="F4566" s="513" t="s">
        <v>1210</v>
      </c>
      <c r="G4566" s="200" t="s">
        <v>1209</v>
      </c>
      <c r="H4566" s="201"/>
      <c r="I4566" s="201" t="s">
        <v>1807</v>
      </c>
      <c r="J4566" s="197" t="s">
        <v>46</v>
      </c>
      <c r="K4566" s="202">
        <v>200000</v>
      </c>
      <c r="L4566" s="202"/>
    </row>
    <row r="4567" spans="1:12" ht="11.25" customHeight="1" x14ac:dyDescent="0.2">
      <c r="A4567" s="120">
        <v>2024</v>
      </c>
      <c r="B4567" s="120">
        <v>6</v>
      </c>
      <c r="C4567" s="120">
        <v>25</v>
      </c>
      <c r="D4567" s="208">
        <f t="shared" si="437"/>
        <v>45468</v>
      </c>
      <c r="E4567" s="209">
        <f t="shared" si="444"/>
        <v>45468</v>
      </c>
      <c r="F4567" s="515"/>
      <c r="G4567" s="132" t="s">
        <v>1209</v>
      </c>
      <c r="I4567" s="128" t="s">
        <v>1807</v>
      </c>
      <c r="J4567" s="120" t="s">
        <v>16</v>
      </c>
      <c r="K4567" s="207"/>
      <c r="L4567" s="207">
        <v>179340</v>
      </c>
    </row>
    <row r="4568" spans="1:12" ht="11.25" customHeight="1" x14ac:dyDescent="0.2">
      <c r="A4568" s="191">
        <v>2024</v>
      </c>
      <c r="B4568" s="191">
        <v>6</v>
      </c>
      <c r="C4568" s="191">
        <v>25</v>
      </c>
      <c r="D4568" s="192">
        <f t="shared" si="437"/>
        <v>45468</v>
      </c>
      <c r="E4568" s="193">
        <f t="shared" si="444"/>
        <v>45468</v>
      </c>
      <c r="F4568" s="514"/>
      <c r="G4568" s="194" t="s">
        <v>1209</v>
      </c>
      <c r="H4568" s="195"/>
      <c r="I4568" s="195" t="s">
        <v>1807</v>
      </c>
      <c r="J4568" s="191" t="s">
        <v>47</v>
      </c>
      <c r="K4568" s="196"/>
      <c r="L4568" s="196">
        <v>20660</v>
      </c>
    </row>
    <row r="4569" spans="1:12" ht="11.25" customHeight="1" x14ac:dyDescent="0.2">
      <c r="A4569" s="197">
        <v>2024</v>
      </c>
      <c r="B4569" s="197">
        <v>6</v>
      </c>
      <c r="C4569" s="197">
        <v>25</v>
      </c>
      <c r="D4569" s="198">
        <f t="shared" si="437"/>
        <v>45468</v>
      </c>
      <c r="E4569" s="209">
        <f t="shared" ref="E4569:E4571" si="445">DATE(A4569,B4569,C4569)</f>
        <v>45468</v>
      </c>
      <c r="F4569" s="513" t="s">
        <v>1210</v>
      </c>
      <c r="G4569" s="200" t="s">
        <v>1209</v>
      </c>
      <c r="H4569" s="201"/>
      <c r="I4569" s="201" t="s">
        <v>1318</v>
      </c>
      <c r="J4569" s="197" t="s">
        <v>46</v>
      </c>
      <c r="K4569" s="202">
        <v>400000</v>
      </c>
      <c r="L4569" s="202"/>
    </row>
    <row r="4570" spans="1:12" ht="11.25" customHeight="1" x14ac:dyDescent="0.2">
      <c r="A4570" s="120">
        <v>2024</v>
      </c>
      <c r="B4570" s="120">
        <v>6</v>
      </c>
      <c r="C4570" s="120">
        <v>25</v>
      </c>
      <c r="D4570" s="208">
        <f t="shared" si="437"/>
        <v>45468</v>
      </c>
      <c r="E4570" s="209">
        <f t="shared" si="445"/>
        <v>45468</v>
      </c>
      <c r="F4570" s="515"/>
      <c r="G4570" s="132" t="s">
        <v>1209</v>
      </c>
      <c r="I4570" s="128" t="s">
        <v>1318</v>
      </c>
      <c r="J4570" s="120" t="s">
        <v>16</v>
      </c>
      <c r="K4570" s="207"/>
      <c r="L4570" s="207">
        <v>358680</v>
      </c>
    </row>
    <row r="4571" spans="1:12" ht="11.25" customHeight="1" x14ac:dyDescent="0.2">
      <c r="A4571" s="191">
        <v>2024</v>
      </c>
      <c r="B4571" s="191">
        <v>6</v>
      </c>
      <c r="C4571" s="191">
        <v>25</v>
      </c>
      <c r="D4571" s="192">
        <f t="shared" si="437"/>
        <v>45468</v>
      </c>
      <c r="E4571" s="193">
        <f t="shared" si="445"/>
        <v>45468</v>
      </c>
      <c r="F4571" s="514"/>
      <c r="G4571" s="194" t="s">
        <v>1209</v>
      </c>
      <c r="H4571" s="195"/>
      <c r="I4571" s="195" t="s">
        <v>1318</v>
      </c>
      <c r="J4571" s="191" t="s">
        <v>47</v>
      </c>
      <c r="K4571" s="196"/>
      <c r="L4571" s="196">
        <v>41320</v>
      </c>
    </row>
    <row r="4572" spans="1:12" ht="11.25" customHeight="1" x14ac:dyDescent="0.2">
      <c r="A4572" s="197">
        <v>2024</v>
      </c>
      <c r="B4572" s="197">
        <v>6</v>
      </c>
      <c r="C4572" s="197">
        <v>25</v>
      </c>
      <c r="D4572" s="198">
        <f t="shared" si="437"/>
        <v>45468</v>
      </c>
      <c r="E4572" s="209">
        <f t="shared" ref="E4572:E4574" si="446">DATE(A4572,B4572,C4572)</f>
        <v>45468</v>
      </c>
      <c r="F4572" s="513" t="s">
        <v>1210</v>
      </c>
      <c r="G4572" s="200" t="s">
        <v>1209</v>
      </c>
      <c r="H4572" s="201"/>
      <c r="I4572" s="201" t="s">
        <v>410</v>
      </c>
      <c r="J4572" s="197" t="s">
        <v>46</v>
      </c>
      <c r="K4572" s="202">
        <v>100000</v>
      </c>
      <c r="L4572" s="202"/>
    </row>
    <row r="4573" spans="1:12" ht="11.25" customHeight="1" x14ac:dyDescent="0.2">
      <c r="A4573" s="120">
        <v>2024</v>
      </c>
      <c r="B4573" s="120">
        <v>6</v>
      </c>
      <c r="C4573" s="120">
        <v>25</v>
      </c>
      <c r="D4573" s="208">
        <f t="shared" si="437"/>
        <v>45468</v>
      </c>
      <c r="E4573" s="209">
        <f t="shared" si="446"/>
        <v>45468</v>
      </c>
      <c r="F4573" s="515"/>
      <c r="G4573" s="132" t="s">
        <v>1209</v>
      </c>
      <c r="I4573" s="128" t="s">
        <v>410</v>
      </c>
      <c r="J4573" s="120" t="s">
        <v>16</v>
      </c>
      <c r="K4573" s="207"/>
      <c r="L4573" s="207">
        <v>89670</v>
      </c>
    </row>
    <row r="4574" spans="1:12" ht="11.25" customHeight="1" x14ac:dyDescent="0.2">
      <c r="A4574" s="191">
        <v>2024</v>
      </c>
      <c r="B4574" s="191">
        <v>6</v>
      </c>
      <c r="C4574" s="191">
        <v>25</v>
      </c>
      <c r="D4574" s="192">
        <f t="shared" si="437"/>
        <v>45468</v>
      </c>
      <c r="E4574" s="193">
        <f t="shared" si="446"/>
        <v>45468</v>
      </c>
      <c r="F4574" s="514"/>
      <c r="G4574" s="194" t="s">
        <v>1209</v>
      </c>
      <c r="H4574" s="195"/>
      <c r="I4574" s="195" t="s">
        <v>410</v>
      </c>
      <c r="J4574" s="191" t="s">
        <v>47</v>
      </c>
      <c r="K4574" s="196"/>
      <c r="L4574" s="196">
        <v>10330</v>
      </c>
    </row>
    <row r="4575" spans="1:12" ht="11.25" customHeight="1" x14ac:dyDescent="0.2">
      <c r="A4575" s="197">
        <v>2024</v>
      </c>
      <c r="B4575" s="197">
        <v>6</v>
      </c>
      <c r="C4575" s="197">
        <v>25</v>
      </c>
      <c r="D4575" s="198">
        <f t="shared" si="437"/>
        <v>45468</v>
      </c>
      <c r="E4575" s="209">
        <f t="shared" ref="E4575:E4577" si="447">DATE(A4575,B4575,C4575)</f>
        <v>45468</v>
      </c>
      <c r="F4575" s="513" t="s">
        <v>1210</v>
      </c>
      <c r="G4575" s="200" t="s">
        <v>1209</v>
      </c>
      <c r="H4575" s="201"/>
      <c r="I4575" s="201" t="s">
        <v>1803</v>
      </c>
      <c r="J4575" s="197" t="s">
        <v>46</v>
      </c>
      <c r="K4575" s="202">
        <v>1950000</v>
      </c>
      <c r="L4575" s="202"/>
    </row>
    <row r="4576" spans="1:12" ht="11.25" customHeight="1" x14ac:dyDescent="0.2">
      <c r="A4576" s="120">
        <v>2024</v>
      </c>
      <c r="B4576" s="120">
        <v>6</v>
      </c>
      <c r="C4576" s="120">
        <v>25</v>
      </c>
      <c r="D4576" s="208">
        <f t="shared" si="437"/>
        <v>45468</v>
      </c>
      <c r="E4576" s="209">
        <f t="shared" si="447"/>
        <v>45468</v>
      </c>
      <c r="F4576" s="515"/>
      <c r="G4576" s="132" t="s">
        <v>1209</v>
      </c>
      <c r="I4576" s="128" t="s">
        <v>1803</v>
      </c>
      <c r="J4576" s="120" t="s">
        <v>16</v>
      </c>
      <c r="K4576" s="207"/>
      <c r="L4576" s="207">
        <v>1748570</v>
      </c>
    </row>
    <row r="4577" spans="1:15" ht="11.25" customHeight="1" x14ac:dyDescent="0.2">
      <c r="A4577" s="191">
        <v>2024</v>
      </c>
      <c r="B4577" s="191">
        <v>6</v>
      </c>
      <c r="C4577" s="191">
        <v>25</v>
      </c>
      <c r="D4577" s="192">
        <f t="shared" si="437"/>
        <v>45468</v>
      </c>
      <c r="E4577" s="193">
        <f t="shared" si="447"/>
        <v>45468</v>
      </c>
      <c r="F4577" s="514"/>
      <c r="G4577" s="194" t="s">
        <v>1209</v>
      </c>
      <c r="H4577" s="195"/>
      <c r="I4577" s="195" t="s">
        <v>1803</v>
      </c>
      <c r="J4577" s="191" t="s">
        <v>47</v>
      </c>
      <c r="K4577" s="196"/>
      <c r="L4577" s="196">
        <v>201430</v>
      </c>
    </row>
    <row r="4578" spans="1:15" ht="11.25" customHeight="1" x14ac:dyDescent="0.2">
      <c r="A4578" s="197">
        <v>2024</v>
      </c>
      <c r="B4578" s="197">
        <v>6</v>
      </c>
      <c r="C4578" s="197">
        <v>25</v>
      </c>
      <c r="D4578" s="198">
        <f t="shared" si="437"/>
        <v>45468</v>
      </c>
      <c r="E4578" s="209">
        <f t="shared" ref="E4578:E4593" si="448">DATE(A4578,B4578,C4578)</f>
        <v>45468</v>
      </c>
      <c r="F4578" s="513" t="s">
        <v>1210</v>
      </c>
      <c r="G4578" s="200" t="s">
        <v>1209</v>
      </c>
      <c r="H4578" s="201"/>
      <c r="I4578" s="201" t="s">
        <v>1800</v>
      </c>
      <c r="J4578" s="197" t="s">
        <v>46</v>
      </c>
      <c r="K4578" s="202">
        <v>300000</v>
      </c>
      <c r="L4578" s="202"/>
    </row>
    <row r="4579" spans="1:15" ht="11.25" customHeight="1" x14ac:dyDescent="0.2">
      <c r="A4579" s="120">
        <v>2024</v>
      </c>
      <c r="B4579" s="120">
        <v>6</v>
      </c>
      <c r="C4579" s="120">
        <v>25</v>
      </c>
      <c r="D4579" s="208">
        <f t="shared" si="437"/>
        <v>45468</v>
      </c>
      <c r="E4579" s="209">
        <f t="shared" si="448"/>
        <v>45468</v>
      </c>
      <c r="F4579" s="515"/>
      <c r="G4579" s="132" t="s">
        <v>1209</v>
      </c>
      <c r="I4579" s="128" t="s">
        <v>1800</v>
      </c>
      <c r="J4579" s="120" t="s">
        <v>16</v>
      </c>
      <c r="K4579" s="207"/>
      <c r="L4579" s="207">
        <v>269010</v>
      </c>
    </row>
    <row r="4580" spans="1:15" ht="11.25" customHeight="1" x14ac:dyDescent="0.2">
      <c r="A4580" s="191">
        <v>2024</v>
      </c>
      <c r="B4580" s="191">
        <v>6</v>
      </c>
      <c r="C4580" s="191">
        <v>25</v>
      </c>
      <c r="D4580" s="192">
        <f t="shared" si="437"/>
        <v>45468</v>
      </c>
      <c r="E4580" s="193">
        <f t="shared" si="448"/>
        <v>45468</v>
      </c>
      <c r="F4580" s="514"/>
      <c r="G4580" s="194" t="s">
        <v>1209</v>
      </c>
      <c r="H4580" s="195"/>
      <c r="I4580" s="195" t="s">
        <v>1800</v>
      </c>
      <c r="J4580" s="191" t="s">
        <v>47</v>
      </c>
      <c r="K4580" s="196"/>
      <c r="L4580" s="196">
        <v>30990</v>
      </c>
    </row>
    <row r="4581" spans="1:15" ht="11.25" customHeight="1" x14ac:dyDescent="0.2">
      <c r="A4581" s="197">
        <v>2024</v>
      </c>
      <c r="B4581" s="197">
        <v>6</v>
      </c>
      <c r="C4581" s="197">
        <v>25</v>
      </c>
      <c r="D4581" s="198">
        <f t="shared" si="437"/>
        <v>45468</v>
      </c>
      <c r="E4581" s="199">
        <f t="shared" si="448"/>
        <v>45468</v>
      </c>
      <c r="F4581" s="513" t="s">
        <v>1822</v>
      </c>
      <c r="G4581" s="200" t="s">
        <v>1209</v>
      </c>
      <c r="H4581" s="201"/>
      <c r="I4581" s="201" t="s">
        <v>1253</v>
      </c>
      <c r="J4581" s="197" t="s">
        <v>46</v>
      </c>
      <c r="K4581" s="202">
        <v>3943920</v>
      </c>
      <c r="L4581" s="202"/>
    </row>
    <row r="4582" spans="1:15" ht="11.25" customHeight="1" x14ac:dyDescent="0.2">
      <c r="A4582" s="120">
        <v>2024</v>
      </c>
      <c r="B4582" s="120">
        <v>6</v>
      </c>
      <c r="C4582" s="120">
        <v>25</v>
      </c>
      <c r="D4582" s="208">
        <f t="shared" si="437"/>
        <v>45468</v>
      </c>
      <c r="E4582" s="209">
        <f t="shared" si="448"/>
        <v>45468</v>
      </c>
      <c r="F4582" s="515"/>
      <c r="G4582" s="132" t="s">
        <v>1209</v>
      </c>
      <c r="J4582" s="120" t="s">
        <v>1462</v>
      </c>
      <c r="K4582" s="328"/>
      <c r="L4582" s="207">
        <v>54464</v>
      </c>
    </row>
    <row r="4583" spans="1:15" ht="11.25" customHeight="1" x14ac:dyDescent="0.2">
      <c r="A4583" s="191">
        <v>2024</v>
      </c>
      <c r="B4583" s="191">
        <v>6</v>
      </c>
      <c r="C4583" s="191">
        <v>25</v>
      </c>
      <c r="D4583" s="192">
        <f t="shared" si="437"/>
        <v>45468</v>
      </c>
      <c r="E4583" s="193">
        <f t="shared" si="448"/>
        <v>45468</v>
      </c>
      <c r="F4583" s="514"/>
      <c r="G4583" s="194" t="s">
        <v>1209</v>
      </c>
      <c r="H4583" s="195"/>
      <c r="I4583" s="195" t="s">
        <v>1253</v>
      </c>
      <c r="J4583" s="191" t="s">
        <v>1455</v>
      </c>
      <c r="K4583" s="196"/>
      <c r="L4583" s="196">
        <v>3889456</v>
      </c>
      <c r="N4583" s="130"/>
    </row>
    <row r="4584" spans="1:15" ht="11.25" customHeight="1" x14ac:dyDescent="0.2">
      <c r="A4584" s="197">
        <v>2024</v>
      </c>
      <c r="B4584" s="197">
        <v>6</v>
      </c>
      <c r="C4584" s="197">
        <v>25</v>
      </c>
      <c r="D4584" s="198">
        <f t="shared" si="437"/>
        <v>45468</v>
      </c>
      <c r="E4584" s="199">
        <f t="shared" ref="E4584:E4586" si="449">DATE(A4584,B4584,C4584)</f>
        <v>45468</v>
      </c>
      <c r="F4584" s="513" t="s">
        <v>1823</v>
      </c>
      <c r="G4584" s="200" t="s">
        <v>1209</v>
      </c>
      <c r="H4584" s="201"/>
      <c r="I4584" s="201" t="s">
        <v>1253</v>
      </c>
      <c r="J4584" s="197" t="s">
        <v>46</v>
      </c>
      <c r="K4584" s="202">
        <v>12759747</v>
      </c>
      <c r="L4584" s="202"/>
    </row>
    <row r="4585" spans="1:15" ht="11.25" customHeight="1" x14ac:dyDescent="0.2">
      <c r="A4585" s="120">
        <v>2024</v>
      </c>
      <c r="B4585" s="120">
        <v>6</v>
      </c>
      <c r="C4585" s="120">
        <v>25</v>
      </c>
      <c r="D4585" s="208">
        <f t="shared" si="437"/>
        <v>45468</v>
      </c>
      <c r="E4585" s="209">
        <f t="shared" si="449"/>
        <v>45468</v>
      </c>
      <c r="F4585" s="515"/>
      <c r="G4585" s="132" t="s">
        <v>1209</v>
      </c>
      <c r="J4585" s="120" t="s">
        <v>1462</v>
      </c>
      <c r="K4585" s="328"/>
      <c r="L4585" s="207">
        <v>126672</v>
      </c>
    </row>
    <row r="4586" spans="1:15" ht="11.25" customHeight="1" x14ac:dyDescent="0.2">
      <c r="A4586" s="191">
        <v>2024</v>
      </c>
      <c r="B4586" s="191">
        <v>6</v>
      </c>
      <c r="C4586" s="191">
        <v>25</v>
      </c>
      <c r="D4586" s="192">
        <f t="shared" si="437"/>
        <v>45468</v>
      </c>
      <c r="E4586" s="193">
        <f t="shared" si="449"/>
        <v>45468</v>
      </c>
      <c r="F4586" s="514"/>
      <c r="G4586" s="194" t="s">
        <v>1209</v>
      </c>
      <c r="H4586" s="195"/>
      <c r="I4586" s="195" t="s">
        <v>1253</v>
      </c>
      <c r="J4586" s="191" t="s">
        <v>1455</v>
      </c>
      <c r="K4586" s="196"/>
      <c r="L4586" s="196">
        <v>12633075</v>
      </c>
      <c r="N4586" s="130"/>
    </row>
    <row r="4587" spans="1:15" ht="11.25" customHeight="1" x14ac:dyDescent="0.2">
      <c r="A4587" s="197">
        <v>2024</v>
      </c>
      <c r="B4587" s="197">
        <v>6</v>
      </c>
      <c r="C4587" s="197">
        <v>25</v>
      </c>
      <c r="D4587" s="198">
        <f t="shared" si="437"/>
        <v>45468</v>
      </c>
      <c r="E4587" s="199">
        <f t="shared" ref="E4587:E4589" si="450">DATE(A4587,B4587,C4587)</f>
        <v>45468</v>
      </c>
      <c r="F4587" s="513" t="s">
        <v>1824</v>
      </c>
      <c r="G4587" s="200" t="s">
        <v>1209</v>
      </c>
      <c r="H4587" s="201"/>
      <c r="I4587" s="201" t="s">
        <v>1253</v>
      </c>
      <c r="J4587" s="197" t="s">
        <v>46</v>
      </c>
      <c r="K4587" s="202">
        <v>33293752</v>
      </c>
      <c r="L4587" s="202"/>
    </row>
    <row r="4588" spans="1:15" ht="11.25" customHeight="1" x14ac:dyDescent="0.2">
      <c r="A4588" s="120">
        <v>2024</v>
      </c>
      <c r="B4588" s="120">
        <v>6</v>
      </c>
      <c r="C4588" s="120">
        <v>25</v>
      </c>
      <c r="D4588" s="208">
        <f t="shared" si="437"/>
        <v>45468</v>
      </c>
      <c r="E4588" s="209">
        <f t="shared" si="450"/>
        <v>45468</v>
      </c>
      <c r="F4588" s="515"/>
      <c r="G4588" s="132" t="s">
        <v>1209</v>
      </c>
      <c r="J4588" s="120" t="s">
        <v>1462</v>
      </c>
      <c r="K4588" s="328"/>
      <c r="L4588" s="207">
        <v>253402</v>
      </c>
    </row>
    <row r="4589" spans="1:15" ht="11.25" customHeight="1" x14ac:dyDescent="0.2">
      <c r="A4589" s="191">
        <v>2024</v>
      </c>
      <c r="B4589" s="191">
        <v>6</v>
      </c>
      <c r="C4589" s="191">
        <v>25</v>
      </c>
      <c r="D4589" s="192">
        <f t="shared" si="437"/>
        <v>45468</v>
      </c>
      <c r="E4589" s="193">
        <f t="shared" si="450"/>
        <v>45468</v>
      </c>
      <c r="F4589" s="514"/>
      <c r="G4589" s="194" t="s">
        <v>1209</v>
      </c>
      <c r="H4589" s="195"/>
      <c r="I4589" s="195" t="s">
        <v>1253</v>
      </c>
      <c r="J4589" s="191" t="s">
        <v>1455</v>
      </c>
      <c r="K4589" s="196"/>
      <c r="L4589" s="196">
        <v>33040350</v>
      </c>
      <c r="N4589" s="130"/>
    </row>
    <row r="4590" spans="1:15" ht="10.9" customHeight="1" x14ac:dyDescent="0.2">
      <c r="A4590" s="197">
        <v>2024</v>
      </c>
      <c r="B4590" s="197">
        <v>6</v>
      </c>
      <c r="C4590" s="197">
        <v>26</v>
      </c>
      <c r="D4590" s="198">
        <f t="shared" si="437"/>
        <v>45469</v>
      </c>
      <c r="E4590" s="290">
        <f t="shared" si="448"/>
        <v>45469</v>
      </c>
      <c r="F4590" s="513" t="s">
        <v>1527</v>
      </c>
      <c r="G4590" s="200" t="s">
        <v>1209</v>
      </c>
      <c r="H4590" s="201"/>
      <c r="I4590" s="201"/>
      <c r="J4590" s="197" t="s">
        <v>54</v>
      </c>
      <c r="K4590" s="202">
        <v>60</v>
      </c>
      <c r="L4590" s="202"/>
      <c r="M4590" s="251"/>
      <c r="N4590" s="251"/>
      <c r="O4590" s="251"/>
    </row>
    <row r="4591" spans="1:15" ht="11.25" customHeight="1" x14ac:dyDescent="0.2">
      <c r="A4591" s="191">
        <v>2024</v>
      </c>
      <c r="B4591" s="191">
        <v>6</v>
      </c>
      <c r="C4591" s="191">
        <v>26</v>
      </c>
      <c r="D4591" s="192">
        <f t="shared" si="437"/>
        <v>45469</v>
      </c>
      <c r="E4591" s="291">
        <f t="shared" si="448"/>
        <v>45469</v>
      </c>
      <c r="F4591" s="514"/>
      <c r="G4591" s="194" t="s">
        <v>1209</v>
      </c>
      <c r="H4591" s="195"/>
      <c r="I4591" s="195"/>
      <c r="J4591" s="191" t="s">
        <v>46</v>
      </c>
      <c r="K4591" s="196"/>
      <c r="L4591" s="196">
        <v>60</v>
      </c>
      <c r="M4591" s="251"/>
      <c r="N4591" s="251"/>
      <c r="O4591" s="251"/>
    </row>
    <row r="4592" spans="1:15" ht="11.25" customHeight="1" x14ac:dyDescent="0.2">
      <c r="A4592" s="197">
        <v>2024</v>
      </c>
      <c r="B4592" s="197">
        <v>6</v>
      </c>
      <c r="C4592" s="197">
        <v>26</v>
      </c>
      <c r="D4592" s="198">
        <f t="shared" si="437"/>
        <v>45469</v>
      </c>
      <c r="E4592" s="290">
        <f t="shared" si="448"/>
        <v>45469</v>
      </c>
      <c r="F4592" s="513" t="s">
        <v>1514</v>
      </c>
      <c r="G4592" s="200" t="s">
        <v>1209</v>
      </c>
      <c r="H4592" s="201"/>
      <c r="I4592" s="201"/>
      <c r="J4592" s="197" t="s">
        <v>54</v>
      </c>
      <c r="K4592" s="202">
        <v>420</v>
      </c>
      <c r="L4592" s="202"/>
      <c r="M4592" s="251"/>
      <c r="N4592" s="251"/>
      <c r="O4592" s="251"/>
    </row>
    <row r="4593" spans="1:15" ht="11.25" customHeight="1" x14ac:dyDescent="0.2">
      <c r="A4593" s="191">
        <v>2024</v>
      </c>
      <c r="B4593" s="191">
        <v>6</v>
      </c>
      <c r="C4593" s="191">
        <v>26</v>
      </c>
      <c r="D4593" s="192">
        <f t="shared" si="437"/>
        <v>45469</v>
      </c>
      <c r="E4593" s="291">
        <f t="shared" si="448"/>
        <v>45469</v>
      </c>
      <c r="F4593" s="514"/>
      <c r="G4593" s="194" t="s">
        <v>1209</v>
      </c>
      <c r="H4593" s="195"/>
      <c r="I4593" s="195"/>
      <c r="J4593" s="191" t="s">
        <v>46</v>
      </c>
      <c r="K4593" s="196"/>
      <c r="L4593" s="196">
        <v>420</v>
      </c>
      <c r="M4593" s="251"/>
      <c r="N4593" s="251"/>
      <c r="O4593" s="251"/>
    </row>
    <row r="4594" spans="1:15" ht="11.25" customHeight="1" x14ac:dyDescent="0.2">
      <c r="A4594" s="197">
        <v>2024</v>
      </c>
      <c r="B4594" s="197">
        <v>6</v>
      </c>
      <c r="C4594" s="197">
        <v>26</v>
      </c>
      <c r="D4594" s="198">
        <f t="shared" si="437"/>
        <v>45469</v>
      </c>
      <c r="E4594" s="209">
        <f t="shared" ref="E4594:E4599" si="451">DATE(A4594,B4594,C4594)</f>
        <v>45469</v>
      </c>
      <c r="F4594" s="513" t="s">
        <v>1210</v>
      </c>
      <c r="G4594" s="200" t="s">
        <v>1209</v>
      </c>
      <c r="H4594" s="201"/>
      <c r="I4594" s="201" t="s">
        <v>1352</v>
      </c>
      <c r="J4594" s="197" t="s">
        <v>46</v>
      </c>
      <c r="K4594" s="202">
        <v>50000</v>
      </c>
      <c r="L4594" s="202"/>
    </row>
    <row r="4595" spans="1:15" ht="11.25" customHeight="1" x14ac:dyDescent="0.2">
      <c r="A4595" s="120">
        <v>2024</v>
      </c>
      <c r="B4595" s="120">
        <v>6</v>
      </c>
      <c r="C4595" s="120">
        <v>26</v>
      </c>
      <c r="D4595" s="208">
        <f t="shared" si="437"/>
        <v>45469</v>
      </c>
      <c r="E4595" s="209">
        <f t="shared" si="451"/>
        <v>45469</v>
      </c>
      <c r="F4595" s="515"/>
      <c r="G4595" s="132" t="s">
        <v>1209</v>
      </c>
      <c r="I4595" s="128" t="s">
        <v>1352</v>
      </c>
      <c r="J4595" s="120" t="s">
        <v>16</v>
      </c>
      <c r="K4595" s="207"/>
      <c r="L4595" s="207">
        <v>44840</v>
      </c>
    </row>
    <row r="4596" spans="1:15" ht="11.25" customHeight="1" x14ac:dyDescent="0.2">
      <c r="A4596" s="191">
        <v>2024</v>
      </c>
      <c r="B4596" s="191">
        <v>6</v>
      </c>
      <c r="C4596" s="191">
        <v>26</v>
      </c>
      <c r="D4596" s="192">
        <f t="shared" si="437"/>
        <v>45469</v>
      </c>
      <c r="E4596" s="193">
        <f t="shared" si="451"/>
        <v>45469</v>
      </c>
      <c r="F4596" s="514"/>
      <c r="G4596" s="194" t="s">
        <v>1209</v>
      </c>
      <c r="H4596" s="195"/>
      <c r="I4596" s="195" t="s">
        <v>1352</v>
      </c>
      <c r="J4596" s="191" t="s">
        <v>47</v>
      </c>
      <c r="K4596" s="196"/>
      <c r="L4596" s="196">
        <v>5160</v>
      </c>
    </row>
    <row r="4597" spans="1:15" ht="11.25" customHeight="1" x14ac:dyDescent="0.2">
      <c r="A4597" s="197">
        <v>2024</v>
      </c>
      <c r="B4597" s="197">
        <v>6</v>
      </c>
      <c r="C4597" s="197">
        <v>26</v>
      </c>
      <c r="D4597" s="198">
        <f t="shared" si="437"/>
        <v>45469</v>
      </c>
      <c r="E4597" s="209">
        <f t="shared" si="451"/>
        <v>45469</v>
      </c>
      <c r="F4597" s="513" t="s">
        <v>1280</v>
      </c>
      <c r="G4597" s="200" t="s">
        <v>1209</v>
      </c>
      <c r="H4597" s="201"/>
      <c r="I4597" s="201" t="s">
        <v>1218</v>
      </c>
      <c r="J4597" s="197" t="s">
        <v>16</v>
      </c>
      <c r="K4597" s="202">
        <v>44296990</v>
      </c>
      <c r="L4597" s="202"/>
    </row>
    <row r="4598" spans="1:15" ht="11.25" customHeight="1" x14ac:dyDescent="0.2">
      <c r="A4598" s="120">
        <v>2024</v>
      </c>
      <c r="B4598" s="120">
        <v>6</v>
      </c>
      <c r="C4598" s="120">
        <v>26</v>
      </c>
      <c r="D4598" s="208">
        <f t="shared" si="437"/>
        <v>45469</v>
      </c>
      <c r="E4598" s="209">
        <f t="shared" si="451"/>
        <v>45469</v>
      </c>
      <c r="F4598" s="515"/>
      <c r="G4598" s="132" t="s">
        <v>1209</v>
      </c>
      <c r="I4598" s="128" t="s">
        <v>1218</v>
      </c>
      <c r="J4598" s="120" t="s">
        <v>47</v>
      </c>
      <c r="K4598" s="207">
        <v>5103010</v>
      </c>
      <c r="L4598" s="207"/>
    </row>
    <row r="4599" spans="1:15" ht="11.25" customHeight="1" x14ac:dyDescent="0.2">
      <c r="A4599" s="191">
        <v>2024</v>
      </c>
      <c r="B4599" s="191">
        <v>6</v>
      </c>
      <c r="C4599" s="191">
        <v>26</v>
      </c>
      <c r="D4599" s="192">
        <f t="shared" si="437"/>
        <v>45469</v>
      </c>
      <c r="E4599" s="193">
        <f t="shared" si="451"/>
        <v>45469</v>
      </c>
      <c r="F4599" s="514"/>
      <c r="G4599" s="194" t="s">
        <v>1209</v>
      </c>
      <c r="H4599" s="195"/>
      <c r="I4599" s="195" t="s">
        <v>1218</v>
      </c>
      <c r="J4599" s="191" t="s">
        <v>46</v>
      </c>
      <c r="K4599" s="196"/>
      <c r="L4599" s="196">
        <v>49400000</v>
      </c>
    </row>
    <row r="4600" spans="1:15" ht="11.25" customHeight="1" x14ac:dyDescent="0.2">
      <c r="A4600" s="197">
        <v>2024</v>
      </c>
      <c r="B4600" s="197">
        <v>6</v>
      </c>
      <c r="C4600" s="197">
        <v>26</v>
      </c>
      <c r="D4600" s="198">
        <f t="shared" si="437"/>
        <v>45469</v>
      </c>
      <c r="E4600" s="209">
        <f t="shared" ref="E4600:E4602" si="452">DATE(A4600,B4600,C4600)</f>
        <v>45469</v>
      </c>
      <c r="F4600" s="513" t="s">
        <v>1210</v>
      </c>
      <c r="G4600" s="200" t="s">
        <v>1209</v>
      </c>
      <c r="H4600" s="201"/>
      <c r="I4600" s="201" t="s">
        <v>1352</v>
      </c>
      <c r="J4600" s="197" t="s">
        <v>46</v>
      </c>
      <c r="K4600" s="202">
        <v>300000</v>
      </c>
      <c r="L4600" s="202"/>
    </row>
    <row r="4601" spans="1:15" ht="11.25" customHeight="1" x14ac:dyDescent="0.2">
      <c r="A4601" s="120">
        <v>2024</v>
      </c>
      <c r="B4601" s="120">
        <v>6</v>
      </c>
      <c r="C4601" s="120">
        <v>26</v>
      </c>
      <c r="D4601" s="208">
        <f t="shared" si="437"/>
        <v>45469</v>
      </c>
      <c r="E4601" s="209">
        <f t="shared" si="452"/>
        <v>45469</v>
      </c>
      <c r="F4601" s="515"/>
      <c r="G4601" s="132" t="s">
        <v>1209</v>
      </c>
      <c r="I4601" s="128" t="s">
        <v>1352</v>
      </c>
      <c r="J4601" s="120" t="s">
        <v>16</v>
      </c>
      <c r="K4601" s="207"/>
      <c r="L4601" s="207">
        <v>269010</v>
      </c>
    </row>
    <row r="4602" spans="1:15" ht="11.25" customHeight="1" x14ac:dyDescent="0.2">
      <c r="A4602" s="191">
        <v>2024</v>
      </c>
      <c r="B4602" s="191">
        <v>6</v>
      </c>
      <c r="C4602" s="191">
        <v>26</v>
      </c>
      <c r="D4602" s="192">
        <f t="shared" si="437"/>
        <v>45469</v>
      </c>
      <c r="E4602" s="193">
        <f t="shared" si="452"/>
        <v>45469</v>
      </c>
      <c r="F4602" s="514"/>
      <c r="G4602" s="194" t="s">
        <v>1209</v>
      </c>
      <c r="H4602" s="195"/>
      <c r="I4602" s="195" t="s">
        <v>1352</v>
      </c>
      <c r="J4602" s="191" t="s">
        <v>47</v>
      </c>
      <c r="K4602" s="196"/>
      <c r="L4602" s="196">
        <v>30990</v>
      </c>
    </row>
    <row r="4603" spans="1:15" ht="11.25" customHeight="1" x14ac:dyDescent="0.2">
      <c r="A4603" s="197">
        <v>2024</v>
      </c>
      <c r="B4603" s="197">
        <v>6</v>
      </c>
      <c r="C4603" s="197">
        <v>26</v>
      </c>
      <c r="D4603" s="198">
        <f t="shared" si="437"/>
        <v>45469</v>
      </c>
      <c r="E4603" s="209">
        <f t="shared" ref="E4603:E4605" si="453">DATE(A4603,B4603,C4603)</f>
        <v>45469</v>
      </c>
      <c r="F4603" s="513" t="s">
        <v>1210</v>
      </c>
      <c r="G4603" s="200" t="s">
        <v>1209</v>
      </c>
      <c r="H4603" s="201"/>
      <c r="I4603" s="201" t="s">
        <v>1652</v>
      </c>
      <c r="J4603" s="197" t="s">
        <v>46</v>
      </c>
      <c r="K4603" s="202">
        <v>50000</v>
      </c>
      <c r="L4603" s="202"/>
    </row>
    <row r="4604" spans="1:15" ht="11.25" customHeight="1" x14ac:dyDescent="0.2">
      <c r="A4604" s="120">
        <v>2024</v>
      </c>
      <c r="B4604" s="120">
        <v>6</v>
      </c>
      <c r="C4604" s="120">
        <v>26</v>
      </c>
      <c r="D4604" s="208">
        <f t="shared" ref="D4604:D4667" si="454">DATE(A4604,B4604,C4604)</f>
        <v>45469</v>
      </c>
      <c r="E4604" s="209">
        <f t="shared" si="453"/>
        <v>45469</v>
      </c>
      <c r="F4604" s="515"/>
      <c r="G4604" s="132" t="s">
        <v>1209</v>
      </c>
      <c r="I4604" s="128" t="s">
        <v>1652</v>
      </c>
      <c r="J4604" s="120" t="s">
        <v>16</v>
      </c>
      <c r="K4604" s="207"/>
      <c r="L4604" s="207">
        <v>44840</v>
      </c>
    </row>
    <row r="4605" spans="1:15" ht="11.25" customHeight="1" x14ac:dyDescent="0.2">
      <c r="A4605" s="191">
        <v>2024</v>
      </c>
      <c r="B4605" s="191">
        <v>6</v>
      </c>
      <c r="C4605" s="191">
        <v>26</v>
      </c>
      <c r="D4605" s="192">
        <f t="shared" si="454"/>
        <v>45469</v>
      </c>
      <c r="E4605" s="193">
        <f t="shared" si="453"/>
        <v>45469</v>
      </c>
      <c r="F4605" s="514"/>
      <c r="G4605" s="194" t="s">
        <v>1209</v>
      </c>
      <c r="H4605" s="195"/>
      <c r="I4605" s="195" t="s">
        <v>1652</v>
      </c>
      <c r="J4605" s="191" t="s">
        <v>47</v>
      </c>
      <c r="K4605" s="196"/>
      <c r="L4605" s="196">
        <v>5160</v>
      </c>
    </row>
    <row r="4606" spans="1:15" ht="11.25" customHeight="1" x14ac:dyDescent="0.2">
      <c r="A4606" s="197">
        <v>2024</v>
      </c>
      <c r="B4606" s="197">
        <v>6</v>
      </c>
      <c r="C4606" s="197">
        <v>26</v>
      </c>
      <c r="D4606" s="198">
        <f t="shared" si="454"/>
        <v>45469</v>
      </c>
      <c r="E4606" s="209">
        <f t="shared" ref="E4606:E4608" si="455">DATE(A4606,B4606,C4606)</f>
        <v>45469</v>
      </c>
      <c r="F4606" s="513" t="s">
        <v>1210</v>
      </c>
      <c r="G4606" s="200" t="s">
        <v>1209</v>
      </c>
      <c r="H4606" s="201"/>
      <c r="I4606" s="201" t="s">
        <v>1808</v>
      </c>
      <c r="J4606" s="197" t="s">
        <v>46</v>
      </c>
      <c r="K4606" s="202">
        <v>350000</v>
      </c>
      <c r="L4606" s="202"/>
    </row>
    <row r="4607" spans="1:15" ht="11.25" customHeight="1" x14ac:dyDescent="0.2">
      <c r="A4607" s="120">
        <v>2024</v>
      </c>
      <c r="B4607" s="120">
        <v>6</v>
      </c>
      <c r="C4607" s="120">
        <v>26</v>
      </c>
      <c r="D4607" s="208">
        <f t="shared" si="454"/>
        <v>45469</v>
      </c>
      <c r="E4607" s="209">
        <f t="shared" si="455"/>
        <v>45469</v>
      </c>
      <c r="F4607" s="515"/>
      <c r="G4607" s="132" t="s">
        <v>1209</v>
      </c>
      <c r="I4607" s="128" t="s">
        <v>1808</v>
      </c>
      <c r="J4607" s="120" t="s">
        <v>16</v>
      </c>
      <c r="K4607" s="207"/>
      <c r="L4607" s="207">
        <v>313850</v>
      </c>
    </row>
    <row r="4608" spans="1:15" ht="11.25" customHeight="1" x14ac:dyDescent="0.2">
      <c r="A4608" s="191">
        <v>2024</v>
      </c>
      <c r="B4608" s="191">
        <v>6</v>
      </c>
      <c r="C4608" s="191">
        <v>26</v>
      </c>
      <c r="D4608" s="192">
        <f t="shared" si="454"/>
        <v>45469</v>
      </c>
      <c r="E4608" s="193">
        <f t="shared" si="455"/>
        <v>45469</v>
      </c>
      <c r="F4608" s="514"/>
      <c r="G4608" s="194" t="s">
        <v>1209</v>
      </c>
      <c r="H4608" s="195"/>
      <c r="I4608" s="195" t="s">
        <v>1808</v>
      </c>
      <c r="J4608" s="191" t="s">
        <v>47</v>
      </c>
      <c r="K4608" s="196"/>
      <c r="L4608" s="196">
        <v>36150</v>
      </c>
    </row>
    <row r="4609" spans="1:12" ht="11.25" customHeight="1" x14ac:dyDescent="0.2">
      <c r="A4609" s="197">
        <v>2024</v>
      </c>
      <c r="B4609" s="197">
        <v>6</v>
      </c>
      <c r="C4609" s="197">
        <v>26</v>
      </c>
      <c r="D4609" s="198">
        <f t="shared" si="454"/>
        <v>45469</v>
      </c>
      <c r="E4609" s="209">
        <f t="shared" ref="E4609:E4611" si="456">DATE(A4609,B4609,C4609)</f>
        <v>45469</v>
      </c>
      <c r="F4609" s="513" t="s">
        <v>1210</v>
      </c>
      <c r="G4609" s="200" t="s">
        <v>1209</v>
      </c>
      <c r="H4609" s="201"/>
      <c r="I4609" s="201" t="s">
        <v>1597</v>
      </c>
      <c r="J4609" s="197" t="s">
        <v>46</v>
      </c>
      <c r="K4609" s="202">
        <v>4200000</v>
      </c>
      <c r="L4609" s="202"/>
    </row>
    <row r="4610" spans="1:12" ht="11.25" customHeight="1" x14ac:dyDescent="0.2">
      <c r="A4610" s="120">
        <v>2024</v>
      </c>
      <c r="B4610" s="120">
        <v>6</v>
      </c>
      <c r="C4610" s="120">
        <v>26</v>
      </c>
      <c r="D4610" s="208">
        <f t="shared" si="454"/>
        <v>45469</v>
      </c>
      <c r="E4610" s="209">
        <f t="shared" si="456"/>
        <v>45469</v>
      </c>
      <c r="F4610" s="515"/>
      <c r="G4610" s="132" t="s">
        <v>1209</v>
      </c>
      <c r="I4610" s="128" t="s">
        <v>1597</v>
      </c>
      <c r="J4610" s="120" t="s">
        <v>16</v>
      </c>
      <c r="K4610" s="207"/>
      <c r="L4610" s="207">
        <v>3766140</v>
      </c>
    </row>
    <row r="4611" spans="1:12" ht="11.25" customHeight="1" x14ac:dyDescent="0.2">
      <c r="A4611" s="191">
        <v>2024</v>
      </c>
      <c r="B4611" s="191">
        <v>6</v>
      </c>
      <c r="C4611" s="191">
        <v>26</v>
      </c>
      <c r="D4611" s="192">
        <f t="shared" si="454"/>
        <v>45469</v>
      </c>
      <c r="E4611" s="193">
        <f t="shared" si="456"/>
        <v>45469</v>
      </c>
      <c r="F4611" s="514"/>
      <c r="G4611" s="194" t="s">
        <v>1209</v>
      </c>
      <c r="H4611" s="195"/>
      <c r="I4611" s="195" t="s">
        <v>1597</v>
      </c>
      <c r="J4611" s="191" t="s">
        <v>47</v>
      </c>
      <c r="K4611" s="196"/>
      <c r="L4611" s="196">
        <v>433860</v>
      </c>
    </row>
    <row r="4612" spans="1:12" ht="11.25" customHeight="1" x14ac:dyDescent="0.2">
      <c r="A4612" s="197">
        <v>2024</v>
      </c>
      <c r="B4612" s="197">
        <v>6</v>
      </c>
      <c r="C4612" s="197">
        <v>26</v>
      </c>
      <c r="D4612" s="198">
        <f t="shared" si="454"/>
        <v>45469</v>
      </c>
      <c r="E4612" s="209">
        <f t="shared" ref="E4612:E4614" si="457">DATE(A4612,B4612,C4612)</f>
        <v>45469</v>
      </c>
      <c r="F4612" s="513" t="s">
        <v>1210</v>
      </c>
      <c r="G4612" s="200" t="s">
        <v>1209</v>
      </c>
      <c r="H4612" s="201"/>
      <c r="I4612" s="201" t="s">
        <v>335</v>
      </c>
      <c r="J4612" s="197" t="s">
        <v>46</v>
      </c>
      <c r="K4612" s="202">
        <v>70000</v>
      </c>
      <c r="L4612" s="202"/>
    </row>
    <row r="4613" spans="1:12" ht="11.25" customHeight="1" x14ac:dyDescent="0.2">
      <c r="A4613" s="120">
        <v>2024</v>
      </c>
      <c r="B4613" s="120">
        <v>6</v>
      </c>
      <c r="C4613" s="120">
        <v>26</v>
      </c>
      <c r="D4613" s="208">
        <f t="shared" si="454"/>
        <v>45469</v>
      </c>
      <c r="E4613" s="209">
        <f t="shared" si="457"/>
        <v>45469</v>
      </c>
      <c r="F4613" s="515"/>
      <c r="G4613" s="132" t="s">
        <v>1209</v>
      </c>
      <c r="I4613" s="128" t="s">
        <v>335</v>
      </c>
      <c r="J4613" s="120" t="s">
        <v>16</v>
      </c>
      <c r="K4613" s="207"/>
      <c r="L4613" s="207">
        <v>62770</v>
      </c>
    </row>
    <row r="4614" spans="1:12" ht="11.25" customHeight="1" x14ac:dyDescent="0.2">
      <c r="A4614" s="191">
        <v>2024</v>
      </c>
      <c r="B4614" s="191">
        <v>6</v>
      </c>
      <c r="C4614" s="191">
        <v>26</v>
      </c>
      <c r="D4614" s="192">
        <f t="shared" si="454"/>
        <v>45469</v>
      </c>
      <c r="E4614" s="193">
        <f t="shared" si="457"/>
        <v>45469</v>
      </c>
      <c r="F4614" s="514"/>
      <c r="G4614" s="194" t="s">
        <v>1209</v>
      </c>
      <c r="H4614" s="195"/>
      <c r="I4614" s="195" t="s">
        <v>335</v>
      </c>
      <c r="J4614" s="191" t="s">
        <v>47</v>
      </c>
      <c r="K4614" s="196"/>
      <c r="L4614" s="196">
        <v>7230</v>
      </c>
    </row>
    <row r="4615" spans="1:12" ht="11.25" customHeight="1" x14ac:dyDescent="0.2">
      <c r="A4615" s="197">
        <v>2024</v>
      </c>
      <c r="B4615" s="197">
        <v>6</v>
      </c>
      <c r="C4615" s="197">
        <v>26</v>
      </c>
      <c r="D4615" s="198">
        <f t="shared" si="454"/>
        <v>45469</v>
      </c>
      <c r="E4615" s="209">
        <f t="shared" ref="E4615:E4617" si="458">DATE(A4615,B4615,C4615)</f>
        <v>45469</v>
      </c>
      <c r="F4615" s="513" t="s">
        <v>1210</v>
      </c>
      <c r="G4615" s="200" t="s">
        <v>1209</v>
      </c>
      <c r="H4615" s="201"/>
      <c r="I4615" s="201" t="s">
        <v>1809</v>
      </c>
      <c r="J4615" s="197" t="s">
        <v>46</v>
      </c>
      <c r="K4615" s="202">
        <v>200000</v>
      </c>
      <c r="L4615" s="202"/>
    </row>
    <row r="4616" spans="1:12" ht="11.25" customHeight="1" x14ac:dyDescent="0.2">
      <c r="A4616" s="120">
        <v>2024</v>
      </c>
      <c r="B4616" s="120">
        <v>6</v>
      </c>
      <c r="C4616" s="120">
        <v>26</v>
      </c>
      <c r="D4616" s="208">
        <f t="shared" si="454"/>
        <v>45469</v>
      </c>
      <c r="E4616" s="209">
        <f t="shared" si="458"/>
        <v>45469</v>
      </c>
      <c r="F4616" s="515"/>
      <c r="G4616" s="132" t="s">
        <v>1209</v>
      </c>
      <c r="I4616" s="128" t="s">
        <v>1809</v>
      </c>
      <c r="J4616" s="120" t="s">
        <v>16</v>
      </c>
      <c r="K4616" s="207"/>
      <c r="L4616" s="207">
        <v>179340</v>
      </c>
    </row>
    <row r="4617" spans="1:12" ht="11.25" customHeight="1" x14ac:dyDescent="0.2">
      <c r="A4617" s="191">
        <v>2024</v>
      </c>
      <c r="B4617" s="191">
        <v>6</v>
      </c>
      <c r="C4617" s="191">
        <v>26</v>
      </c>
      <c r="D4617" s="192">
        <f t="shared" si="454"/>
        <v>45469</v>
      </c>
      <c r="E4617" s="193">
        <f t="shared" si="458"/>
        <v>45469</v>
      </c>
      <c r="F4617" s="514"/>
      <c r="G4617" s="194" t="s">
        <v>1209</v>
      </c>
      <c r="H4617" s="195"/>
      <c r="I4617" s="195" t="s">
        <v>1809</v>
      </c>
      <c r="J4617" s="191" t="s">
        <v>47</v>
      </c>
      <c r="K4617" s="196"/>
      <c r="L4617" s="196">
        <v>20660</v>
      </c>
    </row>
    <row r="4618" spans="1:12" ht="11.25" customHeight="1" x14ac:dyDescent="0.2">
      <c r="A4618" s="197">
        <v>2024</v>
      </c>
      <c r="B4618" s="197">
        <v>6</v>
      </c>
      <c r="C4618" s="197">
        <v>26</v>
      </c>
      <c r="D4618" s="198">
        <f t="shared" si="454"/>
        <v>45469</v>
      </c>
      <c r="E4618" s="209">
        <f t="shared" ref="E4618:E4620" si="459">DATE(A4618,B4618,C4618)</f>
        <v>45469</v>
      </c>
      <c r="F4618" s="513" t="s">
        <v>1210</v>
      </c>
      <c r="G4618" s="200" t="s">
        <v>1209</v>
      </c>
      <c r="H4618" s="201"/>
      <c r="I4618" s="201" t="s">
        <v>1810</v>
      </c>
      <c r="J4618" s="197" t="s">
        <v>46</v>
      </c>
      <c r="K4618" s="202">
        <v>200000</v>
      </c>
      <c r="L4618" s="202"/>
    </row>
    <row r="4619" spans="1:12" ht="11.25" customHeight="1" x14ac:dyDescent="0.2">
      <c r="A4619" s="120">
        <v>2024</v>
      </c>
      <c r="B4619" s="120">
        <v>6</v>
      </c>
      <c r="C4619" s="120">
        <v>26</v>
      </c>
      <c r="D4619" s="208">
        <f t="shared" si="454"/>
        <v>45469</v>
      </c>
      <c r="E4619" s="209">
        <f t="shared" si="459"/>
        <v>45469</v>
      </c>
      <c r="F4619" s="515"/>
      <c r="G4619" s="132" t="s">
        <v>1209</v>
      </c>
      <c r="I4619" s="128" t="s">
        <v>1810</v>
      </c>
      <c r="J4619" s="120" t="s">
        <v>16</v>
      </c>
      <c r="K4619" s="207"/>
      <c r="L4619" s="207">
        <v>179340</v>
      </c>
    </row>
    <row r="4620" spans="1:12" ht="11.25" customHeight="1" x14ac:dyDescent="0.2">
      <c r="A4620" s="191">
        <v>2024</v>
      </c>
      <c r="B4620" s="191">
        <v>6</v>
      </c>
      <c r="C4620" s="191">
        <v>26</v>
      </c>
      <c r="D4620" s="192">
        <f t="shared" si="454"/>
        <v>45469</v>
      </c>
      <c r="E4620" s="193">
        <f t="shared" si="459"/>
        <v>45469</v>
      </c>
      <c r="F4620" s="514"/>
      <c r="G4620" s="194" t="s">
        <v>1209</v>
      </c>
      <c r="H4620" s="195"/>
      <c r="I4620" s="195" t="s">
        <v>1810</v>
      </c>
      <c r="J4620" s="191" t="s">
        <v>47</v>
      </c>
      <c r="K4620" s="196"/>
      <c r="L4620" s="196">
        <v>20660</v>
      </c>
    </row>
    <row r="4621" spans="1:12" ht="11.25" customHeight="1" x14ac:dyDescent="0.2">
      <c r="A4621" s="197">
        <v>2024</v>
      </c>
      <c r="B4621" s="197">
        <v>6</v>
      </c>
      <c r="C4621" s="197">
        <v>26</v>
      </c>
      <c r="D4621" s="198">
        <f t="shared" si="454"/>
        <v>45469</v>
      </c>
      <c r="E4621" s="209">
        <f t="shared" ref="E4621:E4623" si="460">DATE(A4621,B4621,C4621)</f>
        <v>45469</v>
      </c>
      <c r="F4621" s="513" t="s">
        <v>1210</v>
      </c>
      <c r="G4621" s="200" t="s">
        <v>1209</v>
      </c>
      <c r="H4621" s="201"/>
      <c r="I4621" s="201" t="s">
        <v>1811</v>
      </c>
      <c r="J4621" s="197" t="s">
        <v>46</v>
      </c>
      <c r="K4621" s="202">
        <v>250000</v>
      </c>
      <c r="L4621" s="202"/>
    </row>
    <row r="4622" spans="1:12" ht="11.25" customHeight="1" x14ac:dyDescent="0.2">
      <c r="A4622" s="120">
        <v>2024</v>
      </c>
      <c r="B4622" s="120">
        <v>6</v>
      </c>
      <c r="C4622" s="120">
        <v>26</v>
      </c>
      <c r="D4622" s="208">
        <f t="shared" si="454"/>
        <v>45469</v>
      </c>
      <c r="E4622" s="209">
        <f t="shared" si="460"/>
        <v>45469</v>
      </c>
      <c r="F4622" s="515"/>
      <c r="G4622" s="132" t="s">
        <v>1209</v>
      </c>
      <c r="I4622" s="128" t="s">
        <v>1811</v>
      </c>
      <c r="J4622" s="120" t="s">
        <v>16</v>
      </c>
      <c r="K4622" s="207"/>
      <c r="L4622" s="207">
        <v>224180</v>
      </c>
    </row>
    <row r="4623" spans="1:12" ht="11.25" customHeight="1" x14ac:dyDescent="0.2">
      <c r="A4623" s="191">
        <v>2024</v>
      </c>
      <c r="B4623" s="191">
        <v>6</v>
      </c>
      <c r="C4623" s="191">
        <v>26</v>
      </c>
      <c r="D4623" s="192">
        <f t="shared" si="454"/>
        <v>45469</v>
      </c>
      <c r="E4623" s="193">
        <f t="shared" si="460"/>
        <v>45469</v>
      </c>
      <c r="F4623" s="514"/>
      <c r="G4623" s="194" t="s">
        <v>1209</v>
      </c>
      <c r="H4623" s="195"/>
      <c r="I4623" s="195" t="s">
        <v>1811</v>
      </c>
      <c r="J4623" s="191" t="s">
        <v>47</v>
      </c>
      <c r="K4623" s="196"/>
      <c r="L4623" s="196">
        <v>25820</v>
      </c>
    </row>
    <row r="4624" spans="1:12" ht="11.25" customHeight="1" x14ac:dyDescent="0.2">
      <c r="A4624" s="197">
        <v>2024</v>
      </c>
      <c r="B4624" s="197">
        <v>6</v>
      </c>
      <c r="C4624" s="197">
        <v>26</v>
      </c>
      <c r="D4624" s="198">
        <f t="shared" si="454"/>
        <v>45469</v>
      </c>
      <c r="E4624" s="209">
        <f t="shared" ref="E4624:E4626" si="461">DATE(A4624,B4624,C4624)</f>
        <v>45469</v>
      </c>
      <c r="F4624" s="513" t="s">
        <v>1210</v>
      </c>
      <c r="G4624" s="200" t="s">
        <v>1209</v>
      </c>
      <c r="H4624" s="201"/>
      <c r="I4624" s="201" t="s">
        <v>1293</v>
      </c>
      <c r="J4624" s="197" t="s">
        <v>46</v>
      </c>
      <c r="K4624" s="202">
        <v>500000</v>
      </c>
      <c r="L4624" s="202"/>
    </row>
    <row r="4625" spans="1:12" ht="11.25" customHeight="1" x14ac:dyDescent="0.2">
      <c r="A4625" s="120">
        <v>2024</v>
      </c>
      <c r="B4625" s="120">
        <v>6</v>
      </c>
      <c r="C4625" s="120">
        <v>26</v>
      </c>
      <c r="D4625" s="208">
        <f t="shared" si="454"/>
        <v>45469</v>
      </c>
      <c r="E4625" s="209">
        <f t="shared" si="461"/>
        <v>45469</v>
      </c>
      <c r="F4625" s="515"/>
      <c r="G4625" s="132" t="s">
        <v>1209</v>
      </c>
      <c r="I4625" s="128" t="s">
        <v>1293</v>
      </c>
      <c r="J4625" s="120" t="s">
        <v>16</v>
      </c>
      <c r="K4625" s="207"/>
      <c r="L4625" s="207">
        <v>448350</v>
      </c>
    </row>
    <row r="4626" spans="1:12" ht="11.25" customHeight="1" x14ac:dyDescent="0.2">
      <c r="A4626" s="191">
        <v>2024</v>
      </c>
      <c r="B4626" s="191">
        <v>6</v>
      </c>
      <c r="C4626" s="191">
        <v>26</v>
      </c>
      <c r="D4626" s="192">
        <f t="shared" si="454"/>
        <v>45469</v>
      </c>
      <c r="E4626" s="193">
        <f t="shared" si="461"/>
        <v>45469</v>
      </c>
      <c r="F4626" s="514"/>
      <c r="G4626" s="194" t="s">
        <v>1209</v>
      </c>
      <c r="H4626" s="195"/>
      <c r="I4626" s="195" t="s">
        <v>1293</v>
      </c>
      <c r="J4626" s="191" t="s">
        <v>47</v>
      </c>
      <c r="K4626" s="196"/>
      <c r="L4626" s="196">
        <v>51650</v>
      </c>
    </row>
    <row r="4627" spans="1:12" ht="11.25" customHeight="1" x14ac:dyDescent="0.2">
      <c r="A4627" s="197">
        <v>2024</v>
      </c>
      <c r="B4627" s="197">
        <v>6</v>
      </c>
      <c r="C4627" s="197">
        <v>26</v>
      </c>
      <c r="D4627" s="198">
        <f t="shared" si="454"/>
        <v>45469</v>
      </c>
      <c r="E4627" s="209">
        <f t="shared" ref="E4627:E4629" si="462">DATE(A4627,B4627,C4627)</f>
        <v>45469</v>
      </c>
      <c r="F4627" s="513" t="s">
        <v>1210</v>
      </c>
      <c r="G4627" s="200" t="s">
        <v>1209</v>
      </c>
      <c r="H4627" s="201"/>
      <c r="I4627" s="201" t="s">
        <v>1218</v>
      </c>
      <c r="J4627" s="197" t="s">
        <v>46</v>
      </c>
      <c r="K4627" s="202">
        <v>49500000</v>
      </c>
      <c r="L4627" s="202"/>
    </row>
    <row r="4628" spans="1:12" ht="11.25" customHeight="1" x14ac:dyDescent="0.2">
      <c r="A4628" s="120">
        <v>2024</v>
      </c>
      <c r="B4628" s="120">
        <v>6</v>
      </c>
      <c r="C4628" s="120">
        <v>26</v>
      </c>
      <c r="D4628" s="208">
        <f t="shared" si="454"/>
        <v>45469</v>
      </c>
      <c r="E4628" s="209">
        <f t="shared" si="462"/>
        <v>45469</v>
      </c>
      <c r="F4628" s="515"/>
      <c r="G4628" s="132" t="s">
        <v>1209</v>
      </c>
      <c r="I4628" s="128" t="s">
        <v>1218</v>
      </c>
      <c r="J4628" s="120" t="s">
        <v>16</v>
      </c>
      <c r="K4628" s="207"/>
      <c r="L4628" s="207">
        <v>44386660</v>
      </c>
    </row>
    <row r="4629" spans="1:12" ht="11.25" customHeight="1" x14ac:dyDescent="0.2">
      <c r="A4629" s="191">
        <v>2024</v>
      </c>
      <c r="B4629" s="191">
        <v>6</v>
      </c>
      <c r="C4629" s="191">
        <v>26</v>
      </c>
      <c r="D4629" s="192">
        <f t="shared" si="454"/>
        <v>45469</v>
      </c>
      <c r="E4629" s="193">
        <f t="shared" si="462"/>
        <v>45469</v>
      </c>
      <c r="F4629" s="514"/>
      <c r="G4629" s="194" t="s">
        <v>1209</v>
      </c>
      <c r="H4629" s="195"/>
      <c r="I4629" s="195" t="s">
        <v>1218</v>
      </c>
      <c r="J4629" s="191" t="s">
        <v>47</v>
      </c>
      <c r="K4629" s="196"/>
      <c r="L4629" s="196">
        <v>5113340</v>
      </c>
    </row>
    <row r="4630" spans="1:12" ht="11.25" customHeight="1" x14ac:dyDescent="0.2">
      <c r="A4630" s="197">
        <v>2024</v>
      </c>
      <c r="B4630" s="197">
        <v>6</v>
      </c>
      <c r="C4630" s="197">
        <v>26</v>
      </c>
      <c r="D4630" s="198">
        <f t="shared" si="454"/>
        <v>45469</v>
      </c>
      <c r="E4630" s="209">
        <f t="shared" ref="E4630:E4632" si="463">DATE(A4630,B4630,C4630)</f>
        <v>45469</v>
      </c>
      <c r="F4630" s="513" t="s">
        <v>1210</v>
      </c>
      <c r="G4630" s="200" t="s">
        <v>1209</v>
      </c>
      <c r="H4630" s="201"/>
      <c r="I4630" s="201" t="s">
        <v>550</v>
      </c>
      <c r="J4630" s="197" t="s">
        <v>46</v>
      </c>
      <c r="K4630" s="202">
        <v>300000</v>
      </c>
      <c r="L4630" s="202"/>
    </row>
    <row r="4631" spans="1:12" ht="11.25" customHeight="1" x14ac:dyDescent="0.2">
      <c r="A4631" s="120">
        <v>2024</v>
      </c>
      <c r="B4631" s="120">
        <v>6</v>
      </c>
      <c r="C4631" s="120">
        <v>26</v>
      </c>
      <c r="D4631" s="208">
        <f t="shared" si="454"/>
        <v>45469</v>
      </c>
      <c r="E4631" s="209">
        <f t="shared" si="463"/>
        <v>45469</v>
      </c>
      <c r="F4631" s="515"/>
      <c r="G4631" s="132" t="s">
        <v>1209</v>
      </c>
      <c r="I4631" s="128" t="s">
        <v>550</v>
      </c>
      <c r="J4631" s="120" t="s">
        <v>16</v>
      </c>
      <c r="K4631" s="207"/>
      <c r="L4631" s="207">
        <v>269010</v>
      </c>
    </row>
    <row r="4632" spans="1:12" ht="11.25" customHeight="1" x14ac:dyDescent="0.2">
      <c r="A4632" s="191">
        <v>2024</v>
      </c>
      <c r="B4632" s="191">
        <v>6</v>
      </c>
      <c r="C4632" s="191">
        <v>26</v>
      </c>
      <c r="D4632" s="192">
        <f t="shared" si="454"/>
        <v>45469</v>
      </c>
      <c r="E4632" s="193">
        <f t="shared" si="463"/>
        <v>45469</v>
      </c>
      <c r="F4632" s="514"/>
      <c r="G4632" s="194" t="s">
        <v>1209</v>
      </c>
      <c r="H4632" s="195"/>
      <c r="I4632" s="195" t="s">
        <v>550</v>
      </c>
      <c r="J4632" s="191" t="s">
        <v>47</v>
      </c>
      <c r="K4632" s="196"/>
      <c r="L4632" s="196">
        <v>30990</v>
      </c>
    </row>
    <row r="4633" spans="1:12" ht="11.25" customHeight="1" x14ac:dyDescent="0.2">
      <c r="A4633" s="197">
        <v>2024</v>
      </c>
      <c r="B4633" s="197">
        <v>6</v>
      </c>
      <c r="C4633" s="197">
        <v>26</v>
      </c>
      <c r="D4633" s="198">
        <f t="shared" si="454"/>
        <v>45469</v>
      </c>
      <c r="E4633" s="209">
        <f t="shared" ref="E4633:E4635" si="464">DATE(A4633,B4633,C4633)</f>
        <v>45469</v>
      </c>
      <c r="F4633" s="513" t="s">
        <v>1210</v>
      </c>
      <c r="G4633" s="200" t="s">
        <v>1209</v>
      </c>
      <c r="H4633" s="201"/>
      <c r="I4633" s="201" t="s">
        <v>1812</v>
      </c>
      <c r="J4633" s="197" t="s">
        <v>46</v>
      </c>
      <c r="K4633" s="202">
        <v>500000</v>
      </c>
      <c r="L4633" s="202"/>
    </row>
    <row r="4634" spans="1:12" ht="11.25" customHeight="1" x14ac:dyDescent="0.2">
      <c r="A4634" s="120">
        <v>2024</v>
      </c>
      <c r="B4634" s="120">
        <v>6</v>
      </c>
      <c r="C4634" s="120">
        <v>26</v>
      </c>
      <c r="D4634" s="208">
        <f t="shared" si="454"/>
        <v>45469</v>
      </c>
      <c r="E4634" s="209">
        <f t="shared" si="464"/>
        <v>45469</v>
      </c>
      <c r="F4634" s="515"/>
      <c r="G4634" s="132" t="s">
        <v>1209</v>
      </c>
      <c r="I4634" s="128" t="s">
        <v>1812</v>
      </c>
      <c r="J4634" s="120" t="s">
        <v>16</v>
      </c>
      <c r="K4634" s="207"/>
      <c r="L4634" s="207">
        <v>448350</v>
      </c>
    </row>
    <row r="4635" spans="1:12" ht="11.25" customHeight="1" x14ac:dyDescent="0.2">
      <c r="A4635" s="191">
        <v>2024</v>
      </c>
      <c r="B4635" s="191">
        <v>6</v>
      </c>
      <c r="C4635" s="191">
        <v>26</v>
      </c>
      <c r="D4635" s="192">
        <f t="shared" si="454"/>
        <v>45469</v>
      </c>
      <c r="E4635" s="193">
        <f t="shared" si="464"/>
        <v>45469</v>
      </c>
      <c r="F4635" s="514"/>
      <c r="G4635" s="194" t="s">
        <v>1209</v>
      </c>
      <c r="H4635" s="195"/>
      <c r="I4635" s="195" t="s">
        <v>1812</v>
      </c>
      <c r="J4635" s="191" t="s">
        <v>47</v>
      </c>
      <c r="K4635" s="196"/>
      <c r="L4635" s="196">
        <v>51650</v>
      </c>
    </row>
    <row r="4636" spans="1:12" ht="11.25" customHeight="1" x14ac:dyDescent="0.2">
      <c r="A4636" s="197">
        <v>2024</v>
      </c>
      <c r="B4636" s="197">
        <v>6</v>
      </c>
      <c r="C4636" s="197">
        <v>26</v>
      </c>
      <c r="D4636" s="198">
        <f t="shared" si="454"/>
        <v>45469</v>
      </c>
      <c r="E4636" s="209">
        <f t="shared" ref="E4636:E4638" si="465">DATE(A4636,B4636,C4636)</f>
        <v>45469</v>
      </c>
      <c r="F4636" s="513" t="s">
        <v>1210</v>
      </c>
      <c r="G4636" s="200" t="s">
        <v>1209</v>
      </c>
      <c r="H4636" s="201"/>
      <c r="I4636" s="201" t="s">
        <v>1813</v>
      </c>
      <c r="J4636" s="197" t="s">
        <v>46</v>
      </c>
      <c r="K4636" s="202">
        <v>500000</v>
      </c>
      <c r="L4636" s="202"/>
    </row>
    <row r="4637" spans="1:12" ht="11.25" customHeight="1" x14ac:dyDescent="0.2">
      <c r="A4637" s="120">
        <v>2024</v>
      </c>
      <c r="B4637" s="120">
        <v>6</v>
      </c>
      <c r="C4637" s="120">
        <v>26</v>
      </c>
      <c r="D4637" s="208">
        <f t="shared" si="454"/>
        <v>45469</v>
      </c>
      <c r="E4637" s="209">
        <f t="shared" si="465"/>
        <v>45469</v>
      </c>
      <c r="F4637" s="515"/>
      <c r="G4637" s="132" t="s">
        <v>1209</v>
      </c>
      <c r="I4637" s="128" t="s">
        <v>1813</v>
      </c>
      <c r="J4637" s="120" t="s">
        <v>16</v>
      </c>
      <c r="K4637" s="207"/>
      <c r="L4637" s="207">
        <v>448350</v>
      </c>
    </row>
    <row r="4638" spans="1:12" ht="11.25" customHeight="1" x14ac:dyDescent="0.2">
      <c r="A4638" s="191">
        <v>2024</v>
      </c>
      <c r="B4638" s="191">
        <v>6</v>
      </c>
      <c r="C4638" s="191">
        <v>26</v>
      </c>
      <c r="D4638" s="192">
        <f t="shared" si="454"/>
        <v>45469</v>
      </c>
      <c r="E4638" s="193">
        <f t="shared" si="465"/>
        <v>45469</v>
      </c>
      <c r="F4638" s="514"/>
      <c r="G4638" s="194" t="s">
        <v>1209</v>
      </c>
      <c r="H4638" s="195"/>
      <c r="I4638" s="195" t="s">
        <v>1813</v>
      </c>
      <c r="J4638" s="191" t="s">
        <v>47</v>
      </c>
      <c r="K4638" s="196"/>
      <c r="L4638" s="196">
        <v>51650</v>
      </c>
    </row>
    <row r="4639" spans="1:12" ht="11.25" customHeight="1" x14ac:dyDescent="0.2">
      <c r="A4639" s="197">
        <v>2024</v>
      </c>
      <c r="B4639" s="197">
        <v>6</v>
      </c>
      <c r="C4639" s="197">
        <v>26</v>
      </c>
      <c r="D4639" s="198">
        <f t="shared" si="454"/>
        <v>45469</v>
      </c>
      <c r="E4639" s="209">
        <f t="shared" ref="E4639:E4641" si="466">DATE(A4639,B4639,C4639)</f>
        <v>45469</v>
      </c>
      <c r="F4639" s="513" t="s">
        <v>1210</v>
      </c>
      <c r="G4639" s="200" t="s">
        <v>1209</v>
      </c>
      <c r="H4639" s="201"/>
      <c r="I4639" s="201" t="s">
        <v>1814</v>
      </c>
      <c r="J4639" s="197" t="s">
        <v>46</v>
      </c>
      <c r="K4639" s="202">
        <v>500000</v>
      </c>
      <c r="L4639" s="202"/>
    </row>
    <row r="4640" spans="1:12" ht="11.25" customHeight="1" x14ac:dyDescent="0.2">
      <c r="A4640" s="120">
        <v>2024</v>
      </c>
      <c r="B4640" s="120">
        <v>6</v>
      </c>
      <c r="C4640" s="120">
        <v>26</v>
      </c>
      <c r="D4640" s="208">
        <f t="shared" si="454"/>
        <v>45469</v>
      </c>
      <c r="E4640" s="209">
        <f t="shared" si="466"/>
        <v>45469</v>
      </c>
      <c r="F4640" s="515"/>
      <c r="G4640" s="132" t="s">
        <v>1209</v>
      </c>
      <c r="I4640" s="128" t="s">
        <v>1814</v>
      </c>
      <c r="J4640" s="120" t="s">
        <v>16</v>
      </c>
      <c r="K4640" s="207"/>
      <c r="L4640" s="207">
        <v>448350</v>
      </c>
    </row>
    <row r="4641" spans="1:12" ht="11.25" customHeight="1" x14ac:dyDescent="0.2">
      <c r="A4641" s="191">
        <v>2024</v>
      </c>
      <c r="B4641" s="191">
        <v>6</v>
      </c>
      <c r="C4641" s="191">
        <v>26</v>
      </c>
      <c r="D4641" s="192">
        <f t="shared" si="454"/>
        <v>45469</v>
      </c>
      <c r="E4641" s="193">
        <f t="shared" si="466"/>
        <v>45469</v>
      </c>
      <c r="F4641" s="514"/>
      <c r="G4641" s="194" t="s">
        <v>1209</v>
      </c>
      <c r="H4641" s="195"/>
      <c r="I4641" s="195" t="s">
        <v>1814</v>
      </c>
      <c r="J4641" s="191" t="s">
        <v>47</v>
      </c>
      <c r="K4641" s="196"/>
      <c r="L4641" s="196">
        <v>51650</v>
      </c>
    </row>
    <row r="4642" spans="1:12" ht="11.25" customHeight="1" x14ac:dyDescent="0.2">
      <c r="A4642" s="197">
        <v>2024</v>
      </c>
      <c r="B4642" s="197">
        <v>6</v>
      </c>
      <c r="C4642" s="197">
        <v>26</v>
      </c>
      <c r="D4642" s="198">
        <f t="shared" si="454"/>
        <v>45469</v>
      </c>
      <c r="E4642" s="209">
        <f t="shared" ref="E4642:E4644" si="467">DATE(A4642,B4642,C4642)</f>
        <v>45469</v>
      </c>
      <c r="F4642" s="513" t="s">
        <v>1210</v>
      </c>
      <c r="G4642" s="200" t="s">
        <v>1209</v>
      </c>
      <c r="H4642" s="201"/>
      <c r="I4642" s="201" t="s">
        <v>1815</v>
      </c>
      <c r="J4642" s="197" t="s">
        <v>46</v>
      </c>
      <c r="K4642" s="202">
        <v>500000</v>
      </c>
      <c r="L4642" s="202"/>
    </row>
    <row r="4643" spans="1:12" ht="11.25" customHeight="1" x14ac:dyDescent="0.2">
      <c r="A4643" s="120">
        <v>2024</v>
      </c>
      <c r="B4643" s="120">
        <v>6</v>
      </c>
      <c r="C4643" s="120">
        <v>26</v>
      </c>
      <c r="D4643" s="208">
        <f t="shared" si="454"/>
        <v>45469</v>
      </c>
      <c r="E4643" s="209">
        <f t="shared" si="467"/>
        <v>45469</v>
      </c>
      <c r="F4643" s="515"/>
      <c r="G4643" s="132" t="s">
        <v>1209</v>
      </c>
      <c r="I4643" s="128" t="s">
        <v>1815</v>
      </c>
      <c r="J4643" s="120" t="s">
        <v>16</v>
      </c>
      <c r="K4643" s="207"/>
      <c r="L4643" s="207">
        <v>448350</v>
      </c>
    </row>
    <row r="4644" spans="1:12" ht="11.25" customHeight="1" x14ac:dyDescent="0.2">
      <c r="A4644" s="191">
        <v>2024</v>
      </c>
      <c r="B4644" s="191">
        <v>6</v>
      </c>
      <c r="C4644" s="191">
        <v>26</v>
      </c>
      <c r="D4644" s="192">
        <f t="shared" si="454"/>
        <v>45469</v>
      </c>
      <c r="E4644" s="193">
        <f t="shared" si="467"/>
        <v>45469</v>
      </c>
      <c r="F4644" s="514"/>
      <c r="G4644" s="194" t="s">
        <v>1209</v>
      </c>
      <c r="H4644" s="195"/>
      <c r="I4644" s="195" t="s">
        <v>1815</v>
      </c>
      <c r="J4644" s="191" t="s">
        <v>47</v>
      </c>
      <c r="K4644" s="196"/>
      <c r="L4644" s="196">
        <v>51650</v>
      </c>
    </row>
    <row r="4645" spans="1:12" ht="11.25" customHeight="1" x14ac:dyDescent="0.2">
      <c r="A4645" s="197">
        <v>2024</v>
      </c>
      <c r="B4645" s="197">
        <v>6</v>
      </c>
      <c r="C4645" s="197">
        <v>26</v>
      </c>
      <c r="D4645" s="198">
        <f t="shared" si="454"/>
        <v>45469</v>
      </c>
      <c r="E4645" s="209">
        <f t="shared" ref="E4645:E4647" si="468">DATE(A4645,B4645,C4645)</f>
        <v>45469</v>
      </c>
      <c r="F4645" s="513" t="s">
        <v>1210</v>
      </c>
      <c r="G4645" s="200" t="s">
        <v>1209</v>
      </c>
      <c r="H4645" s="201"/>
      <c r="I4645" s="201" t="s">
        <v>926</v>
      </c>
      <c r="J4645" s="197" t="s">
        <v>46</v>
      </c>
      <c r="K4645" s="202">
        <v>100000</v>
      </c>
      <c r="L4645" s="202"/>
    </row>
    <row r="4646" spans="1:12" ht="11.25" customHeight="1" x14ac:dyDescent="0.2">
      <c r="A4646" s="120">
        <v>2024</v>
      </c>
      <c r="B4646" s="120">
        <v>6</v>
      </c>
      <c r="C4646" s="120">
        <v>26</v>
      </c>
      <c r="D4646" s="208">
        <f t="shared" si="454"/>
        <v>45469</v>
      </c>
      <c r="E4646" s="209">
        <f t="shared" si="468"/>
        <v>45469</v>
      </c>
      <c r="F4646" s="515"/>
      <c r="G4646" s="132" t="s">
        <v>1209</v>
      </c>
      <c r="I4646" s="128" t="s">
        <v>926</v>
      </c>
      <c r="J4646" s="120" t="s">
        <v>16</v>
      </c>
      <c r="K4646" s="207"/>
      <c r="L4646" s="207">
        <v>89670</v>
      </c>
    </row>
    <row r="4647" spans="1:12" ht="11.25" customHeight="1" x14ac:dyDescent="0.2">
      <c r="A4647" s="191">
        <v>2024</v>
      </c>
      <c r="B4647" s="191">
        <v>6</v>
      </c>
      <c r="C4647" s="191">
        <v>26</v>
      </c>
      <c r="D4647" s="192">
        <f t="shared" si="454"/>
        <v>45469</v>
      </c>
      <c r="E4647" s="193">
        <f t="shared" si="468"/>
        <v>45469</v>
      </c>
      <c r="F4647" s="514"/>
      <c r="G4647" s="194" t="s">
        <v>1209</v>
      </c>
      <c r="H4647" s="195"/>
      <c r="I4647" s="195" t="s">
        <v>926</v>
      </c>
      <c r="J4647" s="191" t="s">
        <v>47</v>
      </c>
      <c r="K4647" s="196"/>
      <c r="L4647" s="196">
        <v>10330</v>
      </c>
    </row>
    <row r="4648" spans="1:12" ht="11.25" customHeight="1" x14ac:dyDescent="0.2">
      <c r="A4648" s="197">
        <v>2024</v>
      </c>
      <c r="B4648" s="197">
        <v>6</v>
      </c>
      <c r="C4648" s="197">
        <v>26</v>
      </c>
      <c r="D4648" s="198">
        <f t="shared" si="454"/>
        <v>45469</v>
      </c>
      <c r="E4648" s="209">
        <f t="shared" ref="E4648:E4650" si="469">DATE(A4648,B4648,C4648)</f>
        <v>45469</v>
      </c>
      <c r="F4648" s="513" t="s">
        <v>1210</v>
      </c>
      <c r="G4648" s="200" t="s">
        <v>1209</v>
      </c>
      <c r="H4648" s="201"/>
      <c r="I4648" s="201" t="s">
        <v>1816</v>
      </c>
      <c r="J4648" s="197" t="s">
        <v>46</v>
      </c>
      <c r="K4648" s="202">
        <v>230000</v>
      </c>
      <c r="L4648" s="202"/>
    </row>
    <row r="4649" spans="1:12" ht="11.25" customHeight="1" x14ac:dyDescent="0.2">
      <c r="A4649" s="120">
        <v>2024</v>
      </c>
      <c r="B4649" s="120">
        <v>6</v>
      </c>
      <c r="C4649" s="120">
        <v>26</v>
      </c>
      <c r="D4649" s="208">
        <f t="shared" si="454"/>
        <v>45469</v>
      </c>
      <c r="E4649" s="209">
        <f t="shared" si="469"/>
        <v>45469</v>
      </c>
      <c r="F4649" s="515"/>
      <c r="G4649" s="132" t="s">
        <v>1209</v>
      </c>
      <c r="I4649" s="128" t="s">
        <v>1816</v>
      </c>
      <c r="J4649" s="120" t="s">
        <v>16</v>
      </c>
      <c r="K4649" s="207"/>
      <c r="L4649" s="207">
        <v>206240</v>
      </c>
    </row>
    <row r="4650" spans="1:12" ht="11.25" customHeight="1" x14ac:dyDescent="0.2">
      <c r="A4650" s="191">
        <v>2024</v>
      </c>
      <c r="B4650" s="191">
        <v>6</v>
      </c>
      <c r="C4650" s="191">
        <v>26</v>
      </c>
      <c r="D4650" s="192">
        <f t="shared" si="454"/>
        <v>45469</v>
      </c>
      <c r="E4650" s="193">
        <f t="shared" si="469"/>
        <v>45469</v>
      </c>
      <c r="F4650" s="514"/>
      <c r="G4650" s="194" t="s">
        <v>1209</v>
      </c>
      <c r="H4650" s="195"/>
      <c r="I4650" s="195" t="s">
        <v>1816</v>
      </c>
      <c r="J4650" s="191" t="s">
        <v>47</v>
      </c>
      <c r="K4650" s="196"/>
      <c r="L4650" s="196">
        <v>23760</v>
      </c>
    </row>
    <row r="4651" spans="1:12" ht="11.25" customHeight="1" x14ac:dyDescent="0.2">
      <c r="A4651" s="197">
        <v>2024</v>
      </c>
      <c r="B4651" s="197">
        <v>6</v>
      </c>
      <c r="C4651" s="197">
        <v>26</v>
      </c>
      <c r="D4651" s="198">
        <f t="shared" si="454"/>
        <v>45469</v>
      </c>
      <c r="E4651" s="209">
        <f t="shared" ref="E4651:E4653" si="470">DATE(A4651,B4651,C4651)</f>
        <v>45469</v>
      </c>
      <c r="F4651" s="513" t="s">
        <v>1210</v>
      </c>
      <c r="G4651" s="200" t="s">
        <v>1209</v>
      </c>
      <c r="H4651" s="201"/>
      <c r="I4651" s="201" t="s">
        <v>1804</v>
      </c>
      <c r="J4651" s="197" t="s">
        <v>46</v>
      </c>
      <c r="K4651" s="202">
        <v>380000</v>
      </c>
      <c r="L4651" s="202"/>
    </row>
    <row r="4652" spans="1:12" ht="11.25" customHeight="1" x14ac:dyDescent="0.2">
      <c r="A4652" s="120">
        <v>2024</v>
      </c>
      <c r="B4652" s="120">
        <v>6</v>
      </c>
      <c r="C4652" s="120">
        <v>26</v>
      </c>
      <c r="D4652" s="208">
        <f t="shared" si="454"/>
        <v>45469</v>
      </c>
      <c r="E4652" s="209">
        <f t="shared" si="470"/>
        <v>45469</v>
      </c>
      <c r="F4652" s="515"/>
      <c r="G4652" s="132" t="s">
        <v>1209</v>
      </c>
      <c r="I4652" s="128" t="s">
        <v>1804</v>
      </c>
      <c r="J4652" s="120" t="s">
        <v>16</v>
      </c>
      <c r="K4652" s="207"/>
      <c r="L4652" s="207">
        <v>340750</v>
      </c>
    </row>
    <row r="4653" spans="1:12" ht="11.25" customHeight="1" x14ac:dyDescent="0.2">
      <c r="A4653" s="191">
        <v>2024</v>
      </c>
      <c r="B4653" s="191">
        <v>6</v>
      </c>
      <c r="C4653" s="191">
        <v>26</v>
      </c>
      <c r="D4653" s="192">
        <f t="shared" si="454"/>
        <v>45469</v>
      </c>
      <c r="E4653" s="193">
        <f t="shared" si="470"/>
        <v>45469</v>
      </c>
      <c r="F4653" s="514"/>
      <c r="G4653" s="194" t="s">
        <v>1209</v>
      </c>
      <c r="H4653" s="195"/>
      <c r="I4653" s="195" t="s">
        <v>1804</v>
      </c>
      <c r="J4653" s="191" t="s">
        <v>47</v>
      </c>
      <c r="K4653" s="196"/>
      <c r="L4653" s="196">
        <v>39250</v>
      </c>
    </row>
    <row r="4654" spans="1:12" ht="11.25" customHeight="1" x14ac:dyDescent="0.2">
      <c r="A4654" s="197">
        <v>2024</v>
      </c>
      <c r="B4654" s="197">
        <v>6</v>
      </c>
      <c r="C4654" s="197">
        <v>26</v>
      </c>
      <c r="D4654" s="198">
        <f t="shared" si="454"/>
        <v>45469</v>
      </c>
      <c r="E4654" s="209">
        <f t="shared" ref="E4654:E4659" si="471">DATE(A4654,B4654,C4654)</f>
        <v>45469</v>
      </c>
      <c r="F4654" s="513" t="s">
        <v>1210</v>
      </c>
      <c r="G4654" s="200" t="s">
        <v>1209</v>
      </c>
      <c r="H4654" s="201"/>
      <c r="I4654" s="201" t="s">
        <v>1817</v>
      </c>
      <c r="J4654" s="197" t="s">
        <v>46</v>
      </c>
      <c r="K4654" s="202">
        <v>160000</v>
      </c>
      <c r="L4654" s="202"/>
    </row>
    <row r="4655" spans="1:12" ht="11.25" customHeight="1" x14ac:dyDescent="0.2">
      <c r="A4655" s="120">
        <v>2024</v>
      </c>
      <c r="B4655" s="120">
        <v>6</v>
      </c>
      <c r="C4655" s="120">
        <v>26</v>
      </c>
      <c r="D4655" s="208">
        <f t="shared" si="454"/>
        <v>45469</v>
      </c>
      <c r="E4655" s="209">
        <f t="shared" si="471"/>
        <v>45469</v>
      </c>
      <c r="F4655" s="515"/>
      <c r="G4655" s="132" t="s">
        <v>1209</v>
      </c>
      <c r="I4655" s="128" t="s">
        <v>1817</v>
      </c>
      <c r="J4655" s="120" t="s">
        <v>16</v>
      </c>
      <c r="K4655" s="207"/>
      <c r="L4655" s="207">
        <v>143470</v>
      </c>
    </row>
    <row r="4656" spans="1:12" ht="11.25" customHeight="1" x14ac:dyDescent="0.2">
      <c r="A4656" s="191">
        <v>2024</v>
      </c>
      <c r="B4656" s="191">
        <v>6</v>
      </c>
      <c r="C4656" s="191">
        <v>26</v>
      </c>
      <c r="D4656" s="192">
        <f t="shared" si="454"/>
        <v>45469</v>
      </c>
      <c r="E4656" s="193">
        <f t="shared" si="471"/>
        <v>45469</v>
      </c>
      <c r="F4656" s="514"/>
      <c r="G4656" s="194" t="s">
        <v>1209</v>
      </c>
      <c r="H4656" s="195"/>
      <c r="I4656" s="195" t="s">
        <v>1817</v>
      </c>
      <c r="J4656" s="191" t="s">
        <v>47</v>
      </c>
      <c r="K4656" s="196"/>
      <c r="L4656" s="196">
        <v>16530</v>
      </c>
    </row>
    <row r="4657" spans="1:12" ht="11.25" customHeight="1" x14ac:dyDescent="0.2">
      <c r="A4657" s="197">
        <v>2024</v>
      </c>
      <c r="B4657" s="197">
        <v>6</v>
      </c>
      <c r="C4657" s="197">
        <v>26</v>
      </c>
      <c r="D4657" s="198">
        <f t="shared" si="454"/>
        <v>45469</v>
      </c>
      <c r="E4657" s="209">
        <f t="shared" si="471"/>
        <v>45469</v>
      </c>
      <c r="F4657" s="513" t="s">
        <v>1296</v>
      </c>
      <c r="G4657" s="200" t="s">
        <v>1209</v>
      </c>
      <c r="H4657" s="201"/>
      <c r="I4657" s="201"/>
      <c r="J4657" s="197" t="s">
        <v>46</v>
      </c>
      <c r="K4657" s="202">
        <v>283500</v>
      </c>
      <c r="L4657" s="202"/>
    </row>
    <row r="4658" spans="1:12" ht="11.25" customHeight="1" x14ac:dyDescent="0.2">
      <c r="A4658" s="120">
        <v>2024</v>
      </c>
      <c r="B4658" s="120">
        <v>6</v>
      </c>
      <c r="C4658" s="120">
        <v>26</v>
      </c>
      <c r="D4658" s="208">
        <f t="shared" si="454"/>
        <v>45469</v>
      </c>
      <c r="E4658" s="209">
        <f t="shared" si="471"/>
        <v>45469</v>
      </c>
      <c r="F4658" s="515"/>
      <c r="G4658" s="132" t="s">
        <v>1209</v>
      </c>
      <c r="J4658" s="120" t="s">
        <v>16</v>
      </c>
      <c r="K4658" s="207"/>
      <c r="L4658" s="207">
        <v>254180</v>
      </c>
    </row>
    <row r="4659" spans="1:12" ht="11.25" customHeight="1" x14ac:dyDescent="0.2">
      <c r="A4659" s="191">
        <v>2024</v>
      </c>
      <c r="B4659" s="191">
        <v>6</v>
      </c>
      <c r="C4659" s="191">
        <v>26</v>
      </c>
      <c r="D4659" s="192">
        <f t="shared" si="454"/>
        <v>45469</v>
      </c>
      <c r="E4659" s="193">
        <f t="shared" si="471"/>
        <v>45469</v>
      </c>
      <c r="F4659" s="514"/>
      <c r="G4659" s="194" t="s">
        <v>1209</v>
      </c>
      <c r="H4659" s="195"/>
      <c r="I4659" s="195"/>
      <c r="J4659" s="191" t="s">
        <v>47</v>
      </c>
      <c r="K4659" s="196"/>
      <c r="L4659" s="196">
        <v>29320</v>
      </c>
    </row>
    <row r="4660" spans="1:12" ht="11.25" customHeight="1" x14ac:dyDescent="0.2">
      <c r="A4660" s="197">
        <v>2024</v>
      </c>
      <c r="B4660" s="197">
        <v>6</v>
      </c>
      <c r="C4660" s="197">
        <v>27</v>
      </c>
      <c r="D4660" s="198">
        <f t="shared" si="454"/>
        <v>45470</v>
      </c>
      <c r="E4660" s="209">
        <f t="shared" ref="E4660:E4662" si="472">DATE(A4660,B4660,C4660)</f>
        <v>45470</v>
      </c>
      <c r="F4660" s="513" t="s">
        <v>1210</v>
      </c>
      <c r="G4660" s="200" t="s">
        <v>1209</v>
      </c>
      <c r="H4660" s="201"/>
      <c r="I4660" s="201" t="s">
        <v>349</v>
      </c>
      <c r="J4660" s="197" t="s">
        <v>46</v>
      </c>
      <c r="K4660" s="202">
        <v>100000</v>
      </c>
      <c r="L4660" s="202"/>
    </row>
    <row r="4661" spans="1:12" ht="11.25" customHeight="1" x14ac:dyDescent="0.2">
      <c r="A4661" s="120">
        <v>2024</v>
      </c>
      <c r="B4661" s="120">
        <v>6</v>
      </c>
      <c r="C4661" s="120">
        <v>27</v>
      </c>
      <c r="D4661" s="208">
        <f t="shared" si="454"/>
        <v>45470</v>
      </c>
      <c r="E4661" s="209">
        <f t="shared" si="472"/>
        <v>45470</v>
      </c>
      <c r="F4661" s="515"/>
      <c r="G4661" s="132" t="s">
        <v>1209</v>
      </c>
      <c r="I4661" s="128" t="s">
        <v>349</v>
      </c>
      <c r="J4661" s="120" t="s">
        <v>16</v>
      </c>
      <c r="K4661" s="207"/>
      <c r="L4661" s="207">
        <v>89670</v>
      </c>
    </row>
    <row r="4662" spans="1:12" ht="11.25" customHeight="1" x14ac:dyDescent="0.2">
      <c r="A4662" s="191">
        <v>2024</v>
      </c>
      <c r="B4662" s="191">
        <v>6</v>
      </c>
      <c r="C4662" s="191">
        <v>27</v>
      </c>
      <c r="D4662" s="192">
        <f t="shared" si="454"/>
        <v>45470</v>
      </c>
      <c r="E4662" s="193">
        <f t="shared" si="472"/>
        <v>45470</v>
      </c>
      <c r="F4662" s="514"/>
      <c r="G4662" s="194" t="s">
        <v>1209</v>
      </c>
      <c r="H4662" s="195"/>
      <c r="I4662" s="195" t="s">
        <v>349</v>
      </c>
      <c r="J4662" s="191" t="s">
        <v>47</v>
      </c>
      <c r="K4662" s="196"/>
      <c r="L4662" s="196">
        <v>10330</v>
      </c>
    </row>
    <row r="4663" spans="1:12" ht="11.25" customHeight="1" x14ac:dyDescent="0.2">
      <c r="A4663" s="197">
        <v>2024</v>
      </c>
      <c r="B4663" s="197">
        <v>6</v>
      </c>
      <c r="C4663" s="197">
        <v>27</v>
      </c>
      <c r="D4663" s="198">
        <f t="shared" si="454"/>
        <v>45470</v>
      </c>
      <c r="E4663" s="209">
        <f t="shared" ref="E4663:E4668" si="473">DATE(A4663,B4663,C4663)</f>
        <v>45470</v>
      </c>
      <c r="F4663" s="513" t="s">
        <v>1210</v>
      </c>
      <c r="G4663" s="200" t="s">
        <v>1209</v>
      </c>
      <c r="H4663" s="201"/>
      <c r="I4663" s="201" t="s">
        <v>1139</v>
      </c>
      <c r="J4663" s="197" t="s">
        <v>46</v>
      </c>
      <c r="K4663" s="202">
        <v>198000</v>
      </c>
      <c r="L4663" s="202"/>
    </row>
    <row r="4664" spans="1:12" ht="11.25" customHeight="1" x14ac:dyDescent="0.2">
      <c r="A4664" s="120">
        <v>2024</v>
      </c>
      <c r="B4664" s="120">
        <v>6</v>
      </c>
      <c r="C4664" s="120">
        <v>27</v>
      </c>
      <c r="D4664" s="208">
        <f t="shared" si="454"/>
        <v>45470</v>
      </c>
      <c r="E4664" s="209">
        <f t="shared" si="473"/>
        <v>45470</v>
      </c>
      <c r="F4664" s="515"/>
      <c r="G4664" s="132" t="s">
        <v>1209</v>
      </c>
      <c r="I4664" s="128" t="s">
        <v>1139</v>
      </c>
      <c r="J4664" s="120" t="s">
        <v>16</v>
      </c>
      <c r="K4664" s="207"/>
      <c r="L4664" s="207">
        <v>177550</v>
      </c>
    </row>
    <row r="4665" spans="1:12" ht="11.25" customHeight="1" x14ac:dyDescent="0.2">
      <c r="A4665" s="191">
        <v>2024</v>
      </c>
      <c r="B4665" s="191">
        <v>6</v>
      </c>
      <c r="C4665" s="191">
        <v>27</v>
      </c>
      <c r="D4665" s="192">
        <f t="shared" si="454"/>
        <v>45470</v>
      </c>
      <c r="E4665" s="193">
        <f t="shared" si="473"/>
        <v>45470</v>
      </c>
      <c r="F4665" s="514"/>
      <c r="G4665" s="194" t="s">
        <v>1209</v>
      </c>
      <c r="H4665" s="195"/>
      <c r="I4665" s="195" t="s">
        <v>1139</v>
      </c>
      <c r="J4665" s="191" t="s">
        <v>47</v>
      </c>
      <c r="K4665" s="196"/>
      <c r="L4665" s="196">
        <v>20450</v>
      </c>
    </row>
    <row r="4666" spans="1:12" ht="11.25" customHeight="1" x14ac:dyDescent="0.2">
      <c r="A4666" s="197">
        <v>2024</v>
      </c>
      <c r="B4666" s="197">
        <v>6</v>
      </c>
      <c r="C4666" s="197">
        <v>27</v>
      </c>
      <c r="D4666" s="198">
        <f t="shared" si="454"/>
        <v>45470</v>
      </c>
      <c r="E4666" s="209">
        <f t="shared" si="473"/>
        <v>45470</v>
      </c>
      <c r="F4666" s="513" t="s">
        <v>1210</v>
      </c>
      <c r="G4666" s="200" t="s">
        <v>1209</v>
      </c>
      <c r="H4666" s="201"/>
      <c r="I4666" s="201" t="s">
        <v>1491</v>
      </c>
      <c r="J4666" s="197" t="s">
        <v>46</v>
      </c>
      <c r="K4666" s="202">
        <v>2000</v>
      </c>
      <c r="L4666" s="202"/>
    </row>
    <row r="4667" spans="1:12" ht="11.25" customHeight="1" x14ac:dyDescent="0.2">
      <c r="A4667" s="120">
        <v>2024</v>
      </c>
      <c r="B4667" s="120">
        <v>6</v>
      </c>
      <c r="C4667" s="120">
        <v>27</v>
      </c>
      <c r="D4667" s="208">
        <f t="shared" si="454"/>
        <v>45470</v>
      </c>
      <c r="E4667" s="209">
        <f t="shared" si="473"/>
        <v>45470</v>
      </c>
      <c r="F4667" s="515"/>
      <c r="G4667" s="132" t="s">
        <v>1209</v>
      </c>
      <c r="I4667" s="128" t="s">
        <v>1491</v>
      </c>
      <c r="J4667" s="120" t="s">
        <v>16</v>
      </c>
      <c r="K4667" s="207"/>
      <c r="L4667" s="207">
        <v>1790</v>
      </c>
    </row>
    <row r="4668" spans="1:12" ht="11.25" customHeight="1" x14ac:dyDescent="0.2">
      <c r="A4668" s="191">
        <v>2024</v>
      </c>
      <c r="B4668" s="191">
        <v>6</v>
      </c>
      <c r="C4668" s="191">
        <v>27</v>
      </c>
      <c r="D4668" s="192">
        <f t="shared" ref="D4668:D4729" si="474">DATE(A4668,B4668,C4668)</f>
        <v>45470</v>
      </c>
      <c r="E4668" s="193">
        <f t="shared" si="473"/>
        <v>45470</v>
      </c>
      <c r="F4668" s="514"/>
      <c r="G4668" s="194" t="s">
        <v>1209</v>
      </c>
      <c r="H4668" s="195"/>
      <c r="I4668" s="195" t="s">
        <v>1491</v>
      </c>
      <c r="J4668" s="191" t="s">
        <v>47</v>
      </c>
      <c r="K4668" s="196"/>
      <c r="L4668" s="196">
        <v>210</v>
      </c>
    </row>
    <row r="4669" spans="1:12" ht="11.25" customHeight="1" x14ac:dyDescent="0.2">
      <c r="A4669" s="197">
        <v>2024</v>
      </c>
      <c r="B4669" s="197">
        <v>6</v>
      </c>
      <c r="C4669" s="197">
        <v>27</v>
      </c>
      <c r="D4669" s="198">
        <f t="shared" si="474"/>
        <v>45470</v>
      </c>
      <c r="E4669" s="209">
        <f t="shared" ref="E4669:E4680" si="475">DATE(A4669,B4669,C4669)</f>
        <v>45470</v>
      </c>
      <c r="F4669" s="513" t="s">
        <v>1210</v>
      </c>
      <c r="G4669" s="200" t="s">
        <v>1209</v>
      </c>
      <c r="H4669" s="201"/>
      <c r="I4669" s="201" t="s">
        <v>1818</v>
      </c>
      <c r="J4669" s="197" t="s">
        <v>46</v>
      </c>
      <c r="K4669" s="202">
        <v>500000</v>
      </c>
      <c r="L4669" s="202"/>
    </row>
    <row r="4670" spans="1:12" ht="11.25" customHeight="1" x14ac:dyDescent="0.2">
      <c r="A4670" s="120">
        <v>2024</v>
      </c>
      <c r="B4670" s="120">
        <v>6</v>
      </c>
      <c r="C4670" s="120">
        <v>27</v>
      </c>
      <c r="D4670" s="208">
        <f t="shared" si="474"/>
        <v>45470</v>
      </c>
      <c r="E4670" s="209">
        <f t="shared" si="475"/>
        <v>45470</v>
      </c>
      <c r="F4670" s="515"/>
      <c r="G4670" s="132" t="s">
        <v>1209</v>
      </c>
      <c r="I4670" s="128" t="s">
        <v>1818</v>
      </c>
      <c r="J4670" s="120" t="s">
        <v>16</v>
      </c>
      <c r="K4670" s="207"/>
      <c r="L4670" s="207">
        <v>448350</v>
      </c>
    </row>
    <row r="4671" spans="1:12" ht="11.25" customHeight="1" x14ac:dyDescent="0.2">
      <c r="A4671" s="191">
        <v>2024</v>
      </c>
      <c r="B4671" s="191">
        <v>6</v>
      </c>
      <c r="C4671" s="191">
        <v>27</v>
      </c>
      <c r="D4671" s="192">
        <f t="shared" si="474"/>
        <v>45470</v>
      </c>
      <c r="E4671" s="193">
        <f t="shared" si="475"/>
        <v>45470</v>
      </c>
      <c r="F4671" s="514"/>
      <c r="G4671" s="194" t="s">
        <v>1209</v>
      </c>
      <c r="H4671" s="195"/>
      <c r="I4671" s="195" t="s">
        <v>1818</v>
      </c>
      <c r="J4671" s="191" t="s">
        <v>47</v>
      </c>
      <c r="K4671" s="196"/>
      <c r="L4671" s="196">
        <v>51650</v>
      </c>
    </row>
    <row r="4672" spans="1:12" ht="11.25" customHeight="1" x14ac:dyDescent="0.2">
      <c r="A4672" s="197">
        <v>2024</v>
      </c>
      <c r="B4672" s="197">
        <v>6</v>
      </c>
      <c r="C4672" s="197">
        <v>27</v>
      </c>
      <c r="D4672" s="198">
        <f t="shared" si="474"/>
        <v>45470</v>
      </c>
      <c r="E4672" s="209">
        <f t="shared" si="475"/>
        <v>45470</v>
      </c>
      <c r="F4672" s="513" t="s">
        <v>1210</v>
      </c>
      <c r="G4672" s="200" t="s">
        <v>1209</v>
      </c>
      <c r="H4672" s="201"/>
      <c r="I4672" s="201" t="s">
        <v>1819</v>
      </c>
      <c r="J4672" s="197" t="s">
        <v>46</v>
      </c>
      <c r="K4672" s="202">
        <v>500000</v>
      </c>
      <c r="L4672" s="202"/>
    </row>
    <row r="4673" spans="1:15" ht="11.25" customHeight="1" x14ac:dyDescent="0.2">
      <c r="A4673" s="120">
        <v>2024</v>
      </c>
      <c r="B4673" s="120">
        <v>6</v>
      </c>
      <c r="C4673" s="120">
        <v>27</v>
      </c>
      <c r="D4673" s="208">
        <f t="shared" si="474"/>
        <v>45470</v>
      </c>
      <c r="E4673" s="209">
        <f t="shared" si="475"/>
        <v>45470</v>
      </c>
      <c r="F4673" s="515"/>
      <c r="G4673" s="132" t="s">
        <v>1209</v>
      </c>
      <c r="I4673" s="128" t="s">
        <v>1819</v>
      </c>
      <c r="J4673" s="120" t="s">
        <v>16</v>
      </c>
      <c r="K4673" s="207"/>
      <c r="L4673" s="207">
        <v>448350</v>
      </c>
    </row>
    <row r="4674" spans="1:15" ht="11.25" customHeight="1" x14ac:dyDescent="0.2">
      <c r="A4674" s="191">
        <v>2024</v>
      </c>
      <c r="B4674" s="191">
        <v>6</v>
      </c>
      <c r="C4674" s="191">
        <v>27</v>
      </c>
      <c r="D4674" s="192">
        <f t="shared" si="474"/>
        <v>45470</v>
      </c>
      <c r="E4674" s="193">
        <f t="shared" si="475"/>
        <v>45470</v>
      </c>
      <c r="F4674" s="514"/>
      <c r="G4674" s="194" t="s">
        <v>1209</v>
      </c>
      <c r="H4674" s="195"/>
      <c r="I4674" s="195" t="s">
        <v>1819</v>
      </c>
      <c r="J4674" s="191" t="s">
        <v>47</v>
      </c>
      <c r="K4674" s="196"/>
      <c r="L4674" s="196">
        <v>51650</v>
      </c>
    </row>
    <row r="4675" spans="1:15" ht="11.25" customHeight="1" x14ac:dyDescent="0.2">
      <c r="A4675" s="197">
        <v>2024</v>
      </c>
      <c r="B4675" s="197">
        <v>6</v>
      </c>
      <c r="C4675" s="197">
        <v>27</v>
      </c>
      <c r="D4675" s="198">
        <f t="shared" si="474"/>
        <v>45470</v>
      </c>
      <c r="E4675" s="209">
        <f t="shared" si="475"/>
        <v>45470</v>
      </c>
      <c r="F4675" s="513" t="s">
        <v>1280</v>
      </c>
      <c r="G4675" s="200" t="s">
        <v>1209</v>
      </c>
      <c r="H4675" s="201"/>
      <c r="I4675" s="201" t="s">
        <v>1642</v>
      </c>
      <c r="J4675" s="197" t="s">
        <v>16</v>
      </c>
      <c r="K4675" s="202">
        <v>627690</v>
      </c>
      <c r="L4675" s="202"/>
    </row>
    <row r="4676" spans="1:15" ht="11.25" customHeight="1" x14ac:dyDescent="0.2">
      <c r="A4676" s="120">
        <v>2024</v>
      </c>
      <c r="B4676" s="120">
        <v>6</v>
      </c>
      <c r="C4676" s="120">
        <v>27</v>
      </c>
      <c r="D4676" s="208">
        <f t="shared" si="474"/>
        <v>45470</v>
      </c>
      <c r="E4676" s="209">
        <f t="shared" si="475"/>
        <v>45470</v>
      </c>
      <c r="F4676" s="515"/>
      <c r="G4676" s="132" t="s">
        <v>1209</v>
      </c>
      <c r="I4676" s="128" t="s">
        <v>1642</v>
      </c>
      <c r="J4676" s="120" t="s">
        <v>47</v>
      </c>
      <c r="K4676" s="207">
        <v>72310</v>
      </c>
      <c r="L4676" s="207"/>
    </row>
    <row r="4677" spans="1:15" ht="11.25" customHeight="1" x14ac:dyDescent="0.2">
      <c r="A4677" s="191">
        <v>2024</v>
      </c>
      <c r="B4677" s="191">
        <v>6</v>
      </c>
      <c r="C4677" s="191">
        <v>27</v>
      </c>
      <c r="D4677" s="192">
        <f t="shared" si="474"/>
        <v>45470</v>
      </c>
      <c r="E4677" s="193">
        <f t="shared" si="475"/>
        <v>45470</v>
      </c>
      <c r="F4677" s="514"/>
      <c r="G4677" s="194" t="s">
        <v>1209</v>
      </c>
      <c r="H4677" s="195"/>
      <c r="I4677" s="195" t="s">
        <v>1642</v>
      </c>
      <c r="J4677" s="191" t="s">
        <v>46</v>
      </c>
      <c r="K4677" s="196"/>
      <c r="L4677" s="196">
        <v>700000</v>
      </c>
    </row>
    <row r="4678" spans="1:15" ht="11.25" customHeight="1" x14ac:dyDescent="0.2">
      <c r="A4678" s="197">
        <v>2024</v>
      </c>
      <c r="B4678" s="197">
        <v>6</v>
      </c>
      <c r="C4678" s="197">
        <v>27</v>
      </c>
      <c r="D4678" s="198">
        <f t="shared" si="474"/>
        <v>45470</v>
      </c>
      <c r="E4678" s="209">
        <f t="shared" si="475"/>
        <v>45470</v>
      </c>
      <c r="F4678" s="513" t="s">
        <v>1280</v>
      </c>
      <c r="G4678" s="200" t="s">
        <v>1209</v>
      </c>
      <c r="H4678" s="201"/>
      <c r="I4678" s="201" t="s">
        <v>1240</v>
      </c>
      <c r="J4678" s="197" t="s">
        <v>16</v>
      </c>
      <c r="K4678" s="202">
        <v>25000</v>
      </c>
      <c r="L4678" s="202"/>
    </row>
    <row r="4679" spans="1:15" ht="11.25" customHeight="1" x14ac:dyDescent="0.2">
      <c r="A4679" s="120">
        <v>2024</v>
      </c>
      <c r="B4679" s="120">
        <v>6</v>
      </c>
      <c r="C4679" s="120">
        <v>27</v>
      </c>
      <c r="D4679" s="208">
        <f t="shared" si="474"/>
        <v>45470</v>
      </c>
      <c r="E4679" s="209">
        <f t="shared" si="475"/>
        <v>45470</v>
      </c>
      <c r="F4679" s="515"/>
      <c r="G4679" s="132" t="s">
        <v>1209</v>
      </c>
      <c r="I4679" s="128" t="s">
        <v>1240</v>
      </c>
      <c r="J4679" s="120" t="s">
        <v>47</v>
      </c>
      <c r="K4679" s="207">
        <v>2880</v>
      </c>
      <c r="L4679" s="207"/>
    </row>
    <row r="4680" spans="1:15" ht="11.25" customHeight="1" x14ac:dyDescent="0.2">
      <c r="A4680" s="191">
        <v>2024</v>
      </c>
      <c r="B4680" s="191">
        <v>6</v>
      </c>
      <c r="C4680" s="191">
        <v>27</v>
      </c>
      <c r="D4680" s="192">
        <f t="shared" si="474"/>
        <v>45470</v>
      </c>
      <c r="E4680" s="193">
        <f t="shared" si="475"/>
        <v>45470</v>
      </c>
      <c r="F4680" s="514"/>
      <c r="G4680" s="194" t="s">
        <v>1209</v>
      </c>
      <c r="H4680" s="195"/>
      <c r="I4680" s="195" t="s">
        <v>1240</v>
      </c>
      <c r="J4680" s="191" t="s">
        <v>46</v>
      </c>
      <c r="K4680" s="196"/>
      <c r="L4680" s="196">
        <v>27880</v>
      </c>
    </row>
    <row r="4681" spans="1:15" ht="11.25" customHeight="1" x14ac:dyDescent="0.2">
      <c r="A4681" s="197">
        <v>2024</v>
      </c>
      <c r="B4681" s="197">
        <v>6</v>
      </c>
      <c r="C4681" s="197">
        <v>27</v>
      </c>
      <c r="D4681" s="198">
        <f t="shared" si="474"/>
        <v>45470</v>
      </c>
      <c r="E4681" s="209">
        <f t="shared" ref="E4681:E4691" si="476">DATE(A4681,B4681,C4681)</f>
        <v>45470</v>
      </c>
      <c r="F4681" s="513" t="s">
        <v>1210</v>
      </c>
      <c r="G4681" s="200" t="s">
        <v>1209</v>
      </c>
      <c r="H4681" s="201"/>
      <c r="I4681" s="201" t="s">
        <v>1820</v>
      </c>
      <c r="J4681" s="197" t="s">
        <v>46</v>
      </c>
      <c r="K4681" s="202">
        <v>35000</v>
      </c>
      <c r="L4681" s="202"/>
    </row>
    <row r="4682" spans="1:15" ht="11.25" customHeight="1" x14ac:dyDescent="0.2">
      <c r="A4682" s="120">
        <v>2024</v>
      </c>
      <c r="B4682" s="120">
        <v>6</v>
      </c>
      <c r="C4682" s="120">
        <v>27</v>
      </c>
      <c r="D4682" s="208">
        <f t="shared" si="474"/>
        <v>45470</v>
      </c>
      <c r="E4682" s="209">
        <f t="shared" si="476"/>
        <v>45470</v>
      </c>
      <c r="F4682" s="515"/>
      <c r="G4682" s="132" t="s">
        <v>1209</v>
      </c>
      <c r="I4682" s="128" t="s">
        <v>1820</v>
      </c>
      <c r="J4682" s="120" t="s">
        <v>16</v>
      </c>
      <c r="K4682" s="207"/>
      <c r="L4682" s="207">
        <v>31380</v>
      </c>
    </row>
    <row r="4683" spans="1:15" ht="11.25" customHeight="1" x14ac:dyDescent="0.2">
      <c r="A4683" s="191">
        <v>2024</v>
      </c>
      <c r="B4683" s="191">
        <v>6</v>
      </c>
      <c r="C4683" s="191">
        <v>27</v>
      </c>
      <c r="D4683" s="192">
        <f t="shared" si="474"/>
        <v>45470</v>
      </c>
      <c r="E4683" s="193">
        <f t="shared" si="476"/>
        <v>45470</v>
      </c>
      <c r="F4683" s="514"/>
      <c r="G4683" s="194" t="s">
        <v>1209</v>
      </c>
      <c r="H4683" s="195"/>
      <c r="I4683" s="195" t="s">
        <v>1820</v>
      </c>
      <c r="J4683" s="191" t="s">
        <v>47</v>
      </c>
      <c r="K4683" s="196"/>
      <c r="L4683" s="196">
        <v>3620</v>
      </c>
    </row>
    <row r="4684" spans="1:15" ht="11.25" customHeight="1" x14ac:dyDescent="0.2">
      <c r="A4684" s="197">
        <v>2024</v>
      </c>
      <c r="B4684" s="197">
        <v>6</v>
      </c>
      <c r="C4684" s="197">
        <v>27</v>
      </c>
      <c r="D4684" s="198">
        <f t="shared" si="474"/>
        <v>45470</v>
      </c>
      <c r="E4684" s="290">
        <f t="shared" si="476"/>
        <v>45470</v>
      </c>
      <c r="F4684" s="513" t="s">
        <v>1514</v>
      </c>
      <c r="G4684" s="200" t="s">
        <v>1209</v>
      </c>
      <c r="H4684" s="201"/>
      <c r="I4684" s="201"/>
      <c r="J4684" s="197" t="s">
        <v>54</v>
      </c>
      <c r="K4684" s="202">
        <v>120</v>
      </c>
      <c r="L4684" s="202"/>
      <c r="M4684" s="251"/>
      <c r="N4684" s="251"/>
      <c r="O4684" s="251"/>
    </row>
    <row r="4685" spans="1:15" ht="11.25" customHeight="1" x14ac:dyDescent="0.2">
      <c r="A4685" s="191">
        <v>2024</v>
      </c>
      <c r="B4685" s="191">
        <v>6</v>
      </c>
      <c r="C4685" s="191">
        <v>27</v>
      </c>
      <c r="D4685" s="192">
        <f t="shared" si="474"/>
        <v>45470</v>
      </c>
      <c r="E4685" s="291">
        <f t="shared" si="476"/>
        <v>45470</v>
      </c>
      <c r="F4685" s="514"/>
      <c r="G4685" s="194" t="s">
        <v>1209</v>
      </c>
      <c r="H4685" s="195"/>
      <c r="I4685" s="195"/>
      <c r="J4685" s="191" t="s">
        <v>46</v>
      </c>
      <c r="K4685" s="196"/>
      <c r="L4685" s="196">
        <v>120</v>
      </c>
      <c r="M4685" s="251"/>
      <c r="N4685" s="251"/>
      <c r="O4685" s="251"/>
    </row>
    <row r="4686" spans="1:15" ht="11.25" customHeight="1" x14ac:dyDescent="0.2">
      <c r="A4686" s="197">
        <v>2024</v>
      </c>
      <c r="B4686" s="197">
        <v>6</v>
      </c>
      <c r="C4686" s="197">
        <v>27</v>
      </c>
      <c r="D4686" s="198">
        <f t="shared" si="474"/>
        <v>45470</v>
      </c>
      <c r="E4686" s="290">
        <f t="shared" si="476"/>
        <v>45470</v>
      </c>
      <c r="F4686" s="513" t="s">
        <v>1514</v>
      </c>
      <c r="G4686" s="200" t="s">
        <v>1209</v>
      </c>
      <c r="H4686" s="201"/>
      <c r="I4686" s="201"/>
      <c r="J4686" s="197" t="s">
        <v>54</v>
      </c>
      <c r="K4686" s="202">
        <v>100</v>
      </c>
      <c r="L4686" s="202"/>
      <c r="M4686" s="251"/>
      <c r="N4686" s="251"/>
      <c r="O4686" s="251"/>
    </row>
    <row r="4687" spans="1:15" ht="11.25" customHeight="1" x14ac:dyDescent="0.2">
      <c r="A4687" s="191">
        <v>2024</v>
      </c>
      <c r="B4687" s="191">
        <v>6</v>
      </c>
      <c r="C4687" s="191">
        <v>27</v>
      </c>
      <c r="D4687" s="192">
        <f t="shared" si="474"/>
        <v>45470</v>
      </c>
      <c r="E4687" s="291">
        <f t="shared" si="476"/>
        <v>45470</v>
      </c>
      <c r="F4687" s="514"/>
      <c r="G4687" s="194" t="s">
        <v>1209</v>
      </c>
      <c r="H4687" s="195"/>
      <c r="I4687" s="195"/>
      <c r="J4687" s="191" t="s">
        <v>46</v>
      </c>
      <c r="K4687" s="196"/>
      <c r="L4687" s="196">
        <v>100</v>
      </c>
      <c r="M4687" s="251"/>
      <c r="N4687" s="251"/>
      <c r="O4687" s="251"/>
    </row>
    <row r="4688" spans="1:15" ht="11.25" customHeight="1" x14ac:dyDescent="0.2">
      <c r="A4688" s="197">
        <v>2024</v>
      </c>
      <c r="B4688" s="197">
        <v>6</v>
      </c>
      <c r="C4688" s="197">
        <v>27</v>
      </c>
      <c r="D4688" s="198">
        <f t="shared" si="474"/>
        <v>45470</v>
      </c>
      <c r="E4688" s="199">
        <f t="shared" si="476"/>
        <v>45470</v>
      </c>
      <c r="F4688" s="513" t="s">
        <v>1279</v>
      </c>
      <c r="G4688" s="200" t="s">
        <v>1209</v>
      </c>
      <c r="H4688" s="201"/>
      <c r="I4688" s="201" t="s">
        <v>1253</v>
      </c>
      <c r="J4688" s="197" t="s">
        <v>76</v>
      </c>
      <c r="K4688" s="202">
        <v>6000000</v>
      </c>
      <c r="L4688" s="202"/>
    </row>
    <row r="4689" spans="1:14" ht="11.25" customHeight="1" x14ac:dyDescent="0.2">
      <c r="A4689" s="191">
        <v>2024</v>
      </c>
      <c r="B4689" s="191">
        <v>6</v>
      </c>
      <c r="C4689" s="191">
        <v>27</v>
      </c>
      <c r="D4689" s="192">
        <f t="shared" si="474"/>
        <v>45470</v>
      </c>
      <c r="E4689" s="193">
        <f t="shared" si="476"/>
        <v>45470</v>
      </c>
      <c r="F4689" s="514"/>
      <c r="G4689" s="194" t="s">
        <v>1209</v>
      </c>
      <c r="H4689" s="195"/>
      <c r="I4689" s="195" t="s">
        <v>1253</v>
      </c>
      <c r="J4689" s="191" t="s">
        <v>46</v>
      </c>
      <c r="K4689" s="196"/>
      <c r="L4689" s="196">
        <v>6000000</v>
      </c>
    </row>
    <row r="4690" spans="1:14" ht="11.25" customHeight="1" x14ac:dyDescent="0.2">
      <c r="A4690" s="197">
        <v>2024</v>
      </c>
      <c r="B4690" s="197">
        <v>6</v>
      </c>
      <c r="C4690" s="197">
        <v>27</v>
      </c>
      <c r="D4690" s="198">
        <f t="shared" si="474"/>
        <v>45470</v>
      </c>
      <c r="E4690" s="199">
        <f t="shared" si="476"/>
        <v>45470</v>
      </c>
      <c r="F4690" s="513" t="s">
        <v>1626</v>
      </c>
      <c r="G4690" s="200" t="s">
        <v>1209</v>
      </c>
      <c r="H4690" s="201"/>
      <c r="I4690" s="201" t="s">
        <v>1253</v>
      </c>
      <c r="J4690" s="197" t="s">
        <v>1455</v>
      </c>
      <c r="K4690" s="202">
        <v>3943920</v>
      </c>
      <c r="L4690" s="202"/>
    </row>
    <row r="4691" spans="1:14" ht="11.25" customHeight="1" x14ac:dyDescent="0.2">
      <c r="A4691" s="191">
        <v>2024</v>
      </c>
      <c r="B4691" s="191">
        <v>6</v>
      </c>
      <c r="C4691" s="191">
        <v>27</v>
      </c>
      <c r="D4691" s="192">
        <f t="shared" si="474"/>
        <v>45470</v>
      </c>
      <c r="E4691" s="193">
        <f t="shared" si="476"/>
        <v>45470</v>
      </c>
      <c r="F4691" s="514"/>
      <c r="G4691" s="194" t="s">
        <v>1209</v>
      </c>
      <c r="H4691" s="195"/>
      <c r="I4691" s="195" t="s">
        <v>1253</v>
      </c>
      <c r="J4691" s="191" t="s">
        <v>46</v>
      </c>
      <c r="K4691" s="196"/>
      <c r="L4691" s="196">
        <v>3943920</v>
      </c>
      <c r="N4691" s="130"/>
    </row>
    <row r="4692" spans="1:14" ht="11.25" customHeight="1" x14ac:dyDescent="0.2">
      <c r="A4692" s="197">
        <v>2024</v>
      </c>
      <c r="B4692" s="197">
        <v>6</v>
      </c>
      <c r="C4692" s="197">
        <v>27</v>
      </c>
      <c r="D4692" s="198">
        <f t="shared" si="474"/>
        <v>45470</v>
      </c>
      <c r="E4692" s="199">
        <f t="shared" ref="E4692:E4693" si="477">DATE(A4692,B4692,C4692)</f>
        <v>45470</v>
      </c>
      <c r="F4692" s="513" t="s">
        <v>1638</v>
      </c>
      <c r="G4692" s="200" t="s">
        <v>1209</v>
      </c>
      <c r="H4692" s="201"/>
      <c r="I4692" s="201" t="s">
        <v>1253</v>
      </c>
      <c r="J4692" s="197" t="s">
        <v>1455</v>
      </c>
      <c r="K4692" s="202">
        <v>12759747</v>
      </c>
      <c r="L4692" s="202"/>
    </row>
    <row r="4693" spans="1:14" ht="11.25" customHeight="1" x14ac:dyDescent="0.2">
      <c r="A4693" s="191">
        <v>2024</v>
      </c>
      <c r="B4693" s="191">
        <v>6</v>
      </c>
      <c r="C4693" s="191">
        <v>27</v>
      </c>
      <c r="D4693" s="192">
        <f t="shared" si="474"/>
        <v>45470</v>
      </c>
      <c r="E4693" s="193">
        <f t="shared" si="477"/>
        <v>45470</v>
      </c>
      <c r="F4693" s="514"/>
      <c r="G4693" s="194" t="s">
        <v>1209</v>
      </c>
      <c r="H4693" s="195"/>
      <c r="I4693" s="195" t="s">
        <v>1253</v>
      </c>
      <c r="J4693" s="191" t="s">
        <v>46</v>
      </c>
      <c r="K4693" s="196"/>
      <c r="L4693" s="196">
        <v>12759747</v>
      </c>
      <c r="N4693" s="130"/>
    </row>
    <row r="4694" spans="1:14" ht="11.25" customHeight="1" x14ac:dyDescent="0.2">
      <c r="A4694" s="197">
        <v>2024</v>
      </c>
      <c r="B4694" s="197">
        <v>6</v>
      </c>
      <c r="C4694" s="197">
        <v>27</v>
      </c>
      <c r="D4694" s="198">
        <f t="shared" si="474"/>
        <v>45470</v>
      </c>
      <c r="E4694" s="199">
        <f t="shared" ref="E4694:E4700" si="478">DATE(A4694,B4694,C4694)</f>
        <v>45470</v>
      </c>
      <c r="F4694" s="513" t="s">
        <v>1826</v>
      </c>
      <c r="G4694" s="200" t="s">
        <v>1209</v>
      </c>
      <c r="H4694" s="201"/>
      <c r="I4694" s="201" t="s">
        <v>1253</v>
      </c>
      <c r="J4694" s="197" t="s">
        <v>1455</v>
      </c>
      <c r="K4694" s="202">
        <v>33293752</v>
      </c>
      <c r="L4694" s="202"/>
    </row>
    <row r="4695" spans="1:14" ht="11.25" customHeight="1" x14ac:dyDescent="0.2">
      <c r="A4695" s="191">
        <v>2024</v>
      </c>
      <c r="B4695" s="191">
        <v>6</v>
      </c>
      <c r="C4695" s="191">
        <v>27</v>
      </c>
      <c r="D4695" s="192">
        <f t="shared" si="474"/>
        <v>45470</v>
      </c>
      <c r="E4695" s="193">
        <f t="shared" si="478"/>
        <v>45470</v>
      </c>
      <c r="F4695" s="514"/>
      <c r="G4695" s="194" t="s">
        <v>1209</v>
      </c>
      <c r="H4695" s="195"/>
      <c r="I4695" s="195" t="s">
        <v>1253</v>
      </c>
      <c r="J4695" s="191" t="s">
        <v>46</v>
      </c>
      <c r="K4695" s="196"/>
      <c r="L4695" s="196">
        <v>33293752</v>
      </c>
      <c r="N4695" s="130"/>
    </row>
    <row r="4696" spans="1:14" ht="11.25" customHeight="1" x14ac:dyDescent="0.2">
      <c r="A4696" s="344">
        <v>2024</v>
      </c>
      <c r="B4696" s="344">
        <v>6</v>
      </c>
      <c r="C4696" s="344">
        <v>27</v>
      </c>
      <c r="D4696" s="345">
        <f t="shared" si="474"/>
        <v>45470</v>
      </c>
      <c r="E4696" s="346">
        <f t="shared" si="478"/>
        <v>45470</v>
      </c>
      <c r="F4696" s="518" t="s">
        <v>1621</v>
      </c>
      <c r="G4696" s="347" t="s">
        <v>1245</v>
      </c>
      <c r="H4696" s="348"/>
      <c r="I4696" s="348" t="s">
        <v>1253</v>
      </c>
      <c r="J4696" s="344" t="s">
        <v>113</v>
      </c>
      <c r="K4696" s="349">
        <v>192019.23076923061</v>
      </c>
      <c r="L4696" s="349"/>
    </row>
    <row r="4697" spans="1:14" ht="11.25" customHeight="1" x14ac:dyDescent="0.2">
      <c r="A4697" s="350">
        <v>2024</v>
      </c>
      <c r="B4697" s="350">
        <v>6</v>
      </c>
      <c r="C4697" s="350">
        <v>27</v>
      </c>
      <c r="D4697" s="351">
        <f t="shared" si="474"/>
        <v>45470</v>
      </c>
      <c r="E4697" s="352">
        <f t="shared" si="478"/>
        <v>45470</v>
      </c>
      <c r="F4697" s="519"/>
      <c r="G4697" s="353" t="s">
        <v>1245</v>
      </c>
      <c r="H4697" s="354"/>
      <c r="I4697" s="354" t="s">
        <v>1253</v>
      </c>
      <c r="J4697" s="350" t="s">
        <v>153</v>
      </c>
      <c r="K4697" s="355"/>
      <c r="L4697" s="355">
        <f>K4696</f>
        <v>192019.23076923061</v>
      </c>
    </row>
    <row r="4698" spans="1:14" ht="11.25" customHeight="1" x14ac:dyDescent="0.2">
      <c r="A4698" s="210">
        <v>2024</v>
      </c>
      <c r="B4698" s="210">
        <v>6</v>
      </c>
      <c r="C4698" s="210">
        <v>27</v>
      </c>
      <c r="D4698" s="211">
        <f t="shared" si="474"/>
        <v>45470</v>
      </c>
      <c r="E4698" s="238">
        <f t="shared" si="478"/>
        <v>45470</v>
      </c>
      <c r="F4698" s="520" t="s">
        <v>1278</v>
      </c>
      <c r="G4698" s="213" t="s">
        <v>1245</v>
      </c>
      <c r="H4698" s="214"/>
      <c r="I4698" s="214" t="s">
        <v>1253</v>
      </c>
      <c r="J4698" s="210" t="s">
        <v>1529</v>
      </c>
      <c r="K4698" s="215">
        <v>7491.85</v>
      </c>
      <c r="L4698" s="215"/>
    </row>
    <row r="4699" spans="1:14" ht="11.25" customHeight="1" x14ac:dyDescent="0.2">
      <c r="A4699" s="216">
        <v>2024</v>
      </c>
      <c r="B4699" s="216">
        <v>6</v>
      </c>
      <c r="C4699" s="216">
        <v>27</v>
      </c>
      <c r="D4699" s="217">
        <f t="shared" si="474"/>
        <v>45470</v>
      </c>
      <c r="E4699" s="239">
        <f t="shared" si="478"/>
        <v>45470</v>
      </c>
      <c r="F4699" s="521"/>
      <c r="G4699" s="219" t="s">
        <v>1245</v>
      </c>
      <c r="H4699" s="220"/>
      <c r="I4699" s="220" t="s">
        <v>1253</v>
      </c>
      <c r="J4699" s="216" t="s">
        <v>1581</v>
      </c>
      <c r="K4699" s="221"/>
      <c r="L4699" s="221">
        <v>7491.85</v>
      </c>
    </row>
    <row r="4700" spans="1:14" ht="11.25" customHeight="1" x14ac:dyDescent="0.2">
      <c r="A4700" s="210">
        <v>2024</v>
      </c>
      <c r="B4700" s="210">
        <v>6</v>
      </c>
      <c r="C4700" s="210">
        <v>27</v>
      </c>
      <c r="D4700" s="211">
        <f t="shared" si="474"/>
        <v>45470</v>
      </c>
      <c r="E4700" s="238">
        <f t="shared" si="478"/>
        <v>45470</v>
      </c>
      <c r="F4700" s="520" t="s">
        <v>1285</v>
      </c>
      <c r="G4700" s="213" t="s">
        <v>1245</v>
      </c>
      <c r="H4700" s="214"/>
      <c r="I4700" s="214" t="s">
        <v>1253</v>
      </c>
      <c r="J4700" s="210" t="s">
        <v>1284</v>
      </c>
      <c r="K4700" s="215">
        <v>9949.7598076923041</v>
      </c>
      <c r="L4700" s="215"/>
    </row>
    <row r="4701" spans="1:14" ht="11.25" customHeight="1" x14ac:dyDescent="0.2">
      <c r="A4701" s="242">
        <v>2024</v>
      </c>
      <c r="B4701" s="242">
        <v>6</v>
      </c>
      <c r="C4701" s="242">
        <v>27</v>
      </c>
      <c r="D4701" s="243">
        <f t="shared" si="474"/>
        <v>45470</v>
      </c>
      <c r="E4701" s="244">
        <f>DATE(A4701,B4701,C4701)</f>
        <v>45470</v>
      </c>
      <c r="F4701" s="524"/>
      <c r="G4701" s="245" t="s">
        <v>1245</v>
      </c>
      <c r="H4701" s="246"/>
      <c r="I4701" s="246"/>
      <c r="J4701" s="242" t="s">
        <v>1582</v>
      </c>
      <c r="K4701" s="247"/>
      <c r="L4701" s="247">
        <v>9949.7598076923041</v>
      </c>
    </row>
    <row r="4702" spans="1:14" ht="11.25" customHeight="1" x14ac:dyDescent="0.2">
      <c r="A4702" s="210">
        <v>2024</v>
      </c>
      <c r="B4702" s="210">
        <v>6</v>
      </c>
      <c r="C4702" s="210">
        <v>27</v>
      </c>
      <c r="D4702" s="211">
        <f t="shared" si="474"/>
        <v>45470</v>
      </c>
      <c r="E4702" s="238">
        <f t="shared" ref="E4702:E4720" si="479">DATE(A4702,B4702,C4702)</f>
        <v>45470</v>
      </c>
      <c r="F4702" s="520" t="s">
        <v>1259</v>
      </c>
      <c r="G4702" s="213" t="s">
        <v>1245</v>
      </c>
      <c r="H4702" s="214"/>
      <c r="I4702" s="214" t="s">
        <v>1253</v>
      </c>
      <c r="J4702" s="210" t="s">
        <v>58</v>
      </c>
      <c r="K4702" s="215">
        <v>31417.89</v>
      </c>
      <c r="L4702" s="215"/>
    </row>
    <row r="4703" spans="1:14" ht="11.25" customHeight="1" x14ac:dyDescent="0.2">
      <c r="A4703" s="216">
        <v>2024</v>
      </c>
      <c r="B4703" s="216">
        <v>6</v>
      </c>
      <c r="C4703" s="216">
        <v>27</v>
      </c>
      <c r="D4703" s="217">
        <f t="shared" si="474"/>
        <v>45470</v>
      </c>
      <c r="E4703" s="239">
        <f t="shared" si="479"/>
        <v>45470</v>
      </c>
      <c r="F4703" s="521"/>
      <c r="G4703" s="219" t="s">
        <v>1245</v>
      </c>
      <c r="H4703" s="220"/>
      <c r="I4703" s="220" t="s">
        <v>1253</v>
      </c>
      <c r="J4703" s="216" t="s">
        <v>153</v>
      </c>
      <c r="K4703" s="221"/>
      <c r="L4703" s="221">
        <f>K4702</f>
        <v>31417.89</v>
      </c>
    </row>
    <row r="4704" spans="1:14" ht="11.25" customHeight="1" x14ac:dyDescent="0.2">
      <c r="A4704" s="312">
        <v>2024</v>
      </c>
      <c r="B4704" s="312">
        <v>6</v>
      </c>
      <c r="C4704" s="312">
        <v>27</v>
      </c>
      <c r="D4704" s="313">
        <f t="shared" si="474"/>
        <v>45470</v>
      </c>
      <c r="E4704" s="314">
        <f t="shared" si="479"/>
        <v>45470</v>
      </c>
      <c r="F4704" s="522" t="s">
        <v>1477</v>
      </c>
      <c r="G4704" s="315" t="s">
        <v>1245</v>
      </c>
      <c r="H4704" s="316"/>
      <c r="I4704" s="316" t="s">
        <v>1253</v>
      </c>
      <c r="J4704" s="312" t="s">
        <v>1458</v>
      </c>
      <c r="K4704" s="317">
        <v>101750</v>
      </c>
      <c r="L4704" s="317"/>
    </row>
    <row r="4705" spans="1:14" ht="11.25" customHeight="1" x14ac:dyDescent="0.2">
      <c r="A4705" s="318">
        <v>2024</v>
      </c>
      <c r="B4705" s="318">
        <v>6</v>
      </c>
      <c r="C4705" s="318">
        <v>27</v>
      </c>
      <c r="D4705" s="319">
        <f t="shared" si="474"/>
        <v>45470</v>
      </c>
      <c r="E4705" s="320">
        <f t="shared" si="479"/>
        <v>45470</v>
      </c>
      <c r="F4705" s="523"/>
      <c r="G4705" s="321" t="s">
        <v>1245</v>
      </c>
      <c r="H4705" s="322"/>
      <c r="I4705" s="322" t="s">
        <v>1253</v>
      </c>
      <c r="J4705" s="318" t="s">
        <v>1460</v>
      </c>
      <c r="K4705" s="323"/>
      <c r="L4705" s="323">
        <f>K4704</f>
        <v>101750</v>
      </c>
    </row>
    <row r="4706" spans="1:14" ht="11.25" customHeight="1" x14ac:dyDescent="0.2">
      <c r="A4706" s="312">
        <v>2024</v>
      </c>
      <c r="B4706" s="312">
        <v>6</v>
      </c>
      <c r="C4706" s="312">
        <v>27</v>
      </c>
      <c r="D4706" s="313">
        <f t="shared" si="474"/>
        <v>45470</v>
      </c>
      <c r="E4706" s="314">
        <f t="shared" si="479"/>
        <v>45470</v>
      </c>
      <c r="F4706" s="522" t="s">
        <v>1595</v>
      </c>
      <c r="G4706" s="315" t="s">
        <v>1245</v>
      </c>
      <c r="H4706" s="316"/>
      <c r="I4706" s="316" t="s">
        <v>1253</v>
      </c>
      <c r="J4706" s="312" t="s">
        <v>1461</v>
      </c>
      <c r="K4706" s="317">
        <v>196853.82999999821</v>
      </c>
      <c r="L4706" s="317"/>
    </row>
    <row r="4707" spans="1:14" ht="11.25" customHeight="1" x14ac:dyDescent="0.2">
      <c r="A4707" s="318">
        <v>2024</v>
      </c>
      <c r="B4707" s="318">
        <v>6</v>
      </c>
      <c r="C4707" s="318">
        <v>27</v>
      </c>
      <c r="D4707" s="319">
        <f t="shared" si="474"/>
        <v>45470</v>
      </c>
      <c r="E4707" s="320">
        <f t="shared" si="479"/>
        <v>45470</v>
      </c>
      <c r="F4707" s="523"/>
      <c r="G4707" s="321" t="s">
        <v>1245</v>
      </c>
      <c r="H4707" s="322"/>
      <c r="I4707" s="322" t="s">
        <v>1253</v>
      </c>
      <c r="J4707" s="318" t="s">
        <v>1459</v>
      </c>
      <c r="K4707" s="323"/>
      <c r="L4707" s="323">
        <f>K4706</f>
        <v>196853.82999999821</v>
      </c>
    </row>
    <row r="4708" spans="1:14" ht="11.25" customHeight="1" x14ac:dyDescent="0.2">
      <c r="A4708" s="222">
        <v>2024</v>
      </c>
      <c r="B4708" s="222">
        <v>6</v>
      </c>
      <c r="C4708" s="222">
        <v>27</v>
      </c>
      <c r="D4708" s="223">
        <f t="shared" si="474"/>
        <v>45470</v>
      </c>
      <c r="E4708" s="240">
        <f t="shared" si="479"/>
        <v>45470</v>
      </c>
      <c r="F4708" s="511" t="s">
        <v>1244</v>
      </c>
      <c r="G4708" s="225" t="s">
        <v>1245</v>
      </c>
      <c r="H4708" s="226"/>
      <c r="I4708" s="226" t="s">
        <v>1253</v>
      </c>
      <c r="J4708" s="222" t="s">
        <v>72</v>
      </c>
      <c r="K4708" s="227">
        <v>74868</v>
      </c>
      <c r="L4708" s="227"/>
    </row>
    <row r="4709" spans="1:14" ht="11.25" customHeight="1" x14ac:dyDescent="0.2">
      <c r="A4709" s="228">
        <v>2024</v>
      </c>
      <c r="B4709" s="228">
        <v>6</v>
      </c>
      <c r="C4709" s="228">
        <v>27</v>
      </c>
      <c r="D4709" s="229">
        <f t="shared" si="474"/>
        <v>45470</v>
      </c>
      <c r="E4709" s="241">
        <f t="shared" si="479"/>
        <v>45470</v>
      </c>
      <c r="F4709" s="512"/>
      <c r="G4709" s="231" t="s">
        <v>1245</v>
      </c>
      <c r="H4709" s="232"/>
      <c r="I4709" s="232" t="s">
        <v>1253</v>
      </c>
      <c r="J4709" s="228" t="s">
        <v>87</v>
      </c>
      <c r="K4709" s="233"/>
      <c r="L4709" s="233">
        <f>K4708</f>
        <v>74868</v>
      </c>
    </row>
    <row r="4710" spans="1:14" ht="11.25" customHeight="1" x14ac:dyDescent="0.2">
      <c r="A4710" s="222">
        <v>2024</v>
      </c>
      <c r="B4710" s="222">
        <v>6</v>
      </c>
      <c r="C4710" s="222">
        <v>27</v>
      </c>
      <c r="D4710" s="223">
        <f t="shared" si="474"/>
        <v>45470</v>
      </c>
      <c r="E4710" s="240">
        <f t="shared" si="479"/>
        <v>45470</v>
      </c>
      <c r="F4710" s="511" t="s">
        <v>1246</v>
      </c>
      <c r="G4710" s="225" t="s">
        <v>1245</v>
      </c>
      <c r="H4710" s="226"/>
      <c r="I4710" s="226" t="s">
        <v>1253</v>
      </c>
      <c r="J4710" s="222" t="s">
        <v>75</v>
      </c>
      <c r="K4710" s="227">
        <v>3623.123846153846</v>
      </c>
      <c r="L4710" s="227"/>
    </row>
    <row r="4711" spans="1:14" ht="11.25" customHeight="1" x14ac:dyDescent="0.2">
      <c r="A4711" s="228">
        <v>2024</v>
      </c>
      <c r="B4711" s="228">
        <v>6</v>
      </c>
      <c r="C4711" s="228">
        <v>27</v>
      </c>
      <c r="D4711" s="229">
        <f t="shared" si="474"/>
        <v>45470</v>
      </c>
      <c r="E4711" s="241">
        <f t="shared" si="479"/>
        <v>45470</v>
      </c>
      <c r="F4711" s="512"/>
      <c r="G4711" s="231" t="s">
        <v>1245</v>
      </c>
      <c r="H4711" s="232"/>
      <c r="I4711" s="232" t="s">
        <v>1253</v>
      </c>
      <c r="J4711" s="228" t="s">
        <v>55</v>
      </c>
      <c r="K4711" s="233"/>
      <c r="L4711" s="233">
        <v>3623.123846153846</v>
      </c>
    </row>
    <row r="4712" spans="1:14" ht="11.25" customHeight="1" x14ac:dyDescent="0.2">
      <c r="A4712" s="222">
        <v>2024</v>
      </c>
      <c r="B4712" s="222">
        <v>6</v>
      </c>
      <c r="C4712" s="222">
        <v>27</v>
      </c>
      <c r="D4712" s="223">
        <f t="shared" si="474"/>
        <v>45470</v>
      </c>
      <c r="E4712" s="240">
        <f t="shared" si="479"/>
        <v>45470</v>
      </c>
      <c r="F4712" s="511" t="s">
        <v>1247</v>
      </c>
      <c r="G4712" s="225" t="s">
        <v>1245</v>
      </c>
      <c r="H4712" s="226"/>
      <c r="I4712" s="226" t="s">
        <v>1253</v>
      </c>
      <c r="J4712" s="222" t="s">
        <v>77</v>
      </c>
      <c r="K4712" s="227">
        <f>M4712</f>
        <v>33180.031100262859</v>
      </c>
      <c r="L4712" s="227"/>
      <c r="M4712" s="120">
        <v>33180.031100262859</v>
      </c>
    </row>
    <row r="4713" spans="1:14" ht="11.25" customHeight="1" x14ac:dyDescent="0.2">
      <c r="A4713" s="228">
        <v>2024</v>
      </c>
      <c r="B4713" s="228">
        <v>6</v>
      </c>
      <c r="C4713" s="228">
        <v>27</v>
      </c>
      <c r="D4713" s="229">
        <f t="shared" si="474"/>
        <v>45470</v>
      </c>
      <c r="E4713" s="241">
        <f t="shared" si="479"/>
        <v>45470</v>
      </c>
      <c r="F4713" s="512"/>
      <c r="G4713" s="231" t="s">
        <v>1245</v>
      </c>
      <c r="H4713" s="232"/>
      <c r="I4713" s="232" t="s">
        <v>1253</v>
      </c>
      <c r="J4713" s="228" t="s">
        <v>41</v>
      </c>
      <c r="K4713" s="233"/>
      <c r="L4713" s="233">
        <f>K4712</f>
        <v>33180.031100262859</v>
      </c>
      <c r="M4713" s="120">
        <v>3318.0031100262863</v>
      </c>
    </row>
    <row r="4714" spans="1:14" ht="11.25" customHeight="1" x14ac:dyDescent="0.2">
      <c r="A4714" s="222">
        <v>2024</v>
      </c>
      <c r="B4714" s="222">
        <v>6</v>
      </c>
      <c r="C4714" s="222">
        <v>27</v>
      </c>
      <c r="D4714" s="223">
        <f t="shared" si="474"/>
        <v>45470</v>
      </c>
      <c r="E4714" s="240">
        <f t="shared" si="479"/>
        <v>45470</v>
      </c>
      <c r="F4714" s="511" t="s">
        <v>1248</v>
      </c>
      <c r="G4714" s="225" t="s">
        <v>1245</v>
      </c>
      <c r="H4714" s="226"/>
      <c r="I4714" s="226" t="s">
        <v>1253</v>
      </c>
      <c r="J4714" s="222" t="s">
        <v>80</v>
      </c>
      <c r="K4714" s="227">
        <f>M4713</f>
        <v>3318.0031100262863</v>
      </c>
      <c r="L4714" s="227"/>
    </row>
    <row r="4715" spans="1:14" ht="11.25" customHeight="1" x14ac:dyDescent="0.2">
      <c r="A4715" s="228">
        <v>2024</v>
      </c>
      <c r="B4715" s="228">
        <v>6</v>
      </c>
      <c r="C4715" s="228">
        <v>27</v>
      </c>
      <c r="D4715" s="229">
        <f t="shared" si="474"/>
        <v>45470</v>
      </c>
      <c r="E4715" s="241">
        <f t="shared" si="479"/>
        <v>45470</v>
      </c>
      <c r="F4715" s="512"/>
      <c r="G4715" s="231" t="s">
        <v>1245</v>
      </c>
      <c r="H4715" s="232"/>
      <c r="I4715" s="232" t="s">
        <v>1253</v>
      </c>
      <c r="J4715" s="228" t="s">
        <v>42</v>
      </c>
      <c r="K4715" s="233"/>
      <c r="L4715" s="233">
        <f>K4714</f>
        <v>3318.0031100262863</v>
      </c>
    </row>
    <row r="4716" spans="1:14" ht="11.25" customHeight="1" x14ac:dyDescent="0.2">
      <c r="A4716" s="197">
        <v>2024</v>
      </c>
      <c r="B4716" s="197">
        <v>6</v>
      </c>
      <c r="C4716" s="197">
        <v>30</v>
      </c>
      <c r="D4716" s="198">
        <f t="shared" si="474"/>
        <v>45473</v>
      </c>
      <c r="E4716" s="199">
        <f t="shared" si="479"/>
        <v>45473</v>
      </c>
      <c r="F4716" s="513" t="s">
        <v>1827</v>
      </c>
      <c r="G4716" s="200" t="s">
        <v>1209</v>
      </c>
      <c r="H4716" s="201"/>
      <c r="I4716" s="201" t="s">
        <v>1253</v>
      </c>
      <c r="J4716" s="197" t="s">
        <v>1455</v>
      </c>
      <c r="K4716" s="202">
        <v>7774200.0000000009</v>
      </c>
      <c r="L4716" s="202"/>
    </row>
    <row r="4717" spans="1:14" ht="11.25" customHeight="1" x14ac:dyDescent="0.2">
      <c r="A4717" s="191">
        <v>2024</v>
      </c>
      <c r="B4717" s="191">
        <v>6</v>
      </c>
      <c r="C4717" s="191">
        <v>30</v>
      </c>
      <c r="D4717" s="192">
        <f t="shared" si="474"/>
        <v>45473</v>
      </c>
      <c r="E4717" s="193">
        <f t="shared" si="479"/>
        <v>45473</v>
      </c>
      <c r="F4717" s="514"/>
      <c r="G4717" s="194" t="s">
        <v>1209</v>
      </c>
      <c r="H4717" s="195"/>
      <c r="I4717" s="195" t="s">
        <v>1253</v>
      </c>
      <c r="J4717" s="191" t="s">
        <v>46</v>
      </c>
      <c r="K4717" s="196"/>
      <c r="L4717" s="196">
        <v>7774200.0000000009</v>
      </c>
      <c r="N4717" s="130"/>
    </row>
    <row r="4718" spans="1:14" ht="11.25" customHeight="1" x14ac:dyDescent="0.2">
      <c r="A4718" s="197">
        <v>2024</v>
      </c>
      <c r="B4718" s="197">
        <v>6</v>
      </c>
      <c r="C4718" s="197">
        <v>30</v>
      </c>
      <c r="D4718" s="198">
        <f t="shared" si="474"/>
        <v>45473</v>
      </c>
      <c r="E4718" s="209">
        <f t="shared" si="479"/>
        <v>45473</v>
      </c>
      <c r="F4718" s="513" t="s">
        <v>1210</v>
      </c>
      <c r="G4718" s="200" t="s">
        <v>1209</v>
      </c>
      <c r="H4718" s="201"/>
      <c r="I4718" s="201" t="s">
        <v>1356</v>
      </c>
      <c r="J4718" s="197" t="s">
        <v>46</v>
      </c>
      <c r="K4718" s="202">
        <v>30000</v>
      </c>
      <c r="L4718" s="202"/>
    </row>
    <row r="4719" spans="1:14" ht="11.25" customHeight="1" x14ac:dyDescent="0.2">
      <c r="A4719" s="120">
        <v>2024</v>
      </c>
      <c r="B4719" s="120">
        <v>6</v>
      </c>
      <c r="C4719" s="120">
        <v>30</v>
      </c>
      <c r="D4719" s="208">
        <f t="shared" si="474"/>
        <v>45473</v>
      </c>
      <c r="E4719" s="209">
        <f t="shared" si="479"/>
        <v>45473</v>
      </c>
      <c r="F4719" s="515"/>
      <c r="G4719" s="132" t="s">
        <v>1209</v>
      </c>
      <c r="I4719" s="128" t="s">
        <v>1356</v>
      </c>
      <c r="J4719" s="120" t="s">
        <v>16</v>
      </c>
      <c r="K4719" s="207"/>
      <c r="L4719" s="207">
        <v>26850</v>
      </c>
    </row>
    <row r="4720" spans="1:14" ht="11.25" customHeight="1" x14ac:dyDescent="0.2">
      <c r="A4720" s="191">
        <v>2024</v>
      </c>
      <c r="B4720" s="191">
        <v>6</v>
      </c>
      <c r="C4720" s="191">
        <v>30</v>
      </c>
      <c r="D4720" s="192">
        <f t="shared" si="474"/>
        <v>45473</v>
      </c>
      <c r="E4720" s="193">
        <f t="shared" si="479"/>
        <v>45473</v>
      </c>
      <c r="F4720" s="514"/>
      <c r="G4720" s="194" t="s">
        <v>1209</v>
      </c>
      <c r="H4720" s="195"/>
      <c r="I4720" s="195" t="s">
        <v>1356</v>
      </c>
      <c r="J4720" s="191" t="s">
        <v>47</v>
      </c>
      <c r="K4720" s="196"/>
      <c r="L4720" s="196">
        <v>3150</v>
      </c>
    </row>
    <row r="4721" spans="1:15" ht="11.25" customHeight="1" x14ac:dyDescent="0.2">
      <c r="A4721" s="197">
        <v>2024</v>
      </c>
      <c r="B4721" s="197">
        <v>6</v>
      </c>
      <c r="C4721" s="197">
        <v>30</v>
      </c>
      <c r="D4721" s="198">
        <f t="shared" si="474"/>
        <v>45473</v>
      </c>
      <c r="E4721" s="209">
        <f t="shared" ref="E4721:E4723" si="480">DATE(A4721,B4721,C4721)</f>
        <v>45473</v>
      </c>
      <c r="F4721" s="513" t="s">
        <v>1210</v>
      </c>
      <c r="G4721" s="200" t="s">
        <v>1209</v>
      </c>
      <c r="H4721" s="201"/>
      <c r="I4721" s="201" t="s">
        <v>1828</v>
      </c>
      <c r="J4721" s="197" t="s">
        <v>46</v>
      </c>
      <c r="K4721" s="202">
        <v>300000</v>
      </c>
      <c r="L4721" s="202"/>
    </row>
    <row r="4722" spans="1:15" ht="11.25" customHeight="1" x14ac:dyDescent="0.2">
      <c r="A4722" s="120">
        <v>2024</v>
      </c>
      <c r="B4722" s="120">
        <v>6</v>
      </c>
      <c r="C4722" s="120">
        <v>30</v>
      </c>
      <c r="D4722" s="208">
        <f t="shared" si="474"/>
        <v>45473</v>
      </c>
      <c r="E4722" s="209">
        <f t="shared" si="480"/>
        <v>45473</v>
      </c>
      <c r="F4722" s="515"/>
      <c r="G4722" s="132" t="s">
        <v>1209</v>
      </c>
      <c r="I4722" s="128" t="s">
        <v>1828</v>
      </c>
      <c r="J4722" s="120" t="s">
        <v>16</v>
      </c>
      <c r="K4722" s="207"/>
      <c r="L4722" s="207">
        <v>268500</v>
      </c>
    </row>
    <row r="4723" spans="1:15" ht="11.25" customHeight="1" x14ac:dyDescent="0.2">
      <c r="A4723" s="191">
        <v>2024</v>
      </c>
      <c r="B4723" s="191">
        <v>6</v>
      </c>
      <c r="C4723" s="191">
        <v>30</v>
      </c>
      <c r="D4723" s="192">
        <f t="shared" si="474"/>
        <v>45473</v>
      </c>
      <c r="E4723" s="193">
        <f t="shared" si="480"/>
        <v>45473</v>
      </c>
      <c r="F4723" s="514"/>
      <c r="G4723" s="194" t="s">
        <v>1209</v>
      </c>
      <c r="H4723" s="195"/>
      <c r="I4723" s="195" t="s">
        <v>1828</v>
      </c>
      <c r="J4723" s="191" t="s">
        <v>47</v>
      </c>
      <c r="K4723" s="196"/>
      <c r="L4723" s="196">
        <v>31500</v>
      </c>
    </row>
    <row r="4724" spans="1:15" ht="11.25" customHeight="1" x14ac:dyDescent="0.2">
      <c r="A4724" s="197">
        <v>2024</v>
      </c>
      <c r="B4724" s="197">
        <v>6</v>
      </c>
      <c r="C4724" s="197">
        <v>30</v>
      </c>
      <c r="D4724" s="198">
        <f t="shared" si="474"/>
        <v>45473</v>
      </c>
      <c r="E4724" s="209">
        <f t="shared" ref="E4724:E4726" si="481">DATE(A4724,B4724,C4724)</f>
        <v>45473</v>
      </c>
      <c r="F4724" s="513" t="s">
        <v>1210</v>
      </c>
      <c r="G4724" s="200" t="s">
        <v>1209</v>
      </c>
      <c r="H4724" s="201"/>
      <c r="I4724" s="201" t="s">
        <v>1829</v>
      </c>
      <c r="J4724" s="197" t="s">
        <v>46</v>
      </c>
      <c r="K4724" s="202">
        <v>120000</v>
      </c>
      <c r="L4724" s="202"/>
    </row>
    <row r="4725" spans="1:15" ht="11.25" customHeight="1" x14ac:dyDescent="0.2">
      <c r="A4725" s="120">
        <v>2024</v>
      </c>
      <c r="B4725" s="120">
        <v>6</v>
      </c>
      <c r="C4725" s="120">
        <v>30</v>
      </c>
      <c r="D4725" s="208">
        <f t="shared" si="474"/>
        <v>45473</v>
      </c>
      <c r="E4725" s="209">
        <f t="shared" si="481"/>
        <v>45473</v>
      </c>
      <c r="F4725" s="515"/>
      <c r="G4725" s="132" t="s">
        <v>1209</v>
      </c>
      <c r="I4725" s="128" t="s">
        <v>1829</v>
      </c>
      <c r="J4725" s="120" t="s">
        <v>16</v>
      </c>
      <c r="K4725" s="207"/>
      <c r="L4725" s="207">
        <v>107400</v>
      </c>
    </row>
    <row r="4726" spans="1:15" ht="11.25" customHeight="1" x14ac:dyDescent="0.2">
      <c r="A4726" s="191">
        <v>2024</v>
      </c>
      <c r="B4726" s="191">
        <v>6</v>
      </c>
      <c r="C4726" s="191">
        <v>30</v>
      </c>
      <c r="D4726" s="192">
        <f t="shared" si="474"/>
        <v>45473</v>
      </c>
      <c r="E4726" s="193">
        <f t="shared" si="481"/>
        <v>45473</v>
      </c>
      <c r="F4726" s="514"/>
      <c r="G4726" s="194" t="s">
        <v>1209</v>
      </c>
      <c r="H4726" s="195"/>
      <c r="I4726" s="195" t="s">
        <v>1829</v>
      </c>
      <c r="J4726" s="191" t="s">
        <v>47</v>
      </c>
      <c r="K4726" s="196"/>
      <c r="L4726" s="196">
        <v>12600</v>
      </c>
    </row>
    <row r="4727" spans="1:15" ht="11.25" customHeight="1" x14ac:dyDescent="0.2">
      <c r="A4727" s="197">
        <v>2024</v>
      </c>
      <c r="B4727" s="197">
        <v>6</v>
      </c>
      <c r="C4727" s="197">
        <v>30</v>
      </c>
      <c r="D4727" s="198">
        <f t="shared" si="474"/>
        <v>45473</v>
      </c>
      <c r="E4727" s="209">
        <f t="shared" ref="E4727:E4729" si="482">DATE(A4727,B4727,C4727)</f>
        <v>45473</v>
      </c>
      <c r="F4727" s="513" t="s">
        <v>1210</v>
      </c>
      <c r="G4727" s="200" t="s">
        <v>1209</v>
      </c>
      <c r="H4727" s="201"/>
      <c r="I4727" s="201" t="s">
        <v>1293</v>
      </c>
      <c r="J4727" s="197" t="s">
        <v>46</v>
      </c>
      <c r="K4727" s="202">
        <v>10000000</v>
      </c>
      <c r="L4727" s="202"/>
    </row>
    <row r="4728" spans="1:15" ht="11.25" customHeight="1" x14ac:dyDescent="0.2">
      <c r="A4728" s="120">
        <v>2024</v>
      </c>
      <c r="B4728" s="120">
        <v>6</v>
      </c>
      <c r="C4728" s="120">
        <v>30</v>
      </c>
      <c r="D4728" s="208">
        <f t="shared" si="474"/>
        <v>45473</v>
      </c>
      <c r="E4728" s="209">
        <f t="shared" si="482"/>
        <v>45473</v>
      </c>
      <c r="F4728" s="515"/>
      <c r="G4728" s="132" t="s">
        <v>1209</v>
      </c>
      <c r="I4728" s="128" t="s">
        <v>1293</v>
      </c>
      <c r="J4728" s="120" t="s">
        <v>16</v>
      </c>
      <c r="K4728" s="207"/>
      <c r="L4728" s="207">
        <v>8950150</v>
      </c>
    </row>
    <row r="4729" spans="1:15" ht="11.25" customHeight="1" x14ac:dyDescent="0.2">
      <c r="A4729" s="191">
        <v>2024</v>
      </c>
      <c r="B4729" s="191">
        <v>6</v>
      </c>
      <c r="C4729" s="191">
        <v>30</v>
      </c>
      <c r="D4729" s="192">
        <f t="shared" si="474"/>
        <v>45473</v>
      </c>
      <c r="E4729" s="193">
        <f t="shared" si="482"/>
        <v>45473</v>
      </c>
      <c r="F4729" s="514"/>
      <c r="G4729" s="194" t="s">
        <v>1209</v>
      </c>
      <c r="H4729" s="195"/>
      <c r="I4729" s="195" t="s">
        <v>1293</v>
      </c>
      <c r="J4729" s="191" t="s">
        <v>47</v>
      </c>
      <c r="K4729" s="196"/>
      <c r="L4729" s="196">
        <v>1049850</v>
      </c>
    </row>
    <row r="4730" spans="1:15" ht="11.25" customHeight="1" x14ac:dyDescent="0.2">
      <c r="A4730" s="197">
        <v>2024</v>
      </c>
      <c r="B4730" s="197">
        <v>6</v>
      </c>
      <c r="C4730" s="197">
        <v>30</v>
      </c>
      <c r="D4730" s="198">
        <f t="shared" ref="D4730:D4791" si="483">DATE(A4730,B4730,C4730)</f>
        <v>45473</v>
      </c>
      <c r="E4730" s="209">
        <f t="shared" ref="E4730:E4739" si="484">DATE(A4730,B4730,C4730)</f>
        <v>45473</v>
      </c>
      <c r="F4730" s="513" t="s">
        <v>1210</v>
      </c>
      <c r="G4730" s="200" t="s">
        <v>1209</v>
      </c>
      <c r="H4730" s="201"/>
      <c r="I4730" s="201" t="s">
        <v>1830</v>
      </c>
      <c r="J4730" s="197" t="s">
        <v>46</v>
      </c>
      <c r="K4730" s="202">
        <v>300000</v>
      </c>
      <c r="L4730" s="202"/>
    </row>
    <row r="4731" spans="1:15" ht="11.25" customHeight="1" x14ac:dyDescent="0.2">
      <c r="A4731" s="120">
        <v>2024</v>
      </c>
      <c r="B4731" s="120">
        <v>6</v>
      </c>
      <c r="C4731" s="120">
        <v>30</v>
      </c>
      <c r="D4731" s="208">
        <f t="shared" si="483"/>
        <v>45473</v>
      </c>
      <c r="E4731" s="209">
        <f t="shared" si="484"/>
        <v>45473</v>
      </c>
      <c r="F4731" s="515"/>
      <c r="G4731" s="132" t="s">
        <v>1209</v>
      </c>
      <c r="I4731" s="128" t="s">
        <v>1830</v>
      </c>
      <c r="J4731" s="120" t="s">
        <v>16</v>
      </c>
      <c r="K4731" s="207"/>
      <c r="L4731" s="207">
        <v>269010</v>
      </c>
    </row>
    <row r="4732" spans="1:15" ht="11.25" customHeight="1" x14ac:dyDescent="0.2">
      <c r="A4732" s="191">
        <v>2024</v>
      </c>
      <c r="B4732" s="191">
        <v>6</v>
      </c>
      <c r="C4732" s="191">
        <v>30</v>
      </c>
      <c r="D4732" s="192">
        <f t="shared" si="483"/>
        <v>45473</v>
      </c>
      <c r="E4732" s="193">
        <f t="shared" si="484"/>
        <v>45473</v>
      </c>
      <c r="F4732" s="514"/>
      <c r="G4732" s="194" t="s">
        <v>1209</v>
      </c>
      <c r="H4732" s="195"/>
      <c r="I4732" s="195" t="s">
        <v>1830</v>
      </c>
      <c r="J4732" s="191" t="s">
        <v>47</v>
      </c>
      <c r="K4732" s="196"/>
      <c r="L4732" s="196">
        <v>30990</v>
      </c>
    </row>
    <row r="4733" spans="1:15" ht="11.25" customHeight="1" x14ac:dyDescent="0.2">
      <c r="A4733" s="197">
        <v>2024</v>
      </c>
      <c r="B4733" s="197">
        <v>6</v>
      </c>
      <c r="C4733" s="197">
        <v>30</v>
      </c>
      <c r="D4733" s="198">
        <f t="shared" si="483"/>
        <v>45473</v>
      </c>
      <c r="E4733" s="209">
        <f t="shared" ref="E4733:E4735" si="485">DATE(A4733,B4733,C4733)</f>
        <v>45473</v>
      </c>
      <c r="F4733" s="513" t="s">
        <v>1210</v>
      </c>
      <c r="G4733" s="200" t="s">
        <v>1209</v>
      </c>
      <c r="H4733" s="201"/>
      <c r="I4733" s="201"/>
      <c r="J4733" s="197" t="s">
        <v>46</v>
      </c>
      <c r="K4733" s="202">
        <v>150000</v>
      </c>
      <c r="L4733" s="202"/>
    </row>
    <row r="4734" spans="1:15" ht="11.25" customHeight="1" x14ac:dyDescent="0.2">
      <c r="A4734" s="120">
        <v>2024</v>
      </c>
      <c r="B4734" s="120">
        <v>6</v>
      </c>
      <c r="C4734" s="120">
        <v>30</v>
      </c>
      <c r="D4734" s="208">
        <f t="shared" si="483"/>
        <v>45473</v>
      </c>
      <c r="E4734" s="209">
        <f t="shared" si="485"/>
        <v>45473</v>
      </c>
      <c r="F4734" s="515"/>
      <c r="G4734" s="132" t="s">
        <v>1209</v>
      </c>
      <c r="J4734" s="120" t="s">
        <v>16</v>
      </c>
      <c r="K4734" s="207"/>
      <c r="L4734" s="207">
        <v>134250</v>
      </c>
    </row>
    <row r="4735" spans="1:15" ht="11.25" customHeight="1" x14ac:dyDescent="0.2">
      <c r="A4735" s="191">
        <v>2024</v>
      </c>
      <c r="B4735" s="191">
        <v>6</v>
      </c>
      <c r="C4735" s="191">
        <v>30</v>
      </c>
      <c r="D4735" s="192">
        <f t="shared" si="483"/>
        <v>45473</v>
      </c>
      <c r="E4735" s="193">
        <f t="shared" si="485"/>
        <v>45473</v>
      </c>
      <c r="F4735" s="514"/>
      <c r="G4735" s="194" t="s">
        <v>1209</v>
      </c>
      <c r="H4735" s="195"/>
      <c r="I4735" s="195"/>
      <c r="J4735" s="191" t="s">
        <v>47</v>
      </c>
      <c r="K4735" s="196"/>
      <c r="L4735" s="196">
        <v>15750</v>
      </c>
    </row>
    <row r="4736" spans="1:15" ht="11.25" customHeight="1" x14ac:dyDescent="0.2">
      <c r="A4736" s="197">
        <v>2024</v>
      </c>
      <c r="B4736" s="197">
        <v>6</v>
      </c>
      <c r="C4736" s="197">
        <v>30</v>
      </c>
      <c r="D4736" s="198">
        <f t="shared" si="483"/>
        <v>45473</v>
      </c>
      <c r="E4736" s="290">
        <f t="shared" si="484"/>
        <v>45473</v>
      </c>
      <c r="F4736" s="513" t="s">
        <v>1514</v>
      </c>
      <c r="G4736" s="200" t="s">
        <v>1209</v>
      </c>
      <c r="H4736" s="201"/>
      <c r="I4736" s="201"/>
      <c r="J4736" s="197" t="s">
        <v>54</v>
      </c>
      <c r="K4736" s="202">
        <v>80</v>
      </c>
      <c r="L4736" s="202"/>
      <c r="M4736" s="251"/>
      <c r="N4736" s="251"/>
      <c r="O4736" s="251"/>
    </row>
    <row r="4737" spans="1:15" ht="11.25" customHeight="1" x14ac:dyDescent="0.2">
      <c r="A4737" s="191">
        <v>2024</v>
      </c>
      <c r="B4737" s="191">
        <v>6</v>
      </c>
      <c r="C4737" s="191">
        <v>30</v>
      </c>
      <c r="D4737" s="192">
        <f t="shared" si="483"/>
        <v>45473</v>
      </c>
      <c r="E4737" s="291">
        <f t="shared" si="484"/>
        <v>45473</v>
      </c>
      <c r="F4737" s="514"/>
      <c r="G4737" s="194" t="s">
        <v>1209</v>
      </c>
      <c r="H4737" s="195"/>
      <c r="I4737" s="195"/>
      <c r="J4737" s="191" t="s">
        <v>46</v>
      </c>
      <c r="K4737" s="207"/>
      <c r="L4737" s="207">
        <v>80</v>
      </c>
      <c r="M4737" s="251"/>
      <c r="N4737" s="251"/>
      <c r="O4737" s="251"/>
    </row>
    <row r="4738" spans="1:15" ht="11.25" customHeight="1" x14ac:dyDescent="0.2">
      <c r="A4738" s="197">
        <v>2024</v>
      </c>
      <c r="B4738" s="197">
        <v>6</v>
      </c>
      <c r="C4738" s="197">
        <v>30</v>
      </c>
      <c r="D4738" s="198">
        <f t="shared" si="483"/>
        <v>45473</v>
      </c>
      <c r="E4738" s="290">
        <f t="shared" si="484"/>
        <v>45473</v>
      </c>
      <c r="F4738" s="513" t="s">
        <v>1839</v>
      </c>
      <c r="G4738" s="200" t="s">
        <v>1245</v>
      </c>
      <c r="H4738" s="201"/>
      <c r="I4738" s="201" t="s">
        <v>1253</v>
      </c>
      <c r="J4738" s="197" t="s">
        <v>58</v>
      </c>
      <c r="K4738" s="202">
        <v>56.426093749989377</v>
      </c>
      <c r="L4738" s="202"/>
    </row>
    <row r="4739" spans="1:15" ht="11.25" customHeight="1" x14ac:dyDescent="0.2">
      <c r="A4739" s="191">
        <v>2024</v>
      </c>
      <c r="B4739" s="191">
        <v>6</v>
      </c>
      <c r="C4739" s="191">
        <v>30</v>
      </c>
      <c r="D4739" s="192">
        <f t="shared" si="483"/>
        <v>45473</v>
      </c>
      <c r="E4739" s="291">
        <f t="shared" si="484"/>
        <v>45473</v>
      </c>
      <c r="F4739" s="514"/>
      <c r="G4739" s="194" t="s">
        <v>1245</v>
      </c>
      <c r="H4739" s="195"/>
      <c r="I4739" s="195" t="s">
        <v>1253</v>
      </c>
      <c r="J4739" s="191" t="s">
        <v>153</v>
      </c>
      <c r="K4739" s="207"/>
      <c r="L4739" s="207">
        <v>56.426093749989377</v>
      </c>
    </row>
    <row r="4740" spans="1:15" ht="11.25" customHeight="1" x14ac:dyDescent="0.2">
      <c r="A4740" s="197">
        <v>2024</v>
      </c>
      <c r="B4740" s="197">
        <v>6</v>
      </c>
      <c r="C4740" s="197">
        <v>30</v>
      </c>
      <c r="D4740" s="198">
        <f t="shared" si="483"/>
        <v>45473</v>
      </c>
      <c r="E4740" s="290">
        <f t="shared" ref="E4740:E4745" si="486">DATE(A4740,B4740,C4740)</f>
        <v>45473</v>
      </c>
      <c r="F4740" s="513" t="s">
        <v>1831</v>
      </c>
      <c r="G4740" s="200" t="s">
        <v>1209</v>
      </c>
      <c r="H4740" s="201"/>
      <c r="I4740" s="201"/>
      <c r="J4740" s="197" t="s">
        <v>46</v>
      </c>
      <c r="K4740" s="202">
        <v>12605.75</v>
      </c>
      <c r="L4740" s="202"/>
      <c r="M4740" s="251"/>
      <c r="N4740" s="251"/>
      <c r="O4740" s="251"/>
    </row>
    <row r="4741" spans="1:15" ht="11.25" customHeight="1" x14ac:dyDescent="0.2">
      <c r="A4741" s="120">
        <v>2024</v>
      </c>
      <c r="B4741" s="120">
        <v>6</v>
      </c>
      <c r="C4741" s="120">
        <v>30</v>
      </c>
      <c r="D4741" s="208">
        <f t="shared" si="483"/>
        <v>45473</v>
      </c>
      <c r="E4741" s="293">
        <f t="shared" ref="E4741" si="487">DATE(A4741,B4741,C4741)</f>
        <v>45473</v>
      </c>
      <c r="F4741" s="515"/>
      <c r="G4741" s="132" t="s">
        <v>1209</v>
      </c>
      <c r="J4741" s="120" t="s">
        <v>58</v>
      </c>
      <c r="K4741" s="207"/>
      <c r="L4741" s="207">
        <v>12605.75</v>
      </c>
      <c r="M4741" s="251"/>
      <c r="N4741" s="251"/>
      <c r="O4741" s="251"/>
    </row>
    <row r="4742" spans="1:15" ht="11.25" customHeight="1" x14ac:dyDescent="0.2">
      <c r="A4742" s="197">
        <v>2024</v>
      </c>
      <c r="B4742" s="197">
        <v>6</v>
      </c>
      <c r="C4742" s="197">
        <v>30</v>
      </c>
      <c r="D4742" s="198">
        <f t="shared" si="483"/>
        <v>45473</v>
      </c>
      <c r="E4742" s="290">
        <f t="shared" si="486"/>
        <v>45473</v>
      </c>
      <c r="F4742" s="513" t="s">
        <v>1514</v>
      </c>
      <c r="G4742" s="200" t="s">
        <v>1209</v>
      </c>
      <c r="H4742" s="201"/>
      <c r="I4742" s="201"/>
      <c r="J4742" s="197" t="s">
        <v>54</v>
      </c>
      <c r="K4742" s="202">
        <v>345</v>
      </c>
      <c r="L4742" s="202"/>
      <c r="M4742" s="251"/>
      <c r="N4742" s="251"/>
      <c r="O4742" s="251"/>
    </row>
    <row r="4743" spans="1:15" ht="11.25" customHeight="1" x14ac:dyDescent="0.2">
      <c r="A4743" s="191">
        <v>2024</v>
      </c>
      <c r="B4743" s="191">
        <v>6</v>
      </c>
      <c r="C4743" s="191">
        <v>30</v>
      </c>
      <c r="D4743" s="192">
        <f t="shared" si="483"/>
        <v>45473</v>
      </c>
      <c r="E4743" s="291">
        <f t="shared" si="486"/>
        <v>45473</v>
      </c>
      <c r="F4743" s="514"/>
      <c r="G4743" s="194" t="s">
        <v>1209</v>
      </c>
      <c r="H4743" s="195"/>
      <c r="I4743" s="195"/>
      <c r="J4743" s="191" t="s">
        <v>46</v>
      </c>
      <c r="K4743" s="207"/>
      <c r="L4743" s="207">
        <v>345</v>
      </c>
      <c r="M4743" s="251"/>
      <c r="N4743" s="251"/>
      <c r="O4743" s="251"/>
    </row>
    <row r="4744" spans="1:15" ht="11.25" customHeight="1" x14ac:dyDescent="0.2">
      <c r="A4744" s="197">
        <v>2024</v>
      </c>
      <c r="B4744" s="197">
        <v>6</v>
      </c>
      <c r="C4744" s="197">
        <v>30</v>
      </c>
      <c r="D4744" s="198">
        <f t="shared" si="483"/>
        <v>45473</v>
      </c>
      <c r="E4744" s="290">
        <f t="shared" si="486"/>
        <v>45473</v>
      </c>
      <c r="F4744" s="513" t="s">
        <v>1840</v>
      </c>
      <c r="G4744" s="200" t="s">
        <v>1245</v>
      </c>
      <c r="H4744" s="201"/>
      <c r="I4744" s="201" t="s">
        <v>1253</v>
      </c>
      <c r="J4744" s="197" t="s">
        <v>58</v>
      </c>
      <c r="K4744" s="202">
        <v>22645.144125833118</v>
      </c>
      <c r="L4744" s="202"/>
    </row>
    <row r="4745" spans="1:15" ht="11.25" customHeight="1" x14ac:dyDescent="0.2">
      <c r="A4745" s="191">
        <v>2024</v>
      </c>
      <c r="B4745" s="191">
        <v>6</v>
      </c>
      <c r="C4745" s="191">
        <v>30</v>
      </c>
      <c r="D4745" s="192">
        <f t="shared" si="483"/>
        <v>45473</v>
      </c>
      <c r="E4745" s="291">
        <f t="shared" si="486"/>
        <v>45473</v>
      </c>
      <c r="F4745" s="514"/>
      <c r="G4745" s="194" t="s">
        <v>1245</v>
      </c>
      <c r="H4745" s="195"/>
      <c r="I4745" s="195" t="s">
        <v>1253</v>
      </c>
      <c r="J4745" s="191" t="s">
        <v>153</v>
      </c>
      <c r="K4745" s="207"/>
      <c r="L4745" s="207">
        <v>22645.144125833118</v>
      </c>
    </row>
    <row r="4746" spans="1:15" ht="11.25" customHeight="1" x14ac:dyDescent="0.2">
      <c r="A4746" s="197">
        <v>2024</v>
      </c>
      <c r="B4746" s="197">
        <v>6</v>
      </c>
      <c r="C4746" s="197">
        <v>30</v>
      </c>
      <c r="D4746" s="198">
        <f t="shared" si="483"/>
        <v>45473</v>
      </c>
      <c r="E4746" s="290">
        <f t="shared" ref="E4746:E4780" si="488">DATE(A4746,B4746,C4746)</f>
        <v>45473</v>
      </c>
      <c r="F4746" s="513" t="s">
        <v>1832</v>
      </c>
      <c r="G4746" s="200" t="s">
        <v>1209</v>
      </c>
      <c r="H4746" s="201"/>
      <c r="I4746" s="201"/>
      <c r="J4746" s="197" t="s">
        <v>46</v>
      </c>
      <c r="K4746" s="202">
        <v>434976</v>
      </c>
      <c r="L4746" s="202"/>
      <c r="M4746" s="251"/>
      <c r="N4746" s="251"/>
      <c r="O4746" s="251"/>
    </row>
    <row r="4747" spans="1:15" ht="11.25" customHeight="1" x14ac:dyDescent="0.2">
      <c r="A4747" s="120">
        <v>2024</v>
      </c>
      <c r="B4747" s="120">
        <v>6</v>
      </c>
      <c r="C4747" s="120">
        <v>30</v>
      </c>
      <c r="D4747" s="208">
        <f t="shared" si="483"/>
        <v>45473</v>
      </c>
      <c r="E4747" s="293">
        <f t="shared" si="488"/>
        <v>45473</v>
      </c>
      <c r="F4747" s="515"/>
      <c r="G4747" s="132" t="s">
        <v>1209</v>
      </c>
      <c r="J4747" s="120" t="s">
        <v>58</v>
      </c>
      <c r="K4747" s="207"/>
      <c r="L4747" s="207">
        <v>434976</v>
      </c>
      <c r="M4747" s="251"/>
      <c r="N4747" s="251"/>
      <c r="O4747" s="251"/>
    </row>
    <row r="4748" spans="1:15" ht="11.25" customHeight="1" x14ac:dyDescent="0.2">
      <c r="A4748" s="197">
        <v>2024</v>
      </c>
      <c r="B4748" s="197">
        <v>6</v>
      </c>
      <c r="C4748" s="197">
        <v>30</v>
      </c>
      <c r="D4748" s="198">
        <f t="shared" si="483"/>
        <v>45473</v>
      </c>
      <c r="E4748" s="290">
        <f t="shared" si="488"/>
        <v>45473</v>
      </c>
      <c r="F4748" s="513" t="s">
        <v>1514</v>
      </c>
      <c r="G4748" s="200" t="s">
        <v>1209</v>
      </c>
      <c r="H4748" s="201"/>
      <c r="I4748" s="201"/>
      <c r="J4748" s="197" t="s">
        <v>54</v>
      </c>
      <c r="K4748" s="202">
        <v>43497.57</v>
      </c>
      <c r="L4748" s="202"/>
      <c r="M4748" s="251"/>
      <c r="N4748" s="251"/>
      <c r="O4748" s="251"/>
    </row>
    <row r="4749" spans="1:15" ht="11.25" customHeight="1" x14ac:dyDescent="0.2">
      <c r="A4749" s="191">
        <v>2024</v>
      </c>
      <c r="B4749" s="191">
        <v>6</v>
      </c>
      <c r="C4749" s="191">
        <v>30</v>
      </c>
      <c r="D4749" s="192">
        <f t="shared" si="483"/>
        <v>45473</v>
      </c>
      <c r="E4749" s="291">
        <f t="shared" si="488"/>
        <v>45473</v>
      </c>
      <c r="F4749" s="514"/>
      <c r="G4749" s="194" t="s">
        <v>1209</v>
      </c>
      <c r="H4749" s="195"/>
      <c r="I4749" s="195"/>
      <c r="J4749" s="191" t="s">
        <v>46</v>
      </c>
      <c r="K4749" s="207"/>
      <c r="L4749" s="207">
        <v>43497.57</v>
      </c>
      <c r="M4749" s="251"/>
      <c r="N4749" s="251"/>
      <c r="O4749" s="251"/>
    </row>
    <row r="4750" spans="1:15" ht="11.25" customHeight="1" x14ac:dyDescent="0.2">
      <c r="A4750" s="197">
        <v>2024</v>
      </c>
      <c r="B4750" s="197">
        <v>6</v>
      </c>
      <c r="C4750" s="197">
        <v>30</v>
      </c>
      <c r="D4750" s="198">
        <f t="shared" si="483"/>
        <v>45473</v>
      </c>
      <c r="E4750" s="290">
        <f t="shared" si="488"/>
        <v>45473</v>
      </c>
      <c r="F4750" s="513" t="s">
        <v>1840</v>
      </c>
      <c r="G4750" s="200" t="s">
        <v>1245</v>
      </c>
      <c r="H4750" s="201"/>
      <c r="I4750" s="201" t="s">
        <v>1253</v>
      </c>
      <c r="J4750" s="197" t="s">
        <v>58</v>
      </c>
      <c r="K4750" s="202">
        <v>697.33886250024079</v>
      </c>
      <c r="L4750" s="202"/>
    </row>
    <row r="4751" spans="1:15" ht="11.25" customHeight="1" x14ac:dyDescent="0.2">
      <c r="A4751" s="191">
        <v>2024</v>
      </c>
      <c r="B4751" s="191">
        <v>6</v>
      </c>
      <c r="C4751" s="191">
        <v>30</v>
      </c>
      <c r="D4751" s="192">
        <f t="shared" si="483"/>
        <v>45473</v>
      </c>
      <c r="E4751" s="291">
        <f t="shared" si="488"/>
        <v>45473</v>
      </c>
      <c r="F4751" s="514"/>
      <c r="G4751" s="194" t="s">
        <v>1245</v>
      </c>
      <c r="H4751" s="195"/>
      <c r="I4751" s="195" t="s">
        <v>1253</v>
      </c>
      <c r="J4751" s="191" t="s">
        <v>153</v>
      </c>
      <c r="K4751" s="207"/>
      <c r="L4751" s="207">
        <v>697.33886250024079</v>
      </c>
    </row>
    <row r="4752" spans="1:15" ht="11.25" customHeight="1" x14ac:dyDescent="0.2">
      <c r="A4752" s="197">
        <v>2024</v>
      </c>
      <c r="B4752" s="197">
        <v>6</v>
      </c>
      <c r="C4752" s="197">
        <v>30</v>
      </c>
      <c r="D4752" s="198">
        <f t="shared" si="483"/>
        <v>45473</v>
      </c>
      <c r="E4752" s="290">
        <f t="shared" ref="E4752:E4753" si="489">DATE(A4752,B4752,C4752)</f>
        <v>45473</v>
      </c>
      <c r="F4752" s="513" t="s">
        <v>1832</v>
      </c>
      <c r="G4752" s="200" t="s">
        <v>1209</v>
      </c>
      <c r="H4752" s="201"/>
      <c r="I4752" s="201"/>
      <c r="J4752" s="197" t="s">
        <v>46</v>
      </c>
      <c r="K4752" s="202">
        <v>149132</v>
      </c>
      <c r="L4752" s="202"/>
      <c r="M4752" s="251"/>
      <c r="N4752" s="251"/>
      <c r="O4752" s="251"/>
    </row>
    <row r="4753" spans="1:15" ht="11.25" customHeight="1" x14ac:dyDescent="0.2">
      <c r="A4753" s="120">
        <v>2024</v>
      </c>
      <c r="B4753" s="120">
        <v>6</v>
      </c>
      <c r="C4753" s="120">
        <v>30</v>
      </c>
      <c r="D4753" s="208">
        <f t="shared" si="483"/>
        <v>45473</v>
      </c>
      <c r="E4753" s="293">
        <f t="shared" si="489"/>
        <v>45473</v>
      </c>
      <c r="F4753" s="515"/>
      <c r="G4753" s="132" t="s">
        <v>1209</v>
      </c>
      <c r="J4753" s="120" t="s">
        <v>58</v>
      </c>
      <c r="K4753" s="207"/>
      <c r="L4753" s="207">
        <v>149132</v>
      </c>
      <c r="M4753" s="251"/>
      <c r="N4753" s="251"/>
      <c r="O4753" s="251"/>
    </row>
    <row r="4754" spans="1:15" ht="11.25" customHeight="1" x14ac:dyDescent="0.2">
      <c r="A4754" s="197">
        <v>2024</v>
      </c>
      <c r="B4754" s="197">
        <v>6</v>
      </c>
      <c r="C4754" s="197">
        <v>30</v>
      </c>
      <c r="D4754" s="198">
        <f t="shared" si="483"/>
        <v>45473</v>
      </c>
      <c r="E4754" s="290">
        <f t="shared" si="488"/>
        <v>45473</v>
      </c>
      <c r="F4754" s="513" t="s">
        <v>1514</v>
      </c>
      <c r="G4754" s="200" t="s">
        <v>1209</v>
      </c>
      <c r="H4754" s="201"/>
      <c r="I4754" s="201"/>
      <c r="J4754" s="197" t="s">
        <v>54</v>
      </c>
      <c r="K4754" s="202">
        <v>575</v>
      </c>
      <c r="L4754" s="202"/>
      <c r="M4754" s="251"/>
      <c r="N4754" s="251"/>
      <c r="O4754" s="251"/>
    </row>
    <row r="4755" spans="1:15" ht="11.25" customHeight="1" x14ac:dyDescent="0.2">
      <c r="A4755" s="191">
        <v>2024</v>
      </c>
      <c r="B4755" s="191">
        <v>6</v>
      </c>
      <c r="C4755" s="191">
        <v>30</v>
      </c>
      <c r="D4755" s="192">
        <f t="shared" si="483"/>
        <v>45473</v>
      </c>
      <c r="E4755" s="291">
        <f t="shared" si="488"/>
        <v>45473</v>
      </c>
      <c r="F4755" s="514"/>
      <c r="G4755" s="194" t="s">
        <v>1209</v>
      </c>
      <c r="H4755" s="195"/>
      <c r="I4755" s="195"/>
      <c r="J4755" s="191" t="s">
        <v>46</v>
      </c>
      <c r="K4755" s="207"/>
      <c r="L4755" s="207">
        <v>575</v>
      </c>
      <c r="M4755" s="251"/>
      <c r="N4755" s="251"/>
      <c r="O4755" s="251"/>
    </row>
    <row r="4756" spans="1:15" ht="11.25" customHeight="1" x14ac:dyDescent="0.2">
      <c r="A4756" s="197">
        <v>2024</v>
      </c>
      <c r="B4756" s="197">
        <v>6</v>
      </c>
      <c r="C4756" s="197">
        <v>30</v>
      </c>
      <c r="D4756" s="198">
        <f t="shared" si="483"/>
        <v>45473</v>
      </c>
      <c r="E4756" s="290">
        <f t="shared" ref="E4756:E4757" si="490">DATE(A4756,B4756,C4756)</f>
        <v>45473</v>
      </c>
      <c r="F4756" s="513" t="s">
        <v>1517</v>
      </c>
      <c r="G4756" s="200" t="s">
        <v>1209</v>
      </c>
      <c r="H4756" s="201"/>
      <c r="I4756" s="201"/>
      <c r="J4756" s="197" t="s">
        <v>54</v>
      </c>
      <c r="K4756" s="202">
        <v>345</v>
      </c>
      <c r="L4756" s="202"/>
      <c r="M4756" s="251"/>
      <c r="N4756" s="251"/>
      <c r="O4756" s="251"/>
    </row>
    <row r="4757" spans="1:15" ht="11.25" customHeight="1" x14ac:dyDescent="0.2">
      <c r="A4757" s="191">
        <v>2024</v>
      </c>
      <c r="B4757" s="191">
        <v>6</v>
      </c>
      <c r="C4757" s="191">
        <v>30</v>
      </c>
      <c r="D4757" s="192">
        <f t="shared" si="483"/>
        <v>45473</v>
      </c>
      <c r="E4757" s="291">
        <f t="shared" si="490"/>
        <v>45473</v>
      </c>
      <c r="F4757" s="514"/>
      <c r="G4757" s="194" t="s">
        <v>1209</v>
      </c>
      <c r="H4757" s="195"/>
      <c r="I4757" s="195"/>
      <c r="J4757" s="191" t="s">
        <v>46</v>
      </c>
      <c r="K4757" s="196"/>
      <c r="L4757" s="196">
        <v>345</v>
      </c>
      <c r="M4757" s="251"/>
      <c r="N4757" s="251"/>
      <c r="O4757" s="251"/>
    </row>
    <row r="4758" spans="1:15" ht="11.25" customHeight="1" x14ac:dyDescent="0.2">
      <c r="A4758" s="197">
        <v>2024</v>
      </c>
      <c r="B4758" s="197">
        <v>6</v>
      </c>
      <c r="C4758" s="197">
        <v>30</v>
      </c>
      <c r="D4758" s="198">
        <f t="shared" si="483"/>
        <v>45473</v>
      </c>
      <c r="E4758" s="290">
        <f t="shared" ref="E4758:E4761" si="491">DATE(A4758,B4758,C4758)</f>
        <v>45473</v>
      </c>
      <c r="F4758" s="513" t="s">
        <v>1524</v>
      </c>
      <c r="G4758" s="200" t="s">
        <v>1209</v>
      </c>
      <c r="H4758" s="201"/>
      <c r="I4758" s="201"/>
      <c r="J4758" s="197" t="s">
        <v>54</v>
      </c>
      <c r="K4758" s="202">
        <v>581.21</v>
      </c>
      <c r="L4758" s="202"/>
      <c r="M4758" s="251"/>
      <c r="N4758" s="251"/>
      <c r="O4758" s="251"/>
    </row>
    <row r="4759" spans="1:15" ht="11.25" customHeight="1" x14ac:dyDescent="0.2">
      <c r="A4759" s="191">
        <v>2024</v>
      </c>
      <c r="B4759" s="191">
        <v>6</v>
      </c>
      <c r="C4759" s="191">
        <v>30</v>
      </c>
      <c r="D4759" s="192">
        <f t="shared" si="483"/>
        <v>45473</v>
      </c>
      <c r="E4759" s="291">
        <f t="shared" si="491"/>
        <v>45473</v>
      </c>
      <c r="F4759" s="514"/>
      <c r="G4759" s="194" t="s">
        <v>1209</v>
      </c>
      <c r="H4759" s="195"/>
      <c r="I4759" s="195"/>
      <c r="J4759" s="191" t="s">
        <v>46</v>
      </c>
      <c r="K4759" s="196"/>
      <c r="L4759" s="196">
        <v>581.21</v>
      </c>
      <c r="M4759" s="251"/>
      <c r="N4759" s="251"/>
      <c r="O4759" s="251"/>
    </row>
    <row r="4760" spans="1:15" ht="11.25" customHeight="1" x14ac:dyDescent="0.2">
      <c r="A4760" s="197">
        <v>2024</v>
      </c>
      <c r="B4760" s="197">
        <v>6</v>
      </c>
      <c r="C4760" s="197">
        <v>30</v>
      </c>
      <c r="D4760" s="198">
        <f t="shared" si="483"/>
        <v>45473</v>
      </c>
      <c r="E4760" s="290">
        <f t="shared" si="491"/>
        <v>45473</v>
      </c>
      <c r="F4760" s="513" t="s">
        <v>1833</v>
      </c>
      <c r="G4760" s="200" t="s">
        <v>1209</v>
      </c>
      <c r="H4760" s="201"/>
      <c r="I4760" s="201"/>
      <c r="J4760" s="197" t="s">
        <v>46</v>
      </c>
      <c r="K4760" s="202">
        <v>41.25</v>
      </c>
      <c r="L4760" s="202"/>
      <c r="M4760" s="251"/>
      <c r="N4760" s="251"/>
      <c r="O4760" s="251"/>
    </row>
    <row r="4761" spans="1:15" ht="12" customHeight="1" x14ac:dyDescent="0.2">
      <c r="A4761" s="191">
        <v>2024</v>
      </c>
      <c r="B4761" s="191">
        <v>6</v>
      </c>
      <c r="C4761" s="191">
        <v>30</v>
      </c>
      <c r="D4761" s="192">
        <f t="shared" si="483"/>
        <v>45473</v>
      </c>
      <c r="E4761" s="291">
        <f t="shared" si="491"/>
        <v>45473</v>
      </c>
      <c r="F4761" s="514"/>
      <c r="G4761" s="194" t="s">
        <v>1209</v>
      </c>
      <c r="H4761" s="195"/>
      <c r="I4761" s="195"/>
      <c r="J4761" s="191" t="s">
        <v>153</v>
      </c>
      <c r="K4761" s="196"/>
      <c r="L4761" s="196">
        <v>41.25</v>
      </c>
      <c r="M4761" s="251"/>
      <c r="N4761" s="251"/>
      <c r="O4761" s="251"/>
    </row>
    <row r="4762" spans="1:15" ht="11.25" customHeight="1" x14ac:dyDescent="0.2">
      <c r="A4762" s="197">
        <v>2024</v>
      </c>
      <c r="B4762" s="197">
        <v>6</v>
      </c>
      <c r="C4762" s="197">
        <v>30</v>
      </c>
      <c r="D4762" s="198">
        <f t="shared" si="483"/>
        <v>45473</v>
      </c>
      <c r="E4762" s="290">
        <f t="shared" ref="E4762:E4763" si="492">DATE(A4762,B4762,C4762)</f>
        <v>45473</v>
      </c>
      <c r="F4762" s="513" t="s">
        <v>1563</v>
      </c>
      <c r="G4762" s="200" t="s">
        <v>1209</v>
      </c>
      <c r="H4762" s="201"/>
      <c r="I4762" s="201"/>
      <c r="J4762" s="197" t="s">
        <v>54</v>
      </c>
      <c r="K4762" s="202">
        <v>575</v>
      </c>
      <c r="L4762" s="202"/>
      <c r="M4762" s="251"/>
      <c r="N4762" s="251"/>
      <c r="O4762" s="251"/>
    </row>
    <row r="4763" spans="1:15" ht="11.25" customHeight="1" x14ac:dyDescent="0.2">
      <c r="A4763" s="191">
        <v>2024</v>
      </c>
      <c r="B4763" s="191">
        <v>6</v>
      </c>
      <c r="C4763" s="191">
        <v>30</v>
      </c>
      <c r="D4763" s="192">
        <f t="shared" si="483"/>
        <v>45473</v>
      </c>
      <c r="E4763" s="291">
        <f t="shared" si="492"/>
        <v>45473</v>
      </c>
      <c r="F4763" s="514"/>
      <c r="G4763" s="194" t="s">
        <v>1209</v>
      </c>
      <c r="H4763" s="195"/>
      <c r="I4763" s="195"/>
      <c r="J4763" s="191" t="s">
        <v>46</v>
      </c>
      <c r="K4763" s="196"/>
      <c r="L4763" s="196">
        <v>575</v>
      </c>
      <c r="M4763" s="251"/>
      <c r="N4763" s="251"/>
      <c r="O4763" s="251"/>
    </row>
    <row r="4764" spans="1:15" ht="11.25" customHeight="1" x14ac:dyDescent="0.2">
      <c r="A4764" s="197">
        <v>2024</v>
      </c>
      <c r="B4764" s="197">
        <v>6</v>
      </c>
      <c r="C4764" s="197">
        <v>30</v>
      </c>
      <c r="D4764" s="198">
        <f t="shared" si="483"/>
        <v>45473</v>
      </c>
      <c r="E4764" s="290">
        <f t="shared" ref="E4764:E4769" si="493">DATE(A4764,B4764,C4764)</f>
        <v>45473</v>
      </c>
      <c r="F4764" s="513" t="s">
        <v>1563</v>
      </c>
      <c r="G4764" s="200" t="s">
        <v>1209</v>
      </c>
      <c r="H4764" s="201"/>
      <c r="I4764" s="201"/>
      <c r="J4764" s="197" t="s">
        <v>54</v>
      </c>
      <c r="K4764" s="202">
        <v>230</v>
      </c>
      <c r="L4764" s="202"/>
      <c r="M4764" s="251"/>
      <c r="N4764" s="251"/>
      <c r="O4764" s="251"/>
    </row>
    <row r="4765" spans="1:15" ht="11.25" customHeight="1" x14ac:dyDescent="0.2">
      <c r="A4765" s="191">
        <v>2024</v>
      </c>
      <c r="B4765" s="191">
        <v>6</v>
      </c>
      <c r="C4765" s="191">
        <v>30</v>
      </c>
      <c r="D4765" s="192">
        <f t="shared" si="483"/>
        <v>45473</v>
      </c>
      <c r="E4765" s="291">
        <f t="shared" si="493"/>
        <v>45473</v>
      </c>
      <c r="F4765" s="514"/>
      <c r="G4765" s="194" t="s">
        <v>1209</v>
      </c>
      <c r="H4765" s="195"/>
      <c r="I4765" s="195"/>
      <c r="J4765" s="191" t="s">
        <v>46</v>
      </c>
      <c r="K4765" s="196"/>
      <c r="L4765" s="196">
        <v>230</v>
      </c>
      <c r="M4765" s="251"/>
      <c r="N4765" s="251"/>
      <c r="O4765" s="251"/>
    </row>
    <row r="4766" spans="1:15" ht="11.25" customHeight="1" x14ac:dyDescent="0.2">
      <c r="A4766" s="197">
        <v>2024</v>
      </c>
      <c r="B4766" s="197">
        <v>6</v>
      </c>
      <c r="C4766" s="197">
        <v>30</v>
      </c>
      <c r="D4766" s="198">
        <f t="shared" si="483"/>
        <v>45473</v>
      </c>
      <c r="E4766" s="290">
        <f t="shared" si="493"/>
        <v>45473</v>
      </c>
      <c r="F4766" s="513" t="s">
        <v>1841</v>
      </c>
      <c r="G4766" s="200" t="s">
        <v>1245</v>
      </c>
      <c r="H4766" s="201"/>
      <c r="I4766" s="201" t="s">
        <v>1253</v>
      </c>
      <c r="J4766" s="197" t="s">
        <v>58</v>
      </c>
      <c r="K4766" s="196">
        <v>2856.7631944444438</v>
      </c>
      <c r="L4766" s="202"/>
    </row>
    <row r="4767" spans="1:15" ht="11.25" customHeight="1" x14ac:dyDescent="0.2">
      <c r="A4767" s="191">
        <v>2024</v>
      </c>
      <c r="B4767" s="191">
        <v>6</v>
      </c>
      <c r="C4767" s="191">
        <v>30</v>
      </c>
      <c r="D4767" s="192">
        <f t="shared" si="483"/>
        <v>45473</v>
      </c>
      <c r="E4767" s="291">
        <f t="shared" si="493"/>
        <v>45473</v>
      </c>
      <c r="F4767" s="514"/>
      <c r="G4767" s="194" t="s">
        <v>1245</v>
      </c>
      <c r="H4767" s="195"/>
      <c r="I4767" s="195" t="s">
        <v>1253</v>
      </c>
      <c r="J4767" s="191" t="s">
        <v>153</v>
      </c>
      <c r="K4767" s="196"/>
      <c r="L4767" s="196">
        <v>2856.7631944444438</v>
      </c>
    </row>
    <row r="4768" spans="1:15" ht="11.25" customHeight="1" x14ac:dyDescent="0.2">
      <c r="A4768" s="197">
        <v>2024</v>
      </c>
      <c r="B4768" s="197">
        <v>6</v>
      </c>
      <c r="C4768" s="197">
        <v>30</v>
      </c>
      <c r="D4768" s="198">
        <f t="shared" si="483"/>
        <v>45473</v>
      </c>
      <c r="E4768" s="290">
        <f t="shared" si="493"/>
        <v>45473</v>
      </c>
      <c r="F4768" s="513" t="s">
        <v>1834</v>
      </c>
      <c r="G4768" s="200" t="s">
        <v>1209</v>
      </c>
      <c r="H4768" s="201"/>
      <c r="I4768" s="201"/>
      <c r="J4768" s="197" t="s">
        <v>46</v>
      </c>
      <c r="K4768" s="202">
        <v>48814.559999999998</v>
      </c>
      <c r="L4768" s="202"/>
      <c r="M4768" s="251"/>
      <c r="N4768" s="251"/>
      <c r="O4768" s="251"/>
    </row>
    <row r="4769" spans="1:15" ht="11.25" customHeight="1" x14ac:dyDescent="0.2">
      <c r="A4769" s="120">
        <v>2024</v>
      </c>
      <c r="B4769" s="120">
        <v>6</v>
      </c>
      <c r="C4769" s="120">
        <v>30</v>
      </c>
      <c r="D4769" s="208">
        <f t="shared" si="483"/>
        <v>45473</v>
      </c>
      <c r="E4769" s="293">
        <f t="shared" si="493"/>
        <v>45473</v>
      </c>
      <c r="F4769" s="515"/>
      <c r="G4769" s="132" t="s">
        <v>1209</v>
      </c>
      <c r="J4769" s="120" t="s">
        <v>58</v>
      </c>
      <c r="K4769" s="207"/>
      <c r="L4769" s="202">
        <v>48814.559999999998</v>
      </c>
      <c r="M4769" s="251"/>
      <c r="N4769" s="251"/>
      <c r="O4769" s="251"/>
    </row>
    <row r="4770" spans="1:15" ht="11.25" customHeight="1" x14ac:dyDescent="0.2">
      <c r="A4770" s="197">
        <v>2024</v>
      </c>
      <c r="B4770" s="197">
        <v>6</v>
      </c>
      <c r="C4770" s="197">
        <v>30</v>
      </c>
      <c r="D4770" s="198">
        <f t="shared" si="483"/>
        <v>45473</v>
      </c>
      <c r="E4770" s="290">
        <f t="shared" ref="E4770:E4771" si="494">DATE(A4770,B4770,C4770)</f>
        <v>45473</v>
      </c>
      <c r="F4770" s="513" t="s">
        <v>1563</v>
      </c>
      <c r="G4770" s="200" t="s">
        <v>1209</v>
      </c>
      <c r="H4770" s="201"/>
      <c r="I4770" s="201"/>
      <c r="J4770" s="197" t="s">
        <v>54</v>
      </c>
      <c r="K4770" s="202">
        <v>14644</v>
      </c>
      <c r="L4770" s="202"/>
      <c r="M4770" s="251"/>
      <c r="N4770" s="251"/>
      <c r="O4770" s="251"/>
    </row>
    <row r="4771" spans="1:15" ht="11.25" customHeight="1" x14ac:dyDescent="0.2">
      <c r="A4771" s="191">
        <v>2024</v>
      </c>
      <c r="B4771" s="191">
        <v>6</v>
      </c>
      <c r="C4771" s="191">
        <v>30</v>
      </c>
      <c r="D4771" s="192">
        <f t="shared" si="483"/>
        <v>45473</v>
      </c>
      <c r="E4771" s="291">
        <f t="shared" si="494"/>
        <v>45473</v>
      </c>
      <c r="F4771" s="514"/>
      <c r="G4771" s="194" t="s">
        <v>1209</v>
      </c>
      <c r="H4771" s="195"/>
      <c r="I4771" s="195"/>
      <c r="J4771" s="191" t="s">
        <v>46</v>
      </c>
      <c r="K4771" s="196"/>
      <c r="L4771" s="196">
        <v>14644</v>
      </c>
      <c r="M4771" s="251"/>
      <c r="N4771" s="251"/>
      <c r="O4771" s="251"/>
    </row>
    <row r="4772" spans="1:15" ht="11.25" customHeight="1" x14ac:dyDescent="0.2">
      <c r="A4772" s="197">
        <v>2024</v>
      </c>
      <c r="B4772" s="197">
        <v>6</v>
      </c>
      <c r="C4772" s="197">
        <v>30</v>
      </c>
      <c r="D4772" s="198">
        <f t="shared" si="483"/>
        <v>45473</v>
      </c>
      <c r="E4772" s="290">
        <f t="shared" ref="E4772:E4775" si="495">DATE(A4772,B4772,C4772)</f>
        <v>45473</v>
      </c>
      <c r="F4772" s="513" t="s">
        <v>1517</v>
      </c>
      <c r="G4772" s="200" t="s">
        <v>1209</v>
      </c>
      <c r="H4772" s="201"/>
      <c r="I4772" s="201"/>
      <c r="J4772" s="197" t="s">
        <v>54</v>
      </c>
      <c r="K4772" s="202">
        <v>345</v>
      </c>
      <c r="L4772" s="202"/>
      <c r="M4772" s="251"/>
      <c r="N4772" s="251"/>
      <c r="O4772" s="251"/>
    </row>
    <row r="4773" spans="1:15" ht="11.25" customHeight="1" x14ac:dyDescent="0.2">
      <c r="A4773" s="191">
        <v>2024</v>
      </c>
      <c r="B4773" s="191">
        <v>6</v>
      </c>
      <c r="C4773" s="191">
        <v>30</v>
      </c>
      <c r="D4773" s="192">
        <f t="shared" si="483"/>
        <v>45473</v>
      </c>
      <c r="E4773" s="291">
        <f t="shared" si="495"/>
        <v>45473</v>
      </c>
      <c r="F4773" s="514"/>
      <c r="G4773" s="194" t="s">
        <v>1209</v>
      </c>
      <c r="H4773" s="195"/>
      <c r="I4773" s="195"/>
      <c r="J4773" s="191" t="s">
        <v>46</v>
      </c>
      <c r="K4773" s="196"/>
      <c r="L4773" s="196">
        <v>345</v>
      </c>
      <c r="M4773" s="251"/>
      <c r="N4773" s="251"/>
      <c r="O4773" s="251"/>
    </row>
    <row r="4774" spans="1:15" ht="11.25" customHeight="1" x14ac:dyDescent="0.2">
      <c r="A4774" s="197">
        <v>2024</v>
      </c>
      <c r="B4774" s="197">
        <v>6</v>
      </c>
      <c r="C4774" s="197">
        <v>30</v>
      </c>
      <c r="D4774" s="198">
        <f t="shared" si="483"/>
        <v>45473</v>
      </c>
      <c r="E4774" s="199">
        <f t="shared" si="495"/>
        <v>45473</v>
      </c>
      <c r="F4774" s="513" t="s">
        <v>1370</v>
      </c>
      <c r="G4774" s="200" t="s">
        <v>1245</v>
      </c>
      <c r="H4774" s="201"/>
      <c r="I4774" s="201"/>
      <c r="J4774" s="197" t="s">
        <v>83</v>
      </c>
      <c r="K4774" s="202">
        <f>30000*1.15</f>
        <v>34500</v>
      </c>
      <c r="L4774" s="202"/>
    </row>
    <row r="4775" spans="1:15" ht="11.25" customHeight="1" x14ac:dyDescent="0.2">
      <c r="A4775" s="191">
        <v>2024</v>
      </c>
      <c r="B4775" s="191">
        <v>6</v>
      </c>
      <c r="C4775" s="191">
        <v>30</v>
      </c>
      <c r="D4775" s="192">
        <f t="shared" si="483"/>
        <v>45473</v>
      </c>
      <c r="E4775" s="193">
        <f t="shared" si="495"/>
        <v>45473</v>
      </c>
      <c r="F4775" s="514"/>
      <c r="G4775" s="194" t="s">
        <v>1245</v>
      </c>
      <c r="H4775" s="195"/>
      <c r="I4775" s="195"/>
      <c r="J4775" s="191" t="s">
        <v>44</v>
      </c>
      <c r="K4775" s="196"/>
      <c r="L4775" s="196">
        <v>34500</v>
      </c>
    </row>
    <row r="4776" spans="1:15" ht="11.25" customHeight="1" x14ac:dyDescent="0.2">
      <c r="A4776" s="344">
        <v>2024</v>
      </c>
      <c r="B4776" s="344">
        <v>6</v>
      </c>
      <c r="C4776" s="344">
        <v>30</v>
      </c>
      <c r="D4776" s="345">
        <f t="shared" si="483"/>
        <v>45473</v>
      </c>
      <c r="E4776" s="346">
        <f t="shared" si="488"/>
        <v>45473</v>
      </c>
      <c r="F4776" s="518" t="s">
        <v>1621</v>
      </c>
      <c r="G4776" s="347" t="s">
        <v>1245</v>
      </c>
      <c r="H4776" s="348"/>
      <c r="I4776" s="348" t="s">
        <v>1253</v>
      </c>
      <c r="J4776" s="344" t="s">
        <v>113</v>
      </c>
      <c r="K4776" s="349">
        <v>88228.02</v>
      </c>
      <c r="L4776" s="349"/>
      <c r="M4776" s="251"/>
    </row>
    <row r="4777" spans="1:15" ht="11.25" customHeight="1" x14ac:dyDescent="0.2">
      <c r="A4777" s="350">
        <v>2024</v>
      </c>
      <c r="B4777" s="350">
        <v>6</v>
      </c>
      <c r="C4777" s="350">
        <v>30</v>
      </c>
      <c r="D4777" s="351">
        <f t="shared" si="483"/>
        <v>45473</v>
      </c>
      <c r="E4777" s="352">
        <f t="shared" si="488"/>
        <v>45473</v>
      </c>
      <c r="F4777" s="519"/>
      <c r="G4777" s="353" t="s">
        <v>1245</v>
      </c>
      <c r="H4777" s="354"/>
      <c r="I4777" s="354" t="s">
        <v>1253</v>
      </c>
      <c r="J4777" s="350" t="s">
        <v>153</v>
      </c>
      <c r="K4777" s="355"/>
      <c r="L4777" s="355">
        <f>K4776</f>
        <v>88228.02</v>
      </c>
    </row>
    <row r="4778" spans="1:15" ht="11.25" customHeight="1" x14ac:dyDescent="0.2">
      <c r="A4778" s="210">
        <v>2024</v>
      </c>
      <c r="B4778" s="210">
        <v>6</v>
      </c>
      <c r="C4778" s="210">
        <v>30</v>
      </c>
      <c r="D4778" s="211">
        <f t="shared" si="483"/>
        <v>45473</v>
      </c>
      <c r="E4778" s="238">
        <f t="shared" si="488"/>
        <v>45473</v>
      </c>
      <c r="F4778" s="520" t="s">
        <v>1278</v>
      </c>
      <c r="G4778" s="213" t="s">
        <v>1245</v>
      </c>
      <c r="H4778" s="214"/>
      <c r="I4778" s="214" t="s">
        <v>1253</v>
      </c>
      <c r="J4778" s="210" t="s">
        <v>1529</v>
      </c>
      <c r="K4778" s="215">
        <v>3210.7928571428574</v>
      </c>
      <c r="L4778" s="215"/>
      <c r="N4778" s="130"/>
    </row>
    <row r="4779" spans="1:15" ht="11.25" customHeight="1" x14ac:dyDescent="0.2">
      <c r="A4779" s="216">
        <v>2024</v>
      </c>
      <c r="B4779" s="216">
        <v>6</v>
      </c>
      <c r="C4779" s="216">
        <v>30</v>
      </c>
      <c r="D4779" s="217">
        <f t="shared" si="483"/>
        <v>45473</v>
      </c>
      <c r="E4779" s="239">
        <f t="shared" si="488"/>
        <v>45473</v>
      </c>
      <c r="F4779" s="521"/>
      <c r="G4779" s="219" t="s">
        <v>1245</v>
      </c>
      <c r="H4779" s="220"/>
      <c r="I4779" s="220" t="s">
        <v>1253</v>
      </c>
      <c r="J4779" s="216" t="s">
        <v>1581</v>
      </c>
      <c r="K4779" s="221"/>
      <c r="L4779" s="221">
        <v>3210.7928571428574</v>
      </c>
    </row>
    <row r="4780" spans="1:15" ht="11.25" customHeight="1" x14ac:dyDescent="0.2">
      <c r="A4780" s="210">
        <v>2024</v>
      </c>
      <c r="B4780" s="210">
        <v>6</v>
      </c>
      <c r="C4780" s="210">
        <v>30</v>
      </c>
      <c r="D4780" s="211">
        <f t="shared" si="483"/>
        <v>45473</v>
      </c>
      <c r="E4780" s="238">
        <f t="shared" si="488"/>
        <v>45473</v>
      </c>
      <c r="F4780" s="520" t="s">
        <v>1285</v>
      </c>
      <c r="G4780" s="213" t="s">
        <v>1245</v>
      </c>
      <c r="H4780" s="214"/>
      <c r="I4780" s="214" t="s">
        <v>1253</v>
      </c>
      <c r="J4780" s="210" t="s">
        <v>1284</v>
      </c>
      <c r="K4780" s="215"/>
      <c r="L4780" s="215"/>
      <c r="N4780" s="130"/>
    </row>
    <row r="4781" spans="1:15" ht="11.25" customHeight="1" x14ac:dyDescent="0.2">
      <c r="A4781" s="242">
        <v>2024</v>
      </c>
      <c r="B4781" s="242">
        <v>6</v>
      </c>
      <c r="C4781" s="242">
        <v>30</v>
      </c>
      <c r="D4781" s="243">
        <f t="shared" si="483"/>
        <v>45473</v>
      </c>
      <c r="E4781" s="244">
        <f>DATE(A4781,B4781,C4781)</f>
        <v>45473</v>
      </c>
      <c r="F4781" s="524"/>
      <c r="G4781" s="245" t="s">
        <v>1245</v>
      </c>
      <c r="H4781" s="246"/>
      <c r="I4781" s="246"/>
      <c r="J4781" s="242" t="s">
        <v>1582</v>
      </c>
      <c r="K4781" s="247"/>
      <c r="L4781" s="247"/>
    </row>
    <row r="4782" spans="1:15" ht="11.25" customHeight="1" x14ac:dyDescent="0.2">
      <c r="A4782" s="210">
        <v>2024</v>
      </c>
      <c r="B4782" s="210">
        <v>6</v>
      </c>
      <c r="C4782" s="210">
        <v>30</v>
      </c>
      <c r="D4782" s="211">
        <f t="shared" si="483"/>
        <v>45473</v>
      </c>
      <c r="E4782" s="238">
        <f t="shared" ref="E4782:E4803" si="496">DATE(A4782,B4782,C4782)</f>
        <v>45473</v>
      </c>
      <c r="F4782" s="520" t="s">
        <v>1259</v>
      </c>
      <c r="G4782" s="213" t="s">
        <v>1245</v>
      </c>
      <c r="H4782" s="214"/>
      <c r="I4782" s="214" t="s">
        <v>1253</v>
      </c>
      <c r="J4782" s="210" t="s">
        <v>58</v>
      </c>
      <c r="K4782" s="215">
        <v>53339.33</v>
      </c>
      <c r="L4782" s="215"/>
    </row>
    <row r="4783" spans="1:15" ht="11.25" customHeight="1" x14ac:dyDescent="0.2">
      <c r="A4783" s="216">
        <v>2024</v>
      </c>
      <c r="B4783" s="216">
        <v>6</v>
      </c>
      <c r="C4783" s="216">
        <v>30</v>
      </c>
      <c r="D4783" s="217">
        <f t="shared" si="483"/>
        <v>45473</v>
      </c>
      <c r="E4783" s="239">
        <f t="shared" si="496"/>
        <v>45473</v>
      </c>
      <c r="F4783" s="521"/>
      <c r="G4783" s="219" t="s">
        <v>1245</v>
      </c>
      <c r="H4783" s="220"/>
      <c r="I4783" s="220" t="s">
        <v>1253</v>
      </c>
      <c r="J4783" s="216" t="s">
        <v>153</v>
      </c>
      <c r="K4783" s="221"/>
      <c r="L4783" s="221">
        <f>K4782</f>
        <v>53339.33</v>
      </c>
    </row>
    <row r="4784" spans="1:15" ht="11.25" customHeight="1" x14ac:dyDescent="0.2">
      <c r="A4784" s="312">
        <v>2024</v>
      </c>
      <c r="B4784" s="312">
        <v>6</v>
      </c>
      <c r="C4784" s="312">
        <v>30</v>
      </c>
      <c r="D4784" s="313">
        <f t="shared" si="483"/>
        <v>45473</v>
      </c>
      <c r="E4784" s="314">
        <f t="shared" si="496"/>
        <v>45473</v>
      </c>
      <c r="F4784" s="522" t="s">
        <v>1477</v>
      </c>
      <c r="G4784" s="315" t="s">
        <v>1245</v>
      </c>
      <c r="H4784" s="316"/>
      <c r="I4784" s="316" t="s">
        <v>1253</v>
      </c>
      <c r="J4784" s="312" t="s">
        <v>1460</v>
      </c>
      <c r="K4784" s="317">
        <v>47237</v>
      </c>
      <c r="L4784" s="317"/>
    </row>
    <row r="4785" spans="1:15" ht="11.25" customHeight="1" x14ac:dyDescent="0.2">
      <c r="A4785" s="318">
        <v>2024</v>
      </c>
      <c r="B4785" s="318">
        <v>6</v>
      </c>
      <c r="C4785" s="318">
        <v>30</v>
      </c>
      <c r="D4785" s="319">
        <f t="shared" si="483"/>
        <v>45473</v>
      </c>
      <c r="E4785" s="320">
        <f t="shared" si="496"/>
        <v>45473</v>
      </c>
      <c r="F4785" s="523"/>
      <c r="G4785" s="321" t="s">
        <v>1245</v>
      </c>
      <c r="H4785" s="322"/>
      <c r="I4785" s="322" t="s">
        <v>1253</v>
      </c>
      <c r="J4785" s="318" t="s">
        <v>1458</v>
      </c>
      <c r="K4785" s="323"/>
      <c r="L4785" s="323">
        <f>K4784</f>
        <v>47237</v>
      </c>
    </row>
    <row r="4786" spans="1:15" ht="11.25" customHeight="1" x14ac:dyDescent="0.2">
      <c r="A4786" s="312">
        <v>2024</v>
      </c>
      <c r="B4786" s="312">
        <v>6</v>
      </c>
      <c r="C4786" s="312">
        <v>30</v>
      </c>
      <c r="D4786" s="313">
        <f t="shared" si="483"/>
        <v>45473</v>
      </c>
      <c r="E4786" s="314">
        <f t="shared" si="496"/>
        <v>45473</v>
      </c>
      <c r="F4786" s="522" t="s">
        <v>1595</v>
      </c>
      <c r="G4786" s="315" t="s">
        <v>1245</v>
      </c>
      <c r="H4786" s="316"/>
      <c r="I4786" s="316" t="s">
        <v>1253</v>
      </c>
      <c r="J4786" s="312" t="s">
        <v>1459</v>
      </c>
      <c r="K4786" s="317">
        <v>303848.71000000834</v>
      </c>
      <c r="L4786" s="317"/>
    </row>
    <row r="4787" spans="1:15" ht="11.25" customHeight="1" x14ac:dyDescent="0.2">
      <c r="A4787" s="318">
        <v>2024</v>
      </c>
      <c r="B4787" s="318">
        <v>6</v>
      </c>
      <c r="C4787" s="318">
        <v>30</v>
      </c>
      <c r="D4787" s="319">
        <f t="shared" si="483"/>
        <v>45473</v>
      </c>
      <c r="E4787" s="320">
        <f t="shared" si="496"/>
        <v>45473</v>
      </c>
      <c r="F4787" s="523"/>
      <c r="G4787" s="321" t="s">
        <v>1245</v>
      </c>
      <c r="H4787" s="322"/>
      <c r="I4787" s="322" t="s">
        <v>1253</v>
      </c>
      <c r="J4787" s="318" t="s">
        <v>1461</v>
      </c>
      <c r="K4787" s="323"/>
      <c r="L4787" s="323">
        <f>K4786</f>
        <v>303848.71000000834</v>
      </c>
    </row>
    <row r="4788" spans="1:15" ht="11.25" customHeight="1" x14ac:dyDescent="0.2">
      <c r="A4788" s="222">
        <v>2024</v>
      </c>
      <c r="B4788" s="222">
        <v>6</v>
      </c>
      <c r="C4788" s="222">
        <v>30</v>
      </c>
      <c r="D4788" s="223">
        <f t="shared" si="483"/>
        <v>45473</v>
      </c>
      <c r="E4788" s="240">
        <f t="shared" si="496"/>
        <v>45473</v>
      </c>
      <c r="F4788" s="511" t="s">
        <v>1244</v>
      </c>
      <c r="G4788" s="225" t="s">
        <v>1245</v>
      </c>
      <c r="H4788" s="226"/>
      <c r="I4788" s="226" t="s">
        <v>1253</v>
      </c>
      <c r="J4788" s="222" t="s">
        <v>72</v>
      </c>
      <c r="K4788" s="227">
        <v>117305</v>
      </c>
      <c r="L4788" s="227"/>
    </row>
    <row r="4789" spans="1:15" ht="11.25" customHeight="1" x14ac:dyDescent="0.2">
      <c r="A4789" s="228">
        <v>2024</v>
      </c>
      <c r="B4789" s="228">
        <v>6</v>
      </c>
      <c r="C4789" s="228">
        <v>30</v>
      </c>
      <c r="D4789" s="229">
        <f t="shared" si="483"/>
        <v>45473</v>
      </c>
      <c r="E4789" s="241">
        <f t="shared" si="496"/>
        <v>45473</v>
      </c>
      <c r="F4789" s="512"/>
      <c r="G4789" s="231" t="s">
        <v>1245</v>
      </c>
      <c r="H4789" s="232"/>
      <c r="I4789" s="232" t="s">
        <v>1253</v>
      </c>
      <c r="J4789" s="228" t="s">
        <v>87</v>
      </c>
      <c r="K4789" s="233"/>
      <c r="L4789" s="233">
        <f>K4788</f>
        <v>117305</v>
      </c>
    </row>
    <row r="4790" spans="1:15" ht="11.25" customHeight="1" x14ac:dyDescent="0.2">
      <c r="A4790" s="222">
        <v>2024</v>
      </c>
      <c r="B4790" s="222">
        <v>6</v>
      </c>
      <c r="C4790" s="222">
        <v>30</v>
      </c>
      <c r="D4790" s="223">
        <f t="shared" si="483"/>
        <v>45473</v>
      </c>
      <c r="E4790" s="240">
        <f t="shared" si="496"/>
        <v>45473</v>
      </c>
      <c r="F4790" s="511" t="s">
        <v>1246</v>
      </c>
      <c r="G4790" s="225" t="s">
        <v>1245</v>
      </c>
      <c r="H4790" s="226"/>
      <c r="I4790" s="226" t="s">
        <v>1253</v>
      </c>
      <c r="J4790" s="222" t="s">
        <v>75</v>
      </c>
      <c r="K4790" s="227">
        <v>1552.7673626373626</v>
      </c>
      <c r="L4790" s="227"/>
      <c r="M4790" s="130"/>
    </row>
    <row r="4791" spans="1:15" ht="11.25" customHeight="1" x14ac:dyDescent="0.2">
      <c r="A4791" s="228">
        <v>2024</v>
      </c>
      <c r="B4791" s="228">
        <v>6</v>
      </c>
      <c r="C4791" s="228">
        <v>30</v>
      </c>
      <c r="D4791" s="229">
        <f t="shared" si="483"/>
        <v>45473</v>
      </c>
      <c r="E4791" s="241">
        <f t="shared" si="496"/>
        <v>45473</v>
      </c>
      <c r="F4791" s="512"/>
      <c r="G4791" s="231" t="s">
        <v>1245</v>
      </c>
      <c r="H4791" s="232"/>
      <c r="I4791" s="232" t="s">
        <v>1253</v>
      </c>
      <c r="J4791" s="228" t="s">
        <v>55</v>
      </c>
      <c r="K4791" s="233"/>
      <c r="L4791" s="233">
        <v>1552.7673626373626</v>
      </c>
    </row>
    <row r="4792" spans="1:15" ht="11.25" customHeight="1" x14ac:dyDescent="0.2">
      <c r="A4792" s="222">
        <v>2024</v>
      </c>
      <c r="B4792" s="222">
        <v>6</v>
      </c>
      <c r="C4792" s="222">
        <v>30</v>
      </c>
      <c r="D4792" s="223">
        <f t="shared" ref="D4792:D4849" si="497">DATE(A4792,B4792,C4792)</f>
        <v>45473</v>
      </c>
      <c r="E4792" s="240">
        <f t="shared" si="496"/>
        <v>45473</v>
      </c>
      <c r="F4792" s="511" t="s">
        <v>1247</v>
      </c>
      <c r="G4792" s="225" t="s">
        <v>1245</v>
      </c>
      <c r="H4792" s="226"/>
      <c r="I4792" s="226" t="s">
        <v>1253</v>
      </c>
      <c r="J4792" s="222" t="s">
        <v>77</v>
      </c>
      <c r="K4792" s="227">
        <v>14655.029795764311</v>
      </c>
      <c r="L4792" s="227"/>
      <c r="M4792" s="120">
        <v>14655.029795764311</v>
      </c>
    </row>
    <row r="4793" spans="1:15" ht="11.25" customHeight="1" x14ac:dyDescent="0.2">
      <c r="A4793" s="228">
        <v>2024</v>
      </c>
      <c r="B4793" s="228">
        <v>6</v>
      </c>
      <c r="C4793" s="228">
        <v>30</v>
      </c>
      <c r="D4793" s="229">
        <f t="shared" si="497"/>
        <v>45473</v>
      </c>
      <c r="E4793" s="241">
        <f t="shared" si="496"/>
        <v>45473</v>
      </c>
      <c r="F4793" s="512"/>
      <c r="G4793" s="231" t="s">
        <v>1245</v>
      </c>
      <c r="H4793" s="232"/>
      <c r="I4793" s="232" t="s">
        <v>1253</v>
      </c>
      <c r="J4793" s="228" t="s">
        <v>41</v>
      </c>
      <c r="K4793" s="233"/>
      <c r="L4793" s="233">
        <v>14655.029795764311</v>
      </c>
      <c r="M4793" s="120">
        <v>1465.5029795764312</v>
      </c>
    </row>
    <row r="4794" spans="1:15" ht="11.25" customHeight="1" x14ac:dyDescent="0.2">
      <c r="A4794" s="222">
        <v>2024</v>
      </c>
      <c r="B4794" s="222">
        <v>6</v>
      </c>
      <c r="C4794" s="222">
        <v>30</v>
      </c>
      <c r="D4794" s="223">
        <f t="shared" si="497"/>
        <v>45473</v>
      </c>
      <c r="E4794" s="240">
        <f t="shared" si="496"/>
        <v>45473</v>
      </c>
      <c r="F4794" s="511" t="s">
        <v>1248</v>
      </c>
      <c r="G4794" s="225" t="s">
        <v>1245</v>
      </c>
      <c r="H4794" s="226"/>
      <c r="I4794" s="226" t="s">
        <v>1253</v>
      </c>
      <c r="J4794" s="222" t="s">
        <v>80</v>
      </c>
      <c r="K4794" s="227">
        <v>1465.5029795764312</v>
      </c>
      <c r="L4794" s="227"/>
    </row>
    <row r="4795" spans="1:15" ht="11.25" customHeight="1" x14ac:dyDescent="0.2">
      <c r="A4795" s="228">
        <v>2024</v>
      </c>
      <c r="B4795" s="228">
        <v>6</v>
      </c>
      <c r="C4795" s="228">
        <v>30</v>
      </c>
      <c r="D4795" s="229">
        <f t="shared" si="497"/>
        <v>45473</v>
      </c>
      <c r="E4795" s="241">
        <f t="shared" si="496"/>
        <v>45473</v>
      </c>
      <c r="F4795" s="512"/>
      <c r="G4795" s="231" t="s">
        <v>1245</v>
      </c>
      <c r="H4795" s="232"/>
      <c r="I4795" s="232" t="s">
        <v>1253</v>
      </c>
      <c r="J4795" s="228" t="s">
        <v>42</v>
      </c>
      <c r="K4795" s="233"/>
      <c r="L4795" s="233">
        <v>1465.5029795764312</v>
      </c>
    </row>
    <row r="4796" spans="1:15" ht="11.25" customHeight="1" x14ac:dyDescent="0.2">
      <c r="A4796" s="197">
        <v>2024</v>
      </c>
      <c r="B4796" s="197">
        <v>7</v>
      </c>
      <c r="C4796" s="197">
        <v>1</v>
      </c>
      <c r="D4796" s="198">
        <f t="shared" si="497"/>
        <v>45474</v>
      </c>
      <c r="E4796" s="290">
        <f t="shared" si="496"/>
        <v>45474</v>
      </c>
      <c r="F4796" s="513" t="s">
        <v>1527</v>
      </c>
      <c r="G4796" s="200" t="s">
        <v>1209</v>
      </c>
      <c r="H4796" s="201"/>
      <c r="I4796" s="201"/>
      <c r="J4796" s="197" t="s">
        <v>54</v>
      </c>
      <c r="K4796" s="202">
        <v>345</v>
      </c>
      <c r="L4796" s="202"/>
    </row>
    <row r="4797" spans="1:15" ht="11.25" customHeight="1" x14ac:dyDescent="0.2">
      <c r="A4797" s="191">
        <v>2024</v>
      </c>
      <c r="B4797" s="191">
        <v>7</v>
      </c>
      <c r="C4797" s="191">
        <v>1</v>
      </c>
      <c r="D4797" s="192">
        <f t="shared" si="497"/>
        <v>45474</v>
      </c>
      <c r="E4797" s="291">
        <f t="shared" si="496"/>
        <v>45474</v>
      </c>
      <c r="F4797" s="514"/>
      <c r="G4797" s="194" t="s">
        <v>1209</v>
      </c>
      <c r="H4797" s="195"/>
      <c r="I4797" s="195"/>
      <c r="J4797" s="191" t="s">
        <v>46</v>
      </c>
      <c r="K4797" s="196"/>
      <c r="L4797" s="196">
        <v>345</v>
      </c>
      <c r="M4797" s="251"/>
      <c r="N4797" s="251"/>
      <c r="O4797" s="251"/>
    </row>
    <row r="4798" spans="1:15" ht="11.25" customHeight="1" x14ac:dyDescent="0.2">
      <c r="A4798" s="197">
        <v>2024</v>
      </c>
      <c r="B4798" s="197">
        <v>7</v>
      </c>
      <c r="C4798" s="197">
        <v>1</v>
      </c>
      <c r="D4798" s="198">
        <f t="shared" si="497"/>
        <v>45474</v>
      </c>
      <c r="E4798" s="209">
        <f t="shared" si="496"/>
        <v>45474</v>
      </c>
      <c r="F4798" s="513" t="s">
        <v>1210</v>
      </c>
      <c r="G4798" s="200" t="s">
        <v>1209</v>
      </c>
      <c r="H4798" s="201"/>
      <c r="I4798" s="201" t="s">
        <v>1597</v>
      </c>
      <c r="J4798" s="197" t="s">
        <v>46</v>
      </c>
      <c r="K4798" s="202">
        <v>196000</v>
      </c>
      <c r="L4798" s="202"/>
    </row>
    <row r="4799" spans="1:15" ht="11.25" customHeight="1" x14ac:dyDescent="0.2">
      <c r="A4799" s="120">
        <v>2024</v>
      </c>
      <c r="B4799" s="120">
        <v>7</v>
      </c>
      <c r="C4799" s="120">
        <v>1</v>
      </c>
      <c r="D4799" s="208">
        <f t="shared" si="497"/>
        <v>45474</v>
      </c>
      <c r="E4799" s="209">
        <f t="shared" si="496"/>
        <v>45474</v>
      </c>
      <c r="F4799" s="515"/>
      <c r="G4799" s="132" t="s">
        <v>1209</v>
      </c>
      <c r="I4799" s="128" t="s">
        <v>1597</v>
      </c>
      <c r="J4799" s="120" t="s">
        <v>16</v>
      </c>
      <c r="K4799" s="207"/>
      <c r="L4799" s="207">
        <v>175420</v>
      </c>
    </row>
    <row r="4800" spans="1:15" ht="11.25" customHeight="1" x14ac:dyDescent="0.2">
      <c r="A4800" s="191">
        <v>2024</v>
      </c>
      <c r="B4800" s="191">
        <v>7</v>
      </c>
      <c r="C4800" s="191">
        <v>1</v>
      </c>
      <c r="D4800" s="192">
        <f t="shared" si="497"/>
        <v>45474</v>
      </c>
      <c r="E4800" s="193">
        <f t="shared" si="496"/>
        <v>45474</v>
      </c>
      <c r="F4800" s="514"/>
      <c r="G4800" s="194" t="s">
        <v>1209</v>
      </c>
      <c r="H4800" s="195"/>
      <c r="I4800" s="195" t="s">
        <v>1597</v>
      </c>
      <c r="J4800" s="191" t="s">
        <v>47</v>
      </c>
      <c r="K4800" s="196"/>
      <c r="L4800" s="196">
        <v>20580</v>
      </c>
    </row>
    <row r="4801" spans="1:15" ht="11.25" customHeight="1" x14ac:dyDescent="0.2">
      <c r="A4801" s="197">
        <v>2024</v>
      </c>
      <c r="B4801" s="197">
        <v>7</v>
      </c>
      <c r="C4801" s="197">
        <v>1</v>
      </c>
      <c r="D4801" s="198">
        <f t="shared" si="497"/>
        <v>45474</v>
      </c>
      <c r="E4801" s="209">
        <f t="shared" si="496"/>
        <v>45474</v>
      </c>
      <c r="F4801" s="513" t="s">
        <v>1210</v>
      </c>
      <c r="G4801" s="200" t="s">
        <v>1209</v>
      </c>
      <c r="H4801" s="201"/>
      <c r="I4801" s="201" t="s">
        <v>1597</v>
      </c>
      <c r="J4801" s="197" t="s">
        <v>46</v>
      </c>
      <c r="K4801" s="202">
        <v>4000</v>
      </c>
      <c r="L4801" s="202"/>
    </row>
    <row r="4802" spans="1:15" ht="11.25" customHeight="1" x14ac:dyDescent="0.2">
      <c r="A4802" s="120">
        <v>2024</v>
      </c>
      <c r="B4802" s="120">
        <v>7</v>
      </c>
      <c r="C4802" s="120">
        <v>1</v>
      </c>
      <c r="D4802" s="208">
        <f t="shared" si="497"/>
        <v>45474</v>
      </c>
      <c r="E4802" s="209">
        <f t="shared" si="496"/>
        <v>45474</v>
      </c>
      <c r="F4802" s="515"/>
      <c r="G4802" s="132" t="s">
        <v>1209</v>
      </c>
      <c r="I4802" s="128" t="s">
        <v>1597</v>
      </c>
      <c r="J4802" s="120" t="s">
        <v>16</v>
      </c>
      <c r="K4802" s="207"/>
      <c r="L4802" s="207">
        <v>3580</v>
      </c>
    </row>
    <row r="4803" spans="1:15" ht="11.25" customHeight="1" x14ac:dyDescent="0.2">
      <c r="A4803" s="191">
        <v>2024</v>
      </c>
      <c r="B4803" s="191">
        <v>7</v>
      </c>
      <c r="C4803" s="191">
        <v>1</v>
      </c>
      <c r="D4803" s="192">
        <f t="shared" si="497"/>
        <v>45474</v>
      </c>
      <c r="E4803" s="193">
        <f t="shared" si="496"/>
        <v>45474</v>
      </c>
      <c r="F4803" s="514"/>
      <c r="G4803" s="194" t="s">
        <v>1209</v>
      </c>
      <c r="H4803" s="195"/>
      <c r="I4803" s="195" t="s">
        <v>1597</v>
      </c>
      <c r="J4803" s="191" t="s">
        <v>47</v>
      </c>
      <c r="K4803" s="196"/>
      <c r="L4803" s="196">
        <v>420</v>
      </c>
    </row>
    <row r="4804" spans="1:15" ht="11.25" customHeight="1" x14ac:dyDescent="0.2">
      <c r="A4804" s="197">
        <v>2024</v>
      </c>
      <c r="B4804" s="197">
        <v>7</v>
      </c>
      <c r="C4804" s="197">
        <v>2</v>
      </c>
      <c r="D4804" s="198">
        <f t="shared" si="497"/>
        <v>45475</v>
      </c>
      <c r="E4804" s="209">
        <f>DATE(A4804,B4804,C4804)</f>
        <v>45475</v>
      </c>
      <c r="F4804" s="513" t="s">
        <v>1210</v>
      </c>
      <c r="G4804" s="200" t="s">
        <v>1209</v>
      </c>
      <c r="H4804" s="201"/>
      <c r="I4804" s="201" t="s">
        <v>1652</v>
      </c>
      <c r="J4804" s="197" t="s">
        <v>46</v>
      </c>
      <c r="K4804" s="202">
        <v>100000</v>
      </c>
      <c r="L4804" s="202"/>
    </row>
    <row r="4805" spans="1:15" ht="11.25" customHeight="1" x14ac:dyDescent="0.2">
      <c r="A4805" s="120">
        <v>2024</v>
      </c>
      <c r="B4805" s="120">
        <v>7</v>
      </c>
      <c r="C4805" s="120">
        <v>2</v>
      </c>
      <c r="D4805" s="208">
        <f t="shared" si="497"/>
        <v>45475</v>
      </c>
      <c r="E4805" s="209">
        <f>DATE(A4805,B4805,C4805)</f>
        <v>45475</v>
      </c>
      <c r="F4805" s="515"/>
      <c r="G4805" s="132" t="s">
        <v>1209</v>
      </c>
      <c r="I4805" s="128" t="s">
        <v>1652</v>
      </c>
      <c r="J4805" s="120" t="s">
        <v>16</v>
      </c>
      <c r="K4805" s="207"/>
      <c r="L4805" s="207">
        <v>89500</v>
      </c>
    </row>
    <row r="4806" spans="1:15" ht="11.25" customHeight="1" x14ac:dyDescent="0.2">
      <c r="A4806" s="191">
        <v>2024</v>
      </c>
      <c r="B4806" s="191">
        <v>7</v>
      </c>
      <c r="C4806" s="191">
        <v>2</v>
      </c>
      <c r="D4806" s="192">
        <f t="shared" si="497"/>
        <v>45475</v>
      </c>
      <c r="E4806" s="193">
        <f>DATE(A4806,B4806,C4806)</f>
        <v>45475</v>
      </c>
      <c r="F4806" s="514"/>
      <c r="G4806" s="194" t="s">
        <v>1209</v>
      </c>
      <c r="H4806" s="195"/>
      <c r="I4806" s="195" t="s">
        <v>1652</v>
      </c>
      <c r="J4806" s="191" t="s">
        <v>47</v>
      </c>
      <c r="K4806" s="196"/>
      <c r="L4806" s="196">
        <v>10500</v>
      </c>
    </row>
    <row r="4807" spans="1:15" ht="11.25" customHeight="1" x14ac:dyDescent="0.2">
      <c r="A4807" s="197">
        <v>2024</v>
      </c>
      <c r="B4807" s="197">
        <v>7</v>
      </c>
      <c r="C4807" s="197">
        <v>2</v>
      </c>
      <c r="D4807" s="198">
        <f t="shared" si="497"/>
        <v>45475</v>
      </c>
      <c r="E4807" s="199">
        <f t="shared" ref="E4807:E4843" si="498">DATE(A4807,B4807,C4807)</f>
        <v>45475</v>
      </c>
      <c r="F4807" s="513" t="s">
        <v>1279</v>
      </c>
      <c r="G4807" s="200" t="s">
        <v>1209</v>
      </c>
      <c r="H4807" s="201"/>
      <c r="I4807" s="201" t="s">
        <v>1253</v>
      </c>
      <c r="J4807" s="197" t="s">
        <v>76</v>
      </c>
      <c r="K4807" s="202">
        <v>10000000</v>
      </c>
      <c r="L4807" s="202"/>
    </row>
    <row r="4808" spans="1:15" ht="11.25" customHeight="1" x14ac:dyDescent="0.2">
      <c r="A4808" s="191">
        <v>2024</v>
      </c>
      <c r="B4808" s="191">
        <v>7</v>
      </c>
      <c r="C4808" s="191">
        <v>2</v>
      </c>
      <c r="D4808" s="192">
        <f t="shared" si="497"/>
        <v>45475</v>
      </c>
      <c r="E4808" s="193">
        <f t="shared" si="498"/>
        <v>45475</v>
      </c>
      <c r="F4808" s="514"/>
      <c r="G4808" s="194" t="s">
        <v>1209</v>
      </c>
      <c r="H4808" s="195"/>
      <c r="I4808" s="195" t="s">
        <v>1253</v>
      </c>
      <c r="J4808" s="191" t="s">
        <v>46</v>
      </c>
      <c r="K4808" s="196"/>
      <c r="L4808" s="196">
        <v>10000000</v>
      </c>
    </row>
    <row r="4809" spans="1:15" ht="11.25" customHeight="1" x14ac:dyDescent="0.2">
      <c r="A4809" s="197">
        <v>2024</v>
      </c>
      <c r="B4809" s="197">
        <v>7</v>
      </c>
      <c r="C4809" s="197">
        <v>2</v>
      </c>
      <c r="D4809" s="198">
        <f t="shared" si="497"/>
        <v>45475</v>
      </c>
      <c r="E4809" s="290">
        <f t="shared" si="498"/>
        <v>45475</v>
      </c>
      <c r="F4809" s="513" t="s">
        <v>1514</v>
      </c>
      <c r="G4809" s="200" t="s">
        <v>1209</v>
      </c>
      <c r="H4809" s="201"/>
      <c r="I4809" s="201"/>
      <c r="J4809" s="197" t="s">
        <v>54</v>
      </c>
      <c r="K4809" s="202">
        <v>100</v>
      </c>
      <c r="L4809" s="202"/>
      <c r="M4809" s="251"/>
      <c r="N4809" s="251"/>
      <c r="O4809" s="251"/>
    </row>
    <row r="4810" spans="1:15" ht="11.25" customHeight="1" x14ac:dyDescent="0.2">
      <c r="A4810" s="191">
        <v>2024</v>
      </c>
      <c r="B4810" s="191">
        <v>7</v>
      </c>
      <c r="C4810" s="191">
        <v>2</v>
      </c>
      <c r="D4810" s="192">
        <f t="shared" si="497"/>
        <v>45475</v>
      </c>
      <c r="E4810" s="291">
        <f t="shared" si="498"/>
        <v>45475</v>
      </c>
      <c r="F4810" s="514"/>
      <c r="G4810" s="194" t="s">
        <v>1209</v>
      </c>
      <c r="H4810" s="195"/>
      <c r="I4810" s="195"/>
      <c r="J4810" s="191" t="s">
        <v>46</v>
      </c>
      <c r="K4810" s="196"/>
      <c r="L4810" s="196">
        <v>100</v>
      </c>
      <c r="M4810" s="251"/>
      <c r="N4810" s="251"/>
      <c r="O4810" s="251"/>
    </row>
    <row r="4811" spans="1:15" s="367" customFormat="1" ht="11.25" customHeight="1" x14ac:dyDescent="0.2">
      <c r="A4811" s="360">
        <v>2024</v>
      </c>
      <c r="B4811" s="360">
        <v>7</v>
      </c>
      <c r="C4811" s="360">
        <v>2</v>
      </c>
      <c r="D4811" s="361">
        <f t="shared" si="497"/>
        <v>45475</v>
      </c>
      <c r="E4811" s="362">
        <f t="shared" si="498"/>
        <v>45475</v>
      </c>
      <c r="F4811" s="529" t="s">
        <v>1842</v>
      </c>
      <c r="G4811" s="363" t="s">
        <v>1209</v>
      </c>
      <c r="H4811" s="364"/>
      <c r="I4811" s="364"/>
      <c r="J4811" s="360" t="s">
        <v>153</v>
      </c>
      <c r="K4811" s="365">
        <v>33645.200000000012</v>
      </c>
      <c r="L4811" s="365"/>
      <c r="M4811" s="366"/>
      <c r="N4811" s="366"/>
      <c r="O4811" s="366"/>
    </row>
    <row r="4812" spans="1:15" s="367" customFormat="1" ht="11.25" customHeight="1" x14ac:dyDescent="0.2">
      <c r="A4812" s="368">
        <v>2024</v>
      </c>
      <c r="B4812" s="368">
        <v>7</v>
      </c>
      <c r="C4812" s="368">
        <v>2</v>
      </c>
      <c r="D4812" s="369">
        <f t="shared" si="497"/>
        <v>45475</v>
      </c>
      <c r="E4812" s="370">
        <f t="shared" si="498"/>
        <v>45475</v>
      </c>
      <c r="F4812" s="530"/>
      <c r="G4812" s="371" t="s">
        <v>1209</v>
      </c>
      <c r="H4812" s="372"/>
      <c r="I4812" s="372"/>
      <c r="J4812" s="368" t="s">
        <v>1529</v>
      </c>
      <c r="K4812" s="373"/>
      <c r="L4812" s="373">
        <v>33645.200000000012</v>
      </c>
      <c r="M4812" s="366"/>
      <c r="N4812" s="366"/>
      <c r="O4812" s="366"/>
    </row>
    <row r="4813" spans="1:15" s="367" customFormat="1" ht="11.25" customHeight="1" x14ac:dyDescent="0.2">
      <c r="A4813" s="360">
        <v>2024</v>
      </c>
      <c r="B4813" s="360">
        <v>7</v>
      </c>
      <c r="C4813" s="360">
        <v>2</v>
      </c>
      <c r="D4813" s="361">
        <f t="shared" si="497"/>
        <v>45475</v>
      </c>
      <c r="E4813" s="362">
        <f t="shared" si="498"/>
        <v>45475</v>
      </c>
      <c r="F4813" s="529" t="s">
        <v>1843</v>
      </c>
      <c r="G4813" s="363" t="s">
        <v>1209</v>
      </c>
      <c r="H4813" s="364"/>
      <c r="I4813" s="364"/>
      <c r="J4813" s="360" t="s">
        <v>46</v>
      </c>
      <c r="K4813" s="365">
        <v>161142.79999999999</v>
      </c>
      <c r="L4813" s="365"/>
      <c r="M4813" s="366"/>
      <c r="N4813" s="366"/>
      <c r="O4813" s="366"/>
    </row>
    <row r="4814" spans="1:15" s="367" customFormat="1" ht="11.25" customHeight="1" x14ac:dyDescent="0.2">
      <c r="A4814" s="368">
        <v>2024</v>
      </c>
      <c r="B4814" s="368">
        <v>7</v>
      </c>
      <c r="C4814" s="368">
        <v>2</v>
      </c>
      <c r="D4814" s="369">
        <f t="shared" si="497"/>
        <v>45475</v>
      </c>
      <c r="E4814" s="370">
        <f t="shared" si="498"/>
        <v>45475</v>
      </c>
      <c r="F4814" s="530"/>
      <c r="G4814" s="371" t="s">
        <v>1209</v>
      </c>
      <c r="H4814" s="372"/>
      <c r="I4814" s="372"/>
      <c r="J4814" s="368" t="s">
        <v>1529</v>
      </c>
      <c r="K4814" s="373"/>
      <c r="L4814" s="373">
        <v>161142.79999999999</v>
      </c>
      <c r="M4814" s="366"/>
      <c r="N4814" s="366"/>
      <c r="O4814" s="366"/>
    </row>
    <row r="4815" spans="1:15" ht="11.25" customHeight="1" x14ac:dyDescent="0.2">
      <c r="A4815" s="197">
        <v>2024</v>
      </c>
      <c r="B4815" s="197">
        <v>7</v>
      </c>
      <c r="C4815" s="197">
        <v>3</v>
      </c>
      <c r="D4815" s="198">
        <f t="shared" si="497"/>
        <v>45476</v>
      </c>
      <c r="E4815" s="290">
        <f t="shared" si="498"/>
        <v>45476</v>
      </c>
      <c r="F4815" s="513" t="s">
        <v>1844</v>
      </c>
      <c r="G4815" s="200" t="s">
        <v>1209</v>
      </c>
      <c r="H4815" s="201"/>
      <c r="I4815" s="201"/>
      <c r="J4815" s="197" t="s">
        <v>46</v>
      </c>
      <c r="K4815" s="202">
        <v>1334000</v>
      </c>
      <c r="L4815" s="202"/>
      <c r="M4815" s="251"/>
      <c r="N4815" s="251"/>
      <c r="O4815" s="251"/>
    </row>
    <row r="4816" spans="1:15" ht="11.25" customHeight="1" x14ac:dyDescent="0.2">
      <c r="A4816" s="191">
        <v>2024</v>
      </c>
      <c r="B4816" s="191">
        <v>7</v>
      </c>
      <c r="C4816" s="191">
        <v>3</v>
      </c>
      <c r="D4816" s="192">
        <f t="shared" si="497"/>
        <v>45476</v>
      </c>
      <c r="E4816" s="290">
        <f t="shared" si="498"/>
        <v>45476</v>
      </c>
      <c r="F4816" s="514"/>
      <c r="G4816" s="194" t="s">
        <v>1209</v>
      </c>
      <c r="H4816" s="195"/>
      <c r="I4816" s="195"/>
      <c r="J4816" s="191" t="s">
        <v>1845</v>
      </c>
      <c r="K4816" s="196"/>
      <c r="L4816" s="196">
        <v>1334000</v>
      </c>
      <c r="M4816" s="251"/>
      <c r="N4816" s="251"/>
      <c r="O4816" s="251"/>
    </row>
    <row r="4817" spans="1:15" ht="11.25" customHeight="1" x14ac:dyDescent="0.2">
      <c r="A4817" s="197">
        <v>2024</v>
      </c>
      <c r="B4817" s="197">
        <v>7</v>
      </c>
      <c r="C4817" s="197">
        <v>2</v>
      </c>
      <c r="D4817" s="198">
        <f t="shared" si="497"/>
        <v>45475</v>
      </c>
      <c r="E4817" s="209">
        <f t="shared" si="498"/>
        <v>45475</v>
      </c>
      <c r="F4817" s="513" t="s">
        <v>1210</v>
      </c>
      <c r="G4817" s="200" t="s">
        <v>1209</v>
      </c>
      <c r="H4817" s="201"/>
      <c r="I4817" s="201" t="s">
        <v>397</v>
      </c>
      <c r="J4817" s="197" t="s">
        <v>46</v>
      </c>
      <c r="K4817" s="202">
        <v>30000</v>
      </c>
      <c r="L4817" s="202"/>
    </row>
    <row r="4818" spans="1:15" ht="11.25" customHeight="1" x14ac:dyDescent="0.2">
      <c r="A4818" s="120">
        <v>2024</v>
      </c>
      <c r="B4818" s="120">
        <v>7</v>
      </c>
      <c r="C4818" s="120">
        <v>2</v>
      </c>
      <c r="D4818" s="208">
        <f t="shared" si="497"/>
        <v>45475</v>
      </c>
      <c r="E4818" s="209">
        <f t="shared" si="498"/>
        <v>45475</v>
      </c>
      <c r="F4818" s="515"/>
      <c r="G4818" s="132" t="s">
        <v>1209</v>
      </c>
      <c r="I4818" s="128" t="s">
        <v>397</v>
      </c>
      <c r="J4818" s="120" t="s">
        <v>16</v>
      </c>
      <c r="K4818" s="207"/>
      <c r="L4818" s="207">
        <v>26850</v>
      </c>
    </row>
    <row r="4819" spans="1:15" ht="11.25" customHeight="1" x14ac:dyDescent="0.2">
      <c r="A4819" s="191">
        <v>2024</v>
      </c>
      <c r="B4819" s="191">
        <v>7</v>
      </c>
      <c r="C4819" s="191">
        <v>2</v>
      </c>
      <c r="D4819" s="192">
        <f t="shared" si="497"/>
        <v>45475</v>
      </c>
      <c r="E4819" s="193">
        <f t="shared" si="498"/>
        <v>45475</v>
      </c>
      <c r="F4819" s="514"/>
      <c r="G4819" s="194" t="s">
        <v>1209</v>
      </c>
      <c r="H4819" s="195"/>
      <c r="I4819" s="195" t="s">
        <v>397</v>
      </c>
      <c r="J4819" s="191" t="s">
        <v>47</v>
      </c>
      <c r="K4819" s="196"/>
      <c r="L4819" s="196">
        <v>3150</v>
      </c>
    </row>
    <row r="4820" spans="1:15" ht="11.25" customHeight="1" x14ac:dyDescent="0.2">
      <c r="A4820" s="197">
        <v>2024</v>
      </c>
      <c r="B4820" s="197">
        <v>7</v>
      </c>
      <c r="C4820" s="197">
        <v>2</v>
      </c>
      <c r="D4820" s="198">
        <f t="shared" si="497"/>
        <v>45475</v>
      </c>
      <c r="E4820" s="209">
        <f t="shared" si="498"/>
        <v>45475</v>
      </c>
      <c r="F4820" s="513" t="s">
        <v>1280</v>
      </c>
      <c r="G4820" s="200" t="s">
        <v>1209</v>
      </c>
      <c r="H4820" s="201"/>
      <c r="I4820" s="201" t="s">
        <v>1353</v>
      </c>
      <c r="J4820" s="197" t="s">
        <v>16</v>
      </c>
      <c r="K4820" s="202">
        <v>258830</v>
      </c>
      <c r="L4820" s="202"/>
    </row>
    <row r="4821" spans="1:15" ht="11.25" customHeight="1" x14ac:dyDescent="0.2">
      <c r="A4821" s="120">
        <v>2024</v>
      </c>
      <c r="B4821" s="120">
        <v>7</v>
      </c>
      <c r="C4821" s="120">
        <v>2</v>
      </c>
      <c r="D4821" s="208">
        <f t="shared" si="497"/>
        <v>45475</v>
      </c>
      <c r="E4821" s="209">
        <f t="shared" si="498"/>
        <v>45475</v>
      </c>
      <c r="F4821" s="515"/>
      <c r="G4821" s="132" t="s">
        <v>1209</v>
      </c>
      <c r="I4821" s="128" t="s">
        <v>1353</v>
      </c>
      <c r="J4821" s="120" t="s">
        <v>47</v>
      </c>
      <c r="K4821" s="207">
        <v>30360.760000000009</v>
      </c>
      <c r="L4821" s="207"/>
    </row>
    <row r="4822" spans="1:15" ht="11.25" customHeight="1" x14ac:dyDescent="0.2">
      <c r="A4822" s="191">
        <v>2024</v>
      </c>
      <c r="B4822" s="191">
        <v>7</v>
      </c>
      <c r="C4822" s="191">
        <v>2</v>
      </c>
      <c r="D4822" s="192">
        <f t="shared" si="497"/>
        <v>45475</v>
      </c>
      <c r="E4822" s="193">
        <f t="shared" si="498"/>
        <v>45475</v>
      </c>
      <c r="F4822" s="514"/>
      <c r="G4822" s="194" t="s">
        <v>1209</v>
      </c>
      <c r="H4822" s="195"/>
      <c r="I4822" s="195" t="s">
        <v>1353</v>
      </c>
      <c r="J4822" s="191" t="s">
        <v>46</v>
      </c>
      <c r="K4822" s="196"/>
      <c r="L4822" s="196">
        <v>289190.76</v>
      </c>
    </row>
    <row r="4823" spans="1:15" ht="11.25" customHeight="1" x14ac:dyDescent="0.2">
      <c r="A4823" s="197">
        <v>2024</v>
      </c>
      <c r="B4823" s="197">
        <v>7</v>
      </c>
      <c r="C4823" s="197">
        <v>2</v>
      </c>
      <c r="D4823" s="198">
        <f t="shared" si="497"/>
        <v>45475</v>
      </c>
      <c r="E4823" s="209">
        <f t="shared" si="498"/>
        <v>45475</v>
      </c>
      <c r="F4823" s="513" t="s">
        <v>1280</v>
      </c>
      <c r="G4823" s="200" t="s">
        <v>1209</v>
      </c>
      <c r="H4823" s="201"/>
      <c r="I4823" s="201" t="s">
        <v>1335</v>
      </c>
      <c r="J4823" s="197" t="s">
        <v>16</v>
      </c>
      <c r="K4823" s="202">
        <v>180000</v>
      </c>
      <c r="L4823" s="202"/>
    </row>
    <row r="4824" spans="1:15" ht="11.25" customHeight="1" x14ac:dyDescent="0.2">
      <c r="A4824" s="120">
        <v>2024</v>
      </c>
      <c r="B4824" s="120">
        <v>7</v>
      </c>
      <c r="C4824" s="120">
        <v>2</v>
      </c>
      <c r="D4824" s="208">
        <f t="shared" si="497"/>
        <v>45475</v>
      </c>
      <c r="E4824" s="209">
        <f t="shared" si="498"/>
        <v>45475</v>
      </c>
      <c r="F4824" s="515"/>
      <c r="G4824" s="132" t="s">
        <v>1209</v>
      </c>
      <c r="I4824" s="128" t="s">
        <v>1335</v>
      </c>
      <c r="J4824" s="120" t="s">
        <v>47</v>
      </c>
      <c r="K4824" s="207">
        <v>21114</v>
      </c>
      <c r="L4824" s="207"/>
    </row>
    <row r="4825" spans="1:15" ht="11.25" customHeight="1" x14ac:dyDescent="0.2">
      <c r="A4825" s="191">
        <v>2024</v>
      </c>
      <c r="B4825" s="191">
        <v>7</v>
      </c>
      <c r="C4825" s="191">
        <v>2</v>
      </c>
      <c r="D4825" s="192">
        <f t="shared" si="497"/>
        <v>45475</v>
      </c>
      <c r="E4825" s="193">
        <f t="shared" si="498"/>
        <v>45475</v>
      </c>
      <c r="F4825" s="514"/>
      <c r="G4825" s="194" t="s">
        <v>1209</v>
      </c>
      <c r="H4825" s="195"/>
      <c r="I4825" s="195" t="s">
        <v>1335</v>
      </c>
      <c r="J4825" s="191" t="s">
        <v>46</v>
      </c>
      <c r="K4825" s="196"/>
      <c r="L4825" s="196">
        <v>201114</v>
      </c>
    </row>
    <row r="4826" spans="1:15" ht="22.5" x14ac:dyDescent="0.2">
      <c r="A4826" s="197">
        <v>2024</v>
      </c>
      <c r="B4826" s="197">
        <v>7</v>
      </c>
      <c r="C4826" s="197">
        <v>3</v>
      </c>
      <c r="D4826" s="198">
        <f t="shared" si="497"/>
        <v>45476</v>
      </c>
      <c r="E4826" s="209">
        <f t="shared" si="498"/>
        <v>45476</v>
      </c>
      <c r="F4826" s="513" t="s">
        <v>1210</v>
      </c>
      <c r="G4826" s="200" t="s">
        <v>1209</v>
      </c>
      <c r="H4826" s="201"/>
      <c r="I4826" s="201" t="s">
        <v>299</v>
      </c>
      <c r="J4826" s="197" t="s">
        <v>46</v>
      </c>
      <c r="K4826" s="202">
        <v>1600000</v>
      </c>
      <c r="L4826" s="202"/>
    </row>
    <row r="4827" spans="1:15" ht="22.5" x14ac:dyDescent="0.2">
      <c r="A4827" s="120">
        <v>2024</v>
      </c>
      <c r="B4827" s="120">
        <v>7</v>
      </c>
      <c r="C4827" s="120">
        <v>3</v>
      </c>
      <c r="D4827" s="208">
        <f t="shared" si="497"/>
        <v>45476</v>
      </c>
      <c r="E4827" s="209">
        <f t="shared" si="498"/>
        <v>45476</v>
      </c>
      <c r="F4827" s="515"/>
      <c r="G4827" s="132" t="s">
        <v>1209</v>
      </c>
      <c r="I4827" s="128" t="s">
        <v>299</v>
      </c>
      <c r="J4827" s="120" t="s">
        <v>16</v>
      </c>
      <c r="K4827" s="207"/>
      <c r="L4827" s="207">
        <v>1432020</v>
      </c>
    </row>
    <row r="4828" spans="1:15" ht="22.5" x14ac:dyDescent="0.2">
      <c r="A4828" s="191">
        <v>2024</v>
      </c>
      <c r="B4828" s="191">
        <v>7</v>
      </c>
      <c r="C4828" s="191">
        <v>3</v>
      </c>
      <c r="D4828" s="192">
        <f t="shared" si="497"/>
        <v>45476</v>
      </c>
      <c r="E4828" s="193">
        <f t="shared" si="498"/>
        <v>45476</v>
      </c>
      <c r="F4828" s="514"/>
      <c r="G4828" s="194" t="s">
        <v>1209</v>
      </c>
      <c r="H4828" s="195"/>
      <c r="I4828" s="195" t="s">
        <v>299</v>
      </c>
      <c r="J4828" s="191" t="s">
        <v>47</v>
      </c>
      <c r="K4828" s="196"/>
      <c r="L4828" s="196">
        <v>167980</v>
      </c>
    </row>
    <row r="4829" spans="1:15" ht="22.5" x14ac:dyDescent="0.2">
      <c r="A4829" s="197">
        <v>2024</v>
      </c>
      <c r="B4829" s="197">
        <v>7</v>
      </c>
      <c r="C4829" s="197">
        <v>3</v>
      </c>
      <c r="D4829" s="198">
        <f t="shared" si="497"/>
        <v>45476</v>
      </c>
      <c r="E4829" s="209">
        <f t="shared" si="498"/>
        <v>45476</v>
      </c>
      <c r="F4829" s="513" t="s">
        <v>1210</v>
      </c>
      <c r="G4829" s="200" t="s">
        <v>1209</v>
      </c>
      <c r="H4829" s="201"/>
      <c r="I4829" s="201" t="s">
        <v>771</v>
      </c>
      <c r="J4829" s="197" t="s">
        <v>46</v>
      </c>
      <c r="K4829" s="202">
        <v>200000</v>
      </c>
      <c r="L4829" s="202"/>
    </row>
    <row r="4830" spans="1:15" ht="22.5" x14ac:dyDescent="0.2">
      <c r="A4830" s="120">
        <v>2024</v>
      </c>
      <c r="B4830" s="120">
        <v>7</v>
      </c>
      <c r="C4830" s="120">
        <v>3</v>
      </c>
      <c r="D4830" s="208">
        <f t="shared" si="497"/>
        <v>45476</v>
      </c>
      <c r="E4830" s="209">
        <f t="shared" si="498"/>
        <v>45476</v>
      </c>
      <c r="F4830" s="515"/>
      <c r="G4830" s="132" t="s">
        <v>1209</v>
      </c>
      <c r="I4830" s="128" t="s">
        <v>771</v>
      </c>
      <c r="J4830" s="120" t="s">
        <v>16</v>
      </c>
      <c r="K4830" s="207"/>
      <c r="L4830" s="207">
        <v>179000</v>
      </c>
    </row>
    <row r="4831" spans="1:15" ht="22.5" x14ac:dyDescent="0.2">
      <c r="A4831" s="191">
        <v>2024</v>
      </c>
      <c r="B4831" s="191">
        <v>7</v>
      </c>
      <c r="C4831" s="191">
        <v>3</v>
      </c>
      <c r="D4831" s="192">
        <f t="shared" si="497"/>
        <v>45476</v>
      </c>
      <c r="E4831" s="193">
        <f t="shared" si="498"/>
        <v>45476</v>
      </c>
      <c r="F4831" s="514"/>
      <c r="G4831" s="194" t="s">
        <v>1209</v>
      </c>
      <c r="H4831" s="195"/>
      <c r="I4831" s="195" t="s">
        <v>771</v>
      </c>
      <c r="J4831" s="191" t="s">
        <v>47</v>
      </c>
      <c r="K4831" s="196"/>
      <c r="L4831" s="196">
        <v>21000</v>
      </c>
    </row>
    <row r="4832" spans="1:15" ht="11.25" customHeight="1" x14ac:dyDescent="0.2">
      <c r="A4832" s="197">
        <v>2024</v>
      </c>
      <c r="B4832" s="197">
        <v>7</v>
      </c>
      <c r="C4832" s="197">
        <v>3</v>
      </c>
      <c r="D4832" s="198">
        <f t="shared" si="497"/>
        <v>45476</v>
      </c>
      <c r="E4832" s="290">
        <f t="shared" si="498"/>
        <v>45476</v>
      </c>
      <c r="F4832" s="513" t="s">
        <v>1514</v>
      </c>
      <c r="G4832" s="200" t="s">
        <v>1209</v>
      </c>
      <c r="H4832" s="201"/>
      <c r="I4832" s="201"/>
      <c r="J4832" s="197" t="s">
        <v>54</v>
      </c>
      <c r="K4832" s="374">
        <v>60</v>
      </c>
      <c r="L4832" s="202"/>
      <c r="M4832" s="251"/>
      <c r="N4832" s="251"/>
      <c r="O4832" s="251"/>
    </row>
    <row r="4833" spans="1:15" ht="11.25" customHeight="1" x14ac:dyDescent="0.2">
      <c r="A4833" s="191">
        <v>2024</v>
      </c>
      <c r="B4833" s="191">
        <v>7</v>
      </c>
      <c r="C4833" s="191">
        <v>3</v>
      </c>
      <c r="D4833" s="192">
        <f t="shared" si="497"/>
        <v>45476</v>
      </c>
      <c r="E4833" s="291">
        <f t="shared" si="498"/>
        <v>45476</v>
      </c>
      <c r="F4833" s="514"/>
      <c r="G4833" s="194" t="s">
        <v>1209</v>
      </c>
      <c r="H4833" s="195"/>
      <c r="I4833" s="195"/>
      <c r="J4833" s="191" t="s">
        <v>46</v>
      </c>
      <c r="K4833" s="375"/>
      <c r="L4833" s="196">
        <v>60</v>
      </c>
      <c r="M4833" s="251"/>
      <c r="N4833" s="251"/>
      <c r="O4833" s="251"/>
    </row>
    <row r="4834" spans="1:15" ht="22.5" x14ac:dyDescent="0.2">
      <c r="A4834" s="197">
        <v>2024</v>
      </c>
      <c r="B4834" s="197">
        <v>7</v>
      </c>
      <c r="C4834" s="197">
        <v>4</v>
      </c>
      <c r="D4834" s="198">
        <f t="shared" si="497"/>
        <v>45477</v>
      </c>
      <c r="E4834" s="209">
        <f t="shared" si="498"/>
        <v>45477</v>
      </c>
      <c r="F4834" s="513" t="s">
        <v>1210</v>
      </c>
      <c r="G4834" s="200" t="s">
        <v>1209</v>
      </c>
      <c r="H4834" s="201"/>
      <c r="I4834" s="201" t="s">
        <v>1504</v>
      </c>
      <c r="J4834" s="197" t="s">
        <v>46</v>
      </c>
      <c r="K4834" s="202">
        <v>200000</v>
      </c>
      <c r="L4834" s="202"/>
    </row>
    <row r="4835" spans="1:15" ht="22.5" x14ac:dyDescent="0.2">
      <c r="A4835" s="120">
        <v>2024</v>
      </c>
      <c r="B4835" s="120">
        <v>7</v>
      </c>
      <c r="C4835" s="120">
        <v>4</v>
      </c>
      <c r="D4835" s="208">
        <f t="shared" si="497"/>
        <v>45477</v>
      </c>
      <c r="E4835" s="209">
        <f t="shared" si="498"/>
        <v>45477</v>
      </c>
      <c r="F4835" s="515"/>
      <c r="G4835" s="132" t="s">
        <v>1209</v>
      </c>
      <c r="I4835" s="128" t="s">
        <v>1504</v>
      </c>
      <c r="J4835" s="120" t="s">
        <v>16</v>
      </c>
      <c r="K4835" s="207"/>
      <c r="L4835" s="207">
        <v>179000</v>
      </c>
    </row>
    <row r="4836" spans="1:15" ht="22.5" x14ac:dyDescent="0.2">
      <c r="A4836" s="191">
        <v>2024</v>
      </c>
      <c r="B4836" s="191">
        <v>7</v>
      </c>
      <c r="C4836" s="191">
        <v>4</v>
      </c>
      <c r="D4836" s="192">
        <f t="shared" si="497"/>
        <v>45477</v>
      </c>
      <c r="E4836" s="193">
        <f t="shared" si="498"/>
        <v>45477</v>
      </c>
      <c r="F4836" s="514"/>
      <c r="G4836" s="194" t="s">
        <v>1209</v>
      </c>
      <c r="H4836" s="195"/>
      <c r="I4836" s="195" t="s">
        <v>1504</v>
      </c>
      <c r="J4836" s="191" t="s">
        <v>47</v>
      </c>
      <c r="K4836" s="196"/>
      <c r="L4836" s="196">
        <v>21000</v>
      </c>
    </row>
    <row r="4837" spans="1:15" ht="11.25" customHeight="1" x14ac:dyDescent="0.2">
      <c r="A4837" s="197">
        <v>2024</v>
      </c>
      <c r="B4837" s="197">
        <v>7</v>
      </c>
      <c r="C4837" s="197">
        <v>4</v>
      </c>
      <c r="D4837" s="198">
        <f t="shared" si="497"/>
        <v>45477</v>
      </c>
      <c r="E4837" s="290">
        <f t="shared" si="498"/>
        <v>45477</v>
      </c>
      <c r="F4837" s="513" t="s">
        <v>1385</v>
      </c>
      <c r="G4837" s="200" t="s">
        <v>1245</v>
      </c>
      <c r="H4837" s="201"/>
      <c r="I4837" s="201" t="s">
        <v>1253</v>
      </c>
      <c r="J4837" s="197" t="s">
        <v>1582</v>
      </c>
      <c r="K4837" s="202">
        <v>340.745192307048</v>
      </c>
      <c r="L4837" s="202"/>
    </row>
    <row r="4838" spans="1:15" ht="11.25" customHeight="1" x14ac:dyDescent="0.2">
      <c r="A4838" s="191">
        <v>2024</v>
      </c>
      <c r="B4838" s="191">
        <v>7</v>
      </c>
      <c r="C4838" s="191">
        <v>4</v>
      </c>
      <c r="D4838" s="192">
        <f t="shared" si="497"/>
        <v>45477</v>
      </c>
      <c r="E4838" s="291">
        <f t="shared" si="498"/>
        <v>45477</v>
      </c>
      <c r="F4838" s="514"/>
      <c r="G4838" s="194" t="s">
        <v>1245</v>
      </c>
      <c r="H4838" s="195"/>
      <c r="I4838" s="195" t="s">
        <v>1253</v>
      </c>
      <c r="J4838" s="191" t="s">
        <v>1284</v>
      </c>
      <c r="K4838" s="196"/>
      <c r="L4838" s="196">
        <v>340.745192307048</v>
      </c>
    </row>
    <row r="4839" spans="1:15" ht="11.25" customHeight="1" x14ac:dyDescent="0.2">
      <c r="A4839" s="344">
        <v>2024</v>
      </c>
      <c r="B4839" s="344">
        <v>7</v>
      </c>
      <c r="C4839" s="344">
        <v>4</v>
      </c>
      <c r="D4839" s="345">
        <f t="shared" si="497"/>
        <v>45477</v>
      </c>
      <c r="E4839" s="346">
        <f t="shared" si="498"/>
        <v>45477</v>
      </c>
      <c r="F4839" s="518" t="s">
        <v>1621</v>
      </c>
      <c r="G4839" s="347" t="s">
        <v>1245</v>
      </c>
      <c r="H4839" s="348"/>
      <c r="I4839" s="348" t="s">
        <v>1253</v>
      </c>
      <c r="J4839" s="344" t="s">
        <v>113</v>
      </c>
      <c r="K4839" s="349">
        <v>140906.59538461501</v>
      </c>
      <c r="L4839" s="349"/>
    </row>
    <row r="4840" spans="1:15" ht="11.25" customHeight="1" x14ac:dyDescent="0.2">
      <c r="A4840" s="350">
        <v>2024</v>
      </c>
      <c r="B4840" s="350">
        <v>7</v>
      </c>
      <c r="C4840" s="350">
        <v>4</v>
      </c>
      <c r="D4840" s="351">
        <f t="shared" si="497"/>
        <v>45477</v>
      </c>
      <c r="E4840" s="352">
        <f t="shared" si="498"/>
        <v>45477</v>
      </c>
      <c r="F4840" s="519"/>
      <c r="G4840" s="353" t="s">
        <v>1245</v>
      </c>
      <c r="H4840" s="354"/>
      <c r="I4840" s="354" t="s">
        <v>1253</v>
      </c>
      <c r="J4840" s="350" t="s">
        <v>153</v>
      </c>
      <c r="K4840" s="355"/>
      <c r="L4840" s="355">
        <v>140906.59538461501</v>
      </c>
    </row>
    <row r="4841" spans="1:15" ht="11.25" customHeight="1" x14ac:dyDescent="0.2">
      <c r="A4841" s="210">
        <v>2024</v>
      </c>
      <c r="B4841" s="210">
        <v>7</v>
      </c>
      <c r="C4841" s="210">
        <v>4</v>
      </c>
      <c r="D4841" s="211">
        <f t="shared" si="497"/>
        <v>45477</v>
      </c>
      <c r="E4841" s="238">
        <f t="shared" si="498"/>
        <v>45477</v>
      </c>
      <c r="F4841" s="520" t="s">
        <v>1278</v>
      </c>
      <c r="G4841" s="213" t="s">
        <v>1245</v>
      </c>
      <c r="H4841" s="214"/>
      <c r="I4841" s="214" t="s">
        <v>1253</v>
      </c>
      <c r="J4841" s="210" t="s">
        <v>1529</v>
      </c>
      <c r="K4841" s="215">
        <v>1556.7371428571423</v>
      </c>
      <c r="L4841" s="215"/>
    </row>
    <row r="4842" spans="1:15" ht="11.25" customHeight="1" x14ac:dyDescent="0.2">
      <c r="A4842" s="216">
        <v>2024</v>
      </c>
      <c r="B4842" s="216">
        <v>7</v>
      </c>
      <c r="C4842" s="216">
        <v>4</v>
      </c>
      <c r="D4842" s="217">
        <f t="shared" si="497"/>
        <v>45477</v>
      </c>
      <c r="E4842" s="239">
        <f t="shared" si="498"/>
        <v>45477</v>
      </c>
      <c r="F4842" s="521"/>
      <c r="G4842" s="219" t="s">
        <v>1245</v>
      </c>
      <c r="H4842" s="220"/>
      <c r="I4842" s="220" t="s">
        <v>1253</v>
      </c>
      <c r="J4842" s="216" t="s">
        <v>1581</v>
      </c>
      <c r="K4842" s="221"/>
      <c r="L4842" s="221">
        <v>1556.7371428571423</v>
      </c>
    </row>
    <row r="4843" spans="1:15" ht="11.25" customHeight="1" x14ac:dyDescent="0.2">
      <c r="A4843" s="210">
        <v>2024</v>
      </c>
      <c r="B4843" s="210">
        <v>7</v>
      </c>
      <c r="C4843" s="210">
        <v>4</v>
      </c>
      <c r="D4843" s="211">
        <f t="shared" si="497"/>
        <v>45477</v>
      </c>
      <c r="E4843" s="238">
        <f t="shared" si="498"/>
        <v>45477</v>
      </c>
      <c r="F4843" s="520" t="s">
        <v>1285</v>
      </c>
      <c r="G4843" s="213" t="s">
        <v>1245</v>
      </c>
      <c r="H4843" s="214"/>
      <c r="I4843" s="214" t="s">
        <v>1253</v>
      </c>
      <c r="J4843" s="210" t="s">
        <v>1284</v>
      </c>
      <c r="K4843" s="215">
        <v>10290.504807692309</v>
      </c>
      <c r="L4843" s="215"/>
    </row>
    <row r="4844" spans="1:15" ht="11.25" customHeight="1" x14ac:dyDescent="0.2">
      <c r="A4844" s="242">
        <v>2024</v>
      </c>
      <c r="B4844" s="242">
        <v>7</v>
      </c>
      <c r="C4844" s="242">
        <v>4</v>
      </c>
      <c r="D4844" s="243">
        <f t="shared" si="497"/>
        <v>45477</v>
      </c>
      <c r="E4844" s="244">
        <f>DATE(A4844,B4844,C4844)</f>
        <v>45477</v>
      </c>
      <c r="F4844" s="524"/>
      <c r="G4844" s="245" t="s">
        <v>1245</v>
      </c>
      <c r="H4844" s="246"/>
      <c r="I4844" s="246"/>
      <c r="J4844" s="242" t="s">
        <v>1582</v>
      </c>
      <c r="K4844" s="247"/>
      <c r="L4844" s="247">
        <v>10290.504807692309</v>
      </c>
    </row>
    <row r="4845" spans="1:15" ht="11.25" customHeight="1" x14ac:dyDescent="0.2">
      <c r="A4845" s="210">
        <v>2024</v>
      </c>
      <c r="B4845" s="210">
        <v>7</v>
      </c>
      <c r="C4845" s="210">
        <v>4</v>
      </c>
      <c r="D4845" s="211">
        <f t="shared" si="497"/>
        <v>45477</v>
      </c>
      <c r="E4845" s="238">
        <f t="shared" ref="E4845:E4906" si="499">DATE(A4845,B4845,C4845)</f>
        <v>45477</v>
      </c>
      <c r="F4845" s="520" t="s">
        <v>1259</v>
      </c>
      <c r="G4845" s="213" t="s">
        <v>1245</v>
      </c>
      <c r="H4845" s="214"/>
      <c r="I4845" s="214" t="s">
        <v>1253</v>
      </c>
      <c r="J4845" s="210" t="s">
        <v>58</v>
      </c>
      <c r="K4845" s="215">
        <v>8850.01</v>
      </c>
      <c r="L4845" s="215"/>
    </row>
    <row r="4846" spans="1:15" ht="11.25" customHeight="1" x14ac:dyDescent="0.2">
      <c r="A4846" s="216">
        <v>2024</v>
      </c>
      <c r="B4846" s="216">
        <v>7</v>
      </c>
      <c r="C4846" s="216">
        <v>4</v>
      </c>
      <c r="D4846" s="217">
        <f t="shared" si="497"/>
        <v>45477</v>
      </c>
      <c r="E4846" s="239">
        <f t="shared" si="499"/>
        <v>45477</v>
      </c>
      <c r="F4846" s="521"/>
      <c r="G4846" s="219" t="s">
        <v>1245</v>
      </c>
      <c r="H4846" s="220"/>
      <c r="I4846" s="220" t="s">
        <v>1253</v>
      </c>
      <c r="J4846" s="216" t="s">
        <v>153</v>
      </c>
      <c r="K4846" s="221"/>
      <c r="L4846" s="221">
        <v>8850.01</v>
      </c>
    </row>
    <row r="4847" spans="1:15" ht="11.25" customHeight="1" x14ac:dyDescent="0.2">
      <c r="A4847" s="312">
        <v>2024</v>
      </c>
      <c r="B4847" s="312">
        <v>7</v>
      </c>
      <c r="C4847" s="312">
        <v>4</v>
      </c>
      <c r="D4847" s="313">
        <f t="shared" si="497"/>
        <v>45477</v>
      </c>
      <c r="E4847" s="314">
        <f t="shared" si="499"/>
        <v>45477</v>
      </c>
      <c r="F4847" s="522" t="s">
        <v>1477</v>
      </c>
      <c r="G4847" s="315" t="s">
        <v>1245</v>
      </c>
      <c r="H4847" s="316"/>
      <c r="I4847" s="316" t="s">
        <v>1253</v>
      </c>
      <c r="J4847" s="312" t="s">
        <v>1460</v>
      </c>
      <c r="K4847" s="317">
        <v>297433</v>
      </c>
      <c r="L4847" s="317"/>
    </row>
    <row r="4848" spans="1:15" ht="11.25" customHeight="1" x14ac:dyDescent="0.2">
      <c r="A4848" s="318">
        <v>2024</v>
      </c>
      <c r="B4848" s="318">
        <v>7</v>
      </c>
      <c r="C4848" s="318">
        <v>4</v>
      </c>
      <c r="D4848" s="319">
        <f t="shared" si="497"/>
        <v>45477</v>
      </c>
      <c r="E4848" s="320">
        <f t="shared" si="499"/>
        <v>45477</v>
      </c>
      <c r="F4848" s="523"/>
      <c r="G4848" s="321" t="s">
        <v>1245</v>
      </c>
      <c r="H4848" s="322"/>
      <c r="I4848" s="322" t="s">
        <v>1253</v>
      </c>
      <c r="J4848" s="318" t="s">
        <v>1458</v>
      </c>
      <c r="K4848" s="323"/>
      <c r="L4848" s="323">
        <v>297433</v>
      </c>
    </row>
    <row r="4849" spans="1:12" ht="11.25" customHeight="1" x14ac:dyDescent="0.2">
      <c r="A4849" s="312">
        <v>2024</v>
      </c>
      <c r="B4849" s="312">
        <v>7</v>
      </c>
      <c r="C4849" s="312">
        <v>4</v>
      </c>
      <c r="D4849" s="313">
        <f t="shared" si="497"/>
        <v>45477</v>
      </c>
      <c r="E4849" s="314">
        <f t="shared" si="499"/>
        <v>45477</v>
      </c>
      <c r="F4849" s="522" t="s">
        <v>1595</v>
      </c>
      <c r="G4849" s="315" t="s">
        <v>1245</v>
      </c>
      <c r="H4849" s="316"/>
      <c r="I4849" s="316" t="s">
        <v>1253</v>
      </c>
      <c r="J4849" s="312" t="s">
        <v>1459</v>
      </c>
      <c r="K4849" s="317">
        <v>723436.53000001609</v>
      </c>
      <c r="L4849" s="317"/>
    </row>
    <row r="4850" spans="1:12" ht="11.25" customHeight="1" x14ac:dyDescent="0.2">
      <c r="A4850" s="318">
        <v>2024</v>
      </c>
      <c r="B4850" s="318">
        <v>7</v>
      </c>
      <c r="C4850" s="318">
        <v>4</v>
      </c>
      <c r="D4850" s="319">
        <f t="shared" ref="D4850:D4913" si="500">DATE(A4850,B4850,C4850)</f>
        <v>45477</v>
      </c>
      <c r="E4850" s="320">
        <f t="shared" si="499"/>
        <v>45477</v>
      </c>
      <c r="F4850" s="523"/>
      <c r="G4850" s="321" t="s">
        <v>1245</v>
      </c>
      <c r="H4850" s="322"/>
      <c r="I4850" s="322" t="s">
        <v>1253</v>
      </c>
      <c r="J4850" s="318" t="s">
        <v>1461</v>
      </c>
      <c r="K4850" s="323"/>
      <c r="L4850" s="323">
        <v>723436.53000001609</v>
      </c>
    </row>
    <row r="4851" spans="1:12" ht="11.25" customHeight="1" x14ac:dyDescent="0.2">
      <c r="A4851" s="222">
        <v>2024</v>
      </c>
      <c r="B4851" s="222">
        <v>7</v>
      </c>
      <c r="C4851" s="222">
        <v>4</v>
      </c>
      <c r="D4851" s="223">
        <f t="shared" si="500"/>
        <v>45477</v>
      </c>
      <c r="E4851" s="240">
        <f t="shared" si="499"/>
        <v>45477</v>
      </c>
      <c r="F4851" s="511" t="s">
        <v>1244</v>
      </c>
      <c r="G4851" s="225" t="s">
        <v>1245</v>
      </c>
      <c r="H4851" s="226"/>
      <c r="I4851" s="226" t="s">
        <v>1253</v>
      </c>
      <c r="J4851" s="222" t="s">
        <v>87</v>
      </c>
      <c r="K4851" s="227">
        <v>58354</v>
      </c>
      <c r="L4851" s="227"/>
    </row>
    <row r="4852" spans="1:12" ht="11.25" customHeight="1" x14ac:dyDescent="0.2">
      <c r="A4852" s="228">
        <v>2024</v>
      </c>
      <c r="B4852" s="228">
        <v>7</v>
      </c>
      <c r="C4852" s="228">
        <v>4</v>
      </c>
      <c r="D4852" s="229">
        <f t="shared" si="500"/>
        <v>45477</v>
      </c>
      <c r="E4852" s="241">
        <f t="shared" si="499"/>
        <v>45477</v>
      </c>
      <c r="F4852" s="512"/>
      <c r="G4852" s="231" t="s">
        <v>1245</v>
      </c>
      <c r="H4852" s="232"/>
      <c r="I4852" s="232" t="s">
        <v>1253</v>
      </c>
      <c r="J4852" s="228" t="s">
        <v>72</v>
      </c>
      <c r="K4852" s="233"/>
      <c r="L4852" s="233">
        <v>58354</v>
      </c>
    </row>
    <row r="4853" spans="1:12" ht="11.25" customHeight="1" x14ac:dyDescent="0.2">
      <c r="A4853" s="222">
        <v>2024</v>
      </c>
      <c r="B4853" s="222">
        <v>7</v>
      </c>
      <c r="C4853" s="222">
        <v>4</v>
      </c>
      <c r="D4853" s="223">
        <f t="shared" si="500"/>
        <v>45477</v>
      </c>
      <c r="E4853" s="240">
        <f t="shared" si="499"/>
        <v>45477</v>
      </c>
      <c r="F4853" s="511" t="s">
        <v>1246</v>
      </c>
      <c r="G4853" s="225" t="s">
        <v>1245</v>
      </c>
      <c r="H4853" s="226"/>
      <c r="I4853" s="226" t="s">
        <v>1253</v>
      </c>
      <c r="J4853" s="222" t="s">
        <v>75</v>
      </c>
      <c r="K4853" s="227">
        <v>2070.3564835164834</v>
      </c>
      <c r="L4853" s="227"/>
    </row>
    <row r="4854" spans="1:12" ht="11.25" customHeight="1" x14ac:dyDescent="0.2">
      <c r="A4854" s="228">
        <v>2024</v>
      </c>
      <c r="B4854" s="228">
        <v>7</v>
      </c>
      <c r="C4854" s="228">
        <v>4</v>
      </c>
      <c r="D4854" s="229">
        <f t="shared" si="500"/>
        <v>45477</v>
      </c>
      <c r="E4854" s="241">
        <f t="shared" si="499"/>
        <v>45477</v>
      </c>
      <c r="F4854" s="512"/>
      <c r="G4854" s="231" t="s">
        <v>1245</v>
      </c>
      <c r="H4854" s="232"/>
      <c r="I4854" s="232" t="s">
        <v>1253</v>
      </c>
      <c r="J4854" s="228" t="s">
        <v>55</v>
      </c>
      <c r="K4854" s="233"/>
      <c r="L4854" s="233">
        <v>2070.3564835164834</v>
      </c>
    </row>
    <row r="4855" spans="1:12" ht="11.25" customHeight="1" x14ac:dyDescent="0.2">
      <c r="A4855" s="222">
        <v>2024</v>
      </c>
      <c r="B4855" s="222">
        <v>7</v>
      </c>
      <c r="C4855" s="222">
        <v>4</v>
      </c>
      <c r="D4855" s="223">
        <f t="shared" si="500"/>
        <v>45477</v>
      </c>
      <c r="E4855" s="240">
        <f t="shared" si="499"/>
        <v>45477</v>
      </c>
      <c r="F4855" s="511" t="s">
        <v>1247</v>
      </c>
      <c r="G4855" s="225" t="s">
        <v>1245</v>
      </c>
      <c r="H4855" s="226"/>
      <c r="I4855" s="226" t="s">
        <v>1253</v>
      </c>
      <c r="J4855" s="222" t="s">
        <v>77</v>
      </c>
      <c r="K4855" s="227">
        <v>19830.315486434687</v>
      </c>
      <c r="L4855" s="227"/>
    </row>
    <row r="4856" spans="1:12" ht="11.25" customHeight="1" x14ac:dyDescent="0.2">
      <c r="A4856" s="228">
        <v>2024</v>
      </c>
      <c r="B4856" s="228">
        <v>7</v>
      </c>
      <c r="C4856" s="228">
        <v>4</v>
      </c>
      <c r="D4856" s="229">
        <f t="shared" si="500"/>
        <v>45477</v>
      </c>
      <c r="E4856" s="241">
        <f t="shared" si="499"/>
        <v>45477</v>
      </c>
      <c r="F4856" s="512"/>
      <c r="G4856" s="231" t="s">
        <v>1245</v>
      </c>
      <c r="H4856" s="232"/>
      <c r="I4856" s="232" t="s">
        <v>1253</v>
      </c>
      <c r="J4856" s="228" t="s">
        <v>41</v>
      </c>
      <c r="K4856" s="233"/>
      <c r="L4856" s="233">
        <v>19830.315486434687</v>
      </c>
    </row>
    <row r="4857" spans="1:12" ht="11.25" customHeight="1" x14ac:dyDescent="0.2">
      <c r="A4857" s="222">
        <v>2024</v>
      </c>
      <c r="B4857" s="222">
        <v>7</v>
      </c>
      <c r="C4857" s="222">
        <v>4</v>
      </c>
      <c r="D4857" s="223">
        <f t="shared" si="500"/>
        <v>45477</v>
      </c>
      <c r="E4857" s="240">
        <f t="shared" si="499"/>
        <v>45477</v>
      </c>
      <c r="F4857" s="511" t="s">
        <v>1248</v>
      </c>
      <c r="G4857" s="225" t="s">
        <v>1245</v>
      </c>
      <c r="H4857" s="226"/>
      <c r="I4857" s="226" t="s">
        <v>1253</v>
      </c>
      <c r="J4857" s="222" t="s">
        <v>80</v>
      </c>
      <c r="K4857" s="227">
        <v>1983.0315486434688</v>
      </c>
      <c r="L4857" s="227"/>
    </row>
    <row r="4858" spans="1:12" ht="11.25" customHeight="1" x14ac:dyDescent="0.2">
      <c r="A4858" s="228">
        <v>2024</v>
      </c>
      <c r="B4858" s="228">
        <v>7</v>
      </c>
      <c r="C4858" s="228">
        <v>4</v>
      </c>
      <c r="D4858" s="229">
        <f t="shared" si="500"/>
        <v>45477</v>
      </c>
      <c r="E4858" s="241">
        <f t="shared" si="499"/>
        <v>45477</v>
      </c>
      <c r="F4858" s="512"/>
      <c r="G4858" s="231" t="s">
        <v>1245</v>
      </c>
      <c r="H4858" s="232"/>
      <c r="I4858" s="232" t="s">
        <v>1253</v>
      </c>
      <c r="J4858" s="228" t="s">
        <v>42</v>
      </c>
      <c r="K4858" s="233"/>
      <c r="L4858" s="233">
        <v>1983.0315486434688</v>
      </c>
    </row>
    <row r="4859" spans="1:12" ht="11.25" customHeight="1" x14ac:dyDescent="0.2">
      <c r="A4859" s="197">
        <v>2024</v>
      </c>
      <c r="B4859" s="197">
        <v>7</v>
      </c>
      <c r="C4859" s="197">
        <v>7</v>
      </c>
      <c r="D4859" s="198">
        <f t="shared" si="500"/>
        <v>45480</v>
      </c>
      <c r="E4859" s="209">
        <f t="shared" si="499"/>
        <v>45480</v>
      </c>
      <c r="F4859" s="513" t="s">
        <v>1280</v>
      </c>
      <c r="G4859" s="200" t="s">
        <v>1209</v>
      </c>
      <c r="H4859" s="201"/>
      <c r="I4859" s="201" t="s">
        <v>567</v>
      </c>
      <c r="J4859" s="197" t="s">
        <v>16</v>
      </c>
      <c r="K4859" s="202">
        <v>150000</v>
      </c>
      <c r="L4859" s="202"/>
    </row>
    <row r="4860" spans="1:12" ht="11.25" customHeight="1" x14ac:dyDescent="0.2">
      <c r="A4860" s="120">
        <v>2024</v>
      </c>
      <c r="B4860" s="120">
        <v>7</v>
      </c>
      <c r="C4860" s="120">
        <v>7</v>
      </c>
      <c r="D4860" s="208">
        <f t="shared" si="500"/>
        <v>45480</v>
      </c>
      <c r="E4860" s="209">
        <f t="shared" si="499"/>
        <v>45480</v>
      </c>
      <c r="F4860" s="515"/>
      <c r="G4860" s="132" t="s">
        <v>1209</v>
      </c>
      <c r="I4860" s="128" t="s">
        <v>567</v>
      </c>
      <c r="J4860" s="120" t="s">
        <v>47</v>
      </c>
      <c r="K4860" s="207">
        <v>17985</v>
      </c>
      <c r="L4860" s="207"/>
    </row>
    <row r="4861" spans="1:12" ht="11.25" customHeight="1" x14ac:dyDescent="0.2">
      <c r="A4861" s="191">
        <v>2024</v>
      </c>
      <c r="B4861" s="191">
        <v>7</v>
      </c>
      <c r="C4861" s="191">
        <v>7</v>
      </c>
      <c r="D4861" s="192">
        <f t="shared" si="500"/>
        <v>45480</v>
      </c>
      <c r="E4861" s="193">
        <f t="shared" si="499"/>
        <v>45480</v>
      </c>
      <c r="F4861" s="514"/>
      <c r="G4861" s="194" t="s">
        <v>1209</v>
      </c>
      <c r="H4861" s="195"/>
      <c r="I4861" s="195" t="s">
        <v>567</v>
      </c>
      <c r="J4861" s="191" t="s">
        <v>46</v>
      </c>
      <c r="K4861" s="196"/>
      <c r="L4861" s="196">
        <v>167985</v>
      </c>
    </row>
    <row r="4862" spans="1:12" ht="11.25" customHeight="1" x14ac:dyDescent="0.2">
      <c r="A4862" s="197">
        <v>2024</v>
      </c>
      <c r="B4862" s="197">
        <v>7</v>
      </c>
      <c r="C4862" s="197">
        <v>7</v>
      </c>
      <c r="D4862" s="198">
        <f t="shared" si="500"/>
        <v>45480</v>
      </c>
      <c r="E4862" s="209">
        <f t="shared" si="499"/>
        <v>45480</v>
      </c>
      <c r="F4862" s="513" t="s">
        <v>1280</v>
      </c>
      <c r="G4862" s="200" t="s">
        <v>1209</v>
      </c>
      <c r="H4862" s="201"/>
      <c r="I4862" s="201" t="s">
        <v>1223</v>
      </c>
      <c r="J4862" s="197" t="s">
        <v>16</v>
      </c>
      <c r="K4862" s="202">
        <v>4803450</v>
      </c>
      <c r="L4862" s="202"/>
    </row>
    <row r="4863" spans="1:12" ht="11.25" customHeight="1" x14ac:dyDescent="0.2">
      <c r="A4863" s="120">
        <v>2024</v>
      </c>
      <c r="B4863" s="120">
        <v>7</v>
      </c>
      <c r="C4863" s="120">
        <v>7</v>
      </c>
      <c r="D4863" s="208">
        <f t="shared" si="500"/>
        <v>45480</v>
      </c>
      <c r="E4863" s="209">
        <f t="shared" si="499"/>
        <v>45480</v>
      </c>
      <c r="F4863" s="515"/>
      <c r="G4863" s="132" t="s">
        <v>1209</v>
      </c>
      <c r="I4863" s="128" t="s">
        <v>1223</v>
      </c>
      <c r="J4863" s="120" t="s">
        <v>47</v>
      </c>
      <c r="K4863" s="207">
        <v>575933.66000000015</v>
      </c>
      <c r="L4863" s="207"/>
    </row>
    <row r="4864" spans="1:12" ht="11.25" customHeight="1" x14ac:dyDescent="0.2">
      <c r="A4864" s="191">
        <v>2024</v>
      </c>
      <c r="B4864" s="191">
        <v>7</v>
      </c>
      <c r="C4864" s="191">
        <v>7</v>
      </c>
      <c r="D4864" s="192">
        <f t="shared" si="500"/>
        <v>45480</v>
      </c>
      <c r="E4864" s="193">
        <f t="shared" si="499"/>
        <v>45480</v>
      </c>
      <c r="F4864" s="514"/>
      <c r="G4864" s="194" t="s">
        <v>1209</v>
      </c>
      <c r="H4864" s="195"/>
      <c r="I4864" s="195" t="s">
        <v>1223</v>
      </c>
      <c r="J4864" s="191" t="s">
        <v>46</v>
      </c>
      <c r="K4864" s="196"/>
      <c r="L4864" s="196">
        <v>5379383.6600000001</v>
      </c>
    </row>
    <row r="4865" spans="1:15" ht="11.25" customHeight="1" x14ac:dyDescent="0.2">
      <c r="A4865" s="197">
        <v>2024</v>
      </c>
      <c r="B4865" s="197">
        <v>7</v>
      </c>
      <c r="C4865" s="197">
        <v>7</v>
      </c>
      <c r="D4865" s="198">
        <f t="shared" si="500"/>
        <v>45480</v>
      </c>
      <c r="E4865" s="209">
        <f t="shared" si="499"/>
        <v>45480</v>
      </c>
      <c r="F4865" s="513" t="s">
        <v>1280</v>
      </c>
      <c r="G4865" s="200" t="s">
        <v>1209</v>
      </c>
      <c r="H4865" s="201"/>
      <c r="I4865" s="201" t="s">
        <v>410</v>
      </c>
      <c r="J4865" s="197" t="s">
        <v>16</v>
      </c>
      <c r="K4865" s="202">
        <v>89670</v>
      </c>
      <c r="L4865" s="202"/>
    </row>
    <row r="4866" spans="1:15" ht="11.25" customHeight="1" x14ac:dyDescent="0.2">
      <c r="A4866" s="120">
        <v>2024</v>
      </c>
      <c r="B4866" s="120">
        <v>7</v>
      </c>
      <c r="C4866" s="120">
        <v>7</v>
      </c>
      <c r="D4866" s="208">
        <f t="shared" si="500"/>
        <v>45480</v>
      </c>
      <c r="E4866" s="209">
        <f t="shared" si="499"/>
        <v>45480</v>
      </c>
      <c r="F4866" s="515"/>
      <c r="G4866" s="132" t="s">
        <v>1209</v>
      </c>
      <c r="I4866" s="128" t="s">
        <v>410</v>
      </c>
      <c r="J4866" s="120" t="s">
        <v>47</v>
      </c>
      <c r="K4866" s="207">
        <v>10751.429999999993</v>
      </c>
      <c r="L4866" s="207"/>
    </row>
    <row r="4867" spans="1:15" ht="11.25" customHeight="1" x14ac:dyDescent="0.2">
      <c r="A4867" s="191">
        <v>2024</v>
      </c>
      <c r="B4867" s="191">
        <v>7</v>
      </c>
      <c r="C4867" s="191">
        <v>7</v>
      </c>
      <c r="D4867" s="192">
        <f t="shared" si="500"/>
        <v>45480</v>
      </c>
      <c r="E4867" s="193">
        <f t="shared" si="499"/>
        <v>45480</v>
      </c>
      <c r="F4867" s="514"/>
      <c r="G4867" s="194" t="s">
        <v>1209</v>
      </c>
      <c r="H4867" s="195"/>
      <c r="I4867" s="195" t="s">
        <v>410</v>
      </c>
      <c r="J4867" s="191" t="s">
        <v>46</v>
      </c>
      <c r="K4867" s="196"/>
      <c r="L4867" s="196">
        <v>100421.43</v>
      </c>
    </row>
    <row r="4868" spans="1:15" ht="11.25" customHeight="1" x14ac:dyDescent="0.2">
      <c r="A4868" s="197">
        <v>2024</v>
      </c>
      <c r="B4868" s="197">
        <v>7</v>
      </c>
      <c r="C4868" s="197">
        <v>7</v>
      </c>
      <c r="D4868" s="198">
        <f t="shared" si="500"/>
        <v>45480</v>
      </c>
      <c r="E4868" s="209">
        <f t="shared" si="499"/>
        <v>45480</v>
      </c>
      <c r="F4868" s="513" t="s">
        <v>1280</v>
      </c>
      <c r="G4868" s="200" t="s">
        <v>1209</v>
      </c>
      <c r="H4868" s="201"/>
      <c r="I4868" s="201" t="s">
        <v>926</v>
      </c>
      <c r="J4868" s="197" t="s">
        <v>16</v>
      </c>
      <c r="K4868" s="202">
        <v>89670</v>
      </c>
      <c r="L4868" s="202"/>
    </row>
    <row r="4869" spans="1:15" ht="11.25" customHeight="1" x14ac:dyDescent="0.2">
      <c r="A4869" s="120">
        <v>2024</v>
      </c>
      <c r="B4869" s="120">
        <v>7</v>
      </c>
      <c r="C4869" s="120">
        <v>7</v>
      </c>
      <c r="D4869" s="208">
        <f t="shared" si="500"/>
        <v>45480</v>
      </c>
      <c r="E4869" s="209">
        <f t="shared" si="499"/>
        <v>45480</v>
      </c>
      <c r="F4869" s="515"/>
      <c r="G4869" s="132" t="s">
        <v>1209</v>
      </c>
      <c r="I4869" s="128" t="s">
        <v>926</v>
      </c>
      <c r="J4869" s="120" t="s">
        <v>47</v>
      </c>
      <c r="K4869" s="207">
        <v>10751.429999999993</v>
      </c>
      <c r="L4869" s="207"/>
    </row>
    <row r="4870" spans="1:15" ht="11.25" customHeight="1" x14ac:dyDescent="0.2">
      <c r="A4870" s="191">
        <v>2024</v>
      </c>
      <c r="B4870" s="191">
        <v>7</v>
      </c>
      <c r="C4870" s="191">
        <v>7</v>
      </c>
      <c r="D4870" s="192">
        <f t="shared" si="500"/>
        <v>45480</v>
      </c>
      <c r="E4870" s="193">
        <f t="shared" si="499"/>
        <v>45480</v>
      </c>
      <c r="F4870" s="514"/>
      <c r="G4870" s="194" t="s">
        <v>1209</v>
      </c>
      <c r="H4870" s="195"/>
      <c r="I4870" s="195" t="s">
        <v>926</v>
      </c>
      <c r="J4870" s="191" t="s">
        <v>46</v>
      </c>
      <c r="K4870" s="196"/>
      <c r="L4870" s="196">
        <v>100421.43</v>
      </c>
    </row>
    <row r="4871" spans="1:15" ht="11.25" customHeight="1" x14ac:dyDescent="0.2">
      <c r="A4871" s="197">
        <v>2024</v>
      </c>
      <c r="B4871" s="197">
        <v>7</v>
      </c>
      <c r="C4871" s="197">
        <v>7</v>
      </c>
      <c r="D4871" s="198">
        <f t="shared" si="500"/>
        <v>45480</v>
      </c>
      <c r="E4871" s="209">
        <f t="shared" si="499"/>
        <v>45480</v>
      </c>
      <c r="F4871" s="513" t="s">
        <v>1280</v>
      </c>
      <c r="G4871" s="200" t="s">
        <v>1209</v>
      </c>
      <c r="H4871" s="201"/>
      <c r="I4871" s="201" t="s">
        <v>1800</v>
      </c>
      <c r="J4871" s="197" t="s">
        <v>16</v>
      </c>
      <c r="K4871" s="202">
        <v>269010</v>
      </c>
      <c r="L4871" s="202"/>
    </row>
    <row r="4872" spans="1:15" ht="11.25" customHeight="1" x14ac:dyDescent="0.2">
      <c r="A4872" s="120">
        <v>2024</v>
      </c>
      <c r="B4872" s="120">
        <v>7</v>
      </c>
      <c r="C4872" s="120">
        <v>7</v>
      </c>
      <c r="D4872" s="208">
        <f t="shared" si="500"/>
        <v>45480</v>
      </c>
      <c r="E4872" s="209">
        <f t="shared" si="499"/>
        <v>45480</v>
      </c>
      <c r="F4872" s="515"/>
      <c r="G4872" s="132" t="s">
        <v>1209</v>
      </c>
      <c r="I4872" s="128" t="s">
        <v>1800</v>
      </c>
      <c r="J4872" s="120" t="s">
        <v>47</v>
      </c>
      <c r="K4872" s="207">
        <v>32254.299999999988</v>
      </c>
      <c r="L4872" s="207"/>
    </row>
    <row r="4873" spans="1:15" ht="11.25" customHeight="1" x14ac:dyDescent="0.2">
      <c r="A4873" s="191">
        <v>2024</v>
      </c>
      <c r="B4873" s="191">
        <v>7</v>
      </c>
      <c r="C4873" s="191">
        <v>7</v>
      </c>
      <c r="D4873" s="192">
        <f t="shared" si="500"/>
        <v>45480</v>
      </c>
      <c r="E4873" s="193">
        <f t="shared" si="499"/>
        <v>45480</v>
      </c>
      <c r="F4873" s="514"/>
      <c r="G4873" s="194" t="s">
        <v>1209</v>
      </c>
      <c r="H4873" s="195"/>
      <c r="I4873" s="195" t="s">
        <v>1800</v>
      </c>
      <c r="J4873" s="191" t="s">
        <v>46</v>
      </c>
      <c r="K4873" s="196"/>
      <c r="L4873" s="196">
        <v>301264.3</v>
      </c>
    </row>
    <row r="4874" spans="1:15" ht="11.25" customHeight="1" x14ac:dyDescent="0.2">
      <c r="A4874" s="197">
        <v>2024</v>
      </c>
      <c r="B4874" s="197">
        <v>7</v>
      </c>
      <c r="C4874" s="197">
        <v>7</v>
      </c>
      <c r="D4874" s="198">
        <f t="shared" si="500"/>
        <v>45480</v>
      </c>
      <c r="E4874" s="209">
        <f t="shared" si="499"/>
        <v>45480</v>
      </c>
      <c r="F4874" s="513" t="s">
        <v>1296</v>
      </c>
      <c r="G4874" s="200" t="s">
        <v>1209</v>
      </c>
      <c r="H4874" s="201"/>
      <c r="I4874" s="201"/>
      <c r="J4874" s="197" t="s">
        <v>46</v>
      </c>
      <c r="K4874" s="202">
        <v>155000</v>
      </c>
      <c r="L4874" s="202"/>
    </row>
    <row r="4875" spans="1:15" ht="11.25" customHeight="1" x14ac:dyDescent="0.2">
      <c r="A4875" s="120">
        <v>2024</v>
      </c>
      <c r="B4875" s="120">
        <v>7</v>
      </c>
      <c r="C4875" s="120">
        <v>7</v>
      </c>
      <c r="D4875" s="208">
        <f t="shared" si="500"/>
        <v>45480</v>
      </c>
      <c r="E4875" s="209">
        <f t="shared" si="499"/>
        <v>45480</v>
      </c>
      <c r="F4875" s="515"/>
      <c r="G4875" s="132" t="s">
        <v>1209</v>
      </c>
      <c r="J4875" s="120" t="s">
        <v>16</v>
      </c>
      <c r="K4875" s="207"/>
      <c r="L4875" s="207">
        <v>138400</v>
      </c>
    </row>
    <row r="4876" spans="1:15" ht="11.25" customHeight="1" x14ac:dyDescent="0.2">
      <c r="A4876" s="191">
        <v>2024</v>
      </c>
      <c r="B4876" s="191">
        <v>7</v>
      </c>
      <c r="C4876" s="191">
        <v>7</v>
      </c>
      <c r="D4876" s="192">
        <f t="shared" si="500"/>
        <v>45480</v>
      </c>
      <c r="E4876" s="193">
        <f t="shared" si="499"/>
        <v>45480</v>
      </c>
      <c r="F4876" s="514"/>
      <c r="G4876" s="194" t="s">
        <v>1209</v>
      </c>
      <c r="H4876" s="195"/>
      <c r="I4876" s="195"/>
      <c r="J4876" s="191" t="s">
        <v>47</v>
      </c>
      <c r="K4876" s="196"/>
      <c r="L4876" s="196">
        <v>16600</v>
      </c>
    </row>
    <row r="4877" spans="1:15" ht="11.25" customHeight="1" x14ac:dyDescent="0.2">
      <c r="A4877" s="197">
        <v>2024</v>
      </c>
      <c r="B4877" s="197">
        <v>7</v>
      </c>
      <c r="C4877" s="197">
        <v>8</v>
      </c>
      <c r="D4877" s="198">
        <f t="shared" si="500"/>
        <v>45481</v>
      </c>
      <c r="E4877" s="290">
        <f t="shared" si="499"/>
        <v>45481</v>
      </c>
      <c r="F4877" s="513" t="s">
        <v>1846</v>
      </c>
      <c r="G4877" s="200" t="s">
        <v>1209</v>
      </c>
      <c r="H4877" s="201"/>
      <c r="I4877" s="201"/>
      <c r="J4877" s="197" t="s">
        <v>46</v>
      </c>
      <c r="K4877" s="202">
        <v>43497.57</v>
      </c>
      <c r="L4877" s="202"/>
      <c r="M4877" s="251"/>
      <c r="N4877" s="251"/>
      <c r="O4877" s="251"/>
    </row>
    <row r="4878" spans="1:15" ht="11.25" customHeight="1" x14ac:dyDescent="0.2">
      <c r="A4878" s="191">
        <v>2024</v>
      </c>
      <c r="B4878" s="191">
        <v>7</v>
      </c>
      <c r="C4878" s="191">
        <v>8</v>
      </c>
      <c r="D4878" s="192">
        <f t="shared" si="500"/>
        <v>45481</v>
      </c>
      <c r="E4878" s="291">
        <f t="shared" si="499"/>
        <v>45481</v>
      </c>
      <c r="F4878" s="514"/>
      <c r="G4878" s="194" t="s">
        <v>1209</v>
      </c>
      <c r="H4878" s="195"/>
      <c r="I4878" s="195"/>
      <c r="J4878" s="191" t="s">
        <v>54</v>
      </c>
      <c r="K4878" s="196"/>
      <c r="L4878" s="196">
        <v>43497.57</v>
      </c>
      <c r="M4878" s="251"/>
      <c r="N4878" s="251"/>
      <c r="O4878" s="251"/>
    </row>
    <row r="4879" spans="1:15" ht="11.25" customHeight="1" x14ac:dyDescent="0.2">
      <c r="A4879" s="197">
        <v>2024</v>
      </c>
      <c r="B4879" s="197">
        <v>7</v>
      </c>
      <c r="C4879" s="197">
        <v>8</v>
      </c>
      <c r="D4879" s="198">
        <f t="shared" si="500"/>
        <v>45481</v>
      </c>
      <c r="E4879" s="209">
        <f t="shared" si="499"/>
        <v>45481</v>
      </c>
      <c r="F4879" s="513" t="s">
        <v>1210</v>
      </c>
      <c r="G4879" s="200" t="s">
        <v>1209</v>
      </c>
      <c r="H4879" s="201"/>
      <c r="I4879" s="201" t="s">
        <v>349</v>
      </c>
      <c r="J4879" s="197" t="s">
        <v>46</v>
      </c>
      <c r="K4879" s="202">
        <v>150000</v>
      </c>
      <c r="L4879" s="202"/>
    </row>
    <row r="4880" spans="1:15" ht="11.25" customHeight="1" x14ac:dyDescent="0.2">
      <c r="A4880" s="120">
        <v>2024</v>
      </c>
      <c r="B4880" s="120">
        <v>7</v>
      </c>
      <c r="C4880" s="120">
        <v>8</v>
      </c>
      <c r="D4880" s="208">
        <f t="shared" si="500"/>
        <v>45481</v>
      </c>
      <c r="E4880" s="209">
        <f t="shared" si="499"/>
        <v>45481</v>
      </c>
      <c r="F4880" s="515"/>
      <c r="G4880" s="132" t="s">
        <v>1209</v>
      </c>
      <c r="I4880" s="128" t="s">
        <v>349</v>
      </c>
      <c r="J4880" s="120" t="s">
        <v>16</v>
      </c>
      <c r="K4880" s="207"/>
      <c r="L4880" s="207">
        <v>133940</v>
      </c>
    </row>
    <row r="4881" spans="1:15" ht="11.25" customHeight="1" x14ac:dyDescent="0.2">
      <c r="A4881" s="191">
        <v>2024</v>
      </c>
      <c r="B4881" s="191">
        <v>7</v>
      </c>
      <c r="C4881" s="191">
        <v>8</v>
      </c>
      <c r="D4881" s="192">
        <f t="shared" si="500"/>
        <v>45481</v>
      </c>
      <c r="E4881" s="193">
        <f t="shared" si="499"/>
        <v>45481</v>
      </c>
      <c r="F4881" s="514"/>
      <c r="G4881" s="194" t="s">
        <v>1209</v>
      </c>
      <c r="H4881" s="195"/>
      <c r="I4881" s="195" t="s">
        <v>349</v>
      </c>
      <c r="J4881" s="191" t="s">
        <v>47</v>
      </c>
      <c r="K4881" s="196"/>
      <c r="L4881" s="196">
        <v>16060</v>
      </c>
    </row>
    <row r="4882" spans="1:15" ht="11.25" customHeight="1" x14ac:dyDescent="0.2">
      <c r="A4882" s="197">
        <v>2024</v>
      </c>
      <c r="B4882" s="197">
        <v>7</v>
      </c>
      <c r="C4882" s="197">
        <v>8</v>
      </c>
      <c r="D4882" s="198">
        <f t="shared" si="500"/>
        <v>45481</v>
      </c>
      <c r="E4882" s="290">
        <f t="shared" si="499"/>
        <v>45481</v>
      </c>
      <c r="F4882" s="513" t="s">
        <v>1514</v>
      </c>
      <c r="G4882" s="200" t="s">
        <v>1209</v>
      </c>
      <c r="H4882" s="201"/>
      <c r="I4882" s="201"/>
      <c r="J4882" s="197" t="s">
        <v>54</v>
      </c>
      <c r="K4882" s="374">
        <v>58</v>
      </c>
      <c r="L4882" s="202"/>
      <c r="M4882" s="251"/>
      <c r="N4882" s="251"/>
      <c r="O4882" s="251"/>
    </row>
    <row r="4883" spans="1:15" ht="11.25" customHeight="1" x14ac:dyDescent="0.2">
      <c r="A4883" s="191">
        <v>2024</v>
      </c>
      <c r="B4883" s="191">
        <v>7</v>
      </c>
      <c r="C4883" s="191">
        <v>8</v>
      </c>
      <c r="D4883" s="192">
        <f t="shared" si="500"/>
        <v>45481</v>
      </c>
      <c r="E4883" s="291">
        <f t="shared" si="499"/>
        <v>45481</v>
      </c>
      <c r="F4883" s="514"/>
      <c r="G4883" s="194" t="s">
        <v>1209</v>
      </c>
      <c r="H4883" s="195"/>
      <c r="I4883" s="195"/>
      <c r="J4883" s="191" t="s">
        <v>46</v>
      </c>
      <c r="K4883" s="375"/>
      <c r="L4883" s="196">
        <v>58</v>
      </c>
      <c r="M4883" s="251"/>
      <c r="N4883" s="251"/>
      <c r="O4883" s="251"/>
    </row>
    <row r="4884" spans="1:15" ht="11.25" customHeight="1" x14ac:dyDescent="0.2">
      <c r="A4884" s="197">
        <v>2024</v>
      </c>
      <c r="B4884" s="197">
        <v>7</v>
      </c>
      <c r="C4884" s="197">
        <v>8</v>
      </c>
      <c r="D4884" s="198">
        <f t="shared" si="500"/>
        <v>45481</v>
      </c>
      <c r="E4884" s="209">
        <f t="shared" si="499"/>
        <v>45481</v>
      </c>
      <c r="F4884" s="513" t="s">
        <v>1280</v>
      </c>
      <c r="G4884" s="200" t="s">
        <v>1209</v>
      </c>
      <c r="H4884" s="201"/>
      <c r="I4884" s="201" t="s">
        <v>1656</v>
      </c>
      <c r="J4884" s="197" t="s">
        <v>16</v>
      </c>
      <c r="K4884" s="374">
        <v>107400</v>
      </c>
      <c r="L4884" s="202"/>
    </row>
    <row r="4885" spans="1:15" ht="11.25" customHeight="1" x14ac:dyDescent="0.2">
      <c r="A4885" s="120">
        <v>2024</v>
      </c>
      <c r="B4885" s="120">
        <v>7</v>
      </c>
      <c r="C4885" s="120">
        <v>8</v>
      </c>
      <c r="D4885" s="208">
        <f t="shared" si="500"/>
        <v>45481</v>
      </c>
      <c r="E4885" s="209">
        <f t="shared" si="499"/>
        <v>45481</v>
      </c>
      <c r="F4885" s="515"/>
      <c r="G4885" s="132" t="s">
        <v>1209</v>
      </c>
      <c r="I4885" s="128" t="s">
        <v>1656</v>
      </c>
      <c r="J4885" s="120" t="s">
        <v>47</v>
      </c>
      <c r="K4885" s="381">
        <v>12877.259999999995</v>
      </c>
      <c r="L4885" s="207"/>
    </row>
    <row r="4886" spans="1:15" ht="11.25" customHeight="1" x14ac:dyDescent="0.2">
      <c r="A4886" s="191">
        <v>2024</v>
      </c>
      <c r="B4886" s="191">
        <v>7</v>
      </c>
      <c r="C4886" s="191">
        <v>8</v>
      </c>
      <c r="D4886" s="192">
        <f t="shared" si="500"/>
        <v>45481</v>
      </c>
      <c r="E4886" s="193">
        <f t="shared" si="499"/>
        <v>45481</v>
      </c>
      <c r="F4886" s="514"/>
      <c r="G4886" s="194" t="s">
        <v>1209</v>
      </c>
      <c r="H4886" s="195"/>
      <c r="I4886" s="195" t="s">
        <v>1656</v>
      </c>
      <c r="J4886" s="191" t="s">
        <v>46</v>
      </c>
      <c r="K4886" s="375"/>
      <c r="L4886" s="196">
        <v>120277.26</v>
      </c>
    </row>
    <row r="4887" spans="1:15" ht="11.25" customHeight="1" x14ac:dyDescent="0.2">
      <c r="A4887" s="197">
        <v>2024</v>
      </c>
      <c r="B4887" s="197">
        <v>7</v>
      </c>
      <c r="C4887" s="197">
        <v>9</v>
      </c>
      <c r="D4887" s="198">
        <f t="shared" si="500"/>
        <v>45482</v>
      </c>
      <c r="E4887" s="209">
        <f t="shared" si="499"/>
        <v>45482</v>
      </c>
      <c r="F4887" s="513" t="s">
        <v>1210</v>
      </c>
      <c r="G4887" s="200" t="s">
        <v>1209</v>
      </c>
      <c r="H4887" s="201"/>
      <c r="I4887" s="201" t="s">
        <v>389</v>
      </c>
      <c r="J4887" s="197" t="s">
        <v>46</v>
      </c>
      <c r="K4887" s="374">
        <v>1500000</v>
      </c>
      <c r="L4887" s="202"/>
    </row>
    <row r="4888" spans="1:15" ht="11.25" customHeight="1" x14ac:dyDescent="0.2">
      <c r="A4888" s="120">
        <v>2024</v>
      </c>
      <c r="B4888" s="120">
        <v>7</v>
      </c>
      <c r="C4888" s="120">
        <v>9</v>
      </c>
      <c r="D4888" s="208">
        <f t="shared" si="500"/>
        <v>45482</v>
      </c>
      <c r="E4888" s="209">
        <f t="shared" si="499"/>
        <v>45482</v>
      </c>
      <c r="F4888" s="515"/>
      <c r="G4888" s="132" t="s">
        <v>1209</v>
      </c>
      <c r="I4888" s="128" t="s">
        <v>389</v>
      </c>
      <c r="J4888" s="120" t="s">
        <v>16</v>
      </c>
      <c r="K4888" s="381"/>
      <c r="L4888" s="207">
        <v>1339410</v>
      </c>
    </row>
    <row r="4889" spans="1:15" ht="11.25" customHeight="1" x14ac:dyDescent="0.2">
      <c r="A4889" s="191">
        <v>2024</v>
      </c>
      <c r="B4889" s="191">
        <v>7</v>
      </c>
      <c r="C4889" s="191">
        <v>9</v>
      </c>
      <c r="D4889" s="192">
        <f t="shared" si="500"/>
        <v>45482</v>
      </c>
      <c r="E4889" s="193">
        <f t="shared" si="499"/>
        <v>45482</v>
      </c>
      <c r="F4889" s="514"/>
      <c r="G4889" s="194" t="s">
        <v>1209</v>
      </c>
      <c r="H4889" s="195"/>
      <c r="I4889" s="195" t="s">
        <v>389</v>
      </c>
      <c r="J4889" s="191" t="s">
        <v>47</v>
      </c>
      <c r="K4889" s="375"/>
      <c r="L4889" s="196">
        <v>160590</v>
      </c>
    </row>
    <row r="4890" spans="1:15" ht="11.25" customHeight="1" x14ac:dyDescent="0.2">
      <c r="A4890" s="197">
        <v>2024</v>
      </c>
      <c r="B4890" s="197">
        <v>7</v>
      </c>
      <c r="C4890" s="197">
        <v>9</v>
      </c>
      <c r="D4890" s="198">
        <f t="shared" si="500"/>
        <v>45482</v>
      </c>
      <c r="E4890" s="290">
        <f t="shared" si="499"/>
        <v>45482</v>
      </c>
      <c r="F4890" s="513" t="s">
        <v>1514</v>
      </c>
      <c r="G4890" s="200" t="s">
        <v>1209</v>
      </c>
      <c r="H4890" s="201"/>
      <c r="I4890" s="201"/>
      <c r="J4890" s="197" t="s">
        <v>54</v>
      </c>
      <c r="K4890" s="374">
        <v>60</v>
      </c>
      <c r="L4890" s="202"/>
    </row>
    <row r="4891" spans="1:15" ht="11.25" customHeight="1" x14ac:dyDescent="0.2">
      <c r="A4891" s="191">
        <v>2024</v>
      </c>
      <c r="B4891" s="191">
        <v>7</v>
      </c>
      <c r="C4891" s="191">
        <v>9</v>
      </c>
      <c r="D4891" s="192">
        <f t="shared" si="500"/>
        <v>45482</v>
      </c>
      <c r="E4891" s="291">
        <f t="shared" si="499"/>
        <v>45482</v>
      </c>
      <c r="F4891" s="514"/>
      <c r="G4891" s="194" t="s">
        <v>1209</v>
      </c>
      <c r="H4891" s="195"/>
      <c r="I4891" s="195"/>
      <c r="J4891" s="191" t="s">
        <v>46</v>
      </c>
      <c r="K4891" s="375"/>
      <c r="L4891" s="196">
        <v>60</v>
      </c>
    </row>
    <row r="4892" spans="1:15" ht="11.25" customHeight="1" x14ac:dyDescent="0.2">
      <c r="A4892" s="197">
        <v>2024</v>
      </c>
      <c r="B4892" s="197">
        <v>7</v>
      </c>
      <c r="C4892" s="197">
        <v>9</v>
      </c>
      <c r="D4892" s="198">
        <f t="shared" si="500"/>
        <v>45482</v>
      </c>
      <c r="E4892" s="209">
        <f t="shared" si="499"/>
        <v>45482</v>
      </c>
      <c r="F4892" s="513" t="s">
        <v>1366</v>
      </c>
      <c r="G4892" s="200" t="s">
        <v>1209</v>
      </c>
      <c r="H4892" s="201"/>
      <c r="I4892" s="201"/>
      <c r="J4892" s="248" t="s">
        <v>1847</v>
      </c>
      <c r="K4892" s="131">
        <v>355635.5</v>
      </c>
      <c r="M4892" s="130">
        <f>K4892/51</f>
        <v>6973.2450980392159</v>
      </c>
    </row>
    <row r="4893" spans="1:15" ht="11.25" customHeight="1" x14ac:dyDescent="0.2">
      <c r="A4893" s="120">
        <v>2024</v>
      </c>
      <c r="B4893" s="120">
        <v>7</v>
      </c>
      <c r="C4893" s="120">
        <v>9</v>
      </c>
      <c r="D4893" s="208">
        <f t="shared" si="500"/>
        <v>45482</v>
      </c>
      <c r="E4893" s="209">
        <f t="shared" si="499"/>
        <v>45482</v>
      </c>
      <c r="F4893" s="515"/>
      <c r="G4893" s="132" t="s">
        <v>1209</v>
      </c>
      <c r="J4893" s="129" t="s">
        <v>54</v>
      </c>
      <c r="K4893" s="131">
        <v>115</v>
      </c>
    </row>
    <row r="4894" spans="1:15" ht="11.25" customHeight="1" x14ac:dyDescent="0.2">
      <c r="A4894" s="191">
        <v>2024</v>
      </c>
      <c r="B4894" s="191">
        <v>7</v>
      </c>
      <c r="C4894" s="191">
        <v>9</v>
      </c>
      <c r="D4894" s="192">
        <f t="shared" si="500"/>
        <v>45482</v>
      </c>
      <c r="E4894" s="193">
        <f t="shared" si="499"/>
        <v>45482</v>
      </c>
      <c r="F4894" s="514"/>
      <c r="G4894" s="194" t="s">
        <v>1209</v>
      </c>
      <c r="H4894" s="195"/>
      <c r="I4894" s="195"/>
      <c r="J4894" s="250" t="s">
        <v>46</v>
      </c>
      <c r="L4894" s="131">
        <v>355750.5</v>
      </c>
    </row>
    <row r="4895" spans="1:15" ht="11.25" customHeight="1" x14ac:dyDescent="0.2">
      <c r="A4895" s="197">
        <v>2024</v>
      </c>
      <c r="B4895" s="197">
        <v>7</v>
      </c>
      <c r="C4895" s="197">
        <v>9</v>
      </c>
      <c r="D4895" s="198">
        <f t="shared" si="500"/>
        <v>45482</v>
      </c>
      <c r="E4895" s="290">
        <f t="shared" si="499"/>
        <v>45482</v>
      </c>
      <c r="F4895" s="513" t="s">
        <v>1514</v>
      </c>
      <c r="G4895" s="200" t="s">
        <v>1209</v>
      </c>
      <c r="H4895" s="201"/>
      <c r="I4895" s="201"/>
      <c r="J4895" s="197" t="s">
        <v>54</v>
      </c>
      <c r="K4895" s="374">
        <v>57.5</v>
      </c>
      <c r="L4895" s="202"/>
    </row>
    <row r="4896" spans="1:15" ht="11.25" customHeight="1" x14ac:dyDescent="0.2">
      <c r="A4896" s="191">
        <v>2024</v>
      </c>
      <c r="B4896" s="191">
        <v>7</v>
      </c>
      <c r="C4896" s="191">
        <v>9</v>
      </c>
      <c r="D4896" s="192">
        <f t="shared" si="500"/>
        <v>45482</v>
      </c>
      <c r="E4896" s="291">
        <f t="shared" si="499"/>
        <v>45482</v>
      </c>
      <c r="F4896" s="514"/>
      <c r="G4896" s="194" t="s">
        <v>1209</v>
      </c>
      <c r="H4896" s="195"/>
      <c r="I4896" s="195"/>
      <c r="J4896" s="191" t="s">
        <v>46</v>
      </c>
      <c r="K4896" s="196"/>
      <c r="L4896" s="196">
        <v>57.5</v>
      </c>
    </row>
    <row r="4897" spans="1:12" ht="11.25" customHeight="1" x14ac:dyDescent="0.2">
      <c r="A4897" s="197">
        <v>2024</v>
      </c>
      <c r="B4897" s="197">
        <v>7</v>
      </c>
      <c r="C4897" s="197">
        <v>9</v>
      </c>
      <c r="D4897" s="198">
        <f t="shared" si="500"/>
        <v>45482</v>
      </c>
      <c r="E4897" s="290">
        <f t="shared" si="499"/>
        <v>45482</v>
      </c>
      <c r="F4897" s="513" t="s">
        <v>1848</v>
      </c>
      <c r="G4897" s="200" t="s">
        <v>1209</v>
      </c>
      <c r="H4897" s="201"/>
      <c r="I4897" s="201" t="s">
        <v>1253</v>
      </c>
      <c r="J4897" s="197" t="s">
        <v>457</v>
      </c>
      <c r="K4897" s="202">
        <v>53250</v>
      </c>
      <c r="L4897" s="202"/>
    </row>
    <row r="4898" spans="1:12" ht="11.25" customHeight="1" x14ac:dyDescent="0.2">
      <c r="A4898" s="191">
        <v>2024</v>
      </c>
      <c r="B4898" s="191">
        <v>7</v>
      </c>
      <c r="C4898" s="191">
        <v>9</v>
      </c>
      <c r="D4898" s="192">
        <f t="shared" si="500"/>
        <v>45482</v>
      </c>
      <c r="E4898" s="291">
        <f t="shared" si="499"/>
        <v>45482</v>
      </c>
      <c r="F4898" s="514"/>
      <c r="G4898" s="194" t="s">
        <v>1209</v>
      </c>
      <c r="H4898" s="195"/>
      <c r="I4898" s="195" t="s">
        <v>1253</v>
      </c>
      <c r="J4898" s="191" t="s">
        <v>46</v>
      </c>
      <c r="K4898" s="196"/>
      <c r="L4898" s="196">
        <v>53250</v>
      </c>
    </row>
    <row r="4899" spans="1:12" ht="11.25" customHeight="1" x14ac:dyDescent="0.2">
      <c r="A4899" s="197">
        <v>2024</v>
      </c>
      <c r="B4899" s="197">
        <v>7</v>
      </c>
      <c r="C4899" s="197">
        <v>10</v>
      </c>
      <c r="D4899" s="198">
        <f t="shared" si="500"/>
        <v>45483</v>
      </c>
      <c r="E4899" s="209">
        <f t="shared" si="499"/>
        <v>45483</v>
      </c>
      <c r="F4899" s="513" t="s">
        <v>1210</v>
      </c>
      <c r="G4899" s="200" t="s">
        <v>1209</v>
      </c>
      <c r="H4899" s="201"/>
      <c r="I4899" s="201" t="s">
        <v>1242</v>
      </c>
      <c r="J4899" s="197" t="s">
        <v>46</v>
      </c>
      <c r="K4899" s="202">
        <v>237600</v>
      </c>
      <c r="L4899" s="202"/>
    </row>
    <row r="4900" spans="1:12" ht="11.25" customHeight="1" x14ac:dyDescent="0.2">
      <c r="A4900" s="120">
        <v>2024</v>
      </c>
      <c r="B4900" s="120">
        <v>7</v>
      </c>
      <c r="C4900" s="120">
        <v>10</v>
      </c>
      <c r="D4900" s="208">
        <f t="shared" si="500"/>
        <v>45483</v>
      </c>
      <c r="E4900" s="209">
        <f t="shared" si="499"/>
        <v>45483</v>
      </c>
      <c r="F4900" s="515"/>
      <c r="G4900" s="132" t="s">
        <v>1209</v>
      </c>
      <c r="I4900" s="128" t="s">
        <v>1242</v>
      </c>
      <c r="J4900" s="120" t="s">
        <v>16</v>
      </c>
      <c r="K4900" s="207"/>
      <c r="L4900" s="207">
        <v>212160</v>
      </c>
    </row>
    <row r="4901" spans="1:12" ht="11.25" customHeight="1" x14ac:dyDescent="0.2">
      <c r="A4901" s="191">
        <v>2024</v>
      </c>
      <c r="B4901" s="191">
        <v>7</v>
      </c>
      <c r="C4901" s="191">
        <v>10</v>
      </c>
      <c r="D4901" s="192">
        <f t="shared" si="500"/>
        <v>45483</v>
      </c>
      <c r="E4901" s="193">
        <f t="shared" si="499"/>
        <v>45483</v>
      </c>
      <c r="F4901" s="514"/>
      <c r="G4901" s="194" t="s">
        <v>1209</v>
      </c>
      <c r="H4901" s="195"/>
      <c r="I4901" s="195" t="s">
        <v>1242</v>
      </c>
      <c r="J4901" s="191" t="s">
        <v>47</v>
      </c>
      <c r="K4901" s="196"/>
      <c r="L4901" s="196">
        <v>25440</v>
      </c>
    </row>
    <row r="4902" spans="1:12" ht="11.25" customHeight="1" x14ac:dyDescent="0.2">
      <c r="A4902" s="197">
        <v>2024</v>
      </c>
      <c r="B4902" s="197">
        <v>7</v>
      </c>
      <c r="C4902" s="197">
        <v>10</v>
      </c>
      <c r="D4902" s="198">
        <f t="shared" si="500"/>
        <v>45483</v>
      </c>
      <c r="E4902" s="209">
        <f t="shared" si="499"/>
        <v>45483</v>
      </c>
      <c r="F4902" s="513" t="s">
        <v>1210</v>
      </c>
      <c r="G4902" s="200" t="s">
        <v>1209</v>
      </c>
      <c r="H4902" s="201"/>
      <c r="I4902" s="201" t="s">
        <v>1137</v>
      </c>
      <c r="J4902" s="197" t="s">
        <v>46</v>
      </c>
      <c r="K4902" s="202">
        <v>205000</v>
      </c>
      <c r="L4902" s="202"/>
    </row>
    <row r="4903" spans="1:12" ht="11.25" customHeight="1" x14ac:dyDescent="0.2">
      <c r="A4903" s="120">
        <v>2024</v>
      </c>
      <c r="B4903" s="120">
        <v>7</v>
      </c>
      <c r="C4903" s="120">
        <v>10</v>
      </c>
      <c r="D4903" s="208">
        <f t="shared" si="500"/>
        <v>45483</v>
      </c>
      <c r="E4903" s="209">
        <f t="shared" si="499"/>
        <v>45483</v>
      </c>
      <c r="F4903" s="515"/>
      <c r="G4903" s="132" t="s">
        <v>1209</v>
      </c>
      <c r="I4903" s="128" t="s">
        <v>1137</v>
      </c>
      <c r="J4903" s="120" t="s">
        <v>16</v>
      </c>
      <c r="K4903" s="207"/>
      <c r="L4903" s="207">
        <v>183050</v>
      </c>
    </row>
    <row r="4904" spans="1:12" ht="11.25" customHeight="1" x14ac:dyDescent="0.2">
      <c r="A4904" s="191">
        <v>2024</v>
      </c>
      <c r="B4904" s="191">
        <v>7</v>
      </c>
      <c r="C4904" s="191">
        <v>10</v>
      </c>
      <c r="D4904" s="192">
        <f t="shared" si="500"/>
        <v>45483</v>
      </c>
      <c r="E4904" s="193">
        <f t="shared" si="499"/>
        <v>45483</v>
      </c>
      <c r="F4904" s="514"/>
      <c r="G4904" s="194" t="s">
        <v>1209</v>
      </c>
      <c r="H4904" s="195"/>
      <c r="I4904" s="195" t="s">
        <v>1137</v>
      </c>
      <c r="J4904" s="191" t="s">
        <v>47</v>
      </c>
      <c r="K4904" s="196"/>
      <c r="L4904" s="196">
        <v>21950</v>
      </c>
    </row>
    <row r="4905" spans="1:12" ht="11.25" customHeight="1" x14ac:dyDescent="0.2">
      <c r="A4905" s="197">
        <v>2024</v>
      </c>
      <c r="B4905" s="197">
        <v>7</v>
      </c>
      <c r="C4905" s="197">
        <v>10</v>
      </c>
      <c r="D4905" s="198">
        <f t="shared" si="500"/>
        <v>45483</v>
      </c>
      <c r="E4905" s="209">
        <f t="shared" si="499"/>
        <v>45483</v>
      </c>
      <c r="F4905" s="513" t="s">
        <v>1280</v>
      </c>
      <c r="G4905" s="200" t="s">
        <v>1209</v>
      </c>
      <c r="H4905" s="201"/>
      <c r="I4905" s="201" t="s">
        <v>550</v>
      </c>
      <c r="J4905" s="197" t="s">
        <v>16</v>
      </c>
      <c r="K4905" s="202">
        <v>269010</v>
      </c>
      <c r="L4905" s="202"/>
    </row>
    <row r="4906" spans="1:12" ht="11.25" customHeight="1" x14ac:dyDescent="0.2">
      <c r="A4906" s="120">
        <v>2024</v>
      </c>
      <c r="B4906" s="120">
        <v>7</v>
      </c>
      <c r="C4906" s="120">
        <v>10</v>
      </c>
      <c r="D4906" s="208">
        <f t="shared" si="500"/>
        <v>45483</v>
      </c>
      <c r="E4906" s="209">
        <f t="shared" si="499"/>
        <v>45483</v>
      </c>
      <c r="F4906" s="515"/>
      <c r="G4906" s="132" t="s">
        <v>1209</v>
      </c>
      <c r="I4906" s="128" t="s">
        <v>550</v>
      </c>
      <c r="J4906" s="120" t="s">
        <v>47</v>
      </c>
      <c r="K4906" s="207">
        <v>32254.299999999988</v>
      </c>
      <c r="L4906" s="207"/>
    </row>
    <row r="4907" spans="1:12" ht="11.25" customHeight="1" x14ac:dyDescent="0.2">
      <c r="A4907" s="191">
        <v>2024</v>
      </c>
      <c r="B4907" s="191">
        <v>7</v>
      </c>
      <c r="C4907" s="191">
        <v>10</v>
      </c>
      <c r="D4907" s="192">
        <f t="shared" si="500"/>
        <v>45483</v>
      </c>
      <c r="E4907" s="193">
        <f t="shared" ref="E4907:E4931" si="501">DATE(A4907,B4907,C4907)</f>
        <v>45483</v>
      </c>
      <c r="F4907" s="514"/>
      <c r="G4907" s="194" t="s">
        <v>1209</v>
      </c>
      <c r="H4907" s="195"/>
      <c r="I4907" s="195" t="s">
        <v>550</v>
      </c>
      <c r="J4907" s="191" t="s">
        <v>46</v>
      </c>
      <c r="K4907" s="196"/>
      <c r="L4907" s="196">
        <v>301264.3</v>
      </c>
    </row>
    <row r="4908" spans="1:12" ht="11.25" customHeight="1" x14ac:dyDescent="0.2">
      <c r="A4908" s="197">
        <v>2024</v>
      </c>
      <c r="B4908" s="197">
        <v>7</v>
      </c>
      <c r="C4908" s="197">
        <v>10</v>
      </c>
      <c r="D4908" s="198">
        <f t="shared" si="500"/>
        <v>45483</v>
      </c>
      <c r="E4908" s="209">
        <f t="shared" si="501"/>
        <v>45483</v>
      </c>
      <c r="F4908" s="513" t="s">
        <v>1210</v>
      </c>
      <c r="G4908" s="200" t="s">
        <v>1209</v>
      </c>
      <c r="H4908" s="201"/>
      <c r="I4908" s="201" t="s">
        <v>1498</v>
      </c>
      <c r="J4908" s="197" t="s">
        <v>46</v>
      </c>
      <c r="K4908" s="202">
        <v>500000</v>
      </c>
      <c r="L4908" s="202"/>
    </row>
    <row r="4909" spans="1:12" ht="11.25" customHeight="1" x14ac:dyDescent="0.2">
      <c r="A4909" s="120">
        <v>2024</v>
      </c>
      <c r="B4909" s="120">
        <v>7</v>
      </c>
      <c r="C4909" s="120">
        <v>10</v>
      </c>
      <c r="D4909" s="208">
        <f t="shared" si="500"/>
        <v>45483</v>
      </c>
      <c r="E4909" s="209">
        <f t="shared" si="501"/>
        <v>45483</v>
      </c>
      <c r="F4909" s="515"/>
      <c r="G4909" s="132" t="s">
        <v>1209</v>
      </c>
      <c r="I4909" s="128" t="s">
        <v>1498</v>
      </c>
      <c r="J4909" s="120" t="s">
        <v>16</v>
      </c>
      <c r="K4909" s="207"/>
      <c r="L4909" s="207">
        <v>446470</v>
      </c>
    </row>
    <row r="4910" spans="1:12" ht="11.25" customHeight="1" x14ac:dyDescent="0.2">
      <c r="A4910" s="191">
        <v>2024</v>
      </c>
      <c r="B4910" s="191">
        <v>7</v>
      </c>
      <c r="C4910" s="191">
        <v>10</v>
      </c>
      <c r="D4910" s="192">
        <f t="shared" si="500"/>
        <v>45483</v>
      </c>
      <c r="E4910" s="193">
        <f t="shared" si="501"/>
        <v>45483</v>
      </c>
      <c r="F4910" s="514"/>
      <c r="G4910" s="194" t="s">
        <v>1209</v>
      </c>
      <c r="H4910" s="195"/>
      <c r="I4910" s="195" t="s">
        <v>1498</v>
      </c>
      <c r="J4910" s="191" t="s">
        <v>47</v>
      </c>
      <c r="K4910" s="196"/>
      <c r="L4910" s="196">
        <v>53530</v>
      </c>
    </row>
    <row r="4911" spans="1:12" ht="11.25" customHeight="1" x14ac:dyDescent="0.2">
      <c r="A4911" s="197">
        <v>2024</v>
      </c>
      <c r="B4911" s="197">
        <v>7</v>
      </c>
      <c r="C4911" s="197">
        <v>10</v>
      </c>
      <c r="D4911" s="198">
        <f t="shared" si="500"/>
        <v>45483</v>
      </c>
      <c r="E4911" s="209">
        <f t="shared" si="501"/>
        <v>45483</v>
      </c>
      <c r="F4911" s="513" t="s">
        <v>1210</v>
      </c>
      <c r="G4911" s="200" t="s">
        <v>1209</v>
      </c>
      <c r="H4911" s="201"/>
      <c r="I4911" s="201" t="s">
        <v>1498</v>
      </c>
      <c r="J4911" s="197" t="s">
        <v>46</v>
      </c>
      <c r="K4911" s="202">
        <v>472130</v>
      </c>
      <c r="L4911" s="202"/>
    </row>
    <row r="4912" spans="1:12" ht="11.25" customHeight="1" x14ac:dyDescent="0.2">
      <c r="A4912" s="120">
        <v>2024</v>
      </c>
      <c r="B4912" s="120">
        <v>7</v>
      </c>
      <c r="C4912" s="120">
        <v>10</v>
      </c>
      <c r="D4912" s="208">
        <f t="shared" si="500"/>
        <v>45483</v>
      </c>
      <c r="E4912" s="209">
        <f t="shared" si="501"/>
        <v>45483</v>
      </c>
      <c r="F4912" s="515"/>
      <c r="G4912" s="132" t="s">
        <v>1209</v>
      </c>
      <c r="I4912" s="128" t="s">
        <v>1498</v>
      </c>
      <c r="J4912" s="120" t="s">
        <v>16</v>
      </c>
      <c r="K4912" s="207"/>
      <c r="L4912" s="207">
        <v>421580</v>
      </c>
    </row>
    <row r="4913" spans="1:15" ht="11.25" customHeight="1" x14ac:dyDescent="0.2">
      <c r="A4913" s="191">
        <v>2024</v>
      </c>
      <c r="B4913" s="191">
        <v>7</v>
      </c>
      <c r="C4913" s="191">
        <v>10</v>
      </c>
      <c r="D4913" s="192">
        <f t="shared" si="500"/>
        <v>45483</v>
      </c>
      <c r="E4913" s="193">
        <f t="shared" si="501"/>
        <v>45483</v>
      </c>
      <c r="F4913" s="514"/>
      <c r="G4913" s="194" t="s">
        <v>1209</v>
      </c>
      <c r="H4913" s="195"/>
      <c r="I4913" s="195" t="s">
        <v>1498</v>
      </c>
      <c r="J4913" s="191" t="s">
        <v>47</v>
      </c>
      <c r="K4913" s="196"/>
      <c r="L4913" s="196">
        <v>50550</v>
      </c>
    </row>
    <row r="4914" spans="1:15" ht="11.25" customHeight="1" x14ac:dyDescent="0.2">
      <c r="A4914" s="197">
        <v>2024</v>
      </c>
      <c r="B4914" s="197">
        <v>7</v>
      </c>
      <c r="C4914" s="197">
        <v>10</v>
      </c>
      <c r="D4914" s="198">
        <f t="shared" ref="D4914:D4973" si="502">DATE(A4914,B4914,C4914)</f>
        <v>45483</v>
      </c>
      <c r="E4914" s="209">
        <f t="shared" si="501"/>
        <v>45483</v>
      </c>
      <c r="F4914" s="513" t="s">
        <v>1210</v>
      </c>
      <c r="G4914" s="200" t="s">
        <v>1209</v>
      </c>
      <c r="H4914" s="201"/>
      <c r="I4914" s="201" t="s">
        <v>1849</v>
      </c>
      <c r="J4914" s="197" t="s">
        <v>46</v>
      </c>
      <c r="K4914" s="202">
        <v>319600</v>
      </c>
      <c r="L4914" s="202"/>
    </row>
    <row r="4915" spans="1:15" ht="11.25" customHeight="1" x14ac:dyDescent="0.2">
      <c r="A4915" s="120">
        <v>2024</v>
      </c>
      <c r="B4915" s="120">
        <v>7</v>
      </c>
      <c r="C4915" s="120">
        <v>10</v>
      </c>
      <c r="D4915" s="208">
        <f t="shared" si="502"/>
        <v>45483</v>
      </c>
      <c r="E4915" s="209">
        <f t="shared" si="501"/>
        <v>45483</v>
      </c>
      <c r="F4915" s="515"/>
      <c r="G4915" s="132" t="s">
        <v>1209</v>
      </c>
      <c r="I4915" s="128" t="s">
        <v>1849</v>
      </c>
      <c r="J4915" s="120" t="s">
        <v>16</v>
      </c>
      <c r="K4915" s="207"/>
      <c r="L4915" s="207">
        <v>285380</v>
      </c>
    </row>
    <row r="4916" spans="1:15" ht="11.25" customHeight="1" x14ac:dyDescent="0.2">
      <c r="A4916" s="191">
        <v>2024</v>
      </c>
      <c r="B4916" s="191">
        <v>7</v>
      </c>
      <c r="C4916" s="191">
        <v>10</v>
      </c>
      <c r="D4916" s="192">
        <f t="shared" si="502"/>
        <v>45483</v>
      </c>
      <c r="E4916" s="193">
        <f t="shared" si="501"/>
        <v>45483</v>
      </c>
      <c r="F4916" s="514"/>
      <c r="G4916" s="194" t="s">
        <v>1209</v>
      </c>
      <c r="H4916" s="195"/>
      <c r="I4916" s="195" t="s">
        <v>1849</v>
      </c>
      <c r="J4916" s="191" t="s">
        <v>47</v>
      </c>
      <c r="K4916" s="196"/>
      <c r="L4916" s="196">
        <v>34220</v>
      </c>
    </row>
    <row r="4917" spans="1:15" ht="11.25" customHeight="1" x14ac:dyDescent="0.2">
      <c r="A4917" s="197">
        <v>2024</v>
      </c>
      <c r="B4917" s="197">
        <v>7</v>
      </c>
      <c r="C4917" s="197">
        <v>10</v>
      </c>
      <c r="D4917" s="198">
        <f t="shared" si="502"/>
        <v>45483</v>
      </c>
      <c r="E4917" s="209">
        <f t="shared" si="501"/>
        <v>45483</v>
      </c>
      <c r="F4917" s="513" t="s">
        <v>1210</v>
      </c>
      <c r="G4917" s="200" t="s">
        <v>1209</v>
      </c>
      <c r="H4917" s="201"/>
      <c r="I4917" s="201" t="s">
        <v>1235</v>
      </c>
      <c r="J4917" s="197" t="s">
        <v>46</v>
      </c>
      <c r="K4917" s="202">
        <v>20000</v>
      </c>
      <c r="L4917" s="202"/>
    </row>
    <row r="4918" spans="1:15" ht="11.25" customHeight="1" x14ac:dyDescent="0.2">
      <c r="A4918" s="120">
        <v>2024</v>
      </c>
      <c r="B4918" s="120">
        <v>7</v>
      </c>
      <c r="C4918" s="120">
        <v>10</v>
      </c>
      <c r="D4918" s="208">
        <f t="shared" si="502"/>
        <v>45483</v>
      </c>
      <c r="E4918" s="209">
        <f t="shared" si="501"/>
        <v>45483</v>
      </c>
      <c r="F4918" s="515"/>
      <c r="G4918" s="132" t="s">
        <v>1209</v>
      </c>
      <c r="I4918" s="128" t="s">
        <v>1235</v>
      </c>
      <c r="J4918" s="120" t="s">
        <v>16</v>
      </c>
      <c r="K4918" s="207"/>
      <c r="L4918" s="207">
        <v>17860</v>
      </c>
      <c r="N4918" s="328"/>
    </row>
    <row r="4919" spans="1:15" ht="11.25" customHeight="1" x14ac:dyDescent="0.2">
      <c r="A4919" s="191">
        <v>2024</v>
      </c>
      <c r="B4919" s="191">
        <v>7</v>
      </c>
      <c r="C4919" s="191">
        <v>10</v>
      </c>
      <c r="D4919" s="192">
        <f t="shared" si="502"/>
        <v>45483</v>
      </c>
      <c r="E4919" s="193">
        <f t="shared" si="501"/>
        <v>45483</v>
      </c>
      <c r="F4919" s="514"/>
      <c r="G4919" s="194" t="s">
        <v>1209</v>
      </c>
      <c r="H4919" s="195"/>
      <c r="I4919" s="195" t="s">
        <v>1235</v>
      </c>
      <c r="J4919" s="191" t="s">
        <v>47</v>
      </c>
      <c r="K4919" s="196"/>
      <c r="L4919" s="196">
        <v>2140</v>
      </c>
    </row>
    <row r="4920" spans="1:15" ht="11.25" customHeight="1" x14ac:dyDescent="0.2">
      <c r="A4920" s="197">
        <v>2024</v>
      </c>
      <c r="B4920" s="197">
        <v>7</v>
      </c>
      <c r="C4920" s="197">
        <v>10</v>
      </c>
      <c r="D4920" s="198">
        <f t="shared" si="502"/>
        <v>45483</v>
      </c>
      <c r="E4920" s="290">
        <f t="shared" si="501"/>
        <v>45483</v>
      </c>
      <c r="F4920" s="513" t="s">
        <v>1514</v>
      </c>
      <c r="G4920" s="200" t="s">
        <v>1209</v>
      </c>
      <c r="H4920" s="201"/>
      <c r="I4920" s="201"/>
      <c r="J4920" s="197" t="s">
        <v>54</v>
      </c>
      <c r="K4920" s="202">
        <v>58</v>
      </c>
      <c r="L4920" s="202"/>
      <c r="M4920" s="251"/>
      <c r="N4920" s="251"/>
      <c r="O4920" s="251"/>
    </row>
    <row r="4921" spans="1:15" ht="11.25" customHeight="1" x14ac:dyDescent="0.2">
      <c r="A4921" s="191">
        <v>2024</v>
      </c>
      <c r="B4921" s="191">
        <v>7</v>
      </c>
      <c r="C4921" s="191">
        <v>10</v>
      </c>
      <c r="D4921" s="192">
        <f t="shared" si="502"/>
        <v>45483</v>
      </c>
      <c r="E4921" s="291">
        <f t="shared" si="501"/>
        <v>45483</v>
      </c>
      <c r="F4921" s="514"/>
      <c r="G4921" s="194" t="s">
        <v>1209</v>
      </c>
      <c r="H4921" s="195"/>
      <c r="I4921" s="195"/>
      <c r="J4921" s="191" t="s">
        <v>46</v>
      </c>
      <c r="K4921" s="196"/>
      <c r="L4921" s="196">
        <v>58</v>
      </c>
      <c r="M4921" s="251"/>
      <c r="N4921" s="251"/>
      <c r="O4921" s="251"/>
    </row>
    <row r="4922" spans="1:15" ht="11.25" customHeight="1" x14ac:dyDescent="0.2">
      <c r="A4922" s="197">
        <v>2024</v>
      </c>
      <c r="B4922" s="197">
        <v>7</v>
      </c>
      <c r="C4922" s="197">
        <v>11</v>
      </c>
      <c r="D4922" s="198">
        <f t="shared" si="502"/>
        <v>45484</v>
      </c>
      <c r="E4922" s="209">
        <f t="shared" si="501"/>
        <v>45484</v>
      </c>
      <c r="F4922" s="513" t="s">
        <v>1280</v>
      </c>
      <c r="G4922" s="200" t="s">
        <v>1209</v>
      </c>
      <c r="H4922" s="201"/>
      <c r="I4922" s="201" t="s">
        <v>574</v>
      </c>
      <c r="J4922" s="197" t="s">
        <v>16</v>
      </c>
      <c r="K4922" s="202">
        <v>51100</v>
      </c>
      <c r="L4922" s="202"/>
    </row>
    <row r="4923" spans="1:15" ht="11.25" customHeight="1" x14ac:dyDescent="0.2">
      <c r="A4923" s="120">
        <v>2024</v>
      </c>
      <c r="B4923" s="120">
        <v>7</v>
      </c>
      <c r="C4923" s="120">
        <v>11</v>
      </c>
      <c r="D4923" s="208">
        <f t="shared" si="502"/>
        <v>45484</v>
      </c>
      <c r="E4923" s="209">
        <f t="shared" si="501"/>
        <v>45484</v>
      </c>
      <c r="F4923" s="515"/>
      <c r="G4923" s="132" t="s">
        <v>1209</v>
      </c>
      <c r="I4923" s="128" t="s">
        <v>574</v>
      </c>
      <c r="J4923" s="120" t="s">
        <v>47</v>
      </c>
      <c r="K4923" s="207">
        <v>6126.8899999999994</v>
      </c>
      <c r="L4923" s="207"/>
    </row>
    <row r="4924" spans="1:15" ht="11.25" customHeight="1" x14ac:dyDescent="0.2">
      <c r="A4924" s="191">
        <v>2024</v>
      </c>
      <c r="B4924" s="191">
        <v>7</v>
      </c>
      <c r="C4924" s="191">
        <v>11</v>
      </c>
      <c r="D4924" s="192">
        <f t="shared" si="502"/>
        <v>45484</v>
      </c>
      <c r="E4924" s="193">
        <f t="shared" si="501"/>
        <v>45484</v>
      </c>
      <c r="F4924" s="514"/>
      <c r="G4924" s="194" t="s">
        <v>1209</v>
      </c>
      <c r="H4924" s="195"/>
      <c r="I4924" s="195" t="s">
        <v>574</v>
      </c>
      <c r="J4924" s="191" t="s">
        <v>46</v>
      </c>
      <c r="K4924" s="196"/>
      <c r="L4924" s="196">
        <v>57226.89</v>
      </c>
    </row>
    <row r="4925" spans="1:15" ht="11.25" customHeight="1" x14ac:dyDescent="0.2">
      <c r="A4925" s="382">
        <v>2024</v>
      </c>
      <c r="B4925" s="382">
        <v>7</v>
      </c>
      <c r="C4925" s="382">
        <v>11</v>
      </c>
      <c r="D4925" s="383">
        <f t="shared" si="502"/>
        <v>45484</v>
      </c>
      <c r="E4925" s="384">
        <f t="shared" si="501"/>
        <v>45484</v>
      </c>
      <c r="F4925" s="516" t="s">
        <v>1850</v>
      </c>
      <c r="G4925" s="385" t="s">
        <v>1209</v>
      </c>
      <c r="H4925" s="386"/>
      <c r="I4925" s="386"/>
      <c r="J4925" s="387" t="s">
        <v>81</v>
      </c>
      <c r="K4925" s="388">
        <v>6973.2450980392159</v>
      </c>
      <c r="L4925" s="388"/>
    </row>
    <row r="4926" spans="1:15" ht="11.25" customHeight="1" x14ac:dyDescent="0.2">
      <c r="A4926" s="389">
        <v>2024</v>
      </c>
      <c r="B4926" s="389">
        <v>7</v>
      </c>
      <c r="C4926" s="389">
        <v>11</v>
      </c>
      <c r="D4926" s="390">
        <f t="shared" si="502"/>
        <v>45484</v>
      </c>
      <c r="E4926" s="391">
        <f t="shared" si="501"/>
        <v>45484</v>
      </c>
      <c r="F4926" s="517"/>
      <c r="G4926" s="392" t="s">
        <v>1209</v>
      </c>
      <c r="H4926" s="393"/>
      <c r="I4926" s="393"/>
      <c r="J4926" s="394" t="s">
        <v>1847</v>
      </c>
      <c r="K4926" s="388"/>
      <c r="L4926" s="388">
        <v>6973.2450980392159</v>
      </c>
    </row>
    <row r="4927" spans="1:15" ht="11.25" customHeight="1" x14ac:dyDescent="0.2">
      <c r="A4927" s="344">
        <v>2024</v>
      </c>
      <c r="B4927" s="344">
        <v>7</v>
      </c>
      <c r="C4927" s="344">
        <v>11</v>
      </c>
      <c r="D4927" s="345">
        <f t="shared" si="502"/>
        <v>45484</v>
      </c>
      <c r="E4927" s="346">
        <f t="shared" si="501"/>
        <v>45484</v>
      </c>
      <c r="F4927" s="518" t="s">
        <v>1621</v>
      </c>
      <c r="G4927" s="347" t="s">
        <v>1245</v>
      </c>
      <c r="H4927" s="348"/>
      <c r="I4927" s="348" t="s">
        <v>1253</v>
      </c>
      <c r="J4927" s="344" t="s">
        <v>113</v>
      </c>
      <c r="K4927" s="349">
        <v>229134.61538461523</v>
      </c>
      <c r="L4927" s="349"/>
    </row>
    <row r="4928" spans="1:15" ht="11.25" customHeight="1" x14ac:dyDescent="0.2">
      <c r="A4928" s="350">
        <v>2024</v>
      </c>
      <c r="B4928" s="350">
        <v>7</v>
      </c>
      <c r="C4928" s="350">
        <v>11</v>
      </c>
      <c r="D4928" s="351">
        <f t="shared" si="502"/>
        <v>45484</v>
      </c>
      <c r="E4928" s="352">
        <f t="shared" si="501"/>
        <v>45484</v>
      </c>
      <c r="F4928" s="519"/>
      <c r="G4928" s="353" t="s">
        <v>1245</v>
      </c>
      <c r="H4928" s="354"/>
      <c r="I4928" s="354" t="s">
        <v>1253</v>
      </c>
      <c r="J4928" s="350" t="s">
        <v>153</v>
      </c>
      <c r="K4928" s="355"/>
      <c r="L4928" s="355">
        <f>K4927</f>
        <v>229134.61538461523</v>
      </c>
    </row>
    <row r="4929" spans="1:13" ht="11.25" customHeight="1" x14ac:dyDescent="0.2">
      <c r="A4929" s="210">
        <v>2024</v>
      </c>
      <c r="B4929" s="210">
        <v>7</v>
      </c>
      <c r="C4929" s="210">
        <v>11</v>
      </c>
      <c r="D4929" s="211">
        <f t="shared" si="502"/>
        <v>45484</v>
      </c>
      <c r="E4929" s="238">
        <f t="shared" si="501"/>
        <v>45484</v>
      </c>
      <c r="F4929" s="520" t="s">
        <v>1278</v>
      </c>
      <c r="G4929" s="213" t="s">
        <v>1245</v>
      </c>
      <c r="H4929" s="214"/>
      <c r="I4929" s="214" t="s">
        <v>1253</v>
      </c>
      <c r="J4929" s="210" t="s">
        <v>1529</v>
      </c>
      <c r="K4929" s="215">
        <v>6129.69</v>
      </c>
      <c r="L4929" s="215"/>
    </row>
    <row r="4930" spans="1:13" ht="11.25" customHeight="1" x14ac:dyDescent="0.2">
      <c r="A4930" s="216">
        <v>2024</v>
      </c>
      <c r="B4930" s="216">
        <v>7</v>
      </c>
      <c r="C4930" s="216">
        <v>11</v>
      </c>
      <c r="D4930" s="217">
        <f t="shared" si="502"/>
        <v>45484</v>
      </c>
      <c r="E4930" s="239">
        <f t="shared" si="501"/>
        <v>45484</v>
      </c>
      <c r="F4930" s="521"/>
      <c r="G4930" s="219" t="s">
        <v>1245</v>
      </c>
      <c r="H4930" s="220"/>
      <c r="I4930" s="220" t="s">
        <v>1253</v>
      </c>
      <c r="J4930" s="216" t="s">
        <v>1581</v>
      </c>
      <c r="K4930" s="221"/>
      <c r="L4930" s="221">
        <v>6129.69</v>
      </c>
    </row>
    <row r="4931" spans="1:13" ht="11.25" customHeight="1" x14ac:dyDescent="0.2">
      <c r="A4931" s="210">
        <v>2024</v>
      </c>
      <c r="B4931" s="210">
        <v>7</v>
      </c>
      <c r="C4931" s="210">
        <v>11</v>
      </c>
      <c r="D4931" s="211">
        <f t="shared" si="502"/>
        <v>45484</v>
      </c>
      <c r="E4931" s="238">
        <f t="shared" si="501"/>
        <v>45484</v>
      </c>
      <c r="F4931" s="520" t="s">
        <v>1285</v>
      </c>
      <c r="G4931" s="213" t="s">
        <v>1245</v>
      </c>
      <c r="H4931" s="214"/>
      <c r="I4931" s="214" t="s">
        <v>1253</v>
      </c>
      <c r="J4931" s="210" t="s">
        <v>1284</v>
      </c>
      <c r="K4931" s="215">
        <v>10290.504807692299</v>
      </c>
      <c r="L4931" s="215"/>
    </row>
    <row r="4932" spans="1:13" ht="11.25" customHeight="1" x14ac:dyDescent="0.2">
      <c r="A4932" s="242">
        <v>2024</v>
      </c>
      <c r="B4932" s="242">
        <v>7</v>
      </c>
      <c r="C4932" s="242">
        <v>11</v>
      </c>
      <c r="D4932" s="243">
        <f t="shared" si="502"/>
        <v>45484</v>
      </c>
      <c r="E4932" s="244">
        <f>DATE(A4932,B4932,C4932)</f>
        <v>45484</v>
      </c>
      <c r="F4932" s="524"/>
      <c r="G4932" s="245" t="s">
        <v>1245</v>
      </c>
      <c r="H4932" s="246"/>
      <c r="I4932" s="246"/>
      <c r="J4932" s="242" t="s">
        <v>1582</v>
      </c>
      <c r="K4932" s="247"/>
      <c r="L4932" s="247">
        <v>10290.504807692299</v>
      </c>
    </row>
    <row r="4933" spans="1:13" ht="11.25" customHeight="1" x14ac:dyDescent="0.2">
      <c r="A4933" s="210">
        <v>2024</v>
      </c>
      <c r="B4933" s="210">
        <v>7</v>
      </c>
      <c r="C4933" s="210">
        <v>11</v>
      </c>
      <c r="D4933" s="211">
        <f t="shared" si="502"/>
        <v>45484</v>
      </c>
      <c r="E4933" s="238">
        <f t="shared" ref="E4933:E4962" si="503">DATE(A4933,B4933,C4933)</f>
        <v>45484</v>
      </c>
      <c r="F4933" s="520" t="s">
        <v>1259</v>
      </c>
      <c r="G4933" s="213" t="s">
        <v>1245</v>
      </c>
      <c r="H4933" s="214"/>
      <c r="I4933" s="214" t="s">
        <v>1253</v>
      </c>
      <c r="J4933" s="210" t="s">
        <v>58</v>
      </c>
      <c r="K4933" s="215">
        <v>3323.57</v>
      </c>
      <c r="L4933" s="215"/>
    </row>
    <row r="4934" spans="1:13" ht="11.25" customHeight="1" x14ac:dyDescent="0.2">
      <c r="A4934" s="216">
        <v>2024</v>
      </c>
      <c r="B4934" s="216">
        <v>7</v>
      </c>
      <c r="C4934" s="216">
        <v>11</v>
      </c>
      <c r="D4934" s="217">
        <f t="shared" si="502"/>
        <v>45484</v>
      </c>
      <c r="E4934" s="239">
        <f t="shared" si="503"/>
        <v>45484</v>
      </c>
      <c r="F4934" s="521"/>
      <c r="G4934" s="219" t="s">
        <v>1245</v>
      </c>
      <c r="H4934" s="220"/>
      <c r="I4934" s="220" t="s">
        <v>1253</v>
      </c>
      <c r="J4934" s="216" t="s">
        <v>153</v>
      </c>
      <c r="K4934" s="221"/>
      <c r="L4934" s="221">
        <f>K4933</f>
        <v>3323.57</v>
      </c>
    </row>
    <row r="4935" spans="1:13" ht="11.25" customHeight="1" x14ac:dyDescent="0.2">
      <c r="A4935" s="312">
        <v>2024</v>
      </c>
      <c r="B4935" s="312">
        <v>7</v>
      </c>
      <c r="C4935" s="312">
        <v>11</v>
      </c>
      <c r="D4935" s="313">
        <f t="shared" si="502"/>
        <v>45484</v>
      </c>
      <c r="E4935" s="314">
        <f t="shared" si="503"/>
        <v>45484</v>
      </c>
      <c r="F4935" s="522" t="s">
        <v>1477</v>
      </c>
      <c r="G4935" s="315" t="s">
        <v>1245</v>
      </c>
      <c r="H4935" s="316"/>
      <c r="I4935" s="316" t="s">
        <v>1253</v>
      </c>
      <c r="J4935" s="312" t="s">
        <v>1460</v>
      </c>
      <c r="K4935" s="317">
        <v>341032</v>
      </c>
      <c r="L4935" s="317"/>
    </row>
    <row r="4936" spans="1:13" ht="11.25" customHeight="1" x14ac:dyDescent="0.2">
      <c r="A4936" s="318">
        <v>2024</v>
      </c>
      <c r="B4936" s="318">
        <v>7</v>
      </c>
      <c r="C4936" s="318">
        <v>11</v>
      </c>
      <c r="D4936" s="319">
        <f t="shared" si="502"/>
        <v>45484</v>
      </c>
      <c r="E4936" s="320">
        <f t="shared" si="503"/>
        <v>45484</v>
      </c>
      <c r="F4936" s="523"/>
      <c r="G4936" s="321" t="s">
        <v>1245</v>
      </c>
      <c r="H4936" s="322"/>
      <c r="I4936" s="322" t="s">
        <v>1253</v>
      </c>
      <c r="J4936" s="318" t="s">
        <v>1458</v>
      </c>
      <c r="K4936" s="323"/>
      <c r="L4936" s="323">
        <f>K4935</f>
        <v>341032</v>
      </c>
    </row>
    <row r="4937" spans="1:13" ht="11.25" customHeight="1" x14ac:dyDescent="0.2">
      <c r="A4937" s="312">
        <v>2024</v>
      </c>
      <c r="B4937" s="312">
        <v>7</v>
      </c>
      <c r="C4937" s="312">
        <v>11</v>
      </c>
      <c r="D4937" s="313">
        <f t="shared" si="502"/>
        <v>45484</v>
      </c>
      <c r="E4937" s="314">
        <f t="shared" si="503"/>
        <v>45484</v>
      </c>
      <c r="F4937" s="522" t="s">
        <v>1595</v>
      </c>
      <c r="G4937" s="315" t="s">
        <v>1245</v>
      </c>
      <c r="H4937" s="316"/>
      <c r="I4937" s="316" t="s">
        <v>1253</v>
      </c>
      <c r="J4937" s="312" t="s">
        <v>1461</v>
      </c>
      <c r="K4937" s="317">
        <v>83239.640000015497</v>
      </c>
      <c r="L4937" s="317"/>
    </row>
    <row r="4938" spans="1:13" ht="11.25" customHeight="1" x14ac:dyDescent="0.2">
      <c r="A4938" s="318">
        <v>2024</v>
      </c>
      <c r="B4938" s="318">
        <v>7</v>
      </c>
      <c r="C4938" s="318">
        <v>11</v>
      </c>
      <c r="D4938" s="319">
        <f t="shared" si="502"/>
        <v>45484</v>
      </c>
      <c r="E4938" s="320">
        <f t="shared" si="503"/>
        <v>45484</v>
      </c>
      <c r="F4938" s="523"/>
      <c r="G4938" s="321" t="s">
        <v>1245</v>
      </c>
      <c r="H4938" s="322"/>
      <c r="I4938" s="322" t="s">
        <v>1253</v>
      </c>
      <c r="J4938" s="318" t="s">
        <v>1459</v>
      </c>
      <c r="K4938" s="323"/>
      <c r="L4938" s="323">
        <f>K4937</f>
        <v>83239.640000015497</v>
      </c>
    </row>
    <row r="4939" spans="1:13" ht="11.25" customHeight="1" x14ac:dyDescent="0.2">
      <c r="A4939" s="222">
        <v>2024</v>
      </c>
      <c r="B4939" s="222">
        <v>7</v>
      </c>
      <c r="C4939" s="222">
        <v>11</v>
      </c>
      <c r="D4939" s="223">
        <f t="shared" si="502"/>
        <v>45484</v>
      </c>
      <c r="E4939" s="240">
        <f t="shared" si="503"/>
        <v>45484</v>
      </c>
      <c r="F4939" s="511" t="s">
        <v>1244</v>
      </c>
      <c r="G4939" s="225" t="s">
        <v>1245</v>
      </c>
      <c r="H4939" s="226"/>
      <c r="I4939" s="226" t="s">
        <v>1253</v>
      </c>
      <c r="J4939" s="222" t="s">
        <v>87</v>
      </c>
      <c r="K4939" s="227">
        <v>5230</v>
      </c>
      <c r="L4939" s="227"/>
    </row>
    <row r="4940" spans="1:13" ht="11.25" customHeight="1" x14ac:dyDescent="0.2">
      <c r="A4940" s="228">
        <v>2024</v>
      </c>
      <c r="B4940" s="228">
        <v>7</v>
      </c>
      <c r="C4940" s="228">
        <v>11</v>
      </c>
      <c r="D4940" s="229">
        <f t="shared" si="502"/>
        <v>45484</v>
      </c>
      <c r="E4940" s="241">
        <f t="shared" si="503"/>
        <v>45484</v>
      </c>
      <c r="F4940" s="512"/>
      <c r="G4940" s="231" t="s">
        <v>1245</v>
      </c>
      <c r="H4940" s="232"/>
      <c r="I4940" s="232" t="s">
        <v>1253</v>
      </c>
      <c r="J4940" s="228" t="s">
        <v>72</v>
      </c>
      <c r="K4940" s="233"/>
      <c r="L4940" s="233">
        <f>K4939</f>
        <v>5230</v>
      </c>
    </row>
    <row r="4941" spans="1:13" ht="11.25" customHeight="1" x14ac:dyDescent="0.2">
      <c r="A4941" s="222">
        <v>2024</v>
      </c>
      <c r="B4941" s="222">
        <v>7</v>
      </c>
      <c r="C4941" s="222">
        <v>11</v>
      </c>
      <c r="D4941" s="223">
        <f t="shared" si="502"/>
        <v>45484</v>
      </c>
      <c r="E4941" s="240">
        <f t="shared" si="503"/>
        <v>45484</v>
      </c>
      <c r="F4941" s="511" t="s">
        <v>1246</v>
      </c>
      <c r="G4941" s="225" t="s">
        <v>1245</v>
      </c>
      <c r="H4941" s="226"/>
      <c r="I4941" s="226" t="s">
        <v>1253</v>
      </c>
      <c r="J4941" s="222" t="s">
        <v>75</v>
      </c>
      <c r="K4941" s="227">
        <v>3623.123846153846</v>
      </c>
      <c r="L4941" s="227"/>
    </row>
    <row r="4942" spans="1:13" ht="11.25" customHeight="1" x14ac:dyDescent="0.2">
      <c r="A4942" s="228">
        <v>2024</v>
      </c>
      <c r="B4942" s="228">
        <v>7</v>
      </c>
      <c r="C4942" s="228">
        <v>11</v>
      </c>
      <c r="D4942" s="229">
        <f t="shared" si="502"/>
        <v>45484</v>
      </c>
      <c r="E4942" s="241">
        <f t="shared" si="503"/>
        <v>45484</v>
      </c>
      <c r="F4942" s="512"/>
      <c r="G4942" s="231" t="s">
        <v>1245</v>
      </c>
      <c r="H4942" s="232"/>
      <c r="I4942" s="232" t="s">
        <v>1253</v>
      </c>
      <c r="J4942" s="228" t="s">
        <v>55</v>
      </c>
      <c r="K4942" s="233"/>
      <c r="L4942" s="233">
        <v>3623.123846153846</v>
      </c>
    </row>
    <row r="4943" spans="1:13" ht="11.25" customHeight="1" x14ac:dyDescent="0.2">
      <c r="A4943" s="222">
        <v>2024</v>
      </c>
      <c r="B4943" s="222">
        <v>7</v>
      </c>
      <c r="C4943" s="222">
        <v>11</v>
      </c>
      <c r="D4943" s="223">
        <f t="shared" si="502"/>
        <v>45484</v>
      </c>
      <c r="E4943" s="240">
        <f t="shared" si="503"/>
        <v>45484</v>
      </c>
      <c r="F4943" s="511" t="s">
        <v>1247</v>
      </c>
      <c r="G4943" s="225" t="s">
        <v>1245</v>
      </c>
      <c r="H4943" s="226"/>
      <c r="I4943" s="226" t="s">
        <v>1253</v>
      </c>
      <c r="J4943" s="222" t="s">
        <v>77</v>
      </c>
      <c r="K4943" s="227"/>
      <c r="L4943" s="227"/>
      <c r="M4943" s="120">
        <v>34190.164259969417</v>
      </c>
    </row>
    <row r="4944" spans="1:13" ht="11.25" customHeight="1" x14ac:dyDescent="0.2">
      <c r="A4944" s="228">
        <v>2024</v>
      </c>
      <c r="B4944" s="228">
        <v>7</v>
      </c>
      <c r="C4944" s="228">
        <v>11</v>
      </c>
      <c r="D4944" s="229">
        <f t="shared" si="502"/>
        <v>45484</v>
      </c>
      <c r="E4944" s="241">
        <f t="shared" si="503"/>
        <v>45484</v>
      </c>
      <c r="F4944" s="512"/>
      <c r="G4944" s="231" t="s">
        <v>1245</v>
      </c>
      <c r="H4944" s="232"/>
      <c r="I4944" s="232" t="s">
        <v>1253</v>
      </c>
      <c r="J4944" s="228" t="s">
        <v>41</v>
      </c>
      <c r="K4944" s="233"/>
      <c r="L4944" s="233">
        <f>K4943</f>
        <v>0</v>
      </c>
      <c r="M4944" s="120">
        <v>3419.0164259969415</v>
      </c>
    </row>
    <row r="4945" spans="1:12" ht="11.25" customHeight="1" x14ac:dyDescent="0.2">
      <c r="A4945" s="222">
        <v>2024</v>
      </c>
      <c r="B4945" s="222">
        <v>7</v>
      </c>
      <c r="C4945" s="222">
        <v>11</v>
      </c>
      <c r="D4945" s="223">
        <f t="shared" si="502"/>
        <v>45484</v>
      </c>
      <c r="E4945" s="240">
        <f t="shared" si="503"/>
        <v>45484</v>
      </c>
      <c r="F4945" s="511" t="s">
        <v>1248</v>
      </c>
      <c r="G4945" s="225" t="s">
        <v>1245</v>
      </c>
      <c r="H4945" s="226"/>
      <c r="I4945" s="226" t="s">
        <v>1253</v>
      </c>
      <c r="J4945" s="222" t="s">
        <v>80</v>
      </c>
      <c r="K4945" s="227">
        <f>M4944</f>
        <v>3419.0164259969415</v>
      </c>
      <c r="L4945" s="227"/>
    </row>
    <row r="4946" spans="1:12" x14ac:dyDescent="0.2">
      <c r="A4946" s="228">
        <v>2024</v>
      </c>
      <c r="B4946" s="228">
        <v>7</v>
      </c>
      <c r="C4946" s="228">
        <v>11</v>
      </c>
      <c r="D4946" s="229">
        <f t="shared" si="502"/>
        <v>45484</v>
      </c>
      <c r="E4946" s="241">
        <f t="shared" si="503"/>
        <v>45484</v>
      </c>
      <c r="F4946" s="512"/>
      <c r="G4946" s="231" t="s">
        <v>1245</v>
      </c>
      <c r="H4946" s="232"/>
      <c r="I4946" s="232" t="s">
        <v>1253</v>
      </c>
      <c r="J4946" s="228" t="s">
        <v>42</v>
      </c>
      <c r="K4946" s="233"/>
      <c r="L4946" s="233">
        <f>K4945</f>
        <v>3419.0164259969415</v>
      </c>
    </row>
    <row r="4947" spans="1:12" ht="11.25" customHeight="1" x14ac:dyDescent="0.2">
      <c r="A4947" s="197">
        <v>2024</v>
      </c>
      <c r="B4947" s="197">
        <v>7</v>
      </c>
      <c r="C4947" s="197">
        <v>15</v>
      </c>
      <c r="D4947" s="198">
        <f t="shared" si="502"/>
        <v>45488</v>
      </c>
      <c r="E4947" s="209">
        <f t="shared" si="503"/>
        <v>45488</v>
      </c>
      <c r="F4947" s="513" t="s">
        <v>1296</v>
      </c>
      <c r="G4947" s="200" t="s">
        <v>1209</v>
      </c>
      <c r="H4947" s="201"/>
      <c r="I4947" s="201"/>
      <c r="J4947" s="197" t="s">
        <v>46</v>
      </c>
      <c r="K4947" s="202">
        <v>66000</v>
      </c>
      <c r="L4947" s="202"/>
    </row>
    <row r="4948" spans="1:12" ht="11.25" customHeight="1" x14ac:dyDescent="0.2">
      <c r="A4948" s="120">
        <v>2024</v>
      </c>
      <c r="B4948" s="120">
        <v>7</v>
      </c>
      <c r="C4948" s="120">
        <v>15</v>
      </c>
      <c r="D4948" s="208">
        <f t="shared" si="502"/>
        <v>45488</v>
      </c>
      <c r="E4948" s="209">
        <f t="shared" si="503"/>
        <v>45488</v>
      </c>
      <c r="F4948" s="515"/>
      <c r="G4948" s="132" t="s">
        <v>1209</v>
      </c>
      <c r="J4948" s="120" t="s">
        <v>16</v>
      </c>
      <c r="K4948" s="207"/>
      <c r="L4948" s="207">
        <v>58830</v>
      </c>
    </row>
    <row r="4949" spans="1:12" ht="11.25" customHeight="1" x14ac:dyDescent="0.2">
      <c r="A4949" s="191">
        <v>2024</v>
      </c>
      <c r="B4949" s="191">
        <v>7</v>
      </c>
      <c r="C4949" s="191">
        <v>15</v>
      </c>
      <c r="D4949" s="192">
        <f t="shared" si="502"/>
        <v>45488</v>
      </c>
      <c r="E4949" s="193">
        <f t="shared" si="503"/>
        <v>45488</v>
      </c>
      <c r="F4949" s="514"/>
      <c r="G4949" s="194" t="s">
        <v>1209</v>
      </c>
      <c r="H4949" s="195"/>
      <c r="I4949" s="195"/>
      <c r="J4949" s="191" t="s">
        <v>47</v>
      </c>
      <c r="K4949" s="196"/>
      <c r="L4949" s="196">
        <v>7170</v>
      </c>
    </row>
    <row r="4950" spans="1:12" ht="11.25" customHeight="1" x14ac:dyDescent="0.2">
      <c r="A4950" s="197">
        <v>2024</v>
      </c>
      <c r="B4950" s="197">
        <v>7</v>
      </c>
      <c r="C4950" s="197">
        <v>15</v>
      </c>
      <c r="D4950" s="198">
        <f t="shared" si="502"/>
        <v>45488</v>
      </c>
      <c r="E4950" s="209">
        <f t="shared" si="503"/>
        <v>45488</v>
      </c>
      <c r="F4950" s="513" t="s">
        <v>1210</v>
      </c>
      <c r="G4950" s="200" t="s">
        <v>1209</v>
      </c>
      <c r="H4950" s="201"/>
      <c r="I4950" s="201" t="s">
        <v>1647</v>
      </c>
      <c r="J4950" s="197" t="s">
        <v>46</v>
      </c>
      <c r="K4950" s="202">
        <v>40000</v>
      </c>
      <c r="L4950" s="202"/>
    </row>
    <row r="4951" spans="1:12" ht="11.25" customHeight="1" x14ac:dyDescent="0.2">
      <c r="A4951" s="120">
        <v>2024</v>
      </c>
      <c r="B4951" s="120">
        <v>7</v>
      </c>
      <c r="C4951" s="120">
        <v>15</v>
      </c>
      <c r="D4951" s="208">
        <f t="shared" si="502"/>
        <v>45488</v>
      </c>
      <c r="E4951" s="209">
        <f t="shared" si="503"/>
        <v>45488</v>
      </c>
      <c r="F4951" s="515"/>
      <c r="G4951" s="132" t="s">
        <v>1209</v>
      </c>
      <c r="I4951" s="128" t="s">
        <v>1647</v>
      </c>
      <c r="J4951" s="120" t="s">
        <v>16</v>
      </c>
      <c r="K4951" s="207"/>
      <c r="L4951" s="207">
        <v>35650</v>
      </c>
    </row>
    <row r="4952" spans="1:12" ht="11.25" customHeight="1" x14ac:dyDescent="0.2">
      <c r="A4952" s="191">
        <v>2024</v>
      </c>
      <c r="B4952" s="191">
        <v>7</v>
      </c>
      <c r="C4952" s="191">
        <v>15</v>
      </c>
      <c r="D4952" s="192">
        <f t="shared" si="502"/>
        <v>45488</v>
      </c>
      <c r="E4952" s="193">
        <f t="shared" si="503"/>
        <v>45488</v>
      </c>
      <c r="F4952" s="514"/>
      <c r="G4952" s="194" t="s">
        <v>1209</v>
      </c>
      <c r="H4952" s="195"/>
      <c r="I4952" s="195" t="s">
        <v>1647</v>
      </c>
      <c r="J4952" s="191" t="s">
        <v>47</v>
      </c>
      <c r="K4952" s="196"/>
      <c r="L4952" s="196">
        <v>4350</v>
      </c>
    </row>
    <row r="4953" spans="1:12" ht="11.25" customHeight="1" x14ac:dyDescent="0.2">
      <c r="A4953" s="197">
        <v>2024</v>
      </c>
      <c r="B4953" s="197">
        <v>7</v>
      </c>
      <c r="C4953" s="197">
        <v>16</v>
      </c>
      <c r="D4953" s="198">
        <f t="shared" si="502"/>
        <v>45489</v>
      </c>
      <c r="E4953" s="209">
        <f t="shared" si="503"/>
        <v>45489</v>
      </c>
      <c r="F4953" s="513" t="s">
        <v>1280</v>
      </c>
      <c r="G4953" s="200" t="s">
        <v>1209</v>
      </c>
      <c r="H4953" s="201"/>
      <c r="I4953" s="201" t="s">
        <v>1303</v>
      </c>
      <c r="J4953" s="197" t="s">
        <v>16</v>
      </c>
      <c r="K4953" s="202">
        <v>524000</v>
      </c>
      <c r="L4953" s="202"/>
    </row>
    <row r="4954" spans="1:12" ht="11.25" customHeight="1" x14ac:dyDescent="0.2">
      <c r="A4954" s="120">
        <v>2024</v>
      </c>
      <c r="B4954" s="120">
        <v>7</v>
      </c>
      <c r="C4954" s="120">
        <v>16</v>
      </c>
      <c r="D4954" s="208">
        <f t="shared" si="502"/>
        <v>45489</v>
      </c>
      <c r="E4954" s="209">
        <f t="shared" si="503"/>
        <v>45489</v>
      </c>
      <c r="F4954" s="515"/>
      <c r="G4954" s="132" t="s">
        <v>1209</v>
      </c>
      <c r="I4954" s="128" t="s">
        <v>1303</v>
      </c>
      <c r="J4954" s="120" t="s">
        <v>47</v>
      </c>
      <c r="K4954" s="207">
        <v>63928</v>
      </c>
      <c r="L4954" s="207"/>
    </row>
    <row r="4955" spans="1:12" ht="11.25" customHeight="1" x14ac:dyDescent="0.2">
      <c r="A4955" s="191">
        <v>2024</v>
      </c>
      <c r="B4955" s="191">
        <v>7</v>
      </c>
      <c r="C4955" s="191">
        <v>16</v>
      </c>
      <c r="D4955" s="192">
        <f t="shared" si="502"/>
        <v>45489</v>
      </c>
      <c r="E4955" s="193">
        <f t="shared" si="503"/>
        <v>45489</v>
      </c>
      <c r="F4955" s="514"/>
      <c r="G4955" s="194" t="s">
        <v>1209</v>
      </c>
      <c r="H4955" s="195"/>
      <c r="I4955" s="195" t="s">
        <v>1303</v>
      </c>
      <c r="J4955" s="191" t="s">
        <v>46</v>
      </c>
      <c r="K4955" s="196"/>
      <c r="L4955" s="196">
        <v>587928</v>
      </c>
    </row>
    <row r="4956" spans="1:12" ht="11.25" customHeight="1" x14ac:dyDescent="0.2">
      <c r="A4956" s="382">
        <v>2024</v>
      </c>
      <c r="B4956" s="382">
        <v>7</v>
      </c>
      <c r="C4956" s="382">
        <v>18</v>
      </c>
      <c r="D4956" s="383">
        <f t="shared" si="502"/>
        <v>45491</v>
      </c>
      <c r="E4956" s="384">
        <f t="shared" si="503"/>
        <v>45491</v>
      </c>
      <c r="F4956" s="516" t="s">
        <v>1850</v>
      </c>
      <c r="G4956" s="385" t="s">
        <v>1209</v>
      </c>
      <c r="H4956" s="386"/>
      <c r="I4956" s="386"/>
      <c r="J4956" s="387" t="s">
        <v>81</v>
      </c>
      <c r="K4956" s="388">
        <v>6973.2450980392159</v>
      </c>
      <c r="L4956" s="388"/>
    </row>
    <row r="4957" spans="1:12" ht="11.25" customHeight="1" x14ac:dyDescent="0.2">
      <c r="A4957" s="389">
        <v>2024</v>
      </c>
      <c r="B4957" s="389">
        <v>7</v>
      </c>
      <c r="C4957" s="389">
        <v>18</v>
      </c>
      <c r="D4957" s="390">
        <f t="shared" si="502"/>
        <v>45491</v>
      </c>
      <c r="E4957" s="391">
        <f t="shared" si="503"/>
        <v>45491</v>
      </c>
      <c r="F4957" s="517"/>
      <c r="G4957" s="392" t="s">
        <v>1209</v>
      </c>
      <c r="H4957" s="393"/>
      <c r="I4957" s="393"/>
      <c r="J4957" s="394" t="s">
        <v>1847</v>
      </c>
      <c r="K4957" s="388"/>
      <c r="L4957" s="388">
        <v>6973.2450980392159</v>
      </c>
    </row>
    <row r="4958" spans="1:12" ht="11.25" customHeight="1" x14ac:dyDescent="0.2">
      <c r="A4958" s="344">
        <v>2024</v>
      </c>
      <c r="B4958" s="344">
        <v>7</v>
      </c>
      <c r="C4958" s="344">
        <v>18</v>
      </c>
      <c r="D4958" s="345">
        <f t="shared" si="502"/>
        <v>45491</v>
      </c>
      <c r="E4958" s="346">
        <f t="shared" si="503"/>
        <v>45491</v>
      </c>
      <c r="F4958" s="518" t="s">
        <v>1621</v>
      </c>
      <c r="G4958" s="347" t="s">
        <v>1245</v>
      </c>
      <c r="H4958" s="348"/>
      <c r="I4958" s="348" t="s">
        <v>1253</v>
      </c>
      <c r="J4958" s="344" t="s">
        <v>113</v>
      </c>
      <c r="K4958" s="349">
        <v>229134.61538461523</v>
      </c>
      <c r="L4958" s="349"/>
    </row>
    <row r="4959" spans="1:12" ht="11.25" customHeight="1" x14ac:dyDescent="0.2">
      <c r="A4959" s="350">
        <v>2024</v>
      </c>
      <c r="B4959" s="350">
        <v>7</v>
      </c>
      <c r="C4959" s="350">
        <v>18</v>
      </c>
      <c r="D4959" s="351">
        <f t="shared" si="502"/>
        <v>45491</v>
      </c>
      <c r="E4959" s="352">
        <f t="shared" si="503"/>
        <v>45491</v>
      </c>
      <c r="F4959" s="519"/>
      <c r="G4959" s="353" t="s">
        <v>1245</v>
      </c>
      <c r="H4959" s="354"/>
      <c r="I4959" s="354" t="s">
        <v>1253</v>
      </c>
      <c r="J4959" s="350" t="s">
        <v>153</v>
      </c>
      <c r="K4959" s="355"/>
      <c r="L4959" s="355">
        <f>K4958</f>
        <v>229134.61538461523</v>
      </c>
    </row>
    <row r="4960" spans="1:12" ht="11.25" customHeight="1" x14ac:dyDescent="0.2">
      <c r="A4960" s="210">
        <v>2024</v>
      </c>
      <c r="B4960" s="210">
        <v>7</v>
      </c>
      <c r="C4960" s="210">
        <v>18</v>
      </c>
      <c r="D4960" s="211">
        <f t="shared" si="502"/>
        <v>45491</v>
      </c>
      <c r="E4960" s="238">
        <f t="shared" si="503"/>
        <v>45491</v>
      </c>
      <c r="F4960" s="520" t="s">
        <v>1278</v>
      </c>
      <c r="G4960" s="213" t="s">
        <v>1245</v>
      </c>
      <c r="H4960" s="214"/>
      <c r="I4960" s="214" t="s">
        <v>1253</v>
      </c>
      <c r="J4960" s="210" t="s">
        <v>1529</v>
      </c>
      <c r="K4960" s="215">
        <v>6129.69</v>
      </c>
      <c r="L4960" s="215"/>
    </row>
    <row r="4961" spans="1:13" ht="11.25" customHeight="1" x14ac:dyDescent="0.2">
      <c r="A4961" s="216">
        <v>2024</v>
      </c>
      <c r="B4961" s="216">
        <v>7</v>
      </c>
      <c r="C4961" s="216">
        <v>18</v>
      </c>
      <c r="D4961" s="217">
        <f t="shared" si="502"/>
        <v>45491</v>
      </c>
      <c r="E4961" s="239">
        <f t="shared" si="503"/>
        <v>45491</v>
      </c>
      <c r="F4961" s="521"/>
      <c r="G4961" s="219" t="s">
        <v>1245</v>
      </c>
      <c r="H4961" s="220"/>
      <c r="I4961" s="220" t="s">
        <v>1253</v>
      </c>
      <c r="J4961" s="216" t="s">
        <v>1581</v>
      </c>
      <c r="K4961" s="221"/>
      <c r="L4961" s="221">
        <v>6129.69</v>
      </c>
    </row>
    <row r="4962" spans="1:13" ht="11.25" customHeight="1" x14ac:dyDescent="0.2">
      <c r="A4962" s="210">
        <v>2024</v>
      </c>
      <c r="B4962" s="210">
        <v>7</v>
      </c>
      <c r="C4962" s="210">
        <v>18</v>
      </c>
      <c r="D4962" s="211">
        <f t="shared" si="502"/>
        <v>45491</v>
      </c>
      <c r="E4962" s="238">
        <f t="shared" si="503"/>
        <v>45491</v>
      </c>
      <c r="F4962" s="520" t="s">
        <v>1285</v>
      </c>
      <c r="G4962" s="213" t="s">
        <v>1245</v>
      </c>
      <c r="H4962" s="214"/>
      <c r="I4962" s="214" t="s">
        <v>1253</v>
      </c>
      <c r="J4962" s="210" t="s">
        <v>1284</v>
      </c>
      <c r="K4962" s="215">
        <v>10290.504807692299</v>
      </c>
      <c r="L4962" s="215"/>
    </row>
    <row r="4963" spans="1:13" ht="11.25" customHeight="1" x14ac:dyDescent="0.2">
      <c r="A4963" s="242">
        <v>2024</v>
      </c>
      <c r="B4963" s="242">
        <v>7</v>
      </c>
      <c r="C4963" s="242">
        <v>18</v>
      </c>
      <c r="D4963" s="243">
        <f t="shared" si="502"/>
        <v>45491</v>
      </c>
      <c r="E4963" s="244">
        <f>DATE(A4963,B4963,C4963)</f>
        <v>45491</v>
      </c>
      <c r="F4963" s="524"/>
      <c r="G4963" s="245" t="s">
        <v>1245</v>
      </c>
      <c r="H4963" s="246"/>
      <c r="I4963" s="246"/>
      <c r="J4963" s="242" t="s">
        <v>1582</v>
      </c>
      <c r="K4963" s="247"/>
      <c r="L4963" s="247">
        <v>10290.504807692299</v>
      </c>
    </row>
    <row r="4964" spans="1:13" ht="11.25" customHeight="1" x14ac:dyDescent="0.2">
      <c r="A4964" s="210">
        <v>2024</v>
      </c>
      <c r="B4964" s="210">
        <v>7</v>
      </c>
      <c r="C4964" s="210">
        <v>18</v>
      </c>
      <c r="D4964" s="211">
        <f t="shared" si="502"/>
        <v>45491</v>
      </c>
      <c r="E4964" s="238">
        <f t="shared" ref="E4964:E5001" si="504">DATE(A4964,B4964,C4964)</f>
        <v>45491</v>
      </c>
      <c r="F4964" s="520" t="s">
        <v>1259</v>
      </c>
      <c r="G4964" s="213" t="s">
        <v>1245</v>
      </c>
      <c r="H4964" s="214"/>
      <c r="I4964" s="214" t="s">
        <v>1253</v>
      </c>
      <c r="J4964" s="210" t="s">
        <v>58</v>
      </c>
      <c r="K4964" s="215">
        <v>4124.76</v>
      </c>
      <c r="L4964" s="215"/>
    </row>
    <row r="4965" spans="1:13" ht="11.25" customHeight="1" x14ac:dyDescent="0.2">
      <c r="A4965" s="216">
        <v>2024</v>
      </c>
      <c r="B4965" s="216">
        <v>7</v>
      </c>
      <c r="C4965" s="216">
        <v>18</v>
      </c>
      <c r="D4965" s="217">
        <f t="shared" si="502"/>
        <v>45491</v>
      </c>
      <c r="E4965" s="239">
        <f t="shared" si="504"/>
        <v>45491</v>
      </c>
      <c r="F4965" s="521"/>
      <c r="G4965" s="219" t="s">
        <v>1245</v>
      </c>
      <c r="H4965" s="220"/>
      <c r="I4965" s="220" t="s">
        <v>1253</v>
      </c>
      <c r="J4965" s="216" t="s">
        <v>153</v>
      </c>
      <c r="K4965" s="221"/>
      <c r="L4965" s="221">
        <f>K4964</f>
        <v>4124.76</v>
      </c>
    </row>
    <row r="4966" spans="1:13" ht="11.25" customHeight="1" x14ac:dyDescent="0.2">
      <c r="A4966" s="312">
        <v>2024</v>
      </c>
      <c r="B4966" s="312">
        <v>7</v>
      </c>
      <c r="C4966" s="312">
        <v>18</v>
      </c>
      <c r="D4966" s="313">
        <f t="shared" si="502"/>
        <v>45491</v>
      </c>
      <c r="E4966" s="314">
        <f t="shared" si="504"/>
        <v>45491</v>
      </c>
      <c r="F4966" s="522" t="s">
        <v>1477</v>
      </c>
      <c r="G4966" s="315" t="s">
        <v>1245</v>
      </c>
      <c r="H4966" s="316"/>
      <c r="I4966" s="316" t="s">
        <v>1253</v>
      </c>
      <c r="J4966" s="312" t="s">
        <v>1460</v>
      </c>
      <c r="K4966" s="317">
        <v>334517</v>
      </c>
      <c r="L4966" s="317"/>
    </row>
    <row r="4967" spans="1:13" ht="11.25" customHeight="1" x14ac:dyDescent="0.2">
      <c r="A4967" s="318">
        <v>2024</v>
      </c>
      <c r="B4967" s="318">
        <v>7</v>
      </c>
      <c r="C4967" s="318">
        <v>18</v>
      </c>
      <c r="D4967" s="319">
        <f t="shared" si="502"/>
        <v>45491</v>
      </c>
      <c r="E4967" s="320">
        <f t="shared" si="504"/>
        <v>45491</v>
      </c>
      <c r="F4967" s="523"/>
      <c r="G4967" s="321" t="s">
        <v>1245</v>
      </c>
      <c r="H4967" s="322"/>
      <c r="I4967" s="322" t="s">
        <v>1253</v>
      </c>
      <c r="J4967" s="318" t="s">
        <v>1458</v>
      </c>
      <c r="K4967" s="323"/>
      <c r="L4967" s="323">
        <f>K4966</f>
        <v>334517</v>
      </c>
    </row>
    <row r="4968" spans="1:13" ht="11.25" customHeight="1" x14ac:dyDescent="0.2">
      <c r="A4968" s="312">
        <v>2024</v>
      </c>
      <c r="B4968" s="312">
        <v>7</v>
      </c>
      <c r="C4968" s="312">
        <v>18</v>
      </c>
      <c r="D4968" s="313">
        <f t="shared" si="502"/>
        <v>45491</v>
      </c>
      <c r="E4968" s="314">
        <f t="shared" si="504"/>
        <v>45491</v>
      </c>
      <c r="F4968" s="522" t="s">
        <v>1595</v>
      </c>
      <c r="G4968" s="315" t="s">
        <v>1245</v>
      </c>
      <c r="H4968" s="316"/>
      <c r="I4968" s="316" t="s">
        <v>1253</v>
      </c>
      <c r="J4968" s="312" t="s">
        <v>1461</v>
      </c>
      <c r="K4968" s="317">
        <v>194484.07000000775</v>
      </c>
      <c r="L4968" s="317"/>
    </row>
    <row r="4969" spans="1:13" ht="11.25" customHeight="1" x14ac:dyDescent="0.2">
      <c r="A4969" s="318">
        <v>2024</v>
      </c>
      <c r="B4969" s="318">
        <v>7</v>
      </c>
      <c r="C4969" s="318">
        <v>18</v>
      </c>
      <c r="D4969" s="319">
        <f t="shared" si="502"/>
        <v>45491</v>
      </c>
      <c r="E4969" s="320">
        <f t="shared" si="504"/>
        <v>45491</v>
      </c>
      <c r="F4969" s="523"/>
      <c r="G4969" s="321" t="s">
        <v>1245</v>
      </c>
      <c r="H4969" s="322"/>
      <c r="I4969" s="322" t="s">
        <v>1253</v>
      </c>
      <c r="J4969" s="318" t="s">
        <v>1459</v>
      </c>
      <c r="K4969" s="323"/>
      <c r="L4969" s="323">
        <f>K4968</f>
        <v>194484.07000000775</v>
      </c>
    </row>
    <row r="4970" spans="1:13" ht="11.25" customHeight="1" x14ac:dyDescent="0.2">
      <c r="A4970" s="222">
        <v>2024</v>
      </c>
      <c r="B4970" s="222">
        <v>7</v>
      </c>
      <c r="C4970" s="222">
        <v>18</v>
      </c>
      <c r="D4970" s="223">
        <f t="shared" si="502"/>
        <v>45491</v>
      </c>
      <c r="E4970" s="240">
        <f t="shared" si="504"/>
        <v>45491</v>
      </c>
      <c r="F4970" s="511" t="s">
        <v>1244</v>
      </c>
      <c r="G4970" s="225" t="s">
        <v>1245</v>
      </c>
      <c r="H4970" s="226"/>
      <c r="I4970" s="226" t="s">
        <v>1253</v>
      </c>
      <c r="J4970" s="222" t="s">
        <v>87</v>
      </c>
      <c r="K4970" s="227">
        <v>7845</v>
      </c>
      <c r="L4970" s="227"/>
    </row>
    <row r="4971" spans="1:13" ht="11.25" customHeight="1" x14ac:dyDescent="0.2">
      <c r="A4971" s="228">
        <v>2024</v>
      </c>
      <c r="B4971" s="228">
        <v>7</v>
      </c>
      <c r="C4971" s="228">
        <v>18</v>
      </c>
      <c r="D4971" s="229">
        <f t="shared" si="502"/>
        <v>45491</v>
      </c>
      <c r="E4971" s="241">
        <f t="shared" si="504"/>
        <v>45491</v>
      </c>
      <c r="F4971" s="512"/>
      <c r="G4971" s="231" t="s">
        <v>1245</v>
      </c>
      <c r="H4971" s="232"/>
      <c r="I4971" s="232" t="s">
        <v>1253</v>
      </c>
      <c r="J4971" s="228" t="s">
        <v>72</v>
      </c>
      <c r="K4971" s="233"/>
      <c r="L4971" s="233">
        <f>K4970</f>
        <v>7845</v>
      </c>
    </row>
    <row r="4972" spans="1:13" ht="11.25" customHeight="1" x14ac:dyDescent="0.2">
      <c r="A4972" s="222">
        <v>2024</v>
      </c>
      <c r="B4972" s="222">
        <v>7</v>
      </c>
      <c r="C4972" s="222">
        <v>18</v>
      </c>
      <c r="D4972" s="223">
        <f t="shared" si="502"/>
        <v>45491</v>
      </c>
      <c r="E4972" s="240">
        <f t="shared" si="504"/>
        <v>45491</v>
      </c>
      <c r="F4972" s="511" t="s">
        <v>1246</v>
      </c>
      <c r="G4972" s="225" t="s">
        <v>1245</v>
      </c>
      <c r="H4972" s="226"/>
      <c r="I4972" s="226" t="s">
        <v>1253</v>
      </c>
      <c r="J4972" s="222" t="s">
        <v>75</v>
      </c>
      <c r="K4972" s="227">
        <v>3623.123846153846</v>
      </c>
      <c r="L4972" s="227"/>
    </row>
    <row r="4973" spans="1:13" ht="11.25" customHeight="1" x14ac:dyDescent="0.2">
      <c r="A4973" s="228">
        <v>2024</v>
      </c>
      <c r="B4973" s="228">
        <v>7</v>
      </c>
      <c r="C4973" s="228">
        <v>18</v>
      </c>
      <c r="D4973" s="229">
        <f t="shared" si="502"/>
        <v>45491</v>
      </c>
      <c r="E4973" s="241">
        <f t="shared" si="504"/>
        <v>45491</v>
      </c>
      <c r="F4973" s="512"/>
      <c r="G4973" s="231" t="s">
        <v>1245</v>
      </c>
      <c r="H4973" s="232"/>
      <c r="I4973" s="232" t="s">
        <v>1253</v>
      </c>
      <c r="J4973" s="228" t="s">
        <v>55</v>
      </c>
      <c r="K4973" s="233"/>
      <c r="L4973" s="233">
        <v>3623.123846153846</v>
      </c>
    </row>
    <row r="4974" spans="1:13" ht="11.25" customHeight="1" x14ac:dyDescent="0.2">
      <c r="A4974" s="222">
        <v>2024</v>
      </c>
      <c r="B4974" s="222">
        <v>7</v>
      </c>
      <c r="C4974" s="222">
        <v>18</v>
      </c>
      <c r="D4974" s="223">
        <f t="shared" ref="D4974:D5035" si="505">DATE(A4974,B4974,C4974)</f>
        <v>45491</v>
      </c>
      <c r="E4974" s="240">
        <f t="shared" si="504"/>
        <v>45491</v>
      </c>
      <c r="F4974" s="511" t="s">
        <v>1247</v>
      </c>
      <c r="G4974" s="225" t="s">
        <v>1245</v>
      </c>
      <c r="H4974" s="226"/>
      <c r="I4974" s="226" t="s">
        <v>1253</v>
      </c>
      <c r="J4974" s="222" t="s">
        <v>77</v>
      </c>
      <c r="K4974" s="227">
        <f>M4974</f>
        <v>34281.03174359673</v>
      </c>
      <c r="L4974" s="227"/>
      <c r="M4974" s="120">
        <v>34281.03174359673</v>
      </c>
    </row>
    <row r="4975" spans="1:13" ht="11.25" customHeight="1" x14ac:dyDescent="0.2">
      <c r="A4975" s="228">
        <v>2024</v>
      </c>
      <c r="B4975" s="228">
        <v>7</v>
      </c>
      <c r="C4975" s="228">
        <v>18</v>
      </c>
      <c r="D4975" s="229">
        <f t="shared" si="505"/>
        <v>45491</v>
      </c>
      <c r="E4975" s="241">
        <f t="shared" si="504"/>
        <v>45491</v>
      </c>
      <c r="F4975" s="512"/>
      <c r="G4975" s="231" t="s">
        <v>1245</v>
      </c>
      <c r="H4975" s="232"/>
      <c r="I4975" s="232" t="s">
        <v>1253</v>
      </c>
      <c r="J4975" s="228" t="s">
        <v>41</v>
      </c>
      <c r="K4975" s="233"/>
      <c r="L4975" s="233">
        <f>K4974</f>
        <v>34281.03174359673</v>
      </c>
      <c r="M4975" s="120">
        <v>3428.1031743596732</v>
      </c>
    </row>
    <row r="4976" spans="1:13" ht="11.25" customHeight="1" x14ac:dyDescent="0.2">
      <c r="A4976" s="222">
        <v>2024</v>
      </c>
      <c r="B4976" s="222">
        <v>7</v>
      </c>
      <c r="C4976" s="222">
        <v>18</v>
      </c>
      <c r="D4976" s="223">
        <f t="shared" si="505"/>
        <v>45491</v>
      </c>
      <c r="E4976" s="240">
        <f t="shared" si="504"/>
        <v>45491</v>
      </c>
      <c r="F4976" s="511" t="s">
        <v>1248</v>
      </c>
      <c r="G4976" s="225" t="s">
        <v>1245</v>
      </c>
      <c r="H4976" s="226"/>
      <c r="I4976" s="226" t="s">
        <v>1253</v>
      </c>
      <c r="J4976" s="222" t="s">
        <v>80</v>
      </c>
      <c r="K4976" s="227">
        <f>M4975</f>
        <v>3428.1031743596732</v>
      </c>
      <c r="L4976" s="227"/>
    </row>
    <row r="4977" spans="1:15" x14ac:dyDescent="0.2">
      <c r="A4977" s="228">
        <v>2024</v>
      </c>
      <c r="B4977" s="228">
        <v>7</v>
      </c>
      <c r="C4977" s="228">
        <v>18</v>
      </c>
      <c r="D4977" s="229">
        <f t="shared" si="505"/>
        <v>45491</v>
      </c>
      <c r="E4977" s="241">
        <f t="shared" si="504"/>
        <v>45491</v>
      </c>
      <c r="F4977" s="512"/>
      <c r="G4977" s="231" t="s">
        <v>1245</v>
      </c>
      <c r="H4977" s="232"/>
      <c r="I4977" s="232" t="s">
        <v>1253</v>
      </c>
      <c r="J4977" s="228" t="s">
        <v>42</v>
      </c>
      <c r="K4977" s="233"/>
      <c r="L4977" s="233">
        <f>K4976</f>
        <v>3428.1031743596732</v>
      </c>
    </row>
    <row r="4978" spans="1:15" ht="11.25" customHeight="1" x14ac:dyDescent="0.2">
      <c r="A4978" s="197">
        <v>2024</v>
      </c>
      <c r="B4978" s="197">
        <v>7</v>
      </c>
      <c r="C4978" s="197">
        <v>24</v>
      </c>
      <c r="D4978" s="198">
        <f t="shared" si="505"/>
        <v>45497</v>
      </c>
      <c r="E4978" s="209">
        <f t="shared" si="504"/>
        <v>45497</v>
      </c>
      <c r="F4978" s="513" t="s">
        <v>1280</v>
      </c>
      <c r="G4978" s="200" t="s">
        <v>1209</v>
      </c>
      <c r="H4978" s="201"/>
      <c r="I4978" s="201" t="s">
        <v>355</v>
      </c>
      <c r="J4978" s="197" t="s">
        <v>16</v>
      </c>
      <c r="K4978" s="202">
        <v>350000</v>
      </c>
      <c r="L4978" s="202"/>
    </row>
    <row r="4979" spans="1:15" ht="11.25" customHeight="1" x14ac:dyDescent="0.2">
      <c r="A4979" s="120">
        <v>2024</v>
      </c>
      <c r="B4979" s="120">
        <v>7</v>
      </c>
      <c r="C4979" s="120">
        <v>24</v>
      </c>
      <c r="D4979" s="208">
        <f t="shared" si="505"/>
        <v>45497</v>
      </c>
      <c r="E4979" s="209">
        <f t="shared" si="504"/>
        <v>45497</v>
      </c>
      <c r="F4979" s="515"/>
      <c r="G4979" s="132" t="s">
        <v>1209</v>
      </c>
      <c r="I4979" s="128" t="s">
        <v>355</v>
      </c>
      <c r="J4979" s="120" t="s">
        <v>47</v>
      </c>
      <c r="K4979" s="207">
        <v>43435</v>
      </c>
      <c r="L4979" s="207"/>
    </row>
    <row r="4980" spans="1:15" ht="11.25" customHeight="1" x14ac:dyDescent="0.2">
      <c r="A4980" s="191">
        <v>2024</v>
      </c>
      <c r="B4980" s="191">
        <v>7</v>
      </c>
      <c r="C4980" s="191">
        <v>24</v>
      </c>
      <c r="D4980" s="192">
        <f t="shared" si="505"/>
        <v>45497</v>
      </c>
      <c r="E4980" s="193">
        <f t="shared" si="504"/>
        <v>45497</v>
      </c>
      <c r="F4980" s="514"/>
      <c r="G4980" s="194" t="s">
        <v>1209</v>
      </c>
      <c r="H4980" s="195"/>
      <c r="I4980" s="195" t="s">
        <v>355</v>
      </c>
      <c r="J4980" s="191" t="s">
        <v>46</v>
      </c>
      <c r="K4980" s="196"/>
      <c r="L4980" s="196">
        <v>393435</v>
      </c>
    </row>
    <row r="4981" spans="1:15" ht="11.25" customHeight="1" x14ac:dyDescent="0.2">
      <c r="A4981" s="197">
        <v>2024</v>
      </c>
      <c r="B4981" s="197">
        <v>7</v>
      </c>
      <c r="C4981" s="197">
        <v>24</v>
      </c>
      <c r="D4981" s="198">
        <f t="shared" si="505"/>
        <v>45497</v>
      </c>
      <c r="E4981" s="290">
        <f t="shared" si="504"/>
        <v>45497</v>
      </c>
      <c r="F4981" s="513" t="s">
        <v>1514</v>
      </c>
      <c r="G4981" s="200" t="s">
        <v>1209</v>
      </c>
      <c r="H4981" s="201"/>
      <c r="I4981" s="201"/>
      <c r="J4981" s="197" t="s">
        <v>54</v>
      </c>
      <c r="K4981" s="202">
        <v>58</v>
      </c>
      <c r="L4981" s="202"/>
      <c r="M4981" s="251"/>
      <c r="N4981" s="251"/>
      <c r="O4981" s="251"/>
    </row>
    <row r="4982" spans="1:15" ht="11.25" customHeight="1" x14ac:dyDescent="0.2">
      <c r="A4982" s="191">
        <v>2024</v>
      </c>
      <c r="B4982" s="191">
        <v>7</v>
      </c>
      <c r="C4982" s="191">
        <v>24</v>
      </c>
      <c r="D4982" s="192">
        <f t="shared" si="505"/>
        <v>45497</v>
      </c>
      <c r="E4982" s="291">
        <f t="shared" si="504"/>
        <v>45497</v>
      </c>
      <c r="F4982" s="514"/>
      <c r="G4982" s="194" t="s">
        <v>1209</v>
      </c>
      <c r="H4982" s="195"/>
      <c r="I4982" s="195"/>
      <c r="J4982" s="191" t="s">
        <v>46</v>
      </c>
      <c r="K4982" s="196"/>
      <c r="L4982" s="196">
        <v>58</v>
      </c>
      <c r="M4982" s="251"/>
      <c r="N4982" s="251"/>
      <c r="O4982" s="251"/>
    </row>
    <row r="4983" spans="1:15" ht="11.25" customHeight="1" x14ac:dyDescent="0.2">
      <c r="A4983" s="197">
        <v>2024</v>
      </c>
      <c r="B4983" s="197">
        <v>7</v>
      </c>
      <c r="C4983" s="197">
        <v>24</v>
      </c>
      <c r="D4983" s="198">
        <f t="shared" si="505"/>
        <v>45497</v>
      </c>
      <c r="E4983" s="199">
        <f t="shared" si="504"/>
        <v>45497</v>
      </c>
      <c r="F4983" s="513" t="s">
        <v>1851</v>
      </c>
      <c r="G4983" s="200" t="s">
        <v>1209</v>
      </c>
      <c r="H4983" s="201"/>
      <c r="I4983" s="201" t="s">
        <v>1253</v>
      </c>
      <c r="J4983" s="197" t="s">
        <v>46</v>
      </c>
      <c r="K4983" s="202">
        <v>15000000</v>
      </c>
      <c r="L4983" s="202"/>
    </row>
    <row r="4984" spans="1:15" ht="11.25" customHeight="1" x14ac:dyDescent="0.2">
      <c r="A4984" s="120">
        <v>2024</v>
      </c>
      <c r="B4984" s="120">
        <v>7</v>
      </c>
      <c r="C4984" s="120">
        <v>24</v>
      </c>
      <c r="D4984" s="208">
        <f t="shared" si="505"/>
        <v>45497</v>
      </c>
      <c r="E4984" s="209">
        <f t="shared" si="504"/>
        <v>45497</v>
      </c>
      <c r="F4984" s="515"/>
      <c r="G4984" s="132" t="s">
        <v>1209</v>
      </c>
      <c r="J4984" s="120" t="s">
        <v>1462</v>
      </c>
      <c r="K4984" s="328"/>
      <c r="L4984" s="207">
        <v>182355</v>
      </c>
    </row>
    <row r="4985" spans="1:15" ht="11.25" customHeight="1" x14ac:dyDescent="0.2">
      <c r="A4985" s="191">
        <v>2024</v>
      </c>
      <c r="B4985" s="191">
        <v>7</v>
      </c>
      <c r="C4985" s="191">
        <v>24</v>
      </c>
      <c r="D4985" s="192">
        <f t="shared" si="505"/>
        <v>45497</v>
      </c>
      <c r="E4985" s="193">
        <f t="shared" si="504"/>
        <v>45497</v>
      </c>
      <c r="F4985" s="514"/>
      <c r="G4985" s="194" t="s">
        <v>1209</v>
      </c>
      <c r="H4985" s="195"/>
      <c r="I4985" s="195" t="s">
        <v>1253</v>
      </c>
      <c r="J4985" s="191" t="s">
        <v>1455</v>
      </c>
      <c r="K4985" s="196"/>
      <c r="L4985" s="196">
        <v>14817645</v>
      </c>
      <c r="N4985" s="130"/>
    </row>
    <row r="4986" spans="1:15" ht="11.25" customHeight="1" x14ac:dyDescent="0.2">
      <c r="A4986" s="197">
        <v>2024</v>
      </c>
      <c r="B4986" s="197">
        <v>7</v>
      </c>
      <c r="C4986" s="197">
        <v>25</v>
      </c>
      <c r="D4986" s="198">
        <f t="shared" si="505"/>
        <v>45498</v>
      </c>
      <c r="E4986" s="209">
        <f t="shared" si="504"/>
        <v>45498</v>
      </c>
      <c r="F4986" s="513" t="s">
        <v>1280</v>
      </c>
      <c r="G4986" s="200" t="s">
        <v>1209</v>
      </c>
      <c r="H4986" s="201"/>
      <c r="I4986" s="201" t="s">
        <v>1619</v>
      </c>
      <c r="J4986" s="197" t="s">
        <v>16</v>
      </c>
      <c r="K4986" s="202">
        <v>2701500</v>
      </c>
      <c r="L4986" s="202"/>
    </row>
    <row r="4987" spans="1:15" ht="11.25" customHeight="1" x14ac:dyDescent="0.2">
      <c r="A4987" s="120">
        <v>2024</v>
      </c>
      <c r="B4987" s="120">
        <v>7</v>
      </c>
      <c r="C4987" s="120">
        <v>25</v>
      </c>
      <c r="D4987" s="208">
        <f t="shared" si="505"/>
        <v>45498</v>
      </c>
      <c r="E4987" s="209">
        <f t="shared" si="504"/>
        <v>45498</v>
      </c>
      <c r="F4987" s="515"/>
      <c r="G4987" s="132" t="s">
        <v>1209</v>
      </c>
      <c r="I4987" s="128" t="s">
        <v>1619</v>
      </c>
      <c r="J4987" s="120" t="s">
        <v>47</v>
      </c>
      <c r="K4987" s="207">
        <v>335256.14999999991</v>
      </c>
      <c r="L4987" s="207"/>
    </row>
    <row r="4988" spans="1:15" ht="11.25" customHeight="1" x14ac:dyDescent="0.2">
      <c r="A4988" s="191">
        <v>2024</v>
      </c>
      <c r="B4988" s="191">
        <v>7</v>
      </c>
      <c r="C4988" s="191">
        <v>25</v>
      </c>
      <c r="D4988" s="192">
        <f t="shared" si="505"/>
        <v>45498</v>
      </c>
      <c r="E4988" s="193">
        <f t="shared" si="504"/>
        <v>45498</v>
      </c>
      <c r="F4988" s="514"/>
      <c r="G4988" s="194" t="s">
        <v>1209</v>
      </c>
      <c r="H4988" s="195"/>
      <c r="I4988" s="195" t="s">
        <v>1619</v>
      </c>
      <c r="J4988" s="191" t="s">
        <v>46</v>
      </c>
      <c r="K4988" s="196"/>
      <c r="L4988" s="196">
        <v>3036756.15</v>
      </c>
    </row>
    <row r="4989" spans="1:15" ht="11.25" customHeight="1" x14ac:dyDescent="0.2">
      <c r="A4989" s="197">
        <v>2024</v>
      </c>
      <c r="B4989" s="197">
        <v>7</v>
      </c>
      <c r="C4989" s="197">
        <v>25</v>
      </c>
      <c r="D4989" s="198">
        <f t="shared" si="505"/>
        <v>45498</v>
      </c>
      <c r="E4989" s="209">
        <f t="shared" si="504"/>
        <v>45498</v>
      </c>
      <c r="F4989" s="513" t="s">
        <v>1210</v>
      </c>
      <c r="G4989" s="200" t="s">
        <v>1209</v>
      </c>
      <c r="H4989" s="201"/>
      <c r="I4989" s="201" t="s">
        <v>1493</v>
      </c>
      <c r="J4989" s="197" t="s">
        <v>46</v>
      </c>
      <c r="K4989" s="202">
        <v>80000</v>
      </c>
      <c r="L4989" s="202"/>
    </row>
    <row r="4990" spans="1:15" ht="11.25" customHeight="1" x14ac:dyDescent="0.2">
      <c r="A4990" s="120">
        <v>2024</v>
      </c>
      <c r="B4990" s="120">
        <v>7</v>
      </c>
      <c r="C4990" s="120">
        <v>25</v>
      </c>
      <c r="D4990" s="208">
        <f t="shared" si="505"/>
        <v>45498</v>
      </c>
      <c r="E4990" s="209">
        <f t="shared" si="504"/>
        <v>45498</v>
      </c>
      <c r="F4990" s="515"/>
      <c r="G4990" s="132" t="s">
        <v>1209</v>
      </c>
      <c r="I4990" s="128" t="s">
        <v>1493</v>
      </c>
      <c r="J4990" s="120" t="s">
        <v>16</v>
      </c>
      <c r="K4990" s="207"/>
      <c r="L4990" s="207">
        <v>71170</v>
      </c>
    </row>
    <row r="4991" spans="1:15" ht="11.25" customHeight="1" x14ac:dyDescent="0.2">
      <c r="A4991" s="191">
        <v>2024</v>
      </c>
      <c r="B4991" s="191">
        <v>7</v>
      </c>
      <c r="C4991" s="191">
        <v>25</v>
      </c>
      <c r="D4991" s="192">
        <f t="shared" si="505"/>
        <v>45498</v>
      </c>
      <c r="E4991" s="193">
        <f t="shared" si="504"/>
        <v>45498</v>
      </c>
      <c r="F4991" s="514"/>
      <c r="G4991" s="194" t="s">
        <v>1209</v>
      </c>
      <c r="H4991" s="195"/>
      <c r="I4991" s="195" t="s">
        <v>1493</v>
      </c>
      <c r="J4991" s="191" t="s">
        <v>47</v>
      </c>
      <c r="K4991" s="196"/>
      <c r="L4991" s="196">
        <v>8830</v>
      </c>
    </row>
    <row r="4992" spans="1:15" ht="11.25" customHeight="1" x14ac:dyDescent="0.2">
      <c r="A4992" s="197">
        <v>2024</v>
      </c>
      <c r="B4992" s="197">
        <v>7</v>
      </c>
      <c r="C4992" s="197">
        <v>25</v>
      </c>
      <c r="D4992" s="198">
        <f t="shared" si="505"/>
        <v>45498</v>
      </c>
      <c r="E4992" s="209">
        <f t="shared" si="504"/>
        <v>45498</v>
      </c>
      <c r="F4992" s="513" t="s">
        <v>1210</v>
      </c>
      <c r="G4992" s="200" t="s">
        <v>1209</v>
      </c>
      <c r="H4992" s="201"/>
      <c r="I4992" s="201" t="s">
        <v>1852</v>
      </c>
      <c r="J4992" s="197" t="s">
        <v>46</v>
      </c>
      <c r="K4992" s="202">
        <v>300000</v>
      </c>
      <c r="L4992" s="202"/>
    </row>
    <row r="4993" spans="1:12" ht="11.25" customHeight="1" x14ac:dyDescent="0.2">
      <c r="A4993" s="120">
        <v>2024</v>
      </c>
      <c r="B4993" s="120">
        <v>7</v>
      </c>
      <c r="C4993" s="120">
        <v>25</v>
      </c>
      <c r="D4993" s="208">
        <f t="shared" si="505"/>
        <v>45498</v>
      </c>
      <c r="E4993" s="209">
        <f t="shared" si="504"/>
        <v>45498</v>
      </c>
      <c r="F4993" s="515"/>
      <c r="G4993" s="132" t="s">
        <v>1209</v>
      </c>
      <c r="I4993" s="128" t="s">
        <v>1852</v>
      </c>
      <c r="J4993" s="120" t="s">
        <v>16</v>
      </c>
      <c r="K4993" s="207"/>
      <c r="L4993" s="207">
        <v>266880</v>
      </c>
    </row>
    <row r="4994" spans="1:12" ht="11.25" customHeight="1" x14ac:dyDescent="0.2">
      <c r="A4994" s="191">
        <v>2024</v>
      </c>
      <c r="B4994" s="191">
        <v>7</v>
      </c>
      <c r="C4994" s="191">
        <v>25</v>
      </c>
      <c r="D4994" s="192">
        <f t="shared" si="505"/>
        <v>45498</v>
      </c>
      <c r="E4994" s="193">
        <f t="shared" si="504"/>
        <v>45498</v>
      </c>
      <c r="F4994" s="514"/>
      <c r="G4994" s="194" t="s">
        <v>1209</v>
      </c>
      <c r="H4994" s="195"/>
      <c r="I4994" s="195" t="s">
        <v>1852</v>
      </c>
      <c r="J4994" s="191" t="s">
        <v>47</v>
      </c>
      <c r="K4994" s="196"/>
      <c r="L4994" s="196">
        <v>33120</v>
      </c>
    </row>
    <row r="4995" spans="1:12" ht="11.25" customHeight="1" x14ac:dyDescent="0.2">
      <c r="A4995" s="382">
        <v>2024</v>
      </c>
      <c r="B4995" s="382">
        <v>7</v>
      </c>
      <c r="C4995" s="382">
        <v>25</v>
      </c>
      <c r="D4995" s="383">
        <f t="shared" si="505"/>
        <v>45498</v>
      </c>
      <c r="E4995" s="384">
        <f t="shared" si="504"/>
        <v>45498</v>
      </c>
      <c r="F4995" s="516" t="s">
        <v>1850</v>
      </c>
      <c r="G4995" s="385" t="s">
        <v>1209</v>
      </c>
      <c r="H4995" s="386"/>
      <c r="I4995" s="386"/>
      <c r="J4995" s="387" t="s">
        <v>81</v>
      </c>
      <c r="K4995" s="388">
        <v>6973.2450980392159</v>
      </c>
      <c r="L4995" s="388"/>
    </row>
    <row r="4996" spans="1:12" ht="11.25" customHeight="1" x14ac:dyDescent="0.2">
      <c r="A4996" s="389">
        <v>2024</v>
      </c>
      <c r="B4996" s="389">
        <v>7</v>
      </c>
      <c r="C4996" s="389">
        <v>25</v>
      </c>
      <c r="D4996" s="390">
        <f t="shared" si="505"/>
        <v>45498</v>
      </c>
      <c r="E4996" s="391">
        <f t="shared" si="504"/>
        <v>45498</v>
      </c>
      <c r="F4996" s="517"/>
      <c r="G4996" s="392" t="s">
        <v>1209</v>
      </c>
      <c r="H4996" s="393"/>
      <c r="I4996" s="393"/>
      <c r="J4996" s="394" t="s">
        <v>1847</v>
      </c>
      <c r="K4996" s="388"/>
      <c r="L4996" s="388">
        <v>6973.2450980392159</v>
      </c>
    </row>
    <row r="4997" spans="1:12" ht="11.25" customHeight="1" x14ac:dyDescent="0.2">
      <c r="A4997" s="344">
        <v>2024</v>
      </c>
      <c r="B4997" s="344">
        <v>7</v>
      </c>
      <c r="C4997" s="344">
        <v>25</v>
      </c>
      <c r="D4997" s="345">
        <f t="shared" si="505"/>
        <v>45498</v>
      </c>
      <c r="E4997" s="346">
        <f t="shared" si="504"/>
        <v>45498</v>
      </c>
      <c r="F4997" s="518" t="s">
        <v>1621</v>
      </c>
      <c r="G4997" s="347" t="s">
        <v>1245</v>
      </c>
      <c r="H4997" s="348"/>
      <c r="I4997" s="348" t="s">
        <v>1253</v>
      </c>
      <c r="J4997" s="344" t="s">
        <v>113</v>
      </c>
      <c r="K4997" s="349">
        <v>229134.61538461523</v>
      </c>
      <c r="L4997" s="349"/>
    </row>
    <row r="4998" spans="1:12" ht="11.25" customHeight="1" x14ac:dyDescent="0.2">
      <c r="A4998" s="350">
        <v>2024</v>
      </c>
      <c r="B4998" s="350">
        <v>7</v>
      </c>
      <c r="C4998" s="350">
        <v>25</v>
      </c>
      <c r="D4998" s="351">
        <f t="shared" si="505"/>
        <v>45498</v>
      </c>
      <c r="E4998" s="352">
        <f t="shared" si="504"/>
        <v>45498</v>
      </c>
      <c r="F4998" s="519"/>
      <c r="G4998" s="353" t="s">
        <v>1245</v>
      </c>
      <c r="H4998" s="354"/>
      <c r="I4998" s="354" t="s">
        <v>1253</v>
      </c>
      <c r="J4998" s="350" t="s">
        <v>153</v>
      </c>
      <c r="K4998" s="355"/>
      <c r="L4998" s="355">
        <f>K4997</f>
        <v>229134.61538461523</v>
      </c>
    </row>
    <row r="4999" spans="1:12" ht="11.25" customHeight="1" x14ac:dyDescent="0.2">
      <c r="A4999" s="210">
        <v>2024</v>
      </c>
      <c r="B4999" s="210">
        <v>7</v>
      </c>
      <c r="C4999" s="210">
        <v>25</v>
      </c>
      <c r="D4999" s="211">
        <f t="shared" si="505"/>
        <v>45498</v>
      </c>
      <c r="E4999" s="238">
        <f t="shared" si="504"/>
        <v>45498</v>
      </c>
      <c r="F4999" s="520" t="s">
        <v>1278</v>
      </c>
      <c r="G4999" s="213" t="s">
        <v>1245</v>
      </c>
      <c r="H4999" s="214"/>
      <c r="I4999" s="214" t="s">
        <v>1253</v>
      </c>
      <c r="J4999" s="210" t="s">
        <v>1529</v>
      </c>
      <c r="K4999" s="215">
        <v>6129.69</v>
      </c>
      <c r="L4999" s="215"/>
    </row>
    <row r="5000" spans="1:12" ht="11.25" customHeight="1" x14ac:dyDescent="0.2">
      <c r="A5000" s="216">
        <v>2024</v>
      </c>
      <c r="B5000" s="216">
        <v>7</v>
      </c>
      <c r="C5000" s="216">
        <v>25</v>
      </c>
      <c r="D5000" s="217">
        <f t="shared" si="505"/>
        <v>45498</v>
      </c>
      <c r="E5000" s="239">
        <f t="shared" si="504"/>
        <v>45498</v>
      </c>
      <c r="F5000" s="521"/>
      <c r="G5000" s="219" t="s">
        <v>1245</v>
      </c>
      <c r="H5000" s="220"/>
      <c r="I5000" s="220" t="s">
        <v>1253</v>
      </c>
      <c r="J5000" s="216" t="s">
        <v>1581</v>
      </c>
      <c r="K5000" s="221"/>
      <c r="L5000" s="221">
        <v>6129.69</v>
      </c>
    </row>
    <row r="5001" spans="1:12" ht="11.25" customHeight="1" x14ac:dyDescent="0.2">
      <c r="A5001" s="210">
        <v>2024</v>
      </c>
      <c r="B5001" s="210">
        <v>7</v>
      </c>
      <c r="C5001" s="210">
        <v>25</v>
      </c>
      <c r="D5001" s="211">
        <f t="shared" si="505"/>
        <v>45498</v>
      </c>
      <c r="E5001" s="238">
        <f t="shared" si="504"/>
        <v>45498</v>
      </c>
      <c r="F5001" s="520" t="s">
        <v>1285</v>
      </c>
      <c r="G5001" s="213" t="s">
        <v>1245</v>
      </c>
      <c r="H5001" s="214"/>
      <c r="I5001" s="214" t="s">
        <v>1253</v>
      </c>
      <c r="J5001" s="210" t="s">
        <v>1284</v>
      </c>
      <c r="K5001" s="215">
        <v>10290.504807692299</v>
      </c>
      <c r="L5001" s="215"/>
    </row>
    <row r="5002" spans="1:12" ht="11.25" customHeight="1" x14ac:dyDescent="0.2">
      <c r="A5002" s="242">
        <v>2024</v>
      </c>
      <c r="B5002" s="242">
        <v>7</v>
      </c>
      <c r="C5002" s="242">
        <v>25</v>
      </c>
      <c r="D5002" s="243">
        <f t="shared" si="505"/>
        <v>45498</v>
      </c>
      <c r="E5002" s="244">
        <f>DATE(A5002,B5002,C5002)</f>
        <v>45498</v>
      </c>
      <c r="F5002" s="524"/>
      <c r="G5002" s="245" t="s">
        <v>1245</v>
      </c>
      <c r="H5002" s="246"/>
      <c r="I5002" s="246"/>
      <c r="J5002" s="242" t="s">
        <v>1582</v>
      </c>
      <c r="K5002" s="247"/>
      <c r="L5002" s="247">
        <v>10290.504807692299</v>
      </c>
    </row>
    <row r="5003" spans="1:12" ht="11.25" customHeight="1" x14ac:dyDescent="0.2">
      <c r="A5003" s="210">
        <v>2024</v>
      </c>
      <c r="B5003" s="210">
        <v>7</v>
      </c>
      <c r="C5003" s="210">
        <v>25</v>
      </c>
      <c r="D5003" s="211">
        <f t="shared" si="505"/>
        <v>45498</v>
      </c>
      <c r="E5003" s="238">
        <f t="shared" ref="E5003:E5064" si="506">DATE(A5003,B5003,C5003)</f>
        <v>45498</v>
      </c>
      <c r="F5003" s="520" t="s">
        <v>1259</v>
      </c>
      <c r="G5003" s="213" t="s">
        <v>1245</v>
      </c>
      <c r="H5003" s="214"/>
      <c r="I5003" s="214" t="s">
        <v>1253</v>
      </c>
      <c r="J5003" s="210" t="s">
        <v>58</v>
      </c>
      <c r="K5003" s="215">
        <v>14407.99</v>
      </c>
      <c r="L5003" s="215"/>
    </row>
    <row r="5004" spans="1:12" ht="11.25" customHeight="1" x14ac:dyDescent="0.2">
      <c r="A5004" s="216">
        <v>2024</v>
      </c>
      <c r="B5004" s="216">
        <v>7</v>
      </c>
      <c r="C5004" s="216">
        <v>25</v>
      </c>
      <c r="D5004" s="217">
        <f t="shared" si="505"/>
        <v>45498</v>
      </c>
      <c r="E5004" s="239">
        <f t="shared" si="506"/>
        <v>45498</v>
      </c>
      <c r="F5004" s="521"/>
      <c r="G5004" s="219" t="s">
        <v>1245</v>
      </c>
      <c r="H5004" s="220"/>
      <c r="I5004" s="220" t="s">
        <v>1253</v>
      </c>
      <c r="J5004" s="216" t="s">
        <v>153</v>
      </c>
      <c r="K5004" s="221"/>
      <c r="L5004" s="221">
        <f>K5003</f>
        <v>14407.99</v>
      </c>
    </row>
    <row r="5005" spans="1:12" ht="11.25" customHeight="1" x14ac:dyDescent="0.2">
      <c r="A5005" s="312">
        <v>2024</v>
      </c>
      <c r="B5005" s="312">
        <v>7</v>
      </c>
      <c r="C5005" s="312">
        <v>25</v>
      </c>
      <c r="D5005" s="313">
        <f t="shared" si="505"/>
        <v>45498</v>
      </c>
      <c r="E5005" s="314">
        <f t="shared" si="506"/>
        <v>45498</v>
      </c>
      <c r="F5005" s="522" t="s">
        <v>1477</v>
      </c>
      <c r="G5005" s="315" t="s">
        <v>1245</v>
      </c>
      <c r="H5005" s="316"/>
      <c r="I5005" s="316" t="s">
        <v>1253</v>
      </c>
      <c r="J5005" s="312" t="s">
        <v>1460</v>
      </c>
      <c r="K5005" s="317">
        <v>125394</v>
      </c>
      <c r="L5005" s="317"/>
    </row>
    <row r="5006" spans="1:12" ht="11.25" customHeight="1" x14ac:dyDescent="0.2">
      <c r="A5006" s="318">
        <v>2024</v>
      </c>
      <c r="B5006" s="318">
        <v>7</v>
      </c>
      <c r="C5006" s="318">
        <v>25</v>
      </c>
      <c r="D5006" s="319">
        <f t="shared" si="505"/>
        <v>45498</v>
      </c>
      <c r="E5006" s="320">
        <f t="shared" si="506"/>
        <v>45498</v>
      </c>
      <c r="F5006" s="523"/>
      <c r="G5006" s="321" t="s">
        <v>1245</v>
      </c>
      <c r="H5006" s="322"/>
      <c r="I5006" s="322" t="s">
        <v>1253</v>
      </c>
      <c r="J5006" s="318" t="s">
        <v>1458</v>
      </c>
      <c r="K5006" s="323"/>
      <c r="L5006" s="323">
        <f>K5005</f>
        <v>125394</v>
      </c>
    </row>
    <row r="5007" spans="1:12" ht="11.25" customHeight="1" x14ac:dyDescent="0.2">
      <c r="A5007" s="312">
        <v>2024</v>
      </c>
      <c r="B5007" s="312">
        <v>7</v>
      </c>
      <c r="C5007" s="312">
        <v>25</v>
      </c>
      <c r="D5007" s="313">
        <f t="shared" si="505"/>
        <v>45498</v>
      </c>
      <c r="E5007" s="314">
        <f t="shared" si="506"/>
        <v>45498</v>
      </c>
      <c r="F5007" s="522" t="s">
        <v>1595</v>
      </c>
      <c r="G5007" s="315" t="s">
        <v>1245</v>
      </c>
      <c r="H5007" s="316"/>
      <c r="I5007" s="316" t="s">
        <v>1253</v>
      </c>
      <c r="J5007" s="312" t="s">
        <v>1461</v>
      </c>
      <c r="K5007" s="317">
        <v>194893.30999998748</v>
      </c>
      <c r="L5007" s="317"/>
    </row>
    <row r="5008" spans="1:12" ht="11.25" customHeight="1" x14ac:dyDescent="0.2">
      <c r="A5008" s="318">
        <v>2024</v>
      </c>
      <c r="B5008" s="318">
        <v>7</v>
      </c>
      <c r="C5008" s="318">
        <v>25</v>
      </c>
      <c r="D5008" s="319">
        <f t="shared" si="505"/>
        <v>45498</v>
      </c>
      <c r="E5008" s="320">
        <f t="shared" si="506"/>
        <v>45498</v>
      </c>
      <c r="F5008" s="523"/>
      <c r="G5008" s="321" t="s">
        <v>1245</v>
      </c>
      <c r="H5008" s="322"/>
      <c r="I5008" s="322" t="s">
        <v>1253</v>
      </c>
      <c r="J5008" s="318" t="s">
        <v>1459</v>
      </c>
      <c r="K5008" s="323"/>
      <c r="L5008" s="323">
        <f>K5007</f>
        <v>194893.30999998748</v>
      </c>
    </row>
    <row r="5009" spans="1:13" ht="11.25" customHeight="1" x14ac:dyDescent="0.2">
      <c r="A5009" s="222">
        <v>2024</v>
      </c>
      <c r="B5009" s="222">
        <v>7</v>
      </c>
      <c r="C5009" s="222">
        <v>25</v>
      </c>
      <c r="D5009" s="223">
        <f t="shared" si="505"/>
        <v>45498</v>
      </c>
      <c r="E5009" s="240">
        <f t="shared" si="506"/>
        <v>45498</v>
      </c>
      <c r="F5009" s="511" t="s">
        <v>1244</v>
      </c>
      <c r="G5009" s="225" t="s">
        <v>1245</v>
      </c>
      <c r="H5009" s="226"/>
      <c r="I5009" s="226" t="s">
        <v>1253</v>
      </c>
      <c r="J5009" s="222" t="s">
        <v>87</v>
      </c>
      <c r="K5009" s="227">
        <v>7845</v>
      </c>
      <c r="L5009" s="227"/>
    </row>
    <row r="5010" spans="1:13" ht="11.25" customHeight="1" x14ac:dyDescent="0.2">
      <c r="A5010" s="228">
        <v>2024</v>
      </c>
      <c r="B5010" s="228">
        <v>7</v>
      </c>
      <c r="C5010" s="228">
        <v>25</v>
      </c>
      <c r="D5010" s="229">
        <f t="shared" si="505"/>
        <v>45498</v>
      </c>
      <c r="E5010" s="241">
        <f t="shared" si="506"/>
        <v>45498</v>
      </c>
      <c r="F5010" s="512"/>
      <c r="G5010" s="231" t="s">
        <v>1245</v>
      </c>
      <c r="H5010" s="232"/>
      <c r="I5010" s="232" t="s">
        <v>1253</v>
      </c>
      <c r="J5010" s="228" t="s">
        <v>72</v>
      </c>
      <c r="K5010" s="233"/>
      <c r="L5010" s="233">
        <f>K5009</f>
        <v>7845</v>
      </c>
    </row>
    <row r="5011" spans="1:13" ht="11.25" customHeight="1" x14ac:dyDescent="0.2">
      <c r="A5011" s="222">
        <v>2024</v>
      </c>
      <c r="B5011" s="222">
        <v>7</v>
      </c>
      <c r="C5011" s="222">
        <v>25</v>
      </c>
      <c r="D5011" s="223">
        <f t="shared" si="505"/>
        <v>45498</v>
      </c>
      <c r="E5011" s="240">
        <f t="shared" si="506"/>
        <v>45498</v>
      </c>
      <c r="F5011" s="511" t="s">
        <v>1246</v>
      </c>
      <c r="G5011" s="225" t="s">
        <v>1245</v>
      </c>
      <c r="H5011" s="226"/>
      <c r="I5011" s="226" t="s">
        <v>1253</v>
      </c>
      <c r="J5011" s="222" t="s">
        <v>75</v>
      </c>
      <c r="K5011" s="227">
        <v>3623.123846153846</v>
      </c>
      <c r="L5011" s="227"/>
    </row>
    <row r="5012" spans="1:13" ht="11.25" customHeight="1" x14ac:dyDescent="0.2">
      <c r="A5012" s="228">
        <v>2024</v>
      </c>
      <c r="B5012" s="228">
        <v>7</v>
      </c>
      <c r="C5012" s="228">
        <v>25</v>
      </c>
      <c r="D5012" s="229">
        <f t="shared" si="505"/>
        <v>45498</v>
      </c>
      <c r="E5012" s="241">
        <f t="shared" si="506"/>
        <v>45498</v>
      </c>
      <c r="F5012" s="512"/>
      <c r="G5012" s="231" t="s">
        <v>1245</v>
      </c>
      <c r="H5012" s="232"/>
      <c r="I5012" s="232" t="s">
        <v>1253</v>
      </c>
      <c r="J5012" s="228" t="s">
        <v>55</v>
      </c>
      <c r="K5012" s="233"/>
      <c r="L5012" s="233">
        <v>3623.123846153846</v>
      </c>
    </row>
    <row r="5013" spans="1:13" ht="11.25" customHeight="1" x14ac:dyDescent="0.2">
      <c r="A5013" s="222">
        <v>2024</v>
      </c>
      <c r="B5013" s="222">
        <v>7</v>
      </c>
      <c r="C5013" s="222">
        <v>25</v>
      </c>
      <c r="D5013" s="223">
        <f t="shared" si="505"/>
        <v>45498</v>
      </c>
      <c r="E5013" s="240">
        <f t="shared" si="506"/>
        <v>45498</v>
      </c>
      <c r="F5013" s="511" t="s">
        <v>1247</v>
      </c>
      <c r="G5013" s="225" t="s">
        <v>1245</v>
      </c>
      <c r="H5013" s="226"/>
      <c r="I5013" s="226" t="s">
        <v>1253</v>
      </c>
      <c r="J5013" s="222" t="s">
        <v>77</v>
      </c>
      <c r="K5013" s="227">
        <f>M5013</f>
        <v>34057.175537474635</v>
      </c>
      <c r="L5013" s="227"/>
      <c r="M5013" s="120">
        <v>34057.175537474635</v>
      </c>
    </row>
    <row r="5014" spans="1:13" ht="11.25" customHeight="1" x14ac:dyDescent="0.2">
      <c r="A5014" s="228">
        <v>2024</v>
      </c>
      <c r="B5014" s="228">
        <v>7</v>
      </c>
      <c r="C5014" s="228">
        <v>25</v>
      </c>
      <c r="D5014" s="229">
        <f t="shared" si="505"/>
        <v>45498</v>
      </c>
      <c r="E5014" s="241">
        <f t="shared" si="506"/>
        <v>45498</v>
      </c>
      <c r="F5014" s="512"/>
      <c r="G5014" s="231" t="s">
        <v>1245</v>
      </c>
      <c r="H5014" s="232"/>
      <c r="I5014" s="232" t="s">
        <v>1253</v>
      </c>
      <c r="J5014" s="228" t="s">
        <v>41</v>
      </c>
      <c r="K5014" s="233"/>
      <c r="L5014" s="233">
        <f>K5013</f>
        <v>34057.175537474635</v>
      </c>
      <c r="M5014" s="120">
        <v>3405.7175537474632</v>
      </c>
    </row>
    <row r="5015" spans="1:13" ht="11.25" customHeight="1" x14ac:dyDescent="0.2">
      <c r="A5015" s="222">
        <v>2024</v>
      </c>
      <c r="B5015" s="222">
        <v>7</v>
      </c>
      <c r="C5015" s="222">
        <v>25</v>
      </c>
      <c r="D5015" s="223">
        <f t="shared" si="505"/>
        <v>45498</v>
      </c>
      <c r="E5015" s="240">
        <f t="shared" si="506"/>
        <v>45498</v>
      </c>
      <c r="F5015" s="511" t="s">
        <v>1248</v>
      </c>
      <c r="G5015" s="225" t="s">
        <v>1245</v>
      </c>
      <c r="H5015" s="226"/>
      <c r="I5015" s="226" t="s">
        <v>1253</v>
      </c>
      <c r="J5015" s="222" t="s">
        <v>80</v>
      </c>
      <c r="K5015" s="227">
        <f>M5014</f>
        <v>3405.7175537474632</v>
      </c>
      <c r="L5015" s="227"/>
    </row>
    <row r="5016" spans="1:13" x14ac:dyDescent="0.2">
      <c r="A5016" s="228">
        <v>2024</v>
      </c>
      <c r="B5016" s="228">
        <v>7</v>
      </c>
      <c r="C5016" s="228">
        <v>25</v>
      </c>
      <c r="D5016" s="229">
        <f t="shared" si="505"/>
        <v>45498</v>
      </c>
      <c r="E5016" s="241">
        <f t="shared" si="506"/>
        <v>45498</v>
      </c>
      <c r="F5016" s="512"/>
      <c r="G5016" s="231" t="s">
        <v>1245</v>
      </c>
      <c r="H5016" s="232"/>
      <c r="I5016" s="232" t="s">
        <v>1253</v>
      </c>
      <c r="J5016" s="228" t="s">
        <v>42</v>
      </c>
      <c r="K5016" s="233"/>
      <c r="L5016" s="233">
        <f>K5015</f>
        <v>3405.7175537474632</v>
      </c>
    </row>
    <row r="5017" spans="1:13" ht="11.25" customHeight="1" x14ac:dyDescent="0.2">
      <c r="A5017" s="197">
        <v>2024</v>
      </c>
      <c r="B5017" s="197">
        <v>7</v>
      </c>
      <c r="C5017" s="197">
        <v>26</v>
      </c>
      <c r="D5017" s="198">
        <f t="shared" si="505"/>
        <v>45499</v>
      </c>
      <c r="E5017" s="209">
        <f t="shared" si="506"/>
        <v>45499</v>
      </c>
      <c r="F5017" s="513" t="s">
        <v>1296</v>
      </c>
      <c r="G5017" s="200" t="s">
        <v>1209</v>
      </c>
      <c r="H5017" s="201"/>
      <c r="I5017" s="201"/>
      <c r="J5017" s="197" t="s">
        <v>46</v>
      </c>
      <c r="K5017" s="202">
        <v>11000</v>
      </c>
      <c r="L5017" s="202"/>
    </row>
    <row r="5018" spans="1:13" ht="11.25" customHeight="1" x14ac:dyDescent="0.2">
      <c r="A5018" s="120">
        <v>2024</v>
      </c>
      <c r="B5018" s="120">
        <v>7</v>
      </c>
      <c r="C5018" s="120">
        <v>26</v>
      </c>
      <c r="D5018" s="208">
        <f t="shared" si="505"/>
        <v>45499</v>
      </c>
      <c r="E5018" s="209">
        <f t="shared" si="506"/>
        <v>45499</v>
      </c>
      <c r="F5018" s="515"/>
      <c r="G5018" s="132" t="s">
        <v>1209</v>
      </c>
      <c r="J5018" s="120" t="s">
        <v>16</v>
      </c>
      <c r="K5018" s="207"/>
      <c r="L5018" s="207">
        <v>9770</v>
      </c>
    </row>
    <row r="5019" spans="1:13" ht="11.25" customHeight="1" x14ac:dyDescent="0.2">
      <c r="A5019" s="191">
        <v>2024</v>
      </c>
      <c r="B5019" s="191">
        <v>7</v>
      </c>
      <c r="C5019" s="191">
        <v>26</v>
      </c>
      <c r="D5019" s="192">
        <f t="shared" si="505"/>
        <v>45499</v>
      </c>
      <c r="E5019" s="193">
        <f t="shared" si="506"/>
        <v>45499</v>
      </c>
      <c r="F5019" s="514"/>
      <c r="G5019" s="194" t="s">
        <v>1209</v>
      </c>
      <c r="H5019" s="195"/>
      <c r="I5019" s="195"/>
      <c r="J5019" s="191" t="s">
        <v>47</v>
      </c>
      <c r="K5019" s="196"/>
      <c r="L5019" s="196">
        <v>1230</v>
      </c>
    </row>
    <row r="5020" spans="1:13" ht="11.25" customHeight="1" x14ac:dyDescent="0.2">
      <c r="A5020" s="197">
        <v>2024</v>
      </c>
      <c r="B5020" s="197">
        <v>7</v>
      </c>
      <c r="C5020" s="197">
        <v>28</v>
      </c>
      <c r="D5020" s="198">
        <f t="shared" si="505"/>
        <v>45501</v>
      </c>
      <c r="E5020" s="209">
        <f t="shared" si="506"/>
        <v>45501</v>
      </c>
      <c r="F5020" s="513" t="s">
        <v>1296</v>
      </c>
      <c r="G5020" s="200" t="s">
        <v>1209</v>
      </c>
      <c r="H5020" s="201"/>
      <c r="I5020" s="201"/>
      <c r="J5020" s="197" t="s">
        <v>46</v>
      </c>
      <c r="K5020" s="202">
        <v>313540</v>
      </c>
      <c r="L5020" s="202"/>
    </row>
    <row r="5021" spans="1:13" ht="11.25" customHeight="1" x14ac:dyDescent="0.2">
      <c r="A5021" s="120">
        <v>2024</v>
      </c>
      <c r="B5021" s="120">
        <v>7</v>
      </c>
      <c r="C5021" s="120">
        <v>28</v>
      </c>
      <c r="D5021" s="208">
        <f t="shared" si="505"/>
        <v>45501</v>
      </c>
      <c r="E5021" s="209">
        <f t="shared" si="506"/>
        <v>45501</v>
      </c>
      <c r="F5021" s="515"/>
      <c r="G5021" s="132" t="s">
        <v>1209</v>
      </c>
      <c r="J5021" s="120" t="s">
        <v>16</v>
      </c>
      <c r="K5021" s="207"/>
      <c r="L5021" s="207">
        <v>278390</v>
      </c>
    </row>
    <row r="5022" spans="1:13" ht="11.25" customHeight="1" x14ac:dyDescent="0.2">
      <c r="A5022" s="191">
        <v>2024</v>
      </c>
      <c r="B5022" s="191">
        <v>7</v>
      </c>
      <c r="C5022" s="191">
        <v>28</v>
      </c>
      <c r="D5022" s="192">
        <f t="shared" si="505"/>
        <v>45501</v>
      </c>
      <c r="E5022" s="193">
        <f t="shared" si="506"/>
        <v>45501</v>
      </c>
      <c r="F5022" s="514"/>
      <c r="G5022" s="194" t="s">
        <v>1209</v>
      </c>
      <c r="H5022" s="195"/>
      <c r="I5022" s="195"/>
      <c r="J5022" s="191" t="s">
        <v>47</v>
      </c>
      <c r="K5022" s="196"/>
      <c r="L5022" s="196">
        <v>35150</v>
      </c>
    </row>
    <row r="5023" spans="1:13" ht="11.25" customHeight="1" x14ac:dyDescent="0.2">
      <c r="A5023" s="197">
        <v>2024</v>
      </c>
      <c r="B5023" s="197">
        <v>7</v>
      </c>
      <c r="C5023" s="197">
        <v>28</v>
      </c>
      <c r="D5023" s="198">
        <f t="shared" si="505"/>
        <v>45501</v>
      </c>
      <c r="E5023" s="209">
        <f t="shared" si="506"/>
        <v>45501</v>
      </c>
      <c r="F5023" s="513" t="s">
        <v>1280</v>
      </c>
      <c r="G5023" s="200" t="s">
        <v>1209</v>
      </c>
      <c r="H5023" s="201"/>
      <c r="I5023" s="201" t="s">
        <v>1652</v>
      </c>
      <c r="J5023" s="197" t="s">
        <v>16</v>
      </c>
      <c r="K5023" s="202">
        <v>179360</v>
      </c>
      <c r="L5023" s="202"/>
    </row>
    <row r="5024" spans="1:13" ht="11.25" customHeight="1" x14ac:dyDescent="0.2">
      <c r="A5024" s="120">
        <v>2024</v>
      </c>
      <c r="B5024" s="120">
        <v>7</v>
      </c>
      <c r="C5024" s="120">
        <v>28</v>
      </c>
      <c r="D5024" s="208">
        <f t="shared" si="505"/>
        <v>45501</v>
      </c>
      <c r="E5024" s="209">
        <f t="shared" si="506"/>
        <v>45501</v>
      </c>
      <c r="F5024" s="515"/>
      <c r="G5024" s="132" t="s">
        <v>1209</v>
      </c>
      <c r="I5024" s="128" t="s">
        <v>1652</v>
      </c>
      <c r="J5024" s="120" t="s">
        <v>47</v>
      </c>
      <c r="K5024" s="207">
        <v>21505.260000000009</v>
      </c>
      <c r="L5024" s="207"/>
    </row>
    <row r="5025" spans="1:12" ht="11.25" customHeight="1" x14ac:dyDescent="0.2">
      <c r="A5025" s="191">
        <v>2024</v>
      </c>
      <c r="B5025" s="191">
        <v>7</v>
      </c>
      <c r="C5025" s="191">
        <v>28</v>
      </c>
      <c r="D5025" s="192">
        <f t="shared" si="505"/>
        <v>45501</v>
      </c>
      <c r="E5025" s="193">
        <f t="shared" si="506"/>
        <v>45501</v>
      </c>
      <c r="F5025" s="514"/>
      <c r="G5025" s="194" t="s">
        <v>1209</v>
      </c>
      <c r="H5025" s="195"/>
      <c r="I5025" s="195" t="s">
        <v>1652</v>
      </c>
      <c r="J5025" s="191" t="s">
        <v>46</v>
      </c>
      <c r="K5025" s="196"/>
      <c r="L5025" s="196">
        <v>200865.26</v>
      </c>
    </row>
    <row r="5026" spans="1:12" ht="11.25" customHeight="1" x14ac:dyDescent="0.2">
      <c r="A5026" s="197">
        <v>2024</v>
      </c>
      <c r="B5026" s="197">
        <v>7</v>
      </c>
      <c r="C5026" s="197">
        <v>28</v>
      </c>
      <c r="D5026" s="198">
        <f t="shared" si="505"/>
        <v>45501</v>
      </c>
      <c r="E5026" s="209">
        <f t="shared" si="506"/>
        <v>45501</v>
      </c>
      <c r="F5026" s="513" t="s">
        <v>1210</v>
      </c>
      <c r="G5026" s="200" t="s">
        <v>1209</v>
      </c>
      <c r="H5026" s="201"/>
      <c r="I5026" s="201" t="s">
        <v>299</v>
      </c>
      <c r="J5026" s="197" t="s">
        <v>46</v>
      </c>
      <c r="K5026" s="202">
        <v>3050000</v>
      </c>
      <c r="L5026" s="202"/>
    </row>
    <row r="5027" spans="1:12" ht="11.25" customHeight="1" x14ac:dyDescent="0.2">
      <c r="A5027" s="120">
        <v>2024</v>
      </c>
      <c r="B5027" s="120">
        <v>7</v>
      </c>
      <c r="C5027" s="120">
        <v>28</v>
      </c>
      <c r="D5027" s="208">
        <f t="shared" si="505"/>
        <v>45501</v>
      </c>
      <c r="E5027" s="209">
        <f t="shared" si="506"/>
        <v>45501</v>
      </c>
      <c r="F5027" s="515"/>
      <c r="G5027" s="132" t="s">
        <v>1209</v>
      </c>
      <c r="I5027" s="128" t="s">
        <v>299</v>
      </c>
      <c r="J5027" s="120" t="s">
        <v>16</v>
      </c>
      <c r="K5027" s="207"/>
      <c r="L5027" s="207">
        <v>2707740</v>
      </c>
    </row>
    <row r="5028" spans="1:12" ht="11.25" customHeight="1" x14ac:dyDescent="0.2">
      <c r="A5028" s="191">
        <v>2024</v>
      </c>
      <c r="B5028" s="191">
        <v>7</v>
      </c>
      <c r="C5028" s="191">
        <v>28</v>
      </c>
      <c r="D5028" s="192">
        <f t="shared" si="505"/>
        <v>45501</v>
      </c>
      <c r="E5028" s="193">
        <f t="shared" si="506"/>
        <v>45501</v>
      </c>
      <c r="F5028" s="514"/>
      <c r="G5028" s="194" t="s">
        <v>1209</v>
      </c>
      <c r="H5028" s="195"/>
      <c r="I5028" s="195" t="s">
        <v>299</v>
      </c>
      <c r="J5028" s="191" t="s">
        <v>47</v>
      </c>
      <c r="K5028" s="196"/>
      <c r="L5028" s="196">
        <v>342260</v>
      </c>
    </row>
    <row r="5029" spans="1:12" ht="11.25" customHeight="1" x14ac:dyDescent="0.2">
      <c r="A5029" s="197">
        <v>2024</v>
      </c>
      <c r="B5029" s="197">
        <v>7</v>
      </c>
      <c r="C5029" s="197">
        <v>28</v>
      </c>
      <c r="D5029" s="198">
        <f t="shared" si="505"/>
        <v>45501</v>
      </c>
      <c r="E5029" s="209">
        <f t="shared" si="506"/>
        <v>45501</v>
      </c>
      <c r="F5029" s="513" t="s">
        <v>1210</v>
      </c>
      <c r="G5029" s="200" t="s">
        <v>1209</v>
      </c>
      <c r="H5029" s="201"/>
      <c r="I5029" s="201" t="s">
        <v>299</v>
      </c>
      <c r="J5029" s="197" t="s">
        <v>46</v>
      </c>
      <c r="K5029" s="202">
        <v>3050000</v>
      </c>
      <c r="L5029" s="202"/>
    </row>
    <row r="5030" spans="1:12" ht="11.25" customHeight="1" x14ac:dyDescent="0.2">
      <c r="A5030" s="120">
        <v>2024</v>
      </c>
      <c r="B5030" s="120">
        <v>7</v>
      </c>
      <c r="C5030" s="120">
        <v>28</v>
      </c>
      <c r="D5030" s="208">
        <f t="shared" si="505"/>
        <v>45501</v>
      </c>
      <c r="E5030" s="209">
        <f t="shared" si="506"/>
        <v>45501</v>
      </c>
      <c r="F5030" s="515"/>
      <c r="G5030" s="132" t="s">
        <v>1209</v>
      </c>
      <c r="I5030" s="128" t="s">
        <v>299</v>
      </c>
      <c r="J5030" s="120" t="s">
        <v>16</v>
      </c>
      <c r="K5030" s="207"/>
      <c r="L5030" s="207">
        <v>2707740</v>
      </c>
    </row>
    <row r="5031" spans="1:12" ht="11.25" customHeight="1" x14ac:dyDescent="0.2">
      <c r="A5031" s="191">
        <v>2024</v>
      </c>
      <c r="B5031" s="191">
        <v>7</v>
      </c>
      <c r="C5031" s="191">
        <v>28</v>
      </c>
      <c r="D5031" s="192">
        <f t="shared" si="505"/>
        <v>45501</v>
      </c>
      <c r="E5031" s="193">
        <f t="shared" si="506"/>
        <v>45501</v>
      </c>
      <c r="F5031" s="514"/>
      <c r="G5031" s="194" t="s">
        <v>1209</v>
      </c>
      <c r="H5031" s="195"/>
      <c r="I5031" s="195" t="s">
        <v>299</v>
      </c>
      <c r="J5031" s="191" t="s">
        <v>47</v>
      </c>
      <c r="K5031" s="196"/>
      <c r="L5031" s="196">
        <v>342260</v>
      </c>
    </row>
    <row r="5032" spans="1:12" ht="11.25" customHeight="1" x14ac:dyDescent="0.2">
      <c r="A5032" s="197">
        <v>2024</v>
      </c>
      <c r="B5032" s="197">
        <v>7</v>
      </c>
      <c r="C5032" s="197">
        <v>28</v>
      </c>
      <c r="D5032" s="198">
        <f t="shared" si="505"/>
        <v>45501</v>
      </c>
      <c r="E5032" s="209">
        <f t="shared" si="506"/>
        <v>45501</v>
      </c>
      <c r="F5032" s="513" t="s">
        <v>1210</v>
      </c>
      <c r="G5032" s="200" t="s">
        <v>1209</v>
      </c>
      <c r="H5032" s="201"/>
      <c r="I5032" s="201" t="s">
        <v>299</v>
      </c>
      <c r="J5032" s="197" t="s">
        <v>46</v>
      </c>
      <c r="K5032" s="202">
        <v>3050000</v>
      </c>
      <c r="L5032" s="202"/>
    </row>
    <row r="5033" spans="1:12" ht="11.25" customHeight="1" x14ac:dyDescent="0.2">
      <c r="A5033" s="120">
        <v>2024</v>
      </c>
      <c r="B5033" s="120">
        <v>7</v>
      </c>
      <c r="C5033" s="120">
        <v>28</v>
      </c>
      <c r="D5033" s="208">
        <f t="shared" si="505"/>
        <v>45501</v>
      </c>
      <c r="E5033" s="209">
        <f t="shared" si="506"/>
        <v>45501</v>
      </c>
      <c r="F5033" s="515"/>
      <c r="G5033" s="132" t="s">
        <v>1209</v>
      </c>
      <c r="I5033" s="128" t="s">
        <v>299</v>
      </c>
      <c r="J5033" s="120" t="s">
        <v>16</v>
      </c>
      <c r="K5033" s="207"/>
      <c r="L5033" s="207">
        <v>2707740</v>
      </c>
    </row>
    <row r="5034" spans="1:12" ht="11.25" customHeight="1" x14ac:dyDescent="0.2">
      <c r="A5034" s="191">
        <v>2024</v>
      </c>
      <c r="B5034" s="191">
        <v>7</v>
      </c>
      <c r="C5034" s="191">
        <v>28</v>
      </c>
      <c r="D5034" s="192">
        <f t="shared" si="505"/>
        <v>45501</v>
      </c>
      <c r="E5034" s="193">
        <f t="shared" si="506"/>
        <v>45501</v>
      </c>
      <c r="F5034" s="514"/>
      <c r="G5034" s="194" t="s">
        <v>1209</v>
      </c>
      <c r="H5034" s="195"/>
      <c r="I5034" s="195" t="s">
        <v>299</v>
      </c>
      <c r="J5034" s="191" t="s">
        <v>47</v>
      </c>
      <c r="K5034" s="196"/>
      <c r="L5034" s="196">
        <v>342260</v>
      </c>
    </row>
    <row r="5035" spans="1:12" ht="11.25" customHeight="1" x14ac:dyDescent="0.2">
      <c r="A5035" s="197">
        <v>2024</v>
      </c>
      <c r="B5035" s="197">
        <v>7</v>
      </c>
      <c r="C5035" s="197">
        <v>29</v>
      </c>
      <c r="D5035" s="198">
        <f t="shared" si="505"/>
        <v>45502</v>
      </c>
      <c r="E5035" s="209">
        <f t="shared" si="506"/>
        <v>45502</v>
      </c>
      <c r="F5035" s="513" t="s">
        <v>1210</v>
      </c>
      <c r="G5035" s="200" t="s">
        <v>1209</v>
      </c>
      <c r="H5035" s="201"/>
      <c r="I5035" s="201" t="s">
        <v>1491</v>
      </c>
      <c r="J5035" s="197" t="s">
        <v>46</v>
      </c>
      <c r="K5035" s="202">
        <v>2000</v>
      </c>
      <c r="L5035" s="202"/>
    </row>
    <row r="5036" spans="1:12" ht="11.25" customHeight="1" x14ac:dyDescent="0.2">
      <c r="A5036" s="120">
        <v>2024</v>
      </c>
      <c r="B5036" s="120">
        <v>7</v>
      </c>
      <c r="C5036" s="120">
        <v>29</v>
      </c>
      <c r="D5036" s="208">
        <f t="shared" ref="D5036:D5099" si="507">DATE(A5036,B5036,C5036)</f>
        <v>45502</v>
      </c>
      <c r="E5036" s="209">
        <f t="shared" si="506"/>
        <v>45502</v>
      </c>
      <c r="F5036" s="515"/>
      <c r="G5036" s="132" t="s">
        <v>1209</v>
      </c>
      <c r="I5036" s="128" t="s">
        <v>1491</v>
      </c>
      <c r="J5036" s="120" t="s">
        <v>16</v>
      </c>
      <c r="K5036" s="207"/>
      <c r="L5036" s="207">
        <v>1780</v>
      </c>
    </row>
    <row r="5037" spans="1:12" ht="11.25" customHeight="1" x14ac:dyDescent="0.2">
      <c r="A5037" s="191">
        <v>2024</v>
      </c>
      <c r="B5037" s="191">
        <v>7</v>
      </c>
      <c r="C5037" s="191">
        <v>29</v>
      </c>
      <c r="D5037" s="192">
        <f t="shared" si="507"/>
        <v>45502</v>
      </c>
      <c r="E5037" s="193">
        <f t="shared" si="506"/>
        <v>45502</v>
      </c>
      <c r="F5037" s="514"/>
      <c r="G5037" s="194" t="s">
        <v>1209</v>
      </c>
      <c r="H5037" s="195"/>
      <c r="I5037" s="195" t="s">
        <v>1491</v>
      </c>
      <c r="J5037" s="191" t="s">
        <v>47</v>
      </c>
      <c r="K5037" s="196"/>
      <c r="L5037" s="196">
        <v>220</v>
      </c>
    </row>
    <row r="5038" spans="1:12" ht="11.25" customHeight="1" x14ac:dyDescent="0.2">
      <c r="A5038" s="197">
        <v>2024</v>
      </c>
      <c r="B5038" s="197">
        <v>7</v>
      </c>
      <c r="C5038" s="197">
        <v>29</v>
      </c>
      <c r="D5038" s="198">
        <f t="shared" si="507"/>
        <v>45502</v>
      </c>
      <c r="E5038" s="209">
        <f t="shared" si="506"/>
        <v>45502</v>
      </c>
      <c r="F5038" s="513" t="s">
        <v>1280</v>
      </c>
      <c r="G5038" s="200" t="s">
        <v>1209</v>
      </c>
      <c r="H5038" s="201"/>
      <c r="I5038" s="201" t="s">
        <v>1816</v>
      </c>
      <c r="J5038" s="197" t="s">
        <v>16</v>
      </c>
      <c r="K5038" s="202">
        <v>206240</v>
      </c>
      <c r="L5038" s="202"/>
    </row>
    <row r="5039" spans="1:12" ht="11.25" customHeight="1" x14ac:dyDescent="0.2">
      <c r="A5039" s="120">
        <v>2024</v>
      </c>
      <c r="B5039" s="120">
        <v>7</v>
      </c>
      <c r="C5039" s="120">
        <v>29</v>
      </c>
      <c r="D5039" s="208">
        <f t="shared" si="507"/>
        <v>45502</v>
      </c>
      <c r="E5039" s="209">
        <f t="shared" si="506"/>
        <v>45502</v>
      </c>
      <c r="F5039" s="515"/>
      <c r="G5039" s="132" t="s">
        <v>1209</v>
      </c>
      <c r="I5039" s="128" t="s">
        <v>1816</v>
      </c>
      <c r="J5039" s="120" t="s">
        <v>47</v>
      </c>
      <c r="K5039" s="207">
        <v>26068.739999999991</v>
      </c>
      <c r="L5039" s="207"/>
    </row>
    <row r="5040" spans="1:12" ht="11.25" customHeight="1" x14ac:dyDescent="0.2">
      <c r="A5040" s="191">
        <v>2024</v>
      </c>
      <c r="B5040" s="191">
        <v>7</v>
      </c>
      <c r="C5040" s="191">
        <v>29</v>
      </c>
      <c r="D5040" s="192">
        <f t="shared" si="507"/>
        <v>45502</v>
      </c>
      <c r="E5040" s="193">
        <f t="shared" si="506"/>
        <v>45502</v>
      </c>
      <c r="F5040" s="514"/>
      <c r="G5040" s="194" t="s">
        <v>1209</v>
      </c>
      <c r="H5040" s="195"/>
      <c r="I5040" s="195" t="s">
        <v>1816</v>
      </c>
      <c r="J5040" s="191" t="s">
        <v>46</v>
      </c>
      <c r="K5040" s="196"/>
      <c r="L5040" s="196">
        <v>232308.74</v>
      </c>
    </row>
    <row r="5041" spans="1:15" ht="11.25" customHeight="1" x14ac:dyDescent="0.2">
      <c r="A5041" s="197">
        <v>2024</v>
      </c>
      <c r="B5041" s="197">
        <v>7</v>
      </c>
      <c r="C5041" s="197">
        <v>29</v>
      </c>
      <c r="D5041" s="198">
        <f t="shared" si="507"/>
        <v>45502</v>
      </c>
      <c r="E5041" s="209">
        <f t="shared" si="506"/>
        <v>45502</v>
      </c>
      <c r="F5041" s="513" t="s">
        <v>1210</v>
      </c>
      <c r="G5041" s="200" t="s">
        <v>1209</v>
      </c>
      <c r="H5041" s="201"/>
      <c r="I5041" s="201" t="s">
        <v>1491</v>
      </c>
      <c r="J5041" s="197" t="s">
        <v>46</v>
      </c>
      <c r="K5041" s="202">
        <v>1500000</v>
      </c>
      <c r="L5041" s="202"/>
    </row>
    <row r="5042" spans="1:15" ht="11.25" customHeight="1" x14ac:dyDescent="0.2">
      <c r="A5042" s="120">
        <v>2024</v>
      </c>
      <c r="B5042" s="120">
        <v>7</v>
      </c>
      <c r="C5042" s="120">
        <v>29</v>
      </c>
      <c r="D5042" s="208">
        <f t="shared" si="507"/>
        <v>45502</v>
      </c>
      <c r="E5042" s="209">
        <f t="shared" si="506"/>
        <v>45502</v>
      </c>
      <c r="F5042" s="515"/>
      <c r="G5042" s="132" t="s">
        <v>1209</v>
      </c>
      <c r="I5042" s="128" t="s">
        <v>1491</v>
      </c>
      <c r="J5042" s="120" t="s">
        <v>16</v>
      </c>
      <c r="K5042" s="207"/>
      <c r="L5042" s="207">
        <v>1331680</v>
      </c>
    </row>
    <row r="5043" spans="1:15" ht="11.25" customHeight="1" x14ac:dyDescent="0.2">
      <c r="A5043" s="191">
        <v>2024</v>
      </c>
      <c r="B5043" s="191">
        <v>7</v>
      </c>
      <c r="C5043" s="191">
        <v>29</v>
      </c>
      <c r="D5043" s="192">
        <f t="shared" si="507"/>
        <v>45502</v>
      </c>
      <c r="E5043" s="193">
        <f t="shared" si="506"/>
        <v>45502</v>
      </c>
      <c r="F5043" s="514"/>
      <c r="G5043" s="194" t="s">
        <v>1209</v>
      </c>
      <c r="H5043" s="195"/>
      <c r="I5043" s="195" t="s">
        <v>1491</v>
      </c>
      <c r="J5043" s="191" t="s">
        <v>47</v>
      </c>
      <c r="K5043" s="196"/>
      <c r="L5043" s="196">
        <v>168320</v>
      </c>
    </row>
    <row r="5044" spans="1:15" ht="11.25" customHeight="1" x14ac:dyDescent="0.2">
      <c r="A5044" s="197">
        <v>2024</v>
      </c>
      <c r="B5044" s="197">
        <v>7</v>
      </c>
      <c r="C5044" s="197">
        <v>29</v>
      </c>
      <c r="D5044" s="198">
        <f t="shared" si="507"/>
        <v>45502</v>
      </c>
      <c r="E5044" s="199">
        <f t="shared" si="506"/>
        <v>45502</v>
      </c>
      <c r="F5044" s="513" t="s">
        <v>1396</v>
      </c>
      <c r="G5044" s="200" t="s">
        <v>1209</v>
      </c>
      <c r="H5044" s="201"/>
      <c r="I5044" s="201"/>
      <c r="J5044" s="197" t="s">
        <v>84</v>
      </c>
      <c r="K5044" s="202">
        <v>1800</v>
      </c>
      <c r="L5044" s="202"/>
    </row>
    <row r="5045" spans="1:15" ht="11.25" customHeight="1" x14ac:dyDescent="0.2">
      <c r="A5045" s="191">
        <v>2024</v>
      </c>
      <c r="B5045" s="191">
        <v>7</v>
      </c>
      <c r="C5045" s="191">
        <v>29</v>
      </c>
      <c r="D5045" s="192">
        <f t="shared" si="507"/>
        <v>45502</v>
      </c>
      <c r="E5045" s="193">
        <f t="shared" si="506"/>
        <v>45502</v>
      </c>
      <c r="F5045" s="514"/>
      <c r="G5045" s="194" t="s">
        <v>1209</v>
      </c>
      <c r="H5045" s="195"/>
      <c r="I5045" s="195"/>
      <c r="J5045" s="191" t="s">
        <v>46</v>
      </c>
      <c r="K5045" s="196"/>
      <c r="L5045" s="196">
        <v>1800</v>
      </c>
    </row>
    <row r="5046" spans="1:15" ht="11.25" customHeight="1" x14ac:dyDescent="0.2">
      <c r="A5046" s="197">
        <v>2024</v>
      </c>
      <c r="B5046" s="197">
        <v>7</v>
      </c>
      <c r="C5046" s="197">
        <v>29</v>
      </c>
      <c r="D5046" s="198">
        <f t="shared" si="507"/>
        <v>45502</v>
      </c>
      <c r="E5046" s="199">
        <f t="shared" si="506"/>
        <v>45502</v>
      </c>
      <c r="F5046" s="513" t="s">
        <v>1853</v>
      </c>
      <c r="G5046" s="200" t="s">
        <v>1209</v>
      </c>
      <c r="H5046" s="201"/>
      <c r="I5046" s="201" t="s">
        <v>1253</v>
      </c>
      <c r="J5046" s="197" t="s">
        <v>46</v>
      </c>
      <c r="K5046" s="202">
        <v>4000000</v>
      </c>
      <c r="L5046" s="202"/>
    </row>
    <row r="5047" spans="1:15" ht="11.25" customHeight="1" x14ac:dyDescent="0.2">
      <c r="A5047" s="120">
        <v>2024</v>
      </c>
      <c r="B5047" s="120">
        <v>7</v>
      </c>
      <c r="C5047" s="120">
        <v>29</v>
      </c>
      <c r="D5047" s="208">
        <f t="shared" si="507"/>
        <v>45502</v>
      </c>
      <c r="E5047" s="209">
        <f t="shared" si="506"/>
        <v>45502</v>
      </c>
      <c r="F5047" s="515"/>
      <c r="G5047" s="132" t="s">
        <v>1209</v>
      </c>
      <c r="J5047" s="120" t="s">
        <v>1462</v>
      </c>
      <c r="K5047" s="328"/>
      <c r="L5047" s="207">
        <v>110044</v>
      </c>
    </row>
    <row r="5048" spans="1:15" ht="11.25" customHeight="1" x14ac:dyDescent="0.2">
      <c r="A5048" s="191">
        <v>2024</v>
      </c>
      <c r="B5048" s="191">
        <v>7</v>
      </c>
      <c r="C5048" s="191">
        <v>29</v>
      </c>
      <c r="D5048" s="192">
        <f t="shared" si="507"/>
        <v>45502</v>
      </c>
      <c r="E5048" s="193">
        <f t="shared" si="506"/>
        <v>45502</v>
      </c>
      <c r="F5048" s="514"/>
      <c r="G5048" s="194" t="s">
        <v>1209</v>
      </c>
      <c r="H5048" s="195"/>
      <c r="I5048" s="195" t="s">
        <v>1253</v>
      </c>
      <c r="J5048" s="191" t="s">
        <v>1455</v>
      </c>
      <c r="K5048" s="196"/>
      <c r="L5048" s="196">
        <v>3889956</v>
      </c>
      <c r="N5048" s="130"/>
    </row>
    <row r="5049" spans="1:15" ht="11.25" customHeight="1" x14ac:dyDescent="0.2">
      <c r="A5049" s="197">
        <v>2024</v>
      </c>
      <c r="B5049" s="197">
        <v>7</v>
      </c>
      <c r="C5049" s="197">
        <v>29</v>
      </c>
      <c r="D5049" s="198">
        <f t="shared" si="507"/>
        <v>45502</v>
      </c>
      <c r="E5049" s="199">
        <f t="shared" si="506"/>
        <v>45502</v>
      </c>
      <c r="F5049" s="513" t="s">
        <v>1854</v>
      </c>
      <c r="G5049" s="200" t="s">
        <v>1209</v>
      </c>
      <c r="H5049" s="201"/>
      <c r="I5049" s="201" t="s">
        <v>1253</v>
      </c>
      <c r="J5049" s="197" t="s">
        <v>1837</v>
      </c>
      <c r="K5049" s="202">
        <v>26822627.510000002</v>
      </c>
      <c r="L5049" s="202"/>
    </row>
    <row r="5050" spans="1:15" ht="11.25" customHeight="1" x14ac:dyDescent="0.2">
      <c r="A5050" s="191">
        <v>2024</v>
      </c>
      <c r="B5050" s="191">
        <v>7</v>
      </c>
      <c r="C5050" s="191">
        <v>29</v>
      </c>
      <c r="D5050" s="192">
        <f t="shared" si="507"/>
        <v>45502</v>
      </c>
      <c r="E5050" s="193">
        <f t="shared" si="506"/>
        <v>45502</v>
      </c>
      <c r="F5050" s="514"/>
      <c r="G5050" s="194" t="s">
        <v>1209</v>
      </c>
      <c r="H5050" s="195"/>
      <c r="I5050" s="195" t="s">
        <v>1253</v>
      </c>
      <c r="J5050" s="191" t="s">
        <v>46</v>
      </c>
      <c r="K5050" s="196"/>
      <c r="L5050" s="196">
        <v>26822627.510000002</v>
      </c>
      <c r="N5050" s="130"/>
    </row>
    <row r="5051" spans="1:15" ht="11.25" customHeight="1" x14ac:dyDescent="0.2">
      <c r="A5051" s="197">
        <v>2024</v>
      </c>
      <c r="B5051" s="197">
        <v>7</v>
      </c>
      <c r="C5051" s="197">
        <v>29</v>
      </c>
      <c r="D5051" s="198">
        <f t="shared" si="507"/>
        <v>45502</v>
      </c>
      <c r="E5051" s="290">
        <f t="shared" si="506"/>
        <v>45502</v>
      </c>
      <c r="F5051" s="513" t="s">
        <v>1514</v>
      </c>
      <c r="G5051" s="200" t="s">
        <v>1209</v>
      </c>
      <c r="H5051" s="201"/>
      <c r="I5051" s="201"/>
      <c r="J5051" s="197" t="s">
        <v>54</v>
      </c>
      <c r="K5051" s="202">
        <v>60</v>
      </c>
      <c r="L5051" s="202"/>
      <c r="M5051" s="251"/>
      <c r="N5051" s="251"/>
      <c r="O5051" s="251"/>
    </row>
    <row r="5052" spans="1:15" ht="11.25" customHeight="1" x14ac:dyDescent="0.2">
      <c r="A5052" s="191">
        <v>2024</v>
      </c>
      <c r="B5052" s="191">
        <v>7</v>
      </c>
      <c r="C5052" s="191">
        <v>29</v>
      </c>
      <c r="D5052" s="192">
        <f t="shared" si="507"/>
        <v>45502</v>
      </c>
      <c r="E5052" s="291">
        <f t="shared" si="506"/>
        <v>45502</v>
      </c>
      <c r="F5052" s="514"/>
      <c r="G5052" s="194" t="s">
        <v>1209</v>
      </c>
      <c r="H5052" s="195"/>
      <c r="I5052" s="195"/>
      <c r="J5052" s="191" t="s">
        <v>46</v>
      </c>
      <c r="K5052" s="196"/>
      <c r="L5052" s="196">
        <v>60</v>
      </c>
      <c r="M5052" s="251"/>
      <c r="N5052" s="251"/>
      <c r="O5052" s="251"/>
    </row>
    <row r="5053" spans="1:15" ht="11.25" customHeight="1" x14ac:dyDescent="0.2">
      <c r="A5053" s="197">
        <v>2024</v>
      </c>
      <c r="B5053" s="120">
        <v>7</v>
      </c>
      <c r="C5053" s="120">
        <v>30</v>
      </c>
      <c r="D5053" s="198">
        <f t="shared" si="507"/>
        <v>45503</v>
      </c>
      <c r="E5053" s="199">
        <f t="shared" si="506"/>
        <v>45503</v>
      </c>
      <c r="F5053" s="513" t="s">
        <v>1390</v>
      </c>
      <c r="G5053" s="200" t="s">
        <v>1209</v>
      </c>
      <c r="H5053" s="200"/>
      <c r="I5053" s="201" t="s">
        <v>1253</v>
      </c>
      <c r="J5053" s="197" t="s">
        <v>178</v>
      </c>
      <c r="K5053" s="202">
        <v>3148999</v>
      </c>
      <c r="L5053" s="202"/>
    </row>
    <row r="5054" spans="1:15" ht="11.25" customHeight="1" x14ac:dyDescent="0.2">
      <c r="A5054" s="120">
        <v>2024</v>
      </c>
      <c r="B5054" s="120">
        <v>7</v>
      </c>
      <c r="C5054" s="120">
        <v>30</v>
      </c>
      <c r="D5054" s="208">
        <f t="shared" si="507"/>
        <v>45503</v>
      </c>
      <c r="E5054" s="209">
        <f t="shared" si="506"/>
        <v>45503</v>
      </c>
      <c r="F5054" s="515"/>
      <c r="G5054" s="132" t="s">
        <v>1209</v>
      </c>
      <c r="H5054" s="132"/>
      <c r="J5054" s="120" t="s">
        <v>71</v>
      </c>
      <c r="K5054" s="207">
        <v>100</v>
      </c>
      <c r="L5054" s="207"/>
    </row>
    <row r="5055" spans="1:15" ht="11.25" customHeight="1" x14ac:dyDescent="0.2">
      <c r="A5055" s="120">
        <v>2024</v>
      </c>
      <c r="B5055" s="120">
        <v>7</v>
      </c>
      <c r="C5055" s="120">
        <v>30</v>
      </c>
      <c r="D5055" s="208">
        <f t="shared" si="507"/>
        <v>45503</v>
      </c>
      <c r="E5055" s="209">
        <f t="shared" si="506"/>
        <v>45503</v>
      </c>
      <c r="F5055" s="515"/>
      <c r="G5055" s="132" t="s">
        <v>1209</v>
      </c>
      <c r="H5055" s="132"/>
      <c r="I5055" s="128" t="s">
        <v>1253</v>
      </c>
      <c r="J5055" s="120" t="s">
        <v>179</v>
      </c>
      <c r="K5055" s="207">
        <v>288044.7</v>
      </c>
      <c r="L5055" s="207"/>
    </row>
    <row r="5056" spans="1:15" ht="11.25" customHeight="1" x14ac:dyDescent="0.2">
      <c r="A5056" s="120">
        <v>2024</v>
      </c>
      <c r="B5056" s="120">
        <v>7</v>
      </c>
      <c r="C5056" s="120">
        <v>30</v>
      </c>
      <c r="D5056" s="208">
        <f t="shared" si="507"/>
        <v>45503</v>
      </c>
      <c r="E5056" s="209">
        <f t="shared" si="506"/>
        <v>45503</v>
      </c>
      <c r="F5056" s="515"/>
      <c r="G5056" s="132" t="s">
        <v>1209</v>
      </c>
      <c r="H5056" s="132"/>
      <c r="I5056" s="128" t="s">
        <v>1253</v>
      </c>
      <c r="J5056" s="120" t="s">
        <v>1580</v>
      </c>
      <c r="K5056" s="207"/>
      <c r="L5056" s="207">
        <v>2788003.7</v>
      </c>
    </row>
    <row r="5057" spans="1:12" ht="11.25" customHeight="1" x14ac:dyDescent="0.2">
      <c r="A5057" s="120">
        <v>2024</v>
      </c>
      <c r="B5057" s="120">
        <v>7</v>
      </c>
      <c r="C5057" s="120">
        <v>30</v>
      </c>
      <c r="D5057" s="208">
        <f t="shared" si="507"/>
        <v>45503</v>
      </c>
      <c r="E5057" s="209">
        <f t="shared" si="506"/>
        <v>45503</v>
      </c>
      <c r="F5057" s="515"/>
      <c r="G5057" s="132" t="s">
        <v>1209</v>
      </c>
      <c r="H5057" s="132"/>
      <c r="I5057" s="128" t="s">
        <v>1253</v>
      </c>
      <c r="J5057" s="120" t="s">
        <v>179</v>
      </c>
      <c r="K5057" s="207"/>
      <c r="L5057" s="207">
        <v>21390</v>
      </c>
    </row>
    <row r="5058" spans="1:12" ht="11.25" customHeight="1" x14ac:dyDescent="0.2">
      <c r="A5058" s="191">
        <v>2024</v>
      </c>
      <c r="B5058" s="191">
        <v>7</v>
      </c>
      <c r="C5058" s="191">
        <v>30</v>
      </c>
      <c r="D5058" s="192">
        <f t="shared" si="507"/>
        <v>45503</v>
      </c>
      <c r="E5058" s="193">
        <f t="shared" si="506"/>
        <v>45503</v>
      </c>
      <c r="F5058" s="514"/>
      <c r="G5058" s="194" t="s">
        <v>1209</v>
      </c>
      <c r="H5058" s="194"/>
      <c r="I5058" s="195"/>
      <c r="J5058" s="191" t="s">
        <v>1579</v>
      </c>
      <c r="K5058" s="196"/>
      <c r="L5058" s="196">
        <v>627750</v>
      </c>
    </row>
    <row r="5059" spans="1:12" ht="11.25" customHeight="1" x14ac:dyDescent="0.2">
      <c r="A5059" s="197">
        <v>2024</v>
      </c>
      <c r="B5059" s="197">
        <v>7</v>
      </c>
      <c r="C5059" s="197">
        <v>30</v>
      </c>
      <c r="D5059" s="198">
        <f t="shared" si="507"/>
        <v>45503</v>
      </c>
      <c r="E5059" s="290">
        <f t="shared" si="506"/>
        <v>45503</v>
      </c>
      <c r="F5059" s="513" t="s">
        <v>1855</v>
      </c>
      <c r="G5059" s="200" t="s">
        <v>1245</v>
      </c>
      <c r="H5059" s="201"/>
      <c r="I5059" s="201" t="s">
        <v>1253</v>
      </c>
      <c r="J5059" s="197" t="s">
        <v>1581</v>
      </c>
      <c r="K5059" s="202">
        <v>28096.442307692309</v>
      </c>
      <c r="L5059" s="202"/>
    </row>
    <row r="5060" spans="1:12" ht="11.25" customHeight="1" x14ac:dyDescent="0.2">
      <c r="A5060" s="191">
        <v>2024</v>
      </c>
      <c r="B5060" s="191">
        <v>7</v>
      </c>
      <c r="C5060" s="191">
        <v>30</v>
      </c>
      <c r="D5060" s="192">
        <f t="shared" si="507"/>
        <v>45503</v>
      </c>
      <c r="E5060" s="291">
        <f t="shared" si="506"/>
        <v>45503</v>
      </c>
      <c r="F5060" s="514"/>
      <c r="G5060" s="194" t="s">
        <v>1245</v>
      </c>
      <c r="H5060" s="195"/>
      <c r="I5060" s="195" t="s">
        <v>1253</v>
      </c>
      <c r="J5060" s="191" t="s">
        <v>1529</v>
      </c>
      <c r="K5060" s="196"/>
      <c r="L5060" s="196">
        <v>28096.442307692309</v>
      </c>
    </row>
    <row r="5061" spans="1:12" ht="11.25" customHeight="1" x14ac:dyDescent="0.2">
      <c r="A5061" s="197">
        <v>2024</v>
      </c>
      <c r="B5061" s="197">
        <v>7</v>
      </c>
      <c r="C5061" s="197">
        <v>30</v>
      </c>
      <c r="D5061" s="198">
        <f t="shared" si="507"/>
        <v>45503</v>
      </c>
      <c r="E5061" s="209">
        <f t="shared" si="506"/>
        <v>45503</v>
      </c>
      <c r="F5061" s="513" t="s">
        <v>1210</v>
      </c>
      <c r="G5061" s="200" t="s">
        <v>1209</v>
      </c>
      <c r="H5061" s="201"/>
      <c r="I5061" s="201" t="s">
        <v>1491</v>
      </c>
      <c r="J5061" s="197" t="s">
        <v>46</v>
      </c>
      <c r="K5061" s="202">
        <v>1000000</v>
      </c>
      <c r="L5061" s="202"/>
    </row>
    <row r="5062" spans="1:12" ht="11.25" customHeight="1" x14ac:dyDescent="0.2">
      <c r="A5062" s="120">
        <v>2024</v>
      </c>
      <c r="B5062" s="120">
        <v>7</v>
      </c>
      <c r="C5062" s="120">
        <v>30</v>
      </c>
      <c r="D5062" s="208">
        <f t="shared" si="507"/>
        <v>45503</v>
      </c>
      <c r="E5062" s="209">
        <f t="shared" si="506"/>
        <v>45503</v>
      </c>
      <c r="F5062" s="515"/>
      <c r="G5062" s="132" t="s">
        <v>1209</v>
      </c>
      <c r="I5062" s="128" t="s">
        <v>1491</v>
      </c>
      <c r="J5062" s="120" t="s">
        <v>16</v>
      </c>
      <c r="K5062" s="207"/>
      <c r="L5062" s="207">
        <v>887780</v>
      </c>
    </row>
    <row r="5063" spans="1:12" ht="11.25" customHeight="1" x14ac:dyDescent="0.2">
      <c r="A5063" s="191">
        <v>2024</v>
      </c>
      <c r="B5063" s="191">
        <v>7</v>
      </c>
      <c r="C5063" s="191">
        <v>30</v>
      </c>
      <c r="D5063" s="192">
        <f t="shared" si="507"/>
        <v>45503</v>
      </c>
      <c r="E5063" s="193">
        <f t="shared" si="506"/>
        <v>45503</v>
      </c>
      <c r="F5063" s="514"/>
      <c r="G5063" s="194" t="s">
        <v>1209</v>
      </c>
      <c r="H5063" s="195"/>
      <c r="I5063" s="195" t="s">
        <v>1491</v>
      </c>
      <c r="J5063" s="191" t="s">
        <v>47</v>
      </c>
      <c r="K5063" s="196"/>
      <c r="L5063" s="196">
        <v>112220</v>
      </c>
    </row>
    <row r="5064" spans="1:12" ht="11.25" customHeight="1" x14ac:dyDescent="0.2">
      <c r="A5064" s="197">
        <v>2024</v>
      </c>
      <c r="B5064" s="197">
        <v>7</v>
      </c>
      <c r="C5064" s="197">
        <v>30</v>
      </c>
      <c r="D5064" s="198">
        <f t="shared" si="507"/>
        <v>45503</v>
      </c>
      <c r="E5064" s="209">
        <f t="shared" si="506"/>
        <v>45503</v>
      </c>
      <c r="F5064" s="513" t="s">
        <v>1280</v>
      </c>
      <c r="G5064" s="200" t="s">
        <v>1209</v>
      </c>
      <c r="H5064" s="201"/>
      <c r="I5064" s="201" t="s">
        <v>1816</v>
      </c>
      <c r="J5064" s="197" t="s">
        <v>16</v>
      </c>
      <c r="K5064" s="202">
        <v>31070</v>
      </c>
      <c r="L5064" s="202"/>
    </row>
    <row r="5065" spans="1:12" ht="11.25" customHeight="1" x14ac:dyDescent="0.2">
      <c r="A5065" s="120">
        <v>2024</v>
      </c>
      <c r="B5065" s="120">
        <v>7</v>
      </c>
      <c r="C5065" s="120">
        <v>30</v>
      </c>
      <c r="D5065" s="208">
        <f t="shared" si="507"/>
        <v>45503</v>
      </c>
      <c r="E5065" s="209">
        <f t="shared" ref="E5065:E5085" si="508">DATE(A5065,B5065,C5065)</f>
        <v>45503</v>
      </c>
      <c r="F5065" s="515"/>
      <c r="G5065" s="132" t="s">
        <v>1209</v>
      </c>
      <c r="I5065" s="128" t="s">
        <v>1816</v>
      </c>
      <c r="J5065" s="120" t="s">
        <v>47</v>
      </c>
      <c r="K5065" s="207">
        <v>3930</v>
      </c>
      <c r="L5065" s="207"/>
    </row>
    <row r="5066" spans="1:12" ht="11.25" customHeight="1" x14ac:dyDescent="0.2">
      <c r="A5066" s="191">
        <v>2024</v>
      </c>
      <c r="B5066" s="191">
        <v>7</v>
      </c>
      <c r="C5066" s="191">
        <v>30</v>
      </c>
      <c r="D5066" s="192">
        <f t="shared" si="507"/>
        <v>45503</v>
      </c>
      <c r="E5066" s="193">
        <f t="shared" si="508"/>
        <v>45503</v>
      </c>
      <c r="F5066" s="514"/>
      <c r="G5066" s="194" t="s">
        <v>1209</v>
      </c>
      <c r="H5066" s="195"/>
      <c r="I5066" s="195" t="s">
        <v>1816</v>
      </c>
      <c r="J5066" s="191" t="s">
        <v>46</v>
      </c>
      <c r="K5066" s="196"/>
      <c r="L5066" s="196">
        <v>35000</v>
      </c>
    </row>
    <row r="5067" spans="1:12" ht="11.25" customHeight="1" x14ac:dyDescent="0.2">
      <c r="A5067" s="197">
        <v>2024</v>
      </c>
      <c r="B5067" s="197">
        <v>7</v>
      </c>
      <c r="C5067" s="197">
        <v>31</v>
      </c>
      <c r="D5067" s="198">
        <f t="shared" si="507"/>
        <v>45504</v>
      </c>
      <c r="E5067" s="209">
        <f t="shared" si="508"/>
        <v>45504</v>
      </c>
      <c r="F5067" s="513" t="s">
        <v>1280</v>
      </c>
      <c r="G5067" s="200" t="s">
        <v>1209</v>
      </c>
      <c r="H5067" s="201"/>
      <c r="I5067" s="201" t="s">
        <v>1816</v>
      </c>
      <c r="J5067" s="197" t="s">
        <v>16</v>
      </c>
      <c r="K5067" s="202">
        <v>8880</v>
      </c>
      <c r="L5067" s="202"/>
    </row>
    <row r="5068" spans="1:12" ht="11.25" customHeight="1" x14ac:dyDescent="0.2">
      <c r="A5068" s="120">
        <v>2024</v>
      </c>
      <c r="B5068" s="120">
        <v>7</v>
      </c>
      <c r="C5068" s="120">
        <v>31</v>
      </c>
      <c r="D5068" s="208">
        <f t="shared" si="507"/>
        <v>45504</v>
      </c>
      <c r="E5068" s="209">
        <f t="shared" si="508"/>
        <v>45504</v>
      </c>
      <c r="F5068" s="515"/>
      <c r="G5068" s="132" t="s">
        <v>1209</v>
      </c>
      <c r="I5068" s="128" t="s">
        <v>1816</v>
      </c>
      <c r="J5068" s="120" t="s">
        <v>47</v>
      </c>
      <c r="K5068" s="207">
        <v>1120</v>
      </c>
      <c r="L5068" s="207"/>
    </row>
    <row r="5069" spans="1:12" ht="11.25" customHeight="1" x14ac:dyDescent="0.2">
      <c r="A5069" s="191">
        <v>2024</v>
      </c>
      <c r="B5069" s="191">
        <v>7</v>
      </c>
      <c r="C5069" s="191">
        <v>31</v>
      </c>
      <c r="D5069" s="192">
        <f t="shared" si="507"/>
        <v>45504</v>
      </c>
      <c r="E5069" s="193">
        <f t="shared" si="508"/>
        <v>45504</v>
      </c>
      <c r="F5069" s="514"/>
      <c r="G5069" s="194" t="s">
        <v>1209</v>
      </c>
      <c r="H5069" s="195"/>
      <c r="I5069" s="195" t="s">
        <v>1816</v>
      </c>
      <c r="J5069" s="191" t="s">
        <v>46</v>
      </c>
      <c r="K5069" s="196"/>
      <c r="L5069" s="196">
        <v>10000</v>
      </c>
    </row>
    <row r="5070" spans="1:12" ht="11.25" customHeight="1" x14ac:dyDescent="0.2">
      <c r="A5070" s="197">
        <v>2024</v>
      </c>
      <c r="B5070" s="197">
        <v>7</v>
      </c>
      <c r="C5070" s="197">
        <v>31</v>
      </c>
      <c r="D5070" s="198">
        <f t="shared" si="507"/>
        <v>45504</v>
      </c>
      <c r="E5070" s="209">
        <f t="shared" si="508"/>
        <v>45504</v>
      </c>
      <c r="F5070" s="513" t="s">
        <v>1210</v>
      </c>
      <c r="G5070" s="200" t="s">
        <v>1209</v>
      </c>
      <c r="H5070" s="201"/>
      <c r="I5070" s="201" t="s">
        <v>349</v>
      </c>
      <c r="J5070" s="197" t="s">
        <v>46</v>
      </c>
      <c r="K5070" s="202">
        <v>100000</v>
      </c>
      <c r="L5070" s="202"/>
    </row>
    <row r="5071" spans="1:12" ht="11.25" customHeight="1" x14ac:dyDescent="0.2">
      <c r="A5071" s="120">
        <v>2024</v>
      </c>
      <c r="B5071" s="120">
        <v>7</v>
      </c>
      <c r="C5071" s="120">
        <v>31</v>
      </c>
      <c r="D5071" s="208">
        <f t="shared" si="507"/>
        <v>45504</v>
      </c>
      <c r="E5071" s="209">
        <f t="shared" si="508"/>
        <v>45504</v>
      </c>
      <c r="F5071" s="515"/>
      <c r="G5071" s="132" t="s">
        <v>1209</v>
      </c>
      <c r="I5071" s="128" t="s">
        <v>349</v>
      </c>
      <c r="J5071" s="120" t="s">
        <v>16</v>
      </c>
      <c r="K5071" s="207"/>
      <c r="L5071" s="207">
        <v>88780</v>
      </c>
    </row>
    <row r="5072" spans="1:12" ht="11.25" customHeight="1" x14ac:dyDescent="0.2">
      <c r="A5072" s="191">
        <v>2024</v>
      </c>
      <c r="B5072" s="191">
        <v>7</v>
      </c>
      <c r="C5072" s="191">
        <v>31</v>
      </c>
      <c r="D5072" s="192">
        <f t="shared" si="507"/>
        <v>45504</v>
      </c>
      <c r="E5072" s="193">
        <f t="shared" si="508"/>
        <v>45504</v>
      </c>
      <c r="F5072" s="514"/>
      <c r="G5072" s="194" t="s">
        <v>1209</v>
      </c>
      <c r="H5072" s="195"/>
      <c r="I5072" s="195" t="s">
        <v>349</v>
      </c>
      <c r="J5072" s="191" t="s">
        <v>47</v>
      </c>
      <c r="K5072" s="196"/>
      <c r="L5072" s="196">
        <v>11220</v>
      </c>
    </row>
    <row r="5073" spans="1:14" ht="11.25" customHeight="1" x14ac:dyDescent="0.2">
      <c r="A5073" s="197">
        <v>2024</v>
      </c>
      <c r="B5073" s="197">
        <v>7</v>
      </c>
      <c r="C5073" s="197">
        <v>31</v>
      </c>
      <c r="D5073" s="198">
        <f t="shared" si="507"/>
        <v>45504</v>
      </c>
      <c r="E5073" s="290">
        <f t="shared" si="508"/>
        <v>45504</v>
      </c>
      <c r="F5073" s="513" t="s">
        <v>1856</v>
      </c>
      <c r="G5073" s="200" t="s">
        <v>1209</v>
      </c>
      <c r="H5073" s="201"/>
      <c r="I5073" s="201" t="s">
        <v>1253</v>
      </c>
      <c r="J5073" s="197" t="s">
        <v>457</v>
      </c>
      <c r="K5073" s="202">
        <v>0.33</v>
      </c>
      <c r="L5073" s="202"/>
    </row>
    <row r="5074" spans="1:14" ht="11.25" customHeight="1" x14ac:dyDescent="0.2">
      <c r="A5074" s="191">
        <v>2024</v>
      </c>
      <c r="B5074" s="191">
        <v>7</v>
      </c>
      <c r="C5074" s="191">
        <v>31</v>
      </c>
      <c r="D5074" s="192">
        <f t="shared" si="507"/>
        <v>45504</v>
      </c>
      <c r="E5074" s="291">
        <f t="shared" si="508"/>
        <v>45504</v>
      </c>
      <c r="F5074" s="514"/>
      <c r="G5074" s="194" t="s">
        <v>1209</v>
      </c>
      <c r="H5074" s="195"/>
      <c r="I5074" s="195" t="s">
        <v>1253</v>
      </c>
      <c r="J5074" s="191" t="s">
        <v>46</v>
      </c>
      <c r="K5074" s="196"/>
      <c r="L5074" s="196">
        <v>0.33</v>
      </c>
    </row>
    <row r="5075" spans="1:14" ht="11.25" customHeight="1" x14ac:dyDescent="0.2">
      <c r="A5075" s="197">
        <v>2024</v>
      </c>
      <c r="B5075" s="197">
        <v>7</v>
      </c>
      <c r="C5075" s="197">
        <v>31</v>
      </c>
      <c r="D5075" s="198">
        <f t="shared" si="507"/>
        <v>45504</v>
      </c>
      <c r="E5075" s="199">
        <f t="shared" si="508"/>
        <v>45504</v>
      </c>
      <c r="F5075" s="513" t="s">
        <v>1854</v>
      </c>
      <c r="G5075" s="200" t="s">
        <v>1209</v>
      </c>
      <c r="H5075" s="201"/>
      <c r="I5075" s="201" t="s">
        <v>1253</v>
      </c>
      <c r="J5075" s="197" t="s">
        <v>1837</v>
      </c>
      <c r="K5075" s="202">
        <v>3443681.7</v>
      </c>
      <c r="L5075" s="202"/>
    </row>
    <row r="5076" spans="1:14" ht="11.25" customHeight="1" x14ac:dyDescent="0.2">
      <c r="A5076" s="191">
        <v>2024</v>
      </c>
      <c r="B5076" s="191">
        <v>7</v>
      </c>
      <c r="C5076" s="191">
        <v>31</v>
      </c>
      <c r="D5076" s="192">
        <f t="shared" si="507"/>
        <v>45504</v>
      </c>
      <c r="E5076" s="193">
        <f t="shared" si="508"/>
        <v>45504</v>
      </c>
      <c r="F5076" s="514"/>
      <c r="G5076" s="194" t="s">
        <v>1209</v>
      </c>
      <c r="H5076" s="195"/>
      <c r="I5076" s="195" t="s">
        <v>1253</v>
      </c>
      <c r="J5076" s="191" t="s">
        <v>46</v>
      </c>
      <c r="K5076" s="196"/>
      <c r="L5076" s="196">
        <v>3443681.7</v>
      </c>
      <c r="N5076" s="130"/>
    </row>
    <row r="5077" spans="1:14" ht="11.25" customHeight="1" x14ac:dyDescent="0.2">
      <c r="A5077" s="197">
        <v>2024</v>
      </c>
      <c r="B5077" s="197">
        <v>7</v>
      </c>
      <c r="C5077" s="197">
        <v>31</v>
      </c>
      <c r="D5077" s="198">
        <f t="shared" si="507"/>
        <v>45504</v>
      </c>
      <c r="E5077" s="199">
        <f t="shared" si="508"/>
        <v>45504</v>
      </c>
      <c r="F5077" s="513" t="s">
        <v>1391</v>
      </c>
      <c r="G5077" s="200" t="s">
        <v>1209</v>
      </c>
      <c r="H5077" s="201"/>
      <c r="I5077" s="201"/>
      <c r="J5077" s="197" t="s">
        <v>46</v>
      </c>
      <c r="K5077" s="202">
        <v>2800000</v>
      </c>
      <c r="L5077" s="202"/>
    </row>
    <row r="5078" spans="1:14" ht="11.25" customHeight="1" x14ac:dyDescent="0.2">
      <c r="A5078" s="191">
        <v>2024</v>
      </c>
      <c r="B5078" s="191">
        <v>7</v>
      </c>
      <c r="C5078" s="191">
        <v>31</v>
      </c>
      <c r="D5078" s="192">
        <f t="shared" si="507"/>
        <v>45504</v>
      </c>
      <c r="E5078" s="193">
        <f t="shared" si="508"/>
        <v>45504</v>
      </c>
      <c r="F5078" s="514"/>
      <c r="G5078" s="194" t="s">
        <v>1209</v>
      </c>
      <c r="H5078" s="195"/>
      <c r="I5078" s="195"/>
      <c r="J5078" s="191" t="s">
        <v>178</v>
      </c>
      <c r="K5078" s="196"/>
      <c r="L5078" s="196">
        <v>2800000</v>
      </c>
    </row>
    <row r="5079" spans="1:14" ht="11.25" customHeight="1" x14ac:dyDescent="0.2">
      <c r="A5079" s="382">
        <v>2024</v>
      </c>
      <c r="B5079" s="382">
        <v>8</v>
      </c>
      <c r="C5079" s="382">
        <v>1</v>
      </c>
      <c r="D5079" s="383">
        <f t="shared" si="507"/>
        <v>45505</v>
      </c>
      <c r="E5079" s="384">
        <f t="shared" si="508"/>
        <v>45505</v>
      </c>
      <c r="F5079" s="516" t="s">
        <v>1850</v>
      </c>
      <c r="G5079" s="385" t="s">
        <v>1209</v>
      </c>
      <c r="H5079" s="386"/>
      <c r="I5079" s="386"/>
      <c r="J5079" s="387" t="s">
        <v>81</v>
      </c>
      <c r="K5079" s="388">
        <v>6973.2450980392159</v>
      </c>
      <c r="L5079" s="388"/>
    </row>
    <row r="5080" spans="1:14" ht="11.25" customHeight="1" x14ac:dyDescent="0.2">
      <c r="A5080" s="389">
        <v>2024</v>
      </c>
      <c r="B5080" s="389">
        <v>8</v>
      </c>
      <c r="C5080" s="389">
        <v>1</v>
      </c>
      <c r="D5080" s="390">
        <f t="shared" si="507"/>
        <v>45505</v>
      </c>
      <c r="E5080" s="391">
        <f t="shared" si="508"/>
        <v>45505</v>
      </c>
      <c r="F5080" s="517"/>
      <c r="G5080" s="392" t="s">
        <v>1209</v>
      </c>
      <c r="H5080" s="393"/>
      <c r="I5080" s="393"/>
      <c r="J5080" s="394" t="s">
        <v>1847</v>
      </c>
      <c r="K5080" s="388"/>
      <c r="L5080" s="388">
        <v>6973.2450980392159</v>
      </c>
    </row>
    <row r="5081" spans="1:14" ht="11.25" customHeight="1" x14ac:dyDescent="0.2">
      <c r="A5081" s="344">
        <v>2024</v>
      </c>
      <c r="B5081" s="344">
        <v>8</v>
      </c>
      <c r="C5081" s="344">
        <v>1</v>
      </c>
      <c r="D5081" s="345">
        <f t="shared" si="507"/>
        <v>45505</v>
      </c>
      <c r="E5081" s="346">
        <f t="shared" si="508"/>
        <v>45505</v>
      </c>
      <c r="F5081" s="518" t="s">
        <v>1621</v>
      </c>
      <c r="G5081" s="347" t="s">
        <v>1245</v>
      </c>
      <c r="H5081" s="348"/>
      <c r="I5081" s="348" t="s">
        <v>1253</v>
      </c>
      <c r="J5081" s="344" t="s">
        <v>113</v>
      </c>
      <c r="K5081" s="349">
        <v>229134.61538461523</v>
      </c>
      <c r="L5081" s="349"/>
    </row>
    <row r="5082" spans="1:14" ht="11.25" customHeight="1" x14ac:dyDescent="0.2">
      <c r="A5082" s="350">
        <v>2024</v>
      </c>
      <c r="B5082" s="350">
        <v>8</v>
      </c>
      <c r="C5082" s="350">
        <v>1</v>
      </c>
      <c r="D5082" s="351">
        <f t="shared" si="507"/>
        <v>45505</v>
      </c>
      <c r="E5082" s="352">
        <f t="shared" si="508"/>
        <v>45505</v>
      </c>
      <c r="F5082" s="519"/>
      <c r="G5082" s="353" t="s">
        <v>1245</v>
      </c>
      <c r="H5082" s="354"/>
      <c r="I5082" s="354" t="s">
        <v>1253</v>
      </c>
      <c r="J5082" s="350" t="s">
        <v>153</v>
      </c>
      <c r="K5082" s="355"/>
      <c r="L5082" s="355">
        <f>K5081</f>
        <v>229134.61538461523</v>
      </c>
    </row>
    <row r="5083" spans="1:14" ht="11.25" customHeight="1" x14ac:dyDescent="0.2">
      <c r="A5083" s="210">
        <v>2024</v>
      </c>
      <c r="B5083" s="210">
        <v>8</v>
      </c>
      <c r="C5083" s="210">
        <v>1</v>
      </c>
      <c r="D5083" s="211">
        <f t="shared" si="507"/>
        <v>45505</v>
      </c>
      <c r="E5083" s="238">
        <f t="shared" si="508"/>
        <v>45505</v>
      </c>
      <c r="F5083" s="520" t="s">
        <v>1278</v>
      </c>
      <c r="G5083" s="213" t="s">
        <v>1245</v>
      </c>
      <c r="H5083" s="214"/>
      <c r="I5083" s="214" t="s">
        <v>1253</v>
      </c>
      <c r="J5083" s="210" t="s">
        <v>1529</v>
      </c>
      <c r="K5083" s="215">
        <v>510.40384615384613</v>
      </c>
      <c r="L5083" s="215"/>
    </row>
    <row r="5084" spans="1:14" ht="11.25" customHeight="1" x14ac:dyDescent="0.2">
      <c r="A5084" s="216">
        <v>2024</v>
      </c>
      <c r="B5084" s="216">
        <v>8</v>
      </c>
      <c r="C5084" s="216">
        <v>1</v>
      </c>
      <c r="D5084" s="217">
        <f t="shared" si="507"/>
        <v>45505</v>
      </c>
      <c r="E5084" s="239">
        <f t="shared" si="508"/>
        <v>45505</v>
      </c>
      <c r="F5084" s="521"/>
      <c r="G5084" s="219" t="s">
        <v>1245</v>
      </c>
      <c r="H5084" s="220"/>
      <c r="I5084" s="220" t="s">
        <v>1253</v>
      </c>
      <c r="J5084" s="216" t="s">
        <v>1581</v>
      </c>
      <c r="K5084" s="221"/>
      <c r="L5084" s="221">
        <v>510.40384615384613</v>
      </c>
    </row>
    <row r="5085" spans="1:14" ht="11.25" customHeight="1" x14ac:dyDescent="0.2">
      <c r="A5085" s="210">
        <v>2024</v>
      </c>
      <c r="B5085" s="210">
        <v>8</v>
      </c>
      <c r="C5085" s="210">
        <v>1</v>
      </c>
      <c r="D5085" s="211">
        <f t="shared" si="507"/>
        <v>45505</v>
      </c>
      <c r="E5085" s="238">
        <f t="shared" si="508"/>
        <v>45505</v>
      </c>
      <c r="F5085" s="520" t="s">
        <v>1857</v>
      </c>
      <c r="G5085" s="213" t="s">
        <v>1245</v>
      </c>
      <c r="H5085" s="214"/>
      <c r="I5085" s="214" t="s">
        <v>1253</v>
      </c>
      <c r="J5085" s="210" t="s">
        <v>1284</v>
      </c>
      <c r="K5085" s="215">
        <v>8903.4309440559427</v>
      </c>
      <c r="L5085" s="215"/>
    </row>
    <row r="5086" spans="1:14" ht="11.25" customHeight="1" x14ac:dyDescent="0.2">
      <c r="A5086" s="242">
        <v>2024</v>
      </c>
      <c r="B5086" s="242">
        <v>8</v>
      </c>
      <c r="C5086" s="242">
        <v>1</v>
      </c>
      <c r="D5086" s="243">
        <f t="shared" si="507"/>
        <v>45505</v>
      </c>
      <c r="E5086" s="244">
        <f>DATE(A5086,B5086,C5086)</f>
        <v>45505</v>
      </c>
      <c r="F5086" s="524"/>
      <c r="G5086" s="245" t="s">
        <v>1245</v>
      </c>
      <c r="H5086" s="246"/>
      <c r="I5086" s="246"/>
      <c r="J5086" s="242" t="s">
        <v>1582</v>
      </c>
      <c r="K5086" s="247"/>
      <c r="L5086" s="247">
        <v>8903.4309440559427</v>
      </c>
    </row>
    <row r="5087" spans="1:14" ht="11.25" customHeight="1" x14ac:dyDescent="0.2">
      <c r="A5087" s="210">
        <v>2024</v>
      </c>
      <c r="B5087" s="210">
        <v>8</v>
      </c>
      <c r="C5087" s="210">
        <v>1</v>
      </c>
      <c r="D5087" s="211">
        <f t="shared" si="507"/>
        <v>45505</v>
      </c>
      <c r="E5087" s="238">
        <f t="shared" ref="E5087:E5100" si="509">DATE(A5087,B5087,C5087)</f>
        <v>45505</v>
      </c>
      <c r="F5087" s="520" t="s">
        <v>1259</v>
      </c>
      <c r="G5087" s="213" t="s">
        <v>1245</v>
      </c>
      <c r="H5087" s="214"/>
      <c r="I5087" s="214" t="s">
        <v>1253</v>
      </c>
      <c r="J5087" s="210" t="s">
        <v>58</v>
      </c>
      <c r="K5087" s="215">
        <v>8064.87</v>
      </c>
      <c r="L5087" s="215"/>
    </row>
    <row r="5088" spans="1:14" ht="11.25" customHeight="1" x14ac:dyDescent="0.2">
      <c r="A5088" s="216">
        <v>2024</v>
      </c>
      <c r="B5088" s="216">
        <v>8</v>
      </c>
      <c r="C5088" s="216">
        <v>1</v>
      </c>
      <c r="D5088" s="217">
        <f t="shared" si="507"/>
        <v>45505</v>
      </c>
      <c r="E5088" s="239">
        <f t="shared" si="509"/>
        <v>45505</v>
      </c>
      <c r="F5088" s="521"/>
      <c r="G5088" s="219" t="s">
        <v>1245</v>
      </c>
      <c r="H5088" s="220"/>
      <c r="I5088" s="220" t="s">
        <v>1253</v>
      </c>
      <c r="J5088" s="216" t="s">
        <v>153</v>
      </c>
      <c r="K5088" s="221"/>
      <c r="L5088" s="221">
        <f>K5087</f>
        <v>8064.87</v>
      </c>
    </row>
    <row r="5089" spans="1:13" ht="11.25" customHeight="1" x14ac:dyDescent="0.2">
      <c r="A5089" s="312">
        <v>2024</v>
      </c>
      <c r="B5089" s="312">
        <v>8</v>
      </c>
      <c r="C5089" s="312">
        <v>1</v>
      </c>
      <c r="D5089" s="313">
        <f t="shared" si="507"/>
        <v>45505</v>
      </c>
      <c r="E5089" s="314">
        <f t="shared" si="509"/>
        <v>45505</v>
      </c>
      <c r="F5089" s="522" t="s">
        <v>1477</v>
      </c>
      <c r="G5089" s="315" t="s">
        <v>1245</v>
      </c>
      <c r="H5089" s="316"/>
      <c r="I5089" s="316" t="s">
        <v>1253</v>
      </c>
      <c r="J5089" s="312" t="s">
        <v>1460</v>
      </c>
      <c r="K5089" s="317">
        <v>178344</v>
      </c>
      <c r="L5089" s="317"/>
    </row>
    <row r="5090" spans="1:13" ht="11.25" customHeight="1" x14ac:dyDescent="0.2">
      <c r="A5090" s="318">
        <v>2024</v>
      </c>
      <c r="B5090" s="318">
        <v>8</v>
      </c>
      <c r="C5090" s="318">
        <v>1</v>
      </c>
      <c r="D5090" s="319">
        <f t="shared" si="507"/>
        <v>45505</v>
      </c>
      <c r="E5090" s="320">
        <f t="shared" si="509"/>
        <v>45505</v>
      </c>
      <c r="F5090" s="523"/>
      <c r="G5090" s="321" t="s">
        <v>1245</v>
      </c>
      <c r="H5090" s="322"/>
      <c r="I5090" s="322" t="s">
        <v>1253</v>
      </c>
      <c r="J5090" s="318" t="s">
        <v>1458</v>
      </c>
      <c r="K5090" s="323"/>
      <c r="L5090" s="323">
        <f>K5089</f>
        <v>178344</v>
      </c>
    </row>
    <row r="5091" spans="1:13" ht="11.25" customHeight="1" x14ac:dyDescent="0.2">
      <c r="A5091" s="312">
        <v>2024</v>
      </c>
      <c r="B5091" s="312">
        <v>8</v>
      </c>
      <c r="C5091" s="312">
        <v>1</v>
      </c>
      <c r="D5091" s="313">
        <f t="shared" si="507"/>
        <v>45505</v>
      </c>
      <c r="E5091" s="314">
        <f t="shared" si="509"/>
        <v>45505</v>
      </c>
      <c r="F5091" s="522" t="s">
        <v>1595</v>
      </c>
      <c r="G5091" s="315" t="s">
        <v>1245</v>
      </c>
      <c r="H5091" s="316"/>
      <c r="I5091" s="316" t="s">
        <v>1253</v>
      </c>
      <c r="J5091" s="312" t="s">
        <v>1461</v>
      </c>
      <c r="K5091" s="317">
        <v>241499.15400002897</v>
      </c>
      <c r="L5091" s="317"/>
    </row>
    <row r="5092" spans="1:13" ht="11.25" customHeight="1" x14ac:dyDescent="0.2">
      <c r="A5092" s="318">
        <v>2024</v>
      </c>
      <c r="B5092" s="318">
        <v>8</v>
      </c>
      <c r="C5092" s="318">
        <v>1</v>
      </c>
      <c r="D5092" s="319">
        <f t="shared" si="507"/>
        <v>45505</v>
      </c>
      <c r="E5092" s="320">
        <f t="shared" si="509"/>
        <v>45505</v>
      </c>
      <c r="F5092" s="523"/>
      <c r="G5092" s="321" t="s">
        <v>1245</v>
      </c>
      <c r="H5092" s="322"/>
      <c r="I5092" s="322" t="s">
        <v>1253</v>
      </c>
      <c r="J5092" s="318" t="s">
        <v>1459</v>
      </c>
      <c r="K5092" s="323"/>
      <c r="L5092" s="323">
        <f>K5091</f>
        <v>241499.15400002897</v>
      </c>
    </row>
    <row r="5093" spans="1:13" ht="11.25" customHeight="1" x14ac:dyDescent="0.2">
      <c r="A5093" s="222">
        <v>2024</v>
      </c>
      <c r="B5093" s="222">
        <v>8</v>
      </c>
      <c r="C5093" s="222">
        <v>1</v>
      </c>
      <c r="D5093" s="223">
        <f t="shared" si="507"/>
        <v>45505</v>
      </c>
      <c r="E5093" s="240">
        <f t="shared" si="509"/>
        <v>45505</v>
      </c>
      <c r="F5093" s="511" t="s">
        <v>1244</v>
      </c>
      <c r="G5093" s="225" t="s">
        <v>1245</v>
      </c>
      <c r="H5093" s="226"/>
      <c r="I5093" s="226" t="s">
        <v>1253</v>
      </c>
      <c r="J5093" s="222" t="s">
        <v>87</v>
      </c>
      <c r="K5093" s="227">
        <v>339774.70000000019</v>
      </c>
      <c r="L5093" s="227"/>
    </row>
    <row r="5094" spans="1:13" ht="11.25" customHeight="1" x14ac:dyDescent="0.2">
      <c r="A5094" s="228">
        <v>2024</v>
      </c>
      <c r="B5094" s="228">
        <v>8</v>
      </c>
      <c r="C5094" s="228">
        <v>1</v>
      </c>
      <c r="D5094" s="229">
        <f t="shared" si="507"/>
        <v>45505</v>
      </c>
      <c r="E5094" s="241">
        <f t="shared" si="509"/>
        <v>45505</v>
      </c>
      <c r="F5094" s="512"/>
      <c r="G5094" s="231" t="s">
        <v>1245</v>
      </c>
      <c r="H5094" s="232"/>
      <c r="I5094" s="232" t="s">
        <v>1253</v>
      </c>
      <c r="J5094" s="228" t="s">
        <v>72</v>
      </c>
      <c r="K5094" s="233"/>
      <c r="L5094" s="233">
        <f>K5093</f>
        <v>339774.70000000019</v>
      </c>
    </row>
    <row r="5095" spans="1:13" ht="11.25" customHeight="1" x14ac:dyDescent="0.2">
      <c r="A5095" s="222">
        <v>2024</v>
      </c>
      <c r="B5095" s="222">
        <v>8</v>
      </c>
      <c r="C5095" s="222">
        <v>1</v>
      </c>
      <c r="D5095" s="223">
        <f t="shared" si="507"/>
        <v>45505</v>
      </c>
      <c r="E5095" s="240">
        <f t="shared" si="509"/>
        <v>45505</v>
      </c>
      <c r="F5095" s="511" t="s">
        <v>1246</v>
      </c>
      <c r="G5095" s="225" t="s">
        <v>1245</v>
      </c>
      <c r="H5095" s="226"/>
      <c r="I5095" s="226" t="s">
        <v>1253</v>
      </c>
      <c r="J5095" s="222" t="s">
        <v>75</v>
      </c>
      <c r="K5095" s="227">
        <v>3623.123846153846</v>
      </c>
      <c r="L5095" s="227"/>
    </row>
    <row r="5096" spans="1:13" ht="11.25" customHeight="1" x14ac:dyDescent="0.2">
      <c r="A5096" s="228">
        <v>2024</v>
      </c>
      <c r="B5096" s="228">
        <v>8</v>
      </c>
      <c r="C5096" s="228">
        <v>1</v>
      </c>
      <c r="D5096" s="229">
        <f t="shared" si="507"/>
        <v>45505</v>
      </c>
      <c r="E5096" s="241">
        <f t="shared" si="509"/>
        <v>45505</v>
      </c>
      <c r="F5096" s="512"/>
      <c r="G5096" s="231" t="s">
        <v>1245</v>
      </c>
      <c r="H5096" s="232"/>
      <c r="I5096" s="232" t="s">
        <v>1253</v>
      </c>
      <c r="J5096" s="228" t="s">
        <v>55</v>
      </c>
      <c r="K5096" s="233"/>
      <c r="L5096" s="233">
        <v>3623.123846153846</v>
      </c>
    </row>
    <row r="5097" spans="1:13" ht="11.25" customHeight="1" x14ac:dyDescent="0.2">
      <c r="A5097" s="222">
        <v>2024</v>
      </c>
      <c r="B5097" s="222">
        <v>8</v>
      </c>
      <c r="C5097" s="222">
        <v>1</v>
      </c>
      <c r="D5097" s="223">
        <f t="shared" si="507"/>
        <v>45505</v>
      </c>
      <c r="E5097" s="240">
        <f t="shared" si="509"/>
        <v>45505</v>
      </c>
      <c r="F5097" s="511" t="s">
        <v>1247</v>
      </c>
      <c r="G5097" s="225" t="s">
        <v>1245</v>
      </c>
      <c r="H5097" s="226"/>
      <c r="I5097" s="226" t="s">
        <v>1253</v>
      </c>
      <c r="J5097" s="222" t="s">
        <v>77</v>
      </c>
      <c r="K5097" s="227">
        <f>M5097</f>
        <v>20000</v>
      </c>
      <c r="L5097" s="227"/>
      <c r="M5097" s="120">
        <v>20000</v>
      </c>
    </row>
    <row r="5098" spans="1:13" ht="11.25" customHeight="1" x14ac:dyDescent="0.2">
      <c r="A5098" s="228">
        <v>2024</v>
      </c>
      <c r="B5098" s="228">
        <v>8</v>
      </c>
      <c r="C5098" s="228">
        <v>1</v>
      </c>
      <c r="D5098" s="229">
        <f t="shared" si="507"/>
        <v>45505</v>
      </c>
      <c r="E5098" s="241">
        <f t="shared" si="509"/>
        <v>45505</v>
      </c>
      <c r="F5098" s="512"/>
      <c r="G5098" s="231" t="s">
        <v>1245</v>
      </c>
      <c r="H5098" s="232"/>
      <c r="I5098" s="232" t="s">
        <v>1253</v>
      </c>
      <c r="J5098" s="228" t="s">
        <v>41</v>
      </c>
      <c r="K5098" s="233"/>
      <c r="L5098" s="233">
        <f>K5097</f>
        <v>20000</v>
      </c>
      <c r="M5098" s="120">
        <v>3524.6553424459194</v>
      </c>
    </row>
    <row r="5099" spans="1:13" ht="11.25" customHeight="1" x14ac:dyDescent="0.2">
      <c r="A5099" s="222">
        <v>2024</v>
      </c>
      <c r="B5099" s="222">
        <v>8</v>
      </c>
      <c r="C5099" s="222">
        <v>1</v>
      </c>
      <c r="D5099" s="223">
        <f t="shared" si="507"/>
        <v>45505</v>
      </c>
      <c r="E5099" s="240">
        <f t="shared" si="509"/>
        <v>45505</v>
      </c>
      <c r="F5099" s="511" t="s">
        <v>1248</v>
      </c>
      <c r="G5099" s="225" t="s">
        <v>1245</v>
      </c>
      <c r="H5099" s="226"/>
      <c r="I5099" s="226" t="s">
        <v>1253</v>
      </c>
      <c r="J5099" s="222" t="s">
        <v>80</v>
      </c>
      <c r="K5099" s="227">
        <f>M5098</f>
        <v>3524.6553424459194</v>
      </c>
      <c r="L5099" s="227"/>
    </row>
    <row r="5100" spans="1:13" x14ac:dyDescent="0.2">
      <c r="A5100" s="228">
        <v>2024</v>
      </c>
      <c r="B5100" s="228">
        <v>8</v>
      </c>
      <c r="C5100" s="228">
        <v>1</v>
      </c>
      <c r="D5100" s="229">
        <f t="shared" ref="D5100:D5163" si="510">DATE(A5100,B5100,C5100)</f>
        <v>45505</v>
      </c>
      <c r="E5100" s="241">
        <f t="shared" si="509"/>
        <v>45505</v>
      </c>
      <c r="F5100" s="512"/>
      <c r="G5100" s="231" t="s">
        <v>1245</v>
      </c>
      <c r="H5100" s="232"/>
      <c r="I5100" s="232" t="s">
        <v>1253</v>
      </c>
      <c r="J5100" s="228" t="s">
        <v>42</v>
      </c>
      <c r="K5100" s="233"/>
      <c r="L5100" s="233">
        <f>K5099</f>
        <v>3524.6553424459194</v>
      </c>
    </row>
    <row r="5101" spans="1:13" ht="11.25" customHeight="1" x14ac:dyDescent="0.2">
      <c r="A5101" s="197">
        <v>2024</v>
      </c>
      <c r="B5101" s="197">
        <v>8</v>
      </c>
      <c r="C5101" s="197">
        <v>4</v>
      </c>
      <c r="D5101" s="198">
        <f t="shared" si="510"/>
        <v>45508</v>
      </c>
      <c r="E5101" s="290">
        <f>DATE(A5101,B5101,C5101)</f>
        <v>45508</v>
      </c>
      <c r="F5101" s="513" t="s">
        <v>1858</v>
      </c>
      <c r="G5101" s="200" t="s">
        <v>1245</v>
      </c>
      <c r="H5101" s="201"/>
      <c r="I5101" s="201" t="s">
        <v>1253</v>
      </c>
      <c r="J5101" s="197" t="s">
        <v>46</v>
      </c>
      <c r="K5101" s="202">
        <v>267553.13</v>
      </c>
      <c r="L5101" s="202"/>
    </row>
    <row r="5102" spans="1:13" ht="11.25" customHeight="1" x14ac:dyDescent="0.2">
      <c r="A5102" s="191">
        <v>2024</v>
      </c>
      <c r="B5102" s="191">
        <v>8</v>
      </c>
      <c r="C5102" s="191">
        <v>4</v>
      </c>
      <c r="D5102" s="192">
        <f t="shared" si="510"/>
        <v>45508</v>
      </c>
      <c r="E5102" s="291">
        <f>DATE(A5102,B5102,C5102)</f>
        <v>45508</v>
      </c>
      <c r="F5102" s="514"/>
      <c r="G5102" s="194" t="s">
        <v>1245</v>
      </c>
      <c r="H5102" s="195"/>
      <c r="I5102" s="195" t="s">
        <v>1253</v>
      </c>
      <c r="J5102" s="191" t="s">
        <v>1284</v>
      </c>
      <c r="K5102" s="196"/>
      <c r="L5102" s="196">
        <v>267553.13</v>
      </c>
    </row>
    <row r="5103" spans="1:13" ht="11.25" customHeight="1" x14ac:dyDescent="0.2">
      <c r="A5103" s="197">
        <v>2024</v>
      </c>
      <c r="B5103" s="197">
        <v>8</v>
      </c>
      <c r="C5103" s="197">
        <v>4</v>
      </c>
      <c r="D5103" s="198">
        <f t="shared" si="510"/>
        <v>45508</v>
      </c>
      <c r="E5103" s="199">
        <f t="shared" ref="E5103:E5155" si="511">DATE(A5103,B5103,C5103)</f>
        <v>45508</v>
      </c>
      <c r="F5103" s="513" t="s">
        <v>1859</v>
      </c>
      <c r="G5103" s="200" t="s">
        <v>1209</v>
      </c>
      <c r="H5103" s="201"/>
      <c r="I5103" s="201" t="s">
        <v>1253</v>
      </c>
      <c r="J5103" s="197" t="s">
        <v>46</v>
      </c>
      <c r="K5103" s="202">
        <v>5000000</v>
      </c>
      <c r="L5103" s="202"/>
    </row>
    <row r="5104" spans="1:13" ht="11.25" customHeight="1" x14ac:dyDescent="0.2">
      <c r="A5104" s="120">
        <v>2024</v>
      </c>
      <c r="B5104" s="120">
        <v>8</v>
      </c>
      <c r="C5104" s="120">
        <v>4</v>
      </c>
      <c r="D5104" s="208">
        <f t="shared" si="510"/>
        <v>45508</v>
      </c>
      <c r="E5104" s="209">
        <f t="shared" si="511"/>
        <v>45508</v>
      </c>
      <c r="F5104" s="515"/>
      <c r="G5104" s="132" t="s">
        <v>1209</v>
      </c>
      <c r="J5104" s="120" t="s">
        <v>1462</v>
      </c>
      <c r="K5104" s="328"/>
      <c r="L5104" s="207">
        <v>137595</v>
      </c>
    </row>
    <row r="5105" spans="1:14" ht="11.25" customHeight="1" x14ac:dyDescent="0.2">
      <c r="A5105" s="191">
        <v>2024</v>
      </c>
      <c r="B5105" s="191">
        <v>8</v>
      </c>
      <c r="C5105" s="191">
        <v>4</v>
      </c>
      <c r="D5105" s="192">
        <f t="shared" si="510"/>
        <v>45508</v>
      </c>
      <c r="E5105" s="193">
        <f t="shared" si="511"/>
        <v>45508</v>
      </c>
      <c r="F5105" s="514"/>
      <c r="G5105" s="194" t="s">
        <v>1209</v>
      </c>
      <c r="H5105" s="195"/>
      <c r="I5105" s="195" t="s">
        <v>1253</v>
      </c>
      <c r="J5105" s="191" t="s">
        <v>1455</v>
      </c>
      <c r="K5105" s="196"/>
      <c r="L5105" s="196">
        <v>4862405</v>
      </c>
      <c r="N5105" s="130"/>
    </row>
    <row r="5106" spans="1:14" ht="11.25" customHeight="1" x14ac:dyDescent="0.2">
      <c r="A5106" s="197">
        <v>2024</v>
      </c>
      <c r="B5106" s="197">
        <v>8</v>
      </c>
      <c r="C5106" s="197">
        <v>5</v>
      </c>
      <c r="D5106" s="198">
        <f t="shared" si="510"/>
        <v>45509</v>
      </c>
      <c r="E5106" s="209">
        <f t="shared" si="511"/>
        <v>45509</v>
      </c>
      <c r="F5106" s="513" t="s">
        <v>1280</v>
      </c>
      <c r="G5106" s="200" t="s">
        <v>1209</v>
      </c>
      <c r="H5106" s="201"/>
      <c r="I5106" s="201" t="s">
        <v>1504</v>
      </c>
      <c r="J5106" s="197" t="s">
        <v>16</v>
      </c>
      <c r="K5106" s="202">
        <v>10030</v>
      </c>
      <c r="L5106" s="202"/>
    </row>
    <row r="5107" spans="1:14" ht="11.25" customHeight="1" x14ac:dyDescent="0.2">
      <c r="A5107" s="120">
        <v>2024</v>
      </c>
      <c r="B5107" s="120">
        <v>8</v>
      </c>
      <c r="C5107" s="120">
        <v>5</v>
      </c>
      <c r="D5107" s="208">
        <f t="shared" si="510"/>
        <v>45509</v>
      </c>
      <c r="E5107" s="209">
        <f t="shared" si="511"/>
        <v>45509</v>
      </c>
      <c r="F5107" s="515"/>
      <c r="G5107" s="132" t="s">
        <v>1209</v>
      </c>
      <c r="I5107" s="128" t="s">
        <v>1504</v>
      </c>
      <c r="J5107" s="120" t="s">
        <v>47</v>
      </c>
      <c r="K5107" s="207">
        <v>1293.2999999999993</v>
      </c>
      <c r="L5107" s="207"/>
    </row>
    <row r="5108" spans="1:14" ht="11.25" customHeight="1" x14ac:dyDescent="0.2">
      <c r="A5108" s="191">
        <v>2024</v>
      </c>
      <c r="B5108" s="191">
        <v>8</v>
      </c>
      <c r="C5108" s="191">
        <v>5</v>
      </c>
      <c r="D5108" s="192">
        <f t="shared" si="510"/>
        <v>45509</v>
      </c>
      <c r="E5108" s="193">
        <f t="shared" si="511"/>
        <v>45509</v>
      </c>
      <c r="F5108" s="514"/>
      <c r="G5108" s="194" t="s">
        <v>1209</v>
      </c>
      <c r="H5108" s="195"/>
      <c r="I5108" s="195" t="s">
        <v>1504</v>
      </c>
      <c r="J5108" s="191" t="s">
        <v>46</v>
      </c>
      <c r="K5108" s="196"/>
      <c r="L5108" s="196">
        <v>11323.3</v>
      </c>
    </row>
    <row r="5109" spans="1:14" ht="11.25" customHeight="1" x14ac:dyDescent="0.2">
      <c r="A5109" s="197">
        <v>2024</v>
      </c>
      <c r="B5109" s="197">
        <v>8</v>
      </c>
      <c r="C5109" s="197">
        <v>5</v>
      </c>
      <c r="D5109" s="198">
        <f t="shared" si="510"/>
        <v>45509</v>
      </c>
      <c r="E5109" s="209">
        <f t="shared" si="511"/>
        <v>45509</v>
      </c>
      <c r="F5109" s="513" t="s">
        <v>1280</v>
      </c>
      <c r="G5109" s="200" t="s">
        <v>1209</v>
      </c>
      <c r="H5109" s="201"/>
      <c r="I5109" s="201" t="s">
        <v>1656</v>
      </c>
      <c r="J5109" s="197" t="s">
        <v>16</v>
      </c>
      <c r="K5109" s="202">
        <v>117720</v>
      </c>
      <c r="L5109" s="202"/>
    </row>
    <row r="5110" spans="1:14" ht="11.25" customHeight="1" x14ac:dyDescent="0.2">
      <c r="A5110" s="120">
        <v>2024</v>
      </c>
      <c r="B5110" s="120">
        <v>8</v>
      </c>
      <c r="C5110" s="120">
        <v>5</v>
      </c>
      <c r="D5110" s="208">
        <f t="shared" si="510"/>
        <v>45509</v>
      </c>
      <c r="E5110" s="209">
        <f t="shared" si="511"/>
        <v>45509</v>
      </c>
      <c r="F5110" s="515"/>
      <c r="G5110" s="132" t="s">
        <v>1209</v>
      </c>
      <c r="I5110" s="128" t="s">
        <v>1656</v>
      </c>
      <c r="J5110" s="120" t="s">
        <v>47</v>
      </c>
      <c r="K5110" s="207">
        <v>15162.339999999997</v>
      </c>
      <c r="L5110" s="207"/>
    </row>
    <row r="5111" spans="1:14" ht="11.25" customHeight="1" x14ac:dyDescent="0.2">
      <c r="A5111" s="191">
        <v>2024</v>
      </c>
      <c r="B5111" s="191">
        <v>8</v>
      </c>
      <c r="C5111" s="191">
        <v>5</v>
      </c>
      <c r="D5111" s="192">
        <f t="shared" si="510"/>
        <v>45509</v>
      </c>
      <c r="E5111" s="193">
        <f t="shared" si="511"/>
        <v>45509</v>
      </c>
      <c r="F5111" s="514"/>
      <c r="G5111" s="194" t="s">
        <v>1209</v>
      </c>
      <c r="H5111" s="195"/>
      <c r="I5111" s="195" t="s">
        <v>1656</v>
      </c>
      <c r="J5111" s="191" t="s">
        <v>46</v>
      </c>
      <c r="K5111" s="196"/>
      <c r="L5111" s="196">
        <v>132882.34</v>
      </c>
    </row>
    <row r="5112" spans="1:14" ht="11.25" customHeight="1" x14ac:dyDescent="0.2">
      <c r="A5112" s="197">
        <v>2024</v>
      </c>
      <c r="B5112" s="197">
        <v>8</v>
      </c>
      <c r="C5112" s="197">
        <v>5</v>
      </c>
      <c r="D5112" s="198">
        <f t="shared" si="510"/>
        <v>45509</v>
      </c>
      <c r="E5112" s="209">
        <f t="shared" si="511"/>
        <v>45509</v>
      </c>
      <c r="F5112" s="513" t="s">
        <v>1280</v>
      </c>
      <c r="G5112" s="200" t="s">
        <v>1209</v>
      </c>
      <c r="H5112" s="201"/>
      <c r="I5112" s="201" t="s">
        <v>724</v>
      </c>
      <c r="J5112" s="197" t="s">
        <v>16</v>
      </c>
      <c r="K5112" s="202">
        <v>770580</v>
      </c>
      <c r="L5112" s="202"/>
    </row>
    <row r="5113" spans="1:14" ht="11.25" customHeight="1" x14ac:dyDescent="0.2">
      <c r="A5113" s="120">
        <v>2024</v>
      </c>
      <c r="B5113" s="120">
        <v>8</v>
      </c>
      <c r="C5113" s="120">
        <v>5</v>
      </c>
      <c r="D5113" s="208">
        <f t="shared" si="510"/>
        <v>45509</v>
      </c>
      <c r="E5113" s="209">
        <f t="shared" si="511"/>
        <v>45509</v>
      </c>
      <c r="F5113" s="515"/>
      <c r="G5113" s="132" t="s">
        <v>1209</v>
      </c>
      <c r="I5113" s="128" t="s">
        <v>724</v>
      </c>
      <c r="J5113" s="120" t="s">
        <v>47</v>
      </c>
      <c r="K5113" s="207">
        <v>99250.699999999953</v>
      </c>
      <c r="L5113" s="207"/>
    </row>
    <row r="5114" spans="1:14" ht="11.25" customHeight="1" x14ac:dyDescent="0.2">
      <c r="A5114" s="191">
        <v>2024</v>
      </c>
      <c r="B5114" s="191">
        <v>8</v>
      </c>
      <c r="C5114" s="191">
        <v>5</v>
      </c>
      <c r="D5114" s="192">
        <f t="shared" si="510"/>
        <v>45509</v>
      </c>
      <c r="E5114" s="193">
        <f t="shared" si="511"/>
        <v>45509</v>
      </c>
      <c r="F5114" s="514"/>
      <c r="G5114" s="194" t="s">
        <v>1209</v>
      </c>
      <c r="H5114" s="195"/>
      <c r="I5114" s="195" t="s">
        <v>724</v>
      </c>
      <c r="J5114" s="191" t="s">
        <v>46</v>
      </c>
      <c r="K5114" s="196"/>
      <c r="L5114" s="196">
        <v>869830.7</v>
      </c>
    </row>
    <row r="5115" spans="1:14" ht="11.25" customHeight="1" x14ac:dyDescent="0.2">
      <c r="A5115" s="197">
        <v>2024</v>
      </c>
      <c r="B5115" s="197">
        <v>8</v>
      </c>
      <c r="C5115" s="197">
        <v>5</v>
      </c>
      <c r="D5115" s="198">
        <f t="shared" si="510"/>
        <v>45509</v>
      </c>
      <c r="E5115" s="209">
        <f t="shared" si="511"/>
        <v>45509</v>
      </c>
      <c r="F5115" s="513" t="s">
        <v>1296</v>
      </c>
      <c r="G5115" s="200" t="s">
        <v>1209</v>
      </c>
      <c r="H5115" s="201"/>
      <c r="I5115" s="201"/>
      <c r="J5115" s="197" t="s">
        <v>46</v>
      </c>
      <c r="K5115" s="202">
        <v>28000</v>
      </c>
      <c r="L5115" s="202"/>
    </row>
    <row r="5116" spans="1:14" ht="11.25" customHeight="1" x14ac:dyDescent="0.2">
      <c r="A5116" s="120">
        <v>2024</v>
      </c>
      <c r="B5116" s="120">
        <v>8</v>
      </c>
      <c r="C5116" s="120">
        <v>5</v>
      </c>
      <c r="D5116" s="208">
        <f t="shared" si="510"/>
        <v>45509</v>
      </c>
      <c r="E5116" s="209">
        <f t="shared" si="511"/>
        <v>45509</v>
      </c>
      <c r="F5116" s="515"/>
      <c r="G5116" s="132" t="s">
        <v>1209</v>
      </c>
      <c r="J5116" s="120" t="s">
        <v>16</v>
      </c>
      <c r="K5116" s="207"/>
      <c r="L5116" s="207">
        <v>24810</v>
      </c>
    </row>
    <row r="5117" spans="1:14" ht="11.25" customHeight="1" x14ac:dyDescent="0.2">
      <c r="A5117" s="191">
        <v>2024</v>
      </c>
      <c r="B5117" s="191">
        <v>8</v>
      </c>
      <c r="C5117" s="191">
        <v>5</v>
      </c>
      <c r="D5117" s="192">
        <f t="shared" si="510"/>
        <v>45509</v>
      </c>
      <c r="E5117" s="193">
        <f t="shared" si="511"/>
        <v>45509</v>
      </c>
      <c r="F5117" s="514"/>
      <c r="G5117" s="194" t="s">
        <v>1209</v>
      </c>
      <c r="H5117" s="195"/>
      <c r="I5117" s="195"/>
      <c r="J5117" s="191" t="s">
        <v>47</v>
      </c>
      <c r="K5117" s="196"/>
      <c r="L5117" s="196">
        <v>3190</v>
      </c>
    </row>
    <row r="5118" spans="1:14" ht="11.25" customHeight="1" x14ac:dyDescent="0.2">
      <c r="A5118" s="197">
        <v>2024</v>
      </c>
      <c r="B5118" s="197">
        <v>8</v>
      </c>
      <c r="C5118" s="197">
        <v>6</v>
      </c>
      <c r="D5118" s="198">
        <f t="shared" si="510"/>
        <v>45510</v>
      </c>
      <c r="E5118" s="209">
        <f t="shared" si="511"/>
        <v>45510</v>
      </c>
      <c r="F5118" s="513" t="s">
        <v>1296</v>
      </c>
      <c r="G5118" s="200" t="s">
        <v>1209</v>
      </c>
      <c r="H5118" s="201"/>
      <c r="I5118" s="201"/>
      <c r="J5118" s="197" t="s">
        <v>46</v>
      </c>
      <c r="K5118" s="202">
        <v>127000</v>
      </c>
      <c r="L5118" s="202"/>
    </row>
    <row r="5119" spans="1:14" ht="11.25" customHeight="1" x14ac:dyDescent="0.2">
      <c r="A5119" s="120">
        <v>2024</v>
      </c>
      <c r="B5119" s="120">
        <v>8</v>
      </c>
      <c r="C5119" s="120">
        <v>6</v>
      </c>
      <c r="D5119" s="208">
        <f t="shared" si="510"/>
        <v>45510</v>
      </c>
      <c r="E5119" s="209">
        <f t="shared" si="511"/>
        <v>45510</v>
      </c>
      <c r="F5119" s="515"/>
      <c r="G5119" s="132" t="s">
        <v>1209</v>
      </c>
      <c r="J5119" s="120" t="s">
        <v>16</v>
      </c>
      <c r="K5119" s="207"/>
      <c r="L5119" s="207">
        <v>112520</v>
      </c>
    </row>
    <row r="5120" spans="1:14" ht="11.25" customHeight="1" x14ac:dyDescent="0.2">
      <c r="A5120" s="191">
        <v>2024</v>
      </c>
      <c r="B5120" s="191">
        <v>8</v>
      </c>
      <c r="C5120" s="191">
        <v>6</v>
      </c>
      <c r="D5120" s="192">
        <f t="shared" si="510"/>
        <v>45510</v>
      </c>
      <c r="E5120" s="193">
        <f t="shared" si="511"/>
        <v>45510</v>
      </c>
      <c r="F5120" s="514"/>
      <c r="G5120" s="194" t="s">
        <v>1209</v>
      </c>
      <c r="H5120" s="195"/>
      <c r="I5120" s="195"/>
      <c r="J5120" s="191" t="s">
        <v>47</v>
      </c>
      <c r="K5120" s="196"/>
      <c r="L5120" s="196">
        <v>14480</v>
      </c>
    </row>
    <row r="5121" spans="1:12" ht="11.25" customHeight="1" x14ac:dyDescent="0.2">
      <c r="A5121" s="197">
        <v>2024</v>
      </c>
      <c r="B5121" s="197">
        <v>8</v>
      </c>
      <c r="C5121" s="197">
        <v>7</v>
      </c>
      <c r="D5121" s="198">
        <f t="shared" si="510"/>
        <v>45511</v>
      </c>
      <c r="E5121" s="209">
        <f t="shared" si="511"/>
        <v>45511</v>
      </c>
      <c r="F5121" s="513" t="s">
        <v>1423</v>
      </c>
      <c r="G5121" s="200" t="s">
        <v>1209</v>
      </c>
      <c r="H5121" s="201"/>
      <c r="I5121" s="201" t="s">
        <v>308</v>
      </c>
      <c r="J5121" s="197" t="s">
        <v>16</v>
      </c>
      <c r="K5121" s="202">
        <v>101590</v>
      </c>
      <c r="L5121" s="202"/>
    </row>
    <row r="5122" spans="1:12" ht="11.25" customHeight="1" x14ac:dyDescent="0.2">
      <c r="A5122" s="120">
        <v>2024</v>
      </c>
      <c r="B5122" s="120">
        <v>8</v>
      </c>
      <c r="C5122" s="120">
        <v>7</v>
      </c>
      <c r="D5122" s="208">
        <f t="shared" si="510"/>
        <v>45511</v>
      </c>
      <c r="E5122" s="209">
        <f t="shared" si="511"/>
        <v>45511</v>
      </c>
      <c r="F5122" s="515"/>
      <c r="G5122" s="132" t="s">
        <v>1209</v>
      </c>
      <c r="I5122" s="128" t="s">
        <v>308</v>
      </c>
      <c r="J5122" s="120" t="s">
        <v>47</v>
      </c>
      <c r="K5122" s="207">
        <v>13084.789999999994</v>
      </c>
      <c r="L5122" s="207"/>
    </row>
    <row r="5123" spans="1:12" ht="11.25" customHeight="1" x14ac:dyDescent="0.2">
      <c r="A5123" s="191">
        <v>2024</v>
      </c>
      <c r="B5123" s="191">
        <v>8</v>
      </c>
      <c r="C5123" s="191">
        <v>7</v>
      </c>
      <c r="D5123" s="192">
        <f t="shared" si="510"/>
        <v>45511</v>
      </c>
      <c r="E5123" s="193">
        <f t="shared" si="511"/>
        <v>45511</v>
      </c>
      <c r="F5123" s="514"/>
      <c r="G5123" s="194" t="s">
        <v>1209</v>
      </c>
      <c r="H5123" s="195"/>
      <c r="I5123" s="195" t="s">
        <v>308</v>
      </c>
      <c r="J5123" s="191" t="s">
        <v>46</v>
      </c>
      <c r="K5123" s="196"/>
      <c r="L5123" s="196">
        <v>114674.79</v>
      </c>
    </row>
    <row r="5124" spans="1:12" ht="11.25" customHeight="1" x14ac:dyDescent="0.2">
      <c r="A5124" s="197">
        <v>2024</v>
      </c>
      <c r="B5124" s="197">
        <v>8</v>
      </c>
      <c r="C5124" s="197">
        <v>7</v>
      </c>
      <c r="D5124" s="198">
        <f t="shared" si="510"/>
        <v>45511</v>
      </c>
      <c r="E5124" s="209">
        <f t="shared" si="511"/>
        <v>45511</v>
      </c>
      <c r="F5124" s="513" t="s">
        <v>1280</v>
      </c>
      <c r="G5124" s="200" t="s">
        <v>1209</v>
      </c>
      <c r="H5124" s="201"/>
      <c r="I5124" s="201" t="s">
        <v>406</v>
      </c>
      <c r="J5124" s="197" t="s">
        <v>16</v>
      </c>
      <c r="K5124" s="202">
        <v>2701490</v>
      </c>
      <c r="L5124" s="202"/>
    </row>
    <row r="5125" spans="1:12" ht="11.25" customHeight="1" x14ac:dyDescent="0.2">
      <c r="A5125" s="120">
        <v>2024</v>
      </c>
      <c r="B5125" s="120">
        <v>8</v>
      </c>
      <c r="C5125" s="120">
        <v>7</v>
      </c>
      <c r="D5125" s="208">
        <f t="shared" si="510"/>
        <v>45511</v>
      </c>
      <c r="E5125" s="209">
        <f t="shared" si="511"/>
        <v>45511</v>
      </c>
      <c r="F5125" s="515"/>
      <c r="G5125" s="132" t="s">
        <v>1209</v>
      </c>
      <c r="I5125" s="128" t="s">
        <v>406</v>
      </c>
      <c r="J5125" s="120" t="s">
        <v>47</v>
      </c>
      <c r="K5125" s="207">
        <v>347951.91000000015</v>
      </c>
      <c r="L5125" s="207"/>
    </row>
    <row r="5126" spans="1:12" ht="11.25" customHeight="1" x14ac:dyDescent="0.2">
      <c r="A5126" s="191">
        <v>2024</v>
      </c>
      <c r="B5126" s="191">
        <v>8</v>
      </c>
      <c r="C5126" s="191">
        <v>7</v>
      </c>
      <c r="D5126" s="192">
        <f t="shared" si="510"/>
        <v>45511</v>
      </c>
      <c r="E5126" s="193">
        <f t="shared" si="511"/>
        <v>45511</v>
      </c>
      <c r="F5126" s="514"/>
      <c r="G5126" s="194" t="s">
        <v>1209</v>
      </c>
      <c r="H5126" s="195"/>
      <c r="I5126" s="195" t="s">
        <v>406</v>
      </c>
      <c r="J5126" s="191" t="s">
        <v>46</v>
      </c>
      <c r="K5126" s="196"/>
      <c r="L5126" s="196">
        <v>3049441.91</v>
      </c>
    </row>
    <row r="5127" spans="1:12" ht="11.25" customHeight="1" x14ac:dyDescent="0.2">
      <c r="A5127" s="197">
        <v>2024</v>
      </c>
      <c r="B5127" s="197">
        <v>8</v>
      </c>
      <c r="C5127" s="197">
        <v>7</v>
      </c>
      <c r="D5127" s="198">
        <f t="shared" si="510"/>
        <v>45511</v>
      </c>
      <c r="E5127" s="209">
        <f t="shared" si="511"/>
        <v>45511</v>
      </c>
      <c r="F5127" s="513" t="s">
        <v>1210</v>
      </c>
      <c r="G5127" s="200" t="s">
        <v>1209</v>
      </c>
      <c r="H5127" s="201"/>
      <c r="I5127" s="201"/>
      <c r="J5127" s="197" t="s">
        <v>46</v>
      </c>
      <c r="K5127" s="202">
        <v>60000</v>
      </c>
      <c r="L5127" s="202"/>
    </row>
    <row r="5128" spans="1:12" ht="11.25" customHeight="1" x14ac:dyDescent="0.2">
      <c r="A5128" s="120">
        <v>2024</v>
      </c>
      <c r="B5128" s="120">
        <v>8</v>
      </c>
      <c r="C5128" s="120">
        <v>7</v>
      </c>
      <c r="D5128" s="208">
        <f t="shared" si="510"/>
        <v>45511</v>
      </c>
      <c r="E5128" s="209">
        <f t="shared" si="511"/>
        <v>45511</v>
      </c>
      <c r="F5128" s="515"/>
      <c r="G5128" s="132" t="s">
        <v>1209</v>
      </c>
      <c r="J5128" s="120" t="s">
        <v>16</v>
      </c>
      <c r="K5128" s="207"/>
      <c r="L5128" s="207">
        <v>53150</v>
      </c>
    </row>
    <row r="5129" spans="1:12" ht="11.25" customHeight="1" x14ac:dyDescent="0.2">
      <c r="A5129" s="191">
        <v>2024</v>
      </c>
      <c r="B5129" s="191">
        <v>8</v>
      </c>
      <c r="C5129" s="191">
        <v>7</v>
      </c>
      <c r="D5129" s="192">
        <f t="shared" si="510"/>
        <v>45511</v>
      </c>
      <c r="E5129" s="193">
        <f t="shared" si="511"/>
        <v>45511</v>
      </c>
      <c r="F5129" s="514"/>
      <c r="G5129" s="194" t="s">
        <v>1209</v>
      </c>
      <c r="H5129" s="195"/>
      <c r="I5129" s="195"/>
      <c r="J5129" s="191" t="s">
        <v>47</v>
      </c>
      <c r="K5129" s="196"/>
      <c r="L5129" s="196">
        <v>6850</v>
      </c>
    </row>
    <row r="5130" spans="1:12" ht="11.25" customHeight="1" x14ac:dyDescent="0.2">
      <c r="A5130" s="197">
        <v>2024</v>
      </c>
      <c r="B5130" s="197">
        <v>8</v>
      </c>
      <c r="C5130" s="197">
        <v>7</v>
      </c>
      <c r="D5130" s="198">
        <f t="shared" si="510"/>
        <v>45511</v>
      </c>
      <c r="E5130" s="199">
        <f t="shared" si="511"/>
        <v>45511</v>
      </c>
      <c r="F5130" s="513" t="s">
        <v>1391</v>
      </c>
      <c r="G5130" s="200" t="s">
        <v>1209</v>
      </c>
      <c r="H5130" s="201"/>
      <c r="I5130" s="201"/>
      <c r="J5130" s="197" t="s">
        <v>46</v>
      </c>
      <c r="K5130" s="202">
        <v>348999</v>
      </c>
      <c r="L5130" s="202"/>
    </row>
    <row r="5131" spans="1:12" ht="11.25" customHeight="1" x14ac:dyDescent="0.2">
      <c r="A5131" s="191">
        <v>2024</v>
      </c>
      <c r="B5131" s="191">
        <v>8</v>
      </c>
      <c r="C5131" s="191">
        <v>7</v>
      </c>
      <c r="D5131" s="192">
        <f t="shared" si="510"/>
        <v>45511</v>
      </c>
      <c r="E5131" s="193">
        <f t="shared" si="511"/>
        <v>45511</v>
      </c>
      <c r="F5131" s="514"/>
      <c r="G5131" s="194" t="s">
        <v>1209</v>
      </c>
      <c r="H5131" s="195"/>
      <c r="I5131" s="195"/>
      <c r="J5131" s="191" t="s">
        <v>178</v>
      </c>
      <c r="K5131" s="196"/>
      <c r="L5131" s="196">
        <v>348999</v>
      </c>
    </row>
    <row r="5132" spans="1:12" ht="11.25" customHeight="1" x14ac:dyDescent="0.2">
      <c r="A5132" s="197">
        <v>2024</v>
      </c>
      <c r="B5132" s="197">
        <v>8</v>
      </c>
      <c r="C5132" s="197">
        <v>8</v>
      </c>
      <c r="D5132" s="198">
        <f t="shared" si="510"/>
        <v>45512</v>
      </c>
      <c r="E5132" s="209">
        <f t="shared" si="511"/>
        <v>45512</v>
      </c>
      <c r="F5132" s="513" t="s">
        <v>1860</v>
      </c>
      <c r="G5132" s="200" t="s">
        <v>1209</v>
      </c>
      <c r="H5132" s="201"/>
      <c r="I5132" s="201" t="s">
        <v>1137</v>
      </c>
      <c r="J5132" s="197" t="s">
        <v>16</v>
      </c>
      <c r="K5132" s="202">
        <v>200980</v>
      </c>
      <c r="L5132" s="202"/>
    </row>
    <row r="5133" spans="1:12" ht="11.25" customHeight="1" x14ac:dyDescent="0.2">
      <c r="A5133" s="120">
        <v>2024</v>
      </c>
      <c r="B5133" s="120">
        <v>8</v>
      </c>
      <c r="C5133" s="120">
        <v>8</v>
      </c>
      <c r="D5133" s="208">
        <f t="shared" si="510"/>
        <v>45512</v>
      </c>
      <c r="E5133" s="209">
        <f t="shared" si="511"/>
        <v>45512</v>
      </c>
      <c r="F5133" s="515"/>
      <c r="G5133" s="132" t="s">
        <v>1209</v>
      </c>
      <c r="I5133" s="128" t="s">
        <v>1137</v>
      </c>
      <c r="J5133" s="120" t="s">
        <v>47</v>
      </c>
      <c r="K5133" s="207">
        <v>25886.223999999998</v>
      </c>
      <c r="L5133" s="207"/>
    </row>
    <row r="5134" spans="1:12" ht="11.25" customHeight="1" x14ac:dyDescent="0.2">
      <c r="A5134" s="191">
        <v>2024</v>
      </c>
      <c r="B5134" s="191">
        <v>8</v>
      </c>
      <c r="C5134" s="191">
        <v>8</v>
      </c>
      <c r="D5134" s="192">
        <f t="shared" si="510"/>
        <v>45512</v>
      </c>
      <c r="E5134" s="193">
        <f t="shared" si="511"/>
        <v>45512</v>
      </c>
      <c r="F5134" s="514"/>
      <c r="G5134" s="194" t="s">
        <v>1209</v>
      </c>
      <c r="H5134" s="195"/>
      <c r="I5134" s="195" t="s">
        <v>1137</v>
      </c>
      <c r="J5134" s="191" t="s">
        <v>46</v>
      </c>
      <c r="K5134" s="196"/>
      <c r="L5134" s="196">
        <v>226866.22</v>
      </c>
    </row>
    <row r="5135" spans="1:12" ht="11.25" customHeight="1" x14ac:dyDescent="0.2">
      <c r="A5135" s="197">
        <v>2024</v>
      </c>
      <c r="B5135" s="197">
        <v>8</v>
      </c>
      <c r="C5135" s="197">
        <v>8</v>
      </c>
      <c r="D5135" s="198">
        <f t="shared" si="510"/>
        <v>45512</v>
      </c>
      <c r="E5135" s="209">
        <f t="shared" si="511"/>
        <v>45512</v>
      </c>
      <c r="F5135" s="513" t="s">
        <v>1280</v>
      </c>
      <c r="G5135" s="200" t="s">
        <v>1209</v>
      </c>
      <c r="H5135" s="201"/>
      <c r="I5135" s="201" t="s">
        <v>1242</v>
      </c>
      <c r="J5135" s="197" t="s">
        <v>16</v>
      </c>
      <c r="K5135" s="202">
        <v>212160</v>
      </c>
      <c r="L5135" s="202"/>
    </row>
    <row r="5136" spans="1:12" ht="11.25" customHeight="1" x14ac:dyDescent="0.2">
      <c r="A5136" s="120">
        <v>2024</v>
      </c>
      <c r="B5136" s="120">
        <v>8</v>
      </c>
      <c r="C5136" s="120">
        <v>8</v>
      </c>
      <c r="D5136" s="208">
        <f t="shared" si="510"/>
        <v>45512</v>
      </c>
      <c r="E5136" s="209">
        <f t="shared" si="511"/>
        <v>45512</v>
      </c>
      <c r="F5136" s="515"/>
      <c r="G5136" s="132" t="s">
        <v>1209</v>
      </c>
      <c r="I5136" s="128" t="s">
        <v>1242</v>
      </c>
      <c r="J5136" s="120" t="s">
        <v>47</v>
      </c>
      <c r="K5136" s="207">
        <v>27326.209999999992</v>
      </c>
      <c r="L5136" s="207"/>
    </row>
    <row r="5137" spans="1:15" ht="11.25" customHeight="1" x14ac:dyDescent="0.2">
      <c r="A5137" s="191">
        <v>2024</v>
      </c>
      <c r="B5137" s="191">
        <v>8</v>
      </c>
      <c r="C5137" s="191">
        <v>8</v>
      </c>
      <c r="D5137" s="192">
        <f t="shared" si="510"/>
        <v>45512</v>
      </c>
      <c r="E5137" s="193">
        <f t="shared" si="511"/>
        <v>45512</v>
      </c>
      <c r="F5137" s="514"/>
      <c r="G5137" s="194" t="s">
        <v>1209</v>
      </c>
      <c r="H5137" s="195"/>
      <c r="I5137" s="195" t="s">
        <v>1242</v>
      </c>
      <c r="J5137" s="191" t="s">
        <v>46</v>
      </c>
      <c r="K5137" s="196"/>
      <c r="L5137" s="196">
        <v>239486.21</v>
      </c>
    </row>
    <row r="5138" spans="1:15" ht="11.25" customHeight="1" x14ac:dyDescent="0.2">
      <c r="A5138" s="197">
        <v>2024</v>
      </c>
      <c r="B5138" s="197">
        <v>8</v>
      </c>
      <c r="C5138" s="197">
        <v>8</v>
      </c>
      <c r="D5138" s="198">
        <f t="shared" si="510"/>
        <v>45512</v>
      </c>
      <c r="E5138" s="199">
        <f t="shared" si="511"/>
        <v>45512</v>
      </c>
      <c r="F5138" s="513" t="s">
        <v>1861</v>
      </c>
      <c r="G5138" s="200" t="s">
        <v>1209</v>
      </c>
      <c r="H5138" s="201"/>
      <c r="I5138" s="201" t="s">
        <v>1253</v>
      </c>
      <c r="J5138" s="197" t="s">
        <v>76</v>
      </c>
      <c r="K5138" s="202">
        <v>10000000</v>
      </c>
      <c r="L5138" s="202"/>
    </row>
    <row r="5139" spans="1:15" ht="11.25" customHeight="1" x14ac:dyDescent="0.2">
      <c r="A5139" s="191">
        <v>2024</v>
      </c>
      <c r="B5139" s="191">
        <v>8</v>
      </c>
      <c r="C5139" s="191">
        <v>8</v>
      </c>
      <c r="D5139" s="192">
        <f t="shared" si="510"/>
        <v>45512</v>
      </c>
      <c r="E5139" s="193">
        <f t="shared" si="511"/>
        <v>45512</v>
      </c>
      <c r="F5139" s="514"/>
      <c r="G5139" s="194" t="s">
        <v>1209</v>
      </c>
      <c r="H5139" s="195"/>
      <c r="I5139" s="195" t="s">
        <v>1253</v>
      </c>
      <c r="J5139" s="191" t="s">
        <v>76</v>
      </c>
      <c r="K5139" s="196"/>
      <c r="L5139" s="196">
        <v>10000000</v>
      </c>
    </row>
    <row r="5140" spans="1:15" ht="11.25" customHeight="1" x14ac:dyDescent="0.2">
      <c r="A5140" s="197">
        <v>2024</v>
      </c>
      <c r="B5140" s="197">
        <v>8</v>
      </c>
      <c r="C5140" s="197">
        <v>8</v>
      </c>
      <c r="D5140" s="198">
        <f t="shared" si="510"/>
        <v>45512</v>
      </c>
      <c r="E5140" s="290">
        <f t="shared" si="511"/>
        <v>45512</v>
      </c>
      <c r="F5140" s="513" t="s">
        <v>1862</v>
      </c>
      <c r="G5140" s="200" t="s">
        <v>1245</v>
      </c>
      <c r="H5140" s="201"/>
      <c r="I5140" s="201" t="s">
        <v>1253</v>
      </c>
      <c r="J5140" s="197" t="s">
        <v>46</v>
      </c>
      <c r="K5140" s="202">
        <v>145000</v>
      </c>
      <c r="L5140" s="202"/>
    </row>
    <row r="5141" spans="1:15" ht="11.25" customHeight="1" x14ac:dyDescent="0.2">
      <c r="A5141" s="191">
        <v>2024</v>
      </c>
      <c r="B5141" s="191">
        <v>8</v>
      </c>
      <c r="C5141" s="191">
        <v>8</v>
      </c>
      <c r="D5141" s="192">
        <f t="shared" si="510"/>
        <v>45512</v>
      </c>
      <c r="E5141" s="291">
        <f t="shared" si="511"/>
        <v>45512</v>
      </c>
      <c r="F5141" s="514"/>
      <c r="G5141" s="194" t="s">
        <v>1245</v>
      </c>
      <c r="H5141" s="195"/>
      <c r="I5141" s="195" t="s">
        <v>1253</v>
      </c>
      <c r="J5141" s="191" t="s">
        <v>113</v>
      </c>
      <c r="K5141" s="196"/>
      <c r="L5141" s="196">
        <f>K5140</f>
        <v>145000</v>
      </c>
    </row>
    <row r="5142" spans="1:15" ht="11.25" customHeight="1" x14ac:dyDescent="0.2">
      <c r="A5142" s="197">
        <v>2024</v>
      </c>
      <c r="B5142" s="197">
        <v>8</v>
      </c>
      <c r="C5142" s="197">
        <v>8</v>
      </c>
      <c r="D5142" s="198">
        <f t="shared" si="510"/>
        <v>45512</v>
      </c>
      <c r="E5142" s="290">
        <f t="shared" si="511"/>
        <v>45512</v>
      </c>
      <c r="F5142" s="513" t="s">
        <v>1862</v>
      </c>
      <c r="G5142" s="200" t="s">
        <v>1245</v>
      </c>
      <c r="H5142" s="201"/>
      <c r="I5142" s="201" t="s">
        <v>1253</v>
      </c>
      <c r="J5142" s="197" t="s">
        <v>46</v>
      </c>
      <c r="K5142" s="202">
        <v>145000</v>
      </c>
      <c r="L5142" s="202"/>
    </row>
    <row r="5143" spans="1:15" ht="11.25" customHeight="1" x14ac:dyDescent="0.2">
      <c r="A5143" s="191">
        <v>2024</v>
      </c>
      <c r="B5143" s="191">
        <v>8</v>
      </c>
      <c r="C5143" s="191">
        <v>8</v>
      </c>
      <c r="D5143" s="192">
        <f t="shared" si="510"/>
        <v>45512</v>
      </c>
      <c r="E5143" s="291">
        <f t="shared" si="511"/>
        <v>45512</v>
      </c>
      <c r="F5143" s="514"/>
      <c r="G5143" s="194" t="s">
        <v>1245</v>
      </c>
      <c r="H5143" s="195"/>
      <c r="I5143" s="195" t="s">
        <v>1253</v>
      </c>
      <c r="J5143" s="191" t="s">
        <v>113</v>
      </c>
      <c r="K5143" s="196"/>
      <c r="L5143" s="196">
        <f>K5142</f>
        <v>145000</v>
      </c>
    </row>
    <row r="5144" spans="1:15" ht="11.25" customHeight="1" x14ac:dyDescent="0.2">
      <c r="A5144" s="197">
        <v>2024</v>
      </c>
      <c r="B5144" s="197">
        <v>8</v>
      </c>
      <c r="C5144" s="197">
        <v>8</v>
      </c>
      <c r="D5144" s="198">
        <f t="shared" si="510"/>
        <v>45512</v>
      </c>
      <c r="E5144" s="290">
        <f t="shared" si="511"/>
        <v>45512</v>
      </c>
      <c r="F5144" s="513" t="s">
        <v>1514</v>
      </c>
      <c r="G5144" s="200" t="s">
        <v>1209</v>
      </c>
      <c r="H5144" s="201"/>
      <c r="I5144" s="201"/>
      <c r="J5144" s="197" t="s">
        <v>54</v>
      </c>
      <c r="K5144" s="202">
        <v>116</v>
      </c>
      <c r="L5144" s="202"/>
      <c r="M5144" s="251"/>
      <c r="N5144" s="251"/>
      <c r="O5144" s="251"/>
    </row>
    <row r="5145" spans="1:15" ht="11.25" customHeight="1" x14ac:dyDescent="0.2">
      <c r="A5145" s="191">
        <v>2024</v>
      </c>
      <c r="B5145" s="191">
        <v>8</v>
      </c>
      <c r="C5145" s="191">
        <v>8</v>
      </c>
      <c r="D5145" s="192">
        <f t="shared" si="510"/>
        <v>45512</v>
      </c>
      <c r="E5145" s="291">
        <f t="shared" si="511"/>
        <v>45512</v>
      </c>
      <c r="F5145" s="514"/>
      <c r="G5145" s="194" t="s">
        <v>1209</v>
      </c>
      <c r="H5145" s="195"/>
      <c r="I5145" s="195"/>
      <c r="J5145" s="191" t="s">
        <v>46</v>
      </c>
      <c r="K5145" s="196"/>
      <c r="L5145" s="196">
        <v>116</v>
      </c>
      <c r="M5145" s="251"/>
      <c r="N5145" s="251"/>
      <c r="O5145" s="251"/>
    </row>
    <row r="5146" spans="1:15" ht="11.25" customHeight="1" x14ac:dyDescent="0.2">
      <c r="A5146" s="197">
        <v>2024</v>
      </c>
      <c r="B5146" s="197">
        <v>8</v>
      </c>
      <c r="C5146" s="197">
        <v>8</v>
      </c>
      <c r="D5146" s="198">
        <f t="shared" si="510"/>
        <v>45512</v>
      </c>
      <c r="E5146" s="199">
        <f t="shared" si="511"/>
        <v>45512</v>
      </c>
      <c r="F5146" s="513" t="s">
        <v>1863</v>
      </c>
      <c r="G5146" s="200" t="s">
        <v>1209</v>
      </c>
      <c r="H5146" s="201"/>
      <c r="I5146" s="201" t="s">
        <v>1253</v>
      </c>
      <c r="J5146" s="197" t="s">
        <v>46</v>
      </c>
      <c r="K5146" s="202">
        <v>3000000</v>
      </c>
      <c r="L5146" s="202"/>
    </row>
    <row r="5147" spans="1:15" ht="11.25" customHeight="1" x14ac:dyDescent="0.2">
      <c r="A5147" s="120">
        <v>2024</v>
      </c>
      <c r="B5147" s="120">
        <v>8</v>
      </c>
      <c r="C5147" s="120">
        <v>8</v>
      </c>
      <c r="D5147" s="208">
        <f t="shared" si="510"/>
        <v>45512</v>
      </c>
      <c r="E5147" s="209">
        <f t="shared" si="511"/>
        <v>45512</v>
      </c>
      <c r="F5147" s="515"/>
      <c r="G5147" s="132" t="s">
        <v>1209</v>
      </c>
      <c r="J5147" s="120" t="s">
        <v>1462</v>
      </c>
      <c r="K5147" s="328"/>
      <c r="L5147" s="207">
        <v>82536</v>
      </c>
    </row>
    <row r="5148" spans="1:15" ht="11.25" customHeight="1" x14ac:dyDescent="0.2">
      <c r="A5148" s="191">
        <v>2024</v>
      </c>
      <c r="B5148" s="191">
        <v>8</v>
      </c>
      <c r="C5148" s="191">
        <v>8</v>
      </c>
      <c r="D5148" s="192">
        <f t="shared" si="510"/>
        <v>45512</v>
      </c>
      <c r="E5148" s="193">
        <f t="shared" si="511"/>
        <v>45512</v>
      </c>
      <c r="F5148" s="514"/>
      <c r="G5148" s="194" t="s">
        <v>1209</v>
      </c>
      <c r="H5148" s="195"/>
      <c r="I5148" s="195" t="s">
        <v>1253</v>
      </c>
      <c r="J5148" s="191" t="s">
        <v>1455</v>
      </c>
      <c r="K5148" s="196"/>
      <c r="L5148" s="196">
        <v>2917464</v>
      </c>
      <c r="N5148" s="130"/>
    </row>
    <row r="5149" spans="1:15" ht="11.25" customHeight="1" x14ac:dyDescent="0.2">
      <c r="A5149" s="382">
        <v>2024</v>
      </c>
      <c r="B5149" s="382">
        <v>8</v>
      </c>
      <c r="C5149" s="382">
        <v>8</v>
      </c>
      <c r="D5149" s="383">
        <f t="shared" si="510"/>
        <v>45512</v>
      </c>
      <c r="E5149" s="384">
        <f t="shared" si="511"/>
        <v>45512</v>
      </c>
      <c r="F5149" s="516" t="s">
        <v>1850</v>
      </c>
      <c r="G5149" s="385" t="s">
        <v>1209</v>
      </c>
      <c r="H5149" s="386"/>
      <c r="I5149" s="386"/>
      <c r="J5149" s="387" t="s">
        <v>81</v>
      </c>
      <c r="K5149" s="388">
        <v>6973.2450980392159</v>
      </c>
      <c r="L5149" s="388"/>
    </row>
    <row r="5150" spans="1:15" ht="11.25" customHeight="1" x14ac:dyDescent="0.2">
      <c r="A5150" s="389">
        <v>2024</v>
      </c>
      <c r="B5150" s="389">
        <v>8</v>
      </c>
      <c r="C5150" s="389">
        <v>8</v>
      </c>
      <c r="D5150" s="390">
        <f t="shared" si="510"/>
        <v>45512</v>
      </c>
      <c r="E5150" s="391">
        <f t="shared" si="511"/>
        <v>45512</v>
      </c>
      <c r="F5150" s="517"/>
      <c r="G5150" s="392" t="s">
        <v>1209</v>
      </c>
      <c r="H5150" s="393"/>
      <c r="I5150" s="393"/>
      <c r="J5150" s="394" t="s">
        <v>1847</v>
      </c>
      <c r="K5150" s="388"/>
      <c r="L5150" s="388">
        <v>6973.2450980392159</v>
      </c>
    </row>
    <row r="5151" spans="1:15" ht="11.25" customHeight="1" x14ac:dyDescent="0.2">
      <c r="A5151" s="344">
        <v>2024</v>
      </c>
      <c r="B5151" s="344">
        <v>8</v>
      </c>
      <c r="C5151" s="344">
        <v>8</v>
      </c>
      <c r="D5151" s="345">
        <f t="shared" si="510"/>
        <v>45512</v>
      </c>
      <c r="E5151" s="346">
        <f t="shared" si="511"/>
        <v>45512</v>
      </c>
      <c r="F5151" s="518" t="s">
        <v>1621</v>
      </c>
      <c r="G5151" s="347" t="s">
        <v>1245</v>
      </c>
      <c r="H5151" s="348"/>
      <c r="I5151" s="348" t="s">
        <v>1253</v>
      </c>
      <c r="J5151" s="344" t="s">
        <v>113</v>
      </c>
      <c r="K5151" s="349">
        <v>230192.31</v>
      </c>
      <c r="L5151" s="349"/>
    </row>
    <row r="5152" spans="1:15" ht="11.25" customHeight="1" x14ac:dyDescent="0.2">
      <c r="A5152" s="350">
        <v>2024</v>
      </c>
      <c r="B5152" s="350">
        <v>8</v>
      </c>
      <c r="C5152" s="350">
        <v>8</v>
      </c>
      <c r="D5152" s="351">
        <f t="shared" si="510"/>
        <v>45512</v>
      </c>
      <c r="E5152" s="352">
        <f t="shared" si="511"/>
        <v>45512</v>
      </c>
      <c r="F5152" s="519"/>
      <c r="G5152" s="353" t="s">
        <v>1245</v>
      </c>
      <c r="H5152" s="354"/>
      <c r="I5152" s="354" t="s">
        <v>1253</v>
      </c>
      <c r="J5152" s="350" t="s">
        <v>153</v>
      </c>
      <c r="K5152" s="355"/>
      <c r="L5152" s="355">
        <f>K5151</f>
        <v>230192.31</v>
      </c>
    </row>
    <row r="5153" spans="1:13" ht="11.25" customHeight="1" x14ac:dyDescent="0.2">
      <c r="A5153" s="210">
        <v>2024</v>
      </c>
      <c r="B5153" s="210">
        <v>8</v>
      </c>
      <c r="C5153" s="210">
        <v>8</v>
      </c>
      <c r="D5153" s="211">
        <f t="shared" si="510"/>
        <v>45512</v>
      </c>
      <c r="E5153" s="238">
        <f t="shared" si="511"/>
        <v>45512</v>
      </c>
      <c r="F5153" s="520" t="s">
        <v>1278</v>
      </c>
      <c r="G5153" s="213" t="s">
        <v>1245</v>
      </c>
      <c r="H5153" s="214"/>
      <c r="I5153" s="214" t="s">
        <v>1253</v>
      </c>
      <c r="J5153" s="210" t="s">
        <v>1529</v>
      </c>
      <c r="K5153" s="215">
        <v>510.40384615384613</v>
      </c>
      <c r="L5153" s="215"/>
    </row>
    <row r="5154" spans="1:13" ht="11.25" customHeight="1" x14ac:dyDescent="0.2">
      <c r="A5154" s="216">
        <v>2024</v>
      </c>
      <c r="B5154" s="216">
        <v>8</v>
      </c>
      <c r="C5154" s="216">
        <v>8</v>
      </c>
      <c r="D5154" s="217">
        <f t="shared" si="510"/>
        <v>45512</v>
      </c>
      <c r="E5154" s="239">
        <f t="shared" si="511"/>
        <v>45512</v>
      </c>
      <c r="F5154" s="521"/>
      <c r="G5154" s="219" t="s">
        <v>1245</v>
      </c>
      <c r="H5154" s="220"/>
      <c r="I5154" s="220" t="s">
        <v>1253</v>
      </c>
      <c r="J5154" s="216" t="s">
        <v>1581</v>
      </c>
      <c r="K5154" s="221"/>
      <c r="L5154" s="221">
        <v>510.40384615384613</v>
      </c>
    </row>
    <row r="5155" spans="1:13" ht="11.25" customHeight="1" x14ac:dyDescent="0.2">
      <c r="A5155" s="210">
        <v>2024</v>
      </c>
      <c r="B5155" s="210">
        <v>8</v>
      </c>
      <c r="C5155" s="210">
        <v>8</v>
      </c>
      <c r="D5155" s="211">
        <f t="shared" si="510"/>
        <v>45512</v>
      </c>
      <c r="E5155" s="238">
        <f t="shared" si="511"/>
        <v>45512</v>
      </c>
      <c r="F5155" s="520" t="s">
        <v>1857</v>
      </c>
      <c r="G5155" s="213" t="s">
        <v>1245</v>
      </c>
      <c r="H5155" s="214"/>
      <c r="I5155" s="214" t="s">
        <v>1253</v>
      </c>
      <c r="J5155" s="210" t="s">
        <v>1284</v>
      </c>
      <c r="K5155" s="215">
        <v>8903.4309440559427</v>
      </c>
      <c r="L5155" s="215"/>
    </row>
    <row r="5156" spans="1:13" ht="11.25" customHeight="1" x14ac:dyDescent="0.2">
      <c r="A5156" s="242">
        <v>2024</v>
      </c>
      <c r="B5156" s="242">
        <v>8</v>
      </c>
      <c r="C5156" s="242">
        <v>8</v>
      </c>
      <c r="D5156" s="243">
        <f t="shared" si="510"/>
        <v>45512</v>
      </c>
      <c r="E5156" s="244">
        <f>DATE(A5156,B5156,C5156)</f>
        <v>45512</v>
      </c>
      <c r="F5156" s="524"/>
      <c r="G5156" s="245" t="s">
        <v>1245</v>
      </c>
      <c r="H5156" s="246"/>
      <c r="I5156" s="246"/>
      <c r="J5156" s="242" t="s">
        <v>1582</v>
      </c>
      <c r="K5156" s="247"/>
      <c r="L5156" s="247">
        <v>8903.4309440559427</v>
      </c>
    </row>
    <row r="5157" spans="1:13" ht="11.25" customHeight="1" x14ac:dyDescent="0.2">
      <c r="A5157" s="210">
        <v>2024</v>
      </c>
      <c r="B5157" s="210">
        <v>8</v>
      </c>
      <c r="C5157" s="210">
        <v>8</v>
      </c>
      <c r="D5157" s="211">
        <f t="shared" si="510"/>
        <v>45512</v>
      </c>
      <c r="E5157" s="238">
        <f t="shared" ref="E5157:E5220" si="512">DATE(A5157,B5157,C5157)</f>
        <v>45512</v>
      </c>
      <c r="F5157" s="520" t="s">
        <v>1259</v>
      </c>
      <c r="G5157" s="213" t="s">
        <v>1245</v>
      </c>
      <c r="H5157" s="214"/>
      <c r="I5157" s="214" t="s">
        <v>1253</v>
      </c>
      <c r="J5157" s="210" t="s">
        <v>58</v>
      </c>
      <c r="K5157" s="215">
        <v>10242.11</v>
      </c>
      <c r="L5157" s="215"/>
    </row>
    <row r="5158" spans="1:13" ht="11.25" customHeight="1" x14ac:dyDescent="0.2">
      <c r="A5158" s="216">
        <v>2024</v>
      </c>
      <c r="B5158" s="216">
        <v>8</v>
      </c>
      <c r="C5158" s="216">
        <v>8</v>
      </c>
      <c r="D5158" s="217">
        <f t="shared" si="510"/>
        <v>45512</v>
      </c>
      <c r="E5158" s="239">
        <f t="shared" si="512"/>
        <v>45512</v>
      </c>
      <c r="F5158" s="521"/>
      <c r="G5158" s="219" t="s">
        <v>1245</v>
      </c>
      <c r="H5158" s="220"/>
      <c r="I5158" s="220" t="s">
        <v>1253</v>
      </c>
      <c r="J5158" s="216" t="s">
        <v>153</v>
      </c>
      <c r="K5158" s="221"/>
      <c r="L5158" s="221">
        <f>K5157</f>
        <v>10242.11</v>
      </c>
    </row>
    <row r="5159" spans="1:13" ht="11.25" customHeight="1" x14ac:dyDescent="0.2">
      <c r="A5159" s="312">
        <v>2024</v>
      </c>
      <c r="B5159" s="312">
        <v>8</v>
      </c>
      <c r="C5159" s="312">
        <v>8</v>
      </c>
      <c r="D5159" s="313">
        <f t="shared" si="510"/>
        <v>45512</v>
      </c>
      <c r="E5159" s="314">
        <f t="shared" si="512"/>
        <v>45512</v>
      </c>
      <c r="F5159" s="522" t="s">
        <v>1477</v>
      </c>
      <c r="G5159" s="315" t="s">
        <v>1245</v>
      </c>
      <c r="H5159" s="316"/>
      <c r="I5159" s="316" t="s">
        <v>1253</v>
      </c>
      <c r="J5159" s="312" t="s">
        <v>1460</v>
      </c>
      <c r="K5159" s="317">
        <v>301921</v>
      </c>
      <c r="L5159" s="317"/>
    </row>
    <row r="5160" spans="1:13" ht="11.25" customHeight="1" x14ac:dyDescent="0.2">
      <c r="A5160" s="318">
        <v>2024</v>
      </c>
      <c r="B5160" s="318">
        <v>8</v>
      </c>
      <c r="C5160" s="318">
        <v>8</v>
      </c>
      <c r="D5160" s="319">
        <f t="shared" si="510"/>
        <v>45512</v>
      </c>
      <c r="E5160" s="320">
        <f t="shared" si="512"/>
        <v>45512</v>
      </c>
      <c r="F5160" s="523"/>
      <c r="G5160" s="321" t="s">
        <v>1245</v>
      </c>
      <c r="H5160" s="322"/>
      <c r="I5160" s="322" t="s">
        <v>1253</v>
      </c>
      <c r="J5160" s="318" t="s">
        <v>1458</v>
      </c>
      <c r="K5160" s="323"/>
      <c r="L5160" s="323">
        <f>K5159</f>
        <v>301921</v>
      </c>
    </row>
    <row r="5161" spans="1:13" ht="11.25" customHeight="1" x14ac:dyDescent="0.2">
      <c r="A5161" s="312">
        <v>2024</v>
      </c>
      <c r="B5161" s="312">
        <v>8</v>
      </c>
      <c r="C5161" s="312">
        <v>8</v>
      </c>
      <c r="D5161" s="313">
        <f t="shared" si="510"/>
        <v>45512</v>
      </c>
      <c r="E5161" s="314">
        <f t="shared" si="512"/>
        <v>45512</v>
      </c>
      <c r="F5161" s="522" t="s">
        <v>1595</v>
      </c>
      <c r="G5161" s="315" t="s">
        <v>1245</v>
      </c>
      <c r="H5161" s="316"/>
      <c r="I5161" s="316" t="s">
        <v>1253</v>
      </c>
      <c r="J5161" s="312" t="s">
        <v>1461</v>
      </c>
      <c r="K5161" s="317">
        <v>267236.03299997747</v>
      </c>
      <c r="L5161" s="317"/>
    </row>
    <row r="5162" spans="1:13" ht="11.25" customHeight="1" x14ac:dyDescent="0.2">
      <c r="A5162" s="318">
        <v>2024</v>
      </c>
      <c r="B5162" s="318">
        <v>8</v>
      </c>
      <c r="C5162" s="318">
        <v>8</v>
      </c>
      <c r="D5162" s="319">
        <f t="shared" si="510"/>
        <v>45512</v>
      </c>
      <c r="E5162" s="320">
        <f t="shared" si="512"/>
        <v>45512</v>
      </c>
      <c r="F5162" s="523"/>
      <c r="G5162" s="321" t="s">
        <v>1245</v>
      </c>
      <c r="H5162" s="322"/>
      <c r="I5162" s="322" t="s">
        <v>1253</v>
      </c>
      <c r="J5162" s="318" t="s">
        <v>1459</v>
      </c>
      <c r="K5162" s="323"/>
      <c r="L5162" s="323">
        <f>K5161</f>
        <v>267236.03299997747</v>
      </c>
    </row>
    <row r="5163" spans="1:13" ht="11.25" customHeight="1" x14ac:dyDescent="0.2">
      <c r="A5163" s="222">
        <v>2024</v>
      </c>
      <c r="B5163" s="222">
        <v>8</v>
      </c>
      <c r="C5163" s="222">
        <v>8</v>
      </c>
      <c r="D5163" s="223">
        <f t="shared" si="510"/>
        <v>45512</v>
      </c>
      <c r="E5163" s="240">
        <f t="shared" si="512"/>
        <v>45512</v>
      </c>
      <c r="F5163" s="511" t="s">
        <v>1244</v>
      </c>
      <c r="G5163" s="225" t="s">
        <v>1245</v>
      </c>
      <c r="H5163" s="226"/>
      <c r="I5163" s="226" t="s">
        <v>1253</v>
      </c>
      <c r="J5163" s="222" t="s">
        <v>87</v>
      </c>
      <c r="K5163" s="227">
        <v>10460</v>
      </c>
      <c r="L5163" s="227"/>
    </row>
    <row r="5164" spans="1:13" ht="11.25" customHeight="1" x14ac:dyDescent="0.2">
      <c r="A5164" s="228">
        <v>2024</v>
      </c>
      <c r="B5164" s="228">
        <v>8</v>
      </c>
      <c r="C5164" s="228">
        <v>8</v>
      </c>
      <c r="D5164" s="229">
        <f t="shared" ref="D5164:D5227" si="513">DATE(A5164,B5164,C5164)</f>
        <v>45512</v>
      </c>
      <c r="E5164" s="241">
        <f t="shared" si="512"/>
        <v>45512</v>
      </c>
      <c r="F5164" s="512"/>
      <c r="G5164" s="231" t="s">
        <v>1245</v>
      </c>
      <c r="H5164" s="232"/>
      <c r="I5164" s="232" t="s">
        <v>1253</v>
      </c>
      <c r="J5164" s="228" t="s">
        <v>72</v>
      </c>
      <c r="K5164" s="233"/>
      <c r="L5164" s="233">
        <f>K5163</f>
        <v>10460</v>
      </c>
    </row>
    <row r="5165" spans="1:13" ht="11.25" customHeight="1" x14ac:dyDescent="0.2">
      <c r="A5165" s="222">
        <v>2024</v>
      </c>
      <c r="B5165" s="222">
        <v>8</v>
      </c>
      <c r="C5165" s="222">
        <v>8</v>
      </c>
      <c r="D5165" s="223">
        <f t="shared" si="513"/>
        <v>45512</v>
      </c>
      <c r="E5165" s="240">
        <f t="shared" si="512"/>
        <v>45512</v>
      </c>
      <c r="F5165" s="511" t="s">
        <v>1246</v>
      </c>
      <c r="G5165" s="225" t="s">
        <v>1245</v>
      </c>
      <c r="H5165" s="226"/>
      <c r="I5165" s="226" t="s">
        <v>1253</v>
      </c>
      <c r="J5165" s="222" t="s">
        <v>75</v>
      </c>
      <c r="K5165" s="227">
        <v>3623.123846153846</v>
      </c>
      <c r="L5165" s="227"/>
    </row>
    <row r="5166" spans="1:13" ht="11.25" customHeight="1" x14ac:dyDescent="0.2">
      <c r="A5166" s="228">
        <v>2024</v>
      </c>
      <c r="B5166" s="228">
        <v>8</v>
      </c>
      <c r="C5166" s="228">
        <v>8</v>
      </c>
      <c r="D5166" s="229">
        <f t="shared" si="513"/>
        <v>45512</v>
      </c>
      <c r="E5166" s="241">
        <f t="shared" si="512"/>
        <v>45512</v>
      </c>
      <c r="F5166" s="512"/>
      <c r="G5166" s="231" t="s">
        <v>1245</v>
      </c>
      <c r="H5166" s="232"/>
      <c r="I5166" s="232" t="s">
        <v>1253</v>
      </c>
      <c r="J5166" s="228" t="s">
        <v>55</v>
      </c>
      <c r="K5166" s="233"/>
      <c r="L5166" s="233">
        <v>3623.123846153846</v>
      </c>
    </row>
    <row r="5167" spans="1:13" ht="11.25" customHeight="1" x14ac:dyDescent="0.2">
      <c r="A5167" s="222">
        <v>2024</v>
      </c>
      <c r="B5167" s="222">
        <v>8</v>
      </c>
      <c r="C5167" s="222">
        <v>8</v>
      </c>
      <c r="D5167" s="223">
        <f t="shared" si="513"/>
        <v>45512</v>
      </c>
      <c r="E5167" s="240">
        <f t="shared" si="512"/>
        <v>45512</v>
      </c>
      <c r="F5167" s="511" t="s">
        <v>1247</v>
      </c>
      <c r="G5167" s="225" t="s">
        <v>1245</v>
      </c>
      <c r="H5167" s="226"/>
      <c r="I5167" s="226" t="s">
        <v>1253</v>
      </c>
      <c r="J5167" s="222" t="s">
        <v>77</v>
      </c>
      <c r="K5167" s="227">
        <f>M5167</f>
        <v>15000</v>
      </c>
      <c r="L5167" s="227"/>
      <c r="M5167" s="120">
        <v>15000</v>
      </c>
    </row>
    <row r="5168" spans="1:13" ht="11.25" customHeight="1" x14ac:dyDescent="0.2">
      <c r="A5168" s="228">
        <v>2024</v>
      </c>
      <c r="B5168" s="228">
        <v>8</v>
      </c>
      <c r="C5168" s="228">
        <v>8</v>
      </c>
      <c r="D5168" s="229">
        <f t="shared" si="513"/>
        <v>45512</v>
      </c>
      <c r="E5168" s="241">
        <f t="shared" si="512"/>
        <v>45512</v>
      </c>
      <c r="F5168" s="512"/>
      <c r="G5168" s="231" t="s">
        <v>1245</v>
      </c>
      <c r="H5168" s="232"/>
      <c r="I5168" s="232" t="s">
        <v>1253</v>
      </c>
      <c r="J5168" s="228" t="s">
        <v>41</v>
      </c>
      <c r="K5168" s="233"/>
      <c r="L5168" s="233">
        <f>K5167</f>
        <v>15000</v>
      </c>
      <c r="M5168" s="120">
        <v>3489.2596524082178</v>
      </c>
    </row>
    <row r="5169" spans="1:15" ht="11.25" customHeight="1" x14ac:dyDescent="0.2">
      <c r="A5169" s="222">
        <v>2024</v>
      </c>
      <c r="B5169" s="222">
        <v>8</v>
      </c>
      <c r="C5169" s="222">
        <v>8</v>
      </c>
      <c r="D5169" s="223">
        <f t="shared" si="513"/>
        <v>45512</v>
      </c>
      <c r="E5169" s="240">
        <f t="shared" si="512"/>
        <v>45512</v>
      </c>
      <c r="F5169" s="511" t="s">
        <v>1248</v>
      </c>
      <c r="G5169" s="225" t="s">
        <v>1245</v>
      </c>
      <c r="H5169" s="226"/>
      <c r="I5169" s="226" t="s">
        <v>1253</v>
      </c>
      <c r="J5169" s="222" t="s">
        <v>80</v>
      </c>
      <c r="K5169" s="227">
        <f>M5168</f>
        <v>3489.2596524082178</v>
      </c>
      <c r="L5169" s="227"/>
    </row>
    <row r="5170" spans="1:15" x14ac:dyDescent="0.2">
      <c r="A5170" s="228">
        <v>2024</v>
      </c>
      <c r="B5170" s="228">
        <v>8</v>
      </c>
      <c r="C5170" s="228">
        <v>8</v>
      </c>
      <c r="D5170" s="229">
        <f t="shared" si="513"/>
        <v>45512</v>
      </c>
      <c r="E5170" s="241">
        <f t="shared" si="512"/>
        <v>45512</v>
      </c>
      <c r="F5170" s="512"/>
      <c r="G5170" s="231" t="s">
        <v>1245</v>
      </c>
      <c r="H5170" s="232"/>
      <c r="I5170" s="232" t="s">
        <v>1253</v>
      </c>
      <c r="J5170" s="228" t="s">
        <v>42</v>
      </c>
      <c r="K5170" s="233"/>
      <c r="L5170" s="233">
        <f>K5169</f>
        <v>3489.2596524082178</v>
      </c>
    </row>
    <row r="5171" spans="1:15" ht="11.25" customHeight="1" x14ac:dyDescent="0.2">
      <c r="A5171" s="197">
        <v>2024</v>
      </c>
      <c r="B5171" s="197">
        <v>8</v>
      </c>
      <c r="C5171" s="197">
        <v>11</v>
      </c>
      <c r="D5171" s="198">
        <f t="shared" si="513"/>
        <v>45515</v>
      </c>
      <c r="E5171" s="199">
        <f t="shared" si="512"/>
        <v>45515</v>
      </c>
      <c r="F5171" s="513" t="s">
        <v>1389</v>
      </c>
      <c r="G5171" s="200" t="s">
        <v>1209</v>
      </c>
      <c r="H5171" s="200"/>
      <c r="I5171" s="201" t="s">
        <v>1253</v>
      </c>
      <c r="J5171" s="248" t="s">
        <v>84</v>
      </c>
      <c r="K5171" s="202">
        <v>3.25</v>
      </c>
      <c r="L5171" s="202"/>
      <c r="M5171" s="251"/>
    </row>
    <row r="5172" spans="1:15" ht="11.25" customHeight="1" x14ac:dyDescent="0.2">
      <c r="A5172" s="120">
        <v>2024</v>
      </c>
      <c r="B5172" s="120">
        <v>8</v>
      </c>
      <c r="C5172" s="120">
        <v>11</v>
      </c>
      <c r="D5172" s="208">
        <f t="shared" si="513"/>
        <v>45515</v>
      </c>
      <c r="E5172" s="209">
        <f t="shared" si="512"/>
        <v>45515</v>
      </c>
      <c r="F5172" s="515"/>
      <c r="G5172" s="132" t="s">
        <v>1209</v>
      </c>
      <c r="H5172" s="132"/>
      <c r="J5172" s="129" t="s">
        <v>457</v>
      </c>
      <c r="K5172" s="207"/>
      <c r="L5172" s="207">
        <v>0.33</v>
      </c>
      <c r="M5172" s="251"/>
    </row>
    <row r="5173" spans="1:15" ht="11.25" customHeight="1" x14ac:dyDescent="0.2">
      <c r="A5173" s="191">
        <v>2024</v>
      </c>
      <c r="B5173" s="191">
        <v>8</v>
      </c>
      <c r="C5173" s="191">
        <v>11</v>
      </c>
      <c r="D5173" s="192">
        <f t="shared" si="513"/>
        <v>45515</v>
      </c>
      <c r="E5173" s="193">
        <f t="shared" si="512"/>
        <v>45515</v>
      </c>
      <c r="F5173" s="514"/>
      <c r="G5173" s="194" t="s">
        <v>1209</v>
      </c>
      <c r="H5173" s="194"/>
      <c r="I5173" s="195" t="s">
        <v>1253</v>
      </c>
      <c r="J5173" s="250" t="s">
        <v>46</v>
      </c>
      <c r="K5173" s="196"/>
      <c r="L5173" s="196">
        <v>2.92</v>
      </c>
      <c r="M5173" s="251"/>
    </row>
    <row r="5174" spans="1:15" ht="11.25" customHeight="1" x14ac:dyDescent="0.2">
      <c r="A5174" s="197">
        <v>2024</v>
      </c>
      <c r="B5174" s="197">
        <v>8</v>
      </c>
      <c r="C5174" s="197">
        <v>11</v>
      </c>
      <c r="D5174" s="198">
        <f t="shared" si="513"/>
        <v>45515</v>
      </c>
      <c r="E5174" s="209">
        <f t="shared" si="512"/>
        <v>45515</v>
      </c>
      <c r="F5174" s="513" t="s">
        <v>1280</v>
      </c>
      <c r="G5174" s="200" t="s">
        <v>1209</v>
      </c>
      <c r="H5174" s="201"/>
      <c r="I5174" s="201" t="s">
        <v>398</v>
      </c>
      <c r="J5174" s="197" t="s">
        <v>16</v>
      </c>
      <c r="K5174" s="202">
        <v>884020</v>
      </c>
      <c r="L5174" s="202"/>
    </row>
    <row r="5175" spans="1:15" ht="11.25" customHeight="1" x14ac:dyDescent="0.2">
      <c r="A5175" s="120">
        <v>2024</v>
      </c>
      <c r="B5175" s="120">
        <v>8</v>
      </c>
      <c r="C5175" s="120">
        <v>11</v>
      </c>
      <c r="D5175" s="208">
        <f t="shared" si="513"/>
        <v>45515</v>
      </c>
      <c r="E5175" s="209">
        <f t="shared" si="512"/>
        <v>45515</v>
      </c>
      <c r="F5175" s="515"/>
      <c r="G5175" s="132" t="s">
        <v>1209</v>
      </c>
      <c r="I5175" s="128" t="s">
        <v>398</v>
      </c>
      <c r="J5175" s="120" t="s">
        <v>47</v>
      </c>
      <c r="K5175" s="207">
        <v>115980</v>
      </c>
      <c r="L5175" s="207"/>
    </row>
    <row r="5176" spans="1:15" ht="11.25" customHeight="1" x14ac:dyDescent="0.2">
      <c r="A5176" s="191">
        <v>2024</v>
      </c>
      <c r="B5176" s="191">
        <v>8</v>
      </c>
      <c r="C5176" s="191">
        <v>11</v>
      </c>
      <c r="D5176" s="192">
        <f t="shared" si="513"/>
        <v>45515</v>
      </c>
      <c r="E5176" s="193">
        <f t="shared" si="512"/>
        <v>45515</v>
      </c>
      <c r="F5176" s="514"/>
      <c r="G5176" s="194" t="s">
        <v>1209</v>
      </c>
      <c r="H5176" s="195"/>
      <c r="I5176" s="195" t="s">
        <v>398</v>
      </c>
      <c r="J5176" s="191" t="s">
        <v>46</v>
      </c>
      <c r="K5176" s="196"/>
      <c r="L5176" s="196">
        <v>1000000</v>
      </c>
    </row>
    <row r="5177" spans="1:15" ht="11.25" customHeight="1" x14ac:dyDescent="0.2">
      <c r="A5177" s="197">
        <v>2024</v>
      </c>
      <c r="B5177" s="197">
        <v>8</v>
      </c>
      <c r="C5177" s="197">
        <v>11</v>
      </c>
      <c r="D5177" s="198">
        <f t="shared" si="513"/>
        <v>45515</v>
      </c>
      <c r="E5177" s="290">
        <f t="shared" si="512"/>
        <v>45515</v>
      </c>
      <c r="F5177" s="513" t="s">
        <v>1514</v>
      </c>
      <c r="G5177" s="200" t="s">
        <v>1209</v>
      </c>
      <c r="H5177" s="201"/>
      <c r="I5177" s="201"/>
      <c r="J5177" s="197" t="s">
        <v>54</v>
      </c>
      <c r="K5177" s="202">
        <v>200</v>
      </c>
      <c r="L5177" s="202"/>
      <c r="M5177" s="251"/>
      <c r="N5177" s="251"/>
      <c r="O5177" s="251"/>
    </row>
    <row r="5178" spans="1:15" ht="11.25" customHeight="1" x14ac:dyDescent="0.2">
      <c r="A5178" s="191">
        <v>2024</v>
      </c>
      <c r="B5178" s="191">
        <v>8</v>
      </c>
      <c r="C5178" s="191">
        <v>11</v>
      </c>
      <c r="D5178" s="192">
        <f t="shared" si="513"/>
        <v>45515</v>
      </c>
      <c r="E5178" s="291">
        <f t="shared" si="512"/>
        <v>45515</v>
      </c>
      <c r="F5178" s="514"/>
      <c r="G5178" s="194" t="s">
        <v>1209</v>
      </c>
      <c r="H5178" s="195"/>
      <c r="I5178" s="195"/>
      <c r="J5178" s="191" t="s">
        <v>46</v>
      </c>
      <c r="K5178" s="196"/>
      <c r="L5178" s="196">
        <v>200</v>
      </c>
      <c r="M5178" s="251"/>
      <c r="N5178" s="251"/>
      <c r="O5178" s="251"/>
    </row>
    <row r="5179" spans="1:15" ht="11.25" customHeight="1" x14ac:dyDescent="0.2">
      <c r="A5179" s="197">
        <v>2024</v>
      </c>
      <c r="B5179" s="197">
        <v>8</v>
      </c>
      <c r="C5179" s="197">
        <v>12</v>
      </c>
      <c r="D5179" s="198">
        <f t="shared" si="513"/>
        <v>45516</v>
      </c>
      <c r="E5179" s="199">
        <f t="shared" si="512"/>
        <v>45516</v>
      </c>
      <c r="F5179" s="513" t="s">
        <v>1822</v>
      </c>
      <c r="G5179" s="200" t="s">
        <v>1209</v>
      </c>
      <c r="H5179" s="201"/>
      <c r="I5179" s="201" t="s">
        <v>1253</v>
      </c>
      <c r="J5179" s="197" t="s">
        <v>46</v>
      </c>
      <c r="K5179" s="202">
        <v>4000000</v>
      </c>
      <c r="L5179" s="202"/>
    </row>
    <row r="5180" spans="1:15" ht="11.25" customHeight="1" x14ac:dyDescent="0.2">
      <c r="A5180" s="120">
        <v>2024</v>
      </c>
      <c r="B5180" s="120">
        <v>8</v>
      </c>
      <c r="C5180" s="120">
        <v>12</v>
      </c>
      <c r="D5180" s="208">
        <f t="shared" si="513"/>
        <v>45516</v>
      </c>
      <c r="E5180" s="209">
        <f t="shared" si="512"/>
        <v>45516</v>
      </c>
      <c r="F5180" s="515"/>
      <c r="G5180" s="132" t="s">
        <v>1209</v>
      </c>
      <c r="J5180" s="120" t="s">
        <v>1462</v>
      </c>
      <c r="K5180" s="328"/>
      <c r="L5180" s="207">
        <v>56080</v>
      </c>
    </row>
    <row r="5181" spans="1:15" ht="11.25" customHeight="1" x14ac:dyDescent="0.2">
      <c r="A5181" s="191">
        <v>2024</v>
      </c>
      <c r="B5181" s="191">
        <v>8</v>
      </c>
      <c r="C5181" s="191">
        <v>12</v>
      </c>
      <c r="D5181" s="192">
        <f t="shared" si="513"/>
        <v>45516</v>
      </c>
      <c r="E5181" s="193">
        <f t="shared" si="512"/>
        <v>45516</v>
      </c>
      <c r="F5181" s="514"/>
      <c r="G5181" s="194" t="s">
        <v>1209</v>
      </c>
      <c r="H5181" s="195"/>
      <c r="I5181" s="195" t="s">
        <v>1253</v>
      </c>
      <c r="J5181" s="191" t="s">
        <v>1455</v>
      </c>
      <c r="K5181" s="196"/>
      <c r="L5181" s="196">
        <v>3943920</v>
      </c>
      <c r="N5181" s="130"/>
    </row>
    <row r="5182" spans="1:15" ht="11.25" customHeight="1" x14ac:dyDescent="0.2">
      <c r="A5182" s="197">
        <v>2024</v>
      </c>
      <c r="B5182" s="197">
        <v>8</v>
      </c>
      <c r="C5182" s="197">
        <v>12</v>
      </c>
      <c r="D5182" s="198">
        <f t="shared" si="513"/>
        <v>45516</v>
      </c>
      <c r="E5182" s="209">
        <f t="shared" si="512"/>
        <v>45516</v>
      </c>
      <c r="F5182" s="513" t="s">
        <v>1280</v>
      </c>
      <c r="G5182" s="200" t="s">
        <v>1209</v>
      </c>
      <c r="H5182" s="201"/>
      <c r="I5182" s="201" t="s">
        <v>1356</v>
      </c>
      <c r="J5182" s="197" t="s">
        <v>16</v>
      </c>
      <c r="K5182" s="202">
        <v>26850</v>
      </c>
      <c r="L5182" s="202"/>
    </row>
    <row r="5183" spans="1:15" ht="11.25" customHeight="1" x14ac:dyDescent="0.2">
      <c r="A5183" s="120">
        <v>2024</v>
      </c>
      <c r="B5183" s="120">
        <v>8</v>
      </c>
      <c r="C5183" s="120">
        <v>12</v>
      </c>
      <c r="D5183" s="208">
        <f t="shared" si="513"/>
        <v>45516</v>
      </c>
      <c r="E5183" s="209">
        <f t="shared" si="512"/>
        <v>45516</v>
      </c>
      <c r="F5183" s="515"/>
      <c r="G5183" s="132" t="s">
        <v>1209</v>
      </c>
      <c r="I5183" s="128" t="s">
        <v>1356</v>
      </c>
      <c r="J5183" s="120" t="s">
        <v>47</v>
      </c>
      <c r="K5183" s="207">
        <v>3522.7200000000012</v>
      </c>
      <c r="L5183" s="207"/>
    </row>
    <row r="5184" spans="1:15" ht="11.25" customHeight="1" x14ac:dyDescent="0.2">
      <c r="A5184" s="191">
        <v>2024</v>
      </c>
      <c r="B5184" s="191">
        <v>8</v>
      </c>
      <c r="C5184" s="191">
        <v>12</v>
      </c>
      <c r="D5184" s="192">
        <f t="shared" si="513"/>
        <v>45516</v>
      </c>
      <c r="E5184" s="193">
        <f t="shared" si="512"/>
        <v>45516</v>
      </c>
      <c r="F5184" s="514"/>
      <c r="G5184" s="194" t="s">
        <v>1209</v>
      </c>
      <c r="H5184" s="195"/>
      <c r="I5184" s="195" t="s">
        <v>1356</v>
      </c>
      <c r="J5184" s="191" t="s">
        <v>46</v>
      </c>
      <c r="K5184" s="196"/>
      <c r="L5184" s="196">
        <v>30372.720000000001</v>
      </c>
    </row>
    <row r="5185" spans="1:12" ht="11.25" customHeight="1" x14ac:dyDescent="0.2">
      <c r="A5185" s="197">
        <v>2024</v>
      </c>
      <c r="B5185" s="197">
        <v>8</v>
      </c>
      <c r="C5185" s="197">
        <v>12</v>
      </c>
      <c r="D5185" s="198">
        <f t="shared" si="513"/>
        <v>45516</v>
      </c>
      <c r="E5185" s="209">
        <f t="shared" si="512"/>
        <v>45516</v>
      </c>
      <c r="F5185" s="513" t="s">
        <v>1210</v>
      </c>
      <c r="G5185" s="200" t="s">
        <v>1209</v>
      </c>
      <c r="H5185" s="201"/>
      <c r="I5185" s="201"/>
      <c r="J5185" s="197" t="s">
        <v>46</v>
      </c>
      <c r="K5185" s="202">
        <v>48393</v>
      </c>
      <c r="L5185" s="202"/>
    </row>
    <row r="5186" spans="1:12" ht="11.25" customHeight="1" x14ac:dyDescent="0.2">
      <c r="A5186" s="120">
        <v>2024</v>
      </c>
      <c r="B5186" s="120">
        <v>8</v>
      </c>
      <c r="C5186" s="120">
        <v>12</v>
      </c>
      <c r="D5186" s="208">
        <f t="shared" si="513"/>
        <v>45516</v>
      </c>
      <c r="E5186" s="209">
        <f t="shared" si="512"/>
        <v>45516</v>
      </c>
      <c r="F5186" s="515"/>
      <c r="G5186" s="132" t="s">
        <v>1209</v>
      </c>
      <c r="J5186" s="120" t="s">
        <v>16</v>
      </c>
      <c r="K5186" s="207"/>
      <c r="L5186" s="207">
        <v>42780</v>
      </c>
    </row>
    <row r="5187" spans="1:12" ht="11.25" customHeight="1" x14ac:dyDescent="0.2">
      <c r="A5187" s="191">
        <v>2024</v>
      </c>
      <c r="B5187" s="191">
        <v>8</v>
      </c>
      <c r="C5187" s="191">
        <v>12</v>
      </c>
      <c r="D5187" s="192">
        <f t="shared" si="513"/>
        <v>45516</v>
      </c>
      <c r="E5187" s="193">
        <f t="shared" si="512"/>
        <v>45516</v>
      </c>
      <c r="F5187" s="514"/>
      <c r="G5187" s="194" t="s">
        <v>1209</v>
      </c>
      <c r="H5187" s="195"/>
      <c r="I5187" s="195"/>
      <c r="J5187" s="191" t="s">
        <v>47</v>
      </c>
      <c r="K5187" s="196"/>
      <c r="L5187" s="196">
        <v>5613</v>
      </c>
    </row>
    <row r="5188" spans="1:12" ht="11.25" customHeight="1" x14ac:dyDescent="0.2">
      <c r="A5188" s="197">
        <v>2024</v>
      </c>
      <c r="B5188" s="197">
        <v>8</v>
      </c>
      <c r="C5188" s="197">
        <v>13</v>
      </c>
      <c r="D5188" s="198">
        <f t="shared" si="513"/>
        <v>45517</v>
      </c>
      <c r="E5188" s="209">
        <f t="shared" si="512"/>
        <v>45517</v>
      </c>
      <c r="F5188" s="513" t="s">
        <v>1210</v>
      </c>
      <c r="G5188" s="200" t="s">
        <v>1209</v>
      </c>
      <c r="H5188" s="201"/>
      <c r="I5188" s="201" t="s">
        <v>1235</v>
      </c>
      <c r="J5188" s="197" t="s">
        <v>46</v>
      </c>
      <c r="K5188" s="202">
        <v>100000</v>
      </c>
      <c r="L5188" s="202"/>
    </row>
    <row r="5189" spans="1:12" ht="11.25" customHeight="1" x14ac:dyDescent="0.2">
      <c r="A5189" s="120">
        <v>2024</v>
      </c>
      <c r="B5189" s="120">
        <v>8</v>
      </c>
      <c r="C5189" s="120">
        <v>13</v>
      </c>
      <c r="D5189" s="208">
        <f t="shared" si="513"/>
        <v>45517</v>
      </c>
      <c r="E5189" s="209">
        <f t="shared" si="512"/>
        <v>45517</v>
      </c>
      <c r="F5189" s="515"/>
      <c r="G5189" s="132" t="s">
        <v>1209</v>
      </c>
      <c r="I5189" s="128" t="s">
        <v>1235</v>
      </c>
      <c r="J5189" s="120" t="s">
        <v>16</v>
      </c>
      <c r="K5189" s="207"/>
      <c r="L5189" s="207">
        <v>88400</v>
      </c>
    </row>
    <row r="5190" spans="1:12" ht="11.25" customHeight="1" x14ac:dyDescent="0.2">
      <c r="A5190" s="191">
        <v>2024</v>
      </c>
      <c r="B5190" s="191">
        <v>8</v>
      </c>
      <c r="C5190" s="191">
        <v>13</v>
      </c>
      <c r="D5190" s="192">
        <f t="shared" si="513"/>
        <v>45517</v>
      </c>
      <c r="E5190" s="193">
        <f t="shared" si="512"/>
        <v>45517</v>
      </c>
      <c r="F5190" s="514"/>
      <c r="G5190" s="194" t="s">
        <v>1209</v>
      </c>
      <c r="H5190" s="195"/>
      <c r="I5190" s="195" t="s">
        <v>1235</v>
      </c>
      <c r="J5190" s="191" t="s">
        <v>47</v>
      </c>
      <c r="K5190" s="196"/>
      <c r="L5190" s="196">
        <v>11600</v>
      </c>
    </row>
    <row r="5191" spans="1:12" ht="11.25" customHeight="1" x14ac:dyDescent="0.2">
      <c r="A5191" s="197">
        <v>2024</v>
      </c>
      <c r="B5191" s="197">
        <v>8</v>
      </c>
      <c r="C5191" s="197">
        <v>13</v>
      </c>
      <c r="D5191" s="198">
        <f t="shared" si="513"/>
        <v>45517</v>
      </c>
      <c r="E5191" s="209">
        <f t="shared" si="512"/>
        <v>45517</v>
      </c>
      <c r="F5191" s="513" t="s">
        <v>1280</v>
      </c>
      <c r="G5191" s="200" t="s">
        <v>1209</v>
      </c>
      <c r="H5191" s="201"/>
      <c r="I5191" s="201" t="s">
        <v>1647</v>
      </c>
      <c r="J5191" s="197" t="s">
        <v>16</v>
      </c>
      <c r="K5191" s="202">
        <v>194480</v>
      </c>
      <c r="L5191" s="202"/>
    </row>
    <row r="5192" spans="1:12" ht="11.25" customHeight="1" x14ac:dyDescent="0.2">
      <c r="A5192" s="120">
        <v>2024</v>
      </c>
      <c r="B5192" s="120">
        <v>8</v>
      </c>
      <c r="C5192" s="120">
        <v>13</v>
      </c>
      <c r="D5192" s="208">
        <f t="shared" si="513"/>
        <v>45517</v>
      </c>
      <c r="E5192" s="209">
        <f t="shared" si="512"/>
        <v>45517</v>
      </c>
      <c r="F5192" s="515"/>
      <c r="G5192" s="132" t="s">
        <v>1209</v>
      </c>
      <c r="I5192" s="128" t="s">
        <v>1647</v>
      </c>
      <c r="J5192" s="120" t="s">
        <v>47</v>
      </c>
      <c r="K5192" s="207">
        <v>25520</v>
      </c>
      <c r="L5192" s="207"/>
    </row>
    <row r="5193" spans="1:12" ht="11.25" customHeight="1" x14ac:dyDescent="0.2">
      <c r="A5193" s="191">
        <v>2024</v>
      </c>
      <c r="B5193" s="191">
        <v>8</v>
      </c>
      <c r="C5193" s="191">
        <v>13</v>
      </c>
      <c r="D5193" s="192">
        <f t="shared" si="513"/>
        <v>45517</v>
      </c>
      <c r="E5193" s="193">
        <f t="shared" si="512"/>
        <v>45517</v>
      </c>
      <c r="F5193" s="514"/>
      <c r="G5193" s="194" t="s">
        <v>1209</v>
      </c>
      <c r="H5193" s="195"/>
      <c r="I5193" s="195" t="s">
        <v>1647</v>
      </c>
      <c r="J5193" s="191" t="s">
        <v>46</v>
      </c>
      <c r="K5193" s="196"/>
      <c r="L5193" s="196">
        <v>220000</v>
      </c>
    </row>
    <row r="5194" spans="1:12" ht="11.25" customHeight="1" x14ac:dyDescent="0.2">
      <c r="A5194" s="197">
        <v>2024</v>
      </c>
      <c r="B5194" s="197">
        <v>8</v>
      </c>
      <c r="C5194" s="197">
        <v>13</v>
      </c>
      <c r="D5194" s="198">
        <f t="shared" si="513"/>
        <v>45517</v>
      </c>
      <c r="E5194" s="209">
        <f t="shared" si="512"/>
        <v>45517</v>
      </c>
      <c r="F5194" s="513" t="s">
        <v>1280</v>
      </c>
      <c r="G5194" s="200" t="s">
        <v>1209</v>
      </c>
      <c r="H5194" s="201"/>
      <c r="I5194" s="201" t="s">
        <v>1805</v>
      </c>
      <c r="J5194" s="197" t="s">
        <v>16</v>
      </c>
      <c r="K5194" s="202">
        <v>224180</v>
      </c>
      <c r="L5194" s="202"/>
    </row>
    <row r="5195" spans="1:12" ht="11.25" customHeight="1" x14ac:dyDescent="0.2">
      <c r="A5195" s="120">
        <v>2024</v>
      </c>
      <c r="B5195" s="120">
        <v>8</v>
      </c>
      <c r="C5195" s="120">
        <v>13</v>
      </c>
      <c r="D5195" s="208">
        <f t="shared" si="513"/>
        <v>45517</v>
      </c>
      <c r="E5195" s="209">
        <f t="shared" si="512"/>
        <v>45517</v>
      </c>
      <c r="F5195" s="515"/>
      <c r="G5195" s="132" t="s">
        <v>1209</v>
      </c>
      <c r="I5195" s="128" t="s">
        <v>1805</v>
      </c>
      <c r="J5195" s="120" t="s">
        <v>47</v>
      </c>
      <c r="K5195" s="207">
        <v>29412.420000000013</v>
      </c>
      <c r="L5195" s="207"/>
    </row>
    <row r="5196" spans="1:12" ht="11.25" customHeight="1" x14ac:dyDescent="0.2">
      <c r="A5196" s="191">
        <v>2024</v>
      </c>
      <c r="B5196" s="191">
        <v>8</v>
      </c>
      <c r="C5196" s="191">
        <v>13</v>
      </c>
      <c r="D5196" s="192">
        <f t="shared" si="513"/>
        <v>45517</v>
      </c>
      <c r="E5196" s="193">
        <f t="shared" si="512"/>
        <v>45517</v>
      </c>
      <c r="F5196" s="514"/>
      <c r="G5196" s="194" t="s">
        <v>1209</v>
      </c>
      <c r="H5196" s="195"/>
      <c r="I5196" s="195" t="s">
        <v>1805</v>
      </c>
      <c r="J5196" s="191" t="s">
        <v>46</v>
      </c>
      <c r="K5196" s="196"/>
      <c r="L5196" s="196">
        <v>253592.42</v>
      </c>
    </row>
    <row r="5197" spans="1:12" ht="11.25" customHeight="1" x14ac:dyDescent="0.2">
      <c r="A5197" s="197">
        <v>2024</v>
      </c>
      <c r="B5197" s="197">
        <v>8</v>
      </c>
      <c r="C5197" s="197">
        <v>13</v>
      </c>
      <c r="D5197" s="198">
        <f t="shared" si="513"/>
        <v>45517</v>
      </c>
      <c r="E5197" s="209">
        <f t="shared" si="512"/>
        <v>45517</v>
      </c>
      <c r="F5197" s="513" t="s">
        <v>1280</v>
      </c>
      <c r="G5197" s="200" t="s">
        <v>1209</v>
      </c>
      <c r="H5197" s="201"/>
      <c r="I5197" s="201" t="s">
        <v>596</v>
      </c>
      <c r="J5197" s="197" t="s">
        <v>16</v>
      </c>
      <c r="K5197" s="202">
        <v>1679630</v>
      </c>
      <c r="L5197" s="202"/>
    </row>
    <row r="5198" spans="1:12" ht="11.25" customHeight="1" x14ac:dyDescent="0.2">
      <c r="A5198" s="120">
        <v>2024</v>
      </c>
      <c r="B5198" s="120">
        <v>8</v>
      </c>
      <c r="C5198" s="120">
        <v>13</v>
      </c>
      <c r="D5198" s="208">
        <f t="shared" si="513"/>
        <v>45517</v>
      </c>
      <c r="E5198" s="209">
        <f t="shared" si="512"/>
        <v>45517</v>
      </c>
      <c r="F5198" s="515"/>
      <c r="G5198" s="132" t="s">
        <v>1209</v>
      </c>
      <c r="I5198" s="128" t="s">
        <v>596</v>
      </c>
      <c r="J5198" s="120" t="s">
        <v>47</v>
      </c>
      <c r="K5198" s="207">
        <v>220370</v>
      </c>
      <c r="L5198" s="207"/>
    </row>
    <row r="5199" spans="1:12" ht="11.25" customHeight="1" x14ac:dyDescent="0.2">
      <c r="A5199" s="191">
        <v>2024</v>
      </c>
      <c r="B5199" s="191">
        <v>8</v>
      </c>
      <c r="C5199" s="191">
        <v>13</v>
      </c>
      <c r="D5199" s="192">
        <f t="shared" si="513"/>
        <v>45517</v>
      </c>
      <c r="E5199" s="193">
        <f t="shared" si="512"/>
        <v>45517</v>
      </c>
      <c r="F5199" s="514"/>
      <c r="G5199" s="194" t="s">
        <v>1209</v>
      </c>
      <c r="H5199" s="195"/>
      <c r="I5199" s="195" t="s">
        <v>596</v>
      </c>
      <c r="J5199" s="191" t="s">
        <v>46</v>
      </c>
      <c r="K5199" s="196"/>
      <c r="L5199" s="196">
        <v>1900000</v>
      </c>
    </row>
    <row r="5200" spans="1:12" ht="11.25" customHeight="1" x14ac:dyDescent="0.2">
      <c r="A5200" s="197">
        <v>2024</v>
      </c>
      <c r="B5200" s="197">
        <v>8</v>
      </c>
      <c r="C5200" s="197">
        <v>13</v>
      </c>
      <c r="D5200" s="198">
        <f t="shared" si="513"/>
        <v>45517</v>
      </c>
      <c r="E5200" s="209">
        <f t="shared" si="512"/>
        <v>45517</v>
      </c>
      <c r="F5200" s="513" t="s">
        <v>1210</v>
      </c>
      <c r="G5200" s="200" t="s">
        <v>1209</v>
      </c>
      <c r="H5200" s="201"/>
      <c r="I5200" s="201" t="s">
        <v>1809</v>
      </c>
      <c r="J5200" s="197" t="s">
        <v>46</v>
      </c>
      <c r="K5200" s="202">
        <v>150000</v>
      </c>
      <c r="L5200" s="202"/>
    </row>
    <row r="5201" spans="1:15" ht="11.25" customHeight="1" x14ac:dyDescent="0.2">
      <c r="A5201" s="120">
        <v>2024</v>
      </c>
      <c r="B5201" s="120">
        <v>8</v>
      </c>
      <c r="C5201" s="120">
        <v>13</v>
      </c>
      <c r="D5201" s="208">
        <f t="shared" si="513"/>
        <v>45517</v>
      </c>
      <c r="E5201" s="209">
        <f t="shared" si="512"/>
        <v>45517</v>
      </c>
      <c r="F5201" s="515"/>
      <c r="G5201" s="132" t="s">
        <v>1209</v>
      </c>
      <c r="I5201" s="128" t="s">
        <v>1809</v>
      </c>
      <c r="J5201" s="120" t="s">
        <v>16</v>
      </c>
      <c r="K5201" s="207"/>
      <c r="L5201" s="207">
        <v>132600</v>
      </c>
    </row>
    <row r="5202" spans="1:15" ht="11.25" customHeight="1" x14ac:dyDescent="0.2">
      <c r="A5202" s="191">
        <v>2024</v>
      </c>
      <c r="B5202" s="191">
        <v>8</v>
      </c>
      <c r="C5202" s="191">
        <v>13</v>
      </c>
      <c r="D5202" s="192">
        <f t="shared" si="513"/>
        <v>45517</v>
      </c>
      <c r="E5202" s="193">
        <f t="shared" si="512"/>
        <v>45517</v>
      </c>
      <c r="F5202" s="514"/>
      <c r="G5202" s="194" t="s">
        <v>1209</v>
      </c>
      <c r="H5202" s="195"/>
      <c r="I5202" s="195" t="s">
        <v>1809</v>
      </c>
      <c r="J5202" s="191" t="s">
        <v>47</v>
      </c>
      <c r="K5202" s="196"/>
      <c r="L5202" s="196">
        <v>17400</v>
      </c>
    </row>
    <row r="5203" spans="1:15" ht="11.25" customHeight="1" x14ac:dyDescent="0.2">
      <c r="A5203" s="197">
        <v>2024</v>
      </c>
      <c r="B5203" s="197">
        <v>8</v>
      </c>
      <c r="C5203" s="197">
        <v>13</v>
      </c>
      <c r="D5203" s="198">
        <f t="shared" si="513"/>
        <v>45517</v>
      </c>
      <c r="E5203" s="209">
        <f t="shared" si="512"/>
        <v>45517</v>
      </c>
      <c r="F5203" s="513" t="s">
        <v>1280</v>
      </c>
      <c r="G5203" s="200" t="s">
        <v>1209</v>
      </c>
      <c r="H5203" s="201"/>
      <c r="I5203" s="201" t="s">
        <v>1493</v>
      </c>
      <c r="J5203" s="197" t="s">
        <v>16</v>
      </c>
      <c r="K5203" s="202">
        <v>435090</v>
      </c>
      <c r="L5203" s="202"/>
    </row>
    <row r="5204" spans="1:15" ht="11.25" customHeight="1" x14ac:dyDescent="0.2">
      <c r="A5204" s="120">
        <v>2024</v>
      </c>
      <c r="B5204" s="120">
        <v>8</v>
      </c>
      <c r="C5204" s="120">
        <v>13</v>
      </c>
      <c r="D5204" s="208">
        <f t="shared" si="513"/>
        <v>45517</v>
      </c>
      <c r="E5204" s="209">
        <f t="shared" si="512"/>
        <v>45517</v>
      </c>
      <c r="F5204" s="515"/>
      <c r="G5204" s="132" t="s">
        <v>1209</v>
      </c>
      <c r="I5204" s="128" t="s">
        <v>1493</v>
      </c>
      <c r="J5204" s="120" t="s">
        <v>47</v>
      </c>
      <c r="K5204" s="207">
        <v>57083.81</v>
      </c>
      <c r="L5204" s="207"/>
    </row>
    <row r="5205" spans="1:15" ht="11.25" customHeight="1" x14ac:dyDescent="0.2">
      <c r="A5205" s="191">
        <v>2024</v>
      </c>
      <c r="B5205" s="191">
        <v>8</v>
      </c>
      <c r="C5205" s="191">
        <v>13</v>
      </c>
      <c r="D5205" s="192">
        <f t="shared" si="513"/>
        <v>45517</v>
      </c>
      <c r="E5205" s="193">
        <f t="shared" si="512"/>
        <v>45517</v>
      </c>
      <c r="F5205" s="514"/>
      <c r="G5205" s="194" t="s">
        <v>1209</v>
      </c>
      <c r="H5205" s="195"/>
      <c r="I5205" s="195" t="s">
        <v>1493</v>
      </c>
      <c r="J5205" s="191" t="s">
        <v>46</v>
      </c>
      <c r="K5205" s="196"/>
      <c r="L5205" s="196">
        <v>492173.81</v>
      </c>
    </row>
    <row r="5206" spans="1:15" ht="11.25" customHeight="1" x14ac:dyDescent="0.2">
      <c r="A5206" s="197">
        <v>2024</v>
      </c>
      <c r="B5206" s="197">
        <v>8</v>
      </c>
      <c r="C5206" s="197">
        <v>13</v>
      </c>
      <c r="D5206" s="198">
        <f t="shared" si="513"/>
        <v>45517</v>
      </c>
      <c r="E5206" s="209">
        <f t="shared" si="512"/>
        <v>45517</v>
      </c>
      <c r="F5206" s="513" t="s">
        <v>1210</v>
      </c>
      <c r="G5206" s="200" t="s">
        <v>1209</v>
      </c>
      <c r="H5206" s="201"/>
      <c r="I5206" s="201" t="s">
        <v>299</v>
      </c>
      <c r="J5206" s="197" t="s">
        <v>46</v>
      </c>
      <c r="K5206" s="202">
        <v>500000</v>
      </c>
      <c r="L5206" s="202"/>
    </row>
    <row r="5207" spans="1:15" ht="11.25" customHeight="1" x14ac:dyDescent="0.2">
      <c r="A5207" s="120">
        <v>2024</v>
      </c>
      <c r="B5207" s="120">
        <v>8</v>
      </c>
      <c r="C5207" s="120">
        <v>13</v>
      </c>
      <c r="D5207" s="208">
        <f t="shared" si="513"/>
        <v>45517</v>
      </c>
      <c r="E5207" s="209">
        <f t="shared" si="512"/>
        <v>45517</v>
      </c>
      <c r="F5207" s="515"/>
      <c r="G5207" s="132" t="s">
        <v>1209</v>
      </c>
      <c r="I5207" s="128" t="s">
        <v>299</v>
      </c>
      <c r="J5207" s="120" t="s">
        <v>16</v>
      </c>
      <c r="K5207" s="207"/>
      <c r="L5207" s="207">
        <v>442010</v>
      </c>
    </row>
    <row r="5208" spans="1:15" ht="11.25" customHeight="1" x14ac:dyDescent="0.2">
      <c r="A5208" s="191">
        <v>2024</v>
      </c>
      <c r="B5208" s="191">
        <v>8</v>
      </c>
      <c r="C5208" s="191">
        <v>13</v>
      </c>
      <c r="D5208" s="192">
        <f t="shared" si="513"/>
        <v>45517</v>
      </c>
      <c r="E5208" s="193">
        <f t="shared" si="512"/>
        <v>45517</v>
      </c>
      <c r="F5208" s="514"/>
      <c r="G5208" s="194" t="s">
        <v>1209</v>
      </c>
      <c r="H5208" s="195"/>
      <c r="I5208" s="195" t="s">
        <v>299</v>
      </c>
      <c r="J5208" s="191" t="s">
        <v>47</v>
      </c>
      <c r="K5208" s="196"/>
      <c r="L5208" s="196">
        <v>57990</v>
      </c>
    </row>
    <row r="5209" spans="1:15" ht="11.25" customHeight="1" x14ac:dyDescent="0.2">
      <c r="A5209" s="197">
        <v>2024</v>
      </c>
      <c r="B5209" s="197">
        <v>8</v>
      </c>
      <c r="C5209" s="197">
        <v>13</v>
      </c>
      <c r="D5209" s="198">
        <f t="shared" si="513"/>
        <v>45517</v>
      </c>
      <c r="E5209" s="209">
        <f t="shared" si="512"/>
        <v>45517</v>
      </c>
      <c r="F5209" s="513" t="s">
        <v>1280</v>
      </c>
      <c r="G5209" s="200" t="s">
        <v>1209</v>
      </c>
      <c r="H5209" s="201"/>
      <c r="I5209" s="201" t="s">
        <v>1812</v>
      </c>
      <c r="J5209" s="197" t="s">
        <v>16</v>
      </c>
      <c r="K5209" s="202">
        <v>448350</v>
      </c>
      <c r="L5209" s="202"/>
    </row>
    <row r="5210" spans="1:15" ht="11.25" customHeight="1" x14ac:dyDescent="0.2">
      <c r="A5210" s="120">
        <v>2024</v>
      </c>
      <c r="B5210" s="120">
        <v>8</v>
      </c>
      <c r="C5210" s="120">
        <v>13</v>
      </c>
      <c r="D5210" s="208">
        <f t="shared" si="513"/>
        <v>45517</v>
      </c>
      <c r="E5210" s="209">
        <f t="shared" si="512"/>
        <v>45517</v>
      </c>
      <c r="F5210" s="515"/>
      <c r="G5210" s="132" t="s">
        <v>1209</v>
      </c>
      <c r="I5210" s="128" t="s">
        <v>1812</v>
      </c>
      <c r="J5210" s="120" t="s">
        <v>47</v>
      </c>
      <c r="K5210" s="207">
        <v>57747.48</v>
      </c>
      <c r="L5210" s="207"/>
    </row>
    <row r="5211" spans="1:15" ht="11.25" customHeight="1" x14ac:dyDescent="0.2">
      <c r="A5211" s="191">
        <v>2024</v>
      </c>
      <c r="B5211" s="191">
        <v>8</v>
      </c>
      <c r="C5211" s="191">
        <v>13</v>
      </c>
      <c r="D5211" s="192">
        <f t="shared" si="513"/>
        <v>45517</v>
      </c>
      <c r="E5211" s="193">
        <f t="shared" si="512"/>
        <v>45517</v>
      </c>
      <c r="F5211" s="514"/>
      <c r="G5211" s="194" t="s">
        <v>1209</v>
      </c>
      <c r="H5211" s="195"/>
      <c r="I5211" s="195" t="s">
        <v>1812</v>
      </c>
      <c r="J5211" s="191" t="s">
        <v>46</v>
      </c>
      <c r="K5211" s="196"/>
      <c r="L5211" s="196">
        <v>506097.48</v>
      </c>
    </row>
    <row r="5212" spans="1:15" ht="11.25" customHeight="1" x14ac:dyDescent="0.2">
      <c r="A5212" s="197">
        <v>2024</v>
      </c>
      <c r="B5212" s="197">
        <v>8</v>
      </c>
      <c r="C5212" s="197">
        <v>13</v>
      </c>
      <c r="D5212" s="198">
        <f t="shared" si="513"/>
        <v>45517</v>
      </c>
      <c r="E5212" s="290">
        <f t="shared" si="512"/>
        <v>45517</v>
      </c>
      <c r="F5212" s="513" t="s">
        <v>1514</v>
      </c>
      <c r="G5212" s="200" t="s">
        <v>1209</v>
      </c>
      <c r="H5212" s="201"/>
      <c r="I5212" s="201"/>
      <c r="J5212" s="197" t="s">
        <v>54</v>
      </c>
      <c r="K5212" s="202">
        <v>100</v>
      </c>
      <c r="L5212" s="202"/>
      <c r="M5212" s="251"/>
      <c r="N5212" s="251"/>
      <c r="O5212" s="251"/>
    </row>
    <row r="5213" spans="1:15" ht="11.25" customHeight="1" x14ac:dyDescent="0.2">
      <c r="A5213" s="191">
        <v>2024</v>
      </c>
      <c r="B5213" s="191">
        <v>8</v>
      </c>
      <c r="C5213" s="191">
        <v>13</v>
      </c>
      <c r="D5213" s="192">
        <f t="shared" si="513"/>
        <v>45517</v>
      </c>
      <c r="E5213" s="291">
        <f t="shared" si="512"/>
        <v>45517</v>
      </c>
      <c r="F5213" s="514"/>
      <c r="G5213" s="194" t="s">
        <v>1209</v>
      </c>
      <c r="H5213" s="195"/>
      <c r="I5213" s="195"/>
      <c r="J5213" s="191" t="s">
        <v>46</v>
      </c>
      <c r="K5213" s="196"/>
      <c r="L5213" s="196">
        <v>100</v>
      </c>
      <c r="M5213" s="251"/>
      <c r="N5213" s="251"/>
      <c r="O5213" s="251"/>
    </row>
    <row r="5214" spans="1:15" ht="11.25" customHeight="1" x14ac:dyDescent="0.2">
      <c r="A5214" s="197">
        <v>2024</v>
      </c>
      <c r="B5214" s="197">
        <v>8</v>
      </c>
      <c r="C5214" s="197">
        <v>14</v>
      </c>
      <c r="D5214" s="198">
        <f t="shared" si="513"/>
        <v>45518</v>
      </c>
      <c r="E5214" s="209">
        <f t="shared" si="512"/>
        <v>45518</v>
      </c>
      <c r="F5214" s="513" t="s">
        <v>1280</v>
      </c>
      <c r="G5214" s="200" t="s">
        <v>1209</v>
      </c>
      <c r="H5214" s="201"/>
      <c r="I5214" s="201" t="s">
        <v>1790</v>
      </c>
      <c r="J5214" s="197" t="s">
        <v>16</v>
      </c>
      <c r="K5214" s="202">
        <v>9170</v>
      </c>
      <c r="L5214" s="202"/>
    </row>
    <row r="5215" spans="1:15" ht="11.25" customHeight="1" x14ac:dyDescent="0.2">
      <c r="A5215" s="120">
        <v>2024</v>
      </c>
      <c r="B5215" s="120">
        <v>8</v>
      </c>
      <c r="C5215" s="120">
        <v>14</v>
      </c>
      <c r="D5215" s="208">
        <f t="shared" si="513"/>
        <v>45518</v>
      </c>
      <c r="E5215" s="209">
        <f t="shared" si="512"/>
        <v>45518</v>
      </c>
      <c r="F5215" s="515"/>
      <c r="G5215" s="132" t="s">
        <v>1209</v>
      </c>
      <c r="I5215" s="128" t="s">
        <v>1790</v>
      </c>
      <c r="J5215" s="120" t="s">
        <v>47</v>
      </c>
      <c r="K5215" s="207">
        <v>1204.8199999999997</v>
      </c>
      <c r="L5215" s="207"/>
    </row>
    <row r="5216" spans="1:15" ht="11.25" customHeight="1" x14ac:dyDescent="0.2">
      <c r="A5216" s="191">
        <v>2024</v>
      </c>
      <c r="B5216" s="191">
        <v>8</v>
      </c>
      <c r="C5216" s="191">
        <v>14</v>
      </c>
      <c r="D5216" s="192">
        <f t="shared" si="513"/>
        <v>45518</v>
      </c>
      <c r="E5216" s="193">
        <f t="shared" si="512"/>
        <v>45518</v>
      </c>
      <c r="F5216" s="514"/>
      <c r="G5216" s="194" t="s">
        <v>1209</v>
      </c>
      <c r="H5216" s="195"/>
      <c r="I5216" s="195" t="s">
        <v>1790</v>
      </c>
      <c r="J5216" s="191" t="s">
        <v>46</v>
      </c>
      <c r="K5216" s="196"/>
      <c r="L5216" s="196">
        <v>10374.82</v>
      </c>
    </row>
    <row r="5217" spans="1:14" ht="11.25" customHeight="1" x14ac:dyDescent="0.2">
      <c r="A5217" s="197">
        <v>2024</v>
      </c>
      <c r="B5217" s="197">
        <v>8</v>
      </c>
      <c r="C5217" s="197">
        <v>14</v>
      </c>
      <c r="D5217" s="198">
        <f t="shared" si="513"/>
        <v>45518</v>
      </c>
      <c r="E5217" s="199">
        <f t="shared" si="512"/>
        <v>45518</v>
      </c>
      <c r="F5217" s="513" t="s">
        <v>1864</v>
      </c>
      <c r="G5217" s="200" t="s">
        <v>1209</v>
      </c>
      <c r="H5217" s="201"/>
      <c r="I5217" s="201" t="s">
        <v>1253</v>
      </c>
      <c r="J5217" s="197" t="s">
        <v>1837</v>
      </c>
      <c r="K5217" s="202">
        <v>7134733.4000000004</v>
      </c>
      <c r="L5217" s="202"/>
    </row>
    <row r="5218" spans="1:14" ht="11.25" customHeight="1" x14ac:dyDescent="0.2">
      <c r="A5218" s="191">
        <v>2024</v>
      </c>
      <c r="B5218" s="191">
        <v>8</v>
      </c>
      <c r="C5218" s="191">
        <v>14</v>
      </c>
      <c r="D5218" s="192">
        <f t="shared" si="513"/>
        <v>45518</v>
      </c>
      <c r="E5218" s="193">
        <f t="shared" si="512"/>
        <v>45518</v>
      </c>
      <c r="F5218" s="514"/>
      <c r="G5218" s="194" t="s">
        <v>1209</v>
      </c>
      <c r="H5218" s="195"/>
      <c r="I5218" s="195" t="s">
        <v>1253</v>
      </c>
      <c r="J5218" s="191" t="s">
        <v>46</v>
      </c>
      <c r="K5218" s="196"/>
      <c r="L5218" s="196">
        <v>7134733.4000000004</v>
      </c>
      <c r="N5218" s="130"/>
    </row>
    <row r="5219" spans="1:14" ht="11.25" customHeight="1" x14ac:dyDescent="0.2">
      <c r="A5219" s="197">
        <v>2024</v>
      </c>
      <c r="B5219" s="197">
        <v>8</v>
      </c>
      <c r="C5219" s="197">
        <v>14</v>
      </c>
      <c r="D5219" s="198">
        <f t="shared" si="513"/>
        <v>45518</v>
      </c>
      <c r="E5219" s="209">
        <f t="shared" si="512"/>
        <v>45518</v>
      </c>
      <c r="F5219" s="513" t="s">
        <v>1210</v>
      </c>
      <c r="G5219" s="200" t="s">
        <v>1209</v>
      </c>
      <c r="H5219" s="201"/>
      <c r="I5219" s="201" t="s">
        <v>355</v>
      </c>
      <c r="J5219" s="197" t="s">
        <v>46</v>
      </c>
      <c r="K5219" s="202">
        <v>250000</v>
      </c>
      <c r="L5219" s="202"/>
    </row>
    <row r="5220" spans="1:14" ht="11.25" customHeight="1" x14ac:dyDescent="0.2">
      <c r="A5220" s="120">
        <v>2024</v>
      </c>
      <c r="B5220" s="120">
        <v>8</v>
      </c>
      <c r="C5220" s="120">
        <v>14</v>
      </c>
      <c r="D5220" s="208">
        <f t="shared" si="513"/>
        <v>45518</v>
      </c>
      <c r="E5220" s="209">
        <f t="shared" si="512"/>
        <v>45518</v>
      </c>
      <c r="F5220" s="515"/>
      <c r="G5220" s="132" t="s">
        <v>1209</v>
      </c>
      <c r="I5220" s="128" t="s">
        <v>355</v>
      </c>
      <c r="J5220" s="120" t="s">
        <v>16</v>
      </c>
      <c r="K5220" s="207"/>
      <c r="L5220" s="207">
        <v>221000</v>
      </c>
    </row>
    <row r="5221" spans="1:14" ht="11.25" customHeight="1" x14ac:dyDescent="0.2">
      <c r="A5221" s="191">
        <v>2024</v>
      </c>
      <c r="B5221" s="191">
        <v>8</v>
      </c>
      <c r="C5221" s="191">
        <v>14</v>
      </c>
      <c r="D5221" s="192">
        <f t="shared" si="513"/>
        <v>45518</v>
      </c>
      <c r="E5221" s="193">
        <f t="shared" ref="E5221:E5243" si="514">DATE(A5221,B5221,C5221)</f>
        <v>45518</v>
      </c>
      <c r="F5221" s="514"/>
      <c r="G5221" s="194" t="s">
        <v>1209</v>
      </c>
      <c r="H5221" s="195"/>
      <c r="I5221" s="195" t="s">
        <v>355</v>
      </c>
      <c r="J5221" s="191" t="s">
        <v>47</v>
      </c>
      <c r="K5221" s="196"/>
      <c r="L5221" s="196">
        <v>29000</v>
      </c>
    </row>
    <row r="5222" spans="1:14" ht="11.25" customHeight="1" x14ac:dyDescent="0.2">
      <c r="A5222" s="197">
        <v>2024</v>
      </c>
      <c r="B5222" s="197">
        <v>8</v>
      </c>
      <c r="C5222" s="197">
        <v>14</v>
      </c>
      <c r="D5222" s="198">
        <f t="shared" si="513"/>
        <v>45518</v>
      </c>
      <c r="E5222" s="209">
        <f t="shared" si="514"/>
        <v>45518</v>
      </c>
      <c r="F5222" s="513" t="s">
        <v>1210</v>
      </c>
      <c r="G5222" s="200" t="s">
        <v>1209</v>
      </c>
      <c r="H5222" s="201"/>
      <c r="I5222" s="201" t="s">
        <v>1235</v>
      </c>
      <c r="J5222" s="197" t="s">
        <v>46</v>
      </c>
      <c r="K5222" s="202">
        <v>10000</v>
      </c>
      <c r="L5222" s="202"/>
    </row>
    <row r="5223" spans="1:14" ht="11.25" customHeight="1" x14ac:dyDescent="0.2">
      <c r="A5223" s="120">
        <v>2024</v>
      </c>
      <c r="B5223" s="120">
        <v>8</v>
      </c>
      <c r="C5223" s="120">
        <v>14</v>
      </c>
      <c r="D5223" s="208">
        <f t="shared" si="513"/>
        <v>45518</v>
      </c>
      <c r="E5223" s="209">
        <f t="shared" si="514"/>
        <v>45518</v>
      </c>
      <c r="F5223" s="515"/>
      <c r="G5223" s="132" t="s">
        <v>1209</v>
      </c>
      <c r="I5223" s="128" t="s">
        <v>1235</v>
      </c>
      <c r="J5223" s="120" t="s">
        <v>16</v>
      </c>
      <c r="K5223" s="207"/>
      <c r="L5223" s="207">
        <v>8840</v>
      </c>
    </row>
    <row r="5224" spans="1:14" ht="11.25" customHeight="1" x14ac:dyDescent="0.2">
      <c r="A5224" s="191">
        <v>2024</v>
      </c>
      <c r="B5224" s="191">
        <v>8</v>
      </c>
      <c r="C5224" s="191">
        <v>14</v>
      </c>
      <c r="D5224" s="192">
        <f t="shared" si="513"/>
        <v>45518</v>
      </c>
      <c r="E5224" s="193">
        <f t="shared" si="514"/>
        <v>45518</v>
      </c>
      <c r="F5224" s="514"/>
      <c r="G5224" s="194" t="s">
        <v>1209</v>
      </c>
      <c r="H5224" s="195"/>
      <c r="I5224" s="195" t="s">
        <v>1235</v>
      </c>
      <c r="J5224" s="191" t="s">
        <v>47</v>
      </c>
      <c r="K5224" s="196"/>
      <c r="L5224" s="196">
        <v>1160</v>
      </c>
    </row>
    <row r="5225" spans="1:14" ht="11.25" customHeight="1" x14ac:dyDescent="0.2">
      <c r="A5225" s="197">
        <v>2024</v>
      </c>
      <c r="B5225" s="197">
        <v>8</v>
      </c>
      <c r="C5225" s="197">
        <v>15</v>
      </c>
      <c r="D5225" s="198">
        <f t="shared" si="513"/>
        <v>45519</v>
      </c>
      <c r="E5225" s="209">
        <f t="shared" si="514"/>
        <v>45519</v>
      </c>
      <c r="F5225" s="513" t="s">
        <v>1210</v>
      </c>
      <c r="G5225" s="200" t="s">
        <v>1209</v>
      </c>
      <c r="H5225" s="201"/>
      <c r="I5225" s="201"/>
      <c r="J5225" s="197" t="s">
        <v>46</v>
      </c>
      <c r="K5225" s="202">
        <v>303000</v>
      </c>
      <c r="L5225" s="202"/>
    </row>
    <row r="5226" spans="1:14" ht="11.25" customHeight="1" x14ac:dyDescent="0.2">
      <c r="A5226" s="120">
        <v>2024</v>
      </c>
      <c r="B5226" s="120">
        <v>8</v>
      </c>
      <c r="C5226" s="120">
        <v>15</v>
      </c>
      <c r="D5226" s="208">
        <f t="shared" si="513"/>
        <v>45519</v>
      </c>
      <c r="E5226" s="209">
        <f t="shared" si="514"/>
        <v>45519</v>
      </c>
      <c r="F5226" s="515"/>
      <c r="G5226" s="132" t="s">
        <v>1209</v>
      </c>
      <c r="J5226" s="120" t="s">
        <v>16</v>
      </c>
      <c r="K5226" s="207"/>
      <c r="L5226" s="207">
        <v>267860</v>
      </c>
    </row>
    <row r="5227" spans="1:14" ht="11.25" customHeight="1" x14ac:dyDescent="0.2">
      <c r="A5227" s="191">
        <v>2024</v>
      </c>
      <c r="B5227" s="191">
        <v>8</v>
      </c>
      <c r="C5227" s="191">
        <v>15</v>
      </c>
      <c r="D5227" s="192">
        <f t="shared" si="513"/>
        <v>45519</v>
      </c>
      <c r="E5227" s="193">
        <f t="shared" si="514"/>
        <v>45519</v>
      </c>
      <c r="F5227" s="514"/>
      <c r="G5227" s="194" t="s">
        <v>1209</v>
      </c>
      <c r="H5227" s="195"/>
      <c r="I5227" s="195"/>
      <c r="J5227" s="191" t="s">
        <v>47</v>
      </c>
      <c r="K5227" s="196"/>
      <c r="L5227" s="196">
        <v>35140</v>
      </c>
    </row>
    <row r="5228" spans="1:14" ht="11.25" customHeight="1" x14ac:dyDescent="0.2">
      <c r="A5228" s="197">
        <v>2024</v>
      </c>
      <c r="B5228" s="197">
        <v>8</v>
      </c>
      <c r="C5228" s="197">
        <v>15</v>
      </c>
      <c r="D5228" s="198">
        <f t="shared" ref="D5228:D5291" si="515">DATE(A5228,B5228,C5228)</f>
        <v>45519</v>
      </c>
      <c r="E5228" s="209">
        <f t="shared" si="514"/>
        <v>45519</v>
      </c>
      <c r="F5228" s="513" t="s">
        <v>1210</v>
      </c>
      <c r="G5228" s="200" t="s">
        <v>1209</v>
      </c>
      <c r="H5228" s="201"/>
      <c r="I5228" s="201"/>
      <c r="J5228" s="197" t="s">
        <v>46</v>
      </c>
      <c r="K5228" s="202">
        <v>5033840</v>
      </c>
      <c r="L5228" s="202"/>
    </row>
    <row r="5229" spans="1:14" ht="11.25" customHeight="1" x14ac:dyDescent="0.2">
      <c r="A5229" s="120">
        <v>2024</v>
      </c>
      <c r="B5229" s="120">
        <v>8</v>
      </c>
      <c r="C5229" s="120">
        <v>15</v>
      </c>
      <c r="D5229" s="208">
        <f t="shared" si="515"/>
        <v>45519</v>
      </c>
      <c r="E5229" s="209">
        <f t="shared" si="514"/>
        <v>45519</v>
      </c>
      <c r="F5229" s="515"/>
      <c r="G5229" s="132" t="s">
        <v>1209</v>
      </c>
      <c r="J5229" s="120" t="s">
        <v>16</v>
      </c>
      <c r="K5229" s="207"/>
      <c r="L5229" s="207">
        <v>4450000</v>
      </c>
    </row>
    <row r="5230" spans="1:14" ht="11.25" customHeight="1" x14ac:dyDescent="0.2">
      <c r="A5230" s="191">
        <v>2024</v>
      </c>
      <c r="B5230" s="191">
        <v>8</v>
      </c>
      <c r="C5230" s="191">
        <v>15</v>
      </c>
      <c r="D5230" s="192">
        <f t="shared" si="515"/>
        <v>45519</v>
      </c>
      <c r="E5230" s="193">
        <f t="shared" si="514"/>
        <v>45519</v>
      </c>
      <c r="F5230" s="514"/>
      <c r="G5230" s="194" t="s">
        <v>1209</v>
      </c>
      <c r="H5230" s="195"/>
      <c r="I5230" s="195"/>
      <c r="J5230" s="191" t="s">
        <v>47</v>
      </c>
      <c r="K5230" s="196"/>
      <c r="L5230" s="196">
        <v>583840</v>
      </c>
    </row>
    <row r="5231" spans="1:14" ht="11.25" customHeight="1" x14ac:dyDescent="0.2">
      <c r="A5231" s="197">
        <v>2024</v>
      </c>
      <c r="B5231" s="197">
        <v>8</v>
      </c>
      <c r="C5231" s="197">
        <v>15</v>
      </c>
      <c r="D5231" s="198">
        <f t="shared" si="515"/>
        <v>45519</v>
      </c>
      <c r="E5231" s="209">
        <f t="shared" si="514"/>
        <v>45519</v>
      </c>
      <c r="F5231" s="513" t="s">
        <v>1210</v>
      </c>
      <c r="G5231" s="200" t="s">
        <v>1209</v>
      </c>
      <c r="H5231" s="201"/>
      <c r="I5231" s="201"/>
      <c r="J5231" s="197" t="s">
        <v>46</v>
      </c>
      <c r="K5231" s="202">
        <v>233000</v>
      </c>
      <c r="L5231" s="202"/>
    </row>
    <row r="5232" spans="1:14" ht="11.25" customHeight="1" x14ac:dyDescent="0.2">
      <c r="A5232" s="120">
        <v>2024</v>
      </c>
      <c r="B5232" s="120">
        <v>8</v>
      </c>
      <c r="C5232" s="120">
        <v>15</v>
      </c>
      <c r="D5232" s="208">
        <f t="shared" si="515"/>
        <v>45519</v>
      </c>
      <c r="E5232" s="209">
        <f t="shared" si="514"/>
        <v>45519</v>
      </c>
      <c r="F5232" s="515"/>
      <c r="G5232" s="132" t="s">
        <v>1209</v>
      </c>
      <c r="J5232" s="120" t="s">
        <v>16</v>
      </c>
      <c r="K5232" s="207"/>
      <c r="L5232" s="207">
        <v>205970</v>
      </c>
    </row>
    <row r="5233" spans="1:12" ht="11.25" customHeight="1" x14ac:dyDescent="0.2">
      <c r="A5233" s="191">
        <v>2024</v>
      </c>
      <c r="B5233" s="191">
        <v>8</v>
      </c>
      <c r="C5233" s="191">
        <v>15</v>
      </c>
      <c r="D5233" s="192">
        <f t="shared" si="515"/>
        <v>45519</v>
      </c>
      <c r="E5233" s="193">
        <f t="shared" si="514"/>
        <v>45519</v>
      </c>
      <c r="F5233" s="514"/>
      <c r="G5233" s="194" t="s">
        <v>1209</v>
      </c>
      <c r="H5233" s="195"/>
      <c r="I5233" s="195"/>
      <c r="J5233" s="191" t="s">
        <v>47</v>
      </c>
      <c r="K5233" s="196"/>
      <c r="L5233" s="196">
        <v>27030</v>
      </c>
    </row>
    <row r="5234" spans="1:12" ht="11.25" customHeight="1" x14ac:dyDescent="0.2">
      <c r="A5234" s="197">
        <v>2024</v>
      </c>
      <c r="B5234" s="197">
        <v>8</v>
      </c>
      <c r="C5234" s="197">
        <v>15</v>
      </c>
      <c r="D5234" s="198">
        <f t="shared" si="515"/>
        <v>45519</v>
      </c>
      <c r="E5234" s="209">
        <f t="shared" si="514"/>
        <v>45519</v>
      </c>
      <c r="F5234" s="513" t="s">
        <v>1210</v>
      </c>
      <c r="G5234" s="200" t="s">
        <v>1209</v>
      </c>
      <c r="H5234" s="201"/>
      <c r="I5234" s="201"/>
      <c r="J5234" s="197" t="s">
        <v>46</v>
      </c>
      <c r="K5234" s="202">
        <v>82000</v>
      </c>
      <c r="L5234" s="202"/>
    </row>
    <row r="5235" spans="1:12" ht="11.25" customHeight="1" x14ac:dyDescent="0.2">
      <c r="A5235" s="120">
        <v>2024</v>
      </c>
      <c r="B5235" s="120">
        <v>8</v>
      </c>
      <c r="C5235" s="120">
        <v>15</v>
      </c>
      <c r="D5235" s="208">
        <f t="shared" si="515"/>
        <v>45519</v>
      </c>
      <c r="E5235" s="209">
        <f t="shared" si="514"/>
        <v>45519</v>
      </c>
      <c r="F5235" s="515"/>
      <c r="G5235" s="132" t="s">
        <v>1209</v>
      </c>
      <c r="J5235" s="120" t="s">
        <v>16</v>
      </c>
      <c r="K5235" s="207"/>
      <c r="L5235" s="207">
        <v>72480</v>
      </c>
    </row>
    <row r="5236" spans="1:12" ht="11.25" customHeight="1" x14ac:dyDescent="0.2">
      <c r="A5236" s="191">
        <v>2024</v>
      </c>
      <c r="B5236" s="191">
        <v>8</v>
      </c>
      <c r="C5236" s="191">
        <v>15</v>
      </c>
      <c r="D5236" s="192">
        <f t="shared" si="515"/>
        <v>45519</v>
      </c>
      <c r="E5236" s="193">
        <f t="shared" si="514"/>
        <v>45519</v>
      </c>
      <c r="F5236" s="514"/>
      <c r="G5236" s="194" t="s">
        <v>1209</v>
      </c>
      <c r="H5236" s="195"/>
      <c r="I5236" s="195"/>
      <c r="J5236" s="191" t="s">
        <v>47</v>
      </c>
      <c r="K5236" s="196"/>
      <c r="L5236" s="196">
        <v>9520</v>
      </c>
    </row>
    <row r="5237" spans="1:12" ht="11.25" customHeight="1" x14ac:dyDescent="0.2">
      <c r="A5237" s="382">
        <v>2024</v>
      </c>
      <c r="B5237" s="382">
        <v>8</v>
      </c>
      <c r="C5237" s="382">
        <v>15</v>
      </c>
      <c r="D5237" s="383">
        <f t="shared" si="515"/>
        <v>45519</v>
      </c>
      <c r="E5237" s="384">
        <f t="shared" si="514"/>
        <v>45519</v>
      </c>
      <c r="F5237" s="516" t="s">
        <v>1850</v>
      </c>
      <c r="G5237" s="385" t="s">
        <v>1209</v>
      </c>
      <c r="H5237" s="386"/>
      <c r="I5237" s="386"/>
      <c r="J5237" s="387" t="s">
        <v>81</v>
      </c>
      <c r="K5237" s="388">
        <v>6973.2450980392159</v>
      </c>
      <c r="L5237" s="388"/>
    </row>
    <row r="5238" spans="1:12" ht="11.25" customHeight="1" x14ac:dyDescent="0.2">
      <c r="A5238" s="389">
        <v>2024</v>
      </c>
      <c r="B5238" s="389">
        <v>8</v>
      </c>
      <c r="C5238" s="389">
        <v>15</v>
      </c>
      <c r="D5238" s="390">
        <f t="shared" si="515"/>
        <v>45519</v>
      </c>
      <c r="E5238" s="391">
        <f t="shared" si="514"/>
        <v>45519</v>
      </c>
      <c r="F5238" s="517"/>
      <c r="G5238" s="392" t="s">
        <v>1209</v>
      </c>
      <c r="H5238" s="393"/>
      <c r="I5238" s="393"/>
      <c r="J5238" s="394" t="s">
        <v>1847</v>
      </c>
      <c r="K5238" s="388"/>
      <c r="L5238" s="388">
        <v>6973.2450980392159</v>
      </c>
    </row>
    <row r="5239" spans="1:12" ht="11.25" customHeight="1" x14ac:dyDescent="0.2">
      <c r="A5239" s="344">
        <v>2024</v>
      </c>
      <c r="B5239" s="344">
        <v>8</v>
      </c>
      <c r="C5239" s="344">
        <v>15</v>
      </c>
      <c r="D5239" s="345">
        <f t="shared" si="515"/>
        <v>45519</v>
      </c>
      <c r="E5239" s="346">
        <f t="shared" si="514"/>
        <v>45519</v>
      </c>
      <c r="F5239" s="518" t="s">
        <v>1621</v>
      </c>
      <c r="G5239" s="347" t="s">
        <v>1245</v>
      </c>
      <c r="H5239" s="348"/>
      <c r="I5239" s="348" t="s">
        <v>1253</v>
      </c>
      <c r="J5239" s="344" t="s">
        <v>113</v>
      </c>
      <c r="K5239" s="349">
        <v>230192.31</v>
      </c>
      <c r="L5239" s="349"/>
    </row>
    <row r="5240" spans="1:12" ht="11.25" customHeight="1" x14ac:dyDescent="0.2">
      <c r="A5240" s="350">
        <v>2024</v>
      </c>
      <c r="B5240" s="350">
        <v>8</v>
      </c>
      <c r="C5240" s="350">
        <v>15</v>
      </c>
      <c r="D5240" s="351">
        <f t="shared" si="515"/>
        <v>45519</v>
      </c>
      <c r="E5240" s="352">
        <f t="shared" si="514"/>
        <v>45519</v>
      </c>
      <c r="F5240" s="519"/>
      <c r="G5240" s="353" t="s">
        <v>1245</v>
      </c>
      <c r="H5240" s="354"/>
      <c r="I5240" s="354" t="s">
        <v>1253</v>
      </c>
      <c r="J5240" s="350" t="s">
        <v>153</v>
      </c>
      <c r="K5240" s="355"/>
      <c r="L5240" s="355">
        <f>K5239</f>
        <v>230192.31</v>
      </c>
    </row>
    <row r="5241" spans="1:12" ht="11.25" customHeight="1" x14ac:dyDescent="0.2">
      <c r="A5241" s="210">
        <v>2024</v>
      </c>
      <c r="B5241" s="210">
        <v>8</v>
      </c>
      <c r="C5241" s="210">
        <v>15</v>
      </c>
      <c r="D5241" s="211">
        <f t="shared" si="515"/>
        <v>45519</v>
      </c>
      <c r="E5241" s="238">
        <f t="shared" si="514"/>
        <v>45519</v>
      </c>
      <c r="F5241" s="520" t="s">
        <v>1278</v>
      </c>
      <c r="G5241" s="213" t="s">
        <v>1245</v>
      </c>
      <c r="H5241" s="214"/>
      <c r="I5241" s="214" t="s">
        <v>1253</v>
      </c>
      <c r="J5241" s="210" t="s">
        <v>1529</v>
      </c>
      <c r="K5241" s="215">
        <v>510.40384615384613</v>
      </c>
      <c r="L5241" s="215"/>
    </row>
    <row r="5242" spans="1:12" ht="11.25" customHeight="1" x14ac:dyDescent="0.2">
      <c r="A5242" s="216">
        <v>2024</v>
      </c>
      <c r="B5242" s="216">
        <v>8</v>
      </c>
      <c r="C5242" s="216">
        <v>15</v>
      </c>
      <c r="D5242" s="217">
        <f t="shared" si="515"/>
        <v>45519</v>
      </c>
      <c r="E5242" s="239">
        <f t="shared" si="514"/>
        <v>45519</v>
      </c>
      <c r="F5242" s="521"/>
      <c r="G5242" s="219" t="s">
        <v>1245</v>
      </c>
      <c r="H5242" s="220"/>
      <c r="I5242" s="220" t="s">
        <v>1253</v>
      </c>
      <c r="J5242" s="216" t="s">
        <v>1581</v>
      </c>
      <c r="K5242" s="221"/>
      <c r="L5242" s="221">
        <v>510.40384615384613</v>
      </c>
    </row>
    <row r="5243" spans="1:12" ht="11.25" customHeight="1" x14ac:dyDescent="0.2">
      <c r="A5243" s="210">
        <v>2024</v>
      </c>
      <c r="B5243" s="210">
        <v>8</v>
      </c>
      <c r="C5243" s="210">
        <v>15</v>
      </c>
      <c r="D5243" s="211">
        <f t="shared" si="515"/>
        <v>45519</v>
      </c>
      <c r="E5243" s="238">
        <f t="shared" si="514"/>
        <v>45519</v>
      </c>
      <c r="F5243" s="520" t="s">
        <v>1857</v>
      </c>
      <c r="G5243" s="213" t="s">
        <v>1245</v>
      </c>
      <c r="H5243" s="214"/>
      <c r="I5243" s="214" t="s">
        <v>1253</v>
      </c>
      <c r="J5243" s="210" t="s">
        <v>1284</v>
      </c>
      <c r="K5243" s="215">
        <v>8903.4309440559427</v>
      </c>
      <c r="L5243" s="215"/>
    </row>
    <row r="5244" spans="1:12" ht="11.25" customHeight="1" x14ac:dyDescent="0.2">
      <c r="A5244" s="242">
        <v>2024</v>
      </c>
      <c r="B5244" s="242">
        <v>8</v>
      </c>
      <c r="C5244" s="242">
        <v>15</v>
      </c>
      <c r="D5244" s="243">
        <f t="shared" si="515"/>
        <v>45519</v>
      </c>
      <c r="E5244" s="244">
        <f>DATE(A5244,B5244,C5244)</f>
        <v>45519</v>
      </c>
      <c r="F5244" s="524"/>
      <c r="G5244" s="245" t="s">
        <v>1245</v>
      </c>
      <c r="H5244" s="246"/>
      <c r="I5244" s="246"/>
      <c r="J5244" s="242" t="s">
        <v>1582</v>
      </c>
      <c r="K5244" s="247"/>
      <c r="L5244" s="247">
        <v>8903.4309440559427</v>
      </c>
    </row>
    <row r="5245" spans="1:12" ht="11.25" customHeight="1" x14ac:dyDescent="0.2">
      <c r="A5245" s="210">
        <v>2024</v>
      </c>
      <c r="B5245" s="210">
        <v>8</v>
      </c>
      <c r="C5245" s="210">
        <v>15</v>
      </c>
      <c r="D5245" s="211">
        <f t="shared" si="515"/>
        <v>45519</v>
      </c>
      <c r="E5245" s="238">
        <f t="shared" ref="E5245:E5308" si="516">DATE(A5245,B5245,C5245)</f>
        <v>45519</v>
      </c>
      <c r="F5245" s="520" t="s">
        <v>1259</v>
      </c>
      <c r="G5245" s="213" t="s">
        <v>1245</v>
      </c>
      <c r="H5245" s="214"/>
      <c r="I5245" s="214" t="s">
        <v>1253</v>
      </c>
      <c r="J5245" s="210" t="s">
        <v>58</v>
      </c>
      <c r="K5245" s="215">
        <v>9859.3799999999992</v>
      </c>
      <c r="L5245" s="215"/>
    </row>
    <row r="5246" spans="1:12" ht="11.25" customHeight="1" x14ac:dyDescent="0.2">
      <c r="A5246" s="216">
        <v>2024</v>
      </c>
      <c r="B5246" s="216">
        <v>8</v>
      </c>
      <c r="C5246" s="216">
        <v>15</v>
      </c>
      <c r="D5246" s="217">
        <f t="shared" si="515"/>
        <v>45519</v>
      </c>
      <c r="E5246" s="239">
        <f t="shared" si="516"/>
        <v>45519</v>
      </c>
      <c r="F5246" s="521"/>
      <c r="G5246" s="219" t="s">
        <v>1245</v>
      </c>
      <c r="H5246" s="220"/>
      <c r="I5246" s="220" t="s">
        <v>1253</v>
      </c>
      <c r="J5246" s="216" t="s">
        <v>153</v>
      </c>
      <c r="K5246" s="221"/>
      <c r="L5246" s="221">
        <f>K5245</f>
        <v>9859.3799999999992</v>
      </c>
    </row>
    <row r="5247" spans="1:12" ht="11.25" customHeight="1" x14ac:dyDescent="0.2">
      <c r="A5247" s="312">
        <v>2024</v>
      </c>
      <c r="B5247" s="312">
        <v>8</v>
      </c>
      <c r="C5247" s="312">
        <v>15</v>
      </c>
      <c r="D5247" s="313">
        <f t="shared" si="515"/>
        <v>45519</v>
      </c>
      <c r="E5247" s="314">
        <f t="shared" si="516"/>
        <v>45519</v>
      </c>
      <c r="F5247" s="522" t="s">
        <v>1477</v>
      </c>
      <c r="G5247" s="315" t="s">
        <v>1245</v>
      </c>
      <c r="H5247" s="316"/>
      <c r="I5247" s="316" t="s">
        <v>1253</v>
      </c>
      <c r="J5247" s="312" t="s">
        <v>1458</v>
      </c>
      <c r="K5247" s="317">
        <v>53908</v>
      </c>
      <c r="L5247" s="317"/>
    </row>
    <row r="5248" spans="1:12" ht="11.25" customHeight="1" x14ac:dyDescent="0.2">
      <c r="A5248" s="318">
        <v>2024</v>
      </c>
      <c r="B5248" s="318">
        <v>8</v>
      </c>
      <c r="C5248" s="318">
        <v>15</v>
      </c>
      <c r="D5248" s="319">
        <f t="shared" si="515"/>
        <v>45519</v>
      </c>
      <c r="E5248" s="320">
        <f t="shared" si="516"/>
        <v>45519</v>
      </c>
      <c r="F5248" s="523"/>
      <c r="G5248" s="321" t="s">
        <v>1245</v>
      </c>
      <c r="H5248" s="322"/>
      <c r="I5248" s="322" t="s">
        <v>1253</v>
      </c>
      <c r="J5248" s="318" t="s">
        <v>1460</v>
      </c>
      <c r="K5248" s="323"/>
      <c r="L5248" s="323">
        <f>K5247</f>
        <v>53908</v>
      </c>
    </row>
    <row r="5249" spans="1:13" ht="11.25" customHeight="1" x14ac:dyDescent="0.2">
      <c r="A5249" s="312">
        <v>2024</v>
      </c>
      <c r="B5249" s="312">
        <v>8</v>
      </c>
      <c r="C5249" s="312">
        <v>15</v>
      </c>
      <c r="D5249" s="313">
        <f t="shared" si="515"/>
        <v>45519</v>
      </c>
      <c r="E5249" s="314">
        <f t="shared" si="516"/>
        <v>45519</v>
      </c>
      <c r="F5249" s="522" t="s">
        <v>1595</v>
      </c>
      <c r="G5249" s="315" t="s">
        <v>1245</v>
      </c>
      <c r="H5249" s="316"/>
      <c r="I5249" s="316" t="s">
        <v>1253</v>
      </c>
      <c r="J5249" s="312" t="s">
        <v>1461</v>
      </c>
      <c r="K5249" s="317">
        <v>283988.15800000727</v>
      </c>
      <c r="L5249" s="317"/>
    </row>
    <row r="5250" spans="1:13" ht="11.25" customHeight="1" x14ac:dyDescent="0.2">
      <c r="A5250" s="318">
        <v>2024</v>
      </c>
      <c r="B5250" s="318">
        <v>8</v>
      </c>
      <c r="C5250" s="318">
        <v>15</v>
      </c>
      <c r="D5250" s="319">
        <f t="shared" si="515"/>
        <v>45519</v>
      </c>
      <c r="E5250" s="320">
        <f t="shared" si="516"/>
        <v>45519</v>
      </c>
      <c r="F5250" s="523"/>
      <c r="G5250" s="321" t="s">
        <v>1245</v>
      </c>
      <c r="H5250" s="322"/>
      <c r="I5250" s="322" t="s">
        <v>1253</v>
      </c>
      <c r="J5250" s="318" t="s">
        <v>1459</v>
      </c>
      <c r="K5250" s="323"/>
      <c r="L5250" s="323">
        <f>K5249</f>
        <v>283988.15800000727</v>
      </c>
    </row>
    <row r="5251" spans="1:13" ht="11.25" customHeight="1" x14ac:dyDescent="0.2">
      <c r="A5251" s="222">
        <v>2024</v>
      </c>
      <c r="B5251" s="222">
        <v>8</v>
      </c>
      <c r="C5251" s="222">
        <v>15</v>
      </c>
      <c r="D5251" s="223">
        <f t="shared" si="515"/>
        <v>45519</v>
      </c>
      <c r="E5251" s="240">
        <f t="shared" si="516"/>
        <v>45519</v>
      </c>
      <c r="F5251" s="511" t="s">
        <v>1244</v>
      </c>
      <c r="G5251" s="225" t="s">
        <v>1245</v>
      </c>
      <c r="H5251" s="226"/>
      <c r="I5251" s="226" t="s">
        <v>1253</v>
      </c>
      <c r="J5251" s="222" t="s">
        <v>87</v>
      </c>
      <c r="K5251" s="227">
        <v>2615</v>
      </c>
      <c r="L5251" s="227"/>
    </row>
    <row r="5252" spans="1:13" ht="11.25" customHeight="1" x14ac:dyDescent="0.2">
      <c r="A5252" s="228">
        <v>2024</v>
      </c>
      <c r="B5252" s="228">
        <v>8</v>
      </c>
      <c r="C5252" s="228">
        <v>15</v>
      </c>
      <c r="D5252" s="229">
        <f t="shared" si="515"/>
        <v>45519</v>
      </c>
      <c r="E5252" s="241">
        <f t="shared" si="516"/>
        <v>45519</v>
      </c>
      <c r="F5252" s="512"/>
      <c r="G5252" s="231" t="s">
        <v>1245</v>
      </c>
      <c r="H5252" s="232"/>
      <c r="I5252" s="232" t="s">
        <v>1253</v>
      </c>
      <c r="J5252" s="228" t="s">
        <v>72</v>
      </c>
      <c r="K5252" s="233"/>
      <c r="L5252" s="233">
        <f>K5251</f>
        <v>2615</v>
      </c>
    </row>
    <row r="5253" spans="1:13" ht="11.25" customHeight="1" x14ac:dyDescent="0.2">
      <c r="A5253" s="222">
        <v>2024</v>
      </c>
      <c r="B5253" s="222">
        <v>8</v>
      </c>
      <c r="C5253" s="222">
        <v>15</v>
      </c>
      <c r="D5253" s="223">
        <f t="shared" si="515"/>
        <v>45519</v>
      </c>
      <c r="E5253" s="240">
        <f t="shared" si="516"/>
        <v>45519</v>
      </c>
      <c r="F5253" s="511" t="s">
        <v>1246</v>
      </c>
      <c r="G5253" s="225" t="s">
        <v>1245</v>
      </c>
      <c r="H5253" s="226"/>
      <c r="I5253" s="226" t="s">
        <v>1253</v>
      </c>
      <c r="J5253" s="222" t="s">
        <v>75</v>
      </c>
      <c r="K5253" s="227">
        <v>3623.123846153846</v>
      </c>
      <c r="L5253" s="227"/>
    </row>
    <row r="5254" spans="1:13" ht="11.25" customHeight="1" x14ac:dyDescent="0.2">
      <c r="A5254" s="228">
        <v>2024</v>
      </c>
      <c r="B5254" s="228">
        <v>8</v>
      </c>
      <c r="C5254" s="228">
        <v>15</v>
      </c>
      <c r="D5254" s="229">
        <f t="shared" si="515"/>
        <v>45519</v>
      </c>
      <c r="E5254" s="241">
        <f t="shared" si="516"/>
        <v>45519</v>
      </c>
      <c r="F5254" s="512"/>
      <c r="G5254" s="231" t="s">
        <v>1245</v>
      </c>
      <c r="H5254" s="232"/>
      <c r="I5254" s="232" t="s">
        <v>1253</v>
      </c>
      <c r="J5254" s="228" t="s">
        <v>55</v>
      </c>
      <c r="K5254" s="233"/>
      <c r="L5254" s="233">
        <v>3623.123846153846</v>
      </c>
    </row>
    <row r="5255" spans="1:13" ht="11.25" customHeight="1" x14ac:dyDescent="0.2">
      <c r="A5255" s="222">
        <v>2024</v>
      </c>
      <c r="B5255" s="222">
        <v>8</v>
      </c>
      <c r="C5255" s="222">
        <v>15</v>
      </c>
      <c r="D5255" s="223">
        <f t="shared" si="515"/>
        <v>45519</v>
      </c>
      <c r="E5255" s="240">
        <f t="shared" si="516"/>
        <v>45519</v>
      </c>
      <c r="F5255" s="511" t="s">
        <v>1247</v>
      </c>
      <c r="G5255" s="225" t="s">
        <v>1245</v>
      </c>
      <c r="H5255" s="226"/>
      <c r="I5255" s="226" t="s">
        <v>1253</v>
      </c>
      <c r="J5255" s="222" t="s">
        <v>77</v>
      </c>
      <c r="K5255" s="227">
        <f>M5255</f>
        <v>0</v>
      </c>
      <c r="L5255" s="227"/>
    </row>
    <row r="5256" spans="1:13" ht="11.25" customHeight="1" x14ac:dyDescent="0.2">
      <c r="A5256" s="228">
        <v>2024</v>
      </c>
      <c r="B5256" s="228">
        <v>8</v>
      </c>
      <c r="C5256" s="228">
        <v>15</v>
      </c>
      <c r="D5256" s="229">
        <f t="shared" si="515"/>
        <v>45519</v>
      </c>
      <c r="E5256" s="241">
        <f t="shared" si="516"/>
        <v>45519</v>
      </c>
      <c r="F5256" s="512"/>
      <c r="G5256" s="231" t="s">
        <v>1245</v>
      </c>
      <c r="H5256" s="232"/>
      <c r="I5256" s="232" t="s">
        <v>1253</v>
      </c>
      <c r="J5256" s="228" t="s">
        <v>41</v>
      </c>
      <c r="K5256" s="233"/>
      <c r="L5256" s="233">
        <f>K5255</f>
        <v>0</v>
      </c>
      <c r="M5256" s="120">
        <v>3513.0574750446949</v>
      </c>
    </row>
    <row r="5257" spans="1:13" ht="11.25" customHeight="1" x14ac:dyDescent="0.2">
      <c r="A5257" s="222">
        <v>2024</v>
      </c>
      <c r="B5257" s="222">
        <v>8</v>
      </c>
      <c r="C5257" s="222">
        <v>15</v>
      </c>
      <c r="D5257" s="223">
        <f t="shared" si="515"/>
        <v>45519</v>
      </c>
      <c r="E5257" s="240">
        <f t="shared" si="516"/>
        <v>45519</v>
      </c>
      <c r="F5257" s="511" t="s">
        <v>1248</v>
      </c>
      <c r="G5257" s="225" t="s">
        <v>1245</v>
      </c>
      <c r="H5257" s="226"/>
      <c r="I5257" s="226" t="s">
        <v>1253</v>
      </c>
      <c r="J5257" s="222" t="s">
        <v>80</v>
      </c>
      <c r="K5257" s="227">
        <f>M5256</f>
        <v>3513.0574750446949</v>
      </c>
      <c r="L5257" s="227"/>
    </row>
    <row r="5258" spans="1:13" x14ac:dyDescent="0.2">
      <c r="A5258" s="228">
        <v>2024</v>
      </c>
      <c r="B5258" s="228">
        <v>8</v>
      </c>
      <c r="C5258" s="228">
        <v>15</v>
      </c>
      <c r="D5258" s="229">
        <f t="shared" si="515"/>
        <v>45519</v>
      </c>
      <c r="E5258" s="241">
        <f t="shared" si="516"/>
        <v>45519</v>
      </c>
      <c r="F5258" s="512"/>
      <c r="G5258" s="231" t="s">
        <v>1245</v>
      </c>
      <c r="H5258" s="232"/>
      <c r="I5258" s="232" t="s">
        <v>1253</v>
      </c>
      <c r="J5258" s="228" t="s">
        <v>42</v>
      </c>
      <c r="K5258" s="233"/>
      <c r="L5258" s="233">
        <f>K5257</f>
        <v>3513.0574750446949</v>
      </c>
    </row>
    <row r="5259" spans="1:13" ht="11.25" customHeight="1" x14ac:dyDescent="0.2">
      <c r="A5259" s="197">
        <v>2024</v>
      </c>
      <c r="B5259" s="197">
        <v>8</v>
      </c>
      <c r="C5259" s="197">
        <v>18</v>
      </c>
      <c r="D5259" s="198">
        <f t="shared" si="515"/>
        <v>45522</v>
      </c>
      <c r="E5259" s="209">
        <f t="shared" si="516"/>
        <v>45522</v>
      </c>
      <c r="F5259" s="513" t="s">
        <v>1423</v>
      </c>
      <c r="G5259" s="200" t="s">
        <v>1209</v>
      </c>
      <c r="H5259" s="201"/>
      <c r="I5259" s="201" t="s">
        <v>1790</v>
      </c>
      <c r="J5259" s="197" t="s">
        <v>16</v>
      </c>
      <c r="K5259" s="202">
        <v>13230</v>
      </c>
      <c r="L5259" s="202"/>
    </row>
    <row r="5260" spans="1:13" ht="11.25" customHeight="1" x14ac:dyDescent="0.2">
      <c r="A5260" s="120">
        <v>2024</v>
      </c>
      <c r="B5260" s="120">
        <v>8</v>
      </c>
      <c r="C5260" s="120">
        <v>18</v>
      </c>
      <c r="D5260" s="208">
        <f t="shared" si="515"/>
        <v>45522</v>
      </c>
      <c r="E5260" s="209">
        <f t="shared" si="516"/>
        <v>45522</v>
      </c>
      <c r="F5260" s="515"/>
      <c r="G5260" s="132" t="s">
        <v>1209</v>
      </c>
      <c r="I5260" s="128" t="s">
        <v>1790</v>
      </c>
      <c r="J5260" s="120" t="s">
        <v>47</v>
      </c>
      <c r="K5260" s="207">
        <v>1770</v>
      </c>
      <c r="L5260" s="207"/>
    </row>
    <row r="5261" spans="1:13" ht="11.25" customHeight="1" x14ac:dyDescent="0.2">
      <c r="A5261" s="191">
        <v>2024</v>
      </c>
      <c r="B5261" s="191">
        <v>8</v>
      </c>
      <c r="C5261" s="191">
        <v>18</v>
      </c>
      <c r="D5261" s="192">
        <f t="shared" si="515"/>
        <v>45522</v>
      </c>
      <c r="E5261" s="193">
        <f t="shared" si="516"/>
        <v>45522</v>
      </c>
      <c r="F5261" s="514"/>
      <c r="G5261" s="194" t="s">
        <v>1209</v>
      </c>
      <c r="H5261" s="195"/>
      <c r="I5261" s="195" t="s">
        <v>1790</v>
      </c>
      <c r="J5261" s="191" t="s">
        <v>46</v>
      </c>
      <c r="K5261" s="196"/>
      <c r="L5261" s="196">
        <v>15000</v>
      </c>
    </row>
    <row r="5262" spans="1:13" ht="11.25" customHeight="1" x14ac:dyDescent="0.2">
      <c r="A5262" s="197">
        <v>2024</v>
      </c>
      <c r="B5262" s="197">
        <v>8</v>
      </c>
      <c r="C5262" s="197">
        <v>19</v>
      </c>
      <c r="D5262" s="198">
        <f t="shared" si="515"/>
        <v>45523</v>
      </c>
      <c r="E5262" s="209">
        <f t="shared" si="516"/>
        <v>45523</v>
      </c>
      <c r="F5262" s="513" t="s">
        <v>1280</v>
      </c>
      <c r="G5262" s="200" t="s">
        <v>1209</v>
      </c>
      <c r="H5262" s="201"/>
      <c r="I5262" s="201" t="s">
        <v>1865</v>
      </c>
      <c r="J5262" s="197" t="s">
        <v>16</v>
      </c>
      <c r="K5262" s="202">
        <v>134250</v>
      </c>
      <c r="L5262" s="202"/>
    </row>
    <row r="5263" spans="1:13" ht="11.25" customHeight="1" x14ac:dyDescent="0.2">
      <c r="A5263" s="120">
        <v>2024</v>
      </c>
      <c r="B5263" s="120">
        <v>8</v>
      </c>
      <c r="C5263" s="120">
        <v>19</v>
      </c>
      <c r="D5263" s="208">
        <f t="shared" si="515"/>
        <v>45523</v>
      </c>
      <c r="E5263" s="209">
        <f t="shared" si="516"/>
        <v>45523</v>
      </c>
      <c r="F5263" s="515"/>
      <c r="G5263" s="132" t="s">
        <v>1209</v>
      </c>
      <c r="I5263" s="128" t="s">
        <v>1865</v>
      </c>
      <c r="J5263" s="120" t="s">
        <v>47</v>
      </c>
      <c r="K5263" s="207">
        <v>17935.799999999988</v>
      </c>
      <c r="L5263" s="207"/>
    </row>
    <row r="5264" spans="1:13" ht="11.25" customHeight="1" x14ac:dyDescent="0.2">
      <c r="A5264" s="191">
        <v>2024</v>
      </c>
      <c r="B5264" s="191">
        <v>8</v>
      </c>
      <c r="C5264" s="191">
        <v>19</v>
      </c>
      <c r="D5264" s="192">
        <f t="shared" si="515"/>
        <v>45523</v>
      </c>
      <c r="E5264" s="193">
        <f t="shared" si="516"/>
        <v>45523</v>
      </c>
      <c r="F5264" s="514"/>
      <c r="G5264" s="194" t="s">
        <v>1209</v>
      </c>
      <c r="H5264" s="195"/>
      <c r="I5264" s="195" t="s">
        <v>1865</v>
      </c>
      <c r="J5264" s="191" t="s">
        <v>46</v>
      </c>
      <c r="K5264" s="196"/>
      <c r="L5264" s="196">
        <v>152185.79999999999</v>
      </c>
    </row>
    <row r="5265" spans="1:15" ht="11.25" customHeight="1" x14ac:dyDescent="0.2">
      <c r="A5265" s="197">
        <v>2024</v>
      </c>
      <c r="B5265" s="197">
        <v>8</v>
      </c>
      <c r="C5265" s="197">
        <v>19</v>
      </c>
      <c r="D5265" s="198">
        <f t="shared" si="515"/>
        <v>45523</v>
      </c>
      <c r="E5265" s="209">
        <f t="shared" si="516"/>
        <v>45523</v>
      </c>
      <c r="F5265" s="513" t="s">
        <v>1280</v>
      </c>
      <c r="G5265" s="200" t="s">
        <v>1209</v>
      </c>
      <c r="H5265" s="201"/>
      <c r="I5265" s="201" t="s">
        <v>1235</v>
      </c>
      <c r="J5265" s="197" t="s">
        <v>16</v>
      </c>
      <c r="K5265" s="202">
        <v>79390</v>
      </c>
      <c r="L5265" s="202"/>
    </row>
    <row r="5266" spans="1:15" ht="11.25" customHeight="1" x14ac:dyDescent="0.2">
      <c r="A5266" s="120">
        <v>2024</v>
      </c>
      <c r="B5266" s="120">
        <v>8</v>
      </c>
      <c r="C5266" s="120">
        <v>19</v>
      </c>
      <c r="D5266" s="208">
        <f t="shared" si="515"/>
        <v>45523</v>
      </c>
      <c r="E5266" s="209">
        <f t="shared" si="516"/>
        <v>45523</v>
      </c>
      <c r="F5266" s="515"/>
      <c r="G5266" s="132" t="s">
        <v>1209</v>
      </c>
      <c r="I5266" s="128" t="s">
        <v>1235</v>
      </c>
      <c r="J5266" s="120" t="s">
        <v>47</v>
      </c>
      <c r="K5266" s="207">
        <v>10610</v>
      </c>
      <c r="L5266" s="207"/>
    </row>
    <row r="5267" spans="1:15" ht="11.25" customHeight="1" x14ac:dyDescent="0.2">
      <c r="A5267" s="191">
        <v>2024</v>
      </c>
      <c r="B5267" s="191">
        <v>8</v>
      </c>
      <c r="C5267" s="191">
        <v>19</v>
      </c>
      <c r="D5267" s="192">
        <f t="shared" si="515"/>
        <v>45523</v>
      </c>
      <c r="E5267" s="193">
        <f t="shared" si="516"/>
        <v>45523</v>
      </c>
      <c r="F5267" s="514"/>
      <c r="G5267" s="194" t="s">
        <v>1209</v>
      </c>
      <c r="H5267" s="195"/>
      <c r="I5267" s="195" t="s">
        <v>1235</v>
      </c>
      <c r="J5267" s="191" t="s">
        <v>46</v>
      </c>
      <c r="K5267" s="196"/>
      <c r="L5267" s="196">
        <v>90000</v>
      </c>
    </row>
    <row r="5268" spans="1:15" ht="11.25" customHeight="1" x14ac:dyDescent="0.2">
      <c r="A5268" s="197">
        <v>2024</v>
      </c>
      <c r="B5268" s="197">
        <v>8</v>
      </c>
      <c r="C5268" s="197">
        <v>19</v>
      </c>
      <c r="D5268" s="198">
        <f t="shared" si="515"/>
        <v>45523</v>
      </c>
      <c r="E5268" s="209">
        <f t="shared" si="516"/>
        <v>45523</v>
      </c>
      <c r="F5268" s="513" t="s">
        <v>1280</v>
      </c>
      <c r="G5268" s="200" t="s">
        <v>1209</v>
      </c>
      <c r="H5268" s="201"/>
      <c r="I5268" s="201" t="s">
        <v>1631</v>
      </c>
      <c r="J5268" s="197" t="s">
        <v>16</v>
      </c>
      <c r="K5268" s="202">
        <v>10280</v>
      </c>
      <c r="L5268" s="202"/>
    </row>
    <row r="5269" spans="1:15" ht="11.25" customHeight="1" x14ac:dyDescent="0.2">
      <c r="A5269" s="120">
        <v>2024</v>
      </c>
      <c r="B5269" s="120">
        <v>8</v>
      </c>
      <c r="C5269" s="120">
        <v>19</v>
      </c>
      <c r="D5269" s="208">
        <f t="shared" si="515"/>
        <v>45523</v>
      </c>
      <c r="E5269" s="209">
        <f t="shared" si="516"/>
        <v>45523</v>
      </c>
      <c r="F5269" s="515"/>
      <c r="G5269" s="132" t="s">
        <v>1209</v>
      </c>
      <c r="I5269" s="128" t="s">
        <v>1631</v>
      </c>
      <c r="J5269" s="120" t="s">
        <v>47</v>
      </c>
      <c r="K5269" s="207">
        <v>1373.4099999999999</v>
      </c>
      <c r="L5269" s="207"/>
    </row>
    <row r="5270" spans="1:15" ht="11.25" customHeight="1" x14ac:dyDescent="0.2">
      <c r="A5270" s="191">
        <v>2024</v>
      </c>
      <c r="B5270" s="191">
        <v>8</v>
      </c>
      <c r="C5270" s="191">
        <v>19</v>
      </c>
      <c r="D5270" s="192">
        <f t="shared" si="515"/>
        <v>45523</v>
      </c>
      <c r="E5270" s="193">
        <f t="shared" si="516"/>
        <v>45523</v>
      </c>
      <c r="F5270" s="514"/>
      <c r="G5270" s="194" t="s">
        <v>1209</v>
      </c>
      <c r="H5270" s="195"/>
      <c r="I5270" s="195" t="s">
        <v>1631</v>
      </c>
      <c r="J5270" s="191" t="s">
        <v>46</v>
      </c>
      <c r="K5270" s="196"/>
      <c r="L5270" s="196">
        <v>11653.41</v>
      </c>
    </row>
    <row r="5271" spans="1:15" ht="11.25" customHeight="1" x14ac:dyDescent="0.2">
      <c r="A5271" s="197">
        <v>2024</v>
      </c>
      <c r="B5271" s="197">
        <v>8</v>
      </c>
      <c r="C5271" s="197">
        <v>19</v>
      </c>
      <c r="D5271" s="198">
        <f t="shared" si="515"/>
        <v>45523</v>
      </c>
      <c r="E5271" s="209">
        <f t="shared" si="516"/>
        <v>45523</v>
      </c>
      <c r="F5271" s="513" t="s">
        <v>1210</v>
      </c>
      <c r="G5271" s="200" t="s">
        <v>1209</v>
      </c>
      <c r="H5271" s="201"/>
      <c r="I5271" s="201" t="s">
        <v>1631</v>
      </c>
      <c r="J5271" s="197" t="s">
        <v>46</v>
      </c>
      <c r="K5271" s="202">
        <v>3500000</v>
      </c>
      <c r="L5271" s="202"/>
    </row>
    <row r="5272" spans="1:15" ht="11.25" customHeight="1" x14ac:dyDescent="0.2">
      <c r="A5272" s="120">
        <v>2024</v>
      </c>
      <c r="B5272" s="120">
        <v>8</v>
      </c>
      <c r="C5272" s="120">
        <v>19</v>
      </c>
      <c r="D5272" s="208">
        <f t="shared" si="515"/>
        <v>45523</v>
      </c>
      <c r="E5272" s="209">
        <f t="shared" si="516"/>
        <v>45523</v>
      </c>
      <c r="F5272" s="515"/>
      <c r="G5272" s="132" t="s">
        <v>1209</v>
      </c>
      <c r="I5272" s="128" t="s">
        <v>1631</v>
      </c>
      <c r="J5272" s="120" t="s">
        <v>16</v>
      </c>
      <c r="K5272" s="207"/>
      <c r="L5272" s="207">
        <v>3087510</v>
      </c>
    </row>
    <row r="5273" spans="1:15" ht="11.25" customHeight="1" x14ac:dyDescent="0.2">
      <c r="A5273" s="191">
        <v>2024</v>
      </c>
      <c r="B5273" s="191">
        <v>8</v>
      </c>
      <c r="C5273" s="191">
        <v>19</v>
      </c>
      <c r="D5273" s="192">
        <f t="shared" si="515"/>
        <v>45523</v>
      </c>
      <c r="E5273" s="193">
        <f t="shared" si="516"/>
        <v>45523</v>
      </c>
      <c r="F5273" s="514"/>
      <c r="G5273" s="194" t="s">
        <v>1209</v>
      </c>
      <c r="H5273" s="195"/>
      <c r="I5273" s="195" t="s">
        <v>1631</v>
      </c>
      <c r="J5273" s="191" t="s">
        <v>47</v>
      </c>
      <c r="K5273" s="196"/>
      <c r="L5273" s="196">
        <v>412490</v>
      </c>
    </row>
    <row r="5274" spans="1:15" ht="11.25" customHeight="1" x14ac:dyDescent="0.2">
      <c r="A5274" s="197">
        <v>2024</v>
      </c>
      <c r="B5274" s="197">
        <v>8</v>
      </c>
      <c r="C5274" s="197">
        <v>19</v>
      </c>
      <c r="D5274" s="198">
        <f t="shared" si="515"/>
        <v>45523</v>
      </c>
      <c r="E5274" s="209">
        <f t="shared" si="516"/>
        <v>45523</v>
      </c>
      <c r="F5274" s="513" t="s">
        <v>1210</v>
      </c>
      <c r="G5274" s="200" t="s">
        <v>1209</v>
      </c>
      <c r="H5274" s="201"/>
      <c r="I5274" s="201" t="s">
        <v>481</v>
      </c>
      <c r="J5274" s="197" t="s">
        <v>46</v>
      </c>
      <c r="K5274" s="202">
        <v>15000</v>
      </c>
      <c r="L5274" s="202"/>
    </row>
    <row r="5275" spans="1:15" ht="11.25" customHeight="1" x14ac:dyDescent="0.2">
      <c r="A5275" s="120">
        <v>2024</v>
      </c>
      <c r="B5275" s="120">
        <v>8</v>
      </c>
      <c r="C5275" s="120">
        <v>19</v>
      </c>
      <c r="D5275" s="208">
        <f t="shared" si="515"/>
        <v>45523</v>
      </c>
      <c r="E5275" s="209">
        <f t="shared" si="516"/>
        <v>45523</v>
      </c>
      <c r="F5275" s="515"/>
      <c r="G5275" s="132" t="s">
        <v>1209</v>
      </c>
      <c r="I5275" s="128" t="s">
        <v>481</v>
      </c>
      <c r="J5275" s="120" t="s">
        <v>16</v>
      </c>
      <c r="K5275" s="207"/>
      <c r="L5275" s="207">
        <v>13230</v>
      </c>
    </row>
    <row r="5276" spans="1:15" ht="11.25" customHeight="1" x14ac:dyDescent="0.2">
      <c r="A5276" s="191">
        <v>2024</v>
      </c>
      <c r="B5276" s="191">
        <v>8</v>
      </c>
      <c r="C5276" s="191">
        <v>19</v>
      </c>
      <c r="D5276" s="192">
        <f t="shared" si="515"/>
        <v>45523</v>
      </c>
      <c r="E5276" s="193">
        <f t="shared" si="516"/>
        <v>45523</v>
      </c>
      <c r="F5276" s="514"/>
      <c r="G5276" s="194" t="s">
        <v>1209</v>
      </c>
      <c r="H5276" s="195"/>
      <c r="I5276" s="195" t="s">
        <v>481</v>
      </c>
      <c r="J5276" s="191" t="s">
        <v>47</v>
      </c>
      <c r="K5276" s="196"/>
      <c r="L5276" s="196">
        <v>1770</v>
      </c>
    </row>
    <row r="5277" spans="1:15" ht="11.25" customHeight="1" x14ac:dyDescent="0.2">
      <c r="A5277" s="197">
        <v>2024</v>
      </c>
      <c r="B5277" s="197">
        <v>8</v>
      </c>
      <c r="C5277" s="197">
        <v>20</v>
      </c>
      <c r="D5277" s="198">
        <f t="shared" si="515"/>
        <v>45524</v>
      </c>
      <c r="E5277" s="209">
        <f t="shared" si="516"/>
        <v>45524</v>
      </c>
      <c r="F5277" s="513" t="s">
        <v>1296</v>
      </c>
      <c r="G5277" s="200" t="s">
        <v>1209</v>
      </c>
      <c r="H5277" s="201"/>
      <c r="I5277" s="201"/>
      <c r="J5277" s="197" t="s">
        <v>46</v>
      </c>
      <c r="K5277" s="202">
        <v>1000</v>
      </c>
      <c r="L5277" s="202"/>
    </row>
    <row r="5278" spans="1:15" ht="11.25" customHeight="1" x14ac:dyDescent="0.2">
      <c r="A5278" s="120">
        <v>2024</v>
      </c>
      <c r="B5278" s="120">
        <v>8</v>
      </c>
      <c r="C5278" s="120">
        <v>20</v>
      </c>
      <c r="D5278" s="208">
        <f t="shared" si="515"/>
        <v>45524</v>
      </c>
      <c r="E5278" s="209">
        <f t="shared" si="516"/>
        <v>45524</v>
      </c>
      <c r="F5278" s="515"/>
      <c r="G5278" s="132" t="s">
        <v>1209</v>
      </c>
      <c r="J5278" s="120" t="s">
        <v>16</v>
      </c>
      <c r="K5278" s="207"/>
      <c r="L5278" s="207">
        <v>880</v>
      </c>
    </row>
    <row r="5279" spans="1:15" ht="11.25" customHeight="1" x14ac:dyDescent="0.2">
      <c r="A5279" s="191">
        <v>2024</v>
      </c>
      <c r="B5279" s="191">
        <v>8</v>
      </c>
      <c r="C5279" s="191">
        <v>20</v>
      </c>
      <c r="D5279" s="192">
        <f t="shared" si="515"/>
        <v>45524</v>
      </c>
      <c r="E5279" s="193">
        <f t="shared" si="516"/>
        <v>45524</v>
      </c>
      <c r="F5279" s="514"/>
      <c r="G5279" s="194" t="s">
        <v>1209</v>
      </c>
      <c r="H5279" s="195"/>
      <c r="I5279" s="195"/>
      <c r="J5279" s="191" t="s">
        <v>47</v>
      </c>
      <c r="K5279" s="196"/>
      <c r="L5279" s="196">
        <v>120</v>
      </c>
    </row>
    <row r="5280" spans="1:15" ht="11.25" customHeight="1" x14ac:dyDescent="0.2">
      <c r="A5280" s="197">
        <v>2024</v>
      </c>
      <c r="B5280" s="197">
        <v>8</v>
      </c>
      <c r="C5280" s="197">
        <v>19</v>
      </c>
      <c r="D5280" s="198">
        <f t="shared" si="515"/>
        <v>45523</v>
      </c>
      <c r="E5280" s="290">
        <f t="shared" si="516"/>
        <v>45523</v>
      </c>
      <c r="F5280" s="513" t="s">
        <v>1514</v>
      </c>
      <c r="G5280" s="200" t="s">
        <v>1209</v>
      </c>
      <c r="H5280" s="201"/>
      <c r="I5280" s="201"/>
      <c r="J5280" s="197" t="s">
        <v>54</v>
      </c>
      <c r="K5280" s="202">
        <v>60</v>
      </c>
      <c r="L5280" s="202"/>
      <c r="M5280" s="251"/>
      <c r="N5280" s="251"/>
      <c r="O5280" s="251"/>
    </row>
    <row r="5281" spans="1:15" ht="11.25" customHeight="1" x14ac:dyDescent="0.2">
      <c r="A5281" s="191">
        <v>2024</v>
      </c>
      <c r="B5281" s="191">
        <v>8</v>
      </c>
      <c r="C5281" s="191">
        <v>19</v>
      </c>
      <c r="D5281" s="192">
        <f t="shared" si="515"/>
        <v>45523</v>
      </c>
      <c r="E5281" s="291">
        <f t="shared" si="516"/>
        <v>45523</v>
      </c>
      <c r="F5281" s="514"/>
      <c r="G5281" s="194" t="s">
        <v>1209</v>
      </c>
      <c r="H5281" s="195"/>
      <c r="I5281" s="195"/>
      <c r="J5281" s="191" t="s">
        <v>46</v>
      </c>
      <c r="K5281" s="196"/>
      <c r="L5281" s="196">
        <v>60</v>
      </c>
      <c r="M5281" s="251"/>
      <c r="N5281" s="251"/>
      <c r="O5281" s="251"/>
    </row>
    <row r="5282" spans="1:15" ht="11.25" customHeight="1" x14ac:dyDescent="0.2">
      <c r="A5282" s="197">
        <v>2024</v>
      </c>
      <c r="B5282" s="197">
        <v>8</v>
      </c>
      <c r="C5282" s="197">
        <v>19</v>
      </c>
      <c r="D5282" s="198">
        <f t="shared" si="515"/>
        <v>45523</v>
      </c>
      <c r="E5282" s="199">
        <f t="shared" si="516"/>
        <v>45523</v>
      </c>
      <c r="F5282" s="513" t="s">
        <v>1866</v>
      </c>
      <c r="G5282" s="200" t="s">
        <v>1209</v>
      </c>
      <c r="H5282" s="201"/>
      <c r="I5282" s="201" t="s">
        <v>1253</v>
      </c>
      <c r="J5282" s="197" t="s">
        <v>76</v>
      </c>
      <c r="K5282" s="202">
        <v>54800000</v>
      </c>
      <c r="L5282" s="202"/>
    </row>
    <row r="5283" spans="1:15" ht="11.25" customHeight="1" x14ac:dyDescent="0.2">
      <c r="A5283" s="191">
        <v>2024</v>
      </c>
      <c r="B5283" s="191">
        <v>8</v>
      </c>
      <c r="C5283" s="191">
        <v>19</v>
      </c>
      <c r="D5283" s="192">
        <f t="shared" si="515"/>
        <v>45523</v>
      </c>
      <c r="E5283" s="193">
        <f t="shared" si="516"/>
        <v>45523</v>
      </c>
      <c r="F5283" s="514"/>
      <c r="G5283" s="194" t="s">
        <v>1209</v>
      </c>
      <c r="H5283" s="195"/>
      <c r="I5283" s="195" t="s">
        <v>1253</v>
      </c>
      <c r="J5283" s="191" t="s">
        <v>76</v>
      </c>
      <c r="K5283" s="196"/>
      <c r="L5283" s="196">
        <v>54800000</v>
      </c>
    </row>
    <row r="5284" spans="1:15" ht="11.25" customHeight="1" x14ac:dyDescent="0.2">
      <c r="A5284" s="197">
        <v>2024</v>
      </c>
      <c r="B5284" s="197">
        <v>8</v>
      </c>
      <c r="C5284" s="197">
        <v>19</v>
      </c>
      <c r="D5284" s="198">
        <f t="shared" si="515"/>
        <v>45523</v>
      </c>
      <c r="E5284" s="290">
        <f t="shared" si="516"/>
        <v>45523</v>
      </c>
      <c r="F5284" s="513" t="s">
        <v>1862</v>
      </c>
      <c r="G5284" s="200" t="s">
        <v>1245</v>
      </c>
      <c r="H5284" s="201"/>
      <c r="I5284" s="201" t="s">
        <v>1253</v>
      </c>
      <c r="J5284" s="197" t="s">
        <v>46</v>
      </c>
      <c r="K5284" s="202">
        <v>1487500</v>
      </c>
      <c r="L5284" s="202"/>
    </row>
    <row r="5285" spans="1:15" ht="11.25" customHeight="1" x14ac:dyDescent="0.2">
      <c r="A5285" s="191">
        <v>2024</v>
      </c>
      <c r="B5285" s="191">
        <v>8</v>
      </c>
      <c r="C5285" s="191">
        <v>19</v>
      </c>
      <c r="D5285" s="192">
        <f t="shared" si="515"/>
        <v>45523</v>
      </c>
      <c r="E5285" s="291">
        <f t="shared" si="516"/>
        <v>45523</v>
      </c>
      <c r="F5285" s="514"/>
      <c r="G5285" s="194" t="s">
        <v>1245</v>
      </c>
      <c r="H5285" s="195"/>
      <c r="I5285" s="195" t="s">
        <v>1253</v>
      </c>
      <c r="J5285" s="191" t="s">
        <v>113</v>
      </c>
      <c r="K5285" s="196"/>
      <c r="L5285" s="196">
        <v>1487500</v>
      </c>
    </row>
    <row r="5286" spans="1:15" ht="11.25" customHeight="1" x14ac:dyDescent="0.2">
      <c r="A5286" s="197">
        <v>2024</v>
      </c>
      <c r="B5286" s="197">
        <v>8</v>
      </c>
      <c r="C5286" s="197">
        <v>19</v>
      </c>
      <c r="D5286" s="198">
        <f t="shared" si="515"/>
        <v>45523</v>
      </c>
      <c r="E5286" s="290">
        <f t="shared" si="516"/>
        <v>45523</v>
      </c>
      <c r="F5286" s="513" t="s">
        <v>1856</v>
      </c>
      <c r="G5286" s="200" t="s">
        <v>1209</v>
      </c>
      <c r="H5286" s="201"/>
      <c r="I5286" s="201" t="s">
        <v>1253</v>
      </c>
      <c r="J5286" s="197" t="s">
        <v>457</v>
      </c>
      <c r="K5286" s="202">
        <v>5</v>
      </c>
      <c r="L5286" s="202"/>
    </row>
    <row r="5287" spans="1:15" ht="11.25" customHeight="1" x14ac:dyDescent="0.2">
      <c r="A5287" s="191">
        <v>2024</v>
      </c>
      <c r="B5287" s="191">
        <v>8</v>
      </c>
      <c r="C5287" s="191">
        <v>19</v>
      </c>
      <c r="D5287" s="192">
        <f t="shared" si="515"/>
        <v>45523</v>
      </c>
      <c r="E5287" s="291">
        <f t="shared" si="516"/>
        <v>45523</v>
      </c>
      <c r="F5287" s="514"/>
      <c r="G5287" s="194" t="s">
        <v>1209</v>
      </c>
      <c r="H5287" s="195"/>
      <c r="I5287" s="195" t="s">
        <v>1253</v>
      </c>
      <c r="J5287" s="191" t="s">
        <v>46</v>
      </c>
      <c r="K5287" s="196"/>
      <c r="L5287" s="196">
        <v>5</v>
      </c>
    </row>
    <row r="5288" spans="1:15" ht="11.25" customHeight="1" x14ac:dyDescent="0.2">
      <c r="A5288" s="197">
        <v>2024</v>
      </c>
      <c r="B5288" s="197">
        <v>8</v>
      </c>
      <c r="C5288" s="197">
        <v>19</v>
      </c>
      <c r="D5288" s="198">
        <f t="shared" si="515"/>
        <v>45523</v>
      </c>
      <c r="E5288" s="199">
        <f t="shared" si="516"/>
        <v>45523</v>
      </c>
      <c r="F5288" s="513" t="s">
        <v>1867</v>
      </c>
      <c r="G5288" s="200" t="s">
        <v>1209</v>
      </c>
      <c r="H5288" s="201"/>
      <c r="I5288" s="201" t="s">
        <v>1253</v>
      </c>
      <c r="J5288" s="197" t="s">
        <v>46</v>
      </c>
      <c r="K5288" s="202">
        <v>49000000</v>
      </c>
      <c r="L5288" s="202"/>
    </row>
    <row r="5289" spans="1:15" ht="11.25" customHeight="1" x14ac:dyDescent="0.2">
      <c r="A5289" s="120">
        <v>2024</v>
      </c>
      <c r="B5289" s="120">
        <v>8</v>
      </c>
      <c r="C5289" s="120">
        <v>19</v>
      </c>
      <c r="D5289" s="208">
        <f t="shared" si="515"/>
        <v>45523</v>
      </c>
      <c r="E5289" s="209">
        <f t="shared" si="516"/>
        <v>45523</v>
      </c>
      <c r="F5289" s="515"/>
      <c r="G5289" s="132" t="s">
        <v>1209</v>
      </c>
      <c r="J5289" s="120" t="s">
        <v>1462</v>
      </c>
      <c r="K5289" s="328"/>
      <c r="L5289" s="207">
        <v>1376703</v>
      </c>
    </row>
    <row r="5290" spans="1:15" ht="11.25" customHeight="1" x14ac:dyDescent="0.2">
      <c r="A5290" s="191">
        <v>2024</v>
      </c>
      <c r="B5290" s="191">
        <v>8</v>
      </c>
      <c r="C5290" s="191">
        <v>19</v>
      </c>
      <c r="D5290" s="192">
        <f t="shared" si="515"/>
        <v>45523</v>
      </c>
      <c r="E5290" s="193">
        <f t="shared" si="516"/>
        <v>45523</v>
      </c>
      <c r="F5290" s="514"/>
      <c r="G5290" s="194" t="s">
        <v>1209</v>
      </c>
      <c r="H5290" s="195"/>
      <c r="I5290" s="195" t="s">
        <v>1253</v>
      </c>
      <c r="J5290" s="191" t="s">
        <v>1455</v>
      </c>
      <c r="K5290" s="196"/>
      <c r="L5290" s="196">
        <v>47623297</v>
      </c>
      <c r="N5290" s="130"/>
    </row>
    <row r="5291" spans="1:15" ht="11.25" customHeight="1" x14ac:dyDescent="0.2">
      <c r="A5291" s="197">
        <v>2024</v>
      </c>
      <c r="B5291" s="197">
        <v>8</v>
      </c>
      <c r="C5291" s="197">
        <v>20</v>
      </c>
      <c r="D5291" s="198">
        <f t="shared" si="515"/>
        <v>45524</v>
      </c>
      <c r="E5291" s="290">
        <f t="shared" si="516"/>
        <v>45524</v>
      </c>
      <c r="F5291" s="513" t="s">
        <v>1514</v>
      </c>
      <c r="G5291" s="200" t="s">
        <v>1209</v>
      </c>
      <c r="H5291" s="201"/>
      <c r="I5291" s="201"/>
      <c r="J5291" s="197" t="s">
        <v>54</v>
      </c>
      <c r="K5291" s="202">
        <v>58</v>
      </c>
      <c r="L5291" s="202"/>
      <c r="M5291" s="251"/>
      <c r="N5291" s="251"/>
      <c r="O5291" s="251"/>
    </row>
    <row r="5292" spans="1:15" ht="11.25" customHeight="1" x14ac:dyDescent="0.2">
      <c r="A5292" s="191">
        <v>2024</v>
      </c>
      <c r="B5292" s="191">
        <v>8</v>
      </c>
      <c r="C5292" s="191">
        <v>20</v>
      </c>
      <c r="D5292" s="192">
        <f t="shared" ref="D5292:D5355" si="517">DATE(A5292,B5292,C5292)</f>
        <v>45524</v>
      </c>
      <c r="E5292" s="291">
        <f t="shared" si="516"/>
        <v>45524</v>
      </c>
      <c r="F5292" s="514"/>
      <c r="G5292" s="194" t="s">
        <v>1209</v>
      </c>
      <c r="H5292" s="195"/>
      <c r="I5292" s="195"/>
      <c r="J5292" s="191" t="s">
        <v>46</v>
      </c>
      <c r="K5292" s="196"/>
      <c r="L5292" s="196">
        <v>58</v>
      </c>
      <c r="M5292" s="251"/>
      <c r="N5292" s="251"/>
      <c r="O5292" s="251"/>
    </row>
    <row r="5293" spans="1:15" ht="11.25" customHeight="1" x14ac:dyDescent="0.2">
      <c r="A5293" s="197">
        <v>2024</v>
      </c>
      <c r="B5293" s="197">
        <v>8</v>
      </c>
      <c r="C5293" s="197">
        <v>20</v>
      </c>
      <c r="D5293" s="198">
        <f t="shared" si="517"/>
        <v>45524</v>
      </c>
      <c r="E5293" s="209">
        <f t="shared" si="516"/>
        <v>45524</v>
      </c>
      <c r="F5293" s="513" t="s">
        <v>1280</v>
      </c>
      <c r="G5293" s="200" t="s">
        <v>1209</v>
      </c>
      <c r="H5293" s="201"/>
      <c r="I5293" s="201" t="s">
        <v>330</v>
      </c>
      <c r="J5293" s="197" t="s">
        <v>16</v>
      </c>
      <c r="K5293" s="202">
        <v>327770</v>
      </c>
      <c r="L5293" s="202"/>
    </row>
    <row r="5294" spans="1:15" ht="11.25" customHeight="1" x14ac:dyDescent="0.2">
      <c r="A5294" s="120">
        <v>2024</v>
      </c>
      <c r="B5294" s="120">
        <v>8</v>
      </c>
      <c r="C5294" s="120">
        <v>20</v>
      </c>
      <c r="D5294" s="208">
        <f t="shared" si="517"/>
        <v>45524</v>
      </c>
      <c r="E5294" s="209">
        <f t="shared" si="516"/>
        <v>45524</v>
      </c>
      <c r="F5294" s="515"/>
      <c r="G5294" s="132" t="s">
        <v>1209</v>
      </c>
      <c r="I5294" s="128" t="s">
        <v>330</v>
      </c>
      <c r="J5294" s="120" t="s">
        <v>47</v>
      </c>
      <c r="K5294" s="207">
        <v>43790.070000000007</v>
      </c>
      <c r="L5294" s="207"/>
    </row>
    <row r="5295" spans="1:15" ht="11.25" customHeight="1" x14ac:dyDescent="0.2">
      <c r="A5295" s="191">
        <v>2024</v>
      </c>
      <c r="B5295" s="191">
        <v>8</v>
      </c>
      <c r="C5295" s="191">
        <v>20</v>
      </c>
      <c r="D5295" s="192">
        <f t="shared" si="517"/>
        <v>45524</v>
      </c>
      <c r="E5295" s="193">
        <f t="shared" si="516"/>
        <v>45524</v>
      </c>
      <c r="F5295" s="514"/>
      <c r="G5295" s="194" t="s">
        <v>1209</v>
      </c>
      <c r="H5295" s="195"/>
      <c r="I5295" s="195" t="s">
        <v>330</v>
      </c>
      <c r="J5295" s="191" t="s">
        <v>46</v>
      </c>
      <c r="K5295" s="196"/>
      <c r="L5295" s="196">
        <v>371560.07</v>
      </c>
    </row>
    <row r="5296" spans="1:15" ht="11.25" customHeight="1" x14ac:dyDescent="0.2">
      <c r="A5296" s="197">
        <v>2024</v>
      </c>
      <c r="B5296" s="197">
        <v>8</v>
      </c>
      <c r="C5296" s="197">
        <v>20</v>
      </c>
      <c r="D5296" s="198">
        <f t="shared" si="517"/>
        <v>45524</v>
      </c>
      <c r="E5296" s="199">
        <f t="shared" si="516"/>
        <v>45524</v>
      </c>
      <c r="F5296" s="513" t="s">
        <v>1868</v>
      </c>
      <c r="G5296" s="200" t="s">
        <v>1209</v>
      </c>
      <c r="H5296" s="201"/>
      <c r="I5296" s="201" t="s">
        <v>1253</v>
      </c>
      <c r="J5296" s="197" t="s">
        <v>1455</v>
      </c>
      <c r="K5296" s="202">
        <v>4932335</v>
      </c>
      <c r="L5296" s="202"/>
    </row>
    <row r="5297" spans="1:14" ht="11.25" customHeight="1" x14ac:dyDescent="0.2">
      <c r="A5297" s="191">
        <v>2024</v>
      </c>
      <c r="B5297" s="191">
        <v>8</v>
      </c>
      <c r="C5297" s="191">
        <v>20</v>
      </c>
      <c r="D5297" s="192">
        <f t="shared" si="517"/>
        <v>45524</v>
      </c>
      <c r="E5297" s="193">
        <f t="shared" si="516"/>
        <v>45524</v>
      </c>
      <c r="F5297" s="514"/>
      <c r="G5297" s="194" t="s">
        <v>1209</v>
      </c>
      <c r="H5297" s="195"/>
      <c r="I5297" s="195" t="s">
        <v>1253</v>
      </c>
      <c r="J5297" s="191" t="s">
        <v>46</v>
      </c>
      <c r="K5297" s="196"/>
      <c r="L5297" s="196">
        <v>4932335</v>
      </c>
      <c r="N5297" s="130"/>
    </row>
    <row r="5298" spans="1:14" ht="11.25" customHeight="1" x14ac:dyDescent="0.2">
      <c r="A5298" s="197">
        <v>2024</v>
      </c>
      <c r="B5298" s="197">
        <v>8</v>
      </c>
      <c r="C5298" s="197">
        <v>20</v>
      </c>
      <c r="D5298" s="198">
        <f t="shared" si="517"/>
        <v>45524</v>
      </c>
      <c r="E5298" s="199">
        <f t="shared" si="516"/>
        <v>45524</v>
      </c>
      <c r="F5298" s="513" t="s">
        <v>1869</v>
      </c>
      <c r="G5298" s="200" t="s">
        <v>1209</v>
      </c>
      <c r="H5298" s="201"/>
      <c r="I5298" s="201" t="s">
        <v>1253</v>
      </c>
      <c r="J5298" s="197" t="s">
        <v>1837</v>
      </c>
      <c r="K5298" s="202">
        <v>30905800.16</v>
      </c>
      <c r="L5298" s="202"/>
    </row>
    <row r="5299" spans="1:14" ht="11.25" customHeight="1" x14ac:dyDescent="0.2">
      <c r="A5299" s="191">
        <v>2024</v>
      </c>
      <c r="B5299" s="191">
        <v>8</v>
      </c>
      <c r="C5299" s="191">
        <v>20</v>
      </c>
      <c r="D5299" s="192">
        <f t="shared" si="517"/>
        <v>45524</v>
      </c>
      <c r="E5299" s="193">
        <f t="shared" si="516"/>
        <v>45524</v>
      </c>
      <c r="F5299" s="514"/>
      <c r="G5299" s="194" t="s">
        <v>1209</v>
      </c>
      <c r="H5299" s="195"/>
      <c r="I5299" s="195" t="s">
        <v>1253</v>
      </c>
      <c r="J5299" s="191" t="s">
        <v>46</v>
      </c>
      <c r="K5299" s="196"/>
      <c r="L5299" s="196">
        <v>30905800.16</v>
      </c>
      <c r="N5299" s="130"/>
    </row>
    <row r="5300" spans="1:14" ht="11.25" customHeight="1" x14ac:dyDescent="0.2">
      <c r="A5300" s="197">
        <v>2024</v>
      </c>
      <c r="B5300" s="197">
        <v>8</v>
      </c>
      <c r="C5300" s="197">
        <v>21</v>
      </c>
      <c r="D5300" s="198">
        <f t="shared" si="517"/>
        <v>45525</v>
      </c>
      <c r="E5300" s="199">
        <f t="shared" si="516"/>
        <v>45525</v>
      </c>
      <c r="F5300" s="513" t="s">
        <v>1870</v>
      </c>
      <c r="G5300" s="200" t="s">
        <v>1209</v>
      </c>
      <c r="H5300" s="201"/>
      <c r="I5300" s="201" t="s">
        <v>1253</v>
      </c>
      <c r="J5300" s="197" t="s">
        <v>1837</v>
      </c>
      <c r="K5300" s="202">
        <v>2562035.66</v>
      </c>
      <c r="L5300" s="202"/>
    </row>
    <row r="5301" spans="1:14" ht="11.25" customHeight="1" x14ac:dyDescent="0.2">
      <c r="A5301" s="191">
        <v>2024</v>
      </c>
      <c r="B5301" s="191">
        <v>8</v>
      </c>
      <c r="C5301" s="191">
        <v>21</v>
      </c>
      <c r="D5301" s="192">
        <f t="shared" si="517"/>
        <v>45525</v>
      </c>
      <c r="E5301" s="193">
        <f t="shared" si="516"/>
        <v>45525</v>
      </c>
      <c r="F5301" s="514"/>
      <c r="G5301" s="194" t="s">
        <v>1209</v>
      </c>
      <c r="H5301" s="195"/>
      <c r="I5301" s="195" t="s">
        <v>1253</v>
      </c>
      <c r="J5301" s="191" t="s">
        <v>46</v>
      </c>
      <c r="K5301" s="196"/>
      <c r="L5301" s="196">
        <v>2562035.66</v>
      </c>
      <c r="N5301" s="130"/>
    </row>
    <row r="5302" spans="1:14" ht="11.25" customHeight="1" x14ac:dyDescent="0.2">
      <c r="A5302" s="197">
        <v>2024</v>
      </c>
      <c r="B5302" s="197">
        <v>8</v>
      </c>
      <c r="C5302" s="197">
        <v>21</v>
      </c>
      <c r="D5302" s="198">
        <f t="shared" si="517"/>
        <v>45525</v>
      </c>
      <c r="E5302" s="199">
        <f t="shared" si="516"/>
        <v>45525</v>
      </c>
      <c r="F5302" s="513" t="s">
        <v>1389</v>
      </c>
      <c r="G5302" s="200" t="s">
        <v>1209</v>
      </c>
      <c r="H5302" s="200"/>
      <c r="I5302" s="201" t="s">
        <v>1253</v>
      </c>
      <c r="J5302" s="248" t="s">
        <v>84</v>
      </c>
      <c r="K5302" s="202">
        <v>50</v>
      </c>
      <c r="L5302" s="202"/>
      <c r="M5302" s="251"/>
    </row>
    <row r="5303" spans="1:14" ht="11.25" customHeight="1" x14ac:dyDescent="0.2">
      <c r="A5303" s="120">
        <v>2024</v>
      </c>
      <c r="B5303" s="120">
        <v>8</v>
      </c>
      <c r="C5303" s="120">
        <v>21</v>
      </c>
      <c r="D5303" s="208">
        <f t="shared" si="517"/>
        <v>45525</v>
      </c>
      <c r="E5303" s="209">
        <f t="shared" si="516"/>
        <v>45525</v>
      </c>
      <c r="F5303" s="515"/>
      <c r="G5303" s="132" t="s">
        <v>1209</v>
      </c>
      <c r="H5303" s="132"/>
      <c r="J5303" s="129" t="s">
        <v>457</v>
      </c>
      <c r="K5303" s="207"/>
      <c r="L5303" s="207">
        <v>5</v>
      </c>
      <c r="M5303" s="251"/>
    </row>
    <row r="5304" spans="1:14" ht="11.25" customHeight="1" x14ac:dyDescent="0.2">
      <c r="A5304" s="191">
        <v>2024</v>
      </c>
      <c r="B5304" s="191">
        <v>8</v>
      </c>
      <c r="C5304" s="191">
        <v>21</v>
      </c>
      <c r="D5304" s="192">
        <f t="shared" si="517"/>
        <v>45525</v>
      </c>
      <c r="E5304" s="193">
        <f t="shared" si="516"/>
        <v>45525</v>
      </c>
      <c r="F5304" s="514"/>
      <c r="G5304" s="194" t="s">
        <v>1209</v>
      </c>
      <c r="H5304" s="194"/>
      <c r="I5304" s="195" t="s">
        <v>1253</v>
      </c>
      <c r="J5304" s="250" t="s">
        <v>46</v>
      </c>
      <c r="K5304" s="196"/>
      <c r="L5304" s="196">
        <v>45</v>
      </c>
      <c r="M5304" s="251"/>
    </row>
    <row r="5305" spans="1:14" ht="11.25" customHeight="1" x14ac:dyDescent="0.2">
      <c r="A5305" s="382">
        <v>2024</v>
      </c>
      <c r="B5305" s="382">
        <v>8</v>
      </c>
      <c r="C5305" s="382">
        <v>22</v>
      </c>
      <c r="D5305" s="383">
        <f t="shared" si="517"/>
        <v>45526</v>
      </c>
      <c r="E5305" s="384">
        <f t="shared" si="516"/>
        <v>45526</v>
      </c>
      <c r="F5305" s="516" t="s">
        <v>1850</v>
      </c>
      <c r="G5305" s="385" t="s">
        <v>1209</v>
      </c>
      <c r="H5305" s="386"/>
      <c r="I5305" s="386"/>
      <c r="J5305" s="387" t="s">
        <v>81</v>
      </c>
      <c r="K5305" s="388">
        <v>6973.2450980392159</v>
      </c>
      <c r="L5305" s="388"/>
    </row>
    <row r="5306" spans="1:14" ht="11.25" customHeight="1" x14ac:dyDescent="0.2">
      <c r="A5306" s="389">
        <v>2024</v>
      </c>
      <c r="B5306" s="389">
        <v>8</v>
      </c>
      <c r="C5306" s="389">
        <v>22</v>
      </c>
      <c r="D5306" s="390">
        <f t="shared" si="517"/>
        <v>45526</v>
      </c>
      <c r="E5306" s="391">
        <f t="shared" si="516"/>
        <v>45526</v>
      </c>
      <c r="F5306" s="517"/>
      <c r="G5306" s="392" t="s">
        <v>1209</v>
      </c>
      <c r="H5306" s="393"/>
      <c r="I5306" s="393"/>
      <c r="J5306" s="394" t="s">
        <v>1847</v>
      </c>
      <c r="K5306" s="388"/>
      <c r="L5306" s="388">
        <v>6973.2450980392159</v>
      </c>
    </row>
    <row r="5307" spans="1:14" ht="11.25" customHeight="1" x14ac:dyDescent="0.2">
      <c r="A5307" s="344">
        <v>2024</v>
      </c>
      <c r="B5307" s="344">
        <v>8</v>
      </c>
      <c r="C5307" s="344">
        <v>22</v>
      </c>
      <c r="D5307" s="345">
        <f t="shared" si="517"/>
        <v>45526</v>
      </c>
      <c r="E5307" s="346">
        <f t="shared" si="516"/>
        <v>45526</v>
      </c>
      <c r="F5307" s="518" t="s">
        <v>1621</v>
      </c>
      <c r="G5307" s="347" t="s">
        <v>1245</v>
      </c>
      <c r="H5307" s="348"/>
      <c r="I5307" s="348" t="s">
        <v>1253</v>
      </c>
      <c r="J5307" s="344" t="s">
        <v>113</v>
      </c>
      <c r="K5307" s="349">
        <v>233557.69</v>
      </c>
      <c r="L5307" s="349"/>
    </row>
    <row r="5308" spans="1:14" ht="11.25" customHeight="1" x14ac:dyDescent="0.2">
      <c r="A5308" s="350">
        <v>2024</v>
      </c>
      <c r="B5308" s="350">
        <v>8</v>
      </c>
      <c r="C5308" s="350">
        <v>22</v>
      </c>
      <c r="D5308" s="351">
        <f t="shared" si="517"/>
        <v>45526</v>
      </c>
      <c r="E5308" s="352">
        <f t="shared" si="516"/>
        <v>45526</v>
      </c>
      <c r="F5308" s="519"/>
      <c r="G5308" s="353" t="s">
        <v>1245</v>
      </c>
      <c r="H5308" s="354"/>
      <c r="I5308" s="354" t="s">
        <v>1253</v>
      </c>
      <c r="J5308" s="350" t="s">
        <v>153</v>
      </c>
      <c r="K5308" s="355"/>
      <c r="L5308" s="355">
        <f>K5307</f>
        <v>233557.69</v>
      </c>
    </row>
    <row r="5309" spans="1:14" ht="11.25" customHeight="1" x14ac:dyDescent="0.2">
      <c r="A5309" s="210">
        <v>2024</v>
      </c>
      <c r="B5309" s="210">
        <v>8</v>
      </c>
      <c r="C5309" s="210">
        <v>22</v>
      </c>
      <c r="D5309" s="211">
        <f t="shared" si="517"/>
        <v>45526</v>
      </c>
      <c r="E5309" s="238">
        <f t="shared" ref="E5309:E5311" si="518">DATE(A5309,B5309,C5309)</f>
        <v>45526</v>
      </c>
      <c r="F5309" s="520" t="s">
        <v>1278</v>
      </c>
      <c r="G5309" s="213" t="s">
        <v>1245</v>
      </c>
      <c r="H5309" s="214"/>
      <c r="I5309" s="214" t="s">
        <v>1253</v>
      </c>
      <c r="J5309" s="210" t="s">
        <v>1529</v>
      </c>
      <c r="K5309" s="215">
        <v>510.40384615384613</v>
      </c>
      <c r="L5309" s="215"/>
    </row>
    <row r="5310" spans="1:14" ht="11.25" customHeight="1" x14ac:dyDescent="0.2">
      <c r="A5310" s="216">
        <v>2024</v>
      </c>
      <c r="B5310" s="216">
        <v>8</v>
      </c>
      <c r="C5310" s="216">
        <v>22</v>
      </c>
      <c r="D5310" s="217">
        <f t="shared" si="517"/>
        <v>45526</v>
      </c>
      <c r="E5310" s="239">
        <f t="shared" si="518"/>
        <v>45526</v>
      </c>
      <c r="F5310" s="521"/>
      <c r="G5310" s="219" t="s">
        <v>1245</v>
      </c>
      <c r="H5310" s="220"/>
      <c r="I5310" s="220" t="s">
        <v>1253</v>
      </c>
      <c r="J5310" s="216" t="s">
        <v>1581</v>
      </c>
      <c r="K5310" s="221"/>
      <c r="L5310" s="221">
        <v>510.40384615384613</v>
      </c>
    </row>
    <row r="5311" spans="1:14" ht="11.25" customHeight="1" x14ac:dyDescent="0.2">
      <c r="A5311" s="210">
        <v>2024</v>
      </c>
      <c r="B5311" s="210">
        <v>8</v>
      </c>
      <c r="C5311" s="210">
        <v>22</v>
      </c>
      <c r="D5311" s="211">
        <f t="shared" si="517"/>
        <v>45526</v>
      </c>
      <c r="E5311" s="238">
        <f t="shared" si="518"/>
        <v>45526</v>
      </c>
      <c r="F5311" s="520" t="s">
        <v>1857</v>
      </c>
      <c r="G5311" s="213" t="s">
        <v>1245</v>
      </c>
      <c r="H5311" s="214"/>
      <c r="I5311" s="214" t="s">
        <v>1253</v>
      </c>
      <c r="J5311" s="210" t="s">
        <v>1284</v>
      </c>
      <c r="K5311" s="215">
        <v>8903.4309440559427</v>
      </c>
      <c r="L5311" s="215"/>
    </row>
    <row r="5312" spans="1:14" ht="11.25" customHeight="1" x14ac:dyDescent="0.2">
      <c r="A5312" s="242">
        <v>2024</v>
      </c>
      <c r="B5312" s="242">
        <v>8</v>
      </c>
      <c r="C5312" s="242">
        <v>22</v>
      </c>
      <c r="D5312" s="243">
        <f t="shared" si="517"/>
        <v>45526</v>
      </c>
      <c r="E5312" s="244">
        <f>DATE(A5312,B5312,C5312)</f>
        <v>45526</v>
      </c>
      <c r="F5312" s="524"/>
      <c r="G5312" s="245" t="s">
        <v>1245</v>
      </c>
      <c r="H5312" s="246"/>
      <c r="I5312" s="246"/>
      <c r="J5312" s="242" t="s">
        <v>1582</v>
      </c>
      <c r="K5312" s="247"/>
      <c r="L5312" s="247">
        <v>8903.4309440559427</v>
      </c>
    </row>
    <row r="5313" spans="1:13" ht="11.25" customHeight="1" x14ac:dyDescent="0.2">
      <c r="A5313" s="210">
        <v>2024</v>
      </c>
      <c r="B5313" s="210">
        <v>8</v>
      </c>
      <c r="C5313" s="210">
        <v>22</v>
      </c>
      <c r="D5313" s="211">
        <f t="shared" si="517"/>
        <v>45526</v>
      </c>
      <c r="E5313" s="238">
        <f t="shared" ref="E5313:E5335" si="519">DATE(A5313,B5313,C5313)</f>
        <v>45526</v>
      </c>
      <c r="F5313" s="520" t="s">
        <v>1259</v>
      </c>
      <c r="G5313" s="213" t="s">
        <v>1245</v>
      </c>
      <c r="H5313" s="214"/>
      <c r="I5313" s="214" t="s">
        <v>1253</v>
      </c>
      <c r="J5313" s="210" t="s">
        <v>58</v>
      </c>
      <c r="K5313" s="215">
        <v>36549.47</v>
      </c>
      <c r="L5313" s="215"/>
    </row>
    <row r="5314" spans="1:13" ht="11.25" customHeight="1" x14ac:dyDescent="0.2">
      <c r="A5314" s="216">
        <v>2024</v>
      </c>
      <c r="B5314" s="216">
        <v>8</v>
      </c>
      <c r="C5314" s="216">
        <v>22</v>
      </c>
      <c r="D5314" s="217">
        <f t="shared" si="517"/>
        <v>45526</v>
      </c>
      <c r="E5314" s="239">
        <f t="shared" si="519"/>
        <v>45526</v>
      </c>
      <c r="F5314" s="521"/>
      <c r="G5314" s="219" t="s">
        <v>1245</v>
      </c>
      <c r="H5314" s="220"/>
      <c r="I5314" s="220" t="s">
        <v>1253</v>
      </c>
      <c r="J5314" s="216" t="s">
        <v>153</v>
      </c>
      <c r="K5314" s="221"/>
      <c r="L5314" s="221">
        <f>K5313</f>
        <v>36549.47</v>
      </c>
    </row>
    <row r="5315" spans="1:13" ht="11.25" customHeight="1" x14ac:dyDescent="0.2">
      <c r="A5315" s="312">
        <v>2024</v>
      </c>
      <c r="B5315" s="312">
        <v>8</v>
      </c>
      <c r="C5315" s="312">
        <v>22</v>
      </c>
      <c r="D5315" s="313">
        <f t="shared" si="517"/>
        <v>45526</v>
      </c>
      <c r="E5315" s="314">
        <f t="shared" si="519"/>
        <v>45526</v>
      </c>
      <c r="F5315" s="522" t="s">
        <v>1477</v>
      </c>
      <c r="G5315" s="315" t="s">
        <v>1245</v>
      </c>
      <c r="H5315" s="316"/>
      <c r="I5315" s="316" t="s">
        <v>1253</v>
      </c>
      <c r="J5315" s="312" t="s">
        <v>1458</v>
      </c>
      <c r="K5315" s="317">
        <v>1190588</v>
      </c>
      <c r="L5315" s="317"/>
    </row>
    <row r="5316" spans="1:13" ht="11.25" customHeight="1" x14ac:dyDescent="0.2">
      <c r="A5316" s="318">
        <v>2024</v>
      </c>
      <c r="B5316" s="318">
        <v>8</v>
      </c>
      <c r="C5316" s="318">
        <v>22</v>
      </c>
      <c r="D5316" s="319">
        <f t="shared" si="517"/>
        <v>45526</v>
      </c>
      <c r="E5316" s="320">
        <f t="shared" si="519"/>
        <v>45526</v>
      </c>
      <c r="F5316" s="523"/>
      <c r="G5316" s="321" t="s">
        <v>1245</v>
      </c>
      <c r="H5316" s="322"/>
      <c r="I5316" s="322" t="s">
        <v>1253</v>
      </c>
      <c r="J5316" s="318" t="s">
        <v>1460</v>
      </c>
      <c r="K5316" s="323"/>
      <c r="L5316" s="323">
        <f>K5315</f>
        <v>1190588</v>
      </c>
    </row>
    <row r="5317" spans="1:13" ht="11.25" customHeight="1" x14ac:dyDescent="0.2">
      <c r="A5317" s="312">
        <v>2024</v>
      </c>
      <c r="B5317" s="312">
        <v>8</v>
      </c>
      <c r="C5317" s="312">
        <v>22</v>
      </c>
      <c r="D5317" s="313">
        <f t="shared" si="517"/>
        <v>45526</v>
      </c>
      <c r="E5317" s="314">
        <f t="shared" si="519"/>
        <v>45526</v>
      </c>
      <c r="F5317" s="522" t="s">
        <v>1595</v>
      </c>
      <c r="G5317" s="315" t="s">
        <v>1245</v>
      </c>
      <c r="H5317" s="316"/>
      <c r="I5317" s="316" t="s">
        <v>1253</v>
      </c>
      <c r="J5317" s="312" t="s">
        <v>1461</v>
      </c>
      <c r="K5317" s="317">
        <v>340675.91800001264</v>
      </c>
      <c r="L5317" s="317"/>
    </row>
    <row r="5318" spans="1:13" ht="11.25" customHeight="1" x14ac:dyDescent="0.2">
      <c r="A5318" s="318">
        <v>2024</v>
      </c>
      <c r="B5318" s="318">
        <v>8</v>
      </c>
      <c r="C5318" s="318">
        <v>22</v>
      </c>
      <c r="D5318" s="319">
        <f t="shared" si="517"/>
        <v>45526</v>
      </c>
      <c r="E5318" s="320">
        <f t="shared" si="519"/>
        <v>45526</v>
      </c>
      <c r="F5318" s="523"/>
      <c r="G5318" s="321" t="s">
        <v>1245</v>
      </c>
      <c r="H5318" s="322"/>
      <c r="I5318" s="322" t="s">
        <v>1253</v>
      </c>
      <c r="J5318" s="318" t="s">
        <v>1459</v>
      </c>
      <c r="K5318" s="323"/>
      <c r="L5318" s="323">
        <f>K5317</f>
        <v>340675.91800001264</v>
      </c>
    </row>
    <row r="5319" spans="1:13" ht="11.25" customHeight="1" x14ac:dyDescent="0.2">
      <c r="A5319" s="222">
        <v>2024</v>
      </c>
      <c r="B5319" s="222">
        <v>8</v>
      </c>
      <c r="C5319" s="222">
        <v>22</v>
      </c>
      <c r="D5319" s="223">
        <f t="shared" si="517"/>
        <v>45526</v>
      </c>
      <c r="E5319" s="240">
        <f t="shared" si="519"/>
        <v>45526</v>
      </c>
      <c r="F5319" s="511" t="s">
        <v>1244</v>
      </c>
      <c r="G5319" s="225" t="s">
        <v>1245</v>
      </c>
      <c r="H5319" s="226"/>
      <c r="I5319" s="226" t="s">
        <v>1253</v>
      </c>
      <c r="J5319" s="222" t="s">
        <v>87</v>
      </c>
      <c r="K5319" s="227">
        <v>5230</v>
      </c>
      <c r="L5319" s="227"/>
    </row>
    <row r="5320" spans="1:13" ht="11.25" customHeight="1" x14ac:dyDescent="0.2">
      <c r="A5320" s="228">
        <v>2024</v>
      </c>
      <c r="B5320" s="228">
        <v>8</v>
      </c>
      <c r="C5320" s="228">
        <v>22</v>
      </c>
      <c r="D5320" s="229">
        <f t="shared" si="517"/>
        <v>45526</v>
      </c>
      <c r="E5320" s="241">
        <f t="shared" si="519"/>
        <v>45526</v>
      </c>
      <c r="F5320" s="512"/>
      <c r="G5320" s="231" t="s">
        <v>1245</v>
      </c>
      <c r="H5320" s="232"/>
      <c r="I5320" s="232" t="s">
        <v>1253</v>
      </c>
      <c r="J5320" s="228" t="s">
        <v>72</v>
      </c>
      <c r="K5320" s="233"/>
      <c r="L5320" s="233">
        <f>K5319</f>
        <v>5230</v>
      </c>
    </row>
    <row r="5321" spans="1:13" ht="11.25" customHeight="1" x14ac:dyDescent="0.2">
      <c r="A5321" s="222">
        <v>2024</v>
      </c>
      <c r="B5321" s="222">
        <v>8</v>
      </c>
      <c r="C5321" s="222">
        <v>22</v>
      </c>
      <c r="D5321" s="223">
        <f t="shared" si="517"/>
        <v>45526</v>
      </c>
      <c r="E5321" s="240">
        <f t="shared" si="519"/>
        <v>45526</v>
      </c>
      <c r="F5321" s="511" t="s">
        <v>1246</v>
      </c>
      <c r="G5321" s="225" t="s">
        <v>1245</v>
      </c>
      <c r="H5321" s="226"/>
      <c r="I5321" s="226" t="s">
        <v>1253</v>
      </c>
      <c r="J5321" s="222" t="s">
        <v>75</v>
      </c>
      <c r="K5321" s="227">
        <v>3623.123846153846</v>
      </c>
      <c r="L5321" s="227"/>
    </row>
    <row r="5322" spans="1:13" ht="11.25" customHeight="1" x14ac:dyDescent="0.2">
      <c r="A5322" s="228">
        <v>2024</v>
      </c>
      <c r="B5322" s="228">
        <v>8</v>
      </c>
      <c r="C5322" s="228">
        <v>22</v>
      </c>
      <c r="D5322" s="229">
        <f t="shared" si="517"/>
        <v>45526</v>
      </c>
      <c r="E5322" s="241">
        <f t="shared" si="519"/>
        <v>45526</v>
      </c>
      <c r="F5322" s="512"/>
      <c r="G5322" s="231" t="s">
        <v>1245</v>
      </c>
      <c r="H5322" s="232"/>
      <c r="I5322" s="232" t="s">
        <v>1253</v>
      </c>
      <c r="J5322" s="228" t="s">
        <v>55</v>
      </c>
      <c r="K5322" s="233"/>
      <c r="L5322" s="233">
        <v>3623.123846153846</v>
      </c>
    </row>
    <row r="5323" spans="1:13" ht="11.25" customHeight="1" x14ac:dyDescent="0.2">
      <c r="A5323" s="222">
        <v>2024</v>
      </c>
      <c r="B5323" s="222">
        <v>8</v>
      </c>
      <c r="C5323" s="222">
        <v>22</v>
      </c>
      <c r="D5323" s="223">
        <f t="shared" si="517"/>
        <v>45526</v>
      </c>
      <c r="E5323" s="240">
        <f t="shared" si="519"/>
        <v>45526</v>
      </c>
      <c r="F5323" s="511" t="s">
        <v>1247</v>
      </c>
      <c r="G5323" s="225" t="s">
        <v>1245</v>
      </c>
      <c r="H5323" s="226"/>
      <c r="I5323" s="226" t="s">
        <v>1253</v>
      </c>
      <c r="J5323" s="222" t="s">
        <v>77</v>
      </c>
      <c r="K5323" s="227">
        <v>20000</v>
      </c>
      <c r="L5323" s="227"/>
    </row>
    <row r="5324" spans="1:13" ht="11.25" customHeight="1" x14ac:dyDescent="0.2">
      <c r="A5324" s="228">
        <v>2024</v>
      </c>
      <c r="B5324" s="228">
        <v>8</v>
      </c>
      <c r="C5324" s="228">
        <v>22</v>
      </c>
      <c r="D5324" s="229">
        <f t="shared" si="517"/>
        <v>45526</v>
      </c>
      <c r="E5324" s="241">
        <f t="shared" si="519"/>
        <v>45526</v>
      </c>
      <c r="F5324" s="512"/>
      <c r="G5324" s="231" t="s">
        <v>1245</v>
      </c>
      <c r="H5324" s="232"/>
      <c r="I5324" s="232" t="s">
        <v>1253</v>
      </c>
      <c r="J5324" s="228" t="s">
        <v>41</v>
      </c>
      <c r="K5324" s="233"/>
      <c r="L5324" s="233">
        <v>20000</v>
      </c>
      <c r="M5324" s="120">
        <v>3551.1521265811898</v>
      </c>
    </row>
    <row r="5325" spans="1:13" ht="11.25" customHeight="1" x14ac:dyDescent="0.2">
      <c r="A5325" s="222">
        <v>2024</v>
      </c>
      <c r="B5325" s="222">
        <v>8</v>
      </c>
      <c r="C5325" s="222">
        <v>22</v>
      </c>
      <c r="D5325" s="223">
        <f t="shared" si="517"/>
        <v>45526</v>
      </c>
      <c r="E5325" s="240">
        <f t="shared" si="519"/>
        <v>45526</v>
      </c>
      <c r="F5325" s="511" t="s">
        <v>1248</v>
      </c>
      <c r="G5325" s="225" t="s">
        <v>1245</v>
      </c>
      <c r="H5325" s="226"/>
      <c r="I5325" s="226" t="s">
        <v>1253</v>
      </c>
      <c r="J5325" s="222" t="s">
        <v>80</v>
      </c>
      <c r="K5325" s="227">
        <f>M5324</f>
        <v>3551.1521265811898</v>
      </c>
      <c r="L5325" s="227"/>
    </row>
    <row r="5326" spans="1:13" x14ac:dyDescent="0.2">
      <c r="A5326" s="228">
        <v>2024</v>
      </c>
      <c r="B5326" s="228">
        <v>8</v>
      </c>
      <c r="C5326" s="228">
        <v>22</v>
      </c>
      <c r="D5326" s="229">
        <f t="shared" si="517"/>
        <v>45526</v>
      </c>
      <c r="E5326" s="241">
        <f t="shared" si="519"/>
        <v>45526</v>
      </c>
      <c r="F5326" s="512"/>
      <c r="G5326" s="231" t="s">
        <v>1245</v>
      </c>
      <c r="H5326" s="232"/>
      <c r="I5326" s="232" t="s">
        <v>1253</v>
      </c>
      <c r="J5326" s="228" t="s">
        <v>42</v>
      </c>
      <c r="K5326" s="233"/>
      <c r="L5326" s="233">
        <f>K5325</f>
        <v>3551.1521265811898</v>
      </c>
    </row>
    <row r="5327" spans="1:13" ht="11.25" customHeight="1" x14ac:dyDescent="0.2">
      <c r="A5327" s="197">
        <v>2024</v>
      </c>
      <c r="B5327" s="197">
        <v>8</v>
      </c>
      <c r="C5327" s="197">
        <v>27</v>
      </c>
      <c r="D5327" s="198">
        <f t="shared" si="517"/>
        <v>45531</v>
      </c>
      <c r="E5327" s="209">
        <f t="shared" si="519"/>
        <v>45531</v>
      </c>
      <c r="F5327" s="513" t="s">
        <v>1296</v>
      </c>
      <c r="G5327" s="200" t="s">
        <v>1209</v>
      </c>
      <c r="H5327" s="201"/>
      <c r="I5327" s="201"/>
      <c r="J5327" s="197" t="s">
        <v>46</v>
      </c>
      <c r="K5327" s="202">
        <v>315500</v>
      </c>
      <c r="L5327" s="202"/>
    </row>
    <row r="5328" spans="1:13" ht="11.25" customHeight="1" x14ac:dyDescent="0.2">
      <c r="A5328" s="120">
        <v>2024</v>
      </c>
      <c r="B5328" s="120">
        <v>8</v>
      </c>
      <c r="C5328" s="120">
        <v>27</v>
      </c>
      <c r="D5328" s="208">
        <f t="shared" si="517"/>
        <v>45531</v>
      </c>
      <c r="E5328" s="209">
        <f t="shared" si="519"/>
        <v>45531</v>
      </c>
      <c r="F5328" s="515"/>
      <c r="G5328" s="132" t="s">
        <v>1209</v>
      </c>
      <c r="J5328" s="120" t="s">
        <v>16</v>
      </c>
      <c r="K5328" s="207"/>
      <c r="L5328" s="207">
        <v>277670</v>
      </c>
    </row>
    <row r="5329" spans="1:14" ht="11.25" customHeight="1" x14ac:dyDescent="0.2">
      <c r="A5329" s="191">
        <v>2024</v>
      </c>
      <c r="B5329" s="191">
        <v>8</v>
      </c>
      <c r="C5329" s="191">
        <v>27</v>
      </c>
      <c r="D5329" s="192">
        <f t="shared" si="517"/>
        <v>45531</v>
      </c>
      <c r="E5329" s="193">
        <f t="shared" si="519"/>
        <v>45531</v>
      </c>
      <c r="F5329" s="514"/>
      <c r="G5329" s="194" t="s">
        <v>1209</v>
      </c>
      <c r="H5329" s="195"/>
      <c r="I5329" s="195"/>
      <c r="J5329" s="191" t="s">
        <v>47</v>
      </c>
      <c r="K5329" s="196"/>
      <c r="L5329" s="196">
        <v>37830</v>
      </c>
    </row>
    <row r="5330" spans="1:14" ht="11.25" customHeight="1" x14ac:dyDescent="0.2">
      <c r="A5330" s="197">
        <v>2024</v>
      </c>
      <c r="B5330" s="197">
        <v>8</v>
      </c>
      <c r="C5330" s="197">
        <v>27</v>
      </c>
      <c r="D5330" s="198">
        <f t="shared" si="517"/>
        <v>45531</v>
      </c>
      <c r="E5330" s="199">
        <f t="shared" si="519"/>
        <v>45531</v>
      </c>
      <c r="F5330" s="513" t="s">
        <v>1823</v>
      </c>
      <c r="G5330" s="200" t="s">
        <v>1209</v>
      </c>
      <c r="H5330" s="201"/>
      <c r="I5330" s="201" t="s">
        <v>1253</v>
      </c>
      <c r="J5330" s="197" t="s">
        <v>46</v>
      </c>
      <c r="K5330" s="202">
        <v>13000000</v>
      </c>
      <c r="L5330" s="202"/>
    </row>
    <row r="5331" spans="1:14" ht="11.25" customHeight="1" x14ac:dyDescent="0.2">
      <c r="A5331" s="120">
        <v>2024</v>
      </c>
      <c r="B5331" s="120">
        <v>8</v>
      </c>
      <c r="C5331" s="120">
        <v>27</v>
      </c>
      <c r="D5331" s="208">
        <f t="shared" si="517"/>
        <v>45531</v>
      </c>
      <c r="E5331" s="209">
        <f t="shared" si="519"/>
        <v>45531</v>
      </c>
      <c r="F5331" s="515"/>
      <c r="G5331" s="132" t="s">
        <v>1209</v>
      </c>
      <c r="J5331" s="120" t="s">
        <v>1462</v>
      </c>
      <c r="K5331" s="328"/>
      <c r="L5331" s="207">
        <v>240253</v>
      </c>
    </row>
    <row r="5332" spans="1:14" ht="11.25" customHeight="1" x14ac:dyDescent="0.2">
      <c r="A5332" s="191">
        <v>2024</v>
      </c>
      <c r="B5332" s="191">
        <v>8</v>
      </c>
      <c r="C5332" s="191">
        <v>27</v>
      </c>
      <c r="D5332" s="192">
        <f t="shared" si="517"/>
        <v>45531</v>
      </c>
      <c r="E5332" s="193">
        <f t="shared" si="519"/>
        <v>45531</v>
      </c>
      <c r="F5332" s="514"/>
      <c r="G5332" s="194" t="s">
        <v>1209</v>
      </c>
      <c r="H5332" s="195"/>
      <c r="I5332" s="195" t="s">
        <v>1253</v>
      </c>
      <c r="J5332" s="191" t="s">
        <v>1455</v>
      </c>
      <c r="K5332" s="196"/>
      <c r="L5332" s="196">
        <v>12759747</v>
      </c>
      <c r="N5332" s="130"/>
    </row>
    <row r="5333" spans="1:14" ht="11.25" customHeight="1" x14ac:dyDescent="0.2">
      <c r="A5333" s="197">
        <v>2024</v>
      </c>
      <c r="B5333" s="197">
        <v>8</v>
      </c>
      <c r="C5333" s="197">
        <v>27</v>
      </c>
      <c r="D5333" s="198">
        <f t="shared" si="517"/>
        <v>45531</v>
      </c>
      <c r="E5333" s="199">
        <f t="shared" si="519"/>
        <v>45531</v>
      </c>
      <c r="F5333" s="513" t="s">
        <v>1871</v>
      </c>
      <c r="G5333" s="200" t="s">
        <v>1209</v>
      </c>
      <c r="H5333" s="201"/>
      <c r="I5333" s="201" t="s">
        <v>1253</v>
      </c>
      <c r="J5333" s="197" t="s">
        <v>1455</v>
      </c>
      <c r="K5333" s="202">
        <v>20412714</v>
      </c>
      <c r="L5333" s="202"/>
    </row>
    <row r="5334" spans="1:14" ht="11.25" customHeight="1" x14ac:dyDescent="0.2">
      <c r="A5334" s="191">
        <v>2024</v>
      </c>
      <c r="B5334" s="191">
        <v>8</v>
      </c>
      <c r="C5334" s="191">
        <v>27</v>
      </c>
      <c r="D5334" s="192">
        <f t="shared" si="517"/>
        <v>45531</v>
      </c>
      <c r="E5334" s="193">
        <f t="shared" si="519"/>
        <v>45531</v>
      </c>
      <c r="F5334" s="514"/>
      <c r="G5334" s="194" t="s">
        <v>1209</v>
      </c>
      <c r="H5334" s="195"/>
      <c r="I5334" s="195" t="s">
        <v>1253</v>
      </c>
      <c r="J5334" s="191" t="s">
        <v>46</v>
      </c>
      <c r="K5334" s="196"/>
      <c r="L5334" s="196">
        <v>20412714</v>
      </c>
      <c r="N5334" s="130"/>
    </row>
    <row r="5335" spans="1:14" ht="11.25" customHeight="1" x14ac:dyDescent="0.2">
      <c r="A5335" s="197">
        <v>2024</v>
      </c>
      <c r="B5335" s="197">
        <v>8</v>
      </c>
      <c r="C5335" s="197">
        <v>27</v>
      </c>
      <c r="D5335" s="198">
        <f t="shared" si="517"/>
        <v>45531</v>
      </c>
      <c r="E5335" s="199">
        <f t="shared" si="519"/>
        <v>45531</v>
      </c>
      <c r="F5335" s="513" t="s">
        <v>1872</v>
      </c>
      <c r="G5335" s="200" t="s">
        <v>1209</v>
      </c>
      <c r="H5335" s="201"/>
      <c r="I5335" s="201"/>
      <c r="J5335" s="197" t="s">
        <v>44</v>
      </c>
      <c r="K5335" s="202">
        <v>34500</v>
      </c>
      <c r="L5335" s="202"/>
    </row>
    <row r="5336" spans="1:14" ht="11.25" customHeight="1" x14ac:dyDescent="0.2">
      <c r="A5336" s="120">
        <v>2024</v>
      </c>
      <c r="B5336" s="120">
        <v>8</v>
      </c>
      <c r="C5336" s="120">
        <v>27</v>
      </c>
      <c r="D5336" s="208">
        <f t="shared" si="517"/>
        <v>45531</v>
      </c>
      <c r="E5336" s="209">
        <f>DATE(A5336,B5336,C5336)</f>
        <v>45531</v>
      </c>
      <c r="F5336" s="515"/>
      <c r="G5336" s="132" t="s">
        <v>1209</v>
      </c>
      <c r="J5336" s="120" t="s">
        <v>457</v>
      </c>
      <c r="K5336" s="207"/>
      <c r="L5336" s="207">
        <v>3000</v>
      </c>
    </row>
    <row r="5337" spans="1:14" ht="11.25" customHeight="1" x14ac:dyDescent="0.2">
      <c r="A5337" s="191">
        <v>2024</v>
      </c>
      <c r="B5337" s="191">
        <v>8</v>
      </c>
      <c r="C5337" s="191">
        <v>27</v>
      </c>
      <c r="D5337" s="192">
        <f t="shared" si="517"/>
        <v>45531</v>
      </c>
      <c r="E5337" s="193">
        <f t="shared" ref="E5337:E5349" si="520">DATE(A5337,B5337,C5337)</f>
        <v>45531</v>
      </c>
      <c r="F5337" s="514"/>
      <c r="G5337" s="194" t="s">
        <v>1209</v>
      </c>
      <c r="H5337" s="195"/>
      <c r="I5337" s="195"/>
      <c r="J5337" s="191" t="s">
        <v>46</v>
      </c>
      <c r="K5337" s="196"/>
      <c r="L5337" s="196">
        <v>31500</v>
      </c>
    </row>
    <row r="5338" spans="1:14" ht="11.25" customHeight="1" x14ac:dyDescent="0.2">
      <c r="A5338" s="197">
        <v>2024</v>
      </c>
      <c r="B5338" s="197">
        <v>8</v>
      </c>
      <c r="C5338" s="197">
        <v>28</v>
      </c>
      <c r="D5338" s="198">
        <f t="shared" si="517"/>
        <v>45532</v>
      </c>
      <c r="E5338" s="209">
        <f t="shared" si="520"/>
        <v>45532</v>
      </c>
      <c r="F5338" s="513" t="s">
        <v>1423</v>
      </c>
      <c r="G5338" s="200" t="s">
        <v>1209</v>
      </c>
      <c r="H5338" s="201"/>
      <c r="I5338" s="201"/>
      <c r="J5338" s="197" t="s">
        <v>16</v>
      </c>
      <c r="K5338" s="202">
        <v>40490</v>
      </c>
      <c r="L5338" s="202"/>
    </row>
    <row r="5339" spans="1:14" ht="11.25" customHeight="1" x14ac:dyDescent="0.2">
      <c r="A5339" s="120">
        <v>2024</v>
      </c>
      <c r="B5339" s="120">
        <v>8</v>
      </c>
      <c r="C5339" s="120">
        <v>28</v>
      </c>
      <c r="D5339" s="208">
        <f t="shared" si="517"/>
        <v>45532</v>
      </c>
      <c r="E5339" s="209">
        <f t="shared" si="520"/>
        <v>45532</v>
      </c>
      <c r="F5339" s="515"/>
      <c r="G5339" s="132" t="s">
        <v>1209</v>
      </c>
      <c r="J5339" s="120" t="s">
        <v>47</v>
      </c>
      <c r="K5339" s="207">
        <v>5510</v>
      </c>
      <c r="L5339" s="207"/>
    </row>
    <row r="5340" spans="1:14" ht="11.25" customHeight="1" x14ac:dyDescent="0.2">
      <c r="A5340" s="191">
        <v>2024</v>
      </c>
      <c r="B5340" s="191">
        <v>8</v>
      </c>
      <c r="C5340" s="191">
        <v>28</v>
      </c>
      <c r="D5340" s="192">
        <f t="shared" si="517"/>
        <v>45532</v>
      </c>
      <c r="E5340" s="193">
        <f t="shared" si="520"/>
        <v>45532</v>
      </c>
      <c r="F5340" s="514"/>
      <c r="G5340" s="194" t="s">
        <v>1209</v>
      </c>
      <c r="H5340" s="195"/>
      <c r="I5340" s="195"/>
      <c r="J5340" s="191" t="s">
        <v>46</v>
      </c>
      <c r="K5340" s="196"/>
      <c r="L5340" s="196">
        <v>46000</v>
      </c>
    </row>
    <row r="5341" spans="1:14" ht="11.25" customHeight="1" x14ac:dyDescent="0.2">
      <c r="A5341" s="197">
        <v>2024</v>
      </c>
      <c r="B5341" s="197">
        <v>8</v>
      </c>
      <c r="C5341" s="197">
        <v>29</v>
      </c>
      <c r="D5341" s="198">
        <f t="shared" si="517"/>
        <v>45533</v>
      </c>
      <c r="E5341" s="290">
        <f t="shared" si="520"/>
        <v>45533</v>
      </c>
      <c r="F5341" s="513" t="s">
        <v>1879</v>
      </c>
      <c r="G5341" s="200" t="s">
        <v>1209</v>
      </c>
      <c r="H5341" s="201"/>
      <c r="I5341" s="201" t="s">
        <v>1253</v>
      </c>
      <c r="J5341" s="197" t="s">
        <v>457</v>
      </c>
      <c r="K5341" s="202">
        <v>3000</v>
      </c>
      <c r="L5341" s="202"/>
    </row>
    <row r="5342" spans="1:14" ht="11.25" customHeight="1" x14ac:dyDescent="0.2">
      <c r="A5342" s="191">
        <v>2024</v>
      </c>
      <c r="B5342" s="191">
        <v>8</v>
      </c>
      <c r="C5342" s="191">
        <v>29</v>
      </c>
      <c r="D5342" s="192">
        <f t="shared" si="517"/>
        <v>45533</v>
      </c>
      <c r="E5342" s="291">
        <f t="shared" si="520"/>
        <v>45533</v>
      </c>
      <c r="F5342" s="514"/>
      <c r="G5342" s="194" t="s">
        <v>1209</v>
      </c>
      <c r="H5342" s="195"/>
      <c r="I5342" s="195" t="s">
        <v>1253</v>
      </c>
      <c r="J5342" s="191" t="s">
        <v>46</v>
      </c>
      <c r="K5342" s="196"/>
      <c r="L5342" s="196">
        <v>3000</v>
      </c>
    </row>
    <row r="5343" spans="1:14" ht="11.25" customHeight="1" x14ac:dyDescent="0.2">
      <c r="A5343" s="382">
        <v>2024</v>
      </c>
      <c r="B5343" s="382">
        <v>8</v>
      </c>
      <c r="C5343" s="382">
        <v>29</v>
      </c>
      <c r="D5343" s="383">
        <f t="shared" si="517"/>
        <v>45533</v>
      </c>
      <c r="E5343" s="384">
        <f t="shared" si="520"/>
        <v>45533</v>
      </c>
      <c r="F5343" s="516" t="s">
        <v>1850</v>
      </c>
      <c r="G5343" s="385" t="s">
        <v>1209</v>
      </c>
      <c r="H5343" s="386"/>
      <c r="I5343" s="386"/>
      <c r="J5343" s="387" t="s">
        <v>81</v>
      </c>
      <c r="K5343" s="388">
        <v>6973.2450980392159</v>
      </c>
      <c r="L5343" s="388"/>
    </row>
    <row r="5344" spans="1:14" ht="11.25" customHeight="1" x14ac:dyDescent="0.2">
      <c r="A5344" s="389">
        <v>2024</v>
      </c>
      <c r="B5344" s="389">
        <v>8</v>
      </c>
      <c r="C5344" s="389">
        <v>29</v>
      </c>
      <c r="D5344" s="390">
        <f t="shared" si="517"/>
        <v>45533</v>
      </c>
      <c r="E5344" s="391">
        <f t="shared" si="520"/>
        <v>45533</v>
      </c>
      <c r="F5344" s="517"/>
      <c r="G5344" s="392" t="s">
        <v>1209</v>
      </c>
      <c r="H5344" s="393"/>
      <c r="I5344" s="393"/>
      <c r="J5344" s="394" t="s">
        <v>1847</v>
      </c>
      <c r="K5344" s="388"/>
      <c r="L5344" s="388">
        <v>6973.2450980392159</v>
      </c>
    </row>
    <row r="5345" spans="1:12" ht="11.25" customHeight="1" x14ac:dyDescent="0.2">
      <c r="A5345" s="344">
        <v>2024</v>
      </c>
      <c r="B5345" s="344">
        <v>8</v>
      </c>
      <c r="C5345" s="344">
        <v>29</v>
      </c>
      <c r="D5345" s="345">
        <f t="shared" si="517"/>
        <v>45533</v>
      </c>
      <c r="E5345" s="346">
        <f t="shared" si="520"/>
        <v>45533</v>
      </c>
      <c r="F5345" s="518" t="s">
        <v>1621</v>
      </c>
      <c r="G5345" s="347" t="s">
        <v>1245</v>
      </c>
      <c r="H5345" s="348"/>
      <c r="I5345" s="348" t="s">
        <v>1253</v>
      </c>
      <c r="J5345" s="344" t="s">
        <v>113</v>
      </c>
      <c r="K5345" s="349">
        <v>233557.69</v>
      </c>
      <c r="L5345" s="349"/>
    </row>
    <row r="5346" spans="1:12" ht="11.25" customHeight="1" x14ac:dyDescent="0.2">
      <c r="A5346" s="350">
        <v>2024</v>
      </c>
      <c r="B5346" s="350">
        <v>8</v>
      </c>
      <c r="C5346" s="350">
        <v>29</v>
      </c>
      <c r="D5346" s="351">
        <f t="shared" si="517"/>
        <v>45533</v>
      </c>
      <c r="E5346" s="352">
        <f t="shared" si="520"/>
        <v>45533</v>
      </c>
      <c r="F5346" s="519"/>
      <c r="G5346" s="353" t="s">
        <v>1245</v>
      </c>
      <c r="H5346" s="354"/>
      <c r="I5346" s="354" t="s">
        <v>1253</v>
      </c>
      <c r="J5346" s="350" t="s">
        <v>153</v>
      </c>
      <c r="K5346" s="355"/>
      <c r="L5346" s="355">
        <f>K5345</f>
        <v>233557.69</v>
      </c>
    </row>
    <row r="5347" spans="1:12" ht="11.25" customHeight="1" x14ac:dyDescent="0.2">
      <c r="A5347" s="210">
        <v>2024</v>
      </c>
      <c r="B5347" s="210">
        <v>8</v>
      </c>
      <c r="C5347" s="210">
        <v>29</v>
      </c>
      <c r="D5347" s="211">
        <f t="shared" si="517"/>
        <v>45533</v>
      </c>
      <c r="E5347" s="238">
        <f t="shared" si="520"/>
        <v>45533</v>
      </c>
      <c r="F5347" s="520" t="s">
        <v>1278</v>
      </c>
      <c r="G5347" s="213" t="s">
        <v>1245</v>
      </c>
      <c r="H5347" s="214"/>
      <c r="I5347" s="214" t="s">
        <v>1253</v>
      </c>
      <c r="J5347" s="210" t="s">
        <v>1529</v>
      </c>
      <c r="K5347" s="215">
        <v>510.40384615384613</v>
      </c>
      <c r="L5347" s="215"/>
    </row>
    <row r="5348" spans="1:12" ht="11.25" customHeight="1" x14ac:dyDescent="0.2">
      <c r="A5348" s="216">
        <v>2024</v>
      </c>
      <c r="B5348" s="216">
        <v>8</v>
      </c>
      <c r="C5348" s="216">
        <v>29</v>
      </c>
      <c r="D5348" s="217">
        <f t="shared" si="517"/>
        <v>45533</v>
      </c>
      <c r="E5348" s="239">
        <f t="shared" si="520"/>
        <v>45533</v>
      </c>
      <c r="F5348" s="521"/>
      <c r="G5348" s="219" t="s">
        <v>1245</v>
      </c>
      <c r="H5348" s="220"/>
      <c r="I5348" s="220" t="s">
        <v>1253</v>
      </c>
      <c r="J5348" s="216" t="s">
        <v>1581</v>
      </c>
      <c r="K5348" s="221"/>
      <c r="L5348" s="221">
        <v>510.40384615384613</v>
      </c>
    </row>
    <row r="5349" spans="1:12" ht="11.25" customHeight="1" x14ac:dyDescent="0.2">
      <c r="A5349" s="210">
        <v>2024</v>
      </c>
      <c r="B5349" s="210">
        <v>8</v>
      </c>
      <c r="C5349" s="210">
        <v>29</v>
      </c>
      <c r="D5349" s="211">
        <f t="shared" si="517"/>
        <v>45533</v>
      </c>
      <c r="E5349" s="238">
        <f t="shared" si="520"/>
        <v>45533</v>
      </c>
      <c r="F5349" s="520" t="s">
        <v>1857</v>
      </c>
      <c r="G5349" s="213" t="s">
        <v>1245</v>
      </c>
      <c r="H5349" s="214"/>
      <c r="I5349" s="214" t="s">
        <v>1253</v>
      </c>
      <c r="J5349" s="210" t="s">
        <v>1284</v>
      </c>
      <c r="K5349" s="215">
        <v>8903.4309440559427</v>
      </c>
      <c r="L5349" s="215"/>
    </row>
    <row r="5350" spans="1:12" ht="11.25" customHeight="1" x14ac:dyDescent="0.2">
      <c r="A5350" s="242">
        <v>2024</v>
      </c>
      <c r="B5350" s="242">
        <v>8</v>
      </c>
      <c r="C5350" s="242">
        <v>29</v>
      </c>
      <c r="D5350" s="243">
        <f t="shared" si="517"/>
        <v>45533</v>
      </c>
      <c r="E5350" s="244">
        <f>DATE(A5350,B5350,C5350)</f>
        <v>45533</v>
      </c>
      <c r="F5350" s="524"/>
      <c r="G5350" s="245" t="s">
        <v>1245</v>
      </c>
      <c r="H5350" s="246"/>
      <c r="I5350" s="246"/>
      <c r="J5350" s="242" t="s">
        <v>1582</v>
      </c>
      <c r="K5350" s="247"/>
      <c r="L5350" s="247">
        <v>8903.4309440559427</v>
      </c>
    </row>
    <row r="5351" spans="1:12" ht="11.25" customHeight="1" x14ac:dyDescent="0.2">
      <c r="A5351" s="210">
        <v>2024</v>
      </c>
      <c r="B5351" s="210">
        <v>8</v>
      </c>
      <c r="C5351" s="210">
        <v>29</v>
      </c>
      <c r="D5351" s="211">
        <f t="shared" si="517"/>
        <v>45533</v>
      </c>
      <c r="E5351" s="238">
        <f t="shared" ref="E5351:E5414" si="521">DATE(A5351,B5351,C5351)</f>
        <v>45533</v>
      </c>
      <c r="F5351" s="520" t="s">
        <v>1259</v>
      </c>
      <c r="G5351" s="213" t="s">
        <v>1245</v>
      </c>
      <c r="H5351" s="214"/>
      <c r="I5351" s="214" t="s">
        <v>1253</v>
      </c>
      <c r="J5351" s="210" t="s">
        <v>58</v>
      </c>
      <c r="K5351" s="215">
        <v>23708.15</v>
      </c>
      <c r="L5351" s="215"/>
    </row>
    <row r="5352" spans="1:12" ht="11.25" customHeight="1" x14ac:dyDescent="0.2">
      <c r="A5352" s="216">
        <v>2024</v>
      </c>
      <c r="B5352" s="216">
        <v>8</v>
      </c>
      <c r="C5352" s="216">
        <v>29</v>
      </c>
      <c r="D5352" s="217">
        <f t="shared" si="517"/>
        <v>45533</v>
      </c>
      <c r="E5352" s="239">
        <f t="shared" si="521"/>
        <v>45533</v>
      </c>
      <c r="F5352" s="521"/>
      <c r="G5352" s="219" t="s">
        <v>1245</v>
      </c>
      <c r="H5352" s="220"/>
      <c r="I5352" s="220" t="s">
        <v>1253</v>
      </c>
      <c r="J5352" s="216" t="s">
        <v>153</v>
      </c>
      <c r="K5352" s="221"/>
      <c r="L5352" s="221">
        <f>K5351</f>
        <v>23708.15</v>
      </c>
    </row>
    <row r="5353" spans="1:12" ht="11.25" customHeight="1" x14ac:dyDescent="0.2">
      <c r="A5353" s="312">
        <v>2024</v>
      </c>
      <c r="B5353" s="312">
        <v>8</v>
      </c>
      <c r="C5353" s="312">
        <v>29</v>
      </c>
      <c r="D5353" s="313">
        <f t="shared" si="517"/>
        <v>45533</v>
      </c>
      <c r="E5353" s="314">
        <f t="shared" si="521"/>
        <v>45533</v>
      </c>
      <c r="F5353" s="522" t="s">
        <v>1477</v>
      </c>
      <c r="G5353" s="315" t="s">
        <v>1245</v>
      </c>
      <c r="H5353" s="316"/>
      <c r="I5353" s="316" t="s">
        <v>1253</v>
      </c>
      <c r="J5353" s="312" t="s">
        <v>1458</v>
      </c>
      <c r="K5353" s="317">
        <v>73282</v>
      </c>
      <c r="L5353" s="317"/>
    </row>
    <row r="5354" spans="1:12" ht="11.25" customHeight="1" x14ac:dyDescent="0.2">
      <c r="A5354" s="318">
        <v>2024</v>
      </c>
      <c r="B5354" s="318">
        <v>8</v>
      </c>
      <c r="C5354" s="318">
        <v>29</v>
      </c>
      <c r="D5354" s="319">
        <f t="shared" si="517"/>
        <v>45533</v>
      </c>
      <c r="E5354" s="320">
        <f t="shared" si="521"/>
        <v>45533</v>
      </c>
      <c r="F5354" s="523"/>
      <c r="G5354" s="321" t="s">
        <v>1245</v>
      </c>
      <c r="H5354" s="322"/>
      <c r="I5354" s="322" t="s">
        <v>1253</v>
      </c>
      <c r="J5354" s="318" t="s">
        <v>1460</v>
      </c>
      <c r="K5354" s="323"/>
      <c r="L5354" s="323">
        <f>K5353</f>
        <v>73282</v>
      </c>
    </row>
    <row r="5355" spans="1:12" ht="11.25" customHeight="1" x14ac:dyDescent="0.2">
      <c r="A5355" s="312">
        <v>2024</v>
      </c>
      <c r="B5355" s="312">
        <v>8</v>
      </c>
      <c r="C5355" s="312">
        <v>29</v>
      </c>
      <c r="D5355" s="313">
        <f t="shared" si="517"/>
        <v>45533</v>
      </c>
      <c r="E5355" s="314">
        <f t="shared" si="521"/>
        <v>45533</v>
      </c>
      <c r="F5355" s="522" t="s">
        <v>1595</v>
      </c>
      <c r="G5355" s="315" t="s">
        <v>1245</v>
      </c>
      <c r="H5355" s="316"/>
      <c r="I5355" s="316" t="s">
        <v>1253</v>
      </c>
      <c r="J5355" s="312" t="s">
        <v>1461</v>
      </c>
      <c r="K5355" s="317">
        <v>365033.7879999578</v>
      </c>
      <c r="L5355" s="317"/>
    </row>
    <row r="5356" spans="1:12" ht="11.25" customHeight="1" x14ac:dyDescent="0.2">
      <c r="A5356" s="318">
        <v>2024</v>
      </c>
      <c r="B5356" s="318">
        <v>8</v>
      </c>
      <c r="C5356" s="318">
        <v>29</v>
      </c>
      <c r="D5356" s="319">
        <f t="shared" ref="D5356:D5419" si="522">DATE(A5356,B5356,C5356)</f>
        <v>45533</v>
      </c>
      <c r="E5356" s="320">
        <f t="shared" si="521"/>
        <v>45533</v>
      </c>
      <c r="F5356" s="523"/>
      <c r="G5356" s="321" t="s">
        <v>1245</v>
      </c>
      <c r="H5356" s="322"/>
      <c r="I5356" s="322" t="s">
        <v>1253</v>
      </c>
      <c r="J5356" s="318" t="s">
        <v>1459</v>
      </c>
      <c r="K5356" s="323"/>
      <c r="L5356" s="323">
        <f>K5355</f>
        <v>365033.7879999578</v>
      </c>
    </row>
    <row r="5357" spans="1:12" ht="11.25" customHeight="1" x14ac:dyDescent="0.2">
      <c r="A5357" s="222">
        <v>2024</v>
      </c>
      <c r="B5357" s="222">
        <v>8</v>
      </c>
      <c r="C5357" s="222">
        <v>29</v>
      </c>
      <c r="D5357" s="223">
        <f t="shared" si="522"/>
        <v>45533</v>
      </c>
      <c r="E5357" s="240">
        <f t="shared" si="521"/>
        <v>45533</v>
      </c>
      <c r="F5357" s="511" t="s">
        <v>1244</v>
      </c>
      <c r="G5357" s="225" t="s">
        <v>1245</v>
      </c>
      <c r="H5357" s="226"/>
      <c r="I5357" s="226" t="s">
        <v>1253</v>
      </c>
      <c r="J5357" s="222" t="s">
        <v>87</v>
      </c>
      <c r="K5357" s="227">
        <v>5230</v>
      </c>
      <c r="L5357" s="227"/>
    </row>
    <row r="5358" spans="1:12" ht="11.25" customHeight="1" x14ac:dyDescent="0.2">
      <c r="A5358" s="228">
        <v>2024</v>
      </c>
      <c r="B5358" s="228">
        <v>8</v>
      </c>
      <c r="C5358" s="228">
        <v>29</v>
      </c>
      <c r="D5358" s="229">
        <f t="shared" si="522"/>
        <v>45533</v>
      </c>
      <c r="E5358" s="241">
        <f t="shared" si="521"/>
        <v>45533</v>
      </c>
      <c r="F5358" s="512"/>
      <c r="G5358" s="231" t="s">
        <v>1245</v>
      </c>
      <c r="H5358" s="232"/>
      <c r="I5358" s="232" t="s">
        <v>1253</v>
      </c>
      <c r="J5358" s="228" t="s">
        <v>72</v>
      </c>
      <c r="K5358" s="233"/>
      <c r="L5358" s="233">
        <f>K5357</f>
        <v>5230</v>
      </c>
    </row>
    <row r="5359" spans="1:12" ht="11.25" customHeight="1" x14ac:dyDescent="0.2">
      <c r="A5359" s="222">
        <v>2024</v>
      </c>
      <c r="B5359" s="222">
        <v>8</v>
      </c>
      <c r="C5359" s="222">
        <v>29</v>
      </c>
      <c r="D5359" s="223">
        <f t="shared" si="522"/>
        <v>45533</v>
      </c>
      <c r="E5359" s="240">
        <f t="shared" si="521"/>
        <v>45533</v>
      </c>
      <c r="F5359" s="511" t="s">
        <v>1246</v>
      </c>
      <c r="G5359" s="225" t="s">
        <v>1245</v>
      </c>
      <c r="H5359" s="226"/>
      <c r="I5359" s="226" t="s">
        <v>1253</v>
      </c>
      <c r="J5359" s="222" t="s">
        <v>75</v>
      </c>
      <c r="K5359" s="227">
        <v>3623.123846153846</v>
      </c>
      <c r="L5359" s="227"/>
    </row>
    <row r="5360" spans="1:12" ht="11.25" customHeight="1" x14ac:dyDescent="0.2">
      <c r="A5360" s="228">
        <v>2024</v>
      </c>
      <c r="B5360" s="228">
        <v>8</v>
      </c>
      <c r="C5360" s="228">
        <v>29</v>
      </c>
      <c r="D5360" s="229">
        <f t="shared" si="522"/>
        <v>45533</v>
      </c>
      <c r="E5360" s="241">
        <f t="shared" si="521"/>
        <v>45533</v>
      </c>
      <c r="F5360" s="512"/>
      <c r="G5360" s="231" t="s">
        <v>1245</v>
      </c>
      <c r="H5360" s="232"/>
      <c r="I5360" s="232" t="s">
        <v>1253</v>
      </c>
      <c r="J5360" s="228" t="s">
        <v>55</v>
      </c>
      <c r="K5360" s="233"/>
      <c r="L5360" s="233">
        <v>3623.123846153846</v>
      </c>
    </row>
    <row r="5361" spans="1:15" ht="11.25" customHeight="1" x14ac:dyDescent="0.2">
      <c r="A5361" s="222">
        <v>2024</v>
      </c>
      <c r="B5361" s="222">
        <v>8</v>
      </c>
      <c r="C5361" s="222">
        <v>29</v>
      </c>
      <c r="D5361" s="223">
        <f t="shared" si="522"/>
        <v>45533</v>
      </c>
      <c r="E5361" s="240">
        <f t="shared" si="521"/>
        <v>45533</v>
      </c>
      <c r="F5361" s="511" t="s">
        <v>1247</v>
      </c>
      <c r="G5361" s="225" t="s">
        <v>1245</v>
      </c>
      <c r="H5361" s="226"/>
      <c r="I5361" s="226" t="s">
        <v>1253</v>
      </c>
      <c r="J5361" s="222" t="s">
        <v>77</v>
      </c>
      <c r="K5361" s="227">
        <f>M5361</f>
        <v>35642.030478477231</v>
      </c>
      <c r="L5361" s="227"/>
      <c r="M5361" s="120">
        <v>35642.030478477231</v>
      </c>
    </row>
    <row r="5362" spans="1:15" ht="11.25" customHeight="1" x14ac:dyDescent="0.2">
      <c r="A5362" s="228">
        <v>2024</v>
      </c>
      <c r="B5362" s="228">
        <v>8</v>
      </c>
      <c r="C5362" s="228">
        <v>29</v>
      </c>
      <c r="D5362" s="229">
        <f t="shared" si="522"/>
        <v>45533</v>
      </c>
      <c r="E5362" s="241">
        <f t="shared" si="521"/>
        <v>45533</v>
      </c>
      <c r="F5362" s="512"/>
      <c r="G5362" s="231" t="s">
        <v>1245</v>
      </c>
      <c r="H5362" s="232"/>
      <c r="I5362" s="232" t="s">
        <v>1253</v>
      </c>
      <c r="J5362" s="228" t="s">
        <v>41</v>
      </c>
      <c r="K5362" s="233"/>
      <c r="L5362" s="233">
        <f>K5361</f>
        <v>35642.030478477231</v>
      </c>
      <c r="M5362" s="120">
        <v>3564.2030478477227</v>
      </c>
    </row>
    <row r="5363" spans="1:15" ht="11.25" customHeight="1" x14ac:dyDescent="0.2">
      <c r="A5363" s="222">
        <v>2024</v>
      </c>
      <c r="B5363" s="222">
        <v>8</v>
      </c>
      <c r="C5363" s="222">
        <v>29</v>
      </c>
      <c r="D5363" s="223">
        <f t="shared" si="522"/>
        <v>45533</v>
      </c>
      <c r="E5363" s="240">
        <f t="shared" si="521"/>
        <v>45533</v>
      </c>
      <c r="F5363" s="511" t="s">
        <v>1248</v>
      </c>
      <c r="G5363" s="225" t="s">
        <v>1245</v>
      </c>
      <c r="H5363" s="226"/>
      <c r="I5363" s="226" t="s">
        <v>1253</v>
      </c>
      <c r="J5363" s="222" t="s">
        <v>80</v>
      </c>
      <c r="K5363" s="227">
        <f>M5362</f>
        <v>3564.2030478477227</v>
      </c>
      <c r="L5363" s="227"/>
    </row>
    <row r="5364" spans="1:15" x14ac:dyDescent="0.2">
      <c r="A5364" s="228">
        <v>2024</v>
      </c>
      <c r="B5364" s="228">
        <v>8</v>
      </c>
      <c r="C5364" s="228">
        <v>29</v>
      </c>
      <c r="D5364" s="229">
        <f t="shared" si="522"/>
        <v>45533</v>
      </c>
      <c r="E5364" s="241">
        <f t="shared" si="521"/>
        <v>45533</v>
      </c>
      <c r="F5364" s="512"/>
      <c r="G5364" s="231" t="s">
        <v>1245</v>
      </c>
      <c r="H5364" s="232"/>
      <c r="I5364" s="232" t="s">
        <v>1253</v>
      </c>
      <c r="J5364" s="228" t="s">
        <v>42</v>
      </c>
      <c r="K5364" s="233"/>
      <c r="L5364" s="233">
        <f>K5363</f>
        <v>3564.2030478477227</v>
      </c>
    </row>
    <row r="5365" spans="1:15" ht="11.25" customHeight="1" x14ac:dyDescent="0.2">
      <c r="A5365" s="197">
        <v>2024</v>
      </c>
      <c r="B5365" s="197">
        <v>8</v>
      </c>
      <c r="C5365" s="197">
        <v>31</v>
      </c>
      <c r="D5365" s="198">
        <f t="shared" si="522"/>
        <v>45535</v>
      </c>
      <c r="E5365" s="209">
        <f t="shared" si="521"/>
        <v>45535</v>
      </c>
      <c r="F5365" s="513" t="s">
        <v>1210</v>
      </c>
      <c r="G5365" s="200" t="s">
        <v>1209</v>
      </c>
      <c r="H5365" s="201"/>
      <c r="I5365" s="201" t="s">
        <v>714</v>
      </c>
      <c r="J5365" s="197" t="s">
        <v>46</v>
      </c>
      <c r="K5365" s="202">
        <v>75000</v>
      </c>
      <c r="L5365" s="202"/>
    </row>
    <row r="5366" spans="1:15" ht="11.25" customHeight="1" x14ac:dyDescent="0.2">
      <c r="A5366" s="120">
        <v>2024</v>
      </c>
      <c r="B5366" s="120">
        <v>8</v>
      </c>
      <c r="C5366" s="120">
        <v>31</v>
      </c>
      <c r="D5366" s="208">
        <f t="shared" si="522"/>
        <v>45535</v>
      </c>
      <c r="E5366" s="209">
        <f t="shared" si="521"/>
        <v>45535</v>
      </c>
      <c r="F5366" s="515"/>
      <c r="G5366" s="132" t="s">
        <v>1209</v>
      </c>
      <c r="I5366" s="128" t="s">
        <v>714</v>
      </c>
      <c r="J5366" s="120" t="s">
        <v>16</v>
      </c>
      <c r="K5366" s="207"/>
      <c r="L5366" s="207">
        <v>65880</v>
      </c>
    </row>
    <row r="5367" spans="1:15" ht="11.25" customHeight="1" x14ac:dyDescent="0.2">
      <c r="A5367" s="191">
        <v>2024</v>
      </c>
      <c r="B5367" s="191">
        <v>8</v>
      </c>
      <c r="C5367" s="191">
        <v>31</v>
      </c>
      <c r="D5367" s="192">
        <f t="shared" si="522"/>
        <v>45535</v>
      </c>
      <c r="E5367" s="193">
        <f t="shared" si="521"/>
        <v>45535</v>
      </c>
      <c r="F5367" s="514"/>
      <c r="G5367" s="194" t="s">
        <v>1209</v>
      </c>
      <c r="H5367" s="195"/>
      <c r="I5367" s="195" t="s">
        <v>714</v>
      </c>
      <c r="J5367" s="191" t="s">
        <v>47</v>
      </c>
      <c r="K5367" s="196"/>
      <c r="L5367" s="196">
        <v>9120</v>
      </c>
    </row>
    <row r="5368" spans="1:15" ht="11.25" customHeight="1" x14ac:dyDescent="0.2">
      <c r="A5368" s="197">
        <v>2024</v>
      </c>
      <c r="B5368" s="197">
        <v>9</v>
      </c>
      <c r="C5368" s="197">
        <v>1</v>
      </c>
      <c r="D5368" s="198">
        <f t="shared" si="522"/>
        <v>45536</v>
      </c>
      <c r="E5368" s="199">
        <f t="shared" si="521"/>
        <v>45536</v>
      </c>
      <c r="F5368" s="513" t="s">
        <v>1864</v>
      </c>
      <c r="G5368" s="200" t="s">
        <v>1209</v>
      </c>
      <c r="H5368" s="201"/>
      <c r="I5368" s="201" t="s">
        <v>1253</v>
      </c>
      <c r="J5368" s="197" t="s">
        <v>1837</v>
      </c>
      <c r="K5368" s="202">
        <v>1880593.9</v>
      </c>
      <c r="L5368" s="202"/>
    </row>
    <row r="5369" spans="1:15" ht="11.25" customHeight="1" x14ac:dyDescent="0.2">
      <c r="A5369" s="191">
        <v>2024</v>
      </c>
      <c r="B5369" s="191">
        <v>9</v>
      </c>
      <c r="C5369" s="191">
        <v>1</v>
      </c>
      <c r="D5369" s="192">
        <f t="shared" si="522"/>
        <v>45536</v>
      </c>
      <c r="E5369" s="193">
        <f t="shared" si="521"/>
        <v>45536</v>
      </c>
      <c r="F5369" s="514"/>
      <c r="G5369" s="194" t="s">
        <v>1209</v>
      </c>
      <c r="H5369" s="195"/>
      <c r="I5369" s="195" t="s">
        <v>1253</v>
      </c>
      <c r="J5369" s="191" t="s">
        <v>46</v>
      </c>
      <c r="K5369" s="196"/>
      <c r="L5369" s="196">
        <v>1880593.9</v>
      </c>
      <c r="N5369" s="130"/>
    </row>
    <row r="5370" spans="1:15" ht="11.25" customHeight="1" x14ac:dyDescent="0.2">
      <c r="A5370" s="197">
        <v>2024</v>
      </c>
      <c r="B5370" s="197">
        <v>9</v>
      </c>
      <c r="C5370" s="197">
        <v>1</v>
      </c>
      <c r="D5370" s="198">
        <f t="shared" si="522"/>
        <v>45536</v>
      </c>
      <c r="E5370" s="199">
        <f t="shared" ref="E5370:E5371" si="523">DATE(A5370,B5370,C5370)</f>
        <v>45536</v>
      </c>
      <c r="F5370" s="513" t="s">
        <v>1875</v>
      </c>
      <c r="G5370" s="200" t="s">
        <v>1209</v>
      </c>
      <c r="H5370" s="201"/>
      <c r="I5370" s="201" t="s">
        <v>1253</v>
      </c>
      <c r="J5370" s="197" t="s">
        <v>1837</v>
      </c>
      <c r="K5370" s="202">
        <v>971615.9</v>
      </c>
      <c r="L5370" s="202"/>
    </row>
    <row r="5371" spans="1:15" ht="11.25" customHeight="1" x14ac:dyDescent="0.2">
      <c r="A5371" s="191">
        <v>2024</v>
      </c>
      <c r="B5371" s="191">
        <v>9</v>
      </c>
      <c r="C5371" s="191">
        <v>1</v>
      </c>
      <c r="D5371" s="192">
        <f t="shared" si="522"/>
        <v>45536</v>
      </c>
      <c r="E5371" s="193">
        <f t="shared" si="523"/>
        <v>45536</v>
      </c>
      <c r="F5371" s="514"/>
      <c r="G5371" s="194" t="s">
        <v>1209</v>
      </c>
      <c r="H5371" s="195"/>
      <c r="I5371" s="195" t="s">
        <v>1253</v>
      </c>
      <c r="J5371" s="191" t="s">
        <v>46</v>
      </c>
      <c r="K5371" s="196"/>
      <c r="L5371" s="196">
        <v>971615.9</v>
      </c>
      <c r="N5371" s="130"/>
    </row>
    <row r="5372" spans="1:15" ht="11.25" customHeight="1" x14ac:dyDescent="0.2">
      <c r="A5372" s="197">
        <v>2024</v>
      </c>
      <c r="B5372" s="197">
        <v>9</v>
      </c>
      <c r="C5372" s="197">
        <v>1</v>
      </c>
      <c r="D5372" s="198">
        <f t="shared" si="522"/>
        <v>45536</v>
      </c>
      <c r="E5372" s="290">
        <f t="shared" si="521"/>
        <v>45536</v>
      </c>
      <c r="F5372" s="513" t="s">
        <v>1514</v>
      </c>
      <c r="G5372" s="200" t="s">
        <v>1209</v>
      </c>
      <c r="H5372" s="201"/>
      <c r="I5372" s="201"/>
      <c r="J5372" s="197" t="s">
        <v>54</v>
      </c>
      <c r="K5372" s="202">
        <v>100</v>
      </c>
      <c r="L5372" s="202"/>
      <c r="M5372" s="251"/>
      <c r="N5372" s="251"/>
      <c r="O5372" s="251"/>
    </row>
    <row r="5373" spans="1:15" ht="11.25" customHeight="1" x14ac:dyDescent="0.2">
      <c r="A5373" s="191">
        <v>2024</v>
      </c>
      <c r="B5373" s="191">
        <v>9</v>
      </c>
      <c r="C5373" s="191">
        <v>1</v>
      </c>
      <c r="D5373" s="192">
        <f t="shared" si="522"/>
        <v>45536</v>
      </c>
      <c r="E5373" s="291">
        <f t="shared" si="521"/>
        <v>45536</v>
      </c>
      <c r="F5373" s="514"/>
      <c r="G5373" s="194" t="s">
        <v>1209</v>
      </c>
      <c r="H5373" s="195"/>
      <c r="I5373" s="195"/>
      <c r="J5373" s="191" t="s">
        <v>46</v>
      </c>
      <c r="K5373" s="196"/>
      <c r="L5373" s="196">
        <v>100</v>
      </c>
      <c r="M5373" s="251"/>
      <c r="N5373" s="251"/>
      <c r="O5373" s="251"/>
    </row>
    <row r="5374" spans="1:15" ht="11.25" customHeight="1" x14ac:dyDescent="0.2">
      <c r="A5374" s="197">
        <v>2024</v>
      </c>
      <c r="B5374" s="197">
        <v>9</v>
      </c>
      <c r="C5374" s="197">
        <v>1</v>
      </c>
      <c r="D5374" s="198">
        <f t="shared" si="522"/>
        <v>45536</v>
      </c>
      <c r="E5374" s="209">
        <f t="shared" ref="E5374:E5376" si="524">DATE(A5374,B5374,C5374)</f>
        <v>45536</v>
      </c>
      <c r="F5374" s="513" t="s">
        <v>1210</v>
      </c>
      <c r="G5374" s="200" t="s">
        <v>1209</v>
      </c>
      <c r="H5374" s="201"/>
      <c r="I5374" s="201" t="s">
        <v>1491</v>
      </c>
      <c r="J5374" s="197" t="s">
        <v>46</v>
      </c>
      <c r="K5374" s="202">
        <v>2000</v>
      </c>
      <c r="L5374" s="202"/>
    </row>
    <row r="5375" spans="1:15" ht="11.25" customHeight="1" x14ac:dyDescent="0.2">
      <c r="A5375" s="120">
        <v>2024</v>
      </c>
      <c r="B5375" s="120">
        <v>9</v>
      </c>
      <c r="C5375" s="120">
        <v>1</v>
      </c>
      <c r="D5375" s="208">
        <f t="shared" si="522"/>
        <v>45536</v>
      </c>
      <c r="E5375" s="209">
        <f t="shared" si="524"/>
        <v>45536</v>
      </c>
      <c r="F5375" s="515"/>
      <c r="G5375" s="132" t="s">
        <v>1209</v>
      </c>
      <c r="I5375" s="128" t="s">
        <v>1491</v>
      </c>
      <c r="J5375" s="120" t="s">
        <v>16</v>
      </c>
      <c r="K5375" s="207"/>
      <c r="L5375" s="207">
        <v>1760</v>
      </c>
    </row>
    <row r="5376" spans="1:15" ht="11.25" customHeight="1" x14ac:dyDescent="0.2">
      <c r="A5376" s="191">
        <v>2024</v>
      </c>
      <c r="B5376" s="191">
        <v>9</v>
      </c>
      <c r="C5376" s="191">
        <v>1</v>
      </c>
      <c r="D5376" s="192">
        <f t="shared" si="522"/>
        <v>45536</v>
      </c>
      <c r="E5376" s="193">
        <f t="shared" si="524"/>
        <v>45536</v>
      </c>
      <c r="F5376" s="514"/>
      <c r="G5376" s="194" t="s">
        <v>1209</v>
      </c>
      <c r="H5376" s="195"/>
      <c r="I5376" s="195" t="s">
        <v>1491</v>
      </c>
      <c r="J5376" s="191" t="s">
        <v>47</v>
      </c>
      <c r="K5376" s="196"/>
      <c r="L5376" s="196">
        <v>240</v>
      </c>
    </row>
    <row r="5377" spans="1:14" ht="11.25" customHeight="1" x14ac:dyDescent="0.2">
      <c r="A5377" s="197">
        <v>2024</v>
      </c>
      <c r="B5377" s="197">
        <v>9</v>
      </c>
      <c r="C5377" s="197">
        <v>1</v>
      </c>
      <c r="D5377" s="198">
        <f t="shared" si="522"/>
        <v>45536</v>
      </c>
      <c r="E5377" s="209">
        <f t="shared" si="521"/>
        <v>45536</v>
      </c>
      <c r="F5377" s="513" t="s">
        <v>1280</v>
      </c>
      <c r="G5377" s="200" t="s">
        <v>1209</v>
      </c>
      <c r="H5377" s="201"/>
      <c r="I5377" s="201" t="s">
        <v>1597</v>
      </c>
      <c r="J5377" s="197" t="s">
        <v>16</v>
      </c>
      <c r="K5377" s="202">
        <v>878430</v>
      </c>
      <c r="L5377" s="202"/>
    </row>
    <row r="5378" spans="1:14" ht="11.25" customHeight="1" x14ac:dyDescent="0.2">
      <c r="A5378" s="120">
        <v>2024</v>
      </c>
      <c r="B5378" s="120">
        <v>9</v>
      </c>
      <c r="C5378" s="120">
        <v>1</v>
      </c>
      <c r="D5378" s="208">
        <f t="shared" si="522"/>
        <v>45536</v>
      </c>
      <c r="E5378" s="209">
        <f t="shared" si="521"/>
        <v>45536</v>
      </c>
      <c r="F5378" s="515"/>
      <c r="G5378" s="132" t="s">
        <v>1209</v>
      </c>
      <c r="I5378" s="128" t="s">
        <v>1597</v>
      </c>
      <c r="J5378" s="120" t="s">
        <v>47</v>
      </c>
      <c r="K5378" s="207">
        <v>121570</v>
      </c>
      <c r="L5378" s="207"/>
    </row>
    <row r="5379" spans="1:14" ht="11.25" customHeight="1" x14ac:dyDescent="0.2">
      <c r="A5379" s="191">
        <v>2024</v>
      </c>
      <c r="B5379" s="191">
        <v>9</v>
      </c>
      <c r="C5379" s="191">
        <v>1</v>
      </c>
      <c r="D5379" s="192">
        <f t="shared" si="522"/>
        <v>45536</v>
      </c>
      <c r="E5379" s="193">
        <f t="shared" si="521"/>
        <v>45536</v>
      </c>
      <c r="F5379" s="514"/>
      <c r="G5379" s="194" t="s">
        <v>1209</v>
      </c>
      <c r="H5379" s="195"/>
      <c r="I5379" s="195" t="s">
        <v>1597</v>
      </c>
      <c r="J5379" s="191" t="s">
        <v>46</v>
      </c>
      <c r="K5379" s="196"/>
      <c r="L5379" s="196">
        <v>1000000</v>
      </c>
    </row>
    <row r="5380" spans="1:14" ht="11.25" customHeight="1" x14ac:dyDescent="0.2">
      <c r="A5380" s="197">
        <v>2024</v>
      </c>
      <c r="B5380" s="197">
        <v>9</v>
      </c>
      <c r="C5380" s="197">
        <v>2</v>
      </c>
      <c r="D5380" s="198">
        <f t="shared" si="522"/>
        <v>45537</v>
      </c>
      <c r="E5380" s="199">
        <f t="shared" si="521"/>
        <v>45537</v>
      </c>
      <c r="F5380" s="513" t="s">
        <v>1877</v>
      </c>
      <c r="G5380" s="200" t="s">
        <v>1209</v>
      </c>
      <c r="H5380" s="201"/>
      <c r="I5380" s="201" t="s">
        <v>1253</v>
      </c>
      <c r="J5380" s="197" t="s">
        <v>1455</v>
      </c>
      <c r="K5380" s="202">
        <v>43059378.5</v>
      </c>
      <c r="L5380" s="202"/>
    </row>
    <row r="5381" spans="1:14" ht="11.25" customHeight="1" x14ac:dyDescent="0.2">
      <c r="A5381" s="191">
        <v>2024</v>
      </c>
      <c r="B5381" s="191">
        <v>9</v>
      </c>
      <c r="C5381" s="191">
        <v>2</v>
      </c>
      <c r="D5381" s="192">
        <f t="shared" si="522"/>
        <v>45537</v>
      </c>
      <c r="E5381" s="193">
        <f t="shared" si="521"/>
        <v>45537</v>
      </c>
      <c r="F5381" s="514"/>
      <c r="G5381" s="194" t="s">
        <v>1209</v>
      </c>
      <c r="H5381" s="195"/>
      <c r="I5381" s="195" t="s">
        <v>1253</v>
      </c>
      <c r="J5381" s="191" t="s">
        <v>46</v>
      </c>
      <c r="K5381" s="196"/>
      <c r="L5381" s="196">
        <v>43059378.5</v>
      </c>
      <c r="N5381" s="130"/>
    </row>
    <row r="5382" spans="1:14" ht="11.25" customHeight="1" x14ac:dyDescent="0.2">
      <c r="A5382" s="197">
        <v>2024</v>
      </c>
      <c r="B5382" s="197">
        <v>9</v>
      </c>
      <c r="C5382" s="197">
        <v>2</v>
      </c>
      <c r="D5382" s="198">
        <f t="shared" si="522"/>
        <v>45537</v>
      </c>
      <c r="E5382" s="199">
        <f t="shared" si="521"/>
        <v>45537</v>
      </c>
      <c r="F5382" s="513" t="s">
        <v>1876</v>
      </c>
      <c r="G5382" s="200" t="s">
        <v>1209</v>
      </c>
      <c r="H5382" s="201"/>
      <c r="I5382" s="201" t="s">
        <v>1253</v>
      </c>
      <c r="J5382" s="197" t="s">
        <v>76</v>
      </c>
      <c r="K5382" s="202">
        <v>5500000</v>
      </c>
      <c r="L5382" s="202"/>
    </row>
    <row r="5383" spans="1:14" ht="11.25" customHeight="1" x14ac:dyDescent="0.2">
      <c r="A5383" s="191">
        <v>2024</v>
      </c>
      <c r="B5383" s="191">
        <v>9</v>
      </c>
      <c r="C5383" s="191">
        <v>2</v>
      </c>
      <c r="D5383" s="192">
        <f t="shared" si="522"/>
        <v>45537</v>
      </c>
      <c r="E5383" s="193">
        <f t="shared" si="521"/>
        <v>45537</v>
      </c>
      <c r="F5383" s="514"/>
      <c r="G5383" s="194" t="s">
        <v>1209</v>
      </c>
      <c r="H5383" s="195"/>
      <c r="I5383" s="195" t="s">
        <v>1253</v>
      </c>
      <c r="J5383" s="191" t="s">
        <v>76</v>
      </c>
      <c r="K5383" s="196"/>
      <c r="L5383" s="196">
        <v>5500000</v>
      </c>
    </row>
    <row r="5384" spans="1:14" ht="11.25" customHeight="1" x14ac:dyDescent="0.2">
      <c r="A5384" s="197">
        <v>2024</v>
      </c>
      <c r="B5384" s="197">
        <v>9</v>
      </c>
      <c r="C5384" s="197">
        <v>2</v>
      </c>
      <c r="D5384" s="198">
        <f t="shared" si="522"/>
        <v>45537</v>
      </c>
      <c r="E5384" s="290">
        <f t="shared" si="521"/>
        <v>45537</v>
      </c>
      <c r="F5384" s="513" t="s">
        <v>1862</v>
      </c>
      <c r="G5384" s="200" t="s">
        <v>1245</v>
      </c>
      <c r="H5384" s="201"/>
      <c r="I5384" s="201" t="s">
        <v>1253</v>
      </c>
      <c r="J5384" s="197" t="s">
        <v>46</v>
      </c>
      <c r="K5384" s="202">
        <v>164312.5</v>
      </c>
      <c r="L5384" s="202"/>
    </row>
    <row r="5385" spans="1:14" ht="11.25" customHeight="1" x14ac:dyDescent="0.2">
      <c r="A5385" s="191">
        <v>2024</v>
      </c>
      <c r="B5385" s="191">
        <v>9</v>
      </c>
      <c r="C5385" s="191">
        <v>2</v>
      </c>
      <c r="D5385" s="192">
        <f t="shared" si="522"/>
        <v>45537</v>
      </c>
      <c r="E5385" s="291">
        <f t="shared" si="521"/>
        <v>45537</v>
      </c>
      <c r="F5385" s="514"/>
      <c r="G5385" s="194" t="s">
        <v>1245</v>
      </c>
      <c r="H5385" s="195"/>
      <c r="I5385" s="195" t="s">
        <v>1253</v>
      </c>
      <c r="J5385" s="191" t="s">
        <v>113</v>
      </c>
      <c r="K5385" s="196"/>
      <c r="L5385" s="196">
        <v>164312.5</v>
      </c>
    </row>
    <row r="5386" spans="1:14" ht="11.25" customHeight="1" x14ac:dyDescent="0.2">
      <c r="A5386" s="197">
        <v>2024</v>
      </c>
      <c r="B5386" s="197">
        <v>9</v>
      </c>
      <c r="C5386" s="197">
        <v>3</v>
      </c>
      <c r="D5386" s="198">
        <f t="shared" si="522"/>
        <v>45538</v>
      </c>
      <c r="E5386" s="199">
        <f t="shared" ref="E5386:E5389" si="525">DATE(A5386,B5386,C5386)</f>
        <v>45538</v>
      </c>
      <c r="F5386" s="513" t="s">
        <v>1878</v>
      </c>
      <c r="G5386" s="200" t="s">
        <v>1209</v>
      </c>
      <c r="H5386" s="201"/>
      <c r="I5386" s="201" t="s">
        <v>1253</v>
      </c>
      <c r="J5386" s="197" t="s">
        <v>76</v>
      </c>
      <c r="K5386" s="202">
        <v>4500000</v>
      </c>
      <c r="L5386" s="202"/>
    </row>
    <row r="5387" spans="1:14" ht="11.25" customHeight="1" x14ac:dyDescent="0.2">
      <c r="A5387" s="191">
        <v>2024</v>
      </c>
      <c r="B5387" s="191">
        <v>9</v>
      </c>
      <c r="C5387" s="191">
        <v>3</v>
      </c>
      <c r="D5387" s="192">
        <f t="shared" si="522"/>
        <v>45538</v>
      </c>
      <c r="E5387" s="193">
        <f t="shared" si="525"/>
        <v>45538</v>
      </c>
      <c r="F5387" s="514"/>
      <c r="G5387" s="194" t="s">
        <v>1209</v>
      </c>
      <c r="H5387" s="195"/>
      <c r="I5387" s="195" t="s">
        <v>1253</v>
      </c>
      <c r="J5387" s="191" t="s">
        <v>76</v>
      </c>
      <c r="K5387" s="196"/>
      <c r="L5387" s="196">
        <v>4500000</v>
      </c>
    </row>
    <row r="5388" spans="1:14" ht="11.25" customHeight="1" x14ac:dyDescent="0.2">
      <c r="A5388" s="197">
        <v>2024</v>
      </c>
      <c r="B5388" s="197">
        <v>9</v>
      </c>
      <c r="C5388" s="197">
        <v>3</v>
      </c>
      <c r="D5388" s="198">
        <f t="shared" si="522"/>
        <v>45538</v>
      </c>
      <c r="E5388" s="290">
        <f t="shared" si="525"/>
        <v>45538</v>
      </c>
      <c r="F5388" s="513" t="s">
        <v>1862</v>
      </c>
      <c r="G5388" s="200" t="s">
        <v>1245</v>
      </c>
      <c r="H5388" s="201"/>
      <c r="I5388" s="201" t="s">
        <v>1253</v>
      </c>
      <c r="J5388" s="197" t="s">
        <v>46</v>
      </c>
      <c r="K5388" s="202">
        <v>134437.5</v>
      </c>
      <c r="L5388" s="202"/>
    </row>
    <row r="5389" spans="1:14" ht="11.25" customHeight="1" x14ac:dyDescent="0.2">
      <c r="A5389" s="191">
        <v>2024</v>
      </c>
      <c r="B5389" s="191">
        <v>9</v>
      </c>
      <c r="C5389" s="191">
        <v>3</v>
      </c>
      <c r="D5389" s="192">
        <f t="shared" si="522"/>
        <v>45538</v>
      </c>
      <c r="E5389" s="291">
        <f t="shared" si="525"/>
        <v>45538</v>
      </c>
      <c r="F5389" s="514"/>
      <c r="G5389" s="194" t="s">
        <v>1245</v>
      </c>
      <c r="H5389" s="195"/>
      <c r="I5389" s="195" t="s">
        <v>1253</v>
      </c>
      <c r="J5389" s="191" t="s">
        <v>113</v>
      </c>
      <c r="K5389" s="196"/>
      <c r="L5389" s="196">
        <v>134437.5</v>
      </c>
    </row>
    <row r="5390" spans="1:14" ht="11.25" customHeight="1" x14ac:dyDescent="0.2">
      <c r="A5390" s="197">
        <v>2024</v>
      </c>
      <c r="B5390" s="197">
        <v>9</v>
      </c>
      <c r="C5390" s="197">
        <v>3</v>
      </c>
      <c r="D5390" s="198">
        <f t="shared" si="522"/>
        <v>45538</v>
      </c>
      <c r="E5390" s="199">
        <f t="shared" si="521"/>
        <v>45538</v>
      </c>
      <c r="F5390" s="513" t="s">
        <v>1824</v>
      </c>
      <c r="G5390" s="200" t="s">
        <v>1209</v>
      </c>
      <c r="H5390" s="201"/>
      <c r="I5390" s="201" t="s">
        <v>1253</v>
      </c>
      <c r="J5390" s="197" t="s">
        <v>46</v>
      </c>
      <c r="K5390" s="202">
        <v>34000000</v>
      </c>
      <c r="L5390" s="202"/>
    </row>
    <row r="5391" spans="1:14" ht="11.25" customHeight="1" x14ac:dyDescent="0.2">
      <c r="A5391" s="120">
        <v>2024</v>
      </c>
      <c r="B5391" s="120">
        <v>9</v>
      </c>
      <c r="C5391" s="120">
        <v>3</v>
      </c>
      <c r="D5391" s="208">
        <f t="shared" si="522"/>
        <v>45538</v>
      </c>
      <c r="E5391" s="209">
        <f t="shared" si="521"/>
        <v>45538</v>
      </c>
      <c r="F5391" s="515"/>
      <c r="G5391" s="132" t="s">
        <v>1209</v>
      </c>
      <c r="J5391" s="120" t="s">
        <v>1462</v>
      </c>
      <c r="K5391" s="328"/>
      <c r="L5391" s="207">
        <v>706248</v>
      </c>
    </row>
    <row r="5392" spans="1:14" ht="11.25" customHeight="1" x14ac:dyDescent="0.2">
      <c r="A5392" s="191">
        <v>2024</v>
      </c>
      <c r="B5392" s="191">
        <v>9</v>
      </c>
      <c r="C5392" s="191">
        <v>3</v>
      </c>
      <c r="D5392" s="192">
        <f t="shared" si="522"/>
        <v>45538</v>
      </c>
      <c r="E5392" s="193">
        <f t="shared" si="521"/>
        <v>45538</v>
      </c>
      <c r="F5392" s="514"/>
      <c r="G5392" s="194" t="s">
        <v>1209</v>
      </c>
      <c r="H5392" s="195"/>
      <c r="I5392" s="195" t="s">
        <v>1253</v>
      </c>
      <c r="J5392" s="191" t="s">
        <v>1455</v>
      </c>
      <c r="K5392" s="196"/>
      <c r="L5392" s="196">
        <v>33293752</v>
      </c>
      <c r="N5392" s="130"/>
    </row>
    <row r="5393" spans="1:15" ht="11.25" customHeight="1" x14ac:dyDescent="0.2">
      <c r="A5393" s="197">
        <v>2024</v>
      </c>
      <c r="B5393" s="197">
        <v>9</v>
      </c>
      <c r="C5393" s="197">
        <v>3</v>
      </c>
      <c r="D5393" s="198">
        <f t="shared" si="522"/>
        <v>45538</v>
      </c>
      <c r="E5393" s="290">
        <f t="shared" ref="E5393:E5394" si="526">DATE(A5393,B5393,C5393)</f>
        <v>45538</v>
      </c>
      <c r="F5393" s="513" t="s">
        <v>1514</v>
      </c>
      <c r="G5393" s="200" t="s">
        <v>1209</v>
      </c>
      <c r="H5393" s="201"/>
      <c r="I5393" s="201"/>
      <c r="J5393" s="197" t="s">
        <v>54</v>
      </c>
      <c r="K5393" s="202">
        <v>70</v>
      </c>
      <c r="L5393" s="202"/>
      <c r="M5393" s="251"/>
      <c r="N5393" s="251"/>
      <c r="O5393" s="251"/>
    </row>
    <row r="5394" spans="1:15" ht="11.25" customHeight="1" x14ac:dyDescent="0.2">
      <c r="A5394" s="191">
        <v>2024</v>
      </c>
      <c r="B5394" s="191">
        <v>9</v>
      </c>
      <c r="C5394" s="191">
        <v>3</v>
      </c>
      <c r="D5394" s="192">
        <f t="shared" si="522"/>
        <v>45538</v>
      </c>
      <c r="E5394" s="291">
        <f t="shared" si="526"/>
        <v>45538</v>
      </c>
      <c r="F5394" s="514"/>
      <c r="G5394" s="194" t="s">
        <v>1209</v>
      </c>
      <c r="H5394" s="195"/>
      <c r="I5394" s="195"/>
      <c r="J5394" s="191" t="s">
        <v>46</v>
      </c>
      <c r="K5394" s="196"/>
      <c r="L5394" s="196">
        <v>70</v>
      </c>
      <c r="M5394" s="251"/>
      <c r="N5394" s="251"/>
      <c r="O5394" s="251"/>
    </row>
    <row r="5395" spans="1:15" ht="11.25" customHeight="1" x14ac:dyDescent="0.2">
      <c r="A5395" s="197">
        <v>2024</v>
      </c>
      <c r="B5395" s="197">
        <v>9</v>
      </c>
      <c r="C5395" s="197">
        <v>3</v>
      </c>
      <c r="D5395" s="198">
        <f t="shared" si="522"/>
        <v>45538</v>
      </c>
      <c r="E5395" s="209">
        <f t="shared" si="521"/>
        <v>45538</v>
      </c>
      <c r="F5395" s="513" t="s">
        <v>1210</v>
      </c>
      <c r="G5395" s="200" t="s">
        <v>1209</v>
      </c>
      <c r="H5395" s="201"/>
      <c r="I5395" s="201" t="s">
        <v>1218</v>
      </c>
      <c r="J5395" s="197" t="s">
        <v>46</v>
      </c>
      <c r="K5395" s="202">
        <v>10000000</v>
      </c>
      <c r="L5395" s="202"/>
    </row>
    <row r="5396" spans="1:15" ht="11.25" customHeight="1" x14ac:dyDescent="0.2">
      <c r="A5396" s="120">
        <v>2024</v>
      </c>
      <c r="B5396" s="120">
        <v>9</v>
      </c>
      <c r="C5396" s="120">
        <v>3</v>
      </c>
      <c r="D5396" s="208">
        <f t="shared" si="522"/>
        <v>45538</v>
      </c>
      <c r="E5396" s="209">
        <f t="shared" si="521"/>
        <v>45538</v>
      </c>
      <c r="F5396" s="515"/>
      <c r="G5396" s="132" t="s">
        <v>1209</v>
      </c>
      <c r="I5396" s="128" t="s">
        <v>1218</v>
      </c>
      <c r="J5396" s="120" t="s">
        <v>16</v>
      </c>
      <c r="K5396" s="207"/>
      <c r="L5396" s="207">
        <v>8784260</v>
      </c>
    </row>
    <row r="5397" spans="1:15" ht="11.25" customHeight="1" x14ac:dyDescent="0.2">
      <c r="A5397" s="191">
        <v>2024</v>
      </c>
      <c r="B5397" s="191">
        <v>9</v>
      </c>
      <c r="C5397" s="191">
        <v>3</v>
      </c>
      <c r="D5397" s="192">
        <f t="shared" si="522"/>
        <v>45538</v>
      </c>
      <c r="E5397" s="193">
        <f t="shared" si="521"/>
        <v>45538</v>
      </c>
      <c r="F5397" s="514"/>
      <c r="G5397" s="194" t="s">
        <v>1209</v>
      </c>
      <c r="H5397" s="195"/>
      <c r="I5397" s="195" t="s">
        <v>1218</v>
      </c>
      <c r="J5397" s="191" t="s">
        <v>47</v>
      </c>
      <c r="K5397" s="196"/>
      <c r="L5397" s="196">
        <v>1215740</v>
      </c>
    </row>
    <row r="5398" spans="1:15" ht="11.25" customHeight="1" x14ac:dyDescent="0.2">
      <c r="A5398" s="197">
        <v>2024</v>
      </c>
      <c r="B5398" s="197">
        <v>9</v>
      </c>
      <c r="C5398" s="197">
        <v>3</v>
      </c>
      <c r="D5398" s="198">
        <f t="shared" si="522"/>
        <v>45538</v>
      </c>
      <c r="E5398" s="209">
        <f t="shared" ref="E5398:E5400" si="527">DATE(A5398,B5398,C5398)</f>
        <v>45538</v>
      </c>
      <c r="F5398" s="513" t="s">
        <v>1210</v>
      </c>
      <c r="G5398" s="200" t="s">
        <v>1209</v>
      </c>
      <c r="H5398" s="201"/>
      <c r="I5398" s="201" t="s">
        <v>1874</v>
      </c>
      <c r="J5398" s="197" t="s">
        <v>46</v>
      </c>
      <c r="K5398" s="202">
        <v>250000</v>
      </c>
      <c r="L5398" s="202"/>
    </row>
    <row r="5399" spans="1:15" ht="11.25" customHeight="1" x14ac:dyDescent="0.2">
      <c r="A5399" s="120">
        <v>2024</v>
      </c>
      <c r="B5399" s="120">
        <v>9</v>
      </c>
      <c r="C5399" s="120">
        <v>3</v>
      </c>
      <c r="D5399" s="208">
        <f t="shared" si="522"/>
        <v>45538</v>
      </c>
      <c r="E5399" s="209">
        <f t="shared" si="527"/>
        <v>45538</v>
      </c>
      <c r="F5399" s="515"/>
      <c r="G5399" s="132" t="s">
        <v>1209</v>
      </c>
      <c r="I5399" s="128" t="s">
        <v>1874</v>
      </c>
      <c r="J5399" s="120" t="s">
        <v>16</v>
      </c>
      <c r="K5399" s="207"/>
      <c r="L5399" s="207">
        <v>219610</v>
      </c>
    </row>
    <row r="5400" spans="1:15" ht="11.25" customHeight="1" x14ac:dyDescent="0.2">
      <c r="A5400" s="191">
        <v>2024</v>
      </c>
      <c r="B5400" s="191">
        <v>9</v>
      </c>
      <c r="C5400" s="191">
        <v>3</v>
      </c>
      <c r="D5400" s="192">
        <f t="shared" si="522"/>
        <v>45538</v>
      </c>
      <c r="E5400" s="193">
        <f t="shared" si="527"/>
        <v>45538</v>
      </c>
      <c r="F5400" s="514"/>
      <c r="G5400" s="194" t="s">
        <v>1209</v>
      </c>
      <c r="H5400" s="195"/>
      <c r="I5400" s="195" t="s">
        <v>1874</v>
      </c>
      <c r="J5400" s="191" t="s">
        <v>47</v>
      </c>
      <c r="K5400" s="196"/>
      <c r="L5400" s="196">
        <v>30390</v>
      </c>
    </row>
    <row r="5401" spans="1:15" ht="11.25" customHeight="1" x14ac:dyDescent="0.2">
      <c r="A5401" s="197">
        <v>2024</v>
      </c>
      <c r="B5401" s="197">
        <v>9</v>
      </c>
      <c r="C5401" s="197">
        <v>3</v>
      </c>
      <c r="D5401" s="198">
        <f t="shared" si="522"/>
        <v>45538</v>
      </c>
      <c r="E5401" s="209">
        <f t="shared" ref="E5401:E5408" si="528">DATE(A5401,B5401,C5401)</f>
        <v>45538</v>
      </c>
      <c r="F5401" s="513" t="s">
        <v>1210</v>
      </c>
      <c r="G5401" s="200" t="s">
        <v>1209</v>
      </c>
      <c r="H5401" s="201"/>
      <c r="I5401" s="201" t="s">
        <v>397</v>
      </c>
      <c r="J5401" s="197" t="s">
        <v>46</v>
      </c>
      <c r="K5401" s="202">
        <v>130000</v>
      </c>
      <c r="L5401" s="202"/>
    </row>
    <row r="5402" spans="1:15" ht="11.25" customHeight="1" x14ac:dyDescent="0.2">
      <c r="A5402" s="120">
        <v>2024</v>
      </c>
      <c r="B5402" s="120">
        <v>9</v>
      </c>
      <c r="C5402" s="120">
        <v>3</v>
      </c>
      <c r="D5402" s="208">
        <f t="shared" si="522"/>
        <v>45538</v>
      </c>
      <c r="E5402" s="209">
        <f t="shared" si="528"/>
        <v>45538</v>
      </c>
      <c r="F5402" s="515"/>
      <c r="G5402" s="132" t="s">
        <v>1209</v>
      </c>
      <c r="I5402" s="128" t="s">
        <v>397</v>
      </c>
      <c r="J5402" s="120" t="s">
        <v>16</v>
      </c>
      <c r="K5402" s="207"/>
      <c r="L5402" s="207">
        <v>114200</v>
      </c>
    </row>
    <row r="5403" spans="1:15" ht="11.25" customHeight="1" x14ac:dyDescent="0.2">
      <c r="A5403" s="191">
        <v>2024</v>
      </c>
      <c r="B5403" s="191">
        <v>9</v>
      </c>
      <c r="C5403" s="191">
        <v>3</v>
      </c>
      <c r="D5403" s="192">
        <f t="shared" si="522"/>
        <v>45538</v>
      </c>
      <c r="E5403" s="193">
        <f t="shared" si="528"/>
        <v>45538</v>
      </c>
      <c r="F5403" s="514"/>
      <c r="G5403" s="194" t="s">
        <v>1209</v>
      </c>
      <c r="H5403" s="195"/>
      <c r="I5403" s="195" t="s">
        <v>397</v>
      </c>
      <c r="J5403" s="191" t="s">
        <v>47</v>
      </c>
      <c r="K5403" s="196"/>
      <c r="L5403" s="196">
        <v>15800</v>
      </c>
    </row>
    <row r="5404" spans="1:15" ht="11.25" customHeight="1" x14ac:dyDescent="0.2">
      <c r="A5404" s="197">
        <v>2024</v>
      </c>
      <c r="B5404" s="197">
        <v>9</v>
      </c>
      <c r="C5404" s="197">
        <v>4</v>
      </c>
      <c r="D5404" s="198">
        <f t="shared" si="522"/>
        <v>45539</v>
      </c>
      <c r="E5404" s="290">
        <f t="shared" si="528"/>
        <v>45539</v>
      </c>
      <c r="F5404" s="513" t="s">
        <v>1514</v>
      </c>
      <c r="G5404" s="200" t="s">
        <v>1209</v>
      </c>
      <c r="H5404" s="201"/>
      <c r="I5404" s="201"/>
      <c r="J5404" s="197" t="s">
        <v>54</v>
      </c>
      <c r="K5404" s="202">
        <v>58</v>
      </c>
      <c r="L5404" s="202"/>
      <c r="M5404" s="251"/>
      <c r="N5404" s="251"/>
      <c r="O5404" s="251"/>
    </row>
    <row r="5405" spans="1:15" ht="11.25" customHeight="1" x14ac:dyDescent="0.2">
      <c r="A5405" s="191">
        <v>2024</v>
      </c>
      <c r="B5405" s="191">
        <v>9</v>
      </c>
      <c r="C5405" s="191">
        <v>4</v>
      </c>
      <c r="D5405" s="192">
        <f t="shared" si="522"/>
        <v>45539</v>
      </c>
      <c r="E5405" s="291">
        <f t="shared" si="528"/>
        <v>45539</v>
      </c>
      <c r="F5405" s="514"/>
      <c r="G5405" s="194" t="s">
        <v>1209</v>
      </c>
      <c r="H5405" s="195"/>
      <c r="I5405" s="195"/>
      <c r="J5405" s="191" t="s">
        <v>46</v>
      </c>
      <c r="K5405" s="196"/>
      <c r="L5405" s="196">
        <v>58</v>
      </c>
      <c r="M5405" s="251"/>
      <c r="N5405" s="251"/>
      <c r="O5405" s="251"/>
    </row>
    <row r="5406" spans="1:15" ht="11.25" customHeight="1" x14ac:dyDescent="0.2">
      <c r="A5406" s="197">
        <v>2024</v>
      </c>
      <c r="B5406" s="197">
        <v>9</v>
      </c>
      <c r="C5406" s="197">
        <v>4</v>
      </c>
      <c r="D5406" s="198">
        <f t="shared" si="522"/>
        <v>45539</v>
      </c>
      <c r="E5406" s="209">
        <f t="shared" si="528"/>
        <v>45539</v>
      </c>
      <c r="F5406" s="513" t="s">
        <v>1280</v>
      </c>
      <c r="G5406" s="200" t="s">
        <v>1209</v>
      </c>
      <c r="H5406" s="201"/>
      <c r="I5406" s="201" t="s">
        <v>389</v>
      </c>
      <c r="J5406" s="197" t="s">
        <v>16</v>
      </c>
      <c r="K5406" s="202">
        <v>439210</v>
      </c>
      <c r="L5406" s="202"/>
    </row>
    <row r="5407" spans="1:15" ht="11.25" customHeight="1" x14ac:dyDescent="0.2">
      <c r="A5407" s="120">
        <v>2024</v>
      </c>
      <c r="B5407" s="120">
        <v>9</v>
      </c>
      <c r="C5407" s="120">
        <v>4</v>
      </c>
      <c r="D5407" s="208">
        <f t="shared" si="522"/>
        <v>45539</v>
      </c>
      <c r="E5407" s="209">
        <f t="shared" si="528"/>
        <v>45539</v>
      </c>
      <c r="F5407" s="515"/>
      <c r="G5407" s="132" t="s">
        <v>1209</v>
      </c>
      <c r="I5407" s="128" t="s">
        <v>389</v>
      </c>
      <c r="J5407" s="120" t="s">
        <v>47</v>
      </c>
      <c r="K5407" s="207">
        <v>60790</v>
      </c>
      <c r="L5407" s="207"/>
    </row>
    <row r="5408" spans="1:15" ht="11.25" customHeight="1" x14ac:dyDescent="0.2">
      <c r="A5408" s="191">
        <v>2024</v>
      </c>
      <c r="B5408" s="191">
        <v>9</v>
      </c>
      <c r="C5408" s="191">
        <v>4</v>
      </c>
      <c r="D5408" s="192">
        <f t="shared" si="522"/>
        <v>45539</v>
      </c>
      <c r="E5408" s="193">
        <f t="shared" si="528"/>
        <v>45539</v>
      </c>
      <c r="F5408" s="514"/>
      <c r="G5408" s="194" t="s">
        <v>1209</v>
      </c>
      <c r="H5408" s="195"/>
      <c r="I5408" s="195" t="s">
        <v>389</v>
      </c>
      <c r="J5408" s="191" t="s">
        <v>46</v>
      </c>
      <c r="K5408" s="196"/>
      <c r="L5408" s="196">
        <v>500000</v>
      </c>
    </row>
    <row r="5409" spans="1:15" ht="11.25" customHeight="1" x14ac:dyDescent="0.2">
      <c r="A5409" s="197">
        <v>2024</v>
      </c>
      <c r="B5409" s="197">
        <v>9</v>
      </c>
      <c r="C5409" s="197">
        <v>5</v>
      </c>
      <c r="D5409" s="198">
        <f t="shared" si="522"/>
        <v>45540</v>
      </c>
      <c r="E5409" s="209">
        <f t="shared" si="521"/>
        <v>45540</v>
      </c>
      <c r="F5409" s="513" t="s">
        <v>1296</v>
      </c>
      <c r="G5409" s="200" t="s">
        <v>1209</v>
      </c>
      <c r="H5409" s="201"/>
      <c r="I5409" s="201"/>
      <c r="J5409" s="197" t="s">
        <v>46</v>
      </c>
      <c r="K5409" s="202">
        <v>240000</v>
      </c>
      <c r="L5409" s="202"/>
    </row>
    <row r="5410" spans="1:15" ht="11.25" customHeight="1" x14ac:dyDescent="0.2">
      <c r="A5410" s="120">
        <v>2024</v>
      </c>
      <c r="B5410" s="120">
        <v>9</v>
      </c>
      <c r="C5410" s="120">
        <v>5</v>
      </c>
      <c r="D5410" s="208">
        <f t="shared" si="522"/>
        <v>45540</v>
      </c>
      <c r="E5410" s="209">
        <f t="shared" si="521"/>
        <v>45540</v>
      </c>
      <c r="F5410" s="515"/>
      <c r="G5410" s="132" t="s">
        <v>1209</v>
      </c>
      <c r="J5410" s="120" t="s">
        <v>16</v>
      </c>
      <c r="K5410" s="207"/>
      <c r="L5410" s="207">
        <v>210330</v>
      </c>
    </row>
    <row r="5411" spans="1:15" ht="11.25" customHeight="1" x14ac:dyDescent="0.2">
      <c r="A5411" s="191">
        <v>2024</v>
      </c>
      <c r="B5411" s="191">
        <v>9</v>
      </c>
      <c r="C5411" s="191">
        <v>5</v>
      </c>
      <c r="D5411" s="192">
        <f t="shared" si="522"/>
        <v>45540</v>
      </c>
      <c r="E5411" s="193">
        <f t="shared" si="521"/>
        <v>45540</v>
      </c>
      <c r="F5411" s="514"/>
      <c r="G5411" s="194" t="s">
        <v>1209</v>
      </c>
      <c r="H5411" s="195"/>
      <c r="I5411" s="195"/>
      <c r="J5411" s="191" t="s">
        <v>47</v>
      </c>
      <c r="K5411" s="196"/>
      <c r="L5411" s="196">
        <v>29670</v>
      </c>
    </row>
    <row r="5412" spans="1:15" ht="11.25" customHeight="1" x14ac:dyDescent="0.2">
      <c r="A5412" s="197">
        <v>2024</v>
      </c>
      <c r="B5412" s="197">
        <v>9</v>
      </c>
      <c r="C5412" s="197">
        <v>5</v>
      </c>
      <c r="D5412" s="198">
        <f t="shared" si="522"/>
        <v>45540</v>
      </c>
      <c r="E5412" s="209">
        <f t="shared" si="521"/>
        <v>45540</v>
      </c>
      <c r="F5412" s="513" t="s">
        <v>1280</v>
      </c>
      <c r="G5412" s="200" t="s">
        <v>1209</v>
      </c>
      <c r="H5412" s="201"/>
      <c r="I5412" s="201" t="s">
        <v>1505</v>
      </c>
      <c r="J5412" s="197" t="s">
        <v>16</v>
      </c>
      <c r="K5412" s="202">
        <v>4270650</v>
      </c>
      <c r="L5412" s="202"/>
    </row>
    <row r="5413" spans="1:15" ht="11.25" customHeight="1" x14ac:dyDescent="0.2">
      <c r="A5413" s="120">
        <v>2024</v>
      </c>
      <c r="B5413" s="120">
        <v>9</v>
      </c>
      <c r="C5413" s="120">
        <v>5</v>
      </c>
      <c r="D5413" s="208">
        <f t="shared" si="522"/>
        <v>45540</v>
      </c>
      <c r="E5413" s="209">
        <f t="shared" si="521"/>
        <v>45540</v>
      </c>
      <c r="F5413" s="515"/>
      <c r="G5413" s="132" t="s">
        <v>1209</v>
      </c>
      <c r="I5413" s="128" t="s">
        <v>1505</v>
      </c>
      <c r="J5413" s="120" t="s">
        <v>47</v>
      </c>
      <c r="K5413" s="207">
        <v>591057.96</v>
      </c>
      <c r="L5413" s="207"/>
    </row>
    <row r="5414" spans="1:15" ht="11.25" customHeight="1" x14ac:dyDescent="0.2">
      <c r="A5414" s="191">
        <v>2024</v>
      </c>
      <c r="B5414" s="191">
        <v>9</v>
      </c>
      <c r="C5414" s="191">
        <v>5</v>
      </c>
      <c r="D5414" s="192">
        <f t="shared" si="522"/>
        <v>45540</v>
      </c>
      <c r="E5414" s="193">
        <f t="shared" si="521"/>
        <v>45540</v>
      </c>
      <c r="F5414" s="514"/>
      <c r="G5414" s="194" t="s">
        <v>1209</v>
      </c>
      <c r="H5414" s="195"/>
      <c r="I5414" s="195" t="s">
        <v>1505</v>
      </c>
      <c r="J5414" s="191" t="s">
        <v>46</v>
      </c>
      <c r="K5414" s="196"/>
      <c r="L5414" s="196">
        <v>4861707.96</v>
      </c>
    </row>
    <row r="5415" spans="1:15" ht="11.25" customHeight="1" x14ac:dyDescent="0.2">
      <c r="A5415" s="197">
        <v>2024</v>
      </c>
      <c r="B5415" s="197">
        <v>9</v>
      </c>
      <c r="C5415" s="197">
        <v>5</v>
      </c>
      <c r="D5415" s="198">
        <f t="shared" si="522"/>
        <v>45540</v>
      </c>
      <c r="E5415" s="209">
        <f t="shared" ref="E5415:E5417" si="529">DATE(A5415,B5415,C5415)</f>
        <v>45540</v>
      </c>
      <c r="F5415" s="513" t="s">
        <v>1280</v>
      </c>
      <c r="G5415" s="200" t="s">
        <v>1209</v>
      </c>
      <c r="H5415" s="201"/>
      <c r="I5415" s="201" t="s">
        <v>1506</v>
      </c>
      <c r="J5415" s="197" t="s">
        <v>16</v>
      </c>
      <c r="K5415" s="202">
        <v>4739690</v>
      </c>
      <c r="L5415" s="202"/>
    </row>
    <row r="5416" spans="1:15" ht="11.25" customHeight="1" x14ac:dyDescent="0.2">
      <c r="A5416" s="120">
        <v>2024</v>
      </c>
      <c r="B5416" s="120">
        <v>9</v>
      </c>
      <c r="C5416" s="120">
        <v>5</v>
      </c>
      <c r="D5416" s="208">
        <f t="shared" si="522"/>
        <v>45540</v>
      </c>
      <c r="E5416" s="209">
        <f t="shared" si="529"/>
        <v>45540</v>
      </c>
      <c r="F5416" s="515"/>
      <c r="G5416" s="132" t="s">
        <v>1209</v>
      </c>
      <c r="I5416" s="128" t="s">
        <v>1506</v>
      </c>
      <c r="J5416" s="120" t="s">
        <v>47</v>
      </c>
      <c r="K5416" s="207">
        <v>655973.09999999963</v>
      </c>
      <c r="L5416" s="207"/>
    </row>
    <row r="5417" spans="1:15" ht="11.25" customHeight="1" x14ac:dyDescent="0.2">
      <c r="A5417" s="191">
        <v>2024</v>
      </c>
      <c r="B5417" s="191">
        <v>9</v>
      </c>
      <c r="C5417" s="191">
        <v>5</v>
      </c>
      <c r="D5417" s="192">
        <f t="shared" si="522"/>
        <v>45540</v>
      </c>
      <c r="E5417" s="193">
        <f t="shared" si="529"/>
        <v>45540</v>
      </c>
      <c r="F5417" s="514"/>
      <c r="G5417" s="194" t="s">
        <v>1209</v>
      </c>
      <c r="H5417" s="195"/>
      <c r="I5417" s="195" t="s">
        <v>1506</v>
      </c>
      <c r="J5417" s="191" t="s">
        <v>46</v>
      </c>
      <c r="K5417" s="196"/>
      <c r="L5417" s="196">
        <v>5395663.0999999996</v>
      </c>
    </row>
    <row r="5418" spans="1:15" ht="11.25" customHeight="1" x14ac:dyDescent="0.2">
      <c r="A5418" s="197">
        <v>2024</v>
      </c>
      <c r="B5418" s="197">
        <v>9</v>
      </c>
      <c r="C5418" s="197">
        <v>5</v>
      </c>
      <c r="D5418" s="198">
        <f t="shared" si="522"/>
        <v>45540</v>
      </c>
      <c r="E5418" s="209">
        <f t="shared" ref="E5418:E5438" si="530">DATE(A5418,B5418,C5418)</f>
        <v>45540</v>
      </c>
      <c r="F5418" s="513" t="s">
        <v>1280</v>
      </c>
      <c r="G5418" s="200" t="s">
        <v>1209</v>
      </c>
      <c r="H5418" s="201"/>
      <c r="I5418" s="201" t="s">
        <v>1352</v>
      </c>
      <c r="J5418" s="197" t="s">
        <v>16</v>
      </c>
      <c r="K5418" s="202">
        <v>313850</v>
      </c>
      <c r="L5418" s="202"/>
    </row>
    <row r="5419" spans="1:15" ht="11.25" customHeight="1" x14ac:dyDescent="0.2">
      <c r="A5419" s="120">
        <v>2024</v>
      </c>
      <c r="B5419" s="120">
        <v>9</v>
      </c>
      <c r="C5419" s="120">
        <v>5</v>
      </c>
      <c r="D5419" s="208">
        <f t="shared" si="522"/>
        <v>45540</v>
      </c>
      <c r="E5419" s="209">
        <f t="shared" si="530"/>
        <v>45540</v>
      </c>
      <c r="F5419" s="515"/>
      <c r="G5419" s="132" t="s">
        <v>1209</v>
      </c>
      <c r="I5419" s="128" t="s">
        <v>1352</v>
      </c>
      <c r="J5419" s="120" t="s">
        <v>47</v>
      </c>
      <c r="K5419" s="207">
        <v>43436.840000000026</v>
      </c>
      <c r="L5419" s="207"/>
    </row>
    <row r="5420" spans="1:15" ht="11.25" customHeight="1" x14ac:dyDescent="0.2">
      <c r="A5420" s="191">
        <v>2024</v>
      </c>
      <c r="B5420" s="191">
        <v>9</v>
      </c>
      <c r="C5420" s="191">
        <v>5</v>
      </c>
      <c r="D5420" s="192">
        <f t="shared" ref="D5420:D5483" si="531">DATE(A5420,B5420,C5420)</f>
        <v>45540</v>
      </c>
      <c r="E5420" s="193">
        <f t="shared" si="530"/>
        <v>45540</v>
      </c>
      <c r="F5420" s="514"/>
      <c r="G5420" s="194" t="s">
        <v>1209</v>
      </c>
      <c r="H5420" s="195"/>
      <c r="I5420" s="195" t="s">
        <v>1352</v>
      </c>
      <c r="J5420" s="191" t="s">
        <v>46</v>
      </c>
      <c r="K5420" s="196"/>
      <c r="L5420" s="196">
        <v>357286.84</v>
      </c>
    </row>
    <row r="5421" spans="1:15" ht="11.25" customHeight="1" x14ac:dyDescent="0.2">
      <c r="A5421" s="197">
        <v>2024</v>
      </c>
      <c r="B5421" s="197">
        <v>9</v>
      </c>
      <c r="C5421" s="197">
        <v>5</v>
      </c>
      <c r="D5421" s="198">
        <f t="shared" si="531"/>
        <v>45540</v>
      </c>
      <c r="E5421" s="209">
        <f t="shared" si="530"/>
        <v>45540</v>
      </c>
      <c r="F5421" s="513" t="s">
        <v>1210</v>
      </c>
      <c r="G5421" s="200" t="s">
        <v>1209</v>
      </c>
      <c r="H5421" s="201"/>
      <c r="I5421" s="201" t="s">
        <v>1803</v>
      </c>
      <c r="J5421" s="197" t="s">
        <v>46</v>
      </c>
      <c r="K5421" s="202">
        <v>2000000</v>
      </c>
      <c r="L5421" s="202"/>
    </row>
    <row r="5422" spans="1:15" ht="11.25" customHeight="1" x14ac:dyDescent="0.2">
      <c r="A5422" s="120">
        <v>2024</v>
      </c>
      <c r="B5422" s="120">
        <v>9</v>
      </c>
      <c r="C5422" s="120">
        <v>5</v>
      </c>
      <c r="D5422" s="208">
        <f t="shared" si="531"/>
        <v>45540</v>
      </c>
      <c r="E5422" s="209">
        <f t="shared" si="530"/>
        <v>45540</v>
      </c>
      <c r="F5422" s="515"/>
      <c r="G5422" s="132" t="s">
        <v>1209</v>
      </c>
      <c r="I5422" s="128" t="s">
        <v>1803</v>
      </c>
      <c r="J5422" s="120" t="s">
        <v>16</v>
      </c>
      <c r="K5422" s="207"/>
      <c r="L5422" s="207">
        <v>1756850</v>
      </c>
    </row>
    <row r="5423" spans="1:15" ht="11.25" customHeight="1" x14ac:dyDescent="0.2">
      <c r="A5423" s="191">
        <v>2024</v>
      </c>
      <c r="B5423" s="191">
        <v>9</v>
      </c>
      <c r="C5423" s="191">
        <v>5</v>
      </c>
      <c r="D5423" s="192">
        <f t="shared" si="531"/>
        <v>45540</v>
      </c>
      <c r="E5423" s="193">
        <f t="shared" si="530"/>
        <v>45540</v>
      </c>
      <c r="F5423" s="514"/>
      <c r="G5423" s="194" t="s">
        <v>1209</v>
      </c>
      <c r="H5423" s="195"/>
      <c r="I5423" s="195" t="s">
        <v>1803</v>
      </c>
      <c r="J5423" s="191" t="s">
        <v>47</v>
      </c>
      <c r="K5423" s="196"/>
      <c r="L5423" s="196">
        <v>243150</v>
      </c>
    </row>
    <row r="5424" spans="1:15" ht="11.25" customHeight="1" x14ac:dyDescent="0.2">
      <c r="A5424" s="197">
        <v>2024</v>
      </c>
      <c r="B5424" s="197">
        <v>9</v>
      </c>
      <c r="C5424" s="197">
        <v>5</v>
      </c>
      <c r="D5424" s="198">
        <f t="shared" si="531"/>
        <v>45540</v>
      </c>
      <c r="E5424" s="290">
        <f t="shared" si="530"/>
        <v>45540</v>
      </c>
      <c r="F5424" s="513" t="s">
        <v>1514</v>
      </c>
      <c r="G5424" s="200" t="s">
        <v>1209</v>
      </c>
      <c r="H5424" s="201"/>
      <c r="I5424" s="201"/>
      <c r="J5424" s="197" t="s">
        <v>54</v>
      </c>
      <c r="K5424" s="202">
        <v>58</v>
      </c>
      <c r="L5424" s="202"/>
      <c r="M5424" s="251"/>
      <c r="N5424" s="251"/>
      <c r="O5424" s="251"/>
    </row>
    <row r="5425" spans="1:15" ht="11.25" customHeight="1" x14ac:dyDescent="0.2">
      <c r="A5425" s="191">
        <v>2024</v>
      </c>
      <c r="B5425" s="191">
        <v>9</v>
      </c>
      <c r="C5425" s="191">
        <v>5</v>
      </c>
      <c r="D5425" s="192">
        <f t="shared" si="531"/>
        <v>45540</v>
      </c>
      <c r="E5425" s="291">
        <f t="shared" si="530"/>
        <v>45540</v>
      </c>
      <c r="F5425" s="514"/>
      <c r="G5425" s="194" t="s">
        <v>1209</v>
      </c>
      <c r="H5425" s="195"/>
      <c r="I5425" s="195"/>
      <c r="J5425" s="191" t="s">
        <v>46</v>
      </c>
      <c r="K5425" s="196"/>
      <c r="L5425" s="196">
        <v>58</v>
      </c>
      <c r="M5425" s="251"/>
      <c r="N5425" s="251"/>
      <c r="O5425" s="251"/>
    </row>
    <row r="5426" spans="1:15" ht="11.25" customHeight="1" x14ac:dyDescent="0.2">
      <c r="A5426" s="197">
        <v>2024</v>
      </c>
      <c r="B5426" s="197">
        <v>9</v>
      </c>
      <c r="C5426" s="197">
        <v>5</v>
      </c>
      <c r="D5426" s="198">
        <f t="shared" si="531"/>
        <v>45540</v>
      </c>
      <c r="E5426" s="199">
        <f t="shared" si="530"/>
        <v>45540</v>
      </c>
      <c r="F5426" s="513" t="s">
        <v>1884</v>
      </c>
      <c r="G5426" s="200" t="s">
        <v>1209</v>
      </c>
      <c r="H5426" s="201"/>
      <c r="I5426" s="201" t="s">
        <v>1253</v>
      </c>
      <c r="J5426" s="197" t="s">
        <v>76</v>
      </c>
      <c r="K5426" s="202">
        <v>10000000</v>
      </c>
      <c r="L5426" s="202"/>
    </row>
    <row r="5427" spans="1:15" ht="11.25" customHeight="1" x14ac:dyDescent="0.2">
      <c r="A5427" s="191">
        <v>2024</v>
      </c>
      <c r="B5427" s="191">
        <v>9</v>
      </c>
      <c r="C5427" s="191">
        <v>5</v>
      </c>
      <c r="D5427" s="192">
        <f t="shared" si="531"/>
        <v>45540</v>
      </c>
      <c r="E5427" s="193">
        <f t="shared" si="530"/>
        <v>45540</v>
      </c>
      <c r="F5427" s="514"/>
      <c r="G5427" s="194" t="s">
        <v>1209</v>
      </c>
      <c r="H5427" s="195"/>
      <c r="I5427" s="195" t="s">
        <v>1253</v>
      </c>
      <c r="J5427" s="191" t="s">
        <v>76</v>
      </c>
      <c r="K5427" s="196"/>
      <c r="L5427" s="196">
        <v>10000000</v>
      </c>
    </row>
    <row r="5428" spans="1:15" ht="11.25" customHeight="1" x14ac:dyDescent="0.2">
      <c r="A5428" s="197">
        <v>2024</v>
      </c>
      <c r="B5428" s="197">
        <v>9</v>
      </c>
      <c r="C5428" s="197">
        <v>5</v>
      </c>
      <c r="D5428" s="198">
        <f t="shared" si="531"/>
        <v>45540</v>
      </c>
      <c r="E5428" s="290">
        <f t="shared" si="530"/>
        <v>45540</v>
      </c>
      <c r="F5428" s="513" t="s">
        <v>1862</v>
      </c>
      <c r="G5428" s="200" t="s">
        <v>1245</v>
      </c>
      <c r="H5428" s="201"/>
      <c r="I5428" s="201" t="s">
        <v>1253</v>
      </c>
      <c r="J5428" s="197" t="s">
        <v>46</v>
      </c>
      <c r="K5428" s="202">
        <v>300000</v>
      </c>
      <c r="L5428" s="202"/>
    </row>
    <row r="5429" spans="1:15" ht="11.25" customHeight="1" x14ac:dyDescent="0.2">
      <c r="A5429" s="191">
        <v>2024</v>
      </c>
      <c r="B5429" s="191">
        <v>9</v>
      </c>
      <c r="C5429" s="191">
        <v>5</v>
      </c>
      <c r="D5429" s="192">
        <f t="shared" si="531"/>
        <v>45540</v>
      </c>
      <c r="E5429" s="291">
        <f t="shared" si="530"/>
        <v>45540</v>
      </c>
      <c r="F5429" s="514"/>
      <c r="G5429" s="194" t="s">
        <v>1245</v>
      </c>
      <c r="H5429" s="195"/>
      <c r="I5429" s="195" t="s">
        <v>1253</v>
      </c>
      <c r="J5429" s="191" t="s">
        <v>113</v>
      </c>
      <c r="K5429" s="196"/>
      <c r="L5429" s="196">
        <v>300000</v>
      </c>
    </row>
    <row r="5430" spans="1:15" ht="11.25" customHeight="1" x14ac:dyDescent="0.2">
      <c r="A5430" s="197">
        <v>2024</v>
      </c>
      <c r="B5430" s="197">
        <v>9</v>
      </c>
      <c r="C5430" s="197">
        <v>5</v>
      </c>
      <c r="D5430" s="198">
        <f t="shared" si="531"/>
        <v>45540</v>
      </c>
      <c r="E5430" s="290">
        <f t="shared" ref="E5430:E5431" si="532">DATE(A5430,B5430,C5430)</f>
        <v>45540</v>
      </c>
      <c r="F5430" s="513" t="s">
        <v>1514</v>
      </c>
      <c r="G5430" s="200" t="s">
        <v>1209</v>
      </c>
      <c r="H5430" s="201"/>
      <c r="I5430" s="201"/>
      <c r="J5430" s="197" t="s">
        <v>54</v>
      </c>
      <c r="K5430" s="202">
        <v>60</v>
      </c>
      <c r="L5430" s="202"/>
      <c r="M5430" s="251"/>
      <c r="N5430" s="251"/>
      <c r="O5430" s="251"/>
    </row>
    <row r="5431" spans="1:15" ht="11.25" customHeight="1" x14ac:dyDescent="0.2">
      <c r="A5431" s="191">
        <v>2024</v>
      </c>
      <c r="B5431" s="191">
        <v>9</v>
      </c>
      <c r="C5431" s="191">
        <v>5</v>
      </c>
      <c r="D5431" s="192">
        <f t="shared" si="531"/>
        <v>45540</v>
      </c>
      <c r="E5431" s="291">
        <f t="shared" si="532"/>
        <v>45540</v>
      </c>
      <c r="F5431" s="514"/>
      <c r="G5431" s="194" t="s">
        <v>1209</v>
      </c>
      <c r="H5431" s="195"/>
      <c r="I5431" s="195"/>
      <c r="J5431" s="191" t="s">
        <v>46</v>
      </c>
      <c r="K5431" s="196"/>
      <c r="L5431" s="196">
        <v>60</v>
      </c>
      <c r="M5431" s="251"/>
      <c r="N5431" s="251"/>
      <c r="O5431" s="251"/>
    </row>
    <row r="5432" spans="1:15" ht="11.25" customHeight="1" x14ac:dyDescent="0.2">
      <c r="A5432" s="382">
        <v>2024</v>
      </c>
      <c r="B5432" s="382">
        <v>9</v>
      </c>
      <c r="C5432" s="382">
        <v>5</v>
      </c>
      <c r="D5432" s="383">
        <f t="shared" si="531"/>
        <v>45540</v>
      </c>
      <c r="E5432" s="384">
        <f t="shared" si="530"/>
        <v>45540</v>
      </c>
      <c r="F5432" s="516" t="s">
        <v>1850</v>
      </c>
      <c r="G5432" s="385" t="s">
        <v>1209</v>
      </c>
      <c r="H5432" s="386"/>
      <c r="I5432" s="386"/>
      <c r="J5432" s="387" t="s">
        <v>81</v>
      </c>
      <c r="K5432" s="388">
        <v>6973.2450980392159</v>
      </c>
      <c r="L5432" s="388"/>
    </row>
    <row r="5433" spans="1:15" ht="11.25" customHeight="1" x14ac:dyDescent="0.2">
      <c r="A5433" s="389">
        <v>2024</v>
      </c>
      <c r="B5433" s="389">
        <v>9</v>
      </c>
      <c r="C5433" s="389">
        <v>5</v>
      </c>
      <c r="D5433" s="390">
        <f t="shared" si="531"/>
        <v>45540</v>
      </c>
      <c r="E5433" s="391">
        <f t="shared" si="530"/>
        <v>45540</v>
      </c>
      <c r="F5433" s="517"/>
      <c r="G5433" s="392" t="s">
        <v>1209</v>
      </c>
      <c r="H5433" s="393"/>
      <c r="I5433" s="393"/>
      <c r="J5433" s="394" t="s">
        <v>1847</v>
      </c>
      <c r="K5433" s="388"/>
      <c r="L5433" s="388">
        <v>6973.2450980392159</v>
      </c>
    </row>
    <row r="5434" spans="1:15" ht="11.25" customHeight="1" x14ac:dyDescent="0.2">
      <c r="A5434" s="344">
        <v>2024</v>
      </c>
      <c r="B5434" s="344">
        <v>9</v>
      </c>
      <c r="C5434" s="344">
        <v>5</v>
      </c>
      <c r="D5434" s="345">
        <f t="shared" si="531"/>
        <v>45540</v>
      </c>
      <c r="E5434" s="346">
        <f t="shared" si="530"/>
        <v>45540</v>
      </c>
      <c r="F5434" s="518" t="s">
        <v>1621</v>
      </c>
      <c r="G5434" s="347" t="s">
        <v>1245</v>
      </c>
      <c r="H5434" s="348"/>
      <c r="I5434" s="348" t="s">
        <v>1253</v>
      </c>
      <c r="J5434" s="344" t="s">
        <v>113</v>
      </c>
      <c r="K5434" s="349">
        <v>234615.38</v>
      </c>
      <c r="L5434" s="349"/>
    </row>
    <row r="5435" spans="1:15" ht="11.25" customHeight="1" x14ac:dyDescent="0.2">
      <c r="A5435" s="350">
        <v>2024</v>
      </c>
      <c r="B5435" s="350">
        <v>9</v>
      </c>
      <c r="C5435" s="350">
        <v>5</v>
      </c>
      <c r="D5435" s="351">
        <f t="shared" si="531"/>
        <v>45540</v>
      </c>
      <c r="E5435" s="352">
        <f t="shared" si="530"/>
        <v>45540</v>
      </c>
      <c r="F5435" s="519"/>
      <c r="G5435" s="353" t="s">
        <v>1245</v>
      </c>
      <c r="H5435" s="354"/>
      <c r="I5435" s="354" t="s">
        <v>1253</v>
      </c>
      <c r="J5435" s="350" t="s">
        <v>153</v>
      </c>
      <c r="K5435" s="355"/>
      <c r="L5435" s="355">
        <f>K5434</f>
        <v>234615.38</v>
      </c>
    </row>
    <row r="5436" spans="1:15" ht="11.25" customHeight="1" x14ac:dyDescent="0.2">
      <c r="A5436" s="210">
        <v>2024</v>
      </c>
      <c r="B5436" s="210">
        <v>9</v>
      </c>
      <c r="C5436" s="210">
        <v>5</v>
      </c>
      <c r="D5436" s="211">
        <f t="shared" si="531"/>
        <v>45540</v>
      </c>
      <c r="E5436" s="238">
        <f t="shared" si="530"/>
        <v>45540</v>
      </c>
      <c r="F5436" s="520" t="s">
        <v>1278</v>
      </c>
      <c r="G5436" s="213" t="s">
        <v>1245</v>
      </c>
      <c r="H5436" s="214"/>
      <c r="I5436" s="214" t="s">
        <v>1253</v>
      </c>
      <c r="J5436" s="210" t="s">
        <v>1529</v>
      </c>
      <c r="K5436" s="215">
        <v>510.40384615384613</v>
      </c>
      <c r="L5436" s="215"/>
    </row>
    <row r="5437" spans="1:15" ht="11.25" customHeight="1" x14ac:dyDescent="0.2">
      <c r="A5437" s="216">
        <v>2024</v>
      </c>
      <c r="B5437" s="216">
        <v>9</v>
      </c>
      <c r="C5437" s="216">
        <v>5</v>
      </c>
      <c r="D5437" s="217">
        <f t="shared" si="531"/>
        <v>45540</v>
      </c>
      <c r="E5437" s="239">
        <f t="shared" si="530"/>
        <v>45540</v>
      </c>
      <c r="F5437" s="521"/>
      <c r="G5437" s="219" t="s">
        <v>1245</v>
      </c>
      <c r="H5437" s="220"/>
      <c r="I5437" s="220" t="s">
        <v>1253</v>
      </c>
      <c r="J5437" s="216" t="s">
        <v>1581</v>
      </c>
      <c r="K5437" s="221"/>
      <c r="L5437" s="221">
        <v>510.40384615384613</v>
      </c>
    </row>
    <row r="5438" spans="1:15" ht="11.25" customHeight="1" x14ac:dyDescent="0.2">
      <c r="A5438" s="210">
        <v>2024</v>
      </c>
      <c r="B5438" s="210">
        <v>9</v>
      </c>
      <c r="C5438" s="210">
        <v>5</v>
      </c>
      <c r="D5438" s="211">
        <f t="shared" si="531"/>
        <v>45540</v>
      </c>
      <c r="E5438" s="238">
        <f t="shared" si="530"/>
        <v>45540</v>
      </c>
      <c r="F5438" s="520" t="s">
        <v>1857</v>
      </c>
      <c r="G5438" s="213" t="s">
        <v>1245</v>
      </c>
      <c r="H5438" s="214"/>
      <c r="I5438" s="214" t="s">
        <v>1253</v>
      </c>
      <c r="J5438" s="210" t="s">
        <v>1284</v>
      </c>
      <c r="K5438" s="215">
        <v>8903.4309440559427</v>
      </c>
      <c r="L5438" s="215"/>
    </row>
    <row r="5439" spans="1:15" ht="11.25" customHeight="1" x14ac:dyDescent="0.2">
      <c r="A5439" s="242">
        <v>2024</v>
      </c>
      <c r="B5439" s="242">
        <v>9</v>
      </c>
      <c r="C5439" s="242">
        <v>5</v>
      </c>
      <c r="D5439" s="243">
        <f t="shared" si="531"/>
        <v>45540</v>
      </c>
      <c r="E5439" s="244">
        <f>DATE(A5439,B5439,C5439)</f>
        <v>45540</v>
      </c>
      <c r="F5439" s="524"/>
      <c r="G5439" s="245" t="s">
        <v>1245</v>
      </c>
      <c r="H5439" s="246"/>
      <c r="I5439" s="246"/>
      <c r="J5439" s="242" t="s">
        <v>1582</v>
      </c>
      <c r="K5439" s="247"/>
      <c r="L5439" s="247">
        <v>8903.4309440559427</v>
      </c>
    </row>
    <row r="5440" spans="1:15" ht="11.25" customHeight="1" x14ac:dyDescent="0.2">
      <c r="A5440" s="210">
        <v>2024</v>
      </c>
      <c r="B5440" s="210">
        <v>9</v>
      </c>
      <c r="C5440" s="210">
        <v>5</v>
      </c>
      <c r="D5440" s="211">
        <f t="shared" si="531"/>
        <v>45540</v>
      </c>
      <c r="E5440" s="238">
        <f t="shared" ref="E5440:E5480" si="533">DATE(A5440,B5440,C5440)</f>
        <v>45540</v>
      </c>
      <c r="F5440" s="520" t="s">
        <v>1259</v>
      </c>
      <c r="G5440" s="213" t="s">
        <v>1245</v>
      </c>
      <c r="H5440" s="214"/>
      <c r="I5440" s="214" t="s">
        <v>1253</v>
      </c>
      <c r="J5440" s="210" t="s">
        <v>58</v>
      </c>
      <c r="K5440" s="215">
        <v>9735.91</v>
      </c>
      <c r="L5440" s="215"/>
    </row>
    <row r="5441" spans="1:13" ht="11.25" customHeight="1" x14ac:dyDescent="0.2">
      <c r="A5441" s="216">
        <v>2024</v>
      </c>
      <c r="B5441" s="216">
        <v>9</v>
      </c>
      <c r="C5441" s="216">
        <v>5</v>
      </c>
      <c r="D5441" s="217">
        <f t="shared" si="531"/>
        <v>45540</v>
      </c>
      <c r="E5441" s="239">
        <f t="shared" si="533"/>
        <v>45540</v>
      </c>
      <c r="F5441" s="521"/>
      <c r="G5441" s="219" t="s">
        <v>1245</v>
      </c>
      <c r="H5441" s="220"/>
      <c r="I5441" s="220" t="s">
        <v>1253</v>
      </c>
      <c r="J5441" s="216" t="s">
        <v>153</v>
      </c>
      <c r="K5441" s="221"/>
      <c r="L5441" s="221">
        <f>K5440</f>
        <v>9735.91</v>
      </c>
    </row>
    <row r="5442" spans="1:13" ht="11.25" customHeight="1" x14ac:dyDescent="0.2">
      <c r="A5442" s="312">
        <v>2024</v>
      </c>
      <c r="B5442" s="312">
        <v>9</v>
      </c>
      <c r="C5442" s="312">
        <v>5</v>
      </c>
      <c r="D5442" s="313">
        <f t="shared" si="531"/>
        <v>45540</v>
      </c>
      <c r="E5442" s="314">
        <f t="shared" si="533"/>
        <v>45540</v>
      </c>
      <c r="F5442" s="522" t="s">
        <v>1477</v>
      </c>
      <c r="G5442" s="315" t="s">
        <v>1245</v>
      </c>
      <c r="H5442" s="316"/>
      <c r="I5442" s="316" t="s">
        <v>1253</v>
      </c>
      <c r="J5442" s="312" t="s">
        <v>1458</v>
      </c>
      <c r="K5442" s="317">
        <v>507149.40000000596</v>
      </c>
      <c r="L5442" s="317"/>
    </row>
    <row r="5443" spans="1:13" ht="11.25" customHeight="1" x14ac:dyDescent="0.2">
      <c r="A5443" s="318">
        <v>2024</v>
      </c>
      <c r="B5443" s="318">
        <v>9</v>
      </c>
      <c r="C5443" s="318">
        <v>5</v>
      </c>
      <c r="D5443" s="319">
        <f t="shared" si="531"/>
        <v>45540</v>
      </c>
      <c r="E5443" s="320">
        <f t="shared" si="533"/>
        <v>45540</v>
      </c>
      <c r="F5443" s="523"/>
      <c r="G5443" s="321" t="s">
        <v>1245</v>
      </c>
      <c r="H5443" s="322"/>
      <c r="I5443" s="322" t="s">
        <v>1253</v>
      </c>
      <c r="J5443" s="318" t="s">
        <v>1460</v>
      </c>
      <c r="K5443" s="323"/>
      <c r="L5443" s="323">
        <v>507149.40000000596</v>
      </c>
    </row>
    <row r="5444" spans="1:13" ht="11.25" customHeight="1" x14ac:dyDescent="0.2">
      <c r="A5444" s="312">
        <v>2024</v>
      </c>
      <c r="B5444" s="312">
        <v>9</v>
      </c>
      <c r="C5444" s="312">
        <v>5</v>
      </c>
      <c r="D5444" s="313">
        <f t="shared" si="531"/>
        <v>45540</v>
      </c>
      <c r="E5444" s="314">
        <f t="shared" si="533"/>
        <v>45540</v>
      </c>
      <c r="F5444" s="522" t="s">
        <v>1595</v>
      </c>
      <c r="G5444" s="315" t="s">
        <v>1245</v>
      </c>
      <c r="H5444" s="316"/>
      <c r="I5444" s="316" t="s">
        <v>1253</v>
      </c>
      <c r="J5444" s="312" t="s">
        <v>1461</v>
      </c>
      <c r="K5444" s="317">
        <v>426072.89800003171</v>
      </c>
      <c r="L5444" s="317"/>
    </row>
    <row r="5445" spans="1:13" ht="11.25" customHeight="1" x14ac:dyDescent="0.2">
      <c r="A5445" s="318">
        <v>2024</v>
      </c>
      <c r="B5445" s="318">
        <v>9</v>
      </c>
      <c r="C5445" s="318">
        <v>5</v>
      </c>
      <c r="D5445" s="319">
        <f t="shared" si="531"/>
        <v>45540</v>
      </c>
      <c r="E5445" s="320">
        <f t="shared" si="533"/>
        <v>45540</v>
      </c>
      <c r="F5445" s="523"/>
      <c r="G5445" s="321" t="s">
        <v>1245</v>
      </c>
      <c r="H5445" s="322"/>
      <c r="I5445" s="322" t="s">
        <v>1253</v>
      </c>
      <c r="J5445" s="318" t="s">
        <v>1459</v>
      </c>
      <c r="K5445" s="323"/>
      <c r="L5445" s="323">
        <v>426072.89800003171</v>
      </c>
    </row>
    <row r="5446" spans="1:13" ht="11.25" customHeight="1" x14ac:dyDescent="0.2">
      <c r="A5446" s="222">
        <v>2024</v>
      </c>
      <c r="B5446" s="222">
        <v>9</v>
      </c>
      <c r="C5446" s="222">
        <v>5</v>
      </c>
      <c r="D5446" s="223">
        <f t="shared" si="531"/>
        <v>45540</v>
      </c>
      <c r="E5446" s="240">
        <f t="shared" si="533"/>
        <v>45540</v>
      </c>
      <c r="F5446" s="511" t="s">
        <v>1244</v>
      </c>
      <c r="G5446" s="225" t="s">
        <v>1245</v>
      </c>
      <c r="H5446" s="226"/>
      <c r="I5446" s="226" t="s">
        <v>1253</v>
      </c>
      <c r="J5446" s="222" t="s">
        <v>87</v>
      </c>
      <c r="K5446" s="227">
        <v>5230</v>
      </c>
      <c r="L5446" s="227"/>
    </row>
    <row r="5447" spans="1:13" ht="11.25" customHeight="1" x14ac:dyDescent="0.2">
      <c r="A5447" s="228">
        <v>2024</v>
      </c>
      <c r="B5447" s="228">
        <v>9</v>
      </c>
      <c r="C5447" s="228">
        <v>5</v>
      </c>
      <c r="D5447" s="229">
        <f t="shared" si="531"/>
        <v>45540</v>
      </c>
      <c r="E5447" s="241">
        <f t="shared" si="533"/>
        <v>45540</v>
      </c>
      <c r="F5447" s="512"/>
      <c r="G5447" s="231" t="s">
        <v>1245</v>
      </c>
      <c r="H5447" s="232"/>
      <c r="I5447" s="232" t="s">
        <v>1253</v>
      </c>
      <c r="J5447" s="228" t="s">
        <v>72</v>
      </c>
      <c r="K5447" s="233"/>
      <c r="L5447" s="233">
        <f>K5446</f>
        <v>5230</v>
      </c>
    </row>
    <row r="5448" spans="1:13" ht="11.25" customHeight="1" x14ac:dyDescent="0.2">
      <c r="A5448" s="222">
        <v>2024</v>
      </c>
      <c r="B5448" s="222">
        <v>9</v>
      </c>
      <c r="C5448" s="222">
        <v>5</v>
      </c>
      <c r="D5448" s="223">
        <f t="shared" si="531"/>
        <v>45540</v>
      </c>
      <c r="E5448" s="240">
        <f t="shared" si="533"/>
        <v>45540</v>
      </c>
      <c r="F5448" s="511" t="s">
        <v>1246</v>
      </c>
      <c r="G5448" s="225" t="s">
        <v>1245</v>
      </c>
      <c r="H5448" s="226"/>
      <c r="I5448" s="226" t="s">
        <v>1253</v>
      </c>
      <c r="J5448" s="222" t="s">
        <v>75</v>
      </c>
      <c r="K5448" s="227">
        <v>3623.123846153846</v>
      </c>
      <c r="L5448" s="227"/>
    </row>
    <row r="5449" spans="1:13" ht="11.25" customHeight="1" x14ac:dyDescent="0.2">
      <c r="A5449" s="228">
        <v>2024</v>
      </c>
      <c r="B5449" s="228">
        <v>9</v>
      </c>
      <c r="C5449" s="228">
        <v>5</v>
      </c>
      <c r="D5449" s="229">
        <f t="shared" si="531"/>
        <v>45540</v>
      </c>
      <c r="E5449" s="241">
        <f t="shared" si="533"/>
        <v>45540</v>
      </c>
      <c r="F5449" s="512"/>
      <c r="G5449" s="231" t="s">
        <v>1245</v>
      </c>
      <c r="H5449" s="232"/>
      <c r="I5449" s="232" t="s">
        <v>1253</v>
      </c>
      <c r="J5449" s="228" t="s">
        <v>55</v>
      </c>
      <c r="K5449" s="233"/>
      <c r="L5449" s="233">
        <v>3623.123846153846</v>
      </c>
    </row>
    <row r="5450" spans="1:13" ht="11.25" customHeight="1" x14ac:dyDescent="0.2">
      <c r="A5450" s="222">
        <v>2024</v>
      </c>
      <c r="B5450" s="222">
        <v>9</v>
      </c>
      <c r="C5450" s="222">
        <v>5</v>
      </c>
      <c r="D5450" s="223">
        <f t="shared" si="531"/>
        <v>45540</v>
      </c>
      <c r="E5450" s="240">
        <f t="shared" si="533"/>
        <v>45540</v>
      </c>
      <c r="F5450" s="511" t="s">
        <v>1247</v>
      </c>
      <c r="G5450" s="225" t="s">
        <v>1245</v>
      </c>
      <c r="H5450" s="226"/>
      <c r="I5450" s="226" t="s">
        <v>1253</v>
      </c>
      <c r="J5450" s="222" t="s">
        <v>77</v>
      </c>
      <c r="K5450" s="227">
        <f>M5450</f>
        <v>35760.386250660333</v>
      </c>
      <c r="L5450" s="227"/>
      <c r="M5450" s="120">
        <v>35760.386250660333</v>
      </c>
    </row>
    <row r="5451" spans="1:13" ht="11.25" customHeight="1" x14ac:dyDescent="0.2">
      <c r="A5451" s="228">
        <v>2024</v>
      </c>
      <c r="B5451" s="228">
        <v>9</v>
      </c>
      <c r="C5451" s="228">
        <v>5</v>
      </c>
      <c r="D5451" s="229">
        <f t="shared" si="531"/>
        <v>45540</v>
      </c>
      <c r="E5451" s="241">
        <f t="shared" si="533"/>
        <v>45540</v>
      </c>
      <c r="F5451" s="512"/>
      <c r="G5451" s="231" t="s">
        <v>1245</v>
      </c>
      <c r="H5451" s="232"/>
      <c r="I5451" s="232" t="s">
        <v>1253</v>
      </c>
      <c r="J5451" s="228" t="s">
        <v>41</v>
      </c>
      <c r="K5451" s="233"/>
      <c r="L5451" s="233">
        <f>K5450</f>
        <v>35760.386250660333</v>
      </c>
      <c r="M5451" s="120">
        <v>3576.0386250660326</v>
      </c>
    </row>
    <row r="5452" spans="1:13" ht="11.25" customHeight="1" x14ac:dyDescent="0.2">
      <c r="A5452" s="222">
        <v>2024</v>
      </c>
      <c r="B5452" s="222">
        <v>9</v>
      </c>
      <c r="C5452" s="222">
        <v>5</v>
      </c>
      <c r="D5452" s="223">
        <f t="shared" si="531"/>
        <v>45540</v>
      </c>
      <c r="E5452" s="240">
        <f t="shared" si="533"/>
        <v>45540</v>
      </c>
      <c r="F5452" s="511" t="s">
        <v>1248</v>
      </c>
      <c r="G5452" s="225" t="s">
        <v>1245</v>
      </c>
      <c r="H5452" s="226"/>
      <c r="I5452" s="226" t="s">
        <v>1253</v>
      </c>
      <c r="J5452" s="222" t="s">
        <v>80</v>
      </c>
      <c r="K5452" s="227">
        <f>M5451</f>
        <v>3576.0386250660326</v>
      </c>
      <c r="L5452" s="227"/>
    </row>
    <row r="5453" spans="1:13" x14ac:dyDescent="0.2">
      <c r="A5453" s="228">
        <v>2024</v>
      </c>
      <c r="B5453" s="228">
        <v>9</v>
      </c>
      <c r="C5453" s="228">
        <v>5</v>
      </c>
      <c r="D5453" s="229">
        <f t="shared" si="531"/>
        <v>45540</v>
      </c>
      <c r="E5453" s="241">
        <f t="shared" si="533"/>
        <v>45540</v>
      </c>
      <c r="F5453" s="512"/>
      <c r="G5453" s="231" t="s">
        <v>1245</v>
      </c>
      <c r="H5453" s="232"/>
      <c r="I5453" s="232" t="s">
        <v>1253</v>
      </c>
      <c r="J5453" s="228" t="s">
        <v>42</v>
      </c>
      <c r="K5453" s="233"/>
      <c r="L5453" s="233">
        <f>K5452</f>
        <v>3576.0386250660326</v>
      </c>
    </row>
    <row r="5454" spans="1:13" ht="11.25" customHeight="1" x14ac:dyDescent="0.2">
      <c r="A5454" s="197">
        <v>2024</v>
      </c>
      <c r="B5454" s="197">
        <v>9</v>
      </c>
      <c r="C5454" s="197">
        <v>8</v>
      </c>
      <c r="D5454" s="198">
        <f t="shared" si="531"/>
        <v>45543</v>
      </c>
      <c r="E5454" s="209">
        <f t="shared" si="533"/>
        <v>45543</v>
      </c>
      <c r="F5454" s="513" t="s">
        <v>1423</v>
      </c>
      <c r="G5454" s="200" t="s">
        <v>1209</v>
      </c>
      <c r="H5454" s="201"/>
      <c r="I5454" s="201"/>
      <c r="J5454" s="197" t="s">
        <v>16</v>
      </c>
      <c r="K5454" s="202">
        <v>10510</v>
      </c>
      <c r="L5454" s="202"/>
    </row>
    <row r="5455" spans="1:13" ht="11.25" customHeight="1" x14ac:dyDescent="0.2">
      <c r="A5455" s="120">
        <v>2024</v>
      </c>
      <c r="B5455" s="120">
        <v>9</v>
      </c>
      <c r="C5455" s="120">
        <v>8</v>
      </c>
      <c r="D5455" s="208">
        <f t="shared" si="531"/>
        <v>45543</v>
      </c>
      <c r="E5455" s="209">
        <f t="shared" si="533"/>
        <v>45543</v>
      </c>
      <c r="F5455" s="515"/>
      <c r="G5455" s="132" t="s">
        <v>1209</v>
      </c>
      <c r="J5455" s="120" t="s">
        <v>47</v>
      </c>
      <c r="K5455" s="207">
        <v>1490</v>
      </c>
      <c r="L5455" s="207"/>
    </row>
    <row r="5456" spans="1:13" ht="11.25" customHeight="1" x14ac:dyDescent="0.2">
      <c r="A5456" s="191">
        <v>2024</v>
      </c>
      <c r="B5456" s="191">
        <v>9</v>
      </c>
      <c r="C5456" s="191">
        <v>8</v>
      </c>
      <c r="D5456" s="192">
        <f t="shared" si="531"/>
        <v>45543</v>
      </c>
      <c r="E5456" s="193">
        <f t="shared" si="533"/>
        <v>45543</v>
      </c>
      <c r="F5456" s="514"/>
      <c r="G5456" s="194" t="s">
        <v>1209</v>
      </c>
      <c r="H5456" s="195"/>
      <c r="I5456" s="195"/>
      <c r="J5456" s="191" t="s">
        <v>46</v>
      </c>
      <c r="K5456" s="196"/>
      <c r="L5456" s="196">
        <v>12000</v>
      </c>
    </row>
    <row r="5457" spans="1:14" ht="11.25" customHeight="1" x14ac:dyDescent="0.2">
      <c r="A5457" s="197">
        <v>2024</v>
      </c>
      <c r="B5457" s="197">
        <v>9</v>
      </c>
      <c r="C5457" s="197">
        <v>9</v>
      </c>
      <c r="D5457" s="198">
        <f t="shared" si="531"/>
        <v>45544</v>
      </c>
      <c r="E5457" s="199">
        <f t="shared" si="533"/>
        <v>45544</v>
      </c>
      <c r="F5457" s="513" t="s">
        <v>1880</v>
      </c>
      <c r="G5457" s="200" t="s">
        <v>1209</v>
      </c>
      <c r="H5457" s="201"/>
      <c r="I5457" s="201" t="s">
        <v>1253</v>
      </c>
      <c r="J5457" s="197" t="s">
        <v>46</v>
      </c>
      <c r="K5457" s="202">
        <v>20000000</v>
      </c>
      <c r="L5457" s="202"/>
    </row>
    <row r="5458" spans="1:14" ht="11.25" customHeight="1" x14ac:dyDescent="0.2">
      <c r="A5458" s="120">
        <v>2024</v>
      </c>
      <c r="B5458" s="120">
        <v>9</v>
      </c>
      <c r="C5458" s="120">
        <v>9</v>
      </c>
      <c r="D5458" s="208">
        <f t="shared" si="531"/>
        <v>45544</v>
      </c>
      <c r="E5458" s="209">
        <f t="shared" si="533"/>
        <v>45544</v>
      </c>
      <c r="F5458" s="515"/>
      <c r="G5458" s="132" t="s">
        <v>1209</v>
      </c>
      <c r="J5458" s="120" t="s">
        <v>1462</v>
      </c>
      <c r="K5458" s="328"/>
      <c r="L5458" s="207">
        <v>564500</v>
      </c>
    </row>
    <row r="5459" spans="1:14" ht="11.25" customHeight="1" x14ac:dyDescent="0.2">
      <c r="A5459" s="191">
        <v>2024</v>
      </c>
      <c r="B5459" s="191">
        <v>9</v>
      </c>
      <c r="C5459" s="191">
        <v>9</v>
      </c>
      <c r="D5459" s="192">
        <f t="shared" si="531"/>
        <v>45544</v>
      </c>
      <c r="E5459" s="193">
        <f t="shared" si="533"/>
        <v>45544</v>
      </c>
      <c r="F5459" s="514"/>
      <c r="G5459" s="194" t="s">
        <v>1209</v>
      </c>
      <c r="H5459" s="195"/>
      <c r="I5459" s="195" t="s">
        <v>1253</v>
      </c>
      <c r="J5459" s="191" t="s">
        <v>1455</v>
      </c>
      <c r="K5459" s="196"/>
      <c r="L5459" s="196">
        <v>19435500</v>
      </c>
      <c r="N5459" s="130"/>
    </row>
    <row r="5460" spans="1:14" ht="11.25" customHeight="1" x14ac:dyDescent="0.2">
      <c r="A5460" s="197">
        <v>2024</v>
      </c>
      <c r="B5460" s="197">
        <v>9</v>
      </c>
      <c r="C5460" s="197">
        <v>9</v>
      </c>
      <c r="D5460" s="198">
        <f t="shared" si="531"/>
        <v>45544</v>
      </c>
      <c r="E5460" s="199">
        <f t="shared" si="533"/>
        <v>45544</v>
      </c>
      <c r="F5460" s="513" t="s">
        <v>1881</v>
      </c>
      <c r="G5460" s="200" t="s">
        <v>1209</v>
      </c>
      <c r="H5460" s="201"/>
      <c r="I5460" s="201" t="s">
        <v>1253</v>
      </c>
      <c r="J5460" s="197" t="s">
        <v>1455</v>
      </c>
      <c r="K5460" s="202">
        <v>9721360</v>
      </c>
      <c r="L5460" s="202"/>
    </row>
    <row r="5461" spans="1:14" ht="11.25" customHeight="1" x14ac:dyDescent="0.2">
      <c r="A5461" s="191">
        <v>2024</v>
      </c>
      <c r="B5461" s="191">
        <v>9</v>
      </c>
      <c r="C5461" s="191">
        <v>9</v>
      </c>
      <c r="D5461" s="192">
        <f t="shared" si="531"/>
        <v>45544</v>
      </c>
      <c r="E5461" s="193">
        <f t="shared" si="533"/>
        <v>45544</v>
      </c>
      <c r="F5461" s="514"/>
      <c r="G5461" s="194" t="s">
        <v>1209</v>
      </c>
      <c r="H5461" s="195"/>
      <c r="I5461" s="195" t="s">
        <v>1253</v>
      </c>
      <c r="J5461" s="191" t="s">
        <v>46</v>
      </c>
      <c r="K5461" s="196"/>
      <c r="L5461" s="196">
        <v>9721360</v>
      </c>
      <c r="N5461" s="130"/>
    </row>
    <row r="5462" spans="1:14" ht="11.25" customHeight="1" x14ac:dyDescent="0.2">
      <c r="A5462" s="197">
        <v>2024</v>
      </c>
      <c r="B5462" s="197">
        <v>9</v>
      </c>
      <c r="C5462" s="197">
        <v>9</v>
      </c>
      <c r="D5462" s="198">
        <f t="shared" si="531"/>
        <v>45544</v>
      </c>
      <c r="E5462" s="209">
        <f t="shared" si="533"/>
        <v>45544</v>
      </c>
      <c r="F5462" s="513" t="s">
        <v>1210</v>
      </c>
      <c r="G5462" s="200" t="s">
        <v>1209</v>
      </c>
      <c r="H5462" s="201"/>
      <c r="I5462" s="201" t="s">
        <v>1803</v>
      </c>
      <c r="J5462" s="197" t="s">
        <v>46</v>
      </c>
      <c r="K5462" s="202">
        <v>24999310</v>
      </c>
      <c r="L5462" s="202"/>
    </row>
    <row r="5463" spans="1:14" ht="11.25" customHeight="1" x14ac:dyDescent="0.2">
      <c r="A5463" s="120">
        <v>2024</v>
      </c>
      <c r="B5463" s="120">
        <v>9</v>
      </c>
      <c r="C5463" s="120">
        <v>9</v>
      </c>
      <c r="D5463" s="208">
        <f t="shared" si="531"/>
        <v>45544</v>
      </c>
      <c r="E5463" s="209">
        <f t="shared" si="533"/>
        <v>45544</v>
      </c>
      <c r="F5463" s="515"/>
      <c r="G5463" s="132" t="s">
        <v>1209</v>
      </c>
      <c r="I5463" s="128" t="s">
        <v>1803</v>
      </c>
      <c r="J5463" s="120" t="s">
        <v>16</v>
      </c>
      <c r="K5463" s="207"/>
      <c r="L5463" s="207">
        <v>21910000</v>
      </c>
    </row>
    <row r="5464" spans="1:14" ht="11.25" customHeight="1" x14ac:dyDescent="0.2">
      <c r="A5464" s="191">
        <v>2024</v>
      </c>
      <c r="B5464" s="191">
        <v>9</v>
      </c>
      <c r="C5464" s="191">
        <v>9</v>
      </c>
      <c r="D5464" s="192">
        <f t="shared" si="531"/>
        <v>45544</v>
      </c>
      <c r="E5464" s="193">
        <f t="shared" si="533"/>
        <v>45544</v>
      </c>
      <c r="F5464" s="514"/>
      <c r="G5464" s="194" t="s">
        <v>1209</v>
      </c>
      <c r="H5464" s="195"/>
      <c r="I5464" s="195" t="s">
        <v>1803</v>
      </c>
      <c r="J5464" s="191" t="s">
        <v>47</v>
      </c>
      <c r="K5464" s="196"/>
      <c r="L5464" s="196">
        <v>3089310</v>
      </c>
    </row>
    <row r="5465" spans="1:14" ht="11.25" customHeight="1" x14ac:dyDescent="0.2">
      <c r="A5465" s="197">
        <v>2024</v>
      </c>
      <c r="B5465" s="197">
        <v>9</v>
      </c>
      <c r="C5465" s="197">
        <v>9</v>
      </c>
      <c r="D5465" s="198">
        <f t="shared" si="531"/>
        <v>45544</v>
      </c>
      <c r="E5465" s="209">
        <f t="shared" ref="E5465:E5467" si="534">DATE(A5465,B5465,C5465)</f>
        <v>45544</v>
      </c>
      <c r="F5465" s="513" t="s">
        <v>1280</v>
      </c>
      <c r="G5465" s="200" t="s">
        <v>1209</v>
      </c>
      <c r="H5465" s="201"/>
      <c r="I5465" s="201" t="s">
        <v>1335</v>
      </c>
      <c r="J5465" s="197" t="s">
        <v>16</v>
      </c>
      <c r="K5465" s="202">
        <v>264490</v>
      </c>
      <c r="L5465" s="202"/>
    </row>
    <row r="5466" spans="1:14" ht="11.25" customHeight="1" x14ac:dyDescent="0.2">
      <c r="A5466" s="120">
        <v>2024</v>
      </c>
      <c r="B5466" s="120">
        <v>9</v>
      </c>
      <c r="C5466" s="120">
        <v>9</v>
      </c>
      <c r="D5466" s="208">
        <f t="shared" si="531"/>
        <v>45544</v>
      </c>
      <c r="E5466" s="209">
        <f t="shared" si="534"/>
        <v>45544</v>
      </c>
      <c r="F5466" s="515"/>
      <c r="G5466" s="132" t="s">
        <v>1209</v>
      </c>
      <c r="I5466" s="128" t="s">
        <v>1335</v>
      </c>
      <c r="J5466" s="120" t="s">
        <v>47</v>
      </c>
      <c r="K5466" s="207">
        <v>37293.090000000026</v>
      </c>
      <c r="L5466" s="207"/>
    </row>
    <row r="5467" spans="1:14" ht="11.25" customHeight="1" x14ac:dyDescent="0.2">
      <c r="A5467" s="191">
        <v>2024</v>
      </c>
      <c r="B5467" s="191">
        <v>9</v>
      </c>
      <c r="C5467" s="191">
        <v>9</v>
      </c>
      <c r="D5467" s="192">
        <f t="shared" si="531"/>
        <v>45544</v>
      </c>
      <c r="E5467" s="193">
        <f t="shared" si="534"/>
        <v>45544</v>
      </c>
      <c r="F5467" s="514"/>
      <c r="G5467" s="194" t="s">
        <v>1209</v>
      </c>
      <c r="H5467" s="195"/>
      <c r="I5467" s="195" t="s">
        <v>1335</v>
      </c>
      <c r="J5467" s="191" t="s">
        <v>46</v>
      </c>
      <c r="K5467" s="196"/>
      <c r="L5467" s="196">
        <v>301783.09000000003</v>
      </c>
    </row>
    <row r="5468" spans="1:14" ht="11.25" customHeight="1" x14ac:dyDescent="0.2">
      <c r="A5468" s="197">
        <v>2024</v>
      </c>
      <c r="B5468" s="197">
        <v>9</v>
      </c>
      <c r="C5468" s="197">
        <v>9</v>
      </c>
      <c r="D5468" s="198">
        <f t="shared" si="531"/>
        <v>45544</v>
      </c>
      <c r="E5468" s="209">
        <f t="shared" ref="E5468:E5470" si="535">DATE(A5468,B5468,C5468)</f>
        <v>45544</v>
      </c>
      <c r="F5468" s="513" t="s">
        <v>1280</v>
      </c>
      <c r="G5468" s="200" t="s">
        <v>1209</v>
      </c>
      <c r="H5468" s="201"/>
      <c r="I5468" s="201" t="s">
        <v>426</v>
      </c>
      <c r="J5468" s="197" t="s">
        <v>16</v>
      </c>
      <c r="K5468" s="202">
        <v>129700</v>
      </c>
      <c r="L5468" s="202"/>
    </row>
    <row r="5469" spans="1:14" ht="11.25" customHeight="1" x14ac:dyDescent="0.2">
      <c r="A5469" s="120">
        <v>2024</v>
      </c>
      <c r="B5469" s="120">
        <v>9</v>
      </c>
      <c r="C5469" s="120">
        <v>9</v>
      </c>
      <c r="D5469" s="208">
        <f t="shared" si="531"/>
        <v>45544</v>
      </c>
      <c r="E5469" s="209">
        <f t="shared" si="535"/>
        <v>45544</v>
      </c>
      <c r="F5469" s="515"/>
      <c r="G5469" s="132" t="s">
        <v>1209</v>
      </c>
      <c r="I5469" s="128" t="s">
        <v>426</v>
      </c>
      <c r="J5469" s="120" t="s">
        <v>47</v>
      </c>
      <c r="K5469" s="207">
        <v>18286.619999999995</v>
      </c>
      <c r="L5469" s="207"/>
    </row>
    <row r="5470" spans="1:14" ht="11.25" customHeight="1" x14ac:dyDescent="0.2">
      <c r="A5470" s="191">
        <v>2024</v>
      </c>
      <c r="B5470" s="191">
        <v>9</v>
      </c>
      <c r="C5470" s="191">
        <v>9</v>
      </c>
      <c r="D5470" s="192">
        <f t="shared" si="531"/>
        <v>45544</v>
      </c>
      <c r="E5470" s="193">
        <f t="shared" si="535"/>
        <v>45544</v>
      </c>
      <c r="F5470" s="514"/>
      <c r="G5470" s="194" t="s">
        <v>1209</v>
      </c>
      <c r="H5470" s="195"/>
      <c r="I5470" s="195" t="s">
        <v>426</v>
      </c>
      <c r="J5470" s="191" t="s">
        <v>46</v>
      </c>
      <c r="K5470" s="196"/>
      <c r="L5470" s="196">
        <v>147986.62</v>
      </c>
    </row>
    <row r="5471" spans="1:14" ht="11.25" customHeight="1" x14ac:dyDescent="0.2">
      <c r="A5471" s="197">
        <v>2024</v>
      </c>
      <c r="B5471" s="197">
        <v>9</v>
      </c>
      <c r="C5471" s="197">
        <v>9</v>
      </c>
      <c r="D5471" s="198">
        <f t="shared" si="531"/>
        <v>45544</v>
      </c>
      <c r="E5471" s="209">
        <f t="shared" ref="E5471:E5475" si="536">DATE(A5471,B5471,C5471)</f>
        <v>45544</v>
      </c>
      <c r="F5471" s="513" t="s">
        <v>1280</v>
      </c>
      <c r="G5471" s="200" t="s">
        <v>1209</v>
      </c>
      <c r="H5471" s="201"/>
      <c r="I5471" s="201" t="s">
        <v>1507</v>
      </c>
      <c r="J5471" s="197" t="s">
        <v>16</v>
      </c>
      <c r="K5471" s="202">
        <v>3801600</v>
      </c>
      <c r="L5471" s="202"/>
    </row>
    <row r="5472" spans="1:14" ht="11.25" customHeight="1" x14ac:dyDescent="0.2">
      <c r="A5472" s="120">
        <v>2024</v>
      </c>
      <c r="B5472" s="120">
        <v>9</v>
      </c>
      <c r="C5472" s="120">
        <v>9</v>
      </c>
      <c r="D5472" s="208">
        <f t="shared" si="531"/>
        <v>45544</v>
      </c>
      <c r="E5472" s="209">
        <f t="shared" si="536"/>
        <v>45544</v>
      </c>
      <c r="F5472" s="515"/>
      <c r="G5472" s="132" t="s">
        <v>1209</v>
      </c>
      <c r="I5472" s="128" t="s">
        <v>1507</v>
      </c>
      <c r="J5472" s="120" t="s">
        <v>47</v>
      </c>
      <c r="K5472" s="207">
        <v>526141.44000000041</v>
      </c>
      <c r="L5472" s="207"/>
    </row>
    <row r="5473" spans="1:15" ht="11.25" customHeight="1" x14ac:dyDescent="0.2">
      <c r="A5473" s="191">
        <v>2024</v>
      </c>
      <c r="B5473" s="191">
        <v>9</v>
      </c>
      <c r="C5473" s="191">
        <v>9</v>
      </c>
      <c r="D5473" s="192">
        <f t="shared" si="531"/>
        <v>45544</v>
      </c>
      <c r="E5473" s="193">
        <f t="shared" si="536"/>
        <v>45544</v>
      </c>
      <c r="F5473" s="514"/>
      <c r="G5473" s="194" t="s">
        <v>1209</v>
      </c>
      <c r="H5473" s="195"/>
      <c r="I5473" s="195" t="s">
        <v>1507</v>
      </c>
      <c r="J5473" s="191" t="s">
        <v>46</v>
      </c>
      <c r="K5473" s="196"/>
      <c r="L5473" s="196">
        <v>4327741.4400000004</v>
      </c>
    </row>
    <row r="5474" spans="1:15" ht="11.25" customHeight="1" x14ac:dyDescent="0.2">
      <c r="A5474" s="197">
        <v>2024</v>
      </c>
      <c r="B5474" s="197">
        <v>9</v>
      </c>
      <c r="C5474" s="197">
        <v>9</v>
      </c>
      <c r="D5474" s="198">
        <f t="shared" si="531"/>
        <v>45544</v>
      </c>
      <c r="E5474" s="290">
        <f t="shared" si="536"/>
        <v>45544</v>
      </c>
      <c r="F5474" s="513" t="s">
        <v>1514</v>
      </c>
      <c r="G5474" s="200" t="s">
        <v>1209</v>
      </c>
      <c r="H5474" s="201"/>
      <c r="I5474" s="201"/>
      <c r="J5474" s="197" t="s">
        <v>54</v>
      </c>
      <c r="K5474" s="202">
        <v>100</v>
      </c>
      <c r="L5474" s="202"/>
      <c r="M5474" s="251"/>
      <c r="N5474" s="251"/>
      <c r="O5474" s="251"/>
    </row>
    <row r="5475" spans="1:15" ht="11.25" customHeight="1" x14ac:dyDescent="0.2">
      <c r="A5475" s="191">
        <v>2024</v>
      </c>
      <c r="B5475" s="191">
        <v>9</v>
      </c>
      <c r="C5475" s="191">
        <v>9</v>
      </c>
      <c r="D5475" s="192">
        <f t="shared" si="531"/>
        <v>45544</v>
      </c>
      <c r="E5475" s="291">
        <f t="shared" si="536"/>
        <v>45544</v>
      </c>
      <c r="F5475" s="514"/>
      <c r="G5475" s="194" t="s">
        <v>1209</v>
      </c>
      <c r="H5475" s="195"/>
      <c r="I5475" s="195"/>
      <c r="J5475" s="191" t="s">
        <v>46</v>
      </c>
      <c r="K5475" s="196"/>
      <c r="L5475" s="196">
        <v>100</v>
      </c>
      <c r="M5475" s="251"/>
      <c r="N5475" s="251"/>
      <c r="O5475" s="251"/>
    </row>
    <row r="5476" spans="1:15" ht="11.25" customHeight="1" x14ac:dyDescent="0.2">
      <c r="A5476" s="197">
        <v>2024</v>
      </c>
      <c r="B5476" s="197">
        <v>9</v>
      </c>
      <c r="C5476" s="197">
        <v>10</v>
      </c>
      <c r="D5476" s="198">
        <f t="shared" si="531"/>
        <v>45545</v>
      </c>
      <c r="E5476" s="209">
        <f t="shared" ref="E5476:E5478" si="537">DATE(A5476,B5476,C5476)</f>
        <v>45545</v>
      </c>
      <c r="F5476" s="513" t="s">
        <v>1280</v>
      </c>
      <c r="G5476" s="200" t="s">
        <v>1209</v>
      </c>
      <c r="H5476" s="201"/>
      <c r="I5476" s="201" t="s">
        <v>1815</v>
      </c>
      <c r="J5476" s="197" t="s">
        <v>16</v>
      </c>
      <c r="K5476" s="202">
        <v>448350</v>
      </c>
      <c r="L5476" s="202"/>
    </row>
    <row r="5477" spans="1:15" ht="11.25" customHeight="1" x14ac:dyDescent="0.2">
      <c r="A5477" s="120">
        <v>2024</v>
      </c>
      <c r="B5477" s="120">
        <v>9</v>
      </c>
      <c r="C5477" s="120">
        <v>10</v>
      </c>
      <c r="D5477" s="208">
        <f t="shared" si="531"/>
        <v>45545</v>
      </c>
      <c r="E5477" s="209">
        <f t="shared" si="537"/>
        <v>45545</v>
      </c>
      <c r="F5477" s="515"/>
      <c r="G5477" s="132" t="s">
        <v>1209</v>
      </c>
      <c r="I5477" s="128" t="s">
        <v>1815</v>
      </c>
      <c r="J5477" s="120" t="s">
        <v>47</v>
      </c>
      <c r="K5477" s="207">
        <v>63217.349999999977</v>
      </c>
      <c r="L5477" s="207"/>
    </row>
    <row r="5478" spans="1:15" ht="11.25" customHeight="1" x14ac:dyDescent="0.2">
      <c r="A5478" s="191">
        <v>2024</v>
      </c>
      <c r="B5478" s="191">
        <v>9</v>
      </c>
      <c r="C5478" s="191">
        <v>10</v>
      </c>
      <c r="D5478" s="192">
        <f t="shared" si="531"/>
        <v>45545</v>
      </c>
      <c r="E5478" s="193">
        <f t="shared" si="537"/>
        <v>45545</v>
      </c>
      <c r="F5478" s="514"/>
      <c r="G5478" s="194" t="s">
        <v>1209</v>
      </c>
      <c r="H5478" s="195"/>
      <c r="I5478" s="195" t="s">
        <v>1815</v>
      </c>
      <c r="J5478" s="191" t="s">
        <v>46</v>
      </c>
      <c r="K5478" s="196"/>
      <c r="L5478" s="196">
        <v>511567.35</v>
      </c>
    </row>
    <row r="5479" spans="1:15" ht="11.25" customHeight="1" x14ac:dyDescent="0.2">
      <c r="A5479" s="197">
        <v>2024</v>
      </c>
      <c r="B5479" s="197">
        <v>9</v>
      </c>
      <c r="C5479" s="197">
        <v>11</v>
      </c>
      <c r="D5479" s="198">
        <f t="shared" si="531"/>
        <v>45546</v>
      </c>
      <c r="E5479" s="199">
        <f t="shared" si="533"/>
        <v>45546</v>
      </c>
      <c r="F5479" s="513" t="s">
        <v>1882</v>
      </c>
      <c r="G5479" s="200" t="s">
        <v>1209</v>
      </c>
      <c r="H5479" s="201"/>
      <c r="I5479" s="201" t="s">
        <v>1253</v>
      </c>
      <c r="J5479" s="197" t="s">
        <v>1837</v>
      </c>
      <c r="K5479" s="202">
        <v>18762314.870000001</v>
      </c>
      <c r="L5479" s="202"/>
    </row>
    <row r="5480" spans="1:15" ht="11.25" customHeight="1" x14ac:dyDescent="0.2">
      <c r="A5480" s="191">
        <v>2024</v>
      </c>
      <c r="B5480" s="191">
        <v>9</v>
      </c>
      <c r="C5480" s="191">
        <v>11</v>
      </c>
      <c r="D5480" s="192">
        <f t="shared" si="531"/>
        <v>45546</v>
      </c>
      <c r="E5480" s="193">
        <f t="shared" si="533"/>
        <v>45546</v>
      </c>
      <c r="F5480" s="514"/>
      <c r="G5480" s="194" t="s">
        <v>1209</v>
      </c>
      <c r="H5480" s="195"/>
      <c r="I5480" s="195" t="s">
        <v>1253</v>
      </c>
      <c r="J5480" s="191" t="s">
        <v>46</v>
      </c>
      <c r="K5480" s="196"/>
      <c r="L5480" s="196">
        <v>18762314.870000001</v>
      </c>
      <c r="N5480" s="130"/>
    </row>
    <row r="5481" spans="1:15" ht="11.25" customHeight="1" x14ac:dyDescent="0.2">
      <c r="A5481" s="197">
        <v>2024</v>
      </c>
      <c r="B5481" s="197">
        <v>9</v>
      </c>
      <c r="C5481" s="197">
        <v>11</v>
      </c>
      <c r="D5481" s="198">
        <f t="shared" si="531"/>
        <v>45546</v>
      </c>
      <c r="E5481" s="199">
        <f t="shared" ref="E5481:E5507" si="538">DATE(A5481,B5481,C5481)</f>
        <v>45546</v>
      </c>
      <c r="F5481" s="513" t="s">
        <v>1882</v>
      </c>
      <c r="G5481" s="200" t="s">
        <v>1209</v>
      </c>
      <c r="H5481" s="201"/>
      <c r="I5481" s="201" t="s">
        <v>1253</v>
      </c>
      <c r="J5481" s="197" t="s">
        <v>1837</v>
      </c>
      <c r="K5481" s="202">
        <v>14340939.15</v>
      </c>
      <c r="L5481" s="202"/>
    </row>
    <row r="5482" spans="1:15" ht="11.25" customHeight="1" x14ac:dyDescent="0.2">
      <c r="A5482" s="120">
        <v>2024</v>
      </c>
      <c r="B5482" s="120">
        <v>9</v>
      </c>
      <c r="C5482" s="120">
        <v>11</v>
      </c>
      <c r="D5482" s="208">
        <f t="shared" si="531"/>
        <v>45546</v>
      </c>
      <c r="E5482" s="209">
        <f>DATE(A5482,B5482,C5482)</f>
        <v>45546</v>
      </c>
      <c r="F5482" s="515"/>
      <c r="G5482" s="132" t="s">
        <v>1209</v>
      </c>
      <c r="H5482" s="132"/>
      <c r="J5482" s="120" t="s">
        <v>71</v>
      </c>
      <c r="K5482" s="207">
        <v>13954.94</v>
      </c>
      <c r="L5482" s="207"/>
    </row>
    <row r="5483" spans="1:15" ht="11.25" customHeight="1" x14ac:dyDescent="0.2">
      <c r="A5483" s="191">
        <v>2024</v>
      </c>
      <c r="B5483" s="191">
        <v>9</v>
      </c>
      <c r="C5483" s="191">
        <v>11</v>
      </c>
      <c r="D5483" s="192">
        <f t="shared" si="531"/>
        <v>45546</v>
      </c>
      <c r="E5483" s="193">
        <f t="shared" si="538"/>
        <v>45546</v>
      </c>
      <c r="F5483" s="514"/>
      <c r="G5483" s="194" t="s">
        <v>1209</v>
      </c>
      <c r="H5483" s="195"/>
      <c r="I5483" s="195" t="s">
        <v>1253</v>
      </c>
      <c r="J5483" s="191" t="s">
        <v>46</v>
      </c>
      <c r="K5483" s="196"/>
      <c r="L5483" s="196">
        <v>14354894.09</v>
      </c>
      <c r="N5483" s="130"/>
    </row>
    <row r="5484" spans="1:15" ht="11.25" customHeight="1" x14ac:dyDescent="0.2">
      <c r="A5484" s="197">
        <v>2024</v>
      </c>
      <c r="B5484" s="197">
        <v>9</v>
      </c>
      <c r="C5484" s="197">
        <v>11</v>
      </c>
      <c r="D5484" s="198">
        <f t="shared" ref="D5484:D5547" si="539">DATE(A5484,B5484,C5484)</f>
        <v>45546</v>
      </c>
      <c r="E5484" s="290">
        <f t="shared" si="538"/>
        <v>45546</v>
      </c>
      <c r="F5484" s="513" t="s">
        <v>1514</v>
      </c>
      <c r="G5484" s="200" t="s">
        <v>1209</v>
      </c>
      <c r="H5484" s="201"/>
      <c r="I5484" s="201"/>
      <c r="J5484" s="197" t="s">
        <v>54</v>
      </c>
      <c r="K5484" s="202">
        <v>100</v>
      </c>
      <c r="L5484" s="202"/>
      <c r="M5484" s="251"/>
      <c r="N5484" s="251"/>
      <c r="O5484" s="251"/>
    </row>
    <row r="5485" spans="1:15" ht="11.25" customHeight="1" x14ac:dyDescent="0.2">
      <c r="A5485" s="191">
        <v>2024</v>
      </c>
      <c r="B5485" s="191">
        <v>9</v>
      </c>
      <c r="C5485" s="191">
        <v>11</v>
      </c>
      <c r="D5485" s="192">
        <f t="shared" si="539"/>
        <v>45546</v>
      </c>
      <c r="E5485" s="291">
        <f t="shared" si="538"/>
        <v>45546</v>
      </c>
      <c r="F5485" s="514"/>
      <c r="G5485" s="194" t="s">
        <v>1209</v>
      </c>
      <c r="H5485" s="195"/>
      <c r="I5485" s="195"/>
      <c r="J5485" s="191" t="s">
        <v>46</v>
      </c>
      <c r="K5485" s="196"/>
      <c r="L5485" s="196">
        <v>100</v>
      </c>
      <c r="M5485" s="251"/>
      <c r="N5485" s="251"/>
      <c r="O5485" s="251"/>
    </row>
    <row r="5486" spans="1:15" ht="11.25" customHeight="1" x14ac:dyDescent="0.2">
      <c r="A5486" s="197">
        <v>2024</v>
      </c>
      <c r="B5486" s="197">
        <v>9</v>
      </c>
      <c r="C5486" s="197">
        <v>11</v>
      </c>
      <c r="D5486" s="198">
        <f t="shared" si="539"/>
        <v>45546</v>
      </c>
      <c r="E5486" s="199">
        <f t="shared" si="538"/>
        <v>45546</v>
      </c>
      <c r="F5486" s="513" t="s">
        <v>1883</v>
      </c>
      <c r="G5486" s="200" t="s">
        <v>1209</v>
      </c>
      <c r="H5486" s="201"/>
      <c r="I5486" s="201" t="s">
        <v>1253</v>
      </c>
      <c r="J5486" s="197" t="s">
        <v>76</v>
      </c>
      <c r="K5486" s="202">
        <v>4000000</v>
      </c>
      <c r="L5486" s="202"/>
    </row>
    <row r="5487" spans="1:15" ht="11.25" customHeight="1" x14ac:dyDescent="0.2">
      <c r="A5487" s="191">
        <v>2024</v>
      </c>
      <c r="B5487" s="191">
        <v>9</v>
      </c>
      <c r="C5487" s="191">
        <v>11</v>
      </c>
      <c r="D5487" s="192">
        <f t="shared" si="539"/>
        <v>45546</v>
      </c>
      <c r="E5487" s="193">
        <f t="shared" si="538"/>
        <v>45546</v>
      </c>
      <c r="F5487" s="514"/>
      <c r="G5487" s="194" t="s">
        <v>1209</v>
      </c>
      <c r="H5487" s="195"/>
      <c r="I5487" s="195" t="s">
        <v>1253</v>
      </c>
      <c r="J5487" s="191" t="s">
        <v>76</v>
      </c>
      <c r="K5487" s="196"/>
      <c r="L5487" s="196">
        <v>4000000</v>
      </c>
    </row>
    <row r="5488" spans="1:15" ht="11.25" customHeight="1" x14ac:dyDescent="0.2">
      <c r="A5488" s="197">
        <v>2024</v>
      </c>
      <c r="B5488" s="197">
        <v>9</v>
      </c>
      <c r="C5488" s="197">
        <v>11</v>
      </c>
      <c r="D5488" s="198">
        <f t="shared" si="539"/>
        <v>45546</v>
      </c>
      <c r="E5488" s="290">
        <f t="shared" si="538"/>
        <v>45546</v>
      </c>
      <c r="F5488" s="513" t="s">
        <v>1862</v>
      </c>
      <c r="G5488" s="200" t="s">
        <v>1245</v>
      </c>
      <c r="H5488" s="201"/>
      <c r="I5488" s="201" t="s">
        <v>1253</v>
      </c>
      <c r="J5488" s="197" t="s">
        <v>46</v>
      </c>
      <c r="K5488" s="202">
        <v>120000</v>
      </c>
      <c r="L5488" s="202"/>
    </row>
    <row r="5489" spans="1:15" ht="11.25" customHeight="1" x14ac:dyDescent="0.2">
      <c r="A5489" s="191">
        <v>2024</v>
      </c>
      <c r="B5489" s="191">
        <v>9</v>
      </c>
      <c r="C5489" s="191">
        <v>11</v>
      </c>
      <c r="D5489" s="192">
        <f t="shared" si="539"/>
        <v>45546</v>
      </c>
      <c r="E5489" s="291">
        <f t="shared" si="538"/>
        <v>45546</v>
      </c>
      <c r="F5489" s="514"/>
      <c r="G5489" s="194" t="s">
        <v>1245</v>
      </c>
      <c r="H5489" s="195"/>
      <c r="I5489" s="195" t="s">
        <v>1253</v>
      </c>
      <c r="J5489" s="191" t="s">
        <v>113</v>
      </c>
      <c r="K5489" s="196"/>
      <c r="L5489" s="196">
        <v>120000</v>
      </c>
    </row>
    <row r="5490" spans="1:15" ht="11.25" customHeight="1" x14ac:dyDescent="0.2">
      <c r="A5490" s="197">
        <v>2024</v>
      </c>
      <c r="B5490" s="197">
        <v>9</v>
      </c>
      <c r="C5490" s="197">
        <v>11</v>
      </c>
      <c r="D5490" s="198">
        <f t="shared" si="539"/>
        <v>45546</v>
      </c>
      <c r="E5490" s="209">
        <f t="shared" si="538"/>
        <v>45546</v>
      </c>
      <c r="F5490" s="513" t="s">
        <v>1423</v>
      </c>
      <c r="G5490" s="200" t="s">
        <v>1209</v>
      </c>
      <c r="H5490" s="201"/>
      <c r="I5490" s="201" t="s">
        <v>399</v>
      </c>
      <c r="J5490" s="197" t="s">
        <v>16</v>
      </c>
      <c r="K5490" s="202">
        <v>69670</v>
      </c>
      <c r="L5490" s="202"/>
    </row>
    <row r="5491" spans="1:15" ht="11.25" customHeight="1" x14ac:dyDescent="0.2">
      <c r="A5491" s="120">
        <v>2024</v>
      </c>
      <c r="B5491" s="120">
        <v>9</v>
      </c>
      <c r="C5491" s="120">
        <v>11</v>
      </c>
      <c r="D5491" s="208">
        <f t="shared" si="539"/>
        <v>45546</v>
      </c>
      <c r="E5491" s="209">
        <f t="shared" si="538"/>
        <v>45546</v>
      </c>
      <c r="F5491" s="515"/>
      <c r="G5491" s="132" t="s">
        <v>1209</v>
      </c>
      <c r="I5491" s="128" t="s">
        <v>399</v>
      </c>
      <c r="J5491" s="120" t="s">
        <v>47</v>
      </c>
      <c r="K5491" s="207">
        <v>9823.4700000000012</v>
      </c>
      <c r="L5491" s="207"/>
    </row>
    <row r="5492" spans="1:15" ht="11.25" customHeight="1" x14ac:dyDescent="0.2">
      <c r="A5492" s="191">
        <v>2024</v>
      </c>
      <c r="B5492" s="191">
        <v>9</v>
      </c>
      <c r="C5492" s="191">
        <v>11</v>
      </c>
      <c r="D5492" s="192">
        <f t="shared" si="539"/>
        <v>45546</v>
      </c>
      <c r="E5492" s="193">
        <f t="shared" si="538"/>
        <v>45546</v>
      </c>
      <c r="F5492" s="514"/>
      <c r="G5492" s="194" t="s">
        <v>1209</v>
      </c>
      <c r="H5492" s="195"/>
      <c r="I5492" s="195" t="s">
        <v>399</v>
      </c>
      <c r="J5492" s="191" t="s">
        <v>46</v>
      </c>
      <c r="K5492" s="196"/>
      <c r="L5492" s="196">
        <v>79493.47</v>
      </c>
    </row>
    <row r="5493" spans="1:15" ht="11.25" customHeight="1" x14ac:dyDescent="0.2">
      <c r="A5493" s="197">
        <v>2024</v>
      </c>
      <c r="B5493" s="197">
        <v>9</v>
      </c>
      <c r="C5493" s="197">
        <v>12</v>
      </c>
      <c r="D5493" s="198">
        <f t="shared" si="539"/>
        <v>45547</v>
      </c>
      <c r="E5493" s="209">
        <f t="shared" si="538"/>
        <v>45547</v>
      </c>
      <c r="F5493" s="513" t="s">
        <v>1210</v>
      </c>
      <c r="G5493" s="200" t="s">
        <v>1209</v>
      </c>
      <c r="H5493" s="201"/>
      <c r="I5493" s="201" t="s">
        <v>1885</v>
      </c>
      <c r="J5493" s="197" t="s">
        <v>46</v>
      </c>
      <c r="K5493" s="202">
        <v>2050000</v>
      </c>
      <c r="L5493" s="202"/>
    </row>
    <row r="5494" spans="1:15" ht="11.25" customHeight="1" x14ac:dyDescent="0.2">
      <c r="A5494" s="120">
        <v>2024</v>
      </c>
      <c r="B5494" s="120">
        <v>9</v>
      </c>
      <c r="C5494" s="120">
        <v>12</v>
      </c>
      <c r="D5494" s="208">
        <f t="shared" si="539"/>
        <v>45547</v>
      </c>
      <c r="E5494" s="209">
        <f t="shared" si="538"/>
        <v>45547</v>
      </c>
      <c r="F5494" s="515"/>
      <c r="G5494" s="132" t="s">
        <v>1209</v>
      </c>
      <c r="I5494" s="128" t="s">
        <v>1885</v>
      </c>
      <c r="J5494" s="120" t="s">
        <v>16</v>
      </c>
      <c r="K5494" s="207"/>
      <c r="L5494" s="207">
        <v>1796670</v>
      </c>
    </row>
    <row r="5495" spans="1:15" ht="11.25" customHeight="1" x14ac:dyDescent="0.2">
      <c r="A5495" s="191">
        <v>2024</v>
      </c>
      <c r="B5495" s="191">
        <v>9</v>
      </c>
      <c r="C5495" s="191">
        <v>12</v>
      </c>
      <c r="D5495" s="192">
        <f t="shared" si="539"/>
        <v>45547</v>
      </c>
      <c r="E5495" s="193">
        <f t="shared" si="538"/>
        <v>45547</v>
      </c>
      <c r="F5495" s="514"/>
      <c r="G5495" s="194" t="s">
        <v>1209</v>
      </c>
      <c r="H5495" s="195"/>
      <c r="I5495" s="195" t="s">
        <v>1885</v>
      </c>
      <c r="J5495" s="191" t="s">
        <v>47</v>
      </c>
      <c r="K5495" s="196"/>
      <c r="L5495" s="196">
        <v>253330</v>
      </c>
    </row>
    <row r="5496" spans="1:15" ht="11.25" customHeight="1" x14ac:dyDescent="0.2">
      <c r="A5496" s="197">
        <v>2024</v>
      </c>
      <c r="B5496" s="197">
        <v>9</v>
      </c>
      <c r="C5496" s="197">
        <v>12</v>
      </c>
      <c r="D5496" s="198">
        <f t="shared" si="539"/>
        <v>45547</v>
      </c>
      <c r="E5496" s="209">
        <f t="shared" ref="E5496:E5500" si="540">DATE(A5496,B5496,C5496)</f>
        <v>45547</v>
      </c>
      <c r="F5496" s="513" t="s">
        <v>1210</v>
      </c>
      <c r="G5496" s="200" t="s">
        <v>1209</v>
      </c>
      <c r="H5496" s="201"/>
      <c r="I5496" s="201" t="s">
        <v>390</v>
      </c>
      <c r="J5496" s="197" t="s">
        <v>46</v>
      </c>
      <c r="K5496" s="202">
        <v>570500</v>
      </c>
      <c r="L5496" s="202"/>
    </row>
    <row r="5497" spans="1:15" ht="11.25" customHeight="1" x14ac:dyDescent="0.2">
      <c r="A5497" s="120">
        <v>2024</v>
      </c>
      <c r="B5497" s="120">
        <v>9</v>
      </c>
      <c r="C5497" s="120">
        <v>12</v>
      </c>
      <c r="D5497" s="208">
        <f t="shared" si="539"/>
        <v>45547</v>
      </c>
      <c r="E5497" s="209">
        <f t="shared" si="540"/>
        <v>45547</v>
      </c>
      <c r="F5497" s="515"/>
      <c r="G5497" s="132" t="s">
        <v>1209</v>
      </c>
      <c r="I5497" s="128" t="s">
        <v>390</v>
      </c>
      <c r="J5497" s="120" t="s">
        <v>16</v>
      </c>
      <c r="K5497" s="207"/>
      <c r="L5497" s="207">
        <v>500000</v>
      </c>
    </row>
    <row r="5498" spans="1:15" ht="11.25" customHeight="1" x14ac:dyDescent="0.2">
      <c r="A5498" s="191">
        <v>2024</v>
      </c>
      <c r="B5498" s="191">
        <v>9</v>
      </c>
      <c r="C5498" s="191">
        <v>12</v>
      </c>
      <c r="D5498" s="192">
        <f t="shared" si="539"/>
        <v>45547</v>
      </c>
      <c r="E5498" s="193">
        <f t="shared" si="540"/>
        <v>45547</v>
      </c>
      <c r="F5498" s="514"/>
      <c r="G5498" s="194" t="s">
        <v>1209</v>
      </c>
      <c r="H5498" s="195"/>
      <c r="I5498" s="195" t="s">
        <v>390</v>
      </c>
      <c r="J5498" s="191" t="s">
        <v>47</v>
      </c>
      <c r="K5498" s="196"/>
      <c r="L5498" s="196">
        <v>70500</v>
      </c>
    </row>
    <row r="5499" spans="1:15" ht="11.25" customHeight="1" x14ac:dyDescent="0.2">
      <c r="A5499" s="197">
        <v>2024</v>
      </c>
      <c r="B5499" s="197">
        <v>9</v>
      </c>
      <c r="C5499" s="197">
        <v>12</v>
      </c>
      <c r="D5499" s="198">
        <f t="shared" si="539"/>
        <v>45547</v>
      </c>
      <c r="E5499" s="290">
        <f t="shared" si="540"/>
        <v>45547</v>
      </c>
      <c r="F5499" s="513" t="s">
        <v>1514</v>
      </c>
      <c r="G5499" s="200" t="s">
        <v>1209</v>
      </c>
      <c r="H5499" s="201"/>
      <c r="I5499" s="201"/>
      <c r="J5499" s="197" t="s">
        <v>54</v>
      </c>
      <c r="K5499" s="202">
        <v>120</v>
      </c>
      <c r="L5499" s="202"/>
      <c r="M5499" s="251"/>
      <c r="N5499" s="251"/>
      <c r="O5499" s="251"/>
    </row>
    <row r="5500" spans="1:15" ht="11.25" customHeight="1" x14ac:dyDescent="0.2">
      <c r="A5500" s="191">
        <v>2024</v>
      </c>
      <c r="B5500" s="191">
        <v>9</v>
      </c>
      <c r="C5500" s="191">
        <v>12</v>
      </c>
      <c r="D5500" s="192">
        <f t="shared" si="539"/>
        <v>45547</v>
      </c>
      <c r="E5500" s="291">
        <f t="shared" si="540"/>
        <v>45547</v>
      </c>
      <c r="F5500" s="514"/>
      <c r="G5500" s="194" t="s">
        <v>1209</v>
      </c>
      <c r="H5500" s="195"/>
      <c r="I5500" s="195"/>
      <c r="J5500" s="191" t="s">
        <v>46</v>
      </c>
      <c r="K5500" s="196"/>
      <c r="L5500" s="196">
        <v>120</v>
      </c>
      <c r="M5500" s="251"/>
      <c r="N5500" s="251"/>
      <c r="O5500" s="251"/>
    </row>
    <row r="5501" spans="1:15" ht="11.25" customHeight="1" x14ac:dyDescent="0.2">
      <c r="A5501" s="382">
        <v>2024</v>
      </c>
      <c r="B5501" s="382">
        <v>9</v>
      </c>
      <c r="C5501" s="382">
        <v>12</v>
      </c>
      <c r="D5501" s="383">
        <f t="shared" si="539"/>
        <v>45547</v>
      </c>
      <c r="E5501" s="384">
        <f t="shared" si="538"/>
        <v>45547</v>
      </c>
      <c r="F5501" s="516" t="s">
        <v>1850</v>
      </c>
      <c r="G5501" s="385" t="s">
        <v>1209</v>
      </c>
      <c r="H5501" s="386"/>
      <c r="I5501" s="386"/>
      <c r="J5501" s="387" t="s">
        <v>81</v>
      </c>
      <c r="K5501" s="388">
        <v>6973.2450980392159</v>
      </c>
      <c r="L5501" s="388"/>
    </row>
    <row r="5502" spans="1:15" ht="11.25" customHeight="1" x14ac:dyDescent="0.2">
      <c r="A5502" s="389">
        <v>2024</v>
      </c>
      <c r="B5502" s="389">
        <v>9</v>
      </c>
      <c r="C5502" s="389">
        <v>12</v>
      </c>
      <c r="D5502" s="390">
        <f t="shared" si="539"/>
        <v>45547</v>
      </c>
      <c r="E5502" s="391">
        <f t="shared" si="538"/>
        <v>45547</v>
      </c>
      <c r="F5502" s="517"/>
      <c r="G5502" s="392" t="s">
        <v>1209</v>
      </c>
      <c r="H5502" s="393"/>
      <c r="I5502" s="393"/>
      <c r="J5502" s="394" t="s">
        <v>1847</v>
      </c>
      <c r="K5502" s="388"/>
      <c r="L5502" s="388">
        <v>6973.2450980392159</v>
      </c>
    </row>
    <row r="5503" spans="1:15" ht="11.25" customHeight="1" x14ac:dyDescent="0.2">
      <c r="A5503" s="344">
        <v>2024</v>
      </c>
      <c r="B5503" s="344">
        <v>9</v>
      </c>
      <c r="C5503" s="344">
        <v>12</v>
      </c>
      <c r="D5503" s="345">
        <f t="shared" si="539"/>
        <v>45547</v>
      </c>
      <c r="E5503" s="346">
        <f t="shared" si="538"/>
        <v>45547</v>
      </c>
      <c r="F5503" s="518" t="s">
        <v>1621</v>
      </c>
      <c r="G5503" s="347" t="s">
        <v>1245</v>
      </c>
      <c r="H5503" s="348"/>
      <c r="I5503" s="348" t="s">
        <v>1253</v>
      </c>
      <c r="J5503" s="344" t="s">
        <v>113</v>
      </c>
      <c r="K5503" s="349">
        <v>244038.46153846153</v>
      </c>
      <c r="L5503" s="349"/>
    </row>
    <row r="5504" spans="1:15" ht="11.25" customHeight="1" x14ac:dyDescent="0.2">
      <c r="A5504" s="350">
        <v>2024</v>
      </c>
      <c r="B5504" s="350">
        <v>9</v>
      </c>
      <c r="C5504" s="350">
        <v>12</v>
      </c>
      <c r="D5504" s="351">
        <f t="shared" si="539"/>
        <v>45547</v>
      </c>
      <c r="E5504" s="352">
        <f t="shared" si="538"/>
        <v>45547</v>
      </c>
      <c r="F5504" s="519"/>
      <c r="G5504" s="353" t="s">
        <v>1245</v>
      </c>
      <c r="H5504" s="354"/>
      <c r="I5504" s="354" t="s">
        <v>1253</v>
      </c>
      <c r="J5504" s="350" t="s">
        <v>153</v>
      </c>
      <c r="K5504" s="355"/>
      <c r="L5504" s="355">
        <f>K5503</f>
        <v>244038.46153846153</v>
      </c>
    </row>
    <row r="5505" spans="1:13" ht="11.25" customHeight="1" x14ac:dyDescent="0.2">
      <c r="A5505" s="210">
        <v>2024</v>
      </c>
      <c r="B5505" s="210">
        <v>9</v>
      </c>
      <c r="C5505" s="210">
        <v>12</v>
      </c>
      <c r="D5505" s="211">
        <f t="shared" si="539"/>
        <v>45547</v>
      </c>
      <c r="E5505" s="238">
        <f t="shared" si="538"/>
        <v>45547</v>
      </c>
      <c r="F5505" s="520" t="s">
        <v>1278</v>
      </c>
      <c r="G5505" s="213" t="s">
        <v>1245</v>
      </c>
      <c r="H5505" s="214"/>
      <c r="I5505" s="214" t="s">
        <v>1253</v>
      </c>
      <c r="J5505" s="210" t="s">
        <v>1529</v>
      </c>
      <c r="K5505" s="215">
        <v>510.40384615384613</v>
      </c>
      <c r="L5505" s="215"/>
    </row>
    <row r="5506" spans="1:13" ht="11.25" customHeight="1" x14ac:dyDescent="0.2">
      <c r="A5506" s="216">
        <v>2024</v>
      </c>
      <c r="B5506" s="216">
        <v>9</v>
      </c>
      <c r="C5506" s="216">
        <v>12</v>
      </c>
      <c r="D5506" s="217">
        <f t="shared" si="539"/>
        <v>45547</v>
      </c>
      <c r="E5506" s="239">
        <f t="shared" si="538"/>
        <v>45547</v>
      </c>
      <c r="F5506" s="521"/>
      <c r="G5506" s="219" t="s">
        <v>1245</v>
      </c>
      <c r="H5506" s="220"/>
      <c r="I5506" s="220" t="s">
        <v>1253</v>
      </c>
      <c r="J5506" s="216" t="s">
        <v>1581</v>
      </c>
      <c r="K5506" s="221"/>
      <c r="L5506" s="221">
        <v>510.40384615384613</v>
      </c>
    </row>
    <row r="5507" spans="1:13" ht="11.25" customHeight="1" x14ac:dyDescent="0.2">
      <c r="A5507" s="210">
        <v>2024</v>
      </c>
      <c r="B5507" s="210">
        <v>9</v>
      </c>
      <c r="C5507" s="210">
        <v>12</v>
      </c>
      <c r="D5507" s="211">
        <f t="shared" si="539"/>
        <v>45547</v>
      </c>
      <c r="E5507" s="238">
        <f t="shared" si="538"/>
        <v>45547</v>
      </c>
      <c r="F5507" s="520" t="s">
        <v>1857</v>
      </c>
      <c r="G5507" s="213" t="s">
        <v>1245</v>
      </c>
      <c r="H5507" s="214"/>
      <c r="I5507" s="214" t="s">
        <v>1253</v>
      </c>
      <c r="J5507" s="210" t="s">
        <v>1284</v>
      </c>
      <c r="K5507" s="215">
        <v>8903.4309440559427</v>
      </c>
      <c r="L5507" s="215"/>
    </row>
    <row r="5508" spans="1:13" ht="11.25" customHeight="1" x14ac:dyDescent="0.2">
      <c r="A5508" s="242">
        <v>2024</v>
      </c>
      <c r="B5508" s="242">
        <v>9</v>
      </c>
      <c r="C5508" s="242">
        <v>12</v>
      </c>
      <c r="D5508" s="243">
        <f t="shared" si="539"/>
        <v>45547</v>
      </c>
      <c r="E5508" s="244">
        <f>DATE(A5508,B5508,C5508)</f>
        <v>45547</v>
      </c>
      <c r="F5508" s="524"/>
      <c r="G5508" s="245" t="s">
        <v>1245</v>
      </c>
      <c r="H5508" s="246"/>
      <c r="I5508" s="246"/>
      <c r="J5508" s="242" t="s">
        <v>1582</v>
      </c>
      <c r="K5508" s="247"/>
      <c r="L5508" s="247">
        <v>8903.4309440559427</v>
      </c>
    </row>
    <row r="5509" spans="1:13" ht="11.25" customHeight="1" x14ac:dyDescent="0.2">
      <c r="A5509" s="210">
        <v>2024</v>
      </c>
      <c r="B5509" s="210">
        <v>9</v>
      </c>
      <c r="C5509" s="210">
        <v>12</v>
      </c>
      <c r="D5509" s="211">
        <f t="shared" si="539"/>
        <v>45547</v>
      </c>
      <c r="E5509" s="238">
        <f t="shared" ref="E5509:E5528" si="541">DATE(A5509,B5509,C5509)</f>
        <v>45547</v>
      </c>
      <c r="F5509" s="520" t="s">
        <v>1259</v>
      </c>
      <c r="G5509" s="213" t="s">
        <v>1245</v>
      </c>
      <c r="H5509" s="214"/>
      <c r="I5509" s="214" t="s">
        <v>1253</v>
      </c>
      <c r="J5509" s="210" t="s">
        <v>58</v>
      </c>
      <c r="K5509" s="215">
        <v>16919.169999999998</v>
      </c>
      <c r="L5509" s="215"/>
    </row>
    <row r="5510" spans="1:13" ht="11.25" customHeight="1" x14ac:dyDescent="0.2">
      <c r="A5510" s="216">
        <v>2024</v>
      </c>
      <c r="B5510" s="216">
        <v>9</v>
      </c>
      <c r="C5510" s="216">
        <v>12</v>
      </c>
      <c r="D5510" s="217">
        <f t="shared" si="539"/>
        <v>45547</v>
      </c>
      <c r="E5510" s="239">
        <f t="shared" si="541"/>
        <v>45547</v>
      </c>
      <c r="F5510" s="521"/>
      <c r="G5510" s="219" t="s">
        <v>1245</v>
      </c>
      <c r="H5510" s="220"/>
      <c r="I5510" s="220" t="s">
        <v>1253</v>
      </c>
      <c r="J5510" s="216" t="s">
        <v>153</v>
      </c>
      <c r="K5510" s="221"/>
      <c r="L5510" s="221">
        <f>K5509</f>
        <v>16919.169999999998</v>
      </c>
    </row>
    <row r="5511" spans="1:13" ht="11.25" customHeight="1" x14ac:dyDescent="0.2">
      <c r="A5511" s="312">
        <v>2024</v>
      </c>
      <c r="B5511" s="312">
        <v>9</v>
      </c>
      <c r="C5511" s="312">
        <v>12</v>
      </c>
      <c r="D5511" s="313">
        <f t="shared" si="539"/>
        <v>45547</v>
      </c>
      <c r="E5511" s="314">
        <f t="shared" si="541"/>
        <v>45547</v>
      </c>
      <c r="F5511" s="522" t="s">
        <v>1477</v>
      </c>
      <c r="G5511" s="315" t="s">
        <v>1245</v>
      </c>
      <c r="H5511" s="316"/>
      <c r="I5511" s="316" t="s">
        <v>1253</v>
      </c>
      <c r="J5511" s="312" t="s">
        <v>1458</v>
      </c>
      <c r="K5511" s="317">
        <v>360536.29999999702</v>
      </c>
      <c r="L5511" s="317"/>
    </row>
    <row r="5512" spans="1:13" ht="11.25" customHeight="1" x14ac:dyDescent="0.2">
      <c r="A5512" s="318">
        <v>2024</v>
      </c>
      <c r="B5512" s="318">
        <v>9</v>
      </c>
      <c r="C5512" s="318">
        <v>12</v>
      </c>
      <c r="D5512" s="319">
        <f t="shared" si="539"/>
        <v>45547</v>
      </c>
      <c r="E5512" s="320">
        <f t="shared" si="541"/>
        <v>45547</v>
      </c>
      <c r="F5512" s="523"/>
      <c r="G5512" s="321" t="s">
        <v>1245</v>
      </c>
      <c r="H5512" s="322"/>
      <c r="I5512" s="322" t="s">
        <v>1253</v>
      </c>
      <c r="J5512" s="318" t="s">
        <v>1460</v>
      </c>
      <c r="K5512" s="323"/>
      <c r="L5512" s="323">
        <f>K5511</f>
        <v>360536.29999999702</v>
      </c>
    </row>
    <row r="5513" spans="1:13" ht="11.25" customHeight="1" x14ac:dyDescent="0.2">
      <c r="A5513" s="312">
        <v>2024</v>
      </c>
      <c r="B5513" s="312">
        <v>9</v>
      </c>
      <c r="C5513" s="312">
        <v>12</v>
      </c>
      <c r="D5513" s="313">
        <f t="shared" si="539"/>
        <v>45547</v>
      </c>
      <c r="E5513" s="314">
        <f t="shared" si="541"/>
        <v>45547</v>
      </c>
      <c r="F5513" s="522" t="s">
        <v>1595</v>
      </c>
      <c r="G5513" s="315" t="s">
        <v>1245</v>
      </c>
      <c r="H5513" s="316"/>
      <c r="I5513" s="316" t="s">
        <v>1253</v>
      </c>
      <c r="J5513" s="312" t="s">
        <v>1461</v>
      </c>
      <c r="K5513" s="317">
        <v>464838.72299998999</v>
      </c>
      <c r="L5513" s="317"/>
    </row>
    <row r="5514" spans="1:13" ht="11.25" customHeight="1" x14ac:dyDescent="0.2">
      <c r="A5514" s="318">
        <v>2024</v>
      </c>
      <c r="B5514" s="318">
        <v>9</v>
      </c>
      <c r="C5514" s="318">
        <v>12</v>
      </c>
      <c r="D5514" s="319">
        <f t="shared" si="539"/>
        <v>45547</v>
      </c>
      <c r="E5514" s="320">
        <f t="shared" si="541"/>
        <v>45547</v>
      </c>
      <c r="F5514" s="523"/>
      <c r="G5514" s="321" t="s">
        <v>1245</v>
      </c>
      <c r="H5514" s="322"/>
      <c r="I5514" s="322" t="s">
        <v>1253</v>
      </c>
      <c r="J5514" s="318" t="s">
        <v>1459</v>
      </c>
      <c r="K5514" s="323"/>
      <c r="L5514" s="323">
        <f>K5513</f>
        <v>464838.72299998999</v>
      </c>
    </row>
    <row r="5515" spans="1:13" ht="11.25" customHeight="1" x14ac:dyDescent="0.2">
      <c r="A5515" s="222">
        <v>2024</v>
      </c>
      <c r="B5515" s="222">
        <v>9</v>
      </c>
      <c r="C5515" s="222">
        <v>12</v>
      </c>
      <c r="D5515" s="223">
        <f t="shared" si="539"/>
        <v>45547</v>
      </c>
      <c r="E5515" s="240">
        <f t="shared" si="541"/>
        <v>45547</v>
      </c>
      <c r="F5515" s="511" t="s">
        <v>1244</v>
      </c>
      <c r="G5515" s="225" t="s">
        <v>1245</v>
      </c>
      <c r="H5515" s="226"/>
      <c r="I5515" s="226" t="s">
        <v>1253</v>
      </c>
      <c r="J5515" s="222" t="s">
        <v>87</v>
      </c>
      <c r="K5515" s="227">
        <v>5230</v>
      </c>
      <c r="L5515" s="227"/>
    </row>
    <row r="5516" spans="1:13" ht="11.25" customHeight="1" x14ac:dyDescent="0.2">
      <c r="A5516" s="228">
        <v>2024</v>
      </c>
      <c r="B5516" s="228">
        <v>9</v>
      </c>
      <c r="C5516" s="228">
        <v>12</v>
      </c>
      <c r="D5516" s="229">
        <f t="shared" si="539"/>
        <v>45547</v>
      </c>
      <c r="E5516" s="241">
        <f t="shared" si="541"/>
        <v>45547</v>
      </c>
      <c r="F5516" s="512"/>
      <c r="G5516" s="231" t="s">
        <v>1245</v>
      </c>
      <c r="H5516" s="232"/>
      <c r="I5516" s="232" t="s">
        <v>1253</v>
      </c>
      <c r="J5516" s="228" t="s">
        <v>72</v>
      </c>
      <c r="K5516" s="233"/>
      <c r="L5516" s="233">
        <f>K5515</f>
        <v>5230</v>
      </c>
    </row>
    <row r="5517" spans="1:13" ht="11.25" customHeight="1" x14ac:dyDescent="0.2">
      <c r="A5517" s="222">
        <v>2024</v>
      </c>
      <c r="B5517" s="222">
        <v>9</v>
      </c>
      <c r="C5517" s="222">
        <v>12</v>
      </c>
      <c r="D5517" s="223">
        <f t="shared" si="539"/>
        <v>45547</v>
      </c>
      <c r="E5517" s="240">
        <f t="shared" si="541"/>
        <v>45547</v>
      </c>
      <c r="F5517" s="511" t="s">
        <v>1246</v>
      </c>
      <c r="G5517" s="225" t="s">
        <v>1245</v>
      </c>
      <c r="H5517" s="226"/>
      <c r="I5517" s="226" t="s">
        <v>1253</v>
      </c>
      <c r="J5517" s="222" t="s">
        <v>75</v>
      </c>
      <c r="K5517" s="227">
        <v>3623.123846153846</v>
      </c>
      <c r="L5517" s="227"/>
    </row>
    <row r="5518" spans="1:13" ht="11.25" customHeight="1" x14ac:dyDescent="0.2">
      <c r="A5518" s="228">
        <v>2024</v>
      </c>
      <c r="B5518" s="228">
        <v>9</v>
      </c>
      <c r="C5518" s="228">
        <v>12</v>
      </c>
      <c r="D5518" s="229">
        <f t="shared" si="539"/>
        <v>45547</v>
      </c>
      <c r="E5518" s="241">
        <f t="shared" si="541"/>
        <v>45547</v>
      </c>
      <c r="F5518" s="512"/>
      <c r="G5518" s="231" t="s">
        <v>1245</v>
      </c>
      <c r="H5518" s="232"/>
      <c r="I5518" s="232" t="s">
        <v>1253</v>
      </c>
      <c r="J5518" s="228" t="s">
        <v>55</v>
      </c>
      <c r="K5518" s="233"/>
      <c r="L5518" s="233">
        <v>3623.123846153846</v>
      </c>
    </row>
    <row r="5519" spans="1:13" ht="11.25" customHeight="1" x14ac:dyDescent="0.2">
      <c r="A5519" s="222">
        <v>2024</v>
      </c>
      <c r="B5519" s="222">
        <v>9</v>
      </c>
      <c r="C5519" s="222">
        <v>12</v>
      </c>
      <c r="D5519" s="223">
        <f t="shared" si="539"/>
        <v>45547</v>
      </c>
      <c r="E5519" s="240">
        <f t="shared" si="541"/>
        <v>45547</v>
      </c>
      <c r="F5519" s="511" t="s">
        <v>1247</v>
      </c>
      <c r="G5519" s="225" t="s">
        <v>1245</v>
      </c>
      <c r="H5519" s="226"/>
      <c r="I5519" s="226" t="s">
        <v>1253</v>
      </c>
      <c r="J5519" s="222" t="s">
        <v>77</v>
      </c>
      <c r="K5519" s="227">
        <f>M5519</f>
        <v>38004.148805479956</v>
      </c>
      <c r="L5519" s="227"/>
      <c r="M5519" s="120">
        <v>38004.148805479956</v>
      </c>
    </row>
    <row r="5520" spans="1:13" ht="11.25" customHeight="1" x14ac:dyDescent="0.2">
      <c r="A5520" s="228">
        <v>2024</v>
      </c>
      <c r="B5520" s="228">
        <v>9</v>
      </c>
      <c r="C5520" s="228">
        <v>12</v>
      </c>
      <c r="D5520" s="229">
        <f t="shared" si="539"/>
        <v>45547</v>
      </c>
      <c r="E5520" s="241">
        <f t="shared" si="541"/>
        <v>45547</v>
      </c>
      <c r="F5520" s="512"/>
      <c r="G5520" s="231" t="s">
        <v>1245</v>
      </c>
      <c r="H5520" s="232"/>
      <c r="I5520" s="232" t="s">
        <v>1253</v>
      </c>
      <c r="J5520" s="228" t="s">
        <v>41</v>
      </c>
      <c r="K5520" s="233"/>
      <c r="L5520" s="233">
        <f>K5519</f>
        <v>38004.148805479956</v>
      </c>
      <c r="M5520" s="120">
        <v>3800.4148805479958</v>
      </c>
    </row>
    <row r="5521" spans="1:12" ht="11.25" customHeight="1" x14ac:dyDescent="0.2">
      <c r="A5521" s="222">
        <v>2024</v>
      </c>
      <c r="B5521" s="222">
        <v>9</v>
      </c>
      <c r="C5521" s="222">
        <v>12</v>
      </c>
      <c r="D5521" s="223">
        <f t="shared" si="539"/>
        <v>45547</v>
      </c>
      <c r="E5521" s="240">
        <f t="shared" si="541"/>
        <v>45547</v>
      </c>
      <c r="F5521" s="511" t="s">
        <v>1248</v>
      </c>
      <c r="G5521" s="225" t="s">
        <v>1245</v>
      </c>
      <c r="H5521" s="226"/>
      <c r="I5521" s="226" t="s">
        <v>1253</v>
      </c>
      <c r="J5521" s="222" t="s">
        <v>80</v>
      </c>
      <c r="K5521" s="227">
        <f>M5520</f>
        <v>3800.4148805479958</v>
      </c>
      <c r="L5521" s="227"/>
    </row>
    <row r="5522" spans="1:12" x14ac:dyDescent="0.2">
      <c r="A5522" s="228">
        <v>2024</v>
      </c>
      <c r="B5522" s="228">
        <v>9</v>
      </c>
      <c r="C5522" s="228">
        <v>12</v>
      </c>
      <c r="D5522" s="229">
        <f t="shared" si="539"/>
        <v>45547</v>
      </c>
      <c r="E5522" s="241">
        <f t="shared" si="541"/>
        <v>45547</v>
      </c>
      <c r="F5522" s="512"/>
      <c r="G5522" s="231" t="s">
        <v>1245</v>
      </c>
      <c r="H5522" s="232"/>
      <c r="I5522" s="232" t="s">
        <v>1253</v>
      </c>
      <c r="J5522" s="228" t="s">
        <v>42</v>
      </c>
      <c r="K5522" s="233"/>
      <c r="L5522" s="233">
        <f>K5521</f>
        <v>3800.4148805479958</v>
      </c>
    </row>
    <row r="5523" spans="1:12" ht="11.25" customHeight="1" x14ac:dyDescent="0.2">
      <c r="A5523" s="197">
        <v>2024</v>
      </c>
      <c r="B5523" s="197">
        <v>9</v>
      </c>
      <c r="C5523" s="197">
        <v>14</v>
      </c>
      <c r="D5523" s="198">
        <f t="shared" si="539"/>
        <v>45549</v>
      </c>
      <c r="E5523" s="209">
        <f t="shared" si="541"/>
        <v>45549</v>
      </c>
      <c r="F5523" s="513" t="s">
        <v>1210</v>
      </c>
      <c r="G5523" s="200" t="s">
        <v>1209</v>
      </c>
      <c r="H5523" s="201"/>
      <c r="I5523" s="201" t="s">
        <v>648</v>
      </c>
      <c r="J5523" s="197" t="s">
        <v>46</v>
      </c>
      <c r="K5523" s="202">
        <v>497466</v>
      </c>
      <c r="L5523" s="202"/>
    </row>
    <row r="5524" spans="1:12" ht="11.25" customHeight="1" x14ac:dyDescent="0.2">
      <c r="A5524" s="120">
        <v>2024</v>
      </c>
      <c r="B5524" s="120">
        <v>9</v>
      </c>
      <c r="C5524" s="120">
        <v>14</v>
      </c>
      <c r="D5524" s="208">
        <f t="shared" si="539"/>
        <v>45549</v>
      </c>
      <c r="E5524" s="209">
        <f t="shared" si="541"/>
        <v>45549</v>
      </c>
      <c r="F5524" s="515"/>
      <c r="G5524" s="132" t="s">
        <v>1209</v>
      </c>
      <c r="I5524" s="128" t="s">
        <v>648</v>
      </c>
      <c r="J5524" s="120" t="s">
        <v>16</v>
      </c>
      <c r="K5524" s="207"/>
      <c r="L5524" s="207">
        <v>435000</v>
      </c>
    </row>
    <row r="5525" spans="1:12" ht="11.25" customHeight="1" x14ac:dyDescent="0.2">
      <c r="A5525" s="191">
        <v>2024</v>
      </c>
      <c r="B5525" s="191">
        <v>9</v>
      </c>
      <c r="C5525" s="191">
        <v>14</v>
      </c>
      <c r="D5525" s="192">
        <f t="shared" si="539"/>
        <v>45549</v>
      </c>
      <c r="E5525" s="193">
        <f t="shared" si="541"/>
        <v>45549</v>
      </c>
      <c r="F5525" s="514"/>
      <c r="G5525" s="194" t="s">
        <v>1209</v>
      </c>
      <c r="H5525" s="195"/>
      <c r="I5525" s="195" t="s">
        <v>648</v>
      </c>
      <c r="J5525" s="191" t="s">
        <v>47</v>
      </c>
      <c r="K5525" s="196"/>
      <c r="L5525" s="196">
        <v>62466</v>
      </c>
    </row>
    <row r="5526" spans="1:12" ht="11.25" customHeight="1" x14ac:dyDescent="0.2">
      <c r="A5526" s="197">
        <v>2024</v>
      </c>
      <c r="B5526" s="197">
        <v>9</v>
      </c>
      <c r="C5526" s="197">
        <v>15</v>
      </c>
      <c r="D5526" s="198">
        <f t="shared" si="539"/>
        <v>45550</v>
      </c>
      <c r="E5526" s="209">
        <f t="shared" si="541"/>
        <v>45550</v>
      </c>
      <c r="F5526" s="513" t="s">
        <v>1900</v>
      </c>
      <c r="G5526" s="200" t="s">
        <v>1209</v>
      </c>
      <c r="H5526" s="201"/>
      <c r="I5526" s="201"/>
      <c r="J5526" s="197" t="s">
        <v>46</v>
      </c>
      <c r="K5526" s="202">
        <v>84000</v>
      </c>
      <c r="L5526" s="202"/>
    </row>
    <row r="5527" spans="1:12" ht="11.25" customHeight="1" x14ac:dyDescent="0.2">
      <c r="A5527" s="120">
        <v>2024</v>
      </c>
      <c r="B5527" s="120">
        <v>9</v>
      </c>
      <c r="C5527" s="120">
        <v>15</v>
      </c>
      <c r="D5527" s="208">
        <f t="shared" si="539"/>
        <v>45550</v>
      </c>
      <c r="E5527" s="209">
        <f t="shared" si="541"/>
        <v>45550</v>
      </c>
      <c r="F5527" s="515"/>
      <c r="G5527" s="132" t="s">
        <v>1209</v>
      </c>
      <c r="J5527" s="120" t="s">
        <v>16</v>
      </c>
      <c r="K5527" s="207"/>
      <c r="L5527" s="207">
        <v>73450</v>
      </c>
    </row>
    <row r="5528" spans="1:12" ht="11.25" customHeight="1" x14ac:dyDescent="0.2">
      <c r="A5528" s="191">
        <v>2024</v>
      </c>
      <c r="B5528" s="191">
        <v>9</v>
      </c>
      <c r="C5528" s="191">
        <v>15</v>
      </c>
      <c r="D5528" s="192">
        <f t="shared" si="539"/>
        <v>45550</v>
      </c>
      <c r="E5528" s="193">
        <f t="shared" si="541"/>
        <v>45550</v>
      </c>
      <c r="F5528" s="514"/>
      <c r="G5528" s="194" t="s">
        <v>1209</v>
      </c>
      <c r="H5528" s="195"/>
      <c r="I5528" s="195"/>
      <c r="J5528" s="191" t="s">
        <v>47</v>
      </c>
      <c r="K5528" s="196"/>
      <c r="L5528" s="196">
        <v>10550</v>
      </c>
    </row>
    <row r="5529" spans="1:12" ht="11.25" customHeight="1" x14ac:dyDescent="0.2">
      <c r="A5529" s="197">
        <v>2024</v>
      </c>
      <c r="B5529" s="197">
        <v>9</v>
      </c>
      <c r="C5529" s="197">
        <v>15</v>
      </c>
      <c r="D5529" s="198">
        <f t="shared" si="539"/>
        <v>45550</v>
      </c>
      <c r="E5529" s="209">
        <f t="shared" ref="E5529:E5531" si="542">DATE(A5529,B5529,C5529)</f>
        <v>45550</v>
      </c>
      <c r="F5529" s="513" t="s">
        <v>1210</v>
      </c>
      <c r="G5529" s="200" t="s">
        <v>1209</v>
      </c>
      <c r="H5529" s="201"/>
      <c r="I5529" s="201" t="s">
        <v>397</v>
      </c>
      <c r="J5529" s="197" t="s">
        <v>46</v>
      </c>
      <c r="K5529" s="202">
        <v>100000</v>
      </c>
      <c r="L5529" s="202"/>
    </row>
    <row r="5530" spans="1:12" ht="11.25" customHeight="1" x14ac:dyDescent="0.2">
      <c r="A5530" s="120">
        <v>2024</v>
      </c>
      <c r="B5530" s="120">
        <v>9</v>
      </c>
      <c r="C5530" s="120">
        <v>15</v>
      </c>
      <c r="D5530" s="208">
        <f t="shared" si="539"/>
        <v>45550</v>
      </c>
      <c r="E5530" s="209">
        <f t="shared" si="542"/>
        <v>45550</v>
      </c>
      <c r="F5530" s="515"/>
      <c r="G5530" s="132" t="s">
        <v>1209</v>
      </c>
      <c r="I5530" s="128" t="s">
        <v>397</v>
      </c>
      <c r="J5530" s="120" t="s">
        <v>16</v>
      </c>
      <c r="K5530" s="207"/>
      <c r="L5530" s="207">
        <v>87440</v>
      </c>
    </row>
    <row r="5531" spans="1:12" ht="11.25" customHeight="1" x14ac:dyDescent="0.2">
      <c r="A5531" s="191">
        <v>2024</v>
      </c>
      <c r="B5531" s="191">
        <v>9</v>
      </c>
      <c r="C5531" s="191">
        <v>15</v>
      </c>
      <c r="D5531" s="192">
        <f t="shared" si="539"/>
        <v>45550</v>
      </c>
      <c r="E5531" s="193">
        <f t="shared" si="542"/>
        <v>45550</v>
      </c>
      <c r="F5531" s="514"/>
      <c r="G5531" s="194" t="s">
        <v>1209</v>
      </c>
      <c r="H5531" s="195"/>
      <c r="I5531" s="195" t="s">
        <v>397</v>
      </c>
      <c r="J5531" s="191" t="s">
        <v>47</v>
      </c>
      <c r="K5531" s="196"/>
      <c r="L5531" s="196">
        <v>12560</v>
      </c>
    </row>
    <row r="5532" spans="1:12" ht="11.25" customHeight="1" x14ac:dyDescent="0.2">
      <c r="A5532" s="197">
        <v>2024</v>
      </c>
      <c r="B5532" s="197">
        <v>9</v>
      </c>
      <c r="C5532" s="197">
        <v>15</v>
      </c>
      <c r="D5532" s="198">
        <f t="shared" si="539"/>
        <v>45550</v>
      </c>
      <c r="E5532" s="209">
        <f t="shared" ref="E5532:E5537" si="543">DATE(A5532,B5532,C5532)</f>
        <v>45550</v>
      </c>
      <c r="F5532" s="513" t="s">
        <v>1210</v>
      </c>
      <c r="G5532" s="200" t="s">
        <v>1209</v>
      </c>
      <c r="H5532" s="201"/>
      <c r="I5532" s="201" t="s">
        <v>648</v>
      </c>
      <c r="J5532" s="197" t="s">
        <v>46</v>
      </c>
      <c r="K5532" s="202">
        <v>497466</v>
      </c>
      <c r="L5532" s="202"/>
    </row>
    <row r="5533" spans="1:12" ht="11.25" customHeight="1" x14ac:dyDescent="0.2">
      <c r="A5533" s="120">
        <v>2024</v>
      </c>
      <c r="B5533" s="120">
        <v>9</v>
      </c>
      <c r="C5533" s="120">
        <v>15</v>
      </c>
      <c r="D5533" s="208">
        <f t="shared" si="539"/>
        <v>45550</v>
      </c>
      <c r="E5533" s="209">
        <f t="shared" si="543"/>
        <v>45550</v>
      </c>
      <c r="F5533" s="515"/>
      <c r="G5533" s="132" t="s">
        <v>1209</v>
      </c>
      <c r="I5533" s="128" t="s">
        <v>648</v>
      </c>
      <c r="J5533" s="120" t="s">
        <v>16</v>
      </c>
      <c r="K5533" s="207"/>
      <c r="L5533" s="207">
        <v>435000</v>
      </c>
    </row>
    <row r="5534" spans="1:12" ht="11.25" customHeight="1" x14ac:dyDescent="0.2">
      <c r="A5534" s="191">
        <v>2024</v>
      </c>
      <c r="B5534" s="191">
        <v>9</v>
      </c>
      <c r="C5534" s="191">
        <v>15</v>
      </c>
      <c r="D5534" s="192">
        <f t="shared" si="539"/>
        <v>45550</v>
      </c>
      <c r="E5534" s="193">
        <f t="shared" si="543"/>
        <v>45550</v>
      </c>
      <c r="F5534" s="514"/>
      <c r="G5534" s="194" t="s">
        <v>1209</v>
      </c>
      <c r="H5534" s="195"/>
      <c r="I5534" s="195" t="s">
        <v>648</v>
      </c>
      <c r="J5534" s="191" t="s">
        <v>47</v>
      </c>
      <c r="K5534" s="196"/>
      <c r="L5534" s="196">
        <v>62466</v>
      </c>
    </row>
    <row r="5535" spans="1:12" ht="11.25" customHeight="1" x14ac:dyDescent="0.2">
      <c r="A5535" s="197">
        <v>2024</v>
      </c>
      <c r="B5535" s="197">
        <v>9</v>
      </c>
      <c r="C5535" s="197">
        <v>17</v>
      </c>
      <c r="D5535" s="198">
        <f t="shared" si="539"/>
        <v>45552</v>
      </c>
      <c r="E5535" s="209">
        <f t="shared" si="543"/>
        <v>45552</v>
      </c>
      <c r="F5535" s="513" t="s">
        <v>1280</v>
      </c>
      <c r="G5535" s="200" t="s">
        <v>1209</v>
      </c>
      <c r="H5535" s="201"/>
      <c r="I5535" s="201" t="s">
        <v>299</v>
      </c>
      <c r="J5535" s="197" t="s">
        <v>16</v>
      </c>
      <c r="K5535" s="202">
        <v>3497730</v>
      </c>
      <c r="L5535" s="202"/>
    </row>
    <row r="5536" spans="1:12" ht="11.25" customHeight="1" x14ac:dyDescent="0.2">
      <c r="A5536" s="120">
        <v>2024</v>
      </c>
      <c r="B5536" s="120">
        <v>9</v>
      </c>
      <c r="C5536" s="120">
        <v>17</v>
      </c>
      <c r="D5536" s="208">
        <f t="shared" si="539"/>
        <v>45552</v>
      </c>
      <c r="E5536" s="209">
        <f t="shared" si="543"/>
        <v>45552</v>
      </c>
      <c r="F5536" s="515"/>
      <c r="G5536" s="132" t="s">
        <v>1209</v>
      </c>
      <c r="I5536" s="128" t="s">
        <v>299</v>
      </c>
      <c r="J5536" s="120" t="s">
        <v>47</v>
      </c>
      <c r="K5536" s="207">
        <v>502270</v>
      </c>
      <c r="L5536" s="207"/>
    </row>
    <row r="5537" spans="1:15" ht="11.25" customHeight="1" x14ac:dyDescent="0.2">
      <c r="A5537" s="191">
        <v>2024</v>
      </c>
      <c r="B5537" s="191">
        <v>9</v>
      </c>
      <c r="C5537" s="191">
        <v>17</v>
      </c>
      <c r="D5537" s="192">
        <f t="shared" si="539"/>
        <v>45552</v>
      </c>
      <c r="E5537" s="193">
        <f t="shared" si="543"/>
        <v>45552</v>
      </c>
      <c r="F5537" s="514"/>
      <c r="G5537" s="194" t="s">
        <v>1209</v>
      </c>
      <c r="H5537" s="195"/>
      <c r="I5537" s="195" t="s">
        <v>299</v>
      </c>
      <c r="J5537" s="191" t="s">
        <v>46</v>
      </c>
      <c r="K5537" s="196"/>
      <c r="L5537" s="196">
        <v>4000000</v>
      </c>
    </row>
    <row r="5538" spans="1:15" ht="11.25" customHeight="1" x14ac:dyDescent="0.2">
      <c r="A5538" s="197">
        <v>2024</v>
      </c>
      <c r="B5538" s="197">
        <v>9</v>
      </c>
      <c r="C5538" s="197">
        <v>17</v>
      </c>
      <c r="D5538" s="198">
        <f t="shared" si="539"/>
        <v>45552</v>
      </c>
      <c r="E5538" s="209">
        <f t="shared" ref="E5538:E5540" si="544">DATE(A5538,B5538,C5538)</f>
        <v>45552</v>
      </c>
      <c r="F5538" s="513" t="s">
        <v>1210</v>
      </c>
      <c r="G5538" s="200" t="s">
        <v>1209</v>
      </c>
      <c r="H5538" s="201"/>
      <c r="I5538" s="201" t="s">
        <v>648</v>
      </c>
      <c r="J5538" s="197" t="s">
        <v>46</v>
      </c>
      <c r="K5538" s="202">
        <v>148668</v>
      </c>
      <c r="L5538" s="202"/>
    </row>
    <row r="5539" spans="1:15" ht="11.25" customHeight="1" x14ac:dyDescent="0.2">
      <c r="A5539" s="120">
        <v>2024</v>
      </c>
      <c r="B5539" s="120">
        <v>9</v>
      </c>
      <c r="C5539" s="120">
        <v>17</v>
      </c>
      <c r="D5539" s="208">
        <f t="shared" si="539"/>
        <v>45552</v>
      </c>
      <c r="E5539" s="209">
        <f t="shared" si="544"/>
        <v>45552</v>
      </c>
      <c r="F5539" s="515"/>
      <c r="G5539" s="132" t="s">
        <v>1209</v>
      </c>
      <c r="I5539" s="128" t="s">
        <v>648</v>
      </c>
      <c r="J5539" s="120" t="s">
        <v>16</v>
      </c>
      <c r="K5539" s="207"/>
      <c r="L5539" s="207">
        <v>130000</v>
      </c>
    </row>
    <row r="5540" spans="1:15" ht="11.25" customHeight="1" x14ac:dyDescent="0.2">
      <c r="A5540" s="191">
        <v>2024</v>
      </c>
      <c r="B5540" s="191">
        <v>9</v>
      </c>
      <c r="C5540" s="191">
        <v>17</v>
      </c>
      <c r="D5540" s="192">
        <f t="shared" si="539"/>
        <v>45552</v>
      </c>
      <c r="E5540" s="193">
        <f t="shared" si="544"/>
        <v>45552</v>
      </c>
      <c r="F5540" s="514"/>
      <c r="G5540" s="194" t="s">
        <v>1209</v>
      </c>
      <c r="H5540" s="195"/>
      <c r="I5540" s="195" t="s">
        <v>648</v>
      </c>
      <c r="J5540" s="191" t="s">
        <v>47</v>
      </c>
      <c r="K5540" s="196"/>
      <c r="L5540" s="196">
        <v>18668</v>
      </c>
    </row>
    <row r="5541" spans="1:15" ht="11.25" customHeight="1" x14ac:dyDescent="0.2">
      <c r="A5541" s="197">
        <v>2024</v>
      </c>
      <c r="B5541" s="197">
        <v>9</v>
      </c>
      <c r="C5541" s="197">
        <v>17</v>
      </c>
      <c r="D5541" s="198">
        <f t="shared" si="539"/>
        <v>45552</v>
      </c>
      <c r="E5541" s="209">
        <f t="shared" ref="E5541:E5543" si="545">DATE(A5541,B5541,C5541)</f>
        <v>45552</v>
      </c>
      <c r="F5541" s="513" t="s">
        <v>1210</v>
      </c>
      <c r="G5541" s="200" t="s">
        <v>1209</v>
      </c>
      <c r="H5541" s="201"/>
      <c r="I5541" s="201" t="s">
        <v>481</v>
      </c>
      <c r="J5541" s="197" t="s">
        <v>46</v>
      </c>
      <c r="K5541" s="202">
        <v>15000</v>
      </c>
      <c r="L5541" s="202"/>
    </row>
    <row r="5542" spans="1:15" ht="11.25" customHeight="1" x14ac:dyDescent="0.2">
      <c r="A5542" s="120">
        <v>2024</v>
      </c>
      <c r="B5542" s="120">
        <v>9</v>
      </c>
      <c r="C5542" s="120">
        <v>17</v>
      </c>
      <c r="D5542" s="208">
        <f t="shared" si="539"/>
        <v>45552</v>
      </c>
      <c r="E5542" s="209">
        <f t="shared" si="545"/>
        <v>45552</v>
      </c>
      <c r="F5542" s="515"/>
      <c r="G5542" s="132" t="s">
        <v>1209</v>
      </c>
      <c r="I5542" s="128" t="s">
        <v>481</v>
      </c>
      <c r="J5542" s="120" t="s">
        <v>16</v>
      </c>
      <c r="K5542" s="207"/>
      <c r="L5542" s="207">
        <v>13120</v>
      </c>
    </row>
    <row r="5543" spans="1:15" ht="11.25" customHeight="1" x14ac:dyDescent="0.2">
      <c r="A5543" s="191">
        <v>2024</v>
      </c>
      <c r="B5543" s="191">
        <v>9</v>
      </c>
      <c r="C5543" s="191">
        <v>17</v>
      </c>
      <c r="D5543" s="192">
        <f t="shared" si="539"/>
        <v>45552</v>
      </c>
      <c r="E5543" s="193">
        <f t="shared" si="545"/>
        <v>45552</v>
      </c>
      <c r="F5543" s="514"/>
      <c r="G5543" s="194" t="s">
        <v>1209</v>
      </c>
      <c r="H5543" s="195"/>
      <c r="I5543" s="195" t="s">
        <v>481</v>
      </c>
      <c r="J5543" s="191" t="s">
        <v>47</v>
      </c>
      <c r="K5543" s="196"/>
      <c r="L5543" s="196">
        <v>1880</v>
      </c>
    </row>
    <row r="5544" spans="1:15" ht="11.25" customHeight="1" x14ac:dyDescent="0.2">
      <c r="A5544" s="197">
        <v>2024</v>
      </c>
      <c r="B5544" s="197">
        <v>9</v>
      </c>
      <c r="C5544" s="197">
        <v>18</v>
      </c>
      <c r="D5544" s="198">
        <f t="shared" si="539"/>
        <v>45553</v>
      </c>
      <c r="E5544" s="209">
        <f t="shared" ref="E5544:E5548" si="546">DATE(A5544,B5544,C5544)</f>
        <v>45553</v>
      </c>
      <c r="F5544" s="513" t="s">
        <v>1210</v>
      </c>
      <c r="G5544" s="200" t="s">
        <v>1209</v>
      </c>
      <c r="H5544" s="201"/>
      <c r="I5544" s="201" t="s">
        <v>384</v>
      </c>
      <c r="J5544" s="197" t="s">
        <v>46</v>
      </c>
      <c r="K5544" s="202">
        <v>250000</v>
      </c>
      <c r="L5544" s="202"/>
    </row>
    <row r="5545" spans="1:15" ht="11.25" customHeight="1" x14ac:dyDescent="0.2">
      <c r="A5545" s="120">
        <v>2024</v>
      </c>
      <c r="B5545" s="120">
        <v>9</v>
      </c>
      <c r="C5545" s="120">
        <v>18</v>
      </c>
      <c r="D5545" s="208">
        <f t="shared" si="539"/>
        <v>45553</v>
      </c>
      <c r="E5545" s="209">
        <f t="shared" si="546"/>
        <v>45553</v>
      </c>
      <c r="F5545" s="515"/>
      <c r="G5545" s="132" t="s">
        <v>1209</v>
      </c>
      <c r="I5545" s="128" t="s">
        <v>384</v>
      </c>
      <c r="J5545" s="120" t="s">
        <v>16</v>
      </c>
      <c r="K5545" s="207"/>
      <c r="L5545" s="207">
        <v>218610</v>
      </c>
    </row>
    <row r="5546" spans="1:15" ht="11.25" customHeight="1" x14ac:dyDescent="0.2">
      <c r="A5546" s="191">
        <v>2024</v>
      </c>
      <c r="B5546" s="191">
        <v>9</v>
      </c>
      <c r="C5546" s="191">
        <v>18</v>
      </c>
      <c r="D5546" s="192">
        <f t="shared" si="539"/>
        <v>45553</v>
      </c>
      <c r="E5546" s="193">
        <f t="shared" si="546"/>
        <v>45553</v>
      </c>
      <c r="F5546" s="514"/>
      <c r="G5546" s="194" t="s">
        <v>1209</v>
      </c>
      <c r="H5546" s="195"/>
      <c r="I5546" s="195" t="s">
        <v>384</v>
      </c>
      <c r="J5546" s="191" t="s">
        <v>47</v>
      </c>
      <c r="K5546" s="196"/>
      <c r="L5546" s="196">
        <v>31390</v>
      </c>
    </row>
    <row r="5547" spans="1:15" ht="11.25" customHeight="1" x14ac:dyDescent="0.2">
      <c r="A5547" s="197">
        <v>2024</v>
      </c>
      <c r="B5547" s="197">
        <v>9</v>
      </c>
      <c r="C5547" s="197">
        <v>18</v>
      </c>
      <c r="D5547" s="198">
        <f t="shared" si="539"/>
        <v>45553</v>
      </c>
      <c r="E5547" s="290">
        <f t="shared" si="546"/>
        <v>45553</v>
      </c>
      <c r="F5547" s="513" t="s">
        <v>1514</v>
      </c>
      <c r="G5547" s="200" t="s">
        <v>1209</v>
      </c>
      <c r="H5547" s="201"/>
      <c r="I5547" s="201"/>
      <c r="J5547" s="197" t="s">
        <v>54</v>
      </c>
      <c r="K5547" s="202">
        <v>20</v>
      </c>
      <c r="L5547" s="202"/>
      <c r="M5547" s="251"/>
      <c r="N5547" s="251"/>
      <c r="O5547" s="251"/>
    </row>
    <row r="5548" spans="1:15" ht="11.25" customHeight="1" x14ac:dyDescent="0.2">
      <c r="A5548" s="191">
        <v>2024</v>
      </c>
      <c r="B5548" s="191">
        <v>9</v>
      </c>
      <c r="C5548" s="191">
        <v>18</v>
      </c>
      <c r="D5548" s="192">
        <f t="shared" ref="D5548:D5611" si="547">DATE(A5548,B5548,C5548)</f>
        <v>45553</v>
      </c>
      <c r="E5548" s="291">
        <f t="shared" si="546"/>
        <v>45553</v>
      </c>
      <c r="F5548" s="514"/>
      <c r="G5548" s="194" t="s">
        <v>1209</v>
      </c>
      <c r="H5548" s="195"/>
      <c r="I5548" s="195"/>
      <c r="J5548" s="191" t="s">
        <v>46</v>
      </c>
      <c r="K5548" s="196"/>
      <c r="L5548" s="196">
        <v>20</v>
      </c>
      <c r="M5548" s="251"/>
      <c r="N5548" s="251"/>
      <c r="O5548" s="251"/>
    </row>
    <row r="5549" spans="1:15" ht="11.25" customHeight="1" x14ac:dyDescent="0.2">
      <c r="A5549" s="197">
        <v>2024</v>
      </c>
      <c r="B5549" s="197">
        <v>9</v>
      </c>
      <c r="C5549" s="197">
        <v>19</v>
      </c>
      <c r="D5549" s="198">
        <f t="shared" si="547"/>
        <v>45554</v>
      </c>
      <c r="E5549" s="209">
        <f t="shared" ref="E5549:E5551" si="548">DATE(A5549,B5549,C5549)</f>
        <v>45554</v>
      </c>
      <c r="F5549" s="513" t="s">
        <v>1210</v>
      </c>
      <c r="G5549" s="200" t="s">
        <v>1209</v>
      </c>
      <c r="H5549" s="201"/>
      <c r="I5549" s="201" t="s">
        <v>1293</v>
      </c>
      <c r="J5549" s="197" t="s">
        <v>46</v>
      </c>
      <c r="K5549" s="202">
        <v>2000000</v>
      </c>
      <c r="L5549" s="202"/>
    </row>
    <row r="5550" spans="1:15" ht="11.25" customHeight="1" x14ac:dyDescent="0.2">
      <c r="A5550" s="120">
        <v>2024</v>
      </c>
      <c r="B5550" s="120">
        <v>9</v>
      </c>
      <c r="C5550" s="120">
        <v>19</v>
      </c>
      <c r="D5550" s="208">
        <f t="shared" si="547"/>
        <v>45554</v>
      </c>
      <c r="E5550" s="209">
        <f t="shared" si="548"/>
        <v>45554</v>
      </c>
      <c r="F5550" s="515"/>
      <c r="G5550" s="132" t="s">
        <v>1209</v>
      </c>
      <c r="I5550" s="128" t="s">
        <v>1293</v>
      </c>
      <c r="J5550" s="120" t="s">
        <v>16</v>
      </c>
      <c r="K5550" s="207"/>
      <c r="L5550" s="207">
        <v>1748860</v>
      </c>
    </row>
    <row r="5551" spans="1:15" ht="11.25" customHeight="1" x14ac:dyDescent="0.2">
      <c r="A5551" s="191">
        <v>2024</v>
      </c>
      <c r="B5551" s="191">
        <v>9</v>
      </c>
      <c r="C5551" s="191">
        <v>19</v>
      </c>
      <c r="D5551" s="192">
        <f t="shared" si="547"/>
        <v>45554</v>
      </c>
      <c r="E5551" s="193">
        <f t="shared" si="548"/>
        <v>45554</v>
      </c>
      <c r="F5551" s="514"/>
      <c r="G5551" s="194" t="s">
        <v>1209</v>
      </c>
      <c r="H5551" s="195"/>
      <c r="I5551" s="195" t="s">
        <v>1293</v>
      </c>
      <c r="J5551" s="191" t="s">
        <v>47</v>
      </c>
      <c r="K5551" s="196"/>
      <c r="L5551" s="196">
        <v>251140</v>
      </c>
    </row>
    <row r="5552" spans="1:15" ht="11.25" customHeight="1" x14ac:dyDescent="0.2">
      <c r="A5552" s="197">
        <v>2024</v>
      </c>
      <c r="B5552" s="197">
        <v>9</v>
      </c>
      <c r="C5552" s="197">
        <v>19</v>
      </c>
      <c r="D5552" s="198">
        <f t="shared" si="547"/>
        <v>45554</v>
      </c>
      <c r="E5552" s="290">
        <f t="shared" ref="E5552:E5565" si="549">DATE(A5552,B5552,C5552)</f>
        <v>45554</v>
      </c>
      <c r="F5552" s="513" t="s">
        <v>1514</v>
      </c>
      <c r="G5552" s="200" t="s">
        <v>1209</v>
      </c>
      <c r="H5552" s="201"/>
      <c r="I5552" s="201"/>
      <c r="J5552" s="197" t="s">
        <v>54</v>
      </c>
      <c r="K5552" s="202">
        <v>60</v>
      </c>
      <c r="L5552" s="202"/>
      <c r="M5552" s="251"/>
      <c r="N5552" s="251"/>
      <c r="O5552" s="251"/>
    </row>
    <row r="5553" spans="1:15" ht="11.25" customHeight="1" x14ac:dyDescent="0.2">
      <c r="A5553" s="191">
        <v>2024</v>
      </c>
      <c r="B5553" s="191">
        <v>9</v>
      </c>
      <c r="C5553" s="191">
        <v>19</v>
      </c>
      <c r="D5553" s="192">
        <f t="shared" si="547"/>
        <v>45554</v>
      </c>
      <c r="E5553" s="291">
        <f t="shared" si="549"/>
        <v>45554</v>
      </c>
      <c r="F5553" s="514"/>
      <c r="G5553" s="194" t="s">
        <v>1209</v>
      </c>
      <c r="H5553" s="195"/>
      <c r="I5553" s="195"/>
      <c r="J5553" s="191" t="s">
        <v>46</v>
      </c>
      <c r="K5553" s="196"/>
      <c r="L5553" s="196">
        <v>60</v>
      </c>
      <c r="M5553" s="251"/>
      <c r="N5553" s="251"/>
      <c r="O5553" s="251"/>
    </row>
    <row r="5554" spans="1:15" ht="11.25" customHeight="1" x14ac:dyDescent="0.2">
      <c r="A5554" s="197">
        <v>2024</v>
      </c>
      <c r="B5554" s="197">
        <v>9</v>
      </c>
      <c r="C5554" s="197">
        <v>19</v>
      </c>
      <c r="D5554" s="198">
        <f t="shared" si="547"/>
        <v>45554</v>
      </c>
      <c r="E5554" s="209">
        <f t="shared" si="549"/>
        <v>45554</v>
      </c>
      <c r="F5554" s="513" t="s">
        <v>1210</v>
      </c>
      <c r="G5554" s="200" t="s">
        <v>1209</v>
      </c>
      <c r="H5554" s="201"/>
      <c r="I5554" s="201" t="s">
        <v>648</v>
      </c>
      <c r="J5554" s="197" t="s">
        <v>46</v>
      </c>
      <c r="K5554" s="202">
        <v>228720</v>
      </c>
      <c r="L5554" s="202"/>
    </row>
    <row r="5555" spans="1:15" ht="11.25" customHeight="1" x14ac:dyDescent="0.2">
      <c r="A5555" s="120">
        <v>2024</v>
      </c>
      <c r="B5555" s="120">
        <v>9</v>
      </c>
      <c r="C5555" s="120">
        <v>19</v>
      </c>
      <c r="D5555" s="208">
        <f t="shared" si="547"/>
        <v>45554</v>
      </c>
      <c r="E5555" s="209">
        <f t="shared" si="549"/>
        <v>45554</v>
      </c>
      <c r="F5555" s="515"/>
      <c r="G5555" s="132" t="s">
        <v>1209</v>
      </c>
      <c r="I5555" s="128" t="s">
        <v>648</v>
      </c>
      <c r="J5555" s="120" t="s">
        <v>16</v>
      </c>
      <c r="K5555" s="207"/>
      <c r="L5555" s="207">
        <v>200000</v>
      </c>
    </row>
    <row r="5556" spans="1:15" ht="11.25" customHeight="1" x14ac:dyDescent="0.2">
      <c r="A5556" s="191">
        <v>2024</v>
      </c>
      <c r="B5556" s="191">
        <v>9</v>
      </c>
      <c r="C5556" s="191">
        <v>19</v>
      </c>
      <c r="D5556" s="192">
        <f t="shared" si="547"/>
        <v>45554</v>
      </c>
      <c r="E5556" s="193">
        <f t="shared" si="549"/>
        <v>45554</v>
      </c>
      <c r="F5556" s="514"/>
      <c r="G5556" s="194" t="s">
        <v>1209</v>
      </c>
      <c r="H5556" s="195"/>
      <c r="I5556" s="195" t="s">
        <v>648</v>
      </c>
      <c r="J5556" s="191" t="s">
        <v>47</v>
      </c>
      <c r="K5556" s="196"/>
      <c r="L5556" s="196">
        <v>28720</v>
      </c>
    </row>
    <row r="5557" spans="1:15" ht="11.25" customHeight="1" x14ac:dyDescent="0.2">
      <c r="A5557" s="382">
        <v>2024</v>
      </c>
      <c r="B5557" s="382">
        <v>9</v>
      </c>
      <c r="C5557" s="382">
        <v>19</v>
      </c>
      <c r="D5557" s="383">
        <f t="shared" si="547"/>
        <v>45554</v>
      </c>
      <c r="E5557" s="384">
        <f t="shared" si="549"/>
        <v>45554</v>
      </c>
      <c r="F5557" s="516" t="s">
        <v>1850</v>
      </c>
      <c r="G5557" s="385" t="s">
        <v>1209</v>
      </c>
      <c r="H5557" s="386"/>
      <c r="I5557" s="386"/>
      <c r="J5557" s="387" t="s">
        <v>81</v>
      </c>
      <c r="K5557" s="422">
        <v>6973.2450980392159</v>
      </c>
      <c r="L5557" s="422"/>
    </row>
    <row r="5558" spans="1:15" ht="11.25" customHeight="1" x14ac:dyDescent="0.2">
      <c r="A5558" s="389">
        <v>2024</v>
      </c>
      <c r="B5558" s="389">
        <v>9</v>
      </c>
      <c r="C5558" s="389">
        <v>19</v>
      </c>
      <c r="D5558" s="390">
        <f t="shared" si="547"/>
        <v>45554</v>
      </c>
      <c r="E5558" s="391">
        <f t="shared" si="549"/>
        <v>45554</v>
      </c>
      <c r="F5558" s="517"/>
      <c r="G5558" s="392" t="s">
        <v>1209</v>
      </c>
      <c r="H5558" s="393"/>
      <c r="I5558" s="393"/>
      <c r="J5558" s="394" t="s">
        <v>1847</v>
      </c>
      <c r="K5558" s="423"/>
      <c r="L5558" s="423">
        <v>6973.2450980392159</v>
      </c>
    </row>
    <row r="5559" spans="1:15" ht="11.25" customHeight="1" x14ac:dyDescent="0.2">
      <c r="A5559" s="382">
        <v>2024</v>
      </c>
      <c r="B5559" s="382">
        <v>9</v>
      </c>
      <c r="C5559" s="382">
        <v>19</v>
      </c>
      <c r="D5559" s="383">
        <f t="shared" si="547"/>
        <v>45554</v>
      </c>
      <c r="E5559" s="384">
        <f t="shared" si="549"/>
        <v>45554</v>
      </c>
      <c r="F5559" s="516" t="s">
        <v>1892</v>
      </c>
      <c r="G5559" s="385" t="s">
        <v>1209</v>
      </c>
      <c r="H5559" s="386"/>
      <c r="I5559" s="386"/>
      <c r="J5559" s="387" t="s">
        <v>173</v>
      </c>
      <c r="K5559" s="388">
        <v>4077.2974084895827</v>
      </c>
      <c r="L5559" s="388"/>
    </row>
    <row r="5560" spans="1:15" ht="11.25" customHeight="1" x14ac:dyDescent="0.2">
      <c r="A5560" s="389">
        <v>2024</v>
      </c>
      <c r="B5560" s="389">
        <v>9</v>
      </c>
      <c r="C5560" s="389">
        <v>19</v>
      </c>
      <c r="D5560" s="390">
        <f t="shared" si="547"/>
        <v>45554</v>
      </c>
      <c r="E5560" s="391">
        <f t="shared" si="549"/>
        <v>45554</v>
      </c>
      <c r="F5560" s="517"/>
      <c r="G5560" s="392" t="s">
        <v>1209</v>
      </c>
      <c r="H5560" s="393"/>
      <c r="I5560" s="393"/>
      <c r="J5560" s="394" t="s">
        <v>43</v>
      </c>
      <c r="K5560" s="388"/>
      <c r="L5560" s="388">
        <v>4077.2974084895827</v>
      </c>
    </row>
    <row r="5561" spans="1:15" ht="11.25" customHeight="1" x14ac:dyDescent="0.2">
      <c r="A5561" s="344">
        <v>2024</v>
      </c>
      <c r="B5561" s="344">
        <v>9</v>
      </c>
      <c r="C5561" s="344">
        <v>19</v>
      </c>
      <c r="D5561" s="345">
        <f t="shared" si="547"/>
        <v>45554</v>
      </c>
      <c r="E5561" s="346">
        <f t="shared" si="549"/>
        <v>45554</v>
      </c>
      <c r="F5561" s="518" t="s">
        <v>1621</v>
      </c>
      <c r="G5561" s="347" t="s">
        <v>1245</v>
      </c>
      <c r="H5561" s="348"/>
      <c r="I5561" s="348" t="s">
        <v>1253</v>
      </c>
      <c r="J5561" s="344" t="s">
        <v>113</v>
      </c>
      <c r="K5561" s="349">
        <v>244038.46153846153</v>
      </c>
      <c r="L5561" s="349"/>
    </row>
    <row r="5562" spans="1:15" ht="11.25" customHeight="1" x14ac:dyDescent="0.2">
      <c r="A5562" s="350">
        <v>2024</v>
      </c>
      <c r="B5562" s="350">
        <v>9</v>
      </c>
      <c r="C5562" s="350">
        <v>19</v>
      </c>
      <c r="D5562" s="351">
        <f t="shared" si="547"/>
        <v>45554</v>
      </c>
      <c r="E5562" s="352">
        <f t="shared" si="549"/>
        <v>45554</v>
      </c>
      <c r="F5562" s="519"/>
      <c r="G5562" s="353" t="s">
        <v>1245</v>
      </c>
      <c r="H5562" s="354"/>
      <c r="I5562" s="354" t="s">
        <v>1253</v>
      </c>
      <c r="J5562" s="350" t="s">
        <v>153</v>
      </c>
      <c r="K5562" s="355"/>
      <c r="L5562" s="355">
        <f>K5561</f>
        <v>244038.46153846153</v>
      </c>
    </row>
    <row r="5563" spans="1:15" ht="11.25" customHeight="1" x14ac:dyDescent="0.2">
      <c r="A5563" s="210">
        <v>2024</v>
      </c>
      <c r="B5563" s="210">
        <v>9</v>
      </c>
      <c r="C5563" s="210">
        <v>19</v>
      </c>
      <c r="D5563" s="211">
        <f t="shared" si="547"/>
        <v>45554</v>
      </c>
      <c r="E5563" s="238">
        <f t="shared" si="549"/>
        <v>45554</v>
      </c>
      <c r="F5563" s="520" t="s">
        <v>1278</v>
      </c>
      <c r="G5563" s="213" t="s">
        <v>1245</v>
      </c>
      <c r="H5563" s="214"/>
      <c r="I5563" s="214" t="s">
        <v>1253</v>
      </c>
      <c r="J5563" s="210" t="s">
        <v>1529</v>
      </c>
      <c r="K5563" s="215">
        <v>510.40384615384613</v>
      </c>
      <c r="L5563" s="215"/>
    </row>
    <row r="5564" spans="1:15" ht="11.25" customHeight="1" x14ac:dyDescent="0.2">
      <c r="A5564" s="216">
        <v>2024</v>
      </c>
      <c r="B5564" s="216">
        <v>9</v>
      </c>
      <c r="C5564" s="216">
        <v>19</v>
      </c>
      <c r="D5564" s="217">
        <f t="shared" si="547"/>
        <v>45554</v>
      </c>
      <c r="E5564" s="239">
        <f t="shared" si="549"/>
        <v>45554</v>
      </c>
      <c r="F5564" s="521"/>
      <c r="G5564" s="219" t="s">
        <v>1245</v>
      </c>
      <c r="H5564" s="220"/>
      <c r="I5564" s="220" t="s">
        <v>1253</v>
      </c>
      <c r="J5564" s="216" t="s">
        <v>1581</v>
      </c>
      <c r="K5564" s="221"/>
      <c r="L5564" s="221">
        <v>510.40384615384613</v>
      </c>
    </row>
    <row r="5565" spans="1:15" ht="11.25" customHeight="1" x14ac:dyDescent="0.2">
      <c r="A5565" s="210">
        <v>2024</v>
      </c>
      <c r="B5565" s="210">
        <v>9</v>
      </c>
      <c r="C5565" s="210">
        <v>19</v>
      </c>
      <c r="D5565" s="211">
        <f t="shared" si="547"/>
        <v>45554</v>
      </c>
      <c r="E5565" s="238">
        <f t="shared" si="549"/>
        <v>45554</v>
      </c>
      <c r="F5565" s="520" t="s">
        <v>1857</v>
      </c>
      <c r="G5565" s="213" t="s">
        <v>1245</v>
      </c>
      <c r="H5565" s="214"/>
      <c r="I5565" s="214" t="s">
        <v>1253</v>
      </c>
      <c r="J5565" s="210" t="s">
        <v>1284</v>
      </c>
      <c r="K5565" s="215">
        <v>8903.4309440559427</v>
      </c>
      <c r="L5565" s="215"/>
    </row>
    <row r="5566" spans="1:15" ht="11.25" customHeight="1" x14ac:dyDescent="0.2">
      <c r="A5566" s="242">
        <v>2024</v>
      </c>
      <c r="B5566" s="242">
        <v>9</v>
      </c>
      <c r="C5566" s="242">
        <v>19</v>
      </c>
      <c r="D5566" s="243">
        <f t="shared" si="547"/>
        <v>45554</v>
      </c>
      <c r="E5566" s="244">
        <f>DATE(A5566,B5566,C5566)</f>
        <v>45554</v>
      </c>
      <c r="F5566" s="524"/>
      <c r="G5566" s="245" t="s">
        <v>1245</v>
      </c>
      <c r="H5566" s="246"/>
      <c r="I5566" s="246"/>
      <c r="J5566" s="242" t="s">
        <v>1582</v>
      </c>
      <c r="K5566" s="247"/>
      <c r="L5566" s="247">
        <v>8903.4309440559427</v>
      </c>
    </row>
    <row r="5567" spans="1:15" ht="11.25" customHeight="1" x14ac:dyDescent="0.2">
      <c r="A5567" s="210">
        <v>2024</v>
      </c>
      <c r="B5567" s="210">
        <v>9</v>
      </c>
      <c r="C5567" s="210">
        <v>19</v>
      </c>
      <c r="D5567" s="211">
        <f t="shared" si="547"/>
        <v>45554</v>
      </c>
      <c r="E5567" s="238">
        <f t="shared" ref="E5567:E5585" si="550">DATE(A5567,B5567,C5567)</f>
        <v>45554</v>
      </c>
      <c r="F5567" s="520" t="s">
        <v>1259</v>
      </c>
      <c r="G5567" s="213" t="s">
        <v>1245</v>
      </c>
      <c r="H5567" s="214"/>
      <c r="I5567" s="214" t="s">
        <v>1253</v>
      </c>
      <c r="J5567" s="210" t="s">
        <v>58</v>
      </c>
      <c r="K5567" s="215">
        <v>3866.28</v>
      </c>
      <c r="L5567" s="215"/>
    </row>
    <row r="5568" spans="1:15" ht="11.25" customHeight="1" x14ac:dyDescent="0.2">
      <c r="A5568" s="216">
        <v>2024</v>
      </c>
      <c r="B5568" s="216">
        <v>9</v>
      </c>
      <c r="C5568" s="216">
        <v>19</v>
      </c>
      <c r="D5568" s="217">
        <f t="shared" si="547"/>
        <v>45554</v>
      </c>
      <c r="E5568" s="239">
        <f t="shared" si="550"/>
        <v>45554</v>
      </c>
      <c r="F5568" s="521"/>
      <c r="G5568" s="219" t="s">
        <v>1245</v>
      </c>
      <c r="H5568" s="220"/>
      <c r="I5568" s="220" t="s">
        <v>1253</v>
      </c>
      <c r="J5568" s="216" t="s">
        <v>153</v>
      </c>
      <c r="K5568" s="221"/>
      <c r="L5568" s="221">
        <f>K5567</f>
        <v>3866.28</v>
      </c>
    </row>
    <row r="5569" spans="1:15" ht="11.25" customHeight="1" x14ac:dyDescent="0.2">
      <c r="A5569" s="312">
        <v>2024</v>
      </c>
      <c r="B5569" s="312">
        <v>9</v>
      </c>
      <c r="C5569" s="312">
        <v>19</v>
      </c>
      <c r="D5569" s="313">
        <f t="shared" si="547"/>
        <v>45554</v>
      </c>
      <c r="E5569" s="314">
        <f t="shared" si="550"/>
        <v>45554</v>
      </c>
      <c r="F5569" s="522" t="s">
        <v>1477</v>
      </c>
      <c r="G5569" s="315" t="s">
        <v>1245</v>
      </c>
      <c r="H5569" s="316"/>
      <c r="I5569" s="316" t="s">
        <v>1253</v>
      </c>
      <c r="J5569" s="312" t="s">
        <v>1460</v>
      </c>
      <c r="K5569" s="317">
        <v>195160.40000000596</v>
      </c>
      <c r="L5569" s="317"/>
    </row>
    <row r="5570" spans="1:15" ht="11.25" customHeight="1" x14ac:dyDescent="0.2">
      <c r="A5570" s="318">
        <v>2024</v>
      </c>
      <c r="B5570" s="318">
        <v>9</v>
      </c>
      <c r="C5570" s="318">
        <v>19</v>
      </c>
      <c r="D5570" s="319">
        <f t="shared" si="547"/>
        <v>45554</v>
      </c>
      <c r="E5570" s="320">
        <f t="shared" si="550"/>
        <v>45554</v>
      </c>
      <c r="F5570" s="523"/>
      <c r="G5570" s="321" t="s">
        <v>1245</v>
      </c>
      <c r="H5570" s="322"/>
      <c r="I5570" s="322" t="s">
        <v>1253</v>
      </c>
      <c r="J5570" s="318" t="s">
        <v>1458</v>
      </c>
      <c r="K5570" s="323"/>
      <c r="L5570" s="323">
        <f>K5569</f>
        <v>195160.40000000596</v>
      </c>
    </row>
    <row r="5571" spans="1:15" ht="11.25" customHeight="1" x14ac:dyDescent="0.2">
      <c r="A5571" s="312">
        <v>2024</v>
      </c>
      <c r="B5571" s="312">
        <v>9</v>
      </c>
      <c r="C5571" s="312">
        <v>19</v>
      </c>
      <c r="D5571" s="313">
        <f t="shared" si="547"/>
        <v>45554</v>
      </c>
      <c r="E5571" s="314">
        <f t="shared" si="550"/>
        <v>45554</v>
      </c>
      <c r="F5571" s="522" t="s">
        <v>1595</v>
      </c>
      <c r="G5571" s="315" t="s">
        <v>1245</v>
      </c>
      <c r="H5571" s="316"/>
      <c r="I5571" s="316" t="s">
        <v>1253</v>
      </c>
      <c r="J5571" s="312" t="s">
        <v>1461</v>
      </c>
      <c r="K5571" s="317">
        <v>459600.98299995065</v>
      </c>
      <c r="L5571" s="317"/>
    </row>
    <row r="5572" spans="1:15" ht="11.25" customHeight="1" x14ac:dyDescent="0.2">
      <c r="A5572" s="318">
        <v>2024</v>
      </c>
      <c r="B5572" s="318">
        <v>9</v>
      </c>
      <c r="C5572" s="318">
        <v>19</v>
      </c>
      <c r="D5572" s="319">
        <f t="shared" si="547"/>
        <v>45554</v>
      </c>
      <c r="E5572" s="320">
        <f t="shared" si="550"/>
        <v>45554</v>
      </c>
      <c r="F5572" s="523"/>
      <c r="G5572" s="321" t="s">
        <v>1245</v>
      </c>
      <c r="H5572" s="322"/>
      <c r="I5572" s="322" t="s">
        <v>1253</v>
      </c>
      <c r="J5572" s="318" t="s">
        <v>1459</v>
      </c>
      <c r="K5572" s="323"/>
      <c r="L5572" s="323">
        <f>K5571</f>
        <v>459600.98299995065</v>
      </c>
    </row>
    <row r="5573" spans="1:15" ht="11.25" customHeight="1" x14ac:dyDescent="0.2">
      <c r="A5573" s="222">
        <v>2024</v>
      </c>
      <c r="B5573" s="222">
        <v>9</v>
      </c>
      <c r="C5573" s="222">
        <v>19</v>
      </c>
      <c r="D5573" s="223">
        <f t="shared" si="547"/>
        <v>45554</v>
      </c>
      <c r="E5573" s="240">
        <f t="shared" si="550"/>
        <v>45554</v>
      </c>
      <c r="F5573" s="511" t="s">
        <v>1244</v>
      </c>
      <c r="G5573" s="225" t="s">
        <v>1245</v>
      </c>
      <c r="H5573" s="226"/>
      <c r="I5573" s="226" t="s">
        <v>1253</v>
      </c>
      <c r="J5573" s="222" t="s">
        <v>87</v>
      </c>
      <c r="K5573" s="227">
        <v>7845</v>
      </c>
      <c r="L5573" s="227"/>
    </row>
    <row r="5574" spans="1:15" ht="11.25" customHeight="1" x14ac:dyDescent="0.2">
      <c r="A5574" s="228">
        <v>2024</v>
      </c>
      <c r="B5574" s="228">
        <v>9</v>
      </c>
      <c r="C5574" s="228">
        <v>19</v>
      </c>
      <c r="D5574" s="229">
        <f t="shared" si="547"/>
        <v>45554</v>
      </c>
      <c r="E5574" s="241">
        <f t="shared" si="550"/>
        <v>45554</v>
      </c>
      <c r="F5574" s="512"/>
      <c r="G5574" s="231" t="s">
        <v>1245</v>
      </c>
      <c r="H5574" s="232"/>
      <c r="I5574" s="232" t="s">
        <v>1253</v>
      </c>
      <c r="J5574" s="228" t="s">
        <v>72</v>
      </c>
      <c r="K5574" s="233"/>
      <c r="L5574" s="233">
        <f>K5573</f>
        <v>7845</v>
      </c>
    </row>
    <row r="5575" spans="1:15" ht="11.25" customHeight="1" x14ac:dyDescent="0.2">
      <c r="A5575" s="222">
        <v>2024</v>
      </c>
      <c r="B5575" s="222">
        <v>9</v>
      </c>
      <c r="C5575" s="222">
        <v>19</v>
      </c>
      <c r="D5575" s="223">
        <f t="shared" si="547"/>
        <v>45554</v>
      </c>
      <c r="E5575" s="240">
        <f t="shared" si="550"/>
        <v>45554</v>
      </c>
      <c r="F5575" s="511" t="s">
        <v>1246</v>
      </c>
      <c r="G5575" s="225" t="s">
        <v>1245</v>
      </c>
      <c r="H5575" s="226"/>
      <c r="I5575" s="226" t="s">
        <v>1253</v>
      </c>
      <c r="J5575" s="222" t="s">
        <v>75</v>
      </c>
      <c r="K5575" s="227">
        <v>3623.123846153846</v>
      </c>
      <c r="L5575" s="227"/>
    </row>
    <row r="5576" spans="1:15" ht="11.25" customHeight="1" x14ac:dyDescent="0.2">
      <c r="A5576" s="228">
        <v>2024</v>
      </c>
      <c r="B5576" s="228">
        <v>9</v>
      </c>
      <c r="C5576" s="228">
        <v>19</v>
      </c>
      <c r="D5576" s="229">
        <f t="shared" si="547"/>
        <v>45554</v>
      </c>
      <c r="E5576" s="241">
        <f t="shared" si="550"/>
        <v>45554</v>
      </c>
      <c r="F5576" s="512"/>
      <c r="G5576" s="231" t="s">
        <v>1245</v>
      </c>
      <c r="H5576" s="232"/>
      <c r="I5576" s="232" t="s">
        <v>1253</v>
      </c>
      <c r="J5576" s="228" t="s">
        <v>55</v>
      </c>
      <c r="K5576" s="233"/>
      <c r="L5576" s="233">
        <v>3623.123846153846</v>
      </c>
    </row>
    <row r="5577" spans="1:15" ht="11.25" customHeight="1" x14ac:dyDescent="0.2">
      <c r="A5577" s="222">
        <v>2024</v>
      </c>
      <c r="B5577" s="222">
        <v>9</v>
      </c>
      <c r="C5577" s="222">
        <v>19</v>
      </c>
      <c r="D5577" s="223">
        <f t="shared" si="547"/>
        <v>45554</v>
      </c>
      <c r="E5577" s="240">
        <f t="shared" si="550"/>
        <v>45554</v>
      </c>
      <c r="F5577" s="511" t="s">
        <v>1247</v>
      </c>
      <c r="G5577" s="225" t="s">
        <v>1245</v>
      </c>
      <c r="H5577" s="226"/>
      <c r="I5577" s="226" t="s">
        <v>1253</v>
      </c>
      <c r="J5577" s="222" t="s">
        <v>77</v>
      </c>
      <c r="K5577" s="227">
        <f>M5577</f>
        <v>38069.984067911675</v>
      </c>
      <c r="L5577" s="227"/>
      <c r="M5577" s="120">
        <v>38069.984067911675</v>
      </c>
    </row>
    <row r="5578" spans="1:15" ht="11.25" customHeight="1" x14ac:dyDescent="0.2">
      <c r="A5578" s="228">
        <v>2024</v>
      </c>
      <c r="B5578" s="228">
        <v>9</v>
      </c>
      <c r="C5578" s="228">
        <v>19</v>
      </c>
      <c r="D5578" s="229">
        <f t="shared" si="547"/>
        <v>45554</v>
      </c>
      <c r="E5578" s="241">
        <f t="shared" si="550"/>
        <v>45554</v>
      </c>
      <c r="F5578" s="512"/>
      <c r="G5578" s="231" t="s">
        <v>1245</v>
      </c>
      <c r="H5578" s="232"/>
      <c r="I5578" s="232" t="s">
        <v>1253</v>
      </c>
      <c r="J5578" s="228" t="s">
        <v>41</v>
      </c>
      <c r="K5578" s="233"/>
      <c r="L5578" s="233">
        <f>K5577</f>
        <v>38069.984067911675</v>
      </c>
      <c r="M5578" s="120">
        <v>3806.9984067911678</v>
      </c>
    </row>
    <row r="5579" spans="1:15" ht="11.25" customHeight="1" x14ac:dyDescent="0.2">
      <c r="A5579" s="222">
        <v>2024</v>
      </c>
      <c r="B5579" s="222">
        <v>9</v>
      </c>
      <c r="C5579" s="222">
        <v>19</v>
      </c>
      <c r="D5579" s="223">
        <f t="shared" si="547"/>
        <v>45554</v>
      </c>
      <c r="E5579" s="240">
        <f t="shared" si="550"/>
        <v>45554</v>
      </c>
      <c r="F5579" s="511" t="s">
        <v>1248</v>
      </c>
      <c r="G5579" s="225" t="s">
        <v>1245</v>
      </c>
      <c r="H5579" s="226"/>
      <c r="I5579" s="226" t="s">
        <v>1253</v>
      </c>
      <c r="J5579" s="222" t="s">
        <v>80</v>
      </c>
      <c r="K5579" s="227">
        <f>M5578</f>
        <v>3806.9984067911678</v>
      </c>
      <c r="L5579" s="227"/>
    </row>
    <row r="5580" spans="1:15" x14ac:dyDescent="0.2">
      <c r="A5580" s="228">
        <v>2024</v>
      </c>
      <c r="B5580" s="228">
        <v>9</v>
      </c>
      <c r="C5580" s="228">
        <v>19</v>
      </c>
      <c r="D5580" s="229">
        <f t="shared" si="547"/>
        <v>45554</v>
      </c>
      <c r="E5580" s="241">
        <f t="shared" si="550"/>
        <v>45554</v>
      </c>
      <c r="F5580" s="512"/>
      <c r="G5580" s="231" t="s">
        <v>1245</v>
      </c>
      <c r="H5580" s="232"/>
      <c r="I5580" s="232" t="s">
        <v>1253</v>
      </c>
      <c r="J5580" s="228" t="s">
        <v>42</v>
      </c>
      <c r="K5580" s="233"/>
      <c r="L5580" s="233">
        <f>K5579</f>
        <v>3806.9984067911678</v>
      </c>
    </row>
    <row r="5581" spans="1:15" ht="11.25" customHeight="1" x14ac:dyDescent="0.2">
      <c r="A5581" s="197">
        <v>2024</v>
      </c>
      <c r="B5581" s="197">
        <v>9</v>
      </c>
      <c r="C5581" s="197">
        <v>22</v>
      </c>
      <c r="D5581" s="198">
        <f t="shared" si="547"/>
        <v>45557</v>
      </c>
      <c r="E5581" s="209">
        <f t="shared" si="550"/>
        <v>45557</v>
      </c>
      <c r="F5581" s="513" t="s">
        <v>1210</v>
      </c>
      <c r="G5581" s="200" t="s">
        <v>1209</v>
      </c>
      <c r="H5581" s="201"/>
      <c r="I5581" s="201" t="s">
        <v>384</v>
      </c>
      <c r="J5581" s="197" t="s">
        <v>46</v>
      </c>
      <c r="K5581" s="202">
        <v>100000</v>
      </c>
      <c r="L5581" s="202"/>
    </row>
    <row r="5582" spans="1:15" ht="11.25" customHeight="1" x14ac:dyDescent="0.2">
      <c r="A5582" s="120">
        <v>2024</v>
      </c>
      <c r="B5582" s="120">
        <v>9</v>
      </c>
      <c r="C5582" s="120">
        <v>22</v>
      </c>
      <c r="D5582" s="208">
        <f t="shared" si="547"/>
        <v>45557</v>
      </c>
      <c r="E5582" s="209">
        <f t="shared" si="550"/>
        <v>45557</v>
      </c>
      <c r="F5582" s="515"/>
      <c r="G5582" s="132" t="s">
        <v>1209</v>
      </c>
      <c r="I5582" s="128" t="s">
        <v>384</v>
      </c>
      <c r="J5582" s="120" t="s">
        <v>16</v>
      </c>
      <c r="K5582" s="207"/>
      <c r="L5582" s="207">
        <v>87250</v>
      </c>
    </row>
    <row r="5583" spans="1:15" ht="11.25" customHeight="1" x14ac:dyDescent="0.2">
      <c r="A5583" s="191">
        <v>2024</v>
      </c>
      <c r="B5583" s="191">
        <v>9</v>
      </c>
      <c r="C5583" s="191">
        <v>22</v>
      </c>
      <c r="D5583" s="192">
        <f t="shared" si="547"/>
        <v>45557</v>
      </c>
      <c r="E5583" s="193">
        <f t="shared" si="550"/>
        <v>45557</v>
      </c>
      <c r="F5583" s="514"/>
      <c r="G5583" s="194" t="s">
        <v>1209</v>
      </c>
      <c r="H5583" s="195"/>
      <c r="I5583" s="195" t="s">
        <v>384</v>
      </c>
      <c r="J5583" s="191" t="s">
        <v>47</v>
      </c>
      <c r="K5583" s="196"/>
      <c r="L5583" s="196">
        <v>12750</v>
      </c>
    </row>
    <row r="5584" spans="1:15" ht="11.25" customHeight="1" x14ac:dyDescent="0.2">
      <c r="A5584" s="197">
        <v>2024</v>
      </c>
      <c r="B5584" s="197">
        <v>9</v>
      </c>
      <c r="C5584" s="197">
        <v>22</v>
      </c>
      <c r="D5584" s="198">
        <f t="shared" si="547"/>
        <v>45557</v>
      </c>
      <c r="E5584" s="290">
        <f t="shared" si="550"/>
        <v>45557</v>
      </c>
      <c r="F5584" s="513" t="s">
        <v>1514</v>
      </c>
      <c r="G5584" s="200" t="s">
        <v>1209</v>
      </c>
      <c r="H5584" s="201"/>
      <c r="I5584" s="201"/>
      <c r="J5584" s="197" t="s">
        <v>54</v>
      </c>
      <c r="K5584" s="202">
        <v>10</v>
      </c>
      <c r="L5584" s="202"/>
      <c r="M5584" s="251"/>
      <c r="N5584" s="251"/>
      <c r="O5584" s="251"/>
    </row>
    <row r="5585" spans="1:15" ht="11.25" customHeight="1" x14ac:dyDescent="0.2">
      <c r="A5585" s="191">
        <v>2024</v>
      </c>
      <c r="B5585" s="191">
        <v>9</v>
      </c>
      <c r="C5585" s="191">
        <v>22</v>
      </c>
      <c r="D5585" s="192">
        <f t="shared" si="547"/>
        <v>45557</v>
      </c>
      <c r="E5585" s="291">
        <f t="shared" si="550"/>
        <v>45557</v>
      </c>
      <c r="F5585" s="514"/>
      <c r="G5585" s="194" t="s">
        <v>1209</v>
      </c>
      <c r="H5585" s="195"/>
      <c r="I5585" s="195"/>
      <c r="J5585" s="191" t="s">
        <v>46</v>
      </c>
      <c r="K5585" s="196"/>
      <c r="L5585" s="196">
        <v>10</v>
      </c>
      <c r="M5585" s="251"/>
      <c r="N5585" s="251"/>
      <c r="O5585" s="251"/>
    </row>
    <row r="5586" spans="1:15" ht="11.25" customHeight="1" x14ac:dyDescent="0.2">
      <c r="A5586" s="197">
        <v>2024</v>
      </c>
      <c r="B5586" s="197">
        <v>9</v>
      </c>
      <c r="C5586" s="197">
        <v>23</v>
      </c>
      <c r="D5586" s="198">
        <f t="shared" si="547"/>
        <v>45558</v>
      </c>
      <c r="E5586" s="209">
        <f t="shared" ref="E5586:E5588" si="551">DATE(A5586,B5586,C5586)</f>
        <v>45558</v>
      </c>
      <c r="F5586" s="513" t="s">
        <v>1210</v>
      </c>
      <c r="G5586" s="200" t="s">
        <v>1209</v>
      </c>
      <c r="H5586" s="201"/>
      <c r="I5586" s="201" t="s">
        <v>384</v>
      </c>
      <c r="J5586" s="197" t="s">
        <v>46</v>
      </c>
      <c r="K5586" s="202">
        <v>10000000</v>
      </c>
      <c r="L5586" s="202"/>
    </row>
    <row r="5587" spans="1:15" ht="11.25" customHeight="1" x14ac:dyDescent="0.2">
      <c r="A5587" s="120">
        <v>2024</v>
      </c>
      <c r="B5587" s="120">
        <v>9</v>
      </c>
      <c r="C5587" s="120">
        <v>23</v>
      </c>
      <c r="D5587" s="208">
        <f t="shared" si="547"/>
        <v>45558</v>
      </c>
      <c r="E5587" s="209">
        <f t="shared" si="551"/>
        <v>45558</v>
      </c>
      <c r="F5587" s="515"/>
      <c r="G5587" s="132" t="s">
        <v>1209</v>
      </c>
      <c r="I5587" s="128" t="s">
        <v>384</v>
      </c>
      <c r="J5587" s="120" t="s">
        <v>16</v>
      </c>
      <c r="K5587" s="207"/>
      <c r="L5587" s="207">
        <v>8725240</v>
      </c>
    </row>
    <row r="5588" spans="1:15" ht="11.25" customHeight="1" x14ac:dyDescent="0.2">
      <c r="A5588" s="191">
        <v>2024</v>
      </c>
      <c r="B5588" s="191">
        <v>9</v>
      </c>
      <c r="C5588" s="191">
        <v>23</v>
      </c>
      <c r="D5588" s="192">
        <f t="shared" si="547"/>
        <v>45558</v>
      </c>
      <c r="E5588" s="193">
        <f t="shared" si="551"/>
        <v>45558</v>
      </c>
      <c r="F5588" s="514"/>
      <c r="G5588" s="194" t="s">
        <v>1209</v>
      </c>
      <c r="H5588" s="195"/>
      <c r="I5588" s="195" t="s">
        <v>384</v>
      </c>
      <c r="J5588" s="191" t="s">
        <v>47</v>
      </c>
      <c r="K5588" s="196"/>
      <c r="L5588" s="196">
        <v>1274760</v>
      </c>
    </row>
    <row r="5589" spans="1:15" ht="11.25" customHeight="1" x14ac:dyDescent="0.2">
      <c r="A5589" s="197">
        <v>2024</v>
      </c>
      <c r="B5589" s="197">
        <v>9</v>
      </c>
      <c r="C5589" s="197">
        <v>23</v>
      </c>
      <c r="D5589" s="198">
        <f t="shared" si="547"/>
        <v>45558</v>
      </c>
      <c r="E5589" s="209">
        <f t="shared" ref="E5589:E5592" si="552">DATE(A5589,B5589,C5589)</f>
        <v>45558</v>
      </c>
      <c r="F5589" s="513" t="s">
        <v>1210</v>
      </c>
      <c r="G5589" s="200" t="s">
        <v>1209</v>
      </c>
      <c r="H5589" s="201"/>
      <c r="I5589" s="201" t="s">
        <v>384</v>
      </c>
      <c r="J5589" s="197" t="s">
        <v>46</v>
      </c>
      <c r="K5589" s="202">
        <v>300000</v>
      </c>
      <c r="L5589" s="202"/>
    </row>
    <row r="5590" spans="1:15" ht="11.25" customHeight="1" x14ac:dyDescent="0.2">
      <c r="A5590" s="120">
        <v>2024</v>
      </c>
      <c r="B5590" s="120">
        <v>9</v>
      </c>
      <c r="C5590" s="120">
        <v>23</v>
      </c>
      <c r="D5590" s="208">
        <f t="shared" si="547"/>
        <v>45558</v>
      </c>
      <c r="E5590" s="209">
        <f t="shared" si="552"/>
        <v>45558</v>
      </c>
      <c r="F5590" s="515"/>
      <c r="G5590" s="132" t="s">
        <v>1209</v>
      </c>
      <c r="I5590" s="128" t="s">
        <v>384</v>
      </c>
      <c r="J5590" s="120" t="s">
        <v>16</v>
      </c>
      <c r="K5590" s="207"/>
      <c r="L5590" s="207">
        <v>261760</v>
      </c>
    </row>
    <row r="5591" spans="1:15" ht="11.25" customHeight="1" x14ac:dyDescent="0.2">
      <c r="A5591" s="191">
        <v>2024</v>
      </c>
      <c r="B5591" s="191">
        <v>9</v>
      </c>
      <c r="C5591" s="191">
        <v>23</v>
      </c>
      <c r="D5591" s="192">
        <f t="shared" si="547"/>
        <v>45558</v>
      </c>
      <c r="E5591" s="193">
        <f t="shared" si="552"/>
        <v>45558</v>
      </c>
      <c r="F5591" s="514"/>
      <c r="G5591" s="194" t="s">
        <v>1209</v>
      </c>
      <c r="H5591" s="195"/>
      <c r="I5591" s="195" t="s">
        <v>384</v>
      </c>
      <c r="J5591" s="191" t="s">
        <v>47</v>
      </c>
      <c r="K5591" s="196"/>
      <c r="L5591" s="196">
        <v>38240</v>
      </c>
    </row>
    <row r="5592" spans="1:15" ht="11.25" customHeight="1" x14ac:dyDescent="0.2">
      <c r="A5592" s="197">
        <v>2024</v>
      </c>
      <c r="B5592" s="197">
        <v>9</v>
      </c>
      <c r="C5592" s="197">
        <v>23</v>
      </c>
      <c r="D5592" s="198">
        <f t="shared" si="547"/>
        <v>45558</v>
      </c>
      <c r="E5592" s="199">
        <f t="shared" si="552"/>
        <v>45558</v>
      </c>
      <c r="F5592" s="513" t="s">
        <v>1893</v>
      </c>
      <c r="G5592" s="200" t="s">
        <v>1209</v>
      </c>
      <c r="H5592" s="201"/>
      <c r="I5592" s="201" t="s">
        <v>1253</v>
      </c>
      <c r="J5592" s="197" t="s">
        <v>1837</v>
      </c>
      <c r="K5592" s="202">
        <v>505436.52</v>
      </c>
      <c r="L5592" s="202"/>
    </row>
    <row r="5593" spans="1:15" ht="11.25" customHeight="1" x14ac:dyDescent="0.2">
      <c r="A5593" s="120">
        <v>2024</v>
      </c>
      <c r="B5593" s="120">
        <v>9</v>
      </c>
      <c r="C5593" s="120">
        <v>23</v>
      </c>
      <c r="D5593" s="208">
        <f t="shared" si="547"/>
        <v>45558</v>
      </c>
      <c r="E5593" s="209">
        <f>DATE(A5593,B5593,C5593)</f>
        <v>45558</v>
      </c>
      <c r="F5593" s="515"/>
      <c r="G5593" s="132" t="s">
        <v>1209</v>
      </c>
      <c r="H5593" s="132"/>
      <c r="J5593" s="120" t="s">
        <v>71</v>
      </c>
      <c r="K5593" s="207">
        <v>492.36</v>
      </c>
      <c r="L5593" s="207"/>
    </row>
    <row r="5594" spans="1:15" ht="11.25" customHeight="1" x14ac:dyDescent="0.2">
      <c r="A5594" s="191">
        <v>2024</v>
      </c>
      <c r="B5594" s="191">
        <v>9</v>
      </c>
      <c r="C5594" s="191">
        <v>23</v>
      </c>
      <c r="D5594" s="192">
        <f t="shared" si="547"/>
        <v>45558</v>
      </c>
      <c r="E5594" s="193">
        <f t="shared" ref="E5594:E5612" si="553">DATE(A5594,B5594,C5594)</f>
        <v>45558</v>
      </c>
      <c r="F5594" s="514"/>
      <c r="G5594" s="194" t="s">
        <v>1209</v>
      </c>
      <c r="H5594" s="195"/>
      <c r="I5594" s="195" t="s">
        <v>1253</v>
      </c>
      <c r="J5594" s="191" t="s">
        <v>46</v>
      </c>
      <c r="K5594" s="196"/>
      <c r="L5594" s="196">
        <v>505928.88</v>
      </c>
      <c r="N5594" s="130"/>
    </row>
    <row r="5595" spans="1:15" ht="11.25" customHeight="1" x14ac:dyDescent="0.2">
      <c r="A5595" s="197">
        <v>2024</v>
      </c>
      <c r="B5595" s="197">
        <v>9</v>
      </c>
      <c r="C5595" s="197">
        <v>23</v>
      </c>
      <c r="D5595" s="198">
        <f t="shared" si="547"/>
        <v>45558</v>
      </c>
      <c r="E5595" s="290">
        <f t="shared" si="553"/>
        <v>45558</v>
      </c>
      <c r="F5595" s="513" t="s">
        <v>1514</v>
      </c>
      <c r="G5595" s="200" t="s">
        <v>1209</v>
      </c>
      <c r="H5595" s="201"/>
      <c r="I5595" s="201"/>
      <c r="J5595" s="197" t="s">
        <v>54</v>
      </c>
      <c r="K5595" s="202">
        <v>100</v>
      </c>
      <c r="L5595" s="202"/>
      <c r="M5595" s="251"/>
      <c r="N5595" s="251"/>
      <c r="O5595" s="251"/>
    </row>
    <row r="5596" spans="1:15" ht="11.25" customHeight="1" x14ac:dyDescent="0.2">
      <c r="A5596" s="191">
        <v>2024</v>
      </c>
      <c r="B5596" s="191">
        <v>9</v>
      </c>
      <c r="C5596" s="191">
        <v>23</v>
      </c>
      <c r="D5596" s="192">
        <f t="shared" si="547"/>
        <v>45558</v>
      </c>
      <c r="E5596" s="291">
        <f t="shared" si="553"/>
        <v>45558</v>
      </c>
      <c r="F5596" s="514"/>
      <c r="G5596" s="194" t="s">
        <v>1209</v>
      </c>
      <c r="H5596" s="195"/>
      <c r="I5596" s="195"/>
      <c r="J5596" s="191" t="s">
        <v>46</v>
      </c>
      <c r="K5596" s="196"/>
      <c r="L5596" s="196">
        <v>100</v>
      </c>
      <c r="M5596" s="251"/>
      <c r="N5596" s="251"/>
      <c r="O5596" s="251"/>
    </row>
    <row r="5597" spans="1:15" ht="11.25" customHeight="1" x14ac:dyDescent="0.2">
      <c r="A5597" s="197">
        <v>2024</v>
      </c>
      <c r="B5597" s="197">
        <v>9</v>
      </c>
      <c r="C5597" s="197">
        <v>23</v>
      </c>
      <c r="D5597" s="198">
        <f t="shared" si="547"/>
        <v>45558</v>
      </c>
      <c r="E5597" s="290">
        <f t="shared" ref="E5597:E5601" si="554">DATE(A5597,B5597,C5597)</f>
        <v>45558</v>
      </c>
      <c r="F5597" s="513" t="s">
        <v>1514</v>
      </c>
      <c r="G5597" s="200" t="s">
        <v>1209</v>
      </c>
      <c r="H5597" s="201"/>
      <c r="I5597" s="201"/>
      <c r="J5597" s="197" t="s">
        <v>54</v>
      </c>
      <c r="K5597" s="202">
        <v>60</v>
      </c>
      <c r="L5597" s="202"/>
      <c r="M5597" s="251"/>
      <c r="N5597" s="251"/>
      <c r="O5597" s="251"/>
    </row>
    <row r="5598" spans="1:15" ht="11.25" customHeight="1" x14ac:dyDescent="0.2">
      <c r="A5598" s="191">
        <v>2024</v>
      </c>
      <c r="B5598" s="191">
        <v>9</v>
      </c>
      <c r="C5598" s="191">
        <v>23</v>
      </c>
      <c r="D5598" s="192">
        <f t="shared" si="547"/>
        <v>45558</v>
      </c>
      <c r="E5598" s="291">
        <f t="shared" si="554"/>
        <v>45558</v>
      </c>
      <c r="F5598" s="514"/>
      <c r="G5598" s="194" t="s">
        <v>1209</v>
      </c>
      <c r="H5598" s="195"/>
      <c r="I5598" s="195"/>
      <c r="J5598" s="191" t="s">
        <v>46</v>
      </c>
      <c r="K5598" s="196"/>
      <c r="L5598" s="196">
        <v>60</v>
      </c>
      <c r="M5598" s="251"/>
      <c r="N5598" s="251"/>
      <c r="O5598" s="251"/>
    </row>
    <row r="5599" spans="1:15" ht="11.25" customHeight="1" x14ac:dyDescent="0.2">
      <c r="A5599" s="197">
        <v>2024</v>
      </c>
      <c r="B5599" s="197">
        <v>9</v>
      </c>
      <c r="C5599" s="197">
        <v>23</v>
      </c>
      <c r="D5599" s="198">
        <f t="shared" si="547"/>
        <v>45558</v>
      </c>
      <c r="E5599" s="199">
        <f t="shared" si="554"/>
        <v>45558</v>
      </c>
      <c r="F5599" s="513" t="s">
        <v>1894</v>
      </c>
      <c r="G5599" s="200" t="s">
        <v>1209</v>
      </c>
      <c r="H5599" s="201"/>
      <c r="I5599" s="201" t="s">
        <v>1253</v>
      </c>
      <c r="J5599" s="197" t="s">
        <v>46</v>
      </c>
      <c r="K5599" s="202">
        <v>2000000</v>
      </c>
      <c r="L5599" s="202"/>
    </row>
    <row r="5600" spans="1:15" ht="11.25" customHeight="1" x14ac:dyDescent="0.2">
      <c r="A5600" s="120">
        <v>2024</v>
      </c>
      <c r="B5600" s="120">
        <v>9</v>
      </c>
      <c r="C5600" s="120">
        <v>23</v>
      </c>
      <c r="D5600" s="208">
        <f t="shared" si="547"/>
        <v>45558</v>
      </c>
      <c r="E5600" s="209">
        <f t="shared" si="554"/>
        <v>45558</v>
      </c>
      <c r="F5600" s="515"/>
      <c r="G5600" s="132" t="s">
        <v>1209</v>
      </c>
      <c r="J5600" s="120" t="s">
        <v>1462</v>
      </c>
      <c r="K5600" s="328"/>
      <c r="L5600" s="207">
        <v>56450</v>
      </c>
    </row>
    <row r="5601" spans="1:15" ht="11.25" customHeight="1" x14ac:dyDescent="0.2">
      <c r="A5601" s="191">
        <v>2024</v>
      </c>
      <c r="B5601" s="191">
        <v>9</v>
      </c>
      <c r="C5601" s="191">
        <v>23</v>
      </c>
      <c r="D5601" s="192">
        <f t="shared" si="547"/>
        <v>45558</v>
      </c>
      <c r="E5601" s="193">
        <f t="shared" si="554"/>
        <v>45558</v>
      </c>
      <c r="F5601" s="514"/>
      <c r="G5601" s="194" t="s">
        <v>1209</v>
      </c>
      <c r="H5601" s="195"/>
      <c r="I5601" s="195" t="s">
        <v>1253</v>
      </c>
      <c r="J5601" s="191" t="s">
        <v>1455</v>
      </c>
      <c r="K5601" s="196"/>
      <c r="L5601" s="196">
        <v>1943550</v>
      </c>
      <c r="N5601" s="130"/>
    </row>
    <row r="5602" spans="1:15" ht="11.25" customHeight="1" x14ac:dyDescent="0.2">
      <c r="A5602" s="197">
        <v>2024</v>
      </c>
      <c r="B5602" s="197">
        <v>9</v>
      </c>
      <c r="C5602" s="197">
        <v>23</v>
      </c>
      <c r="D5602" s="198">
        <f t="shared" si="547"/>
        <v>45558</v>
      </c>
      <c r="E5602" s="199">
        <f t="shared" ref="E5602:E5604" si="555">DATE(A5602,B5602,C5602)</f>
        <v>45558</v>
      </c>
      <c r="F5602" s="513" t="s">
        <v>1895</v>
      </c>
      <c r="G5602" s="200" t="s">
        <v>1209</v>
      </c>
      <c r="H5602" s="201"/>
      <c r="I5602" s="201" t="s">
        <v>1253</v>
      </c>
      <c r="J5602" s="197" t="s">
        <v>46</v>
      </c>
      <c r="K5602" s="202">
        <v>20588148</v>
      </c>
      <c r="L5602" s="202"/>
    </row>
    <row r="5603" spans="1:15" ht="11.25" customHeight="1" x14ac:dyDescent="0.2">
      <c r="A5603" s="120">
        <v>2024</v>
      </c>
      <c r="B5603" s="120">
        <v>9</v>
      </c>
      <c r="C5603" s="120">
        <v>23</v>
      </c>
      <c r="D5603" s="208">
        <f t="shared" si="547"/>
        <v>45558</v>
      </c>
      <c r="E5603" s="209">
        <f t="shared" si="555"/>
        <v>45558</v>
      </c>
      <c r="F5603" s="515"/>
      <c r="G5603" s="132" t="s">
        <v>1209</v>
      </c>
      <c r="J5603" s="120" t="s">
        <v>1462</v>
      </c>
      <c r="K5603" s="328"/>
      <c r="L5603" s="207">
        <v>175434</v>
      </c>
    </row>
    <row r="5604" spans="1:15" ht="11.25" customHeight="1" x14ac:dyDescent="0.2">
      <c r="A5604" s="191">
        <v>2024</v>
      </c>
      <c r="B5604" s="191">
        <v>9</v>
      </c>
      <c r="C5604" s="191">
        <v>23</v>
      </c>
      <c r="D5604" s="192">
        <f t="shared" si="547"/>
        <v>45558</v>
      </c>
      <c r="E5604" s="193">
        <f t="shared" si="555"/>
        <v>45558</v>
      </c>
      <c r="F5604" s="514"/>
      <c r="G5604" s="194" t="s">
        <v>1209</v>
      </c>
      <c r="H5604" s="195"/>
      <c r="I5604" s="195" t="s">
        <v>1253</v>
      </c>
      <c r="J5604" s="191" t="s">
        <v>1455</v>
      </c>
      <c r="K5604" s="196"/>
      <c r="L5604" s="196">
        <v>20412714</v>
      </c>
      <c r="N5604" s="130"/>
    </row>
    <row r="5605" spans="1:15" ht="11.25" customHeight="1" x14ac:dyDescent="0.2">
      <c r="A5605" s="197">
        <v>2024</v>
      </c>
      <c r="B5605" s="197">
        <v>9</v>
      </c>
      <c r="C5605" s="197">
        <v>24</v>
      </c>
      <c r="D5605" s="198">
        <f t="shared" si="547"/>
        <v>45559</v>
      </c>
      <c r="E5605" s="290">
        <f t="shared" ref="E5605:E5606" si="556">DATE(A5605,B5605,C5605)</f>
        <v>45559</v>
      </c>
      <c r="F5605" s="513" t="s">
        <v>1514</v>
      </c>
      <c r="G5605" s="200" t="s">
        <v>1209</v>
      </c>
      <c r="H5605" s="201"/>
      <c r="I5605" s="201"/>
      <c r="J5605" s="197" t="s">
        <v>54</v>
      </c>
      <c r="K5605" s="202">
        <v>100</v>
      </c>
      <c r="L5605" s="202"/>
      <c r="M5605" s="251"/>
      <c r="N5605" s="251"/>
      <c r="O5605" s="251"/>
    </row>
    <row r="5606" spans="1:15" ht="11.25" customHeight="1" x14ac:dyDescent="0.2">
      <c r="A5606" s="191">
        <v>2024</v>
      </c>
      <c r="B5606" s="191">
        <v>9</v>
      </c>
      <c r="C5606" s="191">
        <v>24</v>
      </c>
      <c r="D5606" s="192">
        <f t="shared" si="547"/>
        <v>45559</v>
      </c>
      <c r="E5606" s="291">
        <f t="shared" si="556"/>
        <v>45559</v>
      </c>
      <c r="F5606" s="514"/>
      <c r="G5606" s="194" t="s">
        <v>1209</v>
      </c>
      <c r="H5606" s="195"/>
      <c r="I5606" s="195"/>
      <c r="J5606" s="191" t="s">
        <v>46</v>
      </c>
      <c r="K5606" s="196"/>
      <c r="L5606" s="196">
        <v>100</v>
      </c>
      <c r="M5606" s="251"/>
      <c r="N5606" s="251"/>
      <c r="O5606" s="251"/>
    </row>
    <row r="5607" spans="1:15" ht="11.25" customHeight="1" x14ac:dyDescent="0.2">
      <c r="A5607" s="197">
        <v>2024</v>
      </c>
      <c r="B5607" s="197">
        <v>9</v>
      </c>
      <c r="C5607" s="197">
        <v>24</v>
      </c>
      <c r="D5607" s="198">
        <f t="shared" si="547"/>
        <v>45559</v>
      </c>
      <c r="E5607" s="209">
        <f t="shared" si="553"/>
        <v>45559</v>
      </c>
      <c r="F5607" s="513" t="s">
        <v>1280</v>
      </c>
      <c r="G5607" s="200" t="s">
        <v>1209</v>
      </c>
      <c r="H5607" s="201"/>
      <c r="I5607" s="201" t="s">
        <v>1569</v>
      </c>
      <c r="J5607" s="197" t="s">
        <v>16</v>
      </c>
      <c r="K5607" s="202">
        <v>4798880</v>
      </c>
      <c r="L5607" s="202"/>
    </row>
    <row r="5608" spans="1:15" ht="11.25" customHeight="1" x14ac:dyDescent="0.2">
      <c r="A5608" s="120">
        <v>2024</v>
      </c>
      <c r="B5608" s="120">
        <v>9</v>
      </c>
      <c r="C5608" s="120">
        <v>24</v>
      </c>
      <c r="D5608" s="208">
        <f t="shared" si="547"/>
        <v>45559</v>
      </c>
      <c r="E5608" s="209">
        <f t="shared" si="553"/>
        <v>45559</v>
      </c>
      <c r="F5608" s="515"/>
      <c r="G5608" s="132" t="s">
        <v>1209</v>
      </c>
      <c r="I5608" s="128" t="s">
        <v>1569</v>
      </c>
      <c r="J5608" s="120" t="s">
        <v>47</v>
      </c>
      <c r="K5608" s="207">
        <v>701116.37000000011</v>
      </c>
      <c r="L5608" s="207"/>
    </row>
    <row r="5609" spans="1:15" ht="11.25" customHeight="1" x14ac:dyDescent="0.2">
      <c r="A5609" s="191">
        <v>2024</v>
      </c>
      <c r="B5609" s="191">
        <v>9</v>
      </c>
      <c r="C5609" s="191">
        <v>24</v>
      </c>
      <c r="D5609" s="192">
        <f t="shared" si="547"/>
        <v>45559</v>
      </c>
      <c r="E5609" s="193">
        <f t="shared" si="553"/>
        <v>45559</v>
      </c>
      <c r="F5609" s="514"/>
      <c r="G5609" s="194" t="s">
        <v>1209</v>
      </c>
      <c r="H5609" s="195"/>
      <c r="I5609" s="195" t="s">
        <v>1569</v>
      </c>
      <c r="J5609" s="191" t="s">
        <v>46</v>
      </c>
      <c r="K5609" s="196"/>
      <c r="L5609" s="196">
        <v>5499996.3700000001</v>
      </c>
    </row>
    <row r="5610" spans="1:15" ht="11.25" customHeight="1" x14ac:dyDescent="0.2">
      <c r="A5610" s="197">
        <v>2024</v>
      </c>
      <c r="B5610" s="197">
        <v>9</v>
      </c>
      <c r="C5610" s="197">
        <v>24</v>
      </c>
      <c r="D5610" s="198">
        <f t="shared" si="547"/>
        <v>45559</v>
      </c>
      <c r="E5610" s="209">
        <f t="shared" si="553"/>
        <v>45559</v>
      </c>
      <c r="F5610" s="513" t="s">
        <v>1210</v>
      </c>
      <c r="G5610" s="200" t="s">
        <v>1209</v>
      </c>
      <c r="H5610" s="201"/>
      <c r="I5610" s="201" t="s">
        <v>1633</v>
      </c>
      <c r="J5610" s="197" t="s">
        <v>46</v>
      </c>
      <c r="K5610" s="202">
        <v>2000000</v>
      </c>
      <c r="L5610" s="202"/>
    </row>
    <row r="5611" spans="1:15" ht="11.25" customHeight="1" x14ac:dyDescent="0.2">
      <c r="A5611" s="120">
        <v>2024</v>
      </c>
      <c r="B5611" s="120">
        <v>9</v>
      </c>
      <c r="C5611" s="120">
        <v>24</v>
      </c>
      <c r="D5611" s="208">
        <f t="shared" si="547"/>
        <v>45559</v>
      </c>
      <c r="E5611" s="209">
        <f t="shared" si="553"/>
        <v>45559</v>
      </c>
      <c r="F5611" s="515"/>
      <c r="G5611" s="132" t="s">
        <v>1209</v>
      </c>
      <c r="I5611" s="128" t="s">
        <v>1633</v>
      </c>
      <c r="J5611" s="120" t="s">
        <v>16</v>
      </c>
      <c r="K5611" s="207"/>
      <c r="L5611" s="207">
        <v>1745050</v>
      </c>
    </row>
    <row r="5612" spans="1:15" ht="11.25" customHeight="1" x14ac:dyDescent="0.2">
      <c r="A5612" s="191">
        <v>2024</v>
      </c>
      <c r="B5612" s="191">
        <v>9</v>
      </c>
      <c r="C5612" s="191">
        <v>24</v>
      </c>
      <c r="D5612" s="192">
        <f t="shared" ref="D5612:D5675" si="557">DATE(A5612,B5612,C5612)</f>
        <v>45559</v>
      </c>
      <c r="E5612" s="193">
        <f t="shared" si="553"/>
        <v>45559</v>
      </c>
      <c r="F5612" s="514"/>
      <c r="G5612" s="194" t="s">
        <v>1209</v>
      </c>
      <c r="H5612" s="195"/>
      <c r="I5612" s="195" t="s">
        <v>1633</v>
      </c>
      <c r="J5612" s="191" t="s">
        <v>47</v>
      </c>
      <c r="K5612" s="196"/>
      <c r="L5612" s="196">
        <v>254950</v>
      </c>
    </row>
    <row r="5613" spans="1:15" ht="11.25" customHeight="1" x14ac:dyDescent="0.2">
      <c r="A5613" s="197">
        <v>2024</v>
      </c>
      <c r="B5613" s="197">
        <v>9</v>
      </c>
      <c r="C5613" s="197">
        <v>25</v>
      </c>
      <c r="D5613" s="198">
        <f t="shared" si="557"/>
        <v>45560</v>
      </c>
      <c r="E5613" s="209">
        <f t="shared" ref="E5613:E5615" si="558">DATE(A5613,B5613,C5613)</f>
        <v>45560</v>
      </c>
      <c r="F5613" s="513" t="s">
        <v>1210</v>
      </c>
      <c r="G5613" s="200" t="s">
        <v>1209</v>
      </c>
      <c r="H5613" s="201"/>
      <c r="I5613" s="201" t="s">
        <v>668</v>
      </c>
      <c r="J5613" s="197" t="s">
        <v>46</v>
      </c>
      <c r="K5613" s="202">
        <v>389674</v>
      </c>
      <c r="L5613" s="202"/>
    </row>
    <row r="5614" spans="1:15" ht="11.25" customHeight="1" x14ac:dyDescent="0.2">
      <c r="A5614" s="120">
        <v>2024</v>
      </c>
      <c r="B5614" s="120">
        <v>9</v>
      </c>
      <c r="C5614" s="120">
        <v>25</v>
      </c>
      <c r="D5614" s="208">
        <f t="shared" si="557"/>
        <v>45560</v>
      </c>
      <c r="E5614" s="209">
        <f t="shared" si="558"/>
        <v>45560</v>
      </c>
      <c r="F5614" s="515"/>
      <c r="G5614" s="132" t="s">
        <v>1209</v>
      </c>
      <c r="I5614" s="128" t="s">
        <v>668</v>
      </c>
      <c r="J5614" s="120" t="s">
        <v>16</v>
      </c>
      <c r="K5614" s="207"/>
      <c r="L5614" s="207">
        <v>340000</v>
      </c>
    </row>
    <row r="5615" spans="1:15" ht="11.25" customHeight="1" x14ac:dyDescent="0.2">
      <c r="A5615" s="191">
        <v>2024</v>
      </c>
      <c r="B5615" s="191">
        <v>9</v>
      </c>
      <c r="C5615" s="191">
        <v>25</v>
      </c>
      <c r="D5615" s="192">
        <f t="shared" si="557"/>
        <v>45560</v>
      </c>
      <c r="E5615" s="193">
        <f t="shared" si="558"/>
        <v>45560</v>
      </c>
      <c r="F5615" s="514"/>
      <c r="G5615" s="194" t="s">
        <v>1209</v>
      </c>
      <c r="H5615" s="195"/>
      <c r="I5615" s="195" t="s">
        <v>668</v>
      </c>
      <c r="J5615" s="191" t="s">
        <v>47</v>
      </c>
      <c r="K5615" s="196"/>
      <c r="L5615" s="196">
        <v>49674</v>
      </c>
    </row>
    <row r="5616" spans="1:15" ht="11.25" customHeight="1" x14ac:dyDescent="0.2">
      <c r="A5616" s="197">
        <v>2024</v>
      </c>
      <c r="B5616" s="197">
        <v>9</v>
      </c>
      <c r="C5616" s="197">
        <v>25</v>
      </c>
      <c r="D5616" s="198">
        <f t="shared" si="557"/>
        <v>45560</v>
      </c>
      <c r="E5616" s="209">
        <f t="shared" ref="E5616:E5618" si="559">DATE(A5616,B5616,C5616)</f>
        <v>45560</v>
      </c>
      <c r="F5616" s="513" t="s">
        <v>1280</v>
      </c>
      <c r="G5616" s="200" t="s">
        <v>1209</v>
      </c>
      <c r="H5616" s="201"/>
      <c r="I5616" s="201" t="s">
        <v>1139</v>
      </c>
      <c r="J5616" s="197" t="s">
        <v>16</v>
      </c>
      <c r="K5616" s="202">
        <v>177550</v>
      </c>
      <c r="L5616" s="202"/>
    </row>
    <row r="5617" spans="1:15" ht="11.25" customHeight="1" x14ac:dyDescent="0.2">
      <c r="A5617" s="120">
        <v>2024</v>
      </c>
      <c r="B5617" s="120">
        <v>9</v>
      </c>
      <c r="C5617" s="120">
        <v>25</v>
      </c>
      <c r="D5617" s="208">
        <f t="shared" si="557"/>
        <v>45560</v>
      </c>
      <c r="E5617" s="209">
        <f t="shared" si="559"/>
        <v>45560</v>
      </c>
      <c r="F5617" s="515"/>
      <c r="G5617" s="132" t="s">
        <v>1209</v>
      </c>
      <c r="I5617" s="128" t="s">
        <v>1139</v>
      </c>
      <c r="J5617" s="120" t="s">
        <v>47</v>
      </c>
      <c r="K5617" s="207">
        <v>25940.059999999998</v>
      </c>
      <c r="L5617" s="207"/>
    </row>
    <row r="5618" spans="1:15" ht="11.25" customHeight="1" x14ac:dyDescent="0.2">
      <c r="A5618" s="191">
        <v>2024</v>
      </c>
      <c r="B5618" s="191">
        <v>9</v>
      </c>
      <c r="C5618" s="191">
        <v>25</v>
      </c>
      <c r="D5618" s="192">
        <f t="shared" si="557"/>
        <v>45560</v>
      </c>
      <c r="E5618" s="193">
        <f t="shared" si="559"/>
        <v>45560</v>
      </c>
      <c r="F5618" s="514"/>
      <c r="G5618" s="194" t="s">
        <v>1209</v>
      </c>
      <c r="H5618" s="195"/>
      <c r="I5618" s="195" t="s">
        <v>1139</v>
      </c>
      <c r="J5618" s="191" t="s">
        <v>46</v>
      </c>
      <c r="K5618" s="196"/>
      <c r="L5618" s="196">
        <v>203490.06</v>
      </c>
    </row>
    <row r="5619" spans="1:15" ht="11.25" customHeight="1" x14ac:dyDescent="0.2">
      <c r="A5619" s="197">
        <v>2024</v>
      </c>
      <c r="B5619" s="197">
        <v>9</v>
      </c>
      <c r="C5619" s="197">
        <v>25</v>
      </c>
      <c r="D5619" s="198">
        <f t="shared" si="557"/>
        <v>45560</v>
      </c>
      <c r="E5619" s="290">
        <f t="shared" ref="E5619:E5624" si="560">DATE(A5619,B5619,C5619)</f>
        <v>45560</v>
      </c>
      <c r="F5619" s="513" t="s">
        <v>1942</v>
      </c>
      <c r="G5619" s="200" t="s">
        <v>1209</v>
      </c>
      <c r="H5619" s="201"/>
      <c r="I5619" s="201" t="s">
        <v>1253</v>
      </c>
      <c r="J5619" s="197" t="s">
        <v>41</v>
      </c>
      <c r="K5619" s="202">
        <v>590000</v>
      </c>
      <c r="L5619" s="202"/>
      <c r="N5619" s="130">
        <f>K5619*0.15</f>
        <v>88500</v>
      </c>
    </row>
    <row r="5620" spans="1:15" ht="11.25" customHeight="1" x14ac:dyDescent="0.2">
      <c r="A5620" s="120">
        <v>2024</v>
      </c>
      <c r="B5620" s="120">
        <v>9</v>
      </c>
      <c r="C5620" s="120">
        <v>25</v>
      </c>
      <c r="D5620" s="208">
        <f t="shared" si="557"/>
        <v>45560</v>
      </c>
      <c r="E5620" s="209">
        <f>DATE(A5620,B5620,C5620)</f>
        <v>45560</v>
      </c>
      <c r="F5620" s="515"/>
      <c r="G5620" s="132" t="s">
        <v>1209</v>
      </c>
      <c r="H5620" s="132"/>
      <c r="J5620" s="120" t="s">
        <v>457</v>
      </c>
      <c r="K5620" s="120"/>
      <c r="L5620" s="207">
        <v>88500</v>
      </c>
    </row>
    <row r="5621" spans="1:15" ht="11.25" customHeight="1" x14ac:dyDescent="0.2">
      <c r="A5621" s="191">
        <v>2024</v>
      </c>
      <c r="B5621" s="191">
        <v>9</v>
      </c>
      <c r="C5621" s="191">
        <v>25</v>
      </c>
      <c r="D5621" s="192">
        <f t="shared" si="557"/>
        <v>45560</v>
      </c>
      <c r="E5621" s="291">
        <f t="shared" si="560"/>
        <v>45560</v>
      </c>
      <c r="F5621" s="514"/>
      <c r="G5621" s="194" t="s">
        <v>1209</v>
      </c>
      <c r="H5621" s="195"/>
      <c r="I5621" s="195" t="s">
        <v>1253</v>
      </c>
      <c r="J5621" s="191" t="s">
        <v>46</v>
      </c>
      <c r="K5621" s="196"/>
      <c r="L5621" s="196">
        <v>501500</v>
      </c>
    </row>
    <row r="5622" spans="1:15" ht="11.25" customHeight="1" x14ac:dyDescent="0.2">
      <c r="A5622" s="197">
        <v>2024</v>
      </c>
      <c r="B5622" s="197">
        <v>9</v>
      </c>
      <c r="C5622" s="197">
        <v>25</v>
      </c>
      <c r="D5622" s="198">
        <f t="shared" si="557"/>
        <v>45560</v>
      </c>
      <c r="E5622" s="290">
        <f t="shared" si="560"/>
        <v>45560</v>
      </c>
      <c r="F5622" s="513" t="s">
        <v>1514</v>
      </c>
      <c r="G5622" s="200" t="s">
        <v>1209</v>
      </c>
      <c r="H5622" s="201"/>
      <c r="I5622" s="201"/>
      <c r="J5622" s="197" t="s">
        <v>54</v>
      </c>
      <c r="K5622" s="202">
        <v>100</v>
      </c>
      <c r="L5622" s="202"/>
      <c r="M5622" s="251"/>
      <c r="N5622" s="251"/>
      <c r="O5622" s="251"/>
    </row>
    <row r="5623" spans="1:15" ht="11.25" customHeight="1" x14ac:dyDescent="0.2">
      <c r="A5623" s="191">
        <v>2024</v>
      </c>
      <c r="B5623" s="191">
        <v>9</v>
      </c>
      <c r="C5623" s="191">
        <v>25</v>
      </c>
      <c r="D5623" s="192">
        <f t="shared" si="557"/>
        <v>45560</v>
      </c>
      <c r="E5623" s="291">
        <f t="shared" si="560"/>
        <v>45560</v>
      </c>
      <c r="F5623" s="514"/>
      <c r="G5623" s="194" t="s">
        <v>1209</v>
      </c>
      <c r="H5623" s="195"/>
      <c r="I5623" s="195"/>
      <c r="J5623" s="191" t="s">
        <v>46</v>
      </c>
      <c r="K5623" s="196"/>
      <c r="L5623" s="196">
        <v>100</v>
      </c>
      <c r="M5623" s="251"/>
      <c r="N5623" s="251"/>
      <c r="O5623" s="251"/>
    </row>
    <row r="5624" spans="1:15" ht="11.25" customHeight="1" x14ac:dyDescent="0.2">
      <c r="A5624" s="197">
        <v>2024</v>
      </c>
      <c r="B5624" s="197">
        <v>9</v>
      </c>
      <c r="C5624" s="197">
        <v>25</v>
      </c>
      <c r="D5624" s="198">
        <f t="shared" si="557"/>
        <v>45560</v>
      </c>
      <c r="E5624" s="199">
        <f t="shared" si="560"/>
        <v>45560</v>
      </c>
      <c r="F5624" s="513" t="s">
        <v>1896</v>
      </c>
      <c r="G5624" s="200" t="s">
        <v>1209</v>
      </c>
      <c r="H5624" s="201"/>
      <c r="I5624" s="201" t="s">
        <v>1253</v>
      </c>
      <c r="J5624" s="197" t="s">
        <v>1837</v>
      </c>
      <c r="K5624" s="202">
        <v>13512456.6</v>
      </c>
      <c r="L5624" s="202"/>
    </row>
    <row r="5625" spans="1:15" ht="11.25" customHeight="1" x14ac:dyDescent="0.2">
      <c r="A5625" s="191">
        <v>2024</v>
      </c>
      <c r="B5625" s="191">
        <v>9</v>
      </c>
      <c r="C5625" s="191">
        <v>25</v>
      </c>
      <c r="D5625" s="192">
        <f t="shared" si="557"/>
        <v>45560</v>
      </c>
      <c r="E5625" s="193">
        <f t="shared" ref="E5625:E5626" si="561">DATE(A5625,B5625,C5625)</f>
        <v>45560</v>
      </c>
      <c r="F5625" s="514"/>
      <c r="G5625" s="194" t="s">
        <v>1209</v>
      </c>
      <c r="H5625" s="195"/>
      <c r="I5625" s="195" t="s">
        <v>1253</v>
      </c>
      <c r="J5625" s="191" t="s">
        <v>46</v>
      </c>
      <c r="K5625" s="196"/>
      <c r="L5625" s="196">
        <v>13512456.6</v>
      </c>
      <c r="N5625" s="130"/>
    </row>
    <row r="5626" spans="1:15" ht="11.25" customHeight="1" x14ac:dyDescent="0.2">
      <c r="A5626" s="197">
        <v>2024</v>
      </c>
      <c r="B5626" s="197">
        <v>9</v>
      </c>
      <c r="C5626" s="197">
        <v>25</v>
      </c>
      <c r="D5626" s="198">
        <f t="shared" si="557"/>
        <v>45560</v>
      </c>
      <c r="E5626" s="199">
        <f t="shared" si="561"/>
        <v>45560</v>
      </c>
      <c r="F5626" s="513" t="s">
        <v>1897</v>
      </c>
      <c r="G5626" s="200" t="s">
        <v>1209</v>
      </c>
      <c r="H5626" s="201"/>
      <c r="I5626" s="201" t="s">
        <v>1253</v>
      </c>
      <c r="J5626" s="197" t="s">
        <v>1837</v>
      </c>
      <c r="K5626" s="202">
        <v>11820005.630000001</v>
      </c>
      <c r="L5626" s="202"/>
    </row>
    <row r="5627" spans="1:15" ht="11.25" customHeight="1" x14ac:dyDescent="0.2">
      <c r="A5627" s="191">
        <v>2024</v>
      </c>
      <c r="B5627" s="191">
        <v>9</v>
      </c>
      <c r="C5627" s="191">
        <v>25</v>
      </c>
      <c r="D5627" s="192">
        <f t="shared" si="557"/>
        <v>45560</v>
      </c>
      <c r="E5627" s="193">
        <f t="shared" ref="E5627:E5640" si="562">DATE(A5627,B5627,C5627)</f>
        <v>45560</v>
      </c>
      <c r="F5627" s="514"/>
      <c r="G5627" s="194" t="s">
        <v>1209</v>
      </c>
      <c r="H5627" s="195"/>
      <c r="I5627" s="195" t="s">
        <v>1253</v>
      </c>
      <c r="J5627" s="191" t="s">
        <v>46</v>
      </c>
      <c r="K5627" s="196"/>
      <c r="L5627" s="196">
        <v>11820005.630000001</v>
      </c>
      <c r="N5627" s="130"/>
    </row>
    <row r="5628" spans="1:15" ht="11.25" customHeight="1" x14ac:dyDescent="0.2">
      <c r="A5628" s="197">
        <v>2024</v>
      </c>
      <c r="B5628" s="197">
        <v>9</v>
      </c>
      <c r="C5628" s="197">
        <v>25</v>
      </c>
      <c r="D5628" s="198">
        <f t="shared" si="557"/>
        <v>45560</v>
      </c>
      <c r="E5628" s="209">
        <f t="shared" si="562"/>
        <v>45560</v>
      </c>
      <c r="F5628" s="513" t="s">
        <v>1210</v>
      </c>
      <c r="G5628" s="200" t="s">
        <v>1209</v>
      </c>
      <c r="H5628" s="201"/>
      <c r="I5628" s="201"/>
      <c r="J5628" s="197" t="s">
        <v>46</v>
      </c>
      <c r="K5628" s="202">
        <v>200000</v>
      </c>
      <c r="L5628" s="202"/>
    </row>
    <row r="5629" spans="1:15" ht="11.25" customHeight="1" x14ac:dyDescent="0.2">
      <c r="A5629" s="120">
        <v>2024</v>
      </c>
      <c r="B5629" s="120">
        <v>9</v>
      </c>
      <c r="C5629" s="120">
        <v>25</v>
      </c>
      <c r="D5629" s="208">
        <f t="shared" si="557"/>
        <v>45560</v>
      </c>
      <c r="E5629" s="209">
        <f t="shared" si="562"/>
        <v>45560</v>
      </c>
      <c r="F5629" s="515"/>
      <c r="G5629" s="132" t="s">
        <v>1209</v>
      </c>
      <c r="J5629" s="120" t="s">
        <v>16</v>
      </c>
      <c r="K5629" s="207"/>
      <c r="L5629" s="207">
        <v>174500</v>
      </c>
    </row>
    <row r="5630" spans="1:15" ht="11.25" customHeight="1" x14ac:dyDescent="0.2">
      <c r="A5630" s="191">
        <v>2024</v>
      </c>
      <c r="B5630" s="191">
        <v>9</v>
      </c>
      <c r="C5630" s="191">
        <v>25</v>
      </c>
      <c r="D5630" s="192">
        <f t="shared" si="557"/>
        <v>45560</v>
      </c>
      <c r="E5630" s="193">
        <f t="shared" si="562"/>
        <v>45560</v>
      </c>
      <c r="F5630" s="514"/>
      <c r="G5630" s="194" t="s">
        <v>1209</v>
      </c>
      <c r="H5630" s="195"/>
      <c r="I5630" s="195"/>
      <c r="J5630" s="191" t="s">
        <v>47</v>
      </c>
      <c r="K5630" s="196"/>
      <c r="L5630" s="196">
        <v>25500</v>
      </c>
    </row>
    <row r="5631" spans="1:15" ht="11.25" customHeight="1" x14ac:dyDescent="0.2">
      <c r="A5631" s="197">
        <v>2024</v>
      </c>
      <c r="B5631" s="197">
        <v>9</v>
      </c>
      <c r="C5631" s="197">
        <v>25</v>
      </c>
      <c r="D5631" s="198">
        <f t="shared" si="557"/>
        <v>45560</v>
      </c>
      <c r="E5631" s="209">
        <f t="shared" si="562"/>
        <v>45560</v>
      </c>
      <c r="F5631" s="513" t="s">
        <v>1280</v>
      </c>
      <c r="G5631" s="200" t="s">
        <v>1209</v>
      </c>
      <c r="H5631" s="201"/>
      <c r="I5631" s="201" t="s">
        <v>1235</v>
      </c>
      <c r="J5631" s="197" t="s">
        <v>16</v>
      </c>
      <c r="K5631" s="202">
        <v>43630</v>
      </c>
      <c r="L5631" s="202"/>
    </row>
    <row r="5632" spans="1:15" ht="11.25" customHeight="1" x14ac:dyDescent="0.2">
      <c r="A5632" s="120">
        <v>2024</v>
      </c>
      <c r="B5632" s="120">
        <v>9</v>
      </c>
      <c r="C5632" s="120">
        <v>25</v>
      </c>
      <c r="D5632" s="208">
        <f t="shared" si="557"/>
        <v>45560</v>
      </c>
      <c r="E5632" s="209">
        <f t="shared" si="562"/>
        <v>45560</v>
      </c>
      <c r="F5632" s="515"/>
      <c r="G5632" s="132" t="s">
        <v>1209</v>
      </c>
      <c r="I5632" s="128" t="s">
        <v>1235</v>
      </c>
      <c r="J5632" s="120" t="s">
        <v>47</v>
      </c>
      <c r="K5632" s="207">
        <v>6370</v>
      </c>
      <c r="L5632" s="207"/>
    </row>
    <row r="5633" spans="1:14" ht="11.25" customHeight="1" x14ac:dyDescent="0.2">
      <c r="A5633" s="191">
        <v>2024</v>
      </c>
      <c r="B5633" s="191">
        <v>9</v>
      </c>
      <c r="C5633" s="191">
        <v>25</v>
      </c>
      <c r="D5633" s="192">
        <f t="shared" si="557"/>
        <v>45560</v>
      </c>
      <c r="E5633" s="193">
        <f t="shared" si="562"/>
        <v>45560</v>
      </c>
      <c r="F5633" s="514"/>
      <c r="G5633" s="194" t="s">
        <v>1209</v>
      </c>
      <c r="H5633" s="195"/>
      <c r="I5633" s="195" t="s">
        <v>1235</v>
      </c>
      <c r="J5633" s="191" t="s">
        <v>46</v>
      </c>
      <c r="K5633" s="196"/>
      <c r="L5633" s="196">
        <v>50000</v>
      </c>
    </row>
    <row r="5634" spans="1:14" ht="11.25" customHeight="1" x14ac:dyDescent="0.2">
      <c r="A5634" s="197">
        <v>2024</v>
      </c>
      <c r="B5634" s="197">
        <v>9</v>
      </c>
      <c r="C5634" s="197">
        <v>25</v>
      </c>
      <c r="D5634" s="198">
        <f t="shared" si="557"/>
        <v>45560</v>
      </c>
      <c r="E5634" s="209">
        <f t="shared" si="562"/>
        <v>45560</v>
      </c>
      <c r="F5634" s="513" t="s">
        <v>1210</v>
      </c>
      <c r="G5634" s="200" t="s">
        <v>1209</v>
      </c>
      <c r="H5634" s="201"/>
      <c r="I5634" s="201" t="s">
        <v>349</v>
      </c>
      <c r="J5634" s="197" t="s">
        <v>46</v>
      </c>
      <c r="K5634" s="202">
        <v>100000</v>
      </c>
      <c r="L5634" s="202"/>
    </row>
    <row r="5635" spans="1:14" ht="11.25" customHeight="1" x14ac:dyDescent="0.2">
      <c r="A5635" s="120">
        <v>2024</v>
      </c>
      <c r="B5635" s="120">
        <v>9</v>
      </c>
      <c r="C5635" s="120">
        <v>25</v>
      </c>
      <c r="D5635" s="208">
        <f t="shared" si="557"/>
        <v>45560</v>
      </c>
      <c r="E5635" s="209">
        <f t="shared" si="562"/>
        <v>45560</v>
      </c>
      <c r="F5635" s="515"/>
      <c r="G5635" s="132" t="s">
        <v>1209</v>
      </c>
      <c r="I5635" s="128" t="s">
        <v>349</v>
      </c>
      <c r="J5635" s="120" t="s">
        <v>16</v>
      </c>
      <c r="K5635" s="207"/>
      <c r="L5635" s="207">
        <v>87250</v>
      </c>
    </row>
    <row r="5636" spans="1:14" ht="11.25" customHeight="1" x14ac:dyDescent="0.2">
      <c r="A5636" s="191">
        <v>2024</v>
      </c>
      <c r="B5636" s="191">
        <v>9</v>
      </c>
      <c r="C5636" s="191">
        <v>25</v>
      </c>
      <c r="D5636" s="192">
        <f t="shared" si="557"/>
        <v>45560</v>
      </c>
      <c r="E5636" s="193">
        <f t="shared" si="562"/>
        <v>45560</v>
      </c>
      <c r="F5636" s="514"/>
      <c r="G5636" s="194" t="s">
        <v>1209</v>
      </c>
      <c r="H5636" s="195"/>
      <c r="I5636" s="195" t="s">
        <v>349</v>
      </c>
      <c r="J5636" s="191" t="s">
        <v>47</v>
      </c>
      <c r="K5636" s="196"/>
      <c r="L5636" s="196">
        <v>12750</v>
      </c>
    </row>
    <row r="5637" spans="1:14" ht="11.25" customHeight="1" x14ac:dyDescent="0.2">
      <c r="A5637" s="197">
        <v>2024</v>
      </c>
      <c r="B5637" s="197">
        <v>9</v>
      </c>
      <c r="C5637" s="197">
        <v>25</v>
      </c>
      <c r="D5637" s="198">
        <f t="shared" si="557"/>
        <v>45560</v>
      </c>
      <c r="E5637" s="290">
        <f t="shared" si="562"/>
        <v>45560</v>
      </c>
      <c r="F5637" s="513" t="s">
        <v>1898</v>
      </c>
      <c r="G5637" s="200" t="s">
        <v>1209</v>
      </c>
      <c r="H5637" s="201"/>
      <c r="I5637" s="201" t="s">
        <v>1253</v>
      </c>
      <c r="J5637" s="197" t="s">
        <v>457</v>
      </c>
      <c r="K5637" s="202">
        <v>6654.97</v>
      </c>
      <c r="L5637" s="202"/>
    </row>
    <row r="5638" spans="1:14" ht="11.25" customHeight="1" x14ac:dyDescent="0.2">
      <c r="A5638" s="191">
        <v>2024</v>
      </c>
      <c r="B5638" s="191">
        <v>9</v>
      </c>
      <c r="C5638" s="191">
        <v>25</v>
      </c>
      <c r="D5638" s="192">
        <f t="shared" si="557"/>
        <v>45560</v>
      </c>
      <c r="E5638" s="291">
        <f t="shared" si="562"/>
        <v>45560</v>
      </c>
      <c r="F5638" s="514"/>
      <c r="G5638" s="194" t="s">
        <v>1209</v>
      </c>
      <c r="H5638" s="195"/>
      <c r="I5638" s="195" t="s">
        <v>1253</v>
      </c>
      <c r="J5638" s="191" t="s">
        <v>46</v>
      </c>
      <c r="K5638" s="196"/>
      <c r="L5638" s="196">
        <v>6654.97</v>
      </c>
    </row>
    <row r="5639" spans="1:14" ht="11.25" customHeight="1" x14ac:dyDescent="0.2">
      <c r="A5639" s="197">
        <v>2024</v>
      </c>
      <c r="B5639" s="197">
        <v>9</v>
      </c>
      <c r="C5639" s="197">
        <v>26</v>
      </c>
      <c r="D5639" s="198">
        <f t="shared" si="557"/>
        <v>45561</v>
      </c>
      <c r="E5639" s="199">
        <f t="shared" si="562"/>
        <v>45561</v>
      </c>
      <c r="F5639" s="513" t="s">
        <v>1899</v>
      </c>
      <c r="G5639" s="200" t="s">
        <v>1209</v>
      </c>
      <c r="H5639" s="201"/>
      <c r="I5639" s="201" t="s">
        <v>1253</v>
      </c>
      <c r="J5639" s="197" t="s">
        <v>1837</v>
      </c>
      <c r="K5639" s="202">
        <v>4003246.3</v>
      </c>
      <c r="L5639" s="202"/>
    </row>
    <row r="5640" spans="1:14" ht="11.25" customHeight="1" x14ac:dyDescent="0.2">
      <c r="A5640" s="191">
        <v>2024</v>
      </c>
      <c r="B5640" s="191">
        <v>9</v>
      </c>
      <c r="C5640" s="191">
        <v>26</v>
      </c>
      <c r="D5640" s="192">
        <f t="shared" si="557"/>
        <v>45561</v>
      </c>
      <c r="E5640" s="193">
        <f t="shared" si="562"/>
        <v>45561</v>
      </c>
      <c r="F5640" s="514"/>
      <c r="G5640" s="194" t="s">
        <v>1209</v>
      </c>
      <c r="H5640" s="195"/>
      <c r="I5640" s="195" t="s">
        <v>1253</v>
      </c>
      <c r="J5640" s="191" t="s">
        <v>46</v>
      </c>
      <c r="K5640" s="196"/>
      <c r="L5640" s="196">
        <v>4003246.3</v>
      </c>
      <c r="N5640" s="130"/>
    </row>
    <row r="5641" spans="1:14" ht="11.25" customHeight="1" x14ac:dyDescent="0.2">
      <c r="A5641" s="197">
        <v>2024</v>
      </c>
      <c r="B5641" s="197">
        <v>9</v>
      </c>
      <c r="C5641" s="197">
        <v>26</v>
      </c>
      <c r="D5641" s="198">
        <f t="shared" si="557"/>
        <v>45561</v>
      </c>
      <c r="E5641" s="199">
        <f t="shared" ref="E5641:E5654" si="563">DATE(A5641,B5641,C5641)</f>
        <v>45561</v>
      </c>
      <c r="F5641" s="513" t="s">
        <v>1870</v>
      </c>
      <c r="G5641" s="200" t="s">
        <v>1209</v>
      </c>
      <c r="H5641" s="201"/>
      <c r="I5641" s="201" t="s">
        <v>1253</v>
      </c>
      <c r="J5641" s="197" t="s">
        <v>1837</v>
      </c>
      <c r="K5641" s="202">
        <v>2078387.4</v>
      </c>
      <c r="L5641" s="202"/>
    </row>
    <row r="5642" spans="1:14" ht="11.25" customHeight="1" x14ac:dyDescent="0.2">
      <c r="A5642" s="191">
        <v>2024</v>
      </c>
      <c r="B5642" s="191">
        <v>9</v>
      </c>
      <c r="C5642" s="191">
        <v>26</v>
      </c>
      <c r="D5642" s="192">
        <f t="shared" si="557"/>
        <v>45561</v>
      </c>
      <c r="E5642" s="193">
        <f t="shared" si="563"/>
        <v>45561</v>
      </c>
      <c r="F5642" s="514"/>
      <c r="G5642" s="194" t="s">
        <v>1209</v>
      </c>
      <c r="H5642" s="195"/>
      <c r="I5642" s="195" t="s">
        <v>1253</v>
      </c>
      <c r="J5642" s="191" t="s">
        <v>46</v>
      </c>
      <c r="K5642" s="196"/>
      <c r="L5642" s="196">
        <v>2078387.4</v>
      </c>
      <c r="N5642" s="130"/>
    </row>
    <row r="5643" spans="1:14" ht="11.25" customHeight="1" x14ac:dyDescent="0.2">
      <c r="A5643" s="197">
        <v>2024</v>
      </c>
      <c r="B5643" s="197">
        <v>9</v>
      </c>
      <c r="C5643" s="197">
        <v>26</v>
      </c>
      <c r="D5643" s="198">
        <f t="shared" si="557"/>
        <v>45561</v>
      </c>
      <c r="E5643" s="209">
        <f t="shared" si="563"/>
        <v>45561</v>
      </c>
      <c r="F5643" s="513" t="s">
        <v>1900</v>
      </c>
      <c r="G5643" s="200" t="s">
        <v>1209</v>
      </c>
      <c r="H5643" s="201"/>
      <c r="I5643" s="201"/>
      <c r="J5643" s="197" t="s">
        <v>46</v>
      </c>
      <c r="K5643" s="202">
        <v>290540</v>
      </c>
      <c r="L5643" s="202"/>
    </row>
    <row r="5644" spans="1:14" ht="11.25" customHeight="1" x14ac:dyDescent="0.2">
      <c r="A5644" s="120">
        <v>2024</v>
      </c>
      <c r="B5644" s="120">
        <v>9</v>
      </c>
      <c r="C5644" s="120">
        <v>26</v>
      </c>
      <c r="D5644" s="208">
        <f t="shared" si="557"/>
        <v>45561</v>
      </c>
      <c r="E5644" s="209">
        <f t="shared" si="563"/>
        <v>45561</v>
      </c>
      <c r="F5644" s="515"/>
      <c r="G5644" s="132" t="s">
        <v>1209</v>
      </c>
      <c r="J5644" s="120" t="s">
        <v>16</v>
      </c>
      <c r="K5644" s="207"/>
      <c r="L5644" s="207">
        <v>252940</v>
      </c>
    </row>
    <row r="5645" spans="1:14" ht="11.25" customHeight="1" x14ac:dyDescent="0.2">
      <c r="A5645" s="191">
        <v>2024</v>
      </c>
      <c r="B5645" s="191">
        <v>9</v>
      </c>
      <c r="C5645" s="191">
        <v>26</v>
      </c>
      <c r="D5645" s="192">
        <f t="shared" si="557"/>
        <v>45561</v>
      </c>
      <c r="E5645" s="193">
        <f t="shared" si="563"/>
        <v>45561</v>
      </c>
      <c r="F5645" s="514"/>
      <c r="G5645" s="194" t="s">
        <v>1209</v>
      </c>
      <c r="H5645" s="195"/>
      <c r="I5645" s="195"/>
      <c r="J5645" s="191" t="s">
        <v>47</v>
      </c>
      <c r="K5645" s="196"/>
      <c r="L5645" s="196">
        <v>37600</v>
      </c>
    </row>
    <row r="5646" spans="1:14" ht="11.25" customHeight="1" x14ac:dyDescent="0.2">
      <c r="A5646" s="382">
        <v>2024</v>
      </c>
      <c r="B5646" s="382">
        <v>9</v>
      </c>
      <c r="C5646" s="382">
        <v>26</v>
      </c>
      <c r="D5646" s="383">
        <f t="shared" si="557"/>
        <v>45561</v>
      </c>
      <c r="E5646" s="384">
        <f t="shared" si="563"/>
        <v>45561</v>
      </c>
      <c r="F5646" s="516" t="s">
        <v>1850</v>
      </c>
      <c r="G5646" s="385" t="s">
        <v>1209</v>
      </c>
      <c r="H5646" s="386"/>
      <c r="I5646" s="386"/>
      <c r="J5646" s="387" t="s">
        <v>81</v>
      </c>
      <c r="K5646" s="422">
        <v>6973.2450980392159</v>
      </c>
      <c r="L5646" s="422"/>
    </row>
    <row r="5647" spans="1:14" ht="11.25" customHeight="1" x14ac:dyDescent="0.2">
      <c r="A5647" s="389">
        <v>2024</v>
      </c>
      <c r="B5647" s="389">
        <v>9</v>
      </c>
      <c r="C5647" s="389">
        <v>26</v>
      </c>
      <c r="D5647" s="390">
        <f t="shared" si="557"/>
        <v>45561</v>
      </c>
      <c r="E5647" s="391">
        <f t="shared" si="563"/>
        <v>45561</v>
      </c>
      <c r="F5647" s="517"/>
      <c r="G5647" s="392" t="s">
        <v>1209</v>
      </c>
      <c r="H5647" s="393"/>
      <c r="I5647" s="393"/>
      <c r="J5647" s="394" t="s">
        <v>1847</v>
      </c>
      <c r="K5647" s="423"/>
      <c r="L5647" s="423">
        <v>6973.2450980392159</v>
      </c>
    </row>
    <row r="5648" spans="1:14" ht="11.25" customHeight="1" x14ac:dyDescent="0.2">
      <c r="A5648" s="382">
        <v>2024</v>
      </c>
      <c r="B5648" s="382">
        <v>9</v>
      </c>
      <c r="C5648" s="382">
        <v>26</v>
      </c>
      <c r="D5648" s="383">
        <f t="shared" si="557"/>
        <v>45561</v>
      </c>
      <c r="E5648" s="384">
        <f t="shared" si="563"/>
        <v>45561</v>
      </c>
      <c r="F5648" s="516" t="s">
        <v>1892</v>
      </c>
      <c r="G5648" s="385" t="s">
        <v>1209</v>
      </c>
      <c r="H5648" s="386"/>
      <c r="I5648" s="386"/>
      <c r="J5648" s="387" t="s">
        <v>173</v>
      </c>
      <c r="K5648" s="388">
        <v>4181.7840171666658</v>
      </c>
      <c r="L5648" s="388"/>
    </row>
    <row r="5649" spans="1:12" ht="11.25" customHeight="1" x14ac:dyDescent="0.2">
      <c r="A5649" s="389">
        <v>2024</v>
      </c>
      <c r="B5649" s="389">
        <v>9</v>
      </c>
      <c r="C5649" s="389">
        <v>26</v>
      </c>
      <c r="D5649" s="390">
        <f t="shared" si="557"/>
        <v>45561</v>
      </c>
      <c r="E5649" s="391">
        <f t="shared" si="563"/>
        <v>45561</v>
      </c>
      <c r="F5649" s="517"/>
      <c r="G5649" s="392" t="s">
        <v>1209</v>
      </c>
      <c r="H5649" s="393"/>
      <c r="I5649" s="393"/>
      <c r="J5649" s="394" t="s">
        <v>43</v>
      </c>
      <c r="K5649" s="388"/>
      <c r="L5649" s="388">
        <f>K5648</f>
        <v>4181.7840171666658</v>
      </c>
    </row>
    <row r="5650" spans="1:12" ht="11.25" customHeight="1" x14ac:dyDescent="0.2">
      <c r="A5650" s="344">
        <v>2024</v>
      </c>
      <c r="B5650" s="344">
        <v>9</v>
      </c>
      <c r="C5650" s="344">
        <v>26</v>
      </c>
      <c r="D5650" s="345">
        <f t="shared" si="557"/>
        <v>45561</v>
      </c>
      <c r="E5650" s="346">
        <f t="shared" si="563"/>
        <v>45561</v>
      </c>
      <c r="F5650" s="518" t="s">
        <v>1621</v>
      </c>
      <c r="G5650" s="347" t="s">
        <v>1245</v>
      </c>
      <c r="H5650" s="348"/>
      <c r="I5650" s="348" t="s">
        <v>1253</v>
      </c>
      <c r="J5650" s="344" t="s">
        <v>113</v>
      </c>
      <c r="K5650" s="349">
        <v>234807.69230769228</v>
      </c>
      <c r="L5650" s="349"/>
    </row>
    <row r="5651" spans="1:12" ht="11.25" customHeight="1" x14ac:dyDescent="0.2">
      <c r="A5651" s="350">
        <v>2024</v>
      </c>
      <c r="B5651" s="350">
        <v>9</v>
      </c>
      <c r="C5651" s="350">
        <v>26</v>
      </c>
      <c r="D5651" s="351">
        <f t="shared" si="557"/>
        <v>45561</v>
      </c>
      <c r="E5651" s="352">
        <f t="shared" si="563"/>
        <v>45561</v>
      </c>
      <c r="F5651" s="519"/>
      <c r="G5651" s="353" t="s">
        <v>1245</v>
      </c>
      <c r="H5651" s="354"/>
      <c r="I5651" s="354" t="s">
        <v>1253</v>
      </c>
      <c r="J5651" s="350" t="s">
        <v>153</v>
      </c>
      <c r="K5651" s="355"/>
      <c r="L5651" s="355">
        <f>K5650</f>
        <v>234807.69230769228</v>
      </c>
    </row>
    <row r="5652" spans="1:12" ht="11.25" customHeight="1" x14ac:dyDescent="0.2">
      <c r="A5652" s="210">
        <v>2024</v>
      </c>
      <c r="B5652" s="210">
        <v>9</v>
      </c>
      <c r="C5652" s="210">
        <v>26</v>
      </c>
      <c r="D5652" s="211">
        <f t="shared" si="557"/>
        <v>45561</v>
      </c>
      <c r="E5652" s="238">
        <f t="shared" si="563"/>
        <v>45561</v>
      </c>
      <c r="F5652" s="520" t="s">
        <v>1278</v>
      </c>
      <c r="G5652" s="213" t="s">
        <v>1245</v>
      </c>
      <c r="H5652" s="214"/>
      <c r="I5652" s="214" t="s">
        <v>1253</v>
      </c>
      <c r="J5652" s="210" t="s">
        <v>1529</v>
      </c>
      <c r="K5652" s="215">
        <v>510.40384615384613</v>
      </c>
      <c r="L5652" s="215"/>
    </row>
    <row r="5653" spans="1:12" ht="11.25" customHeight="1" x14ac:dyDescent="0.2">
      <c r="A5653" s="216">
        <v>2024</v>
      </c>
      <c r="B5653" s="216">
        <v>9</v>
      </c>
      <c r="C5653" s="216">
        <v>26</v>
      </c>
      <c r="D5653" s="217">
        <f t="shared" si="557"/>
        <v>45561</v>
      </c>
      <c r="E5653" s="239">
        <f t="shared" si="563"/>
        <v>45561</v>
      </c>
      <c r="F5653" s="521"/>
      <c r="G5653" s="219" t="s">
        <v>1245</v>
      </c>
      <c r="H5653" s="220"/>
      <c r="I5653" s="220" t="s">
        <v>1253</v>
      </c>
      <c r="J5653" s="216" t="s">
        <v>1581</v>
      </c>
      <c r="K5653" s="221"/>
      <c r="L5653" s="221">
        <v>510.40384615384613</v>
      </c>
    </row>
    <row r="5654" spans="1:12" ht="11.25" customHeight="1" x14ac:dyDescent="0.2">
      <c r="A5654" s="210">
        <v>2024</v>
      </c>
      <c r="B5654" s="210">
        <v>9</v>
      </c>
      <c r="C5654" s="210">
        <v>26</v>
      </c>
      <c r="D5654" s="211">
        <f t="shared" si="557"/>
        <v>45561</v>
      </c>
      <c r="E5654" s="238">
        <f t="shared" si="563"/>
        <v>45561</v>
      </c>
      <c r="F5654" s="520" t="s">
        <v>1857</v>
      </c>
      <c r="G5654" s="213" t="s">
        <v>1245</v>
      </c>
      <c r="H5654" s="214"/>
      <c r="I5654" s="214" t="s">
        <v>1253</v>
      </c>
      <c r="J5654" s="210" t="s">
        <v>1284</v>
      </c>
      <c r="K5654" s="215">
        <v>8903.4309440559427</v>
      </c>
      <c r="L5654" s="215"/>
    </row>
    <row r="5655" spans="1:12" ht="11.25" customHeight="1" x14ac:dyDescent="0.2">
      <c r="A5655" s="242">
        <v>2024</v>
      </c>
      <c r="B5655" s="242">
        <v>9</v>
      </c>
      <c r="C5655" s="242">
        <v>26</v>
      </c>
      <c r="D5655" s="243">
        <f t="shared" si="557"/>
        <v>45561</v>
      </c>
      <c r="E5655" s="244">
        <f>DATE(A5655,B5655,C5655)</f>
        <v>45561</v>
      </c>
      <c r="F5655" s="524"/>
      <c r="G5655" s="245" t="s">
        <v>1245</v>
      </c>
      <c r="H5655" s="246"/>
      <c r="I5655" s="246"/>
      <c r="J5655" s="242" t="s">
        <v>1582</v>
      </c>
      <c r="K5655" s="247"/>
      <c r="L5655" s="247">
        <v>8903.4309440559427</v>
      </c>
    </row>
    <row r="5656" spans="1:12" ht="11.25" customHeight="1" x14ac:dyDescent="0.2">
      <c r="A5656" s="210">
        <v>2024</v>
      </c>
      <c r="B5656" s="210">
        <v>9</v>
      </c>
      <c r="C5656" s="210">
        <v>26</v>
      </c>
      <c r="D5656" s="211">
        <f t="shared" si="557"/>
        <v>45561</v>
      </c>
      <c r="E5656" s="238">
        <f t="shared" ref="E5656:E5682" si="564">DATE(A5656,B5656,C5656)</f>
        <v>45561</v>
      </c>
      <c r="F5656" s="520" t="s">
        <v>1259</v>
      </c>
      <c r="G5656" s="213" t="s">
        <v>1245</v>
      </c>
      <c r="H5656" s="214"/>
      <c r="I5656" s="214" t="s">
        <v>1253</v>
      </c>
      <c r="J5656" s="210" t="s">
        <v>58</v>
      </c>
      <c r="K5656" s="215">
        <v>16399.95</v>
      </c>
      <c r="L5656" s="215"/>
    </row>
    <row r="5657" spans="1:12" ht="11.25" customHeight="1" x14ac:dyDescent="0.2">
      <c r="A5657" s="216">
        <v>2024</v>
      </c>
      <c r="B5657" s="216">
        <v>9</v>
      </c>
      <c r="C5657" s="216">
        <v>26</v>
      </c>
      <c r="D5657" s="217">
        <f t="shared" si="557"/>
        <v>45561</v>
      </c>
      <c r="E5657" s="239">
        <f t="shared" si="564"/>
        <v>45561</v>
      </c>
      <c r="F5657" s="521"/>
      <c r="G5657" s="219" t="s">
        <v>1245</v>
      </c>
      <c r="H5657" s="220"/>
      <c r="I5657" s="220" t="s">
        <v>1253</v>
      </c>
      <c r="J5657" s="216" t="s">
        <v>153</v>
      </c>
      <c r="K5657" s="221"/>
      <c r="L5657" s="221">
        <f>K5656</f>
        <v>16399.95</v>
      </c>
    </row>
    <row r="5658" spans="1:12" ht="11.25" customHeight="1" x14ac:dyDescent="0.2">
      <c r="A5658" s="312">
        <v>2024</v>
      </c>
      <c r="B5658" s="312">
        <v>9</v>
      </c>
      <c r="C5658" s="312">
        <v>26</v>
      </c>
      <c r="D5658" s="313">
        <f t="shared" si="557"/>
        <v>45561</v>
      </c>
      <c r="E5658" s="314">
        <f t="shared" si="564"/>
        <v>45561</v>
      </c>
      <c r="F5658" s="522" t="s">
        <v>1477</v>
      </c>
      <c r="G5658" s="315" t="s">
        <v>1245</v>
      </c>
      <c r="H5658" s="316"/>
      <c r="I5658" s="316" t="s">
        <v>1253</v>
      </c>
      <c r="J5658" s="312" t="s">
        <v>1458</v>
      </c>
      <c r="K5658" s="317">
        <v>73376.30000000447</v>
      </c>
      <c r="L5658" s="317"/>
    </row>
    <row r="5659" spans="1:12" ht="11.25" customHeight="1" x14ac:dyDescent="0.2">
      <c r="A5659" s="318">
        <v>2024</v>
      </c>
      <c r="B5659" s="318">
        <v>9</v>
      </c>
      <c r="C5659" s="318">
        <v>26</v>
      </c>
      <c r="D5659" s="319">
        <f t="shared" si="557"/>
        <v>45561</v>
      </c>
      <c r="E5659" s="320">
        <f t="shared" si="564"/>
        <v>45561</v>
      </c>
      <c r="F5659" s="523"/>
      <c r="G5659" s="321" t="s">
        <v>1245</v>
      </c>
      <c r="H5659" s="322"/>
      <c r="I5659" s="322" t="s">
        <v>1253</v>
      </c>
      <c r="J5659" s="318" t="s">
        <v>1460</v>
      </c>
      <c r="K5659" s="323"/>
      <c r="L5659" s="323">
        <f>K5658</f>
        <v>73376.30000000447</v>
      </c>
    </row>
    <row r="5660" spans="1:12" ht="11.25" customHeight="1" x14ac:dyDescent="0.2">
      <c r="A5660" s="312">
        <v>2024</v>
      </c>
      <c r="B5660" s="312">
        <v>9</v>
      </c>
      <c r="C5660" s="312">
        <v>26</v>
      </c>
      <c r="D5660" s="313">
        <f t="shared" si="557"/>
        <v>45561</v>
      </c>
      <c r="E5660" s="314">
        <f t="shared" si="564"/>
        <v>45561</v>
      </c>
      <c r="F5660" s="522" t="s">
        <v>1595</v>
      </c>
      <c r="G5660" s="315" t="s">
        <v>1245</v>
      </c>
      <c r="H5660" s="316"/>
      <c r="I5660" s="316" t="s">
        <v>1253</v>
      </c>
      <c r="J5660" s="312" t="s">
        <v>1461</v>
      </c>
      <c r="K5660" s="317">
        <v>470437.61300006509</v>
      </c>
      <c r="L5660" s="317"/>
    </row>
    <row r="5661" spans="1:12" ht="11.25" customHeight="1" x14ac:dyDescent="0.2">
      <c r="A5661" s="318">
        <v>2024</v>
      </c>
      <c r="B5661" s="318">
        <v>9</v>
      </c>
      <c r="C5661" s="318">
        <v>26</v>
      </c>
      <c r="D5661" s="319">
        <f t="shared" si="557"/>
        <v>45561</v>
      </c>
      <c r="E5661" s="320">
        <f t="shared" si="564"/>
        <v>45561</v>
      </c>
      <c r="F5661" s="523"/>
      <c r="G5661" s="321" t="s">
        <v>1245</v>
      </c>
      <c r="H5661" s="322"/>
      <c r="I5661" s="322" t="s">
        <v>1253</v>
      </c>
      <c r="J5661" s="318" t="s">
        <v>1459</v>
      </c>
      <c r="K5661" s="323"/>
      <c r="L5661" s="323">
        <f>K5660</f>
        <v>470437.61300006509</v>
      </c>
    </row>
    <row r="5662" spans="1:12" ht="11.25" customHeight="1" x14ac:dyDescent="0.2">
      <c r="A5662" s="222">
        <v>2024</v>
      </c>
      <c r="B5662" s="222">
        <v>9</v>
      </c>
      <c r="C5662" s="222">
        <v>26</v>
      </c>
      <c r="D5662" s="223">
        <f t="shared" si="557"/>
        <v>45561</v>
      </c>
      <c r="E5662" s="240">
        <f t="shared" si="564"/>
        <v>45561</v>
      </c>
      <c r="F5662" s="511" t="s">
        <v>1244</v>
      </c>
      <c r="G5662" s="225" t="s">
        <v>1245</v>
      </c>
      <c r="H5662" s="226"/>
      <c r="I5662" s="226" t="s">
        <v>1253</v>
      </c>
      <c r="J5662" s="222" t="s">
        <v>87</v>
      </c>
      <c r="K5662" s="227">
        <v>5230</v>
      </c>
      <c r="L5662" s="227"/>
    </row>
    <row r="5663" spans="1:12" ht="11.25" customHeight="1" x14ac:dyDescent="0.2">
      <c r="A5663" s="228">
        <v>2024</v>
      </c>
      <c r="B5663" s="228">
        <v>9</v>
      </c>
      <c r="C5663" s="228">
        <v>26</v>
      </c>
      <c r="D5663" s="229">
        <f t="shared" si="557"/>
        <v>45561</v>
      </c>
      <c r="E5663" s="241">
        <f t="shared" si="564"/>
        <v>45561</v>
      </c>
      <c r="F5663" s="512"/>
      <c r="G5663" s="231" t="s">
        <v>1245</v>
      </c>
      <c r="H5663" s="232"/>
      <c r="I5663" s="232" t="s">
        <v>1253</v>
      </c>
      <c r="J5663" s="228" t="s">
        <v>72</v>
      </c>
      <c r="K5663" s="233"/>
      <c r="L5663" s="233">
        <f>K5662</f>
        <v>5230</v>
      </c>
    </row>
    <row r="5664" spans="1:12" ht="11.25" customHeight="1" x14ac:dyDescent="0.2">
      <c r="A5664" s="222">
        <v>2024</v>
      </c>
      <c r="B5664" s="222">
        <v>9</v>
      </c>
      <c r="C5664" s="222">
        <v>26</v>
      </c>
      <c r="D5664" s="223">
        <f t="shared" si="557"/>
        <v>45561</v>
      </c>
      <c r="E5664" s="240">
        <f t="shared" si="564"/>
        <v>45561</v>
      </c>
      <c r="F5664" s="511" t="s">
        <v>1246</v>
      </c>
      <c r="G5664" s="225" t="s">
        <v>1245</v>
      </c>
      <c r="H5664" s="226"/>
      <c r="I5664" s="226" t="s">
        <v>1253</v>
      </c>
      <c r="J5664" s="222" t="s">
        <v>75</v>
      </c>
      <c r="K5664" s="227">
        <v>3623.123846153846</v>
      </c>
      <c r="L5664" s="227"/>
    </row>
    <row r="5665" spans="1:15" ht="11.25" customHeight="1" x14ac:dyDescent="0.2">
      <c r="A5665" s="228">
        <v>2024</v>
      </c>
      <c r="B5665" s="228">
        <v>9</v>
      </c>
      <c r="C5665" s="228">
        <v>26</v>
      </c>
      <c r="D5665" s="229">
        <f t="shared" si="557"/>
        <v>45561</v>
      </c>
      <c r="E5665" s="241">
        <f t="shared" si="564"/>
        <v>45561</v>
      </c>
      <c r="F5665" s="512"/>
      <c r="G5665" s="231" t="s">
        <v>1245</v>
      </c>
      <c r="H5665" s="232"/>
      <c r="I5665" s="232" t="s">
        <v>1253</v>
      </c>
      <c r="J5665" s="228" t="s">
        <v>55</v>
      </c>
      <c r="K5665" s="233"/>
      <c r="L5665" s="233">
        <v>3623.123846153846</v>
      </c>
    </row>
    <row r="5666" spans="1:15" ht="11.25" customHeight="1" x14ac:dyDescent="0.2">
      <c r="A5666" s="222">
        <v>2024</v>
      </c>
      <c r="B5666" s="222">
        <v>9</v>
      </c>
      <c r="C5666" s="222">
        <v>26</v>
      </c>
      <c r="D5666" s="223">
        <f t="shared" si="557"/>
        <v>45561</v>
      </c>
      <c r="E5666" s="240">
        <f t="shared" si="564"/>
        <v>45561</v>
      </c>
      <c r="F5666" s="511" t="s">
        <v>1247</v>
      </c>
      <c r="G5666" s="225" t="s">
        <v>1245</v>
      </c>
      <c r="H5666" s="226"/>
      <c r="I5666" s="226" t="s">
        <v>1253</v>
      </c>
      <c r="J5666" s="222" t="s">
        <v>77</v>
      </c>
      <c r="K5666" s="227">
        <f>M5666</f>
        <v>38855.883506821483</v>
      </c>
      <c r="L5666" s="227"/>
      <c r="M5666" s="120">
        <v>38855.883506821483</v>
      </c>
    </row>
    <row r="5667" spans="1:15" ht="11.25" customHeight="1" x14ac:dyDescent="0.2">
      <c r="A5667" s="228">
        <v>2024</v>
      </c>
      <c r="B5667" s="228">
        <v>9</v>
      </c>
      <c r="C5667" s="228">
        <v>26</v>
      </c>
      <c r="D5667" s="229">
        <f t="shared" si="557"/>
        <v>45561</v>
      </c>
      <c r="E5667" s="241">
        <f t="shared" si="564"/>
        <v>45561</v>
      </c>
      <c r="F5667" s="512"/>
      <c r="G5667" s="231" t="s">
        <v>1245</v>
      </c>
      <c r="H5667" s="232"/>
      <c r="I5667" s="232" t="s">
        <v>1253</v>
      </c>
      <c r="J5667" s="228" t="s">
        <v>41</v>
      </c>
      <c r="K5667" s="233"/>
      <c r="L5667" s="233">
        <f>K5666</f>
        <v>38855.883506821483</v>
      </c>
      <c r="M5667" s="120">
        <v>3885.5883506821483</v>
      </c>
    </row>
    <row r="5668" spans="1:15" ht="11.25" customHeight="1" x14ac:dyDescent="0.2">
      <c r="A5668" s="222">
        <v>2024</v>
      </c>
      <c r="B5668" s="222">
        <v>9</v>
      </c>
      <c r="C5668" s="222">
        <v>26</v>
      </c>
      <c r="D5668" s="223">
        <f t="shared" si="557"/>
        <v>45561</v>
      </c>
      <c r="E5668" s="240">
        <f t="shared" si="564"/>
        <v>45561</v>
      </c>
      <c r="F5668" s="511" t="s">
        <v>1248</v>
      </c>
      <c r="G5668" s="225" t="s">
        <v>1245</v>
      </c>
      <c r="H5668" s="226"/>
      <c r="I5668" s="226" t="s">
        <v>1253</v>
      </c>
      <c r="J5668" s="222" t="s">
        <v>80</v>
      </c>
      <c r="K5668" s="227">
        <f>M5667</f>
        <v>3885.5883506821483</v>
      </c>
      <c r="L5668" s="227"/>
    </row>
    <row r="5669" spans="1:15" x14ac:dyDescent="0.2">
      <c r="A5669" s="228">
        <v>2024</v>
      </c>
      <c r="B5669" s="228">
        <v>9</v>
      </c>
      <c r="C5669" s="228">
        <v>26</v>
      </c>
      <c r="D5669" s="229">
        <f t="shared" si="557"/>
        <v>45561</v>
      </c>
      <c r="E5669" s="241">
        <f t="shared" si="564"/>
        <v>45561</v>
      </c>
      <c r="F5669" s="512"/>
      <c r="G5669" s="231" t="s">
        <v>1245</v>
      </c>
      <c r="H5669" s="232"/>
      <c r="I5669" s="232" t="s">
        <v>1253</v>
      </c>
      <c r="J5669" s="228" t="s">
        <v>42</v>
      </c>
      <c r="K5669" s="233"/>
      <c r="L5669" s="233">
        <f>K5668</f>
        <v>3885.5883506821483</v>
      </c>
    </row>
    <row r="5670" spans="1:15" ht="11.25" customHeight="1" x14ac:dyDescent="0.2">
      <c r="A5670" s="197">
        <v>2024</v>
      </c>
      <c r="B5670" s="197">
        <v>9</v>
      </c>
      <c r="C5670" s="197">
        <v>29</v>
      </c>
      <c r="D5670" s="198">
        <f t="shared" si="557"/>
        <v>45564</v>
      </c>
      <c r="E5670" s="209">
        <f t="shared" si="564"/>
        <v>45564</v>
      </c>
      <c r="F5670" s="513" t="s">
        <v>1210</v>
      </c>
      <c r="G5670" s="200" t="s">
        <v>1209</v>
      </c>
      <c r="H5670" s="201"/>
      <c r="I5670" s="201" t="s">
        <v>1491</v>
      </c>
      <c r="J5670" s="197" t="s">
        <v>46</v>
      </c>
      <c r="K5670" s="202">
        <v>2000</v>
      </c>
      <c r="L5670" s="202"/>
    </row>
    <row r="5671" spans="1:15" ht="11.25" customHeight="1" x14ac:dyDescent="0.2">
      <c r="A5671" s="120">
        <v>2024</v>
      </c>
      <c r="B5671" s="120">
        <v>9</v>
      </c>
      <c r="C5671" s="120">
        <v>29</v>
      </c>
      <c r="D5671" s="208">
        <f t="shared" si="557"/>
        <v>45564</v>
      </c>
      <c r="E5671" s="209">
        <f t="shared" si="564"/>
        <v>45564</v>
      </c>
      <c r="F5671" s="515"/>
      <c r="G5671" s="132" t="s">
        <v>1209</v>
      </c>
      <c r="I5671" s="128" t="s">
        <v>1491</v>
      </c>
      <c r="J5671" s="120" t="s">
        <v>16</v>
      </c>
      <c r="K5671" s="207"/>
      <c r="L5671" s="207">
        <v>1740</v>
      </c>
    </row>
    <row r="5672" spans="1:15" ht="11.25" customHeight="1" x14ac:dyDescent="0.2">
      <c r="A5672" s="191">
        <v>2024</v>
      </c>
      <c r="B5672" s="191">
        <v>9</v>
      </c>
      <c r="C5672" s="191">
        <v>29</v>
      </c>
      <c r="D5672" s="192">
        <f t="shared" si="557"/>
        <v>45564</v>
      </c>
      <c r="E5672" s="193">
        <f t="shared" si="564"/>
        <v>45564</v>
      </c>
      <c r="F5672" s="514"/>
      <c r="G5672" s="194" t="s">
        <v>1209</v>
      </c>
      <c r="H5672" s="195"/>
      <c r="I5672" s="195" t="s">
        <v>1491</v>
      </c>
      <c r="J5672" s="191" t="s">
        <v>47</v>
      </c>
      <c r="K5672" s="196"/>
      <c r="L5672" s="196">
        <v>260</v>
      </c>
    </row>
    <row r="5673" spans="1:15" ht="11.25" customHeight="1" x14ac:dyDescent="0.2">
      <c r="A5673" s="197">
        <v>2024</v>
      </c>
      <c r="B5673" s="197">
        <v>9</v>
      </c>
      <c r="C5673" s="197">
        <v>29</v>
      </c>
      <c r="D5673" s="198">
        <f t="shared" si="557"/>
        <v>45564</v>
      </c>
      <c r="E5673" s="209">
        <f t="shared" si="564"/>
        <v>45564</v>
      </c>
      <c r="F5673" s="513" t="s">
        <v>1280</v>
      </c>
      <c r="G5673" s="200" t="s">
        <v>1209</v>
      </c>
      <c r="H5673" s="201"/>
      <c r="I5673" s="201" t="s">
        <v>1219</v>
      </c>
      <c r="J5673" s="197" t="s">
        <v>16</v>
      </c>
      <c r="K5673" s="202">
        <v>500000</v>
      </c>
      <c r="L5673" s="202"/>
    </row>
    <row r="5674" spans="1:15" ht="11.25" customHeight="1" x14ac:dyDescent="0.2">
      <c r="A5674" s="120">
        <v>2024</v>
      </c>
      <c r="B5674" s="120">
        <v>9</v>
      </c>
      <c r="C5674" s="120">
        <v>29</v>
      </c>
      <c r="D5674" s="208">
        <f t="shared" si="557"/>
        <v>45564</v>
      </c>
      <c r="E5674" s="209">
        <f t="shared" si="564"/>
        <v>45564</v>
      </c>
      <c r="F5674" s="515"/>
      <c r="G5674" s="132" t="s">
        <v>1209</v>
      </c>
      <c r="I5674" s="128" t="s">
        <v>1219</v>
      </c>
      <c r="J5674" s="120" t="s">
        <v>47</v>
      </c>
      <c r="K5674" s="207">
        <v>74250</v>
      </c>
      <c r="L5674" s="207"/>
    </row>
    <row r="5675" spans="1:15" ht="11.25" customHeight="1" x14ac:dyDescent="0.2">
      <c r="A5675" s="191">
        <v>2024</v>
      </c>
      <c r="B5675" s="191">
        <v>9</v>
      </c>
      <c r="C5675" s="191">
        <v>29</v>
      </c>
      <c r="D5675" s="192">
        <f t="shared" si="557"/>
        <v>45564</v>
      </c>
      <c r="E5675" s="193">
        <f t="shared" si="564"/>
        <v>45564</v>
      </c>
      <c r="F5675" s="514"/>
      <c r="G5675" s="194" t="s">
        <v>1209</v>
      </c>
      <c r="H5675" s="195"/>
      <c r="I5675" s="195" t="s">
        <v>1219</v>
      </c>
      <c r="J5675" s="191" t="s">
        <v>46</v>
      </c>
      <c r="K5675" s="196"/>
      <c r="L5675" s="196">
        <v>574250</v>
      </c>
    </row>
    <row r="5676" spans="1:15" ht="11.25" customHeight="1" x14ac:dyDescent="0.2">
      <c r="A5676" s="197">
        <v>2024</v>
      </c>
      <c r="B5676" s="197">
        <v>9</v>
      </c>
      <c r="C5676" s="197">
        <v>29</v>
      </c>
      <c r="D5676" s="198">
        <f t="shared" ref="D5676:D5739" si="565">DATE(A5676,B5676,C5676)</f>
        <v>45564</v>
      </c>
      <c r="E5676" s="290">
        <f t="shared" si="564"/>
        <v>45564</v>
      </c>
      <c r="F5676" s="513" t="s">
        <v>1514</v>
      </c>
      <c r="G5676" s="200" t="s">
        <v>1209</v>
      </c>
      <c r="H5676" s="201"/>
      <c r="I5676" s="201"/>
      <c r="J5676" s="197" t="s">
        <v>54</v>
      </c>
      <c r="K5676" s="202">
        <v>100</v>
      </c>
      <c r="L5676" s="202"/>
      <c r="M5676" s="251"/>
      <c r="N5676" s="251"/>
      <c r="O5676" s="251"/>
    </row>
    <row r="5677" spans="1:15" ht="11.25" customHeight="1" x14ac:dyDescent="0.2">
      <c r="A5677" s="191">
        <v>2024</v>
      </c>
      <c r="B5677" s="191">
        <v>9</v>
      </c>
      <c r="C5677" s="191">
        <v>29</v>
      </c>
      <c r="D5677" s="192">
        <f t="shared" si="565"/>
        <v>45564</v>
      </c>
      <c r="E5677" s="291">
        <f t="shared" si="564"/>
        <v>45564</v>
      </c>
      <c r="F5677" s="514"/>
      <c r="G5677" s="194" t="s">
        <v>1209</v>
      </c>
      <c r="H5677" s="195"/>
      <c r="I5677" s="195"/>
      <c r="J5677" s="191" t="s">
        <v>46</v>
      </c>
      <c r="K5677" s="196"/>
      <c r="L5677" s="196">
        <v>100</v>
      </c>
      <c r="M5677" s="251"/>
      <c r="N5677" s="251"/>
      <c r="O5677" s="251"/>
    </row>
    <row r="5678" spans="1:15" ht="11.25" customHeight="1" x14ac:dyDescent="0.2">
      <c r="A5678" s="197">
        <v>2024</v>
      </c>
      <c r="B5678" s="197">
        <v>9</v>
      </c>
      <c r="C5678" s="197">
        <v>29</v>
      </c>
      <c r="D5678" s="198">
        <f t="shared" si="565"/>
        <v>45564</v>
      </c>
      <c r="E5678" s="199">
        <f t="shared" si="564"/>
        <v>45564</v>
      </c>
      <c r="F5678" s="513" t="s">
        <v>1902</v>
      </c>
      <c r="G5678" s="200" t="s">
        <v>1209</v>
      </c>
      <c r="H5678" s="201"/>
      <c r="I5678" s="201" t="s">
        <v>1253</v>
      </c>
      <c r="J5678" s="197" t="s">
        <v>46</v>
      </c>
      <c r="K5678" s="202">
        <v>2997000</v>
      </c>
      <c r="L5678" s="202"/>
    </row>
    <row r="5679" spans="1:15" ht="11.25" customHeight="1" x14ac:dyDescent="0.2">
      <c r="A5679" s="120">
        <v>2024</v>
      </c>
      <c r="B5679" s="120">
        <v>9</v>
      </c>
      <c r="C5679" s="120">
        <v>29</v>
      </c>
      <c r="D5679" s="208">
        <f t="shared" si="565"/>
        <v>45564</v>
      </c>
      <c r="E5679" s="209">
        <f t="shared" si="564"/>
        <v>45564</v>
      </c>
      <c r="F5679" s="515"/>
      <c r="G5679" s="132" t="s">
        <v>1209</v>
      </c>
      <c r="J5679" s="120" t="s">
        <v>46</v>
      </c>
      <c r="K5679" s="207">
        <v>90000</v>
      </c>
      <c r="L5679" s="207"/>
    </row>
    <row r="5680" spans="1:15" ht="11.25" customHeight="1" x14ac:dyDescent="0.2">
      <c r="A5680" s="120">
        <v>2024</v>
      </c>
      <c r="B5680" s="120">
        <v>9</v>
      </c>
      <c r="C5680" s="120">
        <v>29</v>
      </c>
      <c r="D5680" s="208">
        <f t="shared" si="565"/>
        <v>45564</v>
      </c>
      <c r="E5680" s="209">
        <f t="shared" si="564"/>
        <v>45564</v>
      </c>
      <c r="F5680" s="515"/>
      <c r="G5680" s="132" t="s">
        <v>1209</v>
      </c>
      <c r="J5680" s="120" t="s">
        <v>54</v>
      </c>
      <c r="K5680" s="207">
        <v>3000</v>
      </c>
      <c r="L5680" s="207"/>
    </row>
    <row r="5681" spans="1:15" ht="11.25" customHeight="1" x14ac:dyDescent="0.2">
      <c r="A5681" s="120">
        <v>2024</v>
      </c>
      <c r="B5681" s="120">
        <v>9</v>
      </c>
      <c r="C5681" s="120">
        <v>29</v>
      </c>
      <c r="D5681" s="208">
        <f t="shared" si="565"/>
        <v>45564</v>
      </c>
      <c r="E5681" s="209">
        <f t="shared" ref="E5681" si="566">DATE(A5681,B5681,C5681)</f>
        <v>45564</v>
      </c>
      <c r="F5681" s="515"/>
      <c r="G5681" s="132" t="s">
        <v>1209</v>
      </c>
      <c r="J5681" s="120" t="s">
        <v>113</v>
      </c>
      <c r="K5681" s="207"/>
      <c r="L5681" s="207">
        <v>90000</v>
      </c>
    </row>
    <row r="5682" spans="1:15" ht="11.25" customHeight="1" x14ac:dyDescent="0.2">
      <c r="A5682" s="191">
        <v>2024</v>
      </c>
      <c r="B5682" s="191">
        <v>9</v>
      </c>
      <c r="C5682" s="191">
        <v>29</v>
      </c>
      <c r="D5682" s="192">
        <f t="shared" si="565"/>
        <v>45564</v>
      </c>
      <c r="E5682" s="193">
        <f t="shared" si="564"/>
        <v>45564</v>
      </c>
      <c r="F5682" s="514"/>
      <c r="G5682" s="194" t="s">
        <v>1209</v>
      </c>
      <c r="H5682" s="195"/>
      <c r="I5682" s="195" t="s">
        <v>1253</v>
      </c>
      <c r="J5682" s="191" t="s">
        <v>76</v>
      </c>
      <c r="K5682" s="196"/>
      <c r="L5682" s="196">
        <v>3000000</v>
      </c>
    </row>
    <row r="5683" spans="1:15" ht="11.25" customHeight="1" x14ac:dyDescent="0.2">
      <c r="A5683" s="197">
        <v>2024</v>
      </c>
      <c r="B5683" s="197">
        <v>9</v>
      </c>
      <c r="C5683" s="197">
        <v>29</v>
      </c>
      <c r="D5683" s="198">
        <f t="shared" si="565"/>
        <v>45564</v>
      </c>
      <c r="E5683" s="199">
        <f t="shared" ref="E5683:E5690" si="567">DATE(A5683,B5683,C5683)</f>
        <v>45564</v>
      </c>
      <c r="F5683" s="513" t="s">
        <v>1903</v>
      </c>
      <c r="G5683" s="200" t="s">
        <v>1209</v>
      </c>
      <c r="H5683" s="201"/>
      <c r="I5683" s="201" t="s">
        <v>1253</v>
      </c>
      <c r="J5683" s="197" t="s">
        <v>46</v>
      </c>
      <c r="K5683" s="202">
        <v>2997000</v>
      </c>
      <c r="L5683" s="202"/>
    </row>
    <row r="5684" spans="1:15" ht="11.25" customHeight="1" x14ac:dyDescent="0.2">
      <c r="A5684" s="120">
        <v>2024</v>
      </c>
      <c r="B5684" s="120">
        <v>9</v>
      </c>
      <c r="C5684" s="120">
        <v>29</v>
      </c>
      <c r="D5684" s="208">
        <f t="shared" si="565"/>
        <v>45564</v>
      </c>
      <c r="E5684" s="209">
        <f t="shared" si="567"/>
        <v>45564</v>
      </c>
      <c r="F5684" s="515"/>
      <c r="G5684" s="132" t="s">
        <v>1209</v>
      </c>
      <c r="J5684" s="120" t="s">
        <v>46</v>
      </c>
      <c r="K5684" s="207">
        <v>90000</v>
      </c>
      <c r="L5684" s="207"/>
    </row>
    <row r="5685" spans="1:15" ht="11.25" customHeight="1" x14ac:dyDescent="0.2">
      <c r="A5685" s="120">
        <v>2024</v>
      </c>
      <c r="B5685" s="120">
        <v>9</v>
      </c>
      <c r="C5685" s="120">
        <v>29</v>
      </c>
      <c r="D5685" s="208">
        <f t="shared" si="565"/>
        <v>45564</v>
      </c>
      <c r="E5685" s="209">
        <f t="shared" si="567"/>
        <v>45564</v>
      </c>
      <c r="F5685" s="515"/>
      <c r="G5685" s="132" t="s">
        <v>1209</v>
      </c>
      <c r="J5685" s="120" t="s">
        <v>54</v>
      </c>
      <c r="K5685" s="207">
        <v>3000</v>
      </c>
      <c r="L5685" s="207"/>
    </row>
    <row r="5686" spans="1:15" ht="11.25" customHeight="1" x14ac:dyDescent="0.2">
      <c r="A5686" s="120">
        <v>2024</v>
      </c>
      <c r="B5686" s="120">
        <v>9</v>
      </c>
      <c r="C5686" s="120">
        <v>29</v>
      </c>
      <c r="D5686" s="208">
        <f t="shared" si="565"/>
        <v>45564</v>
      </c>
      <c r="E5686" s="209">
        <f t="shared" si="567"/>
        <v>45564</v>
      </c>
      <c r="F5686" s="515"/>
      <c r="G5686" s="132" t="s">
        <v>1209</v>
      </c>
      <c r="J5686" s="120" t="s">
        <v>113</v>
      </c>
      <c r="K5686" s="207"/>
      <c r="L5686" s="207">
        <v>90000</v>
      </c>
    </row>
    <row r="5687" spans="1:15" ht="11.25" customHeight="1" x14ac:dyDescent="0.2">
      <c r="A5687" s="191">
        <v>2024</v>
      </c>
      <c r="B5687" s="191">
        <v>9</v>
      </c>
      <c r="C5687" s="191">
        <v>29</v>
      </c>
      <c r="D5687" s="192">
        <f t="shared" si="565"/>
        <v>45564</v>
      </c>
      <c r="E5687" s="193">
        <f t="shared" si="567"/>
        <v>45564</v>
      </c>
      <c r="F5687" s="514"/>
      <c r="G5687" s="194" t="s">
        <v>1209</v>
      </c>
      <c r="H5687" s="195"/>
      <c r="I5687" s="195" t="s">
        <v>1253</v>
      </c>
      <c r="J5687" s="191" t="s">
        <v>76</v>
      </c>
      <c r="K5687" s="196"/>
      <c r="L5687" s="196">
        <v>3000000</v>
      </c>
    </row>
    <row r="5688" spans="1:15" ht="11.25" customHeight="1" x14ac:dyDescent="0.2">
      <c r="A5688" s="197">
        <v>2024</v>
      </c>
      <c r="B5688" s="197">
        <v>9</v>
      </c>
      <c r="C5688" s="197">
        <v>29</v>
      </c>
      <c r="D5688" s="198">
        <f t="shared" si="565"/>
        <v>45564</v>
      </c>
      <c r="E5688" s="199">
        <f t="shared" si="567"/>
        <v>45564</v>
      </c>
      <c r="F5688" s="513" t="s">
        <v>1904</v>
      </c>
      <c r="G5688" s="200" t="s">
        <v>1209</v>
      </c>
      <c r="H5688" s="201"/>
      <c r="I5688" s="201" t="s">
        <v>1253</v>
      </c>
      <c r="J5688" s="197" t="s">
        <v>46</v>
      </c>
      <c r="K5688" s="202">
        <v>8000000</v>
      </c>
      <c r="L5688" s="202"/>
    </row>
    <row r="5689" spans="1:15" ht="11.25" customHeight="1" x14ac:dyDescent="0.2">
      <c r="A5689" s="120">
        <v>2024</v>
      </c>
      <c r="B5689" s="120">
        <v>9</v>
      </c>
      <c r="C5689" s="120">
        <v>29</v>
      </c>
      <c r="D5689" s="208">
        <f t="shared" si="565"/>
        <v>45564</v>
      </c>
      <c r="E5689" s="209">
        <f t="shared" si="567"/>
        <v>45564</v>
      </c>
      <c r="F5689" s="515"/>
      <c r="G5689" s="132" t="s">
        <v>1209</v>
      </c>
      <c r="J5689" s="120" t="s">
        <v>1462</v>
      </c>
      <c r="K5689" s="328"/>
      <c r="L5689" s="207">
        <v>225800</v>
      </c>
    </row>
    <row r="5690" spans="1:15" ht="11.25" customHeight="1" x14ac:dyDescent="0.2">
      <c r="A5690" s="191">
        <v>2024</v>
      </c>
      <c r="B5690" s="191">
        <v>9</v>
      </c>
      <c r="C5690" s="191">
        <v>29</v>
      </c>
      <c r="D5690" s="192">
        <f t="shared" si="565"/>
        <v>45564</v>
      </c>
      <c r="E5690" s="193">
        <f t="shared" si="567"/>
        <v>45564</v>
      </c>
      <c r="F5690" s="514"/>
      <c r="G5690" s="194" t="s">
        <v>1209</v>
      </c>
      <c r="H5690" s="195"/>
      <c r="I5690" s="195" t="s">
        <v>1253</v>
      </c>
      <c r="J5690" s="191" t="s">
        <v>1455</v>
      </c>
      <c r="K5690" s="196"/>
      <c r="L5690" s="196">
        <v>7774200</v>
      </c>
      <c r="N5690" s="130"/>
    </row>
    <row r="5691" spans="1:15" ht="11.25" customHeight="1" x14ac:dyDescent="0.2">
      <c r="A5691" s="197">
        <v>2024</v>
      </c>
      <c r="B5691" s="197">
        <v>9</v>
      </c>
      <c r="C5691" s="197">
        <v>30</v>
      </c>
      <c r="D5691" s="198">
        <f t="shared" si="565"/>
        <v>45565</v>
      </c>
      <c r="E5691" s="209">
        <f t="shared" ref="E5691:E5702" si="568">DATE(A5691,B5691,C5691)</f>
        <v>45565</v>
      </c>
      <c r="F5691" s="513" t="s">
        <v>1280</v>
      </c>
      <c r="G5691" s="200" t="s">
        <v>1209</v>
      </c>
      <c r="H5691" s="201"/>
      <c r="I5691" s="201" t="s">
        <v>1230</v>
      </c>
      <c r="J5691" s="197" t="s">
        <v>16</v>
      </c>
      <c r="K5691" s="202">
        <v>174140</v>
      </c>
      <c r="L5691" s="202"/>
    </row>
    <row r="5692" spans="1:15" ht="11.25" customHeight="1" x14ac:dyDescent="0.2">
      <c r="A5692" s="120">
        <v>2024</v>
      </c>
      <c r="B5692" s="120">
        <v>9</v>
      </c>
      <c r="C5692" s="120">
        <v>30</v>
      </c>
      <c r="D5692" s="208">
        <f t="shared" si="565"/>
        <v>45565</v>
      </c>
      <c r="E5692" s="209">
        <f t="shared" si="568"/>
        <v>45565</v>
      </c>
      <c r="F5692" s="515"/>
      <c r="G5692" s="132" t="s">
        <v>1209</v>
      </c>
      <c r="I5692" s="128" t="s">
        <v>1230</v>
      </c>
      <c r="J5692" s="120" t="s">
        <v>47</v>
      </c>
      <c r="K5692" s="207">
        <v>25860</v>
      </c>
      <c r="L5692" s="207"/>
    </row>
    <row r="5693" spans="1:15" ht="11.25" customHeight="1" x14ac:dyDescent="0.2">
      <c r="A5693" s="191">
        <v>2024</v>
      </c>
      <c r="B5693" s="191">
        <v>9</v>
      </c>
      <c r="C5693" s="191">
        <v>30</v>
      </c>
      <c r="D5693" s="192">
        <f t="shared" si="565"/>
        <v>45565</v>
      </c>
      <c r="E5693" s="193">
        <f t="shared" si="568"/>
        <v>45565</v>
      </c>
      <c r="F5693" s="514"/>
      <c r="G5693" s="194" t="s">
        <v>1209</v>
      </c>
      <c r="H5693" s="195"/>
      <c r="I5693" s="195" t="s">
        <v>1230</v>
      </c>
      <c r="J5693" s="191" t="s">
        <v>46</v>
      </c>
      <c r="K5693" s="196"/>
      <c r="L5693" s="196">
        <v>200000</v>
      </c>
    </row>
    <row r="5694" spans="1:15" ht="11.25" customHeight="1" x14ac:dyDescent="0.2">
      <c r="A5694" s="197">
        <v>2024</v>
      </c>
      <c r="B5694" s="197">
        <v>9</v>
      </c>
      <c r="C5694" s="197">
        <v>30</v>
      </c>
      <c r="D5694" s="198">
        <f t="shared" si="565"/>
        <v>45565</v>
      </c>
      <c r="E5694" s="290">
        <f t="shared" si="568"/>
        <v>45565</v>
      </c>
      <c r="F5694" s="513" t="s">
        <v>1514</v>
      </c>
      <c r="G5694" s="200" t="s">
        <v>1209</v>
      </c>
      <c r="H5694" s="201"/>
      <c r="I5694" s="201"/>
      <c r="J5694" s="197" t="s">
        <v>54</v>
      </c>
      <c r="K5694" s="202">
        <v>58</v>
      </c>
      <c r="L5694" s="202"/>
      <c r="M5694" s="251"/>
      <c r="N5694" s="251"/>
      <c r="O5694" s="251"/>
    </row>
    <row r="5695" spans="1:15" ht="11.25" customHeight="1" x14ac:dyDescent="0.2">
      <c r="A5695" s="191">
        <v>2024</v>
      </c>
      <c r="B5695" s="191">
        <v>9</v>
      </c>
      <c r="C5695" s="191">
        <v>30</v>
      </c>
      <c r="D5695" s="192">
        <f t="shared" si="565"/>
        <v>45565</v>
      </c>
      <c r="E5695" s="291">
        <f t="shared" si="568"/>
        <v>45565</v>
      </c>
      <c r="F5695" s="514"/>
      <c r="G5695" s="194" t="s">
        <v>1209</v>
      </c>
      <c r="H5695" s="195"/>
      <c r="I5695" s="195"/>
      <c r="J5695" s="191" t="s">
        <v>46</v>
      </c>
      <c r="K5695" s="196"/>
      <c r="L5695" s="196">
        <v>58</v>
      </c>
      <c r="M5695" s="251"/>
      <c r="N5695" s="251"/>
      <c r="O5695" s="251"/>
    </row>
    <row r="5696" spans="1:15" ht="11.25" customHeight="1" x14ac:dyDescent="0.2">
      <c r="A5696" s="197">
        <v>2024</v>
      </c>
      <c r="B5696" s="197">
        <v>9</v>
      </c>
      <c r="C5696" s="197">
        <v>30</v>
      </c>
      <c r="D5696" s="198">
        <f t="shared" si="565"/>
        <v>45565</v>
      </c>
      <c r="E5696" s="199">
        <f t="shared" ref="E5696:E5697" si="569">DATE(A5696,B5696,C5696)</f>
        <v>45565</v>
      </c>
      <c r="F5696" s="513" t="s">
        <v>1870</v>
      </c>
      <c r="G5696" s="200" t="s">
        <v>1209</v>
      </c>
      <c r="H5696" s="201"/>
      <c r="I5696" s="201" t="s">
        <v>1253</v>
      </c>
      <c r="J5696" s="197" t="s">
        <v>1837</v>
      </c>
      <c r="K5696" s="202">
        <v>4162351.02</v>
      </c>
      <c r="L5696" s="202"/>
    </row>
    <row r="5697" spans="1:15" ht="11.25" customHeight="1" x14ac:dyDescent="0.2">
      <c r="A5697" s="191">
        <v>2024</v>
      </c>
      <c r="B5697" s="191">
        <v>9</v>
      </c>
      <c r="C5697" s="191">
        <v>30</v>
      </c>
      <c r="D5697" s="192">
        <f t="shared" si="565"/>
        <v>45565</v>
      </c>
      <c r="E5697" s="193">
        <f t="shared" si="569"/>
        <v>45565</v>
      </c>
      <c r="F5697" s="514"/>
      <c r="G5697" s="194" t="s">
        <v>1209</v>
      </c>
      <c r="H5697" s="195"/>
      <c r="I5697" s="195" t="s">
        <v>1253</v>
      </c>
      <c r="J5697" s="191" t="s">
        <v>46</v>
      </c>
      <c r="K5697" s="196"/>
      <c r="L5697" s="196">
        <v>4162351.02</v>
      </c>
      <c r="N5697" s="130"/>
    </row>
    <row r="5698" spans="1:15" ht="11.25" customHeight="1" x14ac:dyDescent="0.2">
      <c r="A5698" s="197">
        <v>2024</v>
      </c>
      <c r="B5698" s="197">
        <v>9</v>
      </c>
      <c r="C5698" s="197">
        <v>30</v>
      </c>
      <c r="D5698" s="198">
        <f t="shared" si="565"/>
        <v>45565</v>
      </c>
      <c r="E5698" s="199">
        <f t="shared" ref="E5698:E5699" si="570">DATE(A5698,B5698,C5698)</f>
        <v>45565</v>
      </c>
      <c r="F5698" s="513" t="s">
        <v>1896</v>
      </c>
      <c r="G5698" s="200" t="s">
        <v>1209</v>
      </c>
      <c r="H5698" s="201"/>
      <c r="I5698" s="201" t="s">
        <v>1253</v>
      </c>
      <c r="J5698" s="197" t="s">
        <v>1837</v>
      </c>
      <c r="K5698" s="202">
        <v>1545558.82</v>
      </c>
      <c r="L5698" s="202"/>
    </row>
    <row r="5699" spans="1:15" ht="11.25" customHeight="1" x14ac:dyDescent="0.2">
      <c r="A5699" s="191">
        <v>2024</v>
      </c>
      <c r="B5699" s="191">
        <v>9</v>
      </c>
      <c r="C5699" s="191">
        <v>30</v>
      </c>
      <c r="D5699" s="192">
        <f t="shared" si="565"/>
        <v>45565</v>
      </c>
      <c r="E5699" s="193">
        <f t="shared" si="570"/>
        <v>45565</v>
      </c>
      <c r="F5699" s="514"/>
      <c r="G5699" s="194" t="s">
        <v>1209</v>
      </c>
      <c r="H5699" s="195"/>
      <c r="I5699" s="195" t="s">
        <v>1253</v>
      </c>
      <c r="J5699" s="191" t="s">
        <v>46</v>
      </c>
      <c r="K5699" s="196"/>
      <c r="L5699" s="196">
        <v>1545558.82</v>
      </c>
      <c r="N5699" s="130"/>
    </row>
    <row r="5700" spans="1:15" ht="11.25" customHeight="1" x14ac:dyDescent="0.2">
      <c r="A5700" s="197">
        <v>2024</v>
      </c>
      <c r="B5700" s="197">
        <v>10</v>
      </c>
      <c r="C5700" s="197">
        <v>1</v>
      </c>
      <c r="D5700" s="198">
        <f t="shared" si="565"/>
        <v>45566</v>
      </c>
      <c r="E5700" s="209">
        <f t="shared" si="568"/>
        <v>45566</v>
      </c>
      <c r="F5700" s="513" t="s">
        <v>1210</v>
      </c>
      <c r="G5700" s="200" t="s">
        <v>1209</v>
      </c>
      <c r="H5700" s="201"/>
      <c r="I5700" s="201" t="s">
        <v>1901</v>
      </c>
      <c r="J5700" s="197" t="s">
        <v>46</v>
      </c>
      <c r="K5700" s="202">
        <v>2000000</v>
      </c>
      <c r="L5700" s="202"/>
    </row>
    <row r="5701" spans="1:15" ht="11.25" customHeight="1" x14ac:dyDescent="0.2">
      <c r="A5701" s="120">
        <v>2024</v>
      </c>
      <c r="B5701" s="120">
        <v>10</v>
      </c>
      <c r="C5701" s="120">
        <v>1</v>
      </c>
      <c r="D5701" s="208">
        <f t="shared" si="565"/>
        <v>45566</v>
      </c>
      <c r="E5701" s="209">
        <f t="shared" si="568"/>
        <v>45566</v>
      </c>
      <c r="F5701" s="515"/>
      <c r="G5701" s="132" t="s">
        <v>1209</v>
      </c>
      <c r="I5701" s="128" t="s">
        <v>1901</v>
      </c>
      <c r="J5701" s="120" t="s">
        <v>16</v>
      </c>
      <c r="K5701" s="207"/>
      <c r="L5701" s="207">
        <v>1741400</v>
      </c>
    </row>
    <row r="5702" spans="1:15" ht="11.25" customHeight="1" x14ac:dyDescent="0.2">
      <c r="A5702" s="191">
        <v>2024</v>
      </c>
      <c r="B5702" s="191">
        <v>10</v>
      </c>
      <c r="C5702" s="191">
        <v>1</v>
      </c>
      <c r="D5702" s="192">
        <f t="shared" si="565"/>
        <v>45566</v>
      </c>
      <c r="E5702" s="193">
        <f t="shared" si="568"/>
        <v>45566</v>
      </c>
      <c r="F5702" s="514"/>
      <c r="G5702" s="194" t="s">
        <v>1209</v>
      </c>
      <c r="H5702" s="195"/>
      <c r="I5702" s="195" t="s">
        <v>1901</v>
      </c>
      <c r="J5702" s="191" t="s">
        <v>47</v>
      </c>
      <c r="K5702" s="196"/>
      <c r="L5702" s="196">
        <v>258600</v>
      </c>
    </row>
    <row r="5703" spans="1:15" ht="11.25" customHeight="1" x14ac:dyDescent="0.2">
      <c r="A5703" s="197">
        <v>2024</v>
      </c>
      <c r="B5703" s="197">
        <v>10</v>
      </c>
      <c r="C5703" s="197">
        <v>1</v>
      </c>
      <c r="D5703" s="198">
        <f t="shared" si="565"/>
        <v>45566</v>
      </c>
      <c r="E5703" s="209">
        <f t="shared" ref="E5703:E5705" si="571">DATE(A5703,B5703,C5703)</f>
        <v>45566</v>
      </c>
      <c r="F5703" s="513" t="s">
        <v>1210</v>
      </c>
      <c r="G5703" s="200" t="s">
        <v>1209</v>
      </c>
      <c r="H5703" s="201"/>
      <c r="I5703" s="201" t="s">
        <v>369</v>
      </c>
      <c r="J5703" s="197" t="s">
        <v>46</v>
      </c>
      <c r="K5703" s="202">
        <v>100000</v>
      </c>
      <c r="L5703" s="202"/>
    </row>
    <row r="5704" spans="1:15" ht="11.25" customHeight="1" x14ac:dyDescent="0.2">
      <c r="A5704" s="120">
        <v>2024</v>
      </c>
      <c r="B5704" s="120">
        <v>10</v>
      </c>
      <c r="C5704" s="120">
        <v>1</v>
      </c>
      <c r="D5704" s="208">
        <f t="shared" si="565"/>
        <v>45566</v>
      </c>
      <c r="E5704" s="209">
        <f t="shared" si="571"/>
        <v>45566</v>
      </c>
      <c r="F5704" s="515"/>
      <c r="G5704" s="132" t="s">
        <v>1209</v>
      </c>
      <c r="I5704" s="128" t="s">
        <v>369</v>
      </c>
      <c r="J5704" s="120" t="s">
        <v>16</v>
      </c>
      <c r="K5704" s="207"/>
      <c r="L5704" s="207">
        <v>87070</v>
      </c>
    </row>
    <row r="5705" spans="1:15" ht="11.25" customHeight="1" x14ac:dyDescent="0.2">
      <c r="A5705" s="191">
        <v>2024</v>
      </c>
      <c r="B5705" s="191">
        <v>10</v>
      </c>
      <c r="C5705" s="191">
        <v>1</v>
      </c>
      <c r="D5705" s="192">
        <f t="shared" si="565"/>
        <v>45566</v>
      </c>
      <c r="E5705" s="193">
        <f t="shared" si="571"/>
        <v>45566</v>
      </c>
      <c r="F5705" s="514"/>
      <c r="G5705" s="194" t="s">
        <v>1209</v>
      </c>
      <c r="H5705" s="195"/>
      <c r="I5705" s="195" t="s">
        <v>369</v>
      </c>
      <c r="J5705" s="191" t="s">
        <v>47</v>
      </c>
      <c r="K5705" s="196"/>
      <c r="L5705" s="196">
        <v>12930</v>
      </c>
    </row>
    <row r="5706" spans="1:15" ht="11.25" customHeight="1" x14ac:dyDescent="0.2">
      <c r="A5706" s="197">
        <v>2024</v>
      </c>
      <c r="B5706" s="197">
        <v>10</v>
      </c>
      <c r="C5706" s="197">
        <v>1</v>
      </c>
      <c r="D5706" s="198">
        <f t="shared" si="565"/>
        <v>45566</v>
      </c>
      <c r="E5706" s="290">
        <f>DATE(A5706,B5706,C5706)</f>
        <v>45566</v>
      </c>
      <c r="F5706" s="513" t="s">
        <v>1514</v>
      </c>
      <c r="G5706" s="200" t="s">
        <v>1209</v>
      </c>
      <c r="H5706" s="201"/>
      <c r="I5706" s="201"/>
      <c r="J5706" s="197" t="s">
        <v>54</v>
      </c>
      <c r="K5706" s="202">
        <v>60</v>
      </c>
      <c r="L5706" s="202"/>
      <c r="M5706" s="251"/>
      <c r="N5706" s="251"/>
      <c r="O5706" s="251"/>
    </row>
    <row r="5707" spans="1:15" ht="11.25" customHeight="1" x14ac:dyDescent="0.2">
      <c r="A5707" s="191">
        <v>2024</v>
      </c>
      <c r="B5707" s="191">
        <v>10</v>
      </c>
      <c r="C5707" s="191">
        <v>1</v>
      </c>
      <c r="D5707" s="192">
        <f t="shared" si="565"/>
        <v>45566</v>
      </c>
      <c r="E5707" s="291">
        <f>DATE(A5707,B5707,C5707)</f>
        <v>45566</v>
      </c>
      <c r="F5707" s="514"/>
      <c r="G5707" s="194" t="s">
        <v>1209</v>
      </c>
      <c r="H5707" s="195"/>
      <c r="I5707" s="195"/>
      <c r="J5707" s="191" t="s">
        <v>46</v>
      </c>
      <c r="K5707" s="196"/>
      <c r="L5707" s="196">
        <v>60</v>
      </c>
      <c r="M5707" s="251"/>
      <c r="N5707" s="251"/>
      <c r="O5707" s="251"/>
    </row>
    <row r="5708" spans="1:15" ht="11.25" customHeight="1" x14ac:dyDescent="0.2">
      <c r="A5708" s="197">
        <v>2024</v>
      </c>
      <c r="B5708" s="197">
        <v>10</v>
      </c>
      <c r="C5708" s="197">
        <v>2</v>
      </c>
      <c r="D5708" s="198">
        <f t="shared" si="565"/>
        <v>45567</v>
      </c>
      <c r="E5708" s="209">
        <f t="shared" ref="E5708:E5770" si="572">DATE(A5708,B5708,C5708)</f>
        <v>45567</v>
      </c>
      <c r="F5708" s="513" t="s">
        <v>1210</v>
      </c>
      <c r="G5708" s="200" t="s">
        <v>1209</v>
      </c>
      <c r="H5708" s="201"/>
      <c r="I5708" s="201" t="s">
        <v>396</v>
      </c>
      <c r="J5708" s="197" t="s">
        <v>46</v>
      </c>
      <c r="K5708" s="202">
        <v>200000</v>
      </c>
      <c r="L5708" s="202"/>
    </row>
    <row r="5709" spans="1:15" ht="11.25" customHeight="1" x14ac:dyDescent="0.2">
      <c r="A5709" s="120">
        <v>2024</v>
      </c>
      <c r="B5709" s="120">
        <v>10</v>
      </c>
      <c r="C5709" s="120">
        <v>2</v>
      </c>
      <c r="D5709" s="208">
        <f t="shared" si="565"/>
        <v>45567</v>
      </c>
      <c r="E5709" s="209">
        <f t="shared" si="572"/>
        <v>45567</v>
      </c>
      <c r="F5709" s="515"/>
      <c r="G5709" s="132" t="s">
        <v>1209</v>
      </c>
      <c r="I5709" s="128" t="s">
        <v>396</v>
      </c>
      <c r="J5709" s="120" t="s">
        <v>16</v>
      </c>
      <c r="K5709" s="207"/>
      <c r="L5709" s="207">
        <v>174140</v>
      </c>
    </row>
    <row r="5710" spans="1:15" ht="11.25" customHeight="1" x14ac:dyDescent="0.2">
      <c r="A5710" s="191">
        <v>2024</v>
      </c>
      <c r="B5710" s="191">
        <v>10</v>
      </c>
      <c r="C5710" s="191">
        <v>2</v>
      </c>
      <c r="D5710" s="192">
        <f t="shared" si="565"/>
        <v>45567</v>
      </c>
      <c r="E5710" s="193">
        <f t="shared" si="572"/>
        <v>45567</v>
      </c>
      <c r="F5710" s="514"/>
      <c r="G5710" s="194" t="s">
        <v>1209</v>
      </c>
      <c r="H5710" s="195"/>
      <c r="I5710" s="195" t="s">
        <v>396</v>
      </c>
      <c r="J5710" s="191" t="s">
        <v>47</v>
      </c>
      <c r="K5710" s="196"/>
      <c r="L5710" s="196">
        <v>25860</v>
      </c>
    </row>
    <row r="5711" spans="1:15" ht="11.25" customHeight="1" x14ac:dyDescent="0.2">
      <c r="A5711" s="197">
        <v>2024</v>
      </c>
      <c r="B5711" s="197">
        <v>10</v>
      </c>
      <c r="C5711" s="197">
        <v>2</v>
      </c>
      <c r="D5711" s="198">
        <f t="shared" si="565"/>
        <v>45567</v>
      </c>
      <c r="E5711" s="199">
        <f t="shared" si="572"/>
        <v>45567</v>
      </c>
      <c r="F5711" s="513" t="s">
        <v>1870</v>
      </c>
      <c r="G5711" s="200" t="s">
        <v>1209</v>
      </c>
      <c r="H5711" s="201"/>
      <c r="I5711" s="201" t="s">
        <v>1253</v>
      </c>
      <c r="J5711" s="197" t="s">
        <v>1837</v>
      </c>
      <c r="K5711" s="202">
        <v>10419842.789999999</v>
      </c>
      <c r="L5711" s="202"/>
    </row>
    <row r="5712" spans="1:15" ht="11.25" customHeight="1" x14ac:dyDescent="0.2">
      <c r="A5712" s="191">
        <v>2024</v>
      </c>
      <c r="B5712" s="191">
        <v>10</v>
      </c>
      <c r="C5712" s="191">
        <v>2</v>
      </c>
      <c r="D5712" s="192">
        <f t="shared" si="565"/>
        <v>45567</v>
      </c>
      <c r="E5712" s="193">
        <f t="shared" si="572"/>
        <v>45567</v>
      </c>
      <c r="F5712" s="514"/>
      <c r="G5712" s="194" t="s">
        <v>1209</v>
      </c>
      <c r="H5712" s="195"/>
      <c r="I5712" s="195" t="s">
        <v>1253</v>
      </c>
      <c r="J5712" s="191" t="s">
        <v>46</v>
      </c>
      <c r="K5712" s="196"/>
      <c r="L5712" s="196">
        <v>10419842.789999999</v>
      </c>
      <c r="N5712" s="130"/>
    </row>
    <row r="5713" spans="1:12" ht="11.25" customHeight="1" x14ac:dyDescent="0.2">
      <c r="A5713" s="197">
        <v>2024</v>
      </c>
      <c r="B5713" s="197">
        <v>10</v>
      </c>
      <c r="C5713" s="197">
        <v>2</v>
      </c>
      <c r="D5713" s="198">
        <f t="shared" si="565"/>
        <v>45567</v>
      </c>
      <c r="E5713" s="290">
        <f t="shared" si="572"/>
        <v>45567</v>
      </c>
      <c r="F5713" s="513" t="s">
        <v>1862</v>
      </c>
      <c r="G5713" s="200" t="s">
        <v>1245</v>
      </c>
      <c r="H5713" s="201"/>
      <c r="I5713" s="201" t="s">
        <v>1253</v>
      </c>
      <c r="J5713" s="197" t="s">
        <v>46</v>
      </c>
      <c r="K5713" s="202">
        <v>302500</v>
      </c>
      <c r="L5713" s="202"/>
    </row>
    <row r="5714" spans="1:12" ht="11.25" customHeight="1" x14ac:dyDescent="0.2">
      <c r="A5714" s="191">
        <v>2024</v>
      </c>
      <c r="B5714" s="191">
        <v>10</v>
      </c>
      <c r="C5714" s="191">
        <v>2</v>
      </c>
      <c r="D5714" s="192">
        <f t="shared" si="565"/>
        <v>45567</v>
      </c>
      <c r="E5714" s="291">
        <f t="shared" si="572"/>
        <v>45567</v>
      </c>
      <c r="F5714" s="514"/>
      <c r="G5714" s="194" t="s">
        <v>1245</v>
      </c>
      <c r="H5714" s="195"/>
      <c r="I5714" s="195" t="s">
        <v>1253</v>
      </c>
      <c r="J5714" s="191" t="s">
        <v>113</v>
      </c>
      <c r="K5714" s="196"/>
      <c r="L5714" s="196">
        <v>302500</v>
      </c>
    </row>
    <row r="5715" spans="1:12" ht="11.25" customHeight="1" x14ac:dyDescent="0.2">
      <c r="A5715" s="197">
        <v>2024</v>
      </c>
      <c r="B5715" s="197">
        <v>10</v>
      </c>
      <c r="C5715" s="197">
        <v>3</v>
      </c>
      <c r="D5715" s="198">
        <f t="shared" si="565"/>
        <v>45568</v>
      </c>
      <c r="E5715" s="209">
        <f t="shared" si="572"/>
        <v>45568</v>
      </c>
      <c r="F5715" s="513" t="s">
        <v>1210</v>
      </c>
      <c r="G5715" s="200" t="s">
        <v>1209</v>
      </c>
      <c r="H5715" s="201"/>
      <c r="I5715" s="201" t="s">
        <v>355</v>
      </c>
      <c r="J5715" s="197" t="s">
        <v>46</v>
      </c>
      <c r="K5715" s="202">
        <v>57000</v>
      </c>
      <c r="L5715" s="202"/>
    </row>
    <row r="5716" spans="1:12" ht="11.25" customHeight="1" x14ac:dyDescent="0.2">
      <c r="A5716" s="120">
        <v>2024</v>
      </c>
      <c r="B5716" s="120">
        <v>10</v>
      </c>
      <c r="C5716" s="120">
        <v>3</v>
      </c>
      <c r="D5716" s="208">
        <f t="shared" si="565"/>
        <v>45568</v>
      </c>
      <c r="E5716" s="209">
        <f t="shared" si="572"/>
        <v>45568</v>
      </c>
      <c r="F5716" s="515"/>
      <c r="G5716" s="132" t="s">
        <v>1209</v>
      </c>
      <c r="I5716" s="128" t="s">
        <v>355</v>
      </c>
      <c r="J5716" s="120" t="s">
        <v>16</v>
      </c>
      <c r="K5716" s="207"/>
      <c r="L5716" s="207">
        <v>49630</v>
      </c>
    </row>
    <row r="5717" spans="1:12" ht="11.25" customHeight="1" x14ac:dyDescent="0.2">
      <c r="A5717" s="191">
        <v>2024</v>
      </c>
      <c r="B5717" s="191">
        <v>10</v>
      </c>
      <c r="C5717" s="191">
        <v>3</v>
      </c>
      <c r="D5717" s="192">
        <f t="shared" si="565"/>
        <v>45568</v>
      </c>
      <c r="E5717" s="193">
        <f t="shared" si="572"/>
        <v>45568</v>
      </c>
      <c r="F5717" s="514"/>
      <c r="G5717" s="194" t="s">
        <v>1209</v>
      </c>
      <c r="H5717" s="195"/>
      <c r="I5717" s="195" t="s">
        <v>355</v>
      </c>
      <c r="J5717" s="191" t="s">
        <v>47</v>
      </c>
      <c r="K5717" s="196"/>
      <c r="L5717" s="196">
        <v>7370</v>
      </c>
    </row>
    <row r="5718" spans="1:12" ht="11.25" customHeight="1" x14ac:dyDescent="0.2">
      <c r="A5718" s="197">
        <v>2024</v>
      </c>
      <c r="B5718" s="197">
        <v>10</v>
      </c>
      <c r="C5718" s="197">
        <v>3</v>
      </c>
      <c r="D5718" s="198">
        <f t="shared" si="565"/>
        <v>45568</v>
      </c>
      <c r="E5718" s="209">
        <f t="shared" ref="E5718:E5720" si="573">DATE(A5718,B5718,C5718)</f>
        <v>45568</v>
      </c>
      <c r="F5718" s="513" t="s">
        <v>1210</v>
      </c>
      <c r="G5718" s="200" t="s">
        <v>1209</v>
      </c>
      <c r="H5718" s="201"/>
      <c r="I5718" s="201" t="s">
        <v>390</v>
      </c>
      <c r="J5718" s="197" t="s">
        <v>46</v>
      </c>
      <c r="K5718" s="202">
        <v>298610</v>
      </c>
      <c r="L5718" s="202"/>
    </row>
    <row r="5719" spans="1:12" ht="11.25" customHeight="1" x14ac:dyDescent="0.2">
      <c r="A5719" s="120">
        <v>2024</v>
      </c>
      <c r="B5719" s="120">
        <v>10</v>
      </c>
      <c r="C5719" s="120">
        <v>3</v>
      </c>
      <c r="D5719" s="208">
        <f t="shared" si="565"/>
        <v>45568</v>
      </c>
      <c r="E5719" s="209">
        <f t="shared" si="573"/>
        <v>45568</v>
      </c>
      <c r="F5719" s="515"/>
      <c r="G5719" s="132" t="s">
        <v>1209</v>
      </c>
      <c r="I5719" s="128" t="s">
        <v>390</v>
      </c>
      <c r="J5719" s="120" t="s">
        <v>16</v>
      </c>
      <c r="K5719" s="207"/>
      <c r="L5719" s="207">
        <v>260000</v>
      </c>
    </row>
    <row r="5720" spans="1:12" ht="11.25" customHeight="1" x14ac:dyDescent="0.2">
      <c r="A5720" s="191">
        <v>2024</v>
      </c>
      <c r="B5720" s="191">
        <v>10</v>
      </c>
      <c r="C5720" s="191">
        <v>3</v>
      </c>
      <c r="D5720" s="192">
        <f t="shared" si="565"/>
        <v>45568</v>
      </c>
      <c r="E5720" s="193">
        <f t="shared" si="573"/>
        <v>45568</v>
      </c>
      <c r="F5720" s="514"/>
      <c r="G5720" s="194" t="s">
        <v>1209</v>
      </c>
      <c r="H5720" s="195"/>
      <c r="I5720" s="195" t="s">
        <v>390</v>
      </c>
      <c r="J5720" s="191" t="s">
        <v>47</v>
      </c>
      <c r="K5720" s="196"/>
      <c r="L5720" s="196">
        <v>38610</v>
      </c>
    </row>
    <row r="5721" spans="1:12" ht="11.25" customHeight="1" x14ac:dyDescent="0.2">
      <c r="A5721" s="197">
        <v>2024</v>
      </c>
      <c r="B5721" s="197">
        <v>10</v>
      </c>
      <c r="C5721" s="197">
        <v>3</v>
      </c>
      <c r="D5721" s="198">
        <f t="shared" si="565"/>
        <v>45568</v>
      </c>
      <c r="E5721" s="209">
        <f t="shared" ref="E5721:E5726" si="574">DATE(A5721,B5721,C5721)</f>
        <v>45568</v>
      </c>
      <c r="F5721" s="513" t="s">
        <v>1210</v>
      </c>
      <c r="G5721" s="200" t="s">
        <v>1209</v>
      </c>
      <c r="H5721" s="201"/>
      <c r="I5721" s="201" t="s">
        <v>370</v>
      </c>
      <c r="J5721" s="197" t="s">
        <v>46</v>
      </c>
      <c r="K5721" s="202">
        <v>4000000</v>
      </c>
      <c r="L5721" s="202"/>
    </row>
    <row r="5722" spans="1:12" ht="11.25" customHeight="1" x14ac:dyDescent="0.2">
      <c r="A5722" s="120">
        <v>2024</v>
      </c>
      <c r="B5722" s="120">
        <v>10</v>
      </c>
      <c r="C5722" s="120">
        <v>3</v>
      </c>
      <c r="D5722" s="208">
        <f t="shared" si="565"/>
        <v>45568</v>
      </c>
      <c r="E5722" s="209">
        <f t="shared" si="574"/>
        <v>45568</v>
      </c>
      <c r="F5722" s="515"/>
      <c r="G5722" s="132" t="s">
        <v>1209</v>
      </c>
      <c r="I5722" s="128" t="s">
        <v>370</v>
      </c>
      <c r="J5722" s="120" t="s">
        <v>16</v>
      </c>
      <c r="K5722" s="207"/>
      <c r="L5722" s="207">
        <v>3482800</v>
      </c>
    </row>
    <row r="5723" spans="1:12" ht="11.25" customHeight="1" x14ac:dyDescent="0.2">
      <c r="A5723" s="191">
        <v>2024</v>
      </c>
      <c r="B5723" s="191">
        <v>10</v>
      </c>
      <c r="C5723" s="191">
        <v>3</v>
      </c>
      <c r="D5723" s="192">
        <f t="shared" si="565"/>
        <v>45568</v>
      </c>
      <c r="E5723" s="193">
        <f t="shared" si="574"/>
        <v>45568</v>
      </c>
      <c r="F5723" s="514"/>
      <c r="G5723" s="194" t="s">
        <v>1209</v>
      </c>
      <c r="H5723" s="195"/>
      <c r="I5723" s="195" t="s">
        <v>370</v>
      </c>
      <c r="J5723" s="191" t="s">
        <v>47</v>
      </c>
      <c r="K5723" s="196"/>
      <c r="L5723" s="196">
        <v>517200</v>
      </c>
    </row>
    <row r="5724" spans="1:12" ht="11.25" customHeight="1" x14ac:dyDescent="0.2">
      <c r="A5724" s="197">
        <v>2024</v>
      </c>
      <c r="B5724" s="197">
        <v>10</v>
      </c>
      <c r="C5724" s="197">
        <v>3</v>
      </c>
      <c r="D5724" s="198">
        <f t="shared" si="565"/>
        <v>45568</v>
      </c>
      <c r="E5724" s="209">
        <f t="shared" si="574"/>
        <v>45568</v>
      </c>
      <c r="F5724" s="513" t="s">
        <v>1210</v>
      </c>
      <c r="G5724" s="200" t="s">
        <v>1209</v>
      </c>
      <c r="H5724" s="201"/>
      <c r="I5724" s="201"/>
      <c r="J5724" s="197" t="s">
        <v>46</v>
      </c>
      <c r="K5724" s="202">
        <v>114850</v>
      </c>
      <c r="L5724" s="202"/>
    </row>
    <row r="5725" spans="1:12" ht="11.25" customHeight="1" x14ac:dyDescent="0.2">
      <c r="A5725" s="120">
        <v>2024</v>
      </c>
      <c r="B5725" s="120">
        <v>10</v>
      </c>
      <c r="C5725" s="120">
        <v>3</v>
      </c>
      <c r="D5725" s="208">
        <f t="shared" si="565"/>
        <v>45568</v>
      </c>
      <c r="E5725" s="209">
        <f t="shared" si="574"/>
        <v>45568</v>
      </c>
      <c r="F5725" s="515"/>
      <c r="G5725" s="132" t="s">
        <v>1209</v>
      </c>
      <c r="J5725" s="120" t="s">
        <v>16</v>
      </c>
      <c r="K5725" s="207"/>
      <c r="L5725" s="207">
        <v>100000</v>
      </c>
    </row>
    <row r="5726" spans="1:12" ht="11.25" customHeight="1" x14ac:dyDescent="0.2">
      <c r="A5726" s="191">
        <v>2024</v>
      </c>
      <c r="B5726" s="191">
        <v>10</v>
      </c>
      <c r="C5726" s="191">
        <v>3</v>
      </c>
      <c r="D5726" s="192">
        <f t="shared" si="565"/>
        <v>45568</v>
      </c>
      <c r="E5726" s="193">
        <f t="shared" si="574"/>
        <v>45568</v>
      </c>
      <c r="F5726" s="514"/>
      <c r="G5726" s="194" t="s">
        <v>1209</v>
      </c>
      <c r="H5726" s="195"/>
      <c r="I5726" s="195"/>
      <c r="J5726" s="191" t="s">
        <v>47</v>
      </c>
      <c r="K5726" s="196"/>
      <c r="L5726" s="196">
        <v>14850</v>
      </c>
    </row>
    <row r="5727" spans="1:12" ht="11.25" customHeight="1" x14ac:dyDescent="0.2">
      <c r="A5727" s="197">
        <v>2024</v>
      </c>
      <c r="B5727" s="197">
        <v>10</v>
      </c>
      <c r="C5727" s="197">
        <v>3</v>
      </c>
      <c r="D5727" s="198">
        <f t="shared" si="565"/>
        <v>45568</v>
      </c>
      <c r="E5727" s="209">
        <f t="shared" ref="E5727:E5729" si="575">DATE(A5727,B5727,C5727)</f>
        <v>45568</v>
      </c>
      <c r="F5727" s="513" t="s">
        <v>1210</v>
      </c>
      <c r="G5727" s="200" t="s">
        <v>1209</v>
      </c>
      <c r="H5727" s="201"/>
      <c r="I5727" s="201" t="s">
        <v>1646</v>
      </c>
      <c r="J5727" s="197" t="s">
        <v>46</v>
      </c>
      <c r="K5727" s="202">
        <v>500000</v>
      </c>
      <c r="L5727" s="202"/>
    </row>
    <row r="5728" spans="1:12" ht="11.25" customHeight="1" x14ac:dyDescent="0.2">
      <c r="A5728" s="120">
        <v>2024</v>
      </c>
      <c r="B5728" s="120">
        <v>10</v>
      </c>
      <c r="C5728" s="120">
        <v>3</v>
      </c>
      <c r="D5728" s="208">
        <f t="shared" si="565"/>
        <v>45568</v>
      </c>
      <c r="E5728" s="209">
        <f t="shared" si="575"/>
        <v>45568</v>
      </c>
      <c r="F5728" s="515"/>
      <c r="G5728" s="132" t="s">
        <v>1209</v>
      </c>
      <c r="I5728" s="128" t="s">
        <v>1646</v>
      </c>
      <c r="J5728" s="120" t="s">
        <v>16</v>
      </c>
      <c r="K5728" s="207"/>
      <c r="L5728" s="207">
        <v>435350</v>
      </c>
    </row>
    <row r="5729" spans="1:15" ht="11.25" customHeight="1" x14ac:dyDescent="0.2">
      <c r="A5729" s="191">
        <v>2024</v>
      </c>
      <c r="B5729" s="191">
        <v>10</v>
      </c>
      <c r="C5729" s="191">
        <v>3</v>
      </c>
      <c r="D5729" s="192">
        <f t="shared" si="565"/>
        <v>45568</v>
      </c>
      <c r="E5729" s="193">
        <f t="shared" si="575"/>
        <v>45568</v>
      </c>
      <c r="F5729" s="514"/>
      <c r="G5729" s="194" t="s">
        <v>1209</v>
      </c>
      <c r="H5729" s="195"/>
      <c r="I5729" s="195" t="s">
        <v>1646</v>
      </c>
      <c r="J5729" s="191" t="s">
        <v>47</v>
      </c>
      <c r="K5729" s="196"/>
      <c r="L5729" s="196">
        <v>64650</v>
      </c>
    </row>
    <row r="5730" spans="1:15" ht="11.25" customHeight="1" x14ac:dyDescent="0.2">
      <c r="A5730" s="197">
        <v>2024</v>
      </c>
      <c r="B5730" s="197">
        <v>10</v>
      </c>
      <c r="C5730" s="197">
        <v>3</v>
      </c>
      <c r="D5730" s="198">
        <f t="shared" si="565"/>
        <v>45568</v>
      </c>
      <c r="E5730" s="209">
        <f t="shared" ref="E5730:E5754" si="576">DATE(A5730,B5730,C5730)</f>
        <v>45568</v>
      </c>
      <c r="F5730" s="513" t="s">
        <v>1210</v>
      </c>
      <c r="G5730" s="200" t="s">
        <v>1209</v>
      </c>
      <c r="H5730" s="201"/>
      <c r="I5730" s="201" t="s">
        <v>1636</v>
      </c>
      <c r="J5730" s="197" t="s">
        <v>46</v>
      </c>
      <c r="K5730" s="202">
        <v>500000</v>
      </c>
      <c r="L5730" s="202"/>
    </row>
    <row r="5731" spans="1:15" ht="11.25" customHeight="1" x14ac:dyDescent="0.2">
      <c r="A5731" s="120">
        <v>2024</v>
      </c>
      <c r="B5731" s="120">
        <v>10</v>
      </c>
      <c r="C5731" s="120">
        <v>3</v>
      </c>
      <c r="D5731" s="208">
        <f t="shared" si="565"/>
        <v>45568</v>
      </c>
      <c r="E5731" s="209">
        <f t="shared" si="576"/>
        <v>45568</v>
      </c>
      <c r="F5731" s="515"/>
      <c r="G5731" s="132" t="s">
        <v>1209</v>
      </c>
      <c r="I5731" s="128" t="s">
        <v>1636</v>
      </c>
      <c r="J5731" s="120" t="s">
        <v>16</v>
      </c>
      <c r="K5731" s="207"/>
      <c r="L5731" s="207">
        <v>435350</v>
      </c>
    </row>
    <row r="5732" spans="1:15" ht="11.25" customHeight="1" x14ac:dyDescent="0.2">
      <c r="A5732" s="191">
        <v>2024</v>
      </c>
      <c r="B5732" s="191">
        <v>10</v>
      </c>
      <c r="C5732" s="191">
        <v>3</v>
      </c>
      <c r="D5732" s="192">
        <f t="shared" si="565"/>
        <v>45568</v>
      </c>
      <c r="E5732" s="193">
        <f t="shared" si="576"/>
        <v>45568</v>
      </c>
      <c r="F5732" s="514"/>
      <c r="G5732" s="194" t="s">
        <v>1209</v>
      </c>
      <c r="H5732" s="195"/>
      <c r="I5732" s="195" t="s">
        <v>1636</v>
      </c>
      <c r="J5732" s="191" t="s">
        <v>47</v>
      </c>
      <c r="K5732" s="196"/>
      <c r="L5732" s="196">
        <v>64650</v>
      </c>
    </row>
    <row r="5733" spans="1:15" ht="11.25" customHeight="1" x14ac:dyDescent="0.2">
      <c r="A5733" s="197">
        <v>2024</v>
      </c>
      <c r="B5733" s="197">
        <v>10</v>
      </c>
      <c r="C5733" s="197">
        <v>3</v>
      </c>
      <c r="D5733" s="198">
        <f t="shared" si="565"/>
        <v>45568</v>
      </c>
      <c r="E5733" s="290">
        <f>DATE(A5733,B5733,C5733)</f>
        <v>45568</v>
      </c>
      <c r="F5733" s="513" t="s">
        <v>1514</v>
      </c>
      <c r="G5733" s="200" t="s">
        <v>1209</v>
      </c>
      <c r="H5733" s="201"/>
      <c r="I5733" s="201"/>
      <c r="J5733" s="197" t="s">
        <v>54</v>
      </c>
      <c r="K5733" s="202">
        <v>120</v>
      </c>
      <c r="L5733" s="202"/>
      <c r="M5733" s="251"/>
      <c r="N5733" s="251"/>
      <c r="O5733" s="251"/>
    </row>
    <row r="5734" spans="1:15" ht="11.25" customHeight="1" x14ac:dyDescent="0.2">
      <c r="A5734" s="191">
        <v>2024</v>
      </c>
      <c r="B5734" s="191">
        <v>10</v>
      </c>
      <c r="C5734" s="191">
        <v>3</v>
      </c>
      <c r="D5734" s="192">
        <f t="shared" si="565"/>
        <v>45568</v>
      </c>
      <c r="E5734" s="291">
        <f>DATE(A5734,B5734,C5734)</f>
        <v>45568</v>
      </c>
      <c r="F5734" s="514"/>
      <c r="G5734" s="194" t="s">
        <v>1209</v>
      </c>
      <c r="H5734" s="195"/>
      <c r="I5734" s="195"/>
      <c r="J5734" s="191" t="s">
        <v>46</v>
      </c>
      <c r="K5734" s="196"/>
      <c r="L5734" s="196">
        <v>120</v>
      </c>
      <c r="M5734" s="251"/>
      <c r="N5734" s="251"/>
      <c r="O5734" s="251"/>
    </row>
    <row r="5735" spans="1:15" ht="11.25" customHeight="1" x14ac:dyDescent="0.2">
      <c r="A5735" s="197">
        <v>2024</v>
      </c>
      <c r="B5735" s="197">
        <v>10</v>
      </c>
      <c r="C5735" s="197">
        <v>3</v>
      </c>
      <c r="D5735" s="198">
        <f t="shared" si="565"/>
        <v>45568</v>
      </c>
      <c r="E5735" s="209">
        <f t="shared" ref="E5735:E5737" si="577">DATE(A5735,B5735,C5735)</f>
        <v>45568</v>
      </c>
      <c r="F5735" s="513" t="s">
        <v>1210</v>
      </c>
      <c r="G5735" s="200" t="s">
        <v>1209</v>
      </c>
      <c r="H5735" s="201"/>
      <c r="I5735" s="201"/>
      <c r="J5735" s="197" t="s">
        <v>46</v>
      </c>
      <c r="K5735" s="202">
        <v>300000</v>
      </c>
      <c r="L5735" s="202"/>
    </row>
    <row r="5736" spans="1:15" ht="11.25" customHeight="1" x14ac:dyDescent="0.2">
      <c r="A5736" s="120">
        <v>2024</v>
      </c>
      <c r="B5736" s="120">
        <v>10</v>
      </c>
      <c r="C5736" s="120">
        <v>3</v>
      </c>
      <c r="D5736" s="208">
        <f t="shared" si="565"/>
        <v>45568</v>
      </c>
      <c r="E5736" s="209">
        <f t="shared" si="577"/>
        <v>45568</v>
      </c>
      <c r="F5736" s="515"/>
      <c r="G5736" s="132" t="s">
        <v>1209</v>
      </c>
      <c r="J5736" s="120" t="s">
        <v>16</v>
      </c>
      <c r="K5736" s="207"/>
      <c r="L5736" s="207">
        <v>261210</v>
      </c>
    </row>
    <row r="5737" spans="1:15" ht="11.25" customHeight="1" x14ac:dyDescent="0.2">
      <c r="A5737" s="191">
        <v>2024</v>
      </c>
      <c r="B5737" s="191">
        <v>10</v>
      </c>
      <c r="C5737" s="191">
        <v>3</v>
      </c>
      <c r="D5737" s="192">
        <f t="shared" si="565"/>
        <v>45568</v>
      </c>
      <c r="E5737" s="193">
        <f t="shared" si="577"/>
        <v>45568</v>
      </c>
      <c r="F5737" s="514"/>
      <c r="G5737" s="194" t="s">
        <v>1209</v>
      </c>
      <c r="H5737" s="195"/>
      <c r="I5737" s="195"/>
      <c r="J5737" s="191" t="s">
        <v>47</v>
      </c>
      <c r="K5737" s="196"/>
      <c r="L5737" s="196">
        <v>38790</v>
      </c>
    </row>
    <row r="5738" spans="1:15" ht="11.25" customHeight="1" x14ac:dyDescent="0.2">
      <c r="A5738" s="197">
        <v>2024</v>
      </c>
      <c r="B5738" s="197">
        <v>10</v>
      </c>
      <c r="C5738" s="197">
        <v>3</v>
      </c>
      <c r="D5738" s="198">
        <f t="shared" si="565"/>
        <v>45568</v>
      </c>
      <c r="E5738" s="209">
        <f t="shared" ref="E5738:E5740" si="578">DATE(A5738,B5738,C5738)</f>
        <v>45568</v>
      </c>
      <c r="F5738" s="513" t="s">
        <v>1210</v>
      </c>
      <c r="G5738" s="200" t="s">
        <v>1209</v>
      </c>
      <c r="H5738" s="201"/>
      <c r="I5738" s="201"/>
      <c r="J5738" s="197" t="s">
        <v>46</v>
      </c>
      <c r="K5738" s="202">
        <v>300000</v>
      </c>
      <c r="L5738" s="202"/>
    </row>
    <row r="5739" spans="1:15" ht="11.25" customHeight="1" x14ac:dyDescent="0.2">
      <c r="A5739" s="120">
        <v>2024</v>
      </c>
      <c r="B5739" s="120">
        <v>10</v>
      </c>
      <c r="C5739" s="120">
        <v>3</v>
      </c>
      <c r="D5739" s="208">
        <f t="shared" si="565"/>
        <v>45568</v>
      </c>
      <c r="E5739" s="209">
        <f t="shared" si="578"/>
        <v>45568</v>
      </c>
      <c r="F5739" s="515"/>
      <c r="G5739" s="132" t="s">
        <v>1209</v>
      </c>
      <c r="J5739" s="120" t="s">
        <v>16</v>
      </c>
      <c r="K5739" s="207"/>
      <c r="L5739" s="207">
        <v>261210</v>
      </c>
    </row>
    <row r="5740" spans="1:15" ht="11.25" customHeight="1" x14ac:dyDescent="0.2">
      <c r="A5740" s="191">
        <v>2024</v>
      </c>
      <c r="B5740" s="191">
        <v>10</v>
      </c>
      <c r="C5740" s="191">
        <v>3</v>
      </c>
      <c r="D5740" s="192">
        <f t="shared" ref="D5740:D5803" si="579">DATE(A5740,B5740,C5740)</f>
        <v>45568</v>
      </c>
      <c r="E5740" s="193">
        <f t="shared" si="578"/>
        <v>45568</v>
      </c>
      <c r="F5740" s="514"/>
      <c r="G5740" s="194" t="s">
        <v>1209</v>
      </c>
      <c r="H5740" s="195"/>
      <c r="I5740" s="195"/>
      <c r="J5740" s="191" t="s">
        <v>47</v>
      </c>
      <c r="K5740" s="196"/>
      <c r="L5740" s="196">
        <v>38790</v>
      </c>
    </row>
    <row r="5741" spans="1:15" ht="11.25" customHeight="1" x14ac:dyDescent="0.2">
      <c r="A5741" s="197">
        <v>2024</v>
      </c>
      <c r="B5741" s="197">
        <v>10</v>
      </c>
      <c r="C5741" s="197">
        <v>3</v>
      </c>
      <c r="D5741" s="198">
        <f t="shared" si="579"/>
        <v>45568</v>
      </c>
      <c r="E5741" s="209">
        <f t="shared" ref="E5741:E5743" si="580">DATE(A5741,B5741,C5741)</f>
        <v>45568</v>
      </c>
      <c r="F5741" s="513" t="s">
        <v>1210</v>
      </c>
      <c r="G5741" s="200" t="s">
        <v>1209</v>
      </c>
      <c r="H5741" s="201"/>
      <c r="I5741" s="201"/>
      <c r="J5741" s="197" t="s">
        <v>46</v>
      </c>
      <c r="K5741" s="202">
        <v>250000</v>
      </c>
      <c r="L5741" s="202"/>
    </row>
    <row r="5742" spans="1:15" ht="11.25" customHeight="1" x14ac:dyDescent="0.2">
      <c r="A5742" s="120">
        <v>2024</v>
      </c>
      <c r="B5742" s="120">
        <v>10</v>
      </c>
      <c r="C5742" s="120">
        <v>3</v>
      </c>
      <c r="D5742" s="208">
        <f t="shared" si="579"/>
        <v>45568</v>
      </c>
      <c r="E5742" s="209">
        <f t="shared" si="580"/>
        <v>45568</v>
      </c>
      <c r="F5742" s="515"/>
      <c r="G5742" s="132" t="s">
        <v>1209</v>
      </c>
      <c r="J5742" s="120" t="s">
        <v>16</v>
      </c>
      <c r="K5742" s="207"/>
      <c r="L5742" s="207">
        <v>217680</v>
      </c>
    </row>
    <row r="5743" spans="1:15" ht="11.25" customHeight="1" x14ac:dyDescent="0.2">
      <c r="A5743" s="191">
        <v>2024</v>
      </c>
      <c r="B5743" s="191">
        <v>10</v>
      </c>
      <c r="C5743" s="191">
        <v>3</v>
      </c>
      <c r="D5743" s="192">
        <f t="shared" si="579"/>
        <v>45568</v>
      </c>
      <c r="E5743" s="193">
        <f t="shared" si="580"/>
        <v>45568</v>
      </c>
      <c r="F5743" s="514"/>
      <c r="G5743" s="194" t="s">
        <v>1209</v>
      </c>
      <c r="H5743" s="195"/>
      <c r="I5743" s="195"/>
      <c r="J5743" s="191" t="s">
        <v>47</v>
      </c>
      <c r="K5743" s="196"/>
      <c r="L5743" s="196">
        <v>32320</v>
      </c>
    </row>
    <row r="5744" spans="1:15" ht="11.25" customHeight="1" x14ac:dyDescent="0.2">
      <c r="A5744" s="197">
        <v>2024</v>
      </c>
      <c r="B5744" s="197">
        <v>10</v>
      </c>
      <c r="C5744" s="197">
        <v>3</v>
      </c>
      <c r="D5744" s="198">
        <f t="shared" si="579"/>
        <v>45568</v>
      </c>
      <c r="E5744" s="209">
        <f t="shared" si="576"/>
        <v>45568</v>
      </c>
      <c r="F5744" s="513" t="s">
        <v>1210</v>
      </c>
      <c r="G5744" s="200" t="s">
        <v>1209</v>
      </c>
      <c r="H5744" s="201"/>
      <c r="I5744" s="201" t="s">
        <v>355</v>
      </c>
      <c r="J5744" s="197" t="s">
        <v>46</v>
      </c>
      <c r="K5744" s="202">
        <v>80000</v>
      </c>
      <c r="L5744" s="202"/>
    </row>
    <row r="5745" spans="1:14" ht="11.25" customHeight="1" x14ac:dyDescent="0.2">
      <c r="A5745" s="120">
        <v>2024</v>
      </c>
      <c r="B5745" s="120">
        <v>10</v>
      </c>
      <c r="C5745" s="120">
        <v>3</v>
      </c>
      <c r="D5745" s="208">
        <f t="shared" si="579"/>
        <v>45568</v>
      </c>
      <c r="E5745" s="209">
        <f t="shared" si="576"/>
        <v>45568</v>
      </c>
      <c r="F5745" s="515"/>
      <c r="G5745" s="132" t="s">
        <v>1209</v>
      </c>
      <c r="I5745" s="128" t="s">
        <v>355</v>
      </c>
      <c r="J5745" s="120" t="s">
        <v>16</v>
      </c>
      <c r="K5745" s="207"/>
      <c r="L5745" s="207">
        <v>69660</v>
      </c>
    </row>
    <row r="5746" spans="1:14" ht="11.25" customHeight="1" x14ac:dyDescent="0.2">
      <c r="A5746" s="191">
        <v>2024</v>
      </c>
      <c r="B5746" s="191">
        <v>10</v>
      </c>
      <c r="C5746" s="191">
        <v>3</v>
      </c>
      <c r="D5746" s="192">
        <f t="shared" si="579"/>
        <v>45568</v>
      </c>
      <c r="E5746" s="193">
        <f t="shared" si="576"/>
        <v>45568</v>
      </c>
      <c r="F5746" s="514"/>
      <c r="G5746" s="194" t="s">
        <v>1209</v>
      </c>
      <c r="H5746" s="195"/>
      <c r="I5746" s="195" t="s">
        <v>355</v>
      </c>
      <c r="J5746" s="191" t="s">
        <v>47</v>
      </c>
      <c r="K5746" s="196"/>
      <c r="L5746" s="196">
        <v>10340</v>
      </c>
    </row>
    <row r="5747" spans="1:14" ht="11.25" customHeight="1" x14ac:dyDescent="0.2">
      <c r="A5747" s="197">
        <v>2024</v>
      </c>
      <c r="B5747" s="197">
        <v>10</v>
      </c>
      <c r="C5747" s="197">
        <v>3</v>
      </c>
      <c r="D5747" s="198">
        <f t="shared" si="579"/>
        <v>45568</v>
      </c>
      <c r="E5747" s="199">
        <f t="shared" si="576"/>
        <v>45568</v>
      </c>
      <c r="F5747" s="513" t="s">
        <v>1905</v>
      </c>
      <c r="G5747" s="200" t="s">
        <v>1209</v>
      </c>
      <c r="H5747" s="201"/>
      <c r="I5747" s="201" t="s">
        <v>1253</v>
      </c>
      <c r="J5747" s="197" t="s">
        <v>46</v>
      </c>
      <c r="K5747" s="202">
        <v>9995000</v>
      </c>
      <c r="L5747" s="202"/>
    </row>
    <row r="5748" spans="1:14" ht="11.25" customHeight="1" x14ac:dyDescent="0.2">
      <c r="A5748" s="120">
        <v>2024</v>
      </c>
      <c r="B5748" s="120">
        <v>10</v>
      </c>
      <c r="C5748" s="120">
        <v>3</v>
      </c>
      <c r="D5748" s="208">
        <f t="shared" si="579"/>
        <v>45568</v>
      </c>
      <c r="E5748" s="209">
        <f t="shared" si="576"/>
        <v>45568</v>
      </c>
      <c r="F5748" s="515"/>
      <c r="G5748" s="132" t="s">
        <v>1209</v>
      </c>
      <c r="J5748" s="120" t="s">
        <v>54</v>
      </c>
      <c r="K5748" s="207">
        <v>5000</v>
      </c>
      <c r="L5748" s="207"/>
    </row>
    <row r="5749" spans="1:14" ht="11.25" customHeight="1" x14ac:dyDescent="0.2">
      <c r="A5749" s="191">
        <v>2024</v>
      </c>
      <c r="B5749" s="191">
        <v>10</v>
      </c>
      <c r="C5749" s="191">
        <v>3</v>
      </c>
      <c r="D5749" s="192">
        <f t="shared" si="579"/>
        <v>45568</v>
      </c>
      <c r="E5749" s="193">
        <f t="shared" si="576"/>
        <v>45568</v>
      </c>
      <c r="F5749" s="514"/>
      <c r="G5749" s="194" t="s">
        <v>1209</v>
      </c>
      <c r="H5749" s="195"/>
      <c r="I5749" s="195" t="s">
        <v>1253</v>
      </c>
      <c r="J5749" s="191" t="s">
        <v>76</v>
      </c>
      <c r="K5749" s="196"/>
      <c r="L5749" s="196">
        <v>10000000</v>
      </c>
    </row>
    <row r="5750" spans="1:14" ht="11.25" customHeight="1" x14ac:dyDescent="0.2">
      <c r="A5750" s="197">
        <v>2024</v>
      </c>
      <c r="B5750" s="197">
        <v>10</v>
      </c>
      <c r="C5750" s="197">
        <v>3</v>
      </c>
      <c r="D5750" s="198">
        <f t="shared" si="579"/>
        <v>45568</v>
      </c>
      <c r="E5750" s="199">
        <f t="shared" si="576"/>
        <v>45568</v>
      </c>
      <c r="F5750" s="513" t="s">
        <v>1906</v>
      </c>
      <c r="G5750" s="200" t="s">
        <v>1209</v>
      </c>
      <c r="H5750" s="201"/>
      <c r="I5750" s="201" t="s">
        <v>1253</v>
      </c>
      <c r="J5750" s="197" t="s">
        <v>46</v>
      </c>
      <c r="K5750" s="202">
        <v>5000000</v>
      </c>
      <c r="L5750" s="202"/>
    </row>
    <row r="5751" spans="1:14" ht="11.25" customHeight="1" x14ac:dyDescent="0.2">
      <c r="A5751" s="120">
        <v>2024</v>
      </c>
      <c r="B5751" s="120">
        <v>10</v>
      </c>
      <c r="C5751" s="120">
        <v>3</v>
      </c>
      <c r="D5751" s="208">
        <f t="shared" si="579"/>
        <v>45568</v>
      </c>
      <c r="E5751" s="209">
        <f t="shared" si="576"/>
        <v>45568</v>
      </c>
      <c r="F5751" s="515"/>
      <c r="G5751" s="132" t="s">
        <v>1209</v>
      </c>
      <c r="J5751" s="120" t="s">
        <v>1462</v>
      </c>
      <c r="K5751" s="328"/>
      <c r="L5751" s="207">
        <v>67665</v>
      </c>
    </row>
    <row r="5752" spans="1:14" ht="11.25" customHeight="1" x14ac:dyDescent="0.2">
      <c r="A5752" s="191">
        <v>2024</v>
      </c>
      <c r="B5752" s="191">
        <v>10</v>
      </c>
      <c r="C5752" s="191">
        <v>3</v>
      </c>
      <c r="D5752" s="192">
        <f t="shared" si="579"/>
        <v>45568</v>
      </c>
      <c r="E5752" s="193">
        <f t="shared" si="576"/>
        <v>45568</v>
      </c>
      <c r="F5752" s="514"/>
      <c r="G5752" s="194" t="s">
        <v>1209</v>
      </c>
      <c r="H5752" s="195"/>
      <c r="I5752" s="195" t="s">
        <v>1253</v>
      </c>
      <c r="J5752" s="191" t="s">
        <v>1455</v>
      </c>
      <c r="K5752" s="196"/>
      <c r="L5752" s="196">
        <v>4932335</v>
      </c>
      <c r="N5752" s="130"/>
    </row>
    <row r="5753" spans="1:14" ht="11.25" customHeight="1" x14ac:dyDescent="0.2">
      <c r="A5753" s="197">
        <v>2024</v>
      </c>
      <c r="B5753" s="197">
        <v>10</v>
      </c>
      <c r="C5753" s="197">
        <v>3</v>
      </c>
      <c r="D5753" s="198">
        <f t="shared" si="579"/>
        <v>45568</v>
      </c>
      <c r="E5753" s="199">
        <f t="shared" si="576"/>
        <v>45568</v>
      </c>
      <c r="F5753" s="513" t="s">
        <v>1864</v>
      </c>
      <c r="G5753" s="200" t="s">
        <v>1209</v>
      </c>
      <c r="H5753" s="201"/>
      <c r="I5753" s="201" t="s">
        <v>1253</v>
      </c>
      <c r="J5753" s="197" t="s">
        <v>1837</v>
      </c>
      <c r="K5753" s="202">
        <v>13549061.84</v>
      </c>
      <c r="L5753" s="202"/>
    </row>
    <row r="5754" spans="1:14" ht="11.25" customHeight="1" x14ac:dyDescent="0.2">
      <c r="A5754" s="191">
        <v>2024</v>
      </c>
      <c r="B5754" s="191">
        <v>10</v>
      </c>
      <c r="C5754" s="191">
        <v>3</v>
      </c>
      <c r="D5754" s="192">
        <f t="shared" si="579"/>
        <v>45568</v>
      </c>
      <c r="E5754" s="193">
        <f t="shared" si="576"/>
        <v>45568</v>
      </c>
      <c r="F5754" s="514"/>
      <c r="G5754" s="194" t="s">
        <v>1209</v>
      </c>
      <c r="H5754" s="195"/>
      <c r="I5754" s="195" t="s">
        <v>1253</v>
      </c>
      <c r="J5754" s="191" t="s">
        <v>46</v>
      </c>
      <c r="K5754" s="196"/>
      <c r="L5754" s="196">
        <v>13549061.84</v>
      </c>
      <c r="N5754" s="130"/>
    </row>
    <row r="5755" spans="1:14" ht="11.25" customHeight="1" x14ac:dyDescent="0.2">
      <c r="A5755" s="197">
        <v>2024</v>
      </c>
      <c r="B5755" s="197">
        <v>10</v>
      </c>
      <c r="C5755" s="197">
        <v>3</v>
      </c>
      <c r="D5755" s="198">
        <f t="shared" si="579"/>
        <v>45568</v>
      </c>
      <c r="E5755" s="199">
        <f t="shared" ref="E5755:E5759" si="581">DATE(A5755,B5755,C5755)</f>
        <v>45568</v>
      </c>
      <c r="F5755" s="513" t="s">
        <v>1897</v>
      </c>
      <c r="G5755" s="200" t="s">
        <v>1209</v>
      </c>
      <c r="H5755" s="201"/>
      <c r="I5755" s="201" t="s">
        <v>1253</v>
      </c>
      <c r="J5755" s="197" t="s">
        <v>1837</v>
      </c>
      <c r="K5755" s="202">
        <v>2060756.63</v>
      </c>
      <c r="L5755" s="202"/>
    </row>
    <row r="5756" spans="1:14" ht="11.25" customHeight="1" x14ac:dyDescent="0.2">
      <c r="A5756" s="191">
        <v>2024</v>
      </c>
      <c r="B5756" s="191">
        <v>10</v>
      </c>
      <c r="C5756" s="191">
        <v>3</v>
      </c>
      <c r="D5756" s="192">
        <f t="shared" si="579"/>
        <v>45568</v>
      </c>
      <c r="E5756" s="193">
        <f t="shared" si="581"/>
        <v>45568</v>
      </c>
      <c r="F5756" s="514"/>
      <c r="G5756" s="194" t="s">
        <v>1209</v>
      </c>
      <c r="H5756" s="195"/>
      <c r="I5756" s="195" t="s">
        <v>1253</v>
      </c>
      <c r="J5756" s="191" t="s">
        <v>46</v>
      </c>
      <c r="K5756" s="196"/>
      <c r="L5756" s="196">
        <v>2060756.64</v>
      </c>
      <c r="N5756" s="130"/>
    </row>
    <row r="5757" spans="1:14" ht="11.25" customHeight="1" x14ac:dyDescent="0.2">
      <c r="A5757" s="197">
        <v>2024</v>
      </c>
      <c r="B5757" s="197">
        <v>10</v>
      </c>
      <c r="C5757" s="197">
        <v>3</v>
      </c>
      <c r="D5757" s="198">
        <f t="shared" si="579"/>
        <v>45568</v>
      </c>
      <c r="E5757" s="290">
        <f t="shared" si="581"/>
        <v>45568</v>
      </c>
      <c r="F5757" s="513" t="s">
        <v>1908</v>
      </c>
      <c r="G5757" s="200" t="s">
        <v>1245</v>
      </c>
      <c r="H5757" s="201"/>
      <c r="I5757" s="201" t="s">
        <v>1253</v>
      </c>
      <c r="J5757" s="197" t="s">
        <v>46</v>
      </c>
      <c r="K5757" s="202">
        <v>3360000</v>
      </c>
      <c r="L5757" s="202"/>
    </row>
    <row r="5758" spans="1:14" ht="11.25" customHeight="1" x14ac:dyDescent="0.2">
      <c r="A5758" s="120">
        <v>2024</v>
      </c>
      <c r="B5758" s="120">
        <v>10</v>
      </c>
      <c r="C5758" s="120">
        <v>3</v>
      </c>
      <c r="D5758" s="208">
        <f t="shared" si="579"/>
        <v>45568</v>
      </c>
      <c r="E5758" s="290">
        <f t="shared" si="581"/>
        <v>45568</v>
      </c>
      <c r="F5758" s="515"/>
      <c r="G5758" s="132" t="s">
        <v>1245</v>
      </c>
      <c r="J5758" s="120" t="s">
        <v>1845</v>
      </c>
      <c r="K5758" s="207"/>
      <c r="L5758" s="207">
        <v>3307541</v>
      </c>
    </row>
    <row r="5759" spans="1:14" ht="11.25" customHeight="1" x14ac:dyDescent="0.2">
      <c r="A5759" s="191">
        <v>2024</v>
      </c>
      <c r="B5759" s="191">
        <v>10</v>
      </c>
      <c r="C5759" s="191">
        <v>3</v>
      </c>
      <c r="D5759" s="192">
        <f t="shared" si="579"/>
        <v>45568</v>
      </c>
      <c r="E5759" s="291">
        <f t="shared" si="581"/>
        <v>45568</v>
      </c>
      <c r="F5759" s="514"/>
      <c r="G5759" s="194" t="s">
        <v>1245</v>
      </c>
      <c r="H5759" s="195"/>
      <c r="I5759" s="195" t="s">
        <v>1253</v>
      </c>
      <c r="J5759" s="191" t="s">
        <v>1837</v>
      </c>
      <c r="K5759" s="196"/>
      <c r="L5759" s="196">
        <v>52459</v>
      </c>
    </row>
    <row r="5760" spans="1:14" ht="11.25" customHeight="1" x14ac:dyDescent="0.2">
      <c r="A5760" s="120">
        <v>2024</v>
      </c>
      <c r="B5760" s="120">
        <v>10</v>
      </c>
      <c r="C5760" s="120">
        <v>3</v>
      </c>
      <c r="D5760" s="208">
        <f t="shared" si="579"/>
        <v>45568</v>
      </c>
      <c r="E5760" s="209">
        <f>DATE(A5760,B5760,C5760)</f>
        <v>45568</v>
      </c>
      <c r="F5760" s="515" t="s">
        <v>1907</v>
      </c>
      <c r="G5760" s="132" t="s">
        <v>1209</v>
      </c>
      <c r="H5760" s="132"/>
      <c r="J5760" s="120" t="s">
        <v>457</v>
      </c>
      <c r="K5760" s="202">
        <v>88500</v>
      </c>
      <c r="L5760" s="207"/>
    </row>
    <row r="5761" spans="1:12" ht="11.25" customHeight="1" x14ac:dyDescent="0.2">
      <c r="A5761" s="191">
        <v>2024</v>
      </c>
      <c r="B5761" s="191">
        <v>10</v>
      </c>
      <c r="C5761" s="191">
        <v>3</v>
      </c>
      <c r="D5761" s="192">
        <f t="shared" si="579"/>
        <v>45568</v>
      </c>
      <c r="E5761" s="291">
        <f t="shared" ref="E5761" si="582">DATE(A5761,B5761,C5761)</f>
        <v>45568</v>
      </c>
      <c r="F5761" s="514"/>
      <c r="G5761" s="194" t="s">
        <v>1209</v>
      </c>
      <c r="H5761" s="195"/>
      <c r="I5761" s="195" t="s">
        <v>1253</v>
      </c>
      <c r="J5761" s="191" t="s">
        <v>46</v>
      </c>
      <c r="K5761" s="196"/>
      <c r="L5761" s="196">
        <v>88500</v>
      </c>
    </row>
    <row r="5762" spans="1:12" ht="11.25" customHeight="1" x14ac:dyDescent="0.2">
      <c r="A5762" s="382">
        <v>2024</v>
      </c>
      <c r="B5762" s="382">
        <v>10</v>
      </c>
      <c r="C5762" s="382">
        <v>3</v>
      </c>
      <c r="D5762" s="383">
        <f t="shared" si="579"/>
        <v>45568</v>
      </c>
      <c r="E5762" s="384">
        <f t="shared" si="572"/>
        <v>45568</v>
      </c>
      <c r="F5762" s="516" t="s">
        <v>1850</v>
      </c>
      <c r="G5762" s="385" t="s">
        <v>1209</v>
      </c>
      <c r="H5762" s="386"/>
      <c r="I5762" s="386"/>
      <c r="J5762" s="387" t="s">
        <v>81</v>
      </c>
      <c r="K5762" s="422">
        <v>6973.2450980392159</v>
      </c>
      <c r="L5762" s="422"/>
    </row>
    <row r="5763" spans="1:12" ht="11.25" customHeight="1" x14ac:dyDescent="0.2">
      <c r="A5763" s="389">
        <v>2024</v>
      </c>
      <c r="B5763" s="389">
        <v>10</v>
      </c>
      <c r="C5763" s="389">
        <v>3</v>
      </c>
      <c r="D5763" s="390">
        <f t="shared" si="579"/>
        <v>45568</v>
      </c>
      <c r="E5763" s="391">
        <f t="shared" si="572"/>
        <v>45568</v>
      </c>
      <c r="F5763" s="517"/>
      <c r="G5763" s="392" t="s">
        <v>1209</v>
      </c>
      <c r="H5763" s="393"/>
      <c r="I5763" s="393"/>
      <c r="J5763" s="394" t="s">
        <v>1847</v>
      </c>
      <c r="K5763" s="423"/>
      <c r="L5763" s="423">
        <v>6973.2450980392159</v>
      </c>
    </row>
    <row r="5764" spans="1:12" ht="11.25" customHeight="1" x14ac:dyDescent="0.2">
      <c r="A5764" s="382">
        <v>2024</v>
      </c>
      <c r="B5764" s="382">
        <v>10</v>
      </c>
      <c r="C5764" s="382">
        <v>3</v>
      </c>
      <c r="D5764" s="383">
        <f t="shared" si="579"/>
        <v>45568</v>
      </c>
      <c r="E5764" s="384">
        <f t="shared" si="572"/>
        <v>45568</v>
      </c>
      <c r="F5764" s="516" t="s">
        <v>1892</v>
      </c>
      <c r="G5764" s="385" t="s">
        <v>1209</v>
      </c>
      <c r="H5764" s="386"/>
      <c r="I5764" s="386"/>
      <c r="J5764" s="387" t="s">
        <v>173</v>
      </c>
      <c r="K5764" s="388">
        <v>4211.0378183472221</v>
      </c>
      <c r="L5764" s="388"/>
    </row>
    <row r="5765" spans="1:12" ht="11.25" customHeight="1" x14ac:dyDescent="0.2">
      <c r="A5765" s="389">
        <v>2024</v>
      </c>
      <c r="B5765" s="389">
        <v>10</v>
      </c>
      <c r="C5765" s="389">
        <v>3</v>
      </c>
      <c r="D5765" s="390">
        <f t="shared" si="579"/>
        <v>45568</v>
      </c>
      <c r="E5765" s="391">
        <f t="shared" si="572"/>
        <v>45568</v>
      </c>
      <c r="F5765" s="517"/>
      <c r="G5765" s="392" t="s">
        <v>1209</v>
      </c>
      <c r="H5765" s="393"/>
      <c r="I5765" s="393"/>
      <c r="J5765" s="394" t="s">
        <v>43</v>
      </c>
      <c r="K5765" s="388"/>
      <c r="L5765" s="388">
        <f>K5764</f>
        <v>4211.0378183472221</v>
      </c>
    </row>
    <row r="5766" spans="1:12" ht="11.25" customHeight="1" x14ac:dyDescent="0.2">
      <c r="A5766" s="344">
        <v>2024</v>
      </c>
      <c r="B5766" s="344">
        <v>10</v>
      </c>
      <c r="C5766" s="344">
        <v>3</v>
      </c>
      <c r="D5766" s="345">
        <f t="shared" si="579"/>
        <v>45568</v>
      </c>
      <c r="E5766" s="346">
        <f t="shared" si="572"/>
        <v>45568</v>
      </c>
      <c r="F5766" s="518" t="s">
        <v>1621</v>
      </c>
      <c r="G5766" s="347" t="s">
        <v>1245</v>
      </c>
      <c r="H5766" s="348"/>
      <c r="I5766" s="348" t="s">
        <v>1253</v>
      </c>
      <c r="J5766" s="344" t="s">
        <v>113</v>
      </c>
      <c r="K5766" s="349">
        <v>197692.30769230766</v>
      </c>
      <c r="L5766" s="349"/>
    </row>
    <row r="5767" spans="1:12" ht="11.25" customHeight="1" x14ac:dyDescent="0.2">
      <c r="A5767" s="350">
        <v>2024</v>
      </c>
      <c r="B5767" s="350">
        <v>10</v>
      </c>
      <c r="C5767" s="350">
        <v>3</v>
      </c>
      <c r="D5767" s="351">
        <f t="shared" si="579"/>
        <v>45568</v>
      </c>
      <c r="E5767" s="352">
        <f t="shared" si="572"/>
        <v>45568</v>
      </c>
      <c r="F5767" s="519"/>
      <c r="G5767" s="353" t="s">
        <v>1245</v>
      </c>
      <c r="H5767" s="354"/>
      <c r="I5767" s="354" t="s">
        <v>1253</v>
      </c>
      <c r="J5767" s="350" t="s">
        <v>153</v>
      </c>
      <c r="K5767" s="355"/>
      <c r="L5767" s="355">
        <f>K5766</f>
        <v>197692.30769230766</v>
      </c>
    </row>
    <row r="5768" spans="1:12" ht="11.25" customHeight="1" x14ac:dyDescent="0.2">
      <c r="A5768" s="210">
        <v>2024</v>
      </c>
      <c r="B5768" s="210">
        <v>10</v>
      </c>
      <c r="C5768" s="210">
        <v>3</v>
      </c>
      <c r="D5768" s="211">
        <f t="shared" si="579"/>
        <v>45568</v>
      </c>
      <c r="E5768" s="238">
        <f t="shared" si="572"/>
        <v>45568</v>
      </c>
      <c r="F5768" s="520" t="s">
        <v>1278</v>
      </c>
      <c r="G5768" s="213" t="s">
        <v>1245</v>
      </c>
      <c r="H5768" s="214"/>
      <c r="I5768" s="214" t="s">
        <v>1253</v>
      </c>
      <c r="J5768" s="210" t="s">
        <v>1529</v>
      </c>
      <c r="K5768" s="215">
        <v>510.40384615384613</v>
      </c>
      <c r="L5768" s="215"/>
    </row>
    <row r="5769" spans="1:12" ht="11.25" customHeight="1" x14ac:dyDescent="0.2">
      <c r="A5769" s="216">
        <v>2024</v>
      </c>
      <c r="B5769" s="216">
        <v>10</v>
      </c>
      <c r="C5769" s="216">
        <v>3</v>
      </c>
      <c r="D5769" s="217">
        <f t="shared" si="579"/>
        <v>45568</v>
      </c>
      <c r="E5769" s="239">
        <f t="shared" si="572"/>
        <v>45568</v>
      </c>
      <c r="F5769" s="521"/>
      <c r="G5769" s="219" t="s">
        <v>1245</v>
      </c>
      <c r="H5769" s="220"/>
      <c r="I5769" s="220" t="s">
        <v>1253</v>
      </c>
      <c r="J5769" s="216" t="s">
        <v>1581</v>
      </c>
      <c r="K5769" s="221"/>
      <c r="L5769" s="221">
        <v>510.40384615384613</v>
      </c>
    </row>
    <row r="5770" spans="1:12" ht="11.25" customHeight="1" x14ac:dyDescent="0.2">
      <c r="A5770" s="210">
        <v>2024</v>
      </c>
      <c r="B5770" s="210">
        <v>10</v>
      </c>
      <c r="C5770" s="210">
        <v>3</v>
      </c>
      <c r="D5770" s="211">
        <f t="shared" si="579"/>
        <v>45568</v>
      </c>
      <c r="E5770" s="238">
        <f t="shared" si="572"/>
        <v>45568</v>
      </c>
      <c r="F5770" s="520" t="s">
        <v>1857</v>
      </c>
      <c r="G5770" s="213" t="s">
        <v>1245</v>
      </c>
      <c r="H5770" s="214"/>
      <c r="I5770" s="214" t="s">
        <v>1253</v>
      </c>
      <c r="J5770" s="210" t="s">
        <v>1284</v>
      </c>
      <c r="K5770" s="215">
        <v>8903.4309440559427</v>
      </c>
      <c r="L5770" s="215"/>
    </row>
    <row r="5771" spans="1:12" ht="11.25" customHeight="1" x14ac:dyDescent="0.2">
      <c r="A5771" s="242">
        <v>2024</v>
      </c>
      <c r="B5771" s="242">
        <v>10</v>
      </c>
      <c r="C5771" s="242">
        <v>3</v>
      </c>
      <c r="D5771" s="243">
        <f t="shared" si="579"/>
        <v>45568</v>
      </c>
      <c r="E5771" s="244">
        <f>DATE(A5771,B5771,C5771)</f>
        <v>45568</v>
      </c>
      <c r="F5771" s="524"/>
      <c r="G5771" s="245" t="s">
        <v>1245</v>
      </c>
      <c r="H5771" s="246"/>
      <c r="I5771" s="246"/>
      <c r="J5771" s="242" t="s">
        <v>1582</v>
      </c>
      <c r="K5771" s="247"/>
      <c r="L5771" s="247">
        <v>8903.4309440559427</v>
      </c>
    </row>
    <row r="5772" spans="1:12" ht="11.25" customHeight="1" x14ac:dyDescent="0.2">
      <c r="A5772" s="210">
        <v>2024</v>
      </c>
      <c r="B5772" s="210">
        <v>10</v>
      </c>
      <c r="C5772" s="210">
        <v>3</v>
      </c>
      <c r="D5772" s="211">
        <f t="shared" si="579"/>
        <v>45568</v>
      </c>
      <c r="E5772" s="238">
        <f t="shared" ref="E5772:E5802" si="583">DATE(A5772,B5772,C5772)</f>
        <v>45568</v>
      </c>
      <c r="F5772" s="520" t="s">
        <v>1259</v>
      </c>
      <c r="G5772" s="213" t="s">
        <v>1245</v>
      </c>
      <c r="H5772" s="214"/>
      <c r="I5772" s="214" t="s">
        <v>1253</v>
      </c>
      <c r="J5772" s="210" t="s">
        <v>58</v>
      </c>
      <c r="K5772" s="215">
        <v>13091.32</v>
      </c>
      <c r="L5772" s="215"/>
    </row>
    <row r="5773" spans="1:12" ht="11.25" customHeight="1" x14ac:dyDescent="0.2">
      <c r="A5773" s="216">
        <v>2024</v>
      </c>
      <c r="B5773" s="216">
        <v>10</v>
      </c>
      <c r="C5773" s="216">
        <v>3</v>
      </c>
      <c r="D5773" s="217">
        <f t="shared" si="579"/>
        <v>45568</v>
      </c>
      <c r="E5773" s="239">
        <f t="shared" si="583"/>
        <v>45568</v>
      </c>
      <c r="F5773" s="521"/>
      <c r="G5773" s="219" t="s">
        <v>1245</v>
      </c>
      <c r="H5773" s="220"/>
      <c r="I5773" s="220" t="s">
        <v>1253</v>
      </c>
      <c r="J5773" s="216" t="s">
        <v>153</v>
      </c>
      <c r="K5773" s="221"/>
      <c r="L5773" s="221">
        <f>K5772</f>
        <v>13091.32</v>
      </c>
    </row>
    <row r="5774" spans="1:12" ht="11.25" customHeight="1" x14ac:dyDescent="0.2">
      <c r="A5774" s="312">
        <v>2024</v>
      </c>
      <c r="B5774" s="312">
        <v>10</v>
      </c>
      <c r="C5774" s="312">
        <v>3</v>
      </c>
      <c r="D5774" s="313">
        <f t="shared" si="579"/>
        <v>45568</v>
      </c>
      <c r="E5774" s="314">
        <f t="shared" si="583"/>
        <v>45568</v>
      </c>
      <c r="F5774" s="522" t="s">
        <v>1477</v>
      </c>
      <c r="G5774" s="315" t="s">
        <v>1245</v>
      </c>
      <c r="H5774" s="316"/>
      <c r="I5774" s="316" t="s">
        <v>1253</v>
      </c>
      <c r="J5774" s="312" t="s">
        <v>1458</v>
      </c>
      <c r="K5774" s="317">
        <v>167693.5</v>
      </c>
      <c r="L5774" s="317"/>
    </row>
    <row r="5775" spans="1:12" ht="11.25" customHeight="1" x14ac:dyDescent="0.2">
      <c r="A5775" s="318">
        <v>2024</v>
      </c>
      <c r="B5775" s="318">
        <v>10</v>
      </c>
      <c r="C5775" s="318">
        <v>3</v>
      </c>
      <c r="D5775" s="319">
        <f t="shared" si="579"/>
        <v>45568</v>
      </c>
      <c r="E5775" s="320">
        <f t="shared" si="583"/>
        <v>45568</v>
      </c>
      <c r="F5775" s="523"/>
      <c r="G5775" s="321" t="s">
        <v>1245</v>
      </c>
      <c r="H5775" s="322"/>
      <c r="I5775" s="322" t="s">
        <v>1253</v>
      </c>
      <c r="J5775" s="318" t="s">
        <v>1460</v>
      </c>
      <c r="K5775" s="323"/>
      <c r="L5775" s="323">
        <f>K5774</f>
        <v>167693.5</v>
      </c>
    </row>
    <row r="5776" spans="1:12" ht="11.25" customHeight="1" x14ac:dyDescent="0.2">
      <c r="A5776" s="312">
        <v>2024</v>
      </c>
      <c r="B5776" s="312">
        <v>10</v>
      </c>
      <c r="C5776" s="312">
        <v>3</v>
      </c>
      <c r="D5776" s="313">
        <f t="shared" si="579"/>
        <v>45568</v>
      </c>
      <c r="E5776" s="314">
        <f t="shared" si="583"/>
        <v>45568</v>
      </c>
      <c r="F5776" s="522" t="s">
        <v>1595</v>
      </c>
      <c r="G5776" s="315" t="s">
        <v>1245</v>
      </c>
      <c r="H5776" s="316"/>
      <c r="I5776" s="316" t="s">
        <v>1253</v>
      </c>
      <c r="J5776" s="312" t="s">
        <v>1459</v>
      </c>
      <c r="K5776" s="317">
        <v>2750768.9620000422</v>
      </c>
      <c r="L5776" s="317"/>
    </row>
    <row r="5777" spans="1:13" ht="11.25" customHeight="1" x14ac:dyDescent="0.2">
      <c r="A5777" s="318">
        <v>2024</v>
      </c>
      <c r="B5777" s="318">
        <v>10</v>
      </c>
      <c r="C5777" s="318">
        <v>3</v>
      </c>
      <c r="D5777" s="319">
        <f t="shared" si="579"/>
        <v>45568</v>
      </c>
      <c r="E5777" s="320">
        <f t="shared" si="583"/>
        <v>45568</v>
      </c>
      <c r="F5777" s="523"/>
      <c r="G5777" s="321" t="s">
        <v>1245</v>
      </c>
      <c r="H5777" s="322"/>
      <c r="I5777" s="322" t="s">
        <v>1253</v>
      </c>
      <c r="J5777" s="318" t="s">
        <v>1461</v>
      </c>
      <c r="K5777" s="323"/>
      <c r="L5777" s="323">
        <f>K5776</f>
        <v>2750768.9620000422</v>
      </c>
    </row>
    <row r="5778" spans="1:13" ht="11.25" customHeight="1" x14ac:dyDescent="0.2">
      <c r="A5778" s="222">
        <v>2024</v>
      </c>
      <c r="B5778" s="222">
        <v>10</v>
      </c>
      <c r="C5778" s="222">
        <v>3</v>
      </c>
      <c r="D5778" s="223">
        <f t="shared" si="579"/>
        <v>45568</v>
      </c>
      <c r="E5778" s="240">
        <f t="shared" si="583"/>
        <v>45568</v>
      </c>
      <c r="F5778" s="511" t="s">
        <v>1244</v>
      </c>
      <c r="G5778" s="225" t="s">
        <v>1245</v>
      </c>
      <c r="H5778" s="226"/>
      <c r="I5778" s="226" t="s">
        <v>1253</v>
      </c>
      <c r="J5778" s="222" t="s">
        <v>87</v>
      </c>
      <c r="K5778" s="227">
        <v>5230</v>
      </c>
      <c r="L5778" s="227"/>
    </row>
    <row r="5779" spans="1:13" ht="11.25" customHeight="1" x14ac:dyDescent="0.2">
      <c r="A5779" s="228">
        <v>2024</v>
      </c>
      <c r="B5779" s="228">
        <v>10</v>
      </c>
      <c r="C5779" s="228">
        <v>3</v>
      </c>
      <c r="D5779" s="229">
        <f t="shared" si="579"/>
        <v>45568</v>
      </c>
      <c r="E5779" s="241">
        <f t="shared" si="583"/>
        <v>45568</v>
      </c>
      <c r="F5779" s="512"/>
      <c r="G5779" s="231" t="s">
        <v>1245</v>
      </c>
      <c r="H5779" s="232"/>
      <c r="I5779" s="232" t="s">
        <v>1253</v>
      </c>
      <c r="J5779" s="228" t="s">
        <v>72</v>
      </c>
      <c r="K5779" s="233"/>
      <c r="L5779" s="233">
        <f>K5778</f>
        <v>5230</v>
      </c>
    </row>
    <row r="5780" spans="1:13" ht="11.25" customHeight="1" x14ac:dyDescent="0.2">
      <c r="A5780" s="222">
        <v>2024</v>
      </c>
      <c r="B5780" s="222">
        <v>10</v>
      </c>
      <c r="C5780" s="222">
        <v>3</v>
      </c>
      <c r="D5780" s="223">
        <f t="shared" si="579"/>
        <v>45568</v>
      </c>
      <c r="E5780" s="240">
        <f t="shared" si="583"/>
        <v>45568</v>
      </c>
      <c r="F5780" s="511" t="s">
        <v>1246</v>
      </c>
      <c r="G5780" s="225" t="s">
        <v>1245</v>
      </c>
      <c r="H5780" s="226"/>
      <c r="I5780" s="226" t="s">
        <v>1253</v>
      </c>
      <c r="J5780" s="222" t="s">
        <v>75</v>
      </c>
      <c r="K5780" s="227">
        <v>3623.123846153846</v>
      </c>
      <c r="L5780" s="227"/>
    </row>
    <row r="5781" spans="1:13" ht="11.25" customHeight="1" x14ac:dyDescent="0.2">
      <c r="A5781" s="228">
        <v>2024</v>
      </c>
      <c r="B5781" s="228">
        <v>10</v>
      </c>
      <c r="C5781" s="228">
        <v>3</v>
      </c>
      <c r="D5781" s="229">
        <f t="shared" si="579"/>
        <v>45568</v>
      </c>
      <c r="E5781" s="241">
        <f t="shared" si="583"/>
        <v>45568</v>
      </c>
      <c r="F5781" s="512"/>
      <c r="G5781" s="231" t="s">
        <v>1245</v>
      </c>
      <c r="H5781" s="232"/>
      <c r="I5781" s="232" t="s">
        <v>1253</v>
      </c>
      <c r="J5781" s="228" t="s">
        <v>55</v>
      </c>
      <c r="K5781" s="233"/>
      <c r="L5781" s="233">
        <v>3623.123846153846</v>
      </c>
    </row>
    <row r="5782" spans="1:13" ht="11.25" customHeight="1" x14ac:dyDescent="0.2">
      <c r="A5782" s="222">
        <v>2024</v>
      </c>
      <c r="B5782" s="222">
        <v>10</v>
      </c>
      <c r="C5782" s="222">
        <v>3</v>
      </c>
      <c r="D5782" s="223">
        <f t="shared" si="579"/>
        <v>45568</v>
      </c>
      <c r="E5782" s="240">
        <f t="shared" si="583"/>
        <v>45568</v>
      </c>
      <c r="F5782" s="511" t="s">
        <v>1247</v>
      </c>
      <c r="G5782" s="225" t="s">
        <v>1245</v>
      </c>
      <c r="H5782" s="226"/>
      <c r="I5782" s="226" t="s">
        <v>1253</v>
      </c>
      <c r="J5782" s="222" t="s">
        <v>77</v>
      </c>
      <c r="K5782" s="227">
        <f>M5782</f>
        <v>39641.56495379543</v>
      </c>
      <c r="L5782" s="227"/>
      <c r="M5782" s="120">
        <v>39641.56495379543</v>
      </c>
    </row>
    <row r="5783" spans="1:13" ht="11.25" customHeight="1" x14ac:dyDescent="0.2">
      <c r="A5783" s="228">
        <v>2024</v>
      </c>
      <c r="B5783" s="228">
        <v>10</v>
      </c>
      <c r="C5783" s="228">
        <v>3</v>
      </c>
      <c r="D5783" s="229">
        <f t="shared" si="579"/>
        <v>45568</v>
      </c>
      <c r="E5783" s="241">
        <f t="shared" si="583"/>
        <v>45568</v>
      </c>
      <c r="F5783" s="512"/>
      <c r="G5783" s="231" t="s">
        <v>1245</v>
      </c>
      <c r="H5783" s="232"/>
      <c r="I5783" s="232" t="s">
        <v>1253</v>
      </c>
      <c r="J5783" s="228" t="s">
        <v>41</v>
      </c>
      <c r="K5783" s="233"/>
      <c r="L5783" s="233">
        <f>K5782</f>
        <v>39641.56495379543</v>
      </c>
      <c r="M5783" s="120">
        <v>3964.1564953795432</v>
      </c>
    </row>
    <row r="5784" spans="1:13" ht="11.25" customHeight="1" x14ac:dyDescent="0.2">
      <c r="A5784" s="222">
        <v>2024</v>
      </c>
      <c r="B5784" s="222">
        <v>10</v>
      </c>
      <c r="C5784" s="222">
        <v>3</v>
      </c>
      <c r="D5784" s="223">
        <f t="shared" si="579"/>
        <v>45568</v>
      </c>
      <c r="E5784" s="240">
        <f t="shared" si="583"/>
        <v>45568</v>
      </c>
      <c r="F5784" s="511" t="s">
        <v>1248</v>
      </c>
      <c r="G5784" s="225" t="s">
        <v>1245</v>
      </c>
      <c r="H5784" s="226"/>
      <c r="I5784" s="226" t="s">
        <v>1253</v>
      </c>
      <c r="J5784" s="222" t="s">
        <v>80</v>
      </c>
      <c r="K5784" s="227">
        <f>M5783</f>
        <v>3964.1564953795432</v>
      </c>
      <c r="L5784" s="227"/>
    </row>
    <row r="5785" spans="1:13" x14ac:dyDescent="0.2">
      <c r="A5785" s="228">
        <v>2024</v>
      </c>
      <c r="B5785" s="228">
        <v>10</v>
      </c>
      <c r="C5785" s="228">
        <v>3</v>
      </c>
      <c r="D5785" s="229">
        <f t="shared" si="579"/>
        <v>45568</v>
      </c>
      <c r="E5785" s="241">
        <f t="shared" si="583"/>
        <v>45568</v>
      </c>
      <c r="F5785" s="512"/>
      <c r="G5785" s="231" t="s">
        <v>1245</v>
      </c>
      <c r="H5785" s="232"/>
      <c r="I5785" s="232" t="s">
        <v>1253</v>
      </c>
      <c r="J5785" s="228" t="s">
        <v>42</v>
      </c>
      <c r="K5785" s="233"/>
      <c r="L5785" s="233">
        <f>K5784</f>
        <v>3964.1564953795432</v>
      </c>
    </row>
    <row r="5786" spans="1:13" ht="11.25" customHeight="1" x14ac:dyDescent="0.2">
      <c r="A5786" s="197">
        <v>2024</v>
      </c>
      <c r="B5786" s="197">
        <v>10</v>
      </c>
      <c r="C5786" s="197">
        <v>5</v>
      </c>
      <c r="D5786" s="198">
        <f t="shared" si="579"/>
        <v>45570</v>
      </c>
      <c r="E5786" s="209">
        <f t="shared" si="583"/>
        <v>45570</v>
      </c>
      <c r="F5786" s="513" t="s">
        <v>1296</v>
      </c>
      <c r="G5786" s="200" t="s">
        <v>1209</v>
      </c>
      <c r="H5786" s="201"/>
      <c r="I5786" s="201"/>
      <c r="J5786" s="197" t="s">
        <v>46</v>
      </c>
      <c r="K5786" s="202">
        <v>28000</v>
      </c>
      <c r="L5786" s="202"/>
    </row>
    <row r="5787" spans="1:13" ht="11.25" customHeight="1" x14ac:dyDescent="0.2">
      <c r="A5787" s="120">
        <v>2024</v>
      </c>
      <c r="B5787" s="120">
        <v>10</v>
      </c>
      <c r="C5787" s="120">
        <v>5</v>
      </c>
      <c r="D5787" s="208">
        <f t="shared" si="579"/>
        <v>45570</v>
      </c>
      <c r="E5787" s="209">
        <f t="shared" si="583"/>
        <v>45570</v>
      </c>
      <c r="F5787" s="515"/>
      <c r="G5787" s="132" t="s">
        <v>1209</v>
      </c>
      <c r="J5787" s="120" t="s">
        <v>16</v>
      </c>
      <c r="K5787" s="207"/>
      <c r="L5787" s="207">
        <v>24330</v>
      </c>
    </row>
    <row r="5788" spans="1:13" ht="11.25" customHeight="1" x14ac:dyDescent="0.2">
      <c r="A5788" s="191">
        <v>2024</v>
      </c>
      <c r="B5788" s="191">
        <v>10</v>
      </c>
      <c r="C5788" s="191">
        <v>5</v>
      </c>
      <c r="D5788" s="192">
        <f t="shared" si="579"/>
        <v>45570</v>
      </c>
      <c r="E5788" s="193">
        <f t="shared" si="583"/>
        <v>45570</v>
      </c>
      <c r="F5788" s="514"/>
      <c r="G5788" s="194" t="s">
        <v>1209</v>
      </c>
      <c r="H5788" s="195"/>
      <c r="I5788" s="195"/>
      <c r="J5788" s="191" t="s">
        <v>47</v>
      </c>
      <c r="K5788" s="196"/>
      <c r="L5788" s="196">
        <v>3670</v>
      </c>
    </row>
    <row r="5789" spans="1:13" ht="11.25" customHeight="1" x14ac:dyDescent="0.2">
      <c r="A5789" s="197">
        <v>2024</v>
      </c>
      <c r="B5789" s="120">
        <v>10</v>
      </c>
      <c r="C5789" s="120">
        <v>6</v>
      </c>
      <c r="D5789" s="198">
        <f t="shared" si="579"/>
        <v>45571</v>
      </c>
      <c r="E5789" s="290">
        <f>DATE(A5789,B5789,C5789)</f>
        <v>45571</v>
      </c>
      <c r="F5789" s="513" t="s">
        <v>1909</v>
      </c>
      <c r="G5789" s="200" t="s">
        <v>1209</v>
      </c>
      <c r="H5789" s="201"/>
      <c r="I5789" s="201" t="s">
        <v>1253</v>
      </c>
      <c r="J5789" s="197" t="s">
        <v>173</v>
      </c>
      <c r="K5789" s="202">
        <v>36532</v>
      </c>
      <c r="L5789" s="202"/>
    </row>
    <row r="5790" spans="1:13" ht="11.25" customHeight="1" x14ac:dyDescent="0.2">
      <c r="A5790" s="120">
        <v>2024</v>
      </c>
      <c r="B5790" s="120">
        <v>10</v>
      </c>
      <c r="C5790" s="120">
        <v>6</v>
      </c>
      <c r="D5790" s="208">
        <f t="shared" si="579"/>
        <v>45571</v>
      </c>
      <c r="E5790" s="293">
        <f t="shared" ref="E5790:E5791" si="584">DATE(A5790,B5790,C5790)</f>
        <v>45571</v>
      </c>
      <c r="F5790" s="515"/>
      <c r="G5790" s="132" t="s">
        <v>1209</v>
      </c>
      <c r="J5790" s="120" t="s">
        <v>43</v>
      </c>
      <c r="K5790" s="207">
        <v>76532.2</v>
      </c>
      <c r="L5790" s="207"/>
      <c r="M5790" s="130"/>
    </row>
    <row r="5791" spans="1:13" ht="11.25" customHeight="1" x14ac:dyDescent="0.2">
      <c r="A5791" s="120">
        <v>2024</v>
      </c>
      <c r="B5791" s="120">
        <v>10</v>
      </c>
      <c r="C5791" s="120">
        <v>6</v>
      </c>
      <c r="D5791" s="208">
        <f t="shared" si="579"/>
        <v>45571</v>
      </c>
      <c r="E5791" s="293">
        <f t="shared" si="584"/>
        <v>45571</v>
      </c>
      <c r="F5791" s="515"/>
      <c r="G5791" s="132" t="s">
        <v>1209</v>
      </c>
      <c r="J5791" s="120" t="s">
        <v>43</v>
      </c>
      <c r="K5791" s="207"/>
      <c r="L5791" s="207">
        <v>36532</v>
      </c>
    </row>
    <row r="5792" spans="1:13" ht="11.25" customHeight="1" x14ac:dyDescent="0.2">
      <c r="A5792" s="120">
        <v>2024</v>
      </c>
      <c r="B5792" s="120">
        <v>10</v>
      </c>
      <c r="C5792" s="120">
        <v>6</v>
      </c>
      <c r="D5792" s="208">
        <f t="shared" si="579"/>
        <v>45571</v>
      </c>
      <c r="E5792" s="293">
        <f>DATE(A5792,B5792,C5792)</f>
        <v>45571</v>
      </c>
      <c r="F5792" s="515"/>
      <c r="G5792" s="132" t="s">
        <v>1209</v>
      </c>
      <c r="J5792" s="120" t="s">
        <v>457</v>
      </c>
      <c r="K5792" s="207"/>
      <c r="L5792" s="207">
        <v>6654.97</v>
      </c>
    </row>
    <row r="5793" spans="1:15" ht="11.25" customHeight="1" x14ac:dyDescent="0.2">
      <c r="A5793" s="191">
        <v>2024</v>
      </c>
      <c r="B5793" s="191">
        <v>10</v>
      </c>
      <c r="C5793" s="191">
        <v>6</v>
      </c>
      <c r="D5793" s="192">
        <f t="shared" si="579"/>
        <v>45571</v>
      </c>
      <c r="E5793" s="291">
        <f>DATE(A5793,B5793,C5793)</f>
        <v>45571</v>
      </c>
      <c r="F5793" s="514"/>
      <c r="G5793" s="194" t="s">
        <v>1209</v>
      </c>
      <c r="H5793" s="195"/>
      <c r="I5793" s="195" t="s">
        <v>1253</v>
      </c>
      <c r="J5793" s="191" t="s">
        <v>46</v>
      </c>
      <c r="K5793" s="196"/>
      <c r="L5793" s="196">
        <v>69877.23</v>
      </c>
    </row>
    <row r="5794" spans="1:15" ht="11.25" customHeight="1" x14ac:dyDescent="0.2">
      <c r="A5794" s="197">
        <v>2024</v>
      </c>
      <c r="B5794" s="197">
        <v>10</v>
      </c>
      <c r="C5794" s="197">
        <v>6</v>
      </c>
      <c r="D5794" s="198">
        <f t="shared" si="579"/>
        <v>45571</v>
      </c>
      <c r="E5794" s="209">
        <f t="shared" ref="E5794:E5796" si="585">DATE(A5794,B5794,C5794)</f>
        <v>45571</v>
      </c>
      <c r="F5794" s="513" t="s">
        <v>1296</v>
      </c>
      <c r="G5794" s="200" t="s">
        <v>1209</v>
      </c>
      <c r="H5794" s="201"/>
      <c r="I5794" s="201"/>
      <c r="J5794" s="197" t="s">
        <v>46</v>
      </c>
      <c r="K5794" s="202">
        <v>127000</v>
      </c>
      <c r="L5794" s="202"/>
    </row>
    <row r="5795" spans="1:15" ht="11.25" customHeight="1" x14ac:dyDescent="0.2">
      <c r="A5795" s="120">
        <v>2024</v>
      </c>
      <c r="B5795" s="120">
        <v>10</v>
      </c>
      <c r="C5795" s="120">
        <v>6</v>
      </c>
      <c r="D5795" s="208">
        <f t="shared" si="579"/>
        <v>45571</v>
      </c>
      <c r="E5795" s="209">
        <f t="shared" si="585"/>
        <v>45571</v>
      </c>
      <c r="F5795" s="515"/>
      <c r="G5795" s="132" t="s">
        <v>1209</v>
      </c>
      <c r="J5795" s="120" t="s">
        <v>16</v>
      </c>
      <c r="K5795" s="207"/>
      <c r="L5795" s="207">
        <v>110350</v>
      </c>
    </row>
    <row r="5796" spans="1:15" ht="11.25" customHeight="1" x14ac:dyDescent="0.2">
      <c r="A5796" s="191">
        <v>2024</v>
      </c>
      <c r="B5796" s="191">
        <v>10</v>
      </c>
      <c r="C5796" s="191">
        <v>6</v>
      </c>
      <c r="D5796" s="192">
        <f t="shared" si="579"/>
        <v>45571</v>
      </c>
      <c r="E5796" s="193">
        <f t="shared" si="585"/>
        <v>45571</v>
      </c>
      <c r="F5796" s="514"/>
      <c r="G5796" s="194" t="s">
        <v>1209</v>
      </c>
      <c r="H5796" s="195"/>
      <c r="I5796" s="195"/>
      <c r="J5796" s="191" t="s">
        <v>47</v>
      </c>
      <c r="K5796" s="196"/>
      <c r="L5796" s="196">
        <v>16650</v>
      </c>
    </row>
    <row r="5797" spans="1:15" ht="11.25" customHeight="1" x14ac:dyDescent="0.2">
      <c r="A5797" s="197">
        <v>2024</v>
      </c>
      <c r="B5797" s="197">
        <v>10</v>
      </c>
      <c r="C5797" s="197">
        <v>7</v>
      </c>
      <c r="D5797" s="198">
        <f t="shared" si="579"/>
        <v>45572</v>
      </c>
      <c r="E5797" s="209">
        <f t="shared" si="583"/>
        <v>45572</v>
      </c>
      <c r="F5797" s="513" t="s">
        <v>1280</v>
      </c>
      <c r="G5797" s="200" t="s">
        <v>1209</v>
      </c>
      <c r="H5797" s="201"/>
      <c r="I5797" s="201" t="s">
        <v>1498</v>
      </c>
      <c r="J5797" s="197" t="s">
        <v>16</v>
      </c>
      <c r="K5797" s="202">
        <v>217250</v>
      </c>
      <c r="L5797" s="202"/>
    </row>
    <row r="5798" spans="1:15" ht="11.25" customHeight="1" x14ac:dyDescent="0.2">
      <c r="A5798" s="120">
        <v>2024</v>
      </c>
      <c r="B5798" s="120">
        <v>10</v>
      </c>
      <c r="C5798" s="120">
        <v>7</v>
      </c>
      <c r="D5798" s="208">
        <f t="shared" si="579"/>
        <v>45572</v>
      </c>
      <c r="E5798" s="209">
        <f t="shared" si="583"/>
        <v>45572</v>
      </c>
      <c r="F5798" s="515"/>
      <c r="G5798" s="132" t="s">
        <v>1209</v>
      </c>
      <c r="I5798" s="128" t="s">
        <v>1498</v>
      </c>
      <c r="J5798" s="120" t="s">
        <v>47</v>
      </c>
      <c r="K5798" s="207">
        <v>32761.299999999988</v>
      </c>
      <c r="L5798" s="207"/>
    </row>
    <row r="5799" spans="1:15" ht="11.25" customHeight="1" x14ac:dyDescent="0.2">
      <c r="A5799" s="191">
        <v>2024</v>
      </c>
      <c r="B5799" s="191">
        <v>10</v>
      </c>
      <c r="C5799" s="191">
        <v>7</v>
      </c>
      <c r="D5799" s="192">
        <f t="shared" si="579"/>
        <v>45572</v>
      </c>
      <c r="E5799" s="193">
        <f t="shared" si="583"/>
        <v>45572</v>
      </c>
      <c r="F5799" s="514"/>
      <c r="G5799" s="194" t="s">
        <v>1209</v>
      </c>
      <c r="H5799" s="195"/>
      <c r="I5799" s="195" t="s">
        <v>1498</v>
      </c>
      <c r="J5799" s="191" t="s">
        <v>46</v>
      </c>
      <c r="K5799" s="196"/>
      <c r="L5799" s="196">
        <v>250011.3</v>
      </c>
    </row>
    <row r="5800" spans="1:15" ht="11.25" customHeight="1" x14ac:dyDescent="0.2">
      <c r="A5800" s="197">
        <v>2024</v>
      </c>
      <c r="B5800" s="197">
        <v>10</v>
      </c>
      <c r="C5800" s="197">
        <v>7</v>
      </c>
      <c r="D5800" s="198">
        <f t="shared" si="579"/>
        <v>45572</v>
      </c>
      <c r="E5800" s="209">
        <f t="shared" si="583"/>
        <v>45572</v>
      </c>
      <c r="F5800" s="513" t="s">
        <v>1210</v>
      </c>
      <c r="G5800" s="200" t="s">
        <v>1209</v>
      </c>
      <c r="H5800" s="201"/>
      <c r="I5800" s="201"/>
      <c r="J5800" s="197" t="s">
        <v>46</v>
      </c>
      <c r="K5800" s="202">
        <v>500598</v>
      </c>
      <c r="L5800" s="202"/>
    </row>
    <row r="5801" spans="1:15" ht="11.25" customHeight="1" x14ac:dyDescent="0.2">
      <c r="A5801" s="120">
        <v>2024</v>
      </c>
      <c r="B5801" s="120">
        <v>10</v>
      </c>
      <c r="C5801" s="120">
        <v>7</v>
      </c>
      <c r="D5801" s="208">
        <f t="shared" si="579"/>
        <v>45572</v>
      </c>
      <c r="E5801" s="209">
        <f t="shared" si="583"/>
        <v>45572</v>
      </c>
      <c r="F5801" s="515"/>
      <c r="G5801" s="132" t="s">
        <v>1209</v>
      </c>
      <c r="J5801" s="120" t="s">
        <v>16</v>
      </c>
      <c r="K5801" s="207"/>
      <c r="L5801" s="207">
        <v>435000</v>
      </c>
    </row>
    <row r="5802" spans="1:15" ht="11.25" customHeight="1" x14ac:dyDescent="0.2">
      <c r="A5802" s="191">
        <v>2024</v>
      </c>
      <c r="B5802" s="191">
        <v>10</v>
      </c>
      <c r="C5802" s="191">
        <v>7</v>
      </c>
      <c r="D5802" s="192">
        <f t="shared" si="579"/>
        <v>45572</v>
      </c>
      <c r="E5802" s="193">
        <f t="shared" si="583"/>
        <v>45572</v>
      </c>
      <c r="F5802" s="514"/>
      <c r="G5802" s="194" t="s">
        <v>1209</v>
      </c>
      <c r="H5802" s="195"/>
      <c r="I5802" s="195"/>
      <c r="J5802" s="191" t="s">
        <v>47</v>
      </c>
      <c r="K5802" s="196"/>
      <c r="L5802" s="196">
        <v>65598</v>
      </c>
    </row>
    <row r="5803" spans="1:15" ht="11.25" customHeight="1" x14ac:dyDescent="0.2">
      <c r="A5803" s="197">
        <v>2024</v>
      </c>
      <c r="B5803" s="197">
        <v>10</v>
      </c>
      <c r="C5803" s="197">
        <v>7</v>
      </c>
      <c r="D5803" s="198">
        <f t="shared" si="579"/>
        <v>45572</v>
      </c>
      <c r="E5803" s="290">
        <f>DATE(A5803,B5803,C5803)</f>
        <v>45572</v>
      </c>
      <c r="F5803" s="513" t="s">
        <v>1514</v>
      </c>
      <c r="G5803" s="200" t="s">
        <v>1209</v>
      </c>
      <c r="H5803" s="201"/>
      <c r="I5803" s="201"/>
      <c r="J5803" s="197" t="s">
        <v>54</v>
      </c>
      <c r="K5803" s="202">
        <v>60</v>
      </c>
      <c r="L5803" s="202"/>
      <c r="M5803" s="251"/>
      <c r="N5803" s="251"/>
      <c r="O5803" s="251"/>
    </row>
    <row r="5804" spans="1:15" ht="11.25" customHeight="1" x14ac:dyDescent="0.2">
      <c r="A5804" s="191">
        <v>2024</v>
      </c>
      <c r="B5804" s="191">
        <v>10</v>
      </c>
      <c r="C5804" s="191">
        <v>7</v>
      </c>
      <c r="D5804" s="192">
        <f t="shared" ref="D5804:D5867" si="586">DATE(A5804,B5804,C5804)</f>
        <v>45572</v>
      </c>
      <c r="E5804" s="291">
        <f>DATE(A5804,B5804,C5804)</f>
        <v>45572</v>
      </c>
      <c r="F5804" s="514"/>
      <c r="G5804" s="194" t="s">
        <v>1209</v>
      </c>
      <c r="H5804" s="195"/>
      <c r="I5804" s="195"/>
      <c r="J5804" s="191" t="s">
        <v>46</v>
      </c>
      <c r="K5804" s="196"/>
      <c r="L5804" s="196">
        <v>60</v>
      </c>
      <c r="M5804" s="251"/>
      <c r="N5804" s="251"/>
      <c r="O5804" s="251"/>
    </row>
    <row r="5805" spans="1:15" ht="11.25" customHeight="1" x14ac:dyDescent="0.2">
      <c r="A5805" s="197">
        <v>2024</v>
      </c>
      <c r="B5805" s="197">
        <v>10</v>
      </c>
      <c r="C5805" s="197">
        <v>8</v>
      </c>
      <c r="D5805" s="198">
        <f t="shared" si="586"/>
        <v>45573</v>
      </c>
      <c r="E5805" s="209">
        <f t="shared" ref="E5805:E5807" si="587">DATE(A5805,B5805,C5805)</f>
        <v>45573</v>
      </c>
      <c r="F5805" s="513" t="s">
        <v>1210</v>
      </c>
      <c r="G5805" s="200" t="s">
        <v>1209</v>
      </c>
      <c r="H5805" s="201"/>
      <c r="I5805" s="201"/>
      <c r="J5805" s="197" t="s">
        <v>46</v>
      </c>
      <c r="K5805" s="202">
        <v>1000000</v>
      </c>
      <c r="L5805" s="202"/>
    </row>
    <row r="5806" spans="1:15" ht="11.25" customHeight="1" x14ac:dyDescent="0.2">
      <c r="A5806" s="120">
        <v>2024</v>
      </c>
      <c r="B5806" s="120">
        <v>10</v>
      </c>
      <c r="C5806" s="120">
        <v>8</v>
      </c>
      <c r="D5806" s="208">
        <f t="shared" si="586"/>
        <v>45573</v>
      </c>
      <c r="E5806" s="209">
        <f t="shared" si="587"/>
        <v>45573</v>
      </c>
      <c r="F5806" s="515"/>
      <c r="G5806" s="132" t="s">
        <v>1209</v>
      </c>
      <c r="J5806" s="120" t="s">
        <v>16</v>
      </c>
      <c r="K5806" s="207"/>
      <c r="L5806" s="207">
        <v>868960</v>
      </c>
    </row>
    <row r="5807" spans="1:15" ht="11.25" customHeight="1" x14ac:dyDescent="0.2">
      <c r="A5807" s="191">
        <v>2024</v>
      </c>
      <c r="B5807" s="191">
        <v>10</v>
      </c>
      <c r="C5807" s="191">
        <v>8</v>
      </c>
      <c r="D5807" s="192">
        <f t="shared" si="586"/>
        <v>45573</v>
      </c>
      <c r="E5807" s="193">
        <f t="shared" si="587"/>
        <v>45573</v>
      </c>
      <c r="F5807" s="514"/>
      <c r="G5807" s="194" t="s">
        <v>1209</v>
      </c>
      <c r="H5807" s="195"/>
      <c r="I5807" s="195"/>
      <c r="J5807" s="191" t="s">
        <v>47</v>
      </c>
      <c r="K5807" s="196"/>
      <c r="L5807" s="196">
        <v>131040</v>
      </c>
    </row>
    <row r="5808" spans="1:15" ht="11.25" customHeight="1" x14ac:dyDescent="0.2">
      <c r="A5808" s="197">
        <v>2024</v>
      </c>
      <c r="B5808" s="197">
        <v>10</v>
      </c>
      <c r="C5808" s="197">
        <v>8</v>
      </c>
      <c r="D5808" s="198">
        <f t="shared" si="586"/>
        <v>45573</v>
      </c>
      <c r="E5808" s="290">
        <f>DATE(A5808,B5808,C5808)</f>
        <v>45573</v>
      </c>
      <c r="F5808" s="513" t="s">
        <v>1514</v>
      </c>
      <c r="G5808" s="200" t="s">
        <v>1209</v>
      </c>
      <c r="H5808" s="201"/>
      <c r="I5808" s="201"/>
      <c r="J5808" s="197" t="s">
        <v>54</v>
      </c>
      <c r="K5808" s="202">
        <v>60</v>
      </c>
      <c r="L5808" s="202"/>
      <c r="M5808" s="251"/>
      <c r="N5808" s="251"/>
      <c r="O5808" s="251"/>
    </row>
    <row r="5809" spans="1:15" ht="11.25" customHeight="1" x14ac:dyDescent="0.2">
      <c r="A5809" s="191">
        <v>2024</v>
      </c>
      <c r="B5809" s="191">
        <v>10</v>
      </c>
      <c r="C5809" s="191">
        <v>8</v>
      </c>
      <c r="D5809" s="192">
        <f t="shared" si="586"/>
        <v>45573</v>
      </c>
      <c r="E5809" s="291">
        <f>DATE(A5809,B5809,C5809)</f>
        <v>45573</v>
      </c>
      <c r="F5809" s="514"/>
      <c r="G5809" s="194" t="s">
        <v>1209</v>
      </c>
      <c r="H5809" s="195"/>
      <c r="I5809" s="195"/>
      <c r="J5809" s="191" t="s">
        <v>46</v>
      </c>
      <c r="K5809" s="196"/>
      <c r="L5809" s="196">
        <v>60</v>
      </c>
      <c r="M5809" s="251"/>
      <c r="N5809" s="251"/>
      <c r="O5809" s="251"/>
    </row>
    <row r="5810" spans="1:15" ht="11.25" customHeight="1" x14ac:dyDescent="0.2">
      <c r="A5810" s="197">
        <v>2024</v>
      </c>
      <c r="B5810" s="197">
        <v>10</v>
      </c>
      <c r="C5810" s="197">
        <v>9</v>
      </c>
      <c r="D5810" s="198">
        <f t="shared" si="586"/>
        <v>45574</v>
      </c>
      <c r="E5810" s="199">
        <f t="shared" ref="E5810:E5820" si="588">DATE(A5810,B5810,C5810)</f>
        <v>45574</v>
      </c>
      <c r="F5810" s="513" t="s">
        <v>1897</v>
      </c>
      <c r="G5810" s="200" t="s">
        <v>1209</v>
      </c>
      <c r="H5810" s="201"/>
      <c r="I5810" s="201" t="s">
        <v>1253</v>
      </c>
      <c r="J5810" s="197" t="s">
        <v>1837</v>
      </c>
      <c r="K5810" s="202">
        <v>8506213.5</v>
      </c>
      <c r="L5810" s="202"/>
    </row>
    <row r="5811" spans="1:15" ht="11.25" customHeight="1" x14ac:dyDescent="0.2">
      <c r="A5811" s="191">
        <v>2024</v>
      </c>
      <c r="B5811" s="191">
        <v>10</v>
      </c>
      <c r="C5811" s="191">
        <v>9</v>
      </c>
      <c r="D5811" s="192">
        <f t="shared" si="586"/>
        <v>45574</v>
      </c>
      <c r="E5811" s="193">
        <f t="shared" si="588"/>
        <v>45574</v>
      </c>
      <c r="F5811" s="514"/>
      <c r="G5811" s="194" t="s">
        <v>1209</v>
      </c>
      <c r="H5811" s="195"/>
      <c r="I5811" s="195" t="s">
        <v>1253</v>
      </c>
      <c r="J5811" s="191" t="s">
        <v>46</v>
      </c>
      <c r="K5811" s="196"/>
      <c r="L5811" s="196">
        <v>8506213.5</v>
      </c>
      <c r="N5811" s="130"/>
    </row>
    <row r="5812" spans="1:15" ht="11.25" customHeight="1" x14ac:dyDescent="0.2">
      <c r="A5812" s="382">
        <v>2024</v>
      </c>
      <c r="B5812" s="382">
        <v>10</v>
      </c>
      <c r="C5812" s="382">
        <v>9</v>
      </c>
      <c r="D5812" s="383">
        <f t="shared" si="586"/>
        <v>45574</v>
      </c>
      <c r="E5812" s="384">
        <f t="shared" si="588"/>
        <v>45574</v>
      </c>
      <c r="F5812" s="516" t="s">
        <v>1850</v>
      </c>
      <c r="G5812" s="385" t="s">
        <v>1209</v>
      </c>
      <c r="H5812" s="386"/>
      <c r="I5812" s="386"/>
      <c r="J5812" s="387" t="s">
        <v>81</v>
      </c>
      <c r="K5812" s="422">
        <v>6973.2450980392159</v>
      </c>
      <c r="L5812" s="422"/>
    </row>
    <row r="5813" spans="1:15" ht="11.25" customHeight="1" x14ac:dyDescent="0.2">
      <c r="A5813" s="389">
        <v>2024</v>
      </c>
      <c r="B5813" s="389">
        <v>10</v>
      </c>
      <c r="C5813" s="389">
        <v>9</v>
      </c>
      <c r="D5813" s="390">
        <f t="shared" si="586"/>
        <v>45574</v>
      </c>
      <c r="E5813" s="391">
        <f t="shared" si="588"/>
        <v>45574</v>
      </c>
      <c r="F5813" s="517"/>
      <c r="G5813" s="392" t="s">
        <v>1209</v>
      </c>
      <c r="H5813" s="393"/>
      <c r="I5813" s="393"/>
      <c r="J5813" s="394" t="s">
        <v>1847</v>
      </c>
      <c r="K5813" s="423"/>
      <c r="L5813" s="423">
        <v>6973.2450980392159</v>
      </c>
    </row>
    <row r="5814" spans="1:15" ht="11.25" customHeight="1" x14ac:dyDescent="0.2">
      <c r="A5814" s="382">
        <v>2024</v>
      </c>
      <c r="B5814" s="382">
        <v>10</v>
      </c>
      <c r="C5814" s="382">
        <v>9</v>
      </c>
      <c r="D5814" s="383">
        <f t="shared" si="586"/>
        <v>45574</v>
      </c>
      <c r="E5814" s="384">
        <f t="shared" si="588"/>
        <v>45574</v>
      </c>
      <c r="F5814" s="516" t="s">
        <v>1892</v>
      </c>
      <c r="G5814" s="385" t="s">
        <v>1209</v>
      </c>
      <c r="H5814" s="386"/>
      <c r="I5814" s="386"/>
      <c r="J5814" s="387" t="s">
        <v>173</v>
      </c>
      <c r="K5814" s="388">
        <v>4279.2184721770818</v>
      </c>
      <c r="L5814" s="388"/>
    </row>
    <row r="5815" spans="1:15" ht="11.25" customHeight="1" x14ac:dyDescent="0.2">
      <c r="A5815" s="389">
        <v>2024</v>
      </c>
      <c r="B5815" s="389">
        <v>10</v>
      </c>
      <c r="C5815" s="389">
        <v>9</v>
      </c>
      <c r="D5815" s="390">
        <f t="shared" si="586"/>
        <v>45574</v>
      </c>
      <c r="E5815" s="391">
        <f t="shared" si="588"/>
        <v>45574</v>
      </c>
      <c r="F5815" s="517"/>
      <c r="G5815" s="392" t="s">
        <v>1209</v>
      </c>
      <c r="H5815" s="393"/>
      <c r="I5815" s="393"/>
      <c r="J5815" s="394" t="s">
        <v>43</v>
      </c>
      <c r="K5815" s="388"/>
      <c r="L5815" s="388">
        <f>K5814</f>
        <v>4279.2184721770818</v>
      </c>
    </row>
    <row r="5816" spans="1:15" ht="11.25" customHeight="1" x14ac:dyDescent="0.2">
      <c r="A5816" s="344">
        <v>2024</v>
      </c>
      <c r="B5816" s="344">
        <v>10</v>
      </c>
      <c r="C5816" s="344">
        <v>9</v>
      </c>
      <c r="D5816" s="345">
        <f t="shared" si="586"/>
        <v>45574</v>
      </c>
      <c r="E5816" s="346">
        <f t="shared" si="588"/>
        <v>45574</v>
      </c>
      <c r="F5816" s="518" t="s">
        <v>1621</v>
      </c>
      <c r="G5816" s="347" t="s">
        <v>1245</v>
      </c>
      <c r="H5816" s="348"/>
      <c r="I5816" s="348" t="s">
        <v>1253</v>
      </c>
      <c r="J5816" s="344" t="s">
        <v>113</v>
      </c>
      <c r="K5816" s="349">
        <v>197692.30769230766</v>
      </c>
      <c r="L5816" s="349"/>
    </row>
    <row r="5817" spans="1:15" ht="11.25" customHeight="1" x14ac:dyDescent="0.2">
      <c r="A5817" s="350">
        <v>2024</v>
      </c>
      <c r="B5817" s="350">
        <v>10</v>
      </c>
      <c r="C5817" s="350">
        <v>9</v>
      </c>
      <c r="D5817" s="351">
        <f t="shared" si="586"/>
        <v>45574</v>
      </c>
      <c r="E5817" s="352">
        <f t="shared" si="588"/>
        <v>45574</v>
      </c>
      <c r="F5817" s="519"/>
      <c r="G5817" s="353" t="s">
        <v>1245</v>
      </c>
      <c r="H5817" s="354"/>
      <c r="I5817" s="354" t="s">
        <v>1253</v>
      </c>
      <c r="J5817" s="350" t="s">
        <v>153</v>
      </c>
      <c r="K5817" s="355"/>
      <c r="L5817" s="355">
        <f>K5816</f>
        <v>197692.30769230766</v>
      </c>
    </row>
    <row r="5818" spans="1:15" ht="11.25" customHeight="1" x14ac:dyDescent="0.2">
      <c r="A5818" s="210">
        <v>2024</v>
      </c>
      <c r="B5818" s="210">
        <v>10</v>
      </c>
      <c r="C5818" s="210">
        <v>9</v>
      </c>
      <c r="D5818" s="211">
        <f t="shared" si="586"/>
        <v>45574</v>
      </c>
      <c r="E5818" s="238">
        <f t="shared" si="588"/>
        <v>45574</v>
      </c>
      <c r="F5818" s="520" t="s">
        <v>1278</v>
      </c>
      <c r="G5818" s="213" t="s">
        <v>1245</v>
      </c>
      <c r="H5818" s="214"/>
      <c r="I5818" s="214" t="s">
        <v>1253</v>
      </c>
      <c r="J5818" s="210" t="s">
        <v>1529</v>
      </c>
      <c r="K5818" s="215">
        <v>510.40384615384613</v>
      </c>
      <c r="L5818" s="215"/>
    </row>
    <row r="5819" spans="1:15" ht="11.25" customHeight="1" x14ac:dyDescent="0.2">
      <c r="A5819" s="216">
        <v>2024</v>
      </c>
      <c r="B5819" s="216">
        <v>10</v>
      </c>
      <c r="C5819" s="216">
        <v>9</v>
      </c>
      <c r="D5819" s="217">
        <f t="shared" si="586"/>
        <v>45574</v>
      </c>
      <c r="E5819" s="239">
        <f t="shared" si="588"/>
        <v>45574</v>
      </c>
      <c r="F5819" s="521"/>
      <c r="G5819" s="219" t="s">
        <v>1245</v>
      </c>
      <c r="H5819" s="220"/>
      <c r="I5819" s="220" t="s">
        <v>1253</v>
      </c>
      <c r="J5819" s="216" t="s">
        <v>1581</v>
      </c>
      <c r="K5819" s="221"/>
      <c r="L5819" s="221">
        <v>510.40384615384613</v>
      </c>
    </row>
    <row r="5820" spans="1:15" ht="11.25" customHeight="1" x14ac:dyDescent="0.2">
      <c r="A5820" s="210">
        <v>2024</v>
      </c>
      <c r="B5820" s="210">
        <v>10</v>
      </c>
      <c r="C5820" s="210">
        <v>9</v>
      </c>
      <c r="D5820" s="211">
        <f t="shared" si="586"/>
        <v>45574</v>
      </c>
      <c r="E5820" s="238">
        <f t="shared" si="588"/>
        <v>45574</v>
      </c>
      <c r="F5820" s="520" t="s">
        <v>1857</v>
      </c>
      <c r="G5820" s="213" t="s">
        <v>1245</v>
      </c>
      <c r="H5820" s="214"/>
      <c r="I5820" s="214" t="s">
        <v>1253</v>
      </c>
      <c r="J5820" s="210" t="s">
        <v>1284</v>
      </c>
      <c r="K5820" s="215">
        <v>8903.4309440559427</v>
      </c>
      <c r="L5820" s="215"/>
    </row>
    <row r="5821" spans="1:15" ht="11.25" customHeight="1" x14ac:dyDescent="0.2">
      <c r="A5821" s="242">
        <v>2024</v>
      </c>
      <c r="B5821" s="242">
        <v>10</v>
      </c>
      <c r="C5821" s="242">
        <v>9</v>
      </c>
      <c r="D5821" s="243">
        <f t="shared" si="586"/>
        <v>45574</v>
      </c>
      <c r="E5821" s="244">
        <f>DATE(A5821,B5821,C5821)</f>
        <v>45574</v>
      </c>
      <c r="F5821" s="524"/>
      <c r="G5821" s="245" t="s">
        <v>1245</v>
      </c>
      <c r="H5821" s="246"/>
      <c r="I5821" s="246"/>
      <c r="J5821" s="242" t="s">
        <v>1582</v>
      </c>
      <c r="K5821" s="247"/>
      <c r="L5821" s="247">
        <v>8903.4309440559427</v>
      </c>
    </row>
    <row r="5822" spans="1:15" ht="11.25" customHeight="1" x14ac:dyDescent="0.2">
      <c r="A5822" s="210">
        <v>2024</v>
      </c>
      <c r="B5822" s="210">
        <v>10</v>
      </c>
      <c r="C5822" s="210">
        <v>9</v>
      </c>
      <c r="D5822" s="211">
        <f t="shared" si="586"/>
        <v>45574</v>
      </c>
      <c r="E5822" s="238">
        <f t="shared" ref="E5822:E5848" si="589">DATE(A5822,B5822,C5822)</f>
        <v>45574</v>
      </c>
      <c r="F5822" s="520" t="s">
        <v>1259</v>
      </c>
      <c r="G5822" s="213" t="s">
        <v>1245</v>
      </c>
      <c r="H5822" s="214"/>
      <c r="I5822" s="214" t="s">
        <v>1253</v>
      </c>
      <c r="J5822" s="210" t="s">
        <v>58</v>
      </c>
      <c r="K5822" s="215">
        <v>8336.7000000000007</v>
      </c>
      <c r="L5822" s="215"/>
    </row>
    <row r="5823" spans="1:15" ht="11.25" customHeight="1" x14ac:dyDescent="0.2">
      <c r="A5823" s="216">
        <v>2024</v>
      </c>
      <c r="B5823" s="216">
        <v>10</v>
      </c>
      <c r="C5823" s="216">
        <v>9</v>
      </c>
      <c r="D5823" s="217">
        <f t="shared" si="586"/>
        <v>45574</v>
      </c>
      <c r="E5823" s="239">
        <f t="shared" si="589"/>
        <v>45574</v>
      </c>
      <c r="F5823" s="521"/>
      <c r="G5823" s="219" t="s">
        <v>1245</v>
      </c>
      <c r="H5823" s="220"/>
      <c r="I5823" s="220" t="s">
        <v>1253</v>
      </c>
      <c r="J5823" s="216" t="s">
        <v>153</v>
      </c>
      <c r="K5823" s="221"/>
      <c r="L5823" s="221">
        <f>K5822</f>
        <v>8336.7000000000007</v>
      </c>
    </row>
    <row r="5824" spans="1:15" ht="11.25" customHeight="1" x14ac:dyDescent="0.2">
      <c r="A5824" s="312">
        <v>2024</v>
      </c>
      <c r="B5824" s="312">
        <v>10</v>
      </c>
      <c r="C5824" s="312">
        <v>9</v>
      </c>
      <c r="D5824" s="313">
        <f t="shared" si="586"/>
        <v>45574</v>
      </c>
      <c r="E5824" s="314">
        <f t="shared" si="589"/>
        <v>45574</v>
      </c>
      <c r="F5824" s="522" t="s">
        <v>1477</v>
      </c>
      <c r="G5824" s="315" t="s">
        <v>1245</v>
      </c>
      <c r="H5824" s="316"/>
      <c r="I5824" s="316" t="s">
        <v>1253</v>
      </c>
      <c r="J5824" s="312" t="s">
        <v>1460</v>
      </c>
      <c r="K5824" s="317">
        <v>119262.80000000447</v>
      </c>
      <c r="L5824" s="317"/>
    </row>
    <row r="5825" spans="1:15" ht="11.25" customHeight="1" x14ac:dyDescent="0.2">
      <c r="A5825" s="318">
        <v>2024</v>
      </c>
      <c r="B5825" s="318">
        <v>10</v>
      </c>
      <c r="C5825" s="318">
        <v>9</v>
      </c>
      <c r="D5825" s="319">
        <f t="shared" si="586"/>
        <v>45574</v>
      </c>
      <c r="E5825" s="320">
        <f t="shared" si="589"/>
        <v>45574</v>
      </c>
      <c r="F5825" s="523"/>
      <c r="G5825" s="321" t="s">
        <v>1245</v>
      </c>
      <c r="H5825" s="322"/>
      <c r="I5825" s="322" t="s">
        <v>1253</v>
      </c>
      <c r="J5825" s="318" t="s">
        <v>1458</v>
      </c>
      <c r="K5825" s="323"/>
      <c r="L5825" s="323">
        <f>K5824</f>
        <v>119262.80000000447</v>
      </c>
    </row>
    <row r="5826" spans="1:15" ht="11.25" customHeight="1" x14ac:dyDescent="0.2">
      <c r="A5826" s="312">
        <v>2024</v>
      </c>
      <c r="B5826" s="312">
        <v>10</v>
      </c>
      <c r="C5826" s="312">
        <v>9</v>
      </c>
      <c r="D5826" s="313">
        <f t="shared" si="586"/>
        <v>45574</v>
      </c>
      <c r="E5826" s="314">
        <f t="shared" si="589"/>
        <v>45574</v>
      </c>
      <c r="F5826" s="522" t="s">
        <v>1595</v>
      </c>
      <c r="G5826" s="315" t="s">
        <v>1245</v>
      </c>
      <c r="H5826" s="316"/>
      <c r="I5826" s="316" t="s">
        <v>1253</v>
      </c>
      <c r="J5826" s="312" t="s">
        <v>1461</v>
      </c>
      <c r="K5826" s="317">
        <v>598389.412999928</v>
      </c>
      <c r="L5826" s="317"/>
    </row>
    <row r="5827" spans="1:15" ht="11.25" customHeight="1" x14ac:dyDescent="0.2">
      <c r="A5827" s="318">
        <v>2024</v>
      </c>
      <c r="B5827" s="318">
        <v>10</v>
      </c>
      <c r="C5827" s="318">
        <v>9</v>
      </c>
      <c r="D5827" s="319">
        <f t="shared" si="586"/>
        <v>45574</v>
      </c>
      <c r="E5827" s="320">
        <f t="shared" si="589"/>
        <v>45574</v>
      </c>
      <c r="F5827" s="523"/>
      <c r="G5827" s="321" t="s">
        <v>1245</v>
      </c>
      <c r="H5827" s="322"/>
      <c r="I5827" s="322" t="s">
        <v>1253</v>
      </c>
      <c r="J5827" s="318" t="s">
        <v>1459</v>
      </c>
      <c r="K5827" s="323"/>
      <c r="L5827" s="323">
        <f>K5826</f>
        <v>598389.412999928</v>
      </c>
    </row>
    <row r="5828" spans="1:15" ht="11.25" customHeight="1" x14ac:dyDescent="0.2">
      <c r="A5828" s="222">
        <v>2024</v>
      </c>
      <c r="B5828" s="222">
        <v>10</v>
      </c>
      <c r="C5828" s="222">
        <v>9</v>
      </c>
      <c r="D5828" s="223">
        <f t="shared" si="586"/>
        <v>45574</v>
      </c>
      <c r="E5828" s="240">
        <f t="shared" si="589"/>
        <v>45574</v>
      </c>
      <c r="F5828" s="511" t="s">
        <v>1244</v>
      </c>
      <c r="G5828" s="225" t="s">
        <v>1245</v>
      </c>
      <c r="H5828" s="226"/>
      <c r="I5828" s="226" t="s">
        <v>1253</v>
      </c>
      <c r="J5828" s="222" t="s">
        <v>87</v>
      </c>
      <c r="K5828" s="227">
        <v>7845</v>
      </c>
      <c r="L5828" s="227"/>
    </row>
    <row r="5829" spans="1:15" ht="11.25" customHeight="1" x14ac:dyDescent="0.2">
      <c r="A5829" s="228">
        <v>2024</v>
      </c>
      <c r="B5829" s="228">
        <v>10</v>
      </c>
      <c r="C5829" s="228">
        <v>9</v>
      </c>
      <c r="D5829" s="229">
        <f t="shared" si="586"/>
        <v>45574</v>
      </c>
      <c r="E5829" s="241">
        <f t="shared" si="589"/>
        <v>45574</v>
      </c>
      <c r="F5829" s="512"/>
      <c r="G5829" s="231" t="s">
        <v>1245</v>
      </c>
      <c r="H5829" s="232"/>
      <c r="I5829" s="232" t="s">
        <v>1253</v>
      </c>
      <c r="J5829" s="228" t="s">
        <v>72</v>
      </c>
      <c r="K5829" s="233"/>
      <c r="L5829" s="233">
        <f>K5828</f>
        <v>7845</v>
      </c>
    </row>
    <row r="5830" spans="1:15" ht="11.25" customHeight="1" x14ac:dyDescent="0.2">
      <c r="A5830" s="222">
        <v>2024</v>
      </c>
      <c r="B5830" s="222">
        <v>10</v>
      </c>
      <c r="C5830" s="222">
        <v>9</v>
      </c>
      <c r="D5830" s="223">
        <f t="shared" si="586"/>
        <v>45574</v>
      </c>
      <c r="E5830" s="240">
        <f t="shared" si="589"/>
        <v>45574</v>
      </c>
      <c r="F5830" s="511" t="s">
        <v>1246</v>
      </c>
      <c r="G5830" s="225" t="s">
        <v>1245</v>
      </c>
      <c r="H5830" s="226"/>
      <c r="I5830" s="226" t="s">
        <v>1253</v>
      </c>
      <c r="J5830" s="222" t="s">
        <v>75</v>
      </c>
      <c r="K5830" s="227">
        <v>3623.123846153846</v>
      </c>
      <c r="L5830" s="227"/>
    </row>
    <row r="5831" spans="1:15" ht="11.25" customHeight="1" x14ac:dyDescent="0.2">
      <c r="A5831" s="228">
        <v>2024</v>
      </c>
      <c r="B5831" s="228">
        <v>10</v>
      </c>
      <c r="C5831" s="228">
        <v>9</v>
      </c>
      <c r="D5831" s="229">
        <f t="shared" si="586"/>
        <v>45574</v>
      </c>
      <c r="E5831" s="241">
        <f t="shared" si="589"/>
        <v>45574</v>
      </c>
      <c r="F5831" s="512"/>
      <c r="G5831" s="231" t="s">
        <v>1245</v>
      </c>
      <c r="H5831" s="232"/>
      <c r="I5831" s="232" t="s">
        <v>1253</v>
      </c>
      <c r="J5831" s="228" t="s">
        <v>55</v>
      </c>
      <c r="K5831" s="233"/>
      <c r="L5831" s="233">
        <v>3623.123846153846</v>
      </c>
    </row>
    <row r="5832" spans="1:15" ht="11.25" customHeight="1" x14ac:dyDescent="0.2">
      <c r="A5832" s="222">
        <v>2024</v>
      </c>
      <c r="B5832" s="222">
        <v>10</v>
      </c>
      <c r="C5832" s="222">
        <v>9</v>
      </c>
      <c r="D5832" s="223">
        <f t="shared" si="586"/>
        <v>45574</v>
      </c>
      <c r="E5832" s="240">
        <f t="shared" si="589"/>
        <v>45574</v>
      </c>
      <c r="F5832" s="511" t="s">
        <v>1247</v>
      </c>
      <c r="G5832" s="225" t="s">
        <v>1245</v>
      </c>
      <c r="H5832" s="226"/>
      <c r="I5832" s="226" t="s">
        <v>1253</v>
      </c>
      <c r="J5832" s="222" t="s">
        <v>77</v>
      </c>
      <c r="K5832" s="227">
        <f>M5832</f>
        <v>39939.473898021417</v>
      </c>
      <c r="L5832" s="227"/>
      <c r="M5832" s="120">
        <v>39939.473898021417</v>
      </c>
    </row>
    <row r="5833" spans="1:15" ht="11.25" customHeight="1" x14ac:dyDescent="0.2">
      <c r="A5833" s="228">
        <v>2024</v>
      </c>
      <c r="B5833" s="228">
        <v>10</v>
      </c>
      <c r="C5833" s="228">
        <v>9</v>
      </c>
      <c r="D5833" s="229">
        <f t="shared" si="586"/>
        <v>45574</v>
      </c>
      <c r="E5833" s="241">
        <f t="shared" si="589"/>
        <v>45574</v>
      </c>
      <c r="F5833" s="512"/>
      <c r="G5833" s="231" t="s">
        <v>1245</v>
      </c>
      <c r="H5833" s="232"/>
      <c r="I5833" s="232" t="s">
        <v>1253</v>
      </c>
      <c r="J5833" s="228" t="s">
        <v>41</v>
      </c>
      <c r="K5833" s="233"/>
      <c r="L5833" s="233">
        <f>K5832</f>
        <v>39939.473898021417</v>
      </c>
      <c r="M5833" s="120">
        <v>3993.9473898021415</v>
      </c>
    </row>
    <row r="5834" spans="1:15" ht="11.25" customHeight="1" x14ac:dyDescent="0.2">
      <c r="A5834" s="222">
        <v>2024</v>
      </c>
      <c r="B5834" s="222">
        <v>10</v>
      </c>
      <c r="C5834" s="222">
        <v>9</v>
      </c>
      <c r="D5834" s="223">
        <f t="shared" si="586"/>
        <v>45574</v>
      </c>
      <c r="E5834" s="240">
        <f t="shared" si="589"/>
        <v>45574</v>
      </c>
      <c r="F5834" s="511" t="s">
        <v>1248</v>
      </c>
      <c r="G5834" s="225" t="s">
        <v>1245</v>
      </c>
      <c r="H5834" s="226"/>
      <c r="I5834" s="226" t="s">
        <v>1253</v>
      </c>
      <c r="J5834" s="222" t="s">
        <v>80</v>
      </c>
      <c r="K5834" s="227">
        <f>M5833</f>
        <v>3993.9473898021415</v>
      </c>
      <c r="L5834" s="227"/>
    </row>
    <row r="5835" spans="1:15" x14ac:dyDescent="0.2">
      <c r="A5835" s="228">
        <v>2024</v>
      </c>
      <c r="B5835" s="228">
        <v>10</v>
      </c>
      <c r="C5835" s="228">
        <v>9</v>
      </c>
      <c r="D5835" s="229">
        <f t="shared" si="586"/>
        <v>45574</v>
      </c>
      <c r="E5835" s="241">
        <f t="shared" si="589"/>
        <v>45574</v>
      </c>
      <c r="F5835" s="512"/>
      <c r="G5835" s="231" t="s">
        <v>1245</v>
      </c>
      <c r="H5835" s="232"/>
      <c r="I5835" s="232" t="s">
        <v>1253</v>
      </c>
      <c r="J5835" s="228" t="s">
        <v>42</v>
      </c>
      <c r="K5835" s="233"/>
      <c r="L5835" s="233">
        <f>K5834</f>
        <v>3993.9473898021415</v>
      </c>
    </row>
    <row r="5836" spans="1:15" ht="11.25" customHeight="1" x14ac:dyDescent="0.2">
      <c r="A5836" s="197">
        <v>2024</v>
      </c>
      <c r="B5836" s="197">
        <v>10</v>
      </c>
      <c r="C5836" s="197">
        <v>14</v>
      </c>
      <c r="D5836" s="198">
        <f t="shared" si="586"/>
        <v>45579</v>
      </c>
      <c r="E5836" s="209">
        <f t="shared" si="589"/>
        <v>45579</v>
      </c>
      <c r="F5836" s="513" t="s">
        <v>1280</v>
      </c>
      <c r="G5836" s="200" t="s">
        <v>1209</v>
      </c>
      <c r="H5836" s="201"/>
      <c r="I5836" s="201" t="s">
        <v>524</v>
      </c>
      <c r="J5836" s="197" t="s">
        <v>16</v>
      </c>
      <c r="K5836" s="202">
        <v>173430</v>
      </c>
      <c r="L5836" s="202"/>
    </row>
    <row r="5837" spans="1:15" ht="11.25" customHeight="1" x14ac:dyDescent="0.2">
      <c r="A5837" s="120">
        <v>2024</v>
      </c>
      <c r="B5837" s="120">
        <v>10</v>
      </c>
      <c r="C5837" s="120">
        <v>14</v>
      </c>
      <c r="D5837" s="208">
        <f t="shared" si="586"/>
        <v>45579</v>
      </c>
      <c r="E5837" s="209">
        <f t="shared" si="589"/>
        <v>45579</v>
      </c>
      <c r="F5837" s="515"/>
      <c r="G5837" s="132" t="s">
        <v>1209</v>
      </c>
      <c r="I5837" s="128" t="s">
        <v>524</v>
      </c>
      <c r="J5837" s="120" t="s">
        <v>47</v>
      </c>
      <c r="K5837" s="207">
        <v>26570</v>
      </c>
      <c r="L5837" s="207"/>
    </row>
    <row r="5838" spans="1:15" ht="11.25" customHeight="1" x14ac:dyDescent="0.2">
      <c r="A5838" s="191">
        <v>2024</v>
      </c>
      <c r="B5838" s="191">
        <v>10</v>
      </c>
      <c r="C5838" s="191">
        <v>14</v>
      </c>
      <c r="D5838" s="192">
        <f t="shared" si="586"/>
        <v>45579</v>
      </c>
      <c r="E5838" s="193">
        <f t="shared" si="589"/>
        <v>45579</v>
      </c>
      <c r="F5838" s="514"/>
      <c r="G5838" s="194" t="s">
        <v>1209</v>
      </c>
      <c r="H5838" s="195"/>
      <c r="I5838" s="195" t="s">
        <v>524</v>
      </c>
      <c r="J5838" s="191" t="s">
        <v>46</v>
      </c>
      <c r="K5838" s="196"/>
      <c r="L5838" s="196">
        <v>200000</v>
      </c>
    </row>
    <row r="5839" spans="1:15" ht="11.25" customHeight="1" x14ac:dyDescent="0.2">
      <c r="A5839" s="197">
        <v>2024</v>
      </c>
      <c r="B5839" s="197">
        <v>10</v>
      </c>
      <c r="C5839" s="197">
        <v>14</v>
      </c>
      <c r="D5839" s="198">
        <f t="shared" si="586"/>
        <v>45579</v>
      </c>
      <c r="E5839" s="290">
        <f>DATE(A5839,B5839,C5839)</f>
        <v>45579</v>
      </c>
      <c r="F5839" s="513" t="s">
        <v>1514</v>
      </c>
      <c r="G5839" s="200" t="s">
        <v>1209</v>
      </c>
      <c r="H5839" s="201"/>
      <c r="I5839" s="201"/>
      <c r="J5839" s="197" t="s">
        <v>54</v>
      </c>
      <c r="K5839" s="202">
        <v>58</v>
      </c>
      <c r="L5839" s="202"/>
      <c r="M5839" s="251"/>
      <c r="N5839" s="251"/>
      <c r="O5839" s="251"/>
    </row>
    <row r="5840" spans="1:15" ht="11.25" customHeight="1" x14ac:dyDescent="0.2">
      <c r="A5840" s="191">
        <v>2024</v>
      </c>
      <c r="B5840" s="191">
        <v>10</v>
      </c>
      <c r="C5840" s="191">
        <v>14</v>
      </c>
      <c r="D5840" s="192">
        <f t="shared" si="586"/>
        <v>45579</v>
      </c>
      <c r="E5840" s="291">
        <f>DATE(A5840,B5840,C5840)</f>
        <v>45579</v>
      </c>
      <c r="F5840" s="514"/>
      <c r="G5840" s="194" t="s">
        <v>1209</v>
      </c>
      <c r="H5840" s="195"/>
      <c r="I5840" s="195"/>
      <c r="J5840" s="191" t="s">
        <v>46</v>
      </c>
      <c r="K5840" s="196"/>
      <c r="L5840" s="196">
        <v>58</v>
      </c>
      <c r="M5840" s="251"/>
      <c r="N5840" s="251"/>
      <c r="O5840" s="251"/>
    </row>
    <row r="5841" spans="1:14" ht="11.25" customHeight="1" x14ac:dyDescent="0.2">
      <c r="A5841" s="197">
        <v>2024</v>
      </c>
      <c r="B5841" s="197">
        <v>10</v>
      </c>
      <c r="C5841" s="197">
        <v>15</v>
      </c>
      <c r="D5841" s="198">
        <f t="shared" si="586"/>
        <v>45580</v>
      </c>
      <c r="E5841" s="209">
        <f t="shared" si="589"/>
        <v>45580</v>
      </c>
      <c r="F5841" s="513" t="s">
        <v>1296</v>
      </c>
      <c r="G5841" s="200" t="s">
        <v>1209</v>
      </c>
      <c r="H5841" s="201"/>
      <c r="I5841" s="201"/>
      <c r="J5841" s="197" t="s">
        <v>46</v>
      </c>
      <c r="K5841" s="202">
        <v>84000</v>
      </c>
      <c r="L5841" s="202"/>
    </row>
    <row r="5842" spans="1:14" ht="11.25" customHeight="1" x14ac:dyDescent="0.2">
      <c r="A5842" s="120">
        <v>2024</v>
      </c>
      <c r="B5842" s="120">
        <v>10</v>
      </c>
      <c r="C5842" s="120">
        <v>15</v>
      </c>
      <c r="D5842" s="208">
        <f t="shared" si="586"/>
        <v>45580</v>
      </c>
      <c r="E5842" s="209">
        <f t="shared" si="589"/>
        <v>45580</v>
      </c>
      <c r="F5842" s="515"/>
      <c r="G5842" s="132" t="s">
        <v>1209</v>
      </c>
      <c r="J5842" s="120" t="s">
        <v>16</v>
      </c>
      <c r="K5842" s="207"/>
      <c r="L5842" s="207">
        <v>72850</v>
      </c>
    </row>
    <row r="5843" spans="1:14" ht="11.25" customHeight="1" x14ac:dyDescent="0.2">
      <c r="A5843" s="191">
        <v>2024</v>
      </c>
      <c r="B5843" s="191">
        <v>10</v>
      </c>
      <c r="C5843" s="191">
        <v>15</v>
      </c>
      <c r="D5843" s="192">
        <f t="shared" si="586"/>
        <v>45580</v>
      </c>
      <c r="E5843" s="193">
        <f t="shared" si="589"/>
        <v>45580</v>
      </c>
      <c r="F5843" s="514"/>
      <c r="G5843" s="194" t="s">
        <v>1209</v>
      </c>
      <c r="H5843" s="195"/>
      <c r="I5843" s="195"/>
      <c r="J5843" s="191" t="s">
        <v>47</v>
      </c>
      <c r="K5843" s="196"/>
      <c r="L5843" s="196">
        <v>11150</v>
      </c>
    </row>
    <row r="5844" spans="1:14" ht="11.25" customHeight="1" x14ac:dyDescent="0.2">
      <c r="A5844" s="197">
        <v>2024</v>
      </c>
      <c r="B5844" s="197">
        <v>10</v>
      </c>
      <c r="C5844" s="197">
        <v>15</v>
      </c>
      <c r="D5844" s="198">
        <f t="shared" si="586"/>
        <v>45580</v>
      </c>
      <c r="E5844" s="209">
        <f t="shared" si="589"/>
        <v>45580</v>
      </c>
      <c r="F5844" s="513" t="s">
        <v>1210</v>
      </c>
      <c r="G5844" s="200" t="s">
        <v>1209</v>
      </c>
      <c r="H5844" s="201"/>
      <c r="I5844" s="201" t="s">
        <v>1597</v>
      </c>
      <c r="J5844" s="197" t="s">
        <v>46</v>
      </c>
      <c r="K5844" s="202">
        <v>343500</v>
      </c>
      <c r="L5844" s="202"/>
    </row>
    <row r="5845" spans="1:14" ht="11.25" customHeight="1" x14ac:dyDescent="0.2">
      <c r="A5845" s="120">
        <v>2024</v>
      </c>
      <c r="B5845" s="120">
        <v>10</v>
      </c>
      <c r="C5845" s="120">
        <v>15</v>
      </c>
      <c r="D5845" s="208">
        <f t="shared" si="586"/>
        <v>45580</v>
      </c>
      <c r="E5845" s="209">
        <f t="shared" si="589"/>
        <v>45580</v>
      </c>
      <c r="F5845" s="515"/>
      <c r="G5845" s="132" t="s">
        <v>1209</v>
      </c>
      <c r="I5845" s="128" t="s">
        <v>1597</v>
      </c>
      <c r="J5845" s="120" t="s">
        <v>16</v>
      </c>
      <c r="K5845" s="207"/>
      <c r="L5845" s="207">
        <v>297870</v>
      </c>
    </row>
    <row r="5846" spans="1:14" ht="11.25" customHeight="1" x14ac:dyDescent="0.2">
      <c r="A5846" s="191">
        <v>2024</v>
      </c>
      <c r="B5846" s="191">
        <v>10</v>
      </c>
      <c r="C5846" s="191">
        <v>15</v>
      </c>
      <c r="D5846" s="192">
        <f t="shared" si="586"/>
        <v>45580</v>
      </c>
      <c r="E5846" s="193">
        <f t="shared" si="589"/>
        <v>45580</v>
      </c>
      <c r="F5846" s="514"/>
      <c r="G5846" s="194" t="s">
        <v>1209</v>
      </c>
      <c r="H5846" s="195"/>
      <c r="I5846" s="195" t="s">
        <v>1597</v>
      </c>
      <c r="J5846" s="191" t="s">
        <v>47</v>
      </c>
      <c r="K5846" s="196"/>
      <c r="L5846" s="196">
        <v>45630</v>
      </c>
    </row>
    <row r="5847" spans="1:14" ht="11.25" customHeight="1" x14ac:dyDescent="0.2">
      <c r="A5847" s="197">
        <v>2024</v>
      </c>
      <c r="B5847" s="197">
        <v>10</v>
      </c>
      <c r="C5847" s="197">
        <v>15</v>
      </c>
      <c r="D5847" s="198">
        <f t="shared" si="586"/>
        <v>45580</v>
      </c>
      <c r="E5847" s="290">
        <f t="shared" si="589"/>
        <v>45580</v>
      </c>
      <c r="F5847" s="513" t="s">
        <v>1910</v>
      </c>
      <c r="G5847" s="200" t="s">
        <v>1209</v>
      </c>
      <c r="H5847" s="201"/>
      <c r="I5847" s="201" t="s">
        <v>1253</v>
      </c>
      <c r="J5847" s="197" t="s">
        <v>46</v>
      </c>
      <c r="K5847" s="202">
        <v>1996500</v>
      </c>
      <c r="L5847" s="202"/>
    </row>
    <row r="5848" spans="1:14" ht="11.25" customHeight="1" x14ac:dyDescent="0.2">
      <c r="A5848" s="120">
        <v>2024</v>
      </c>
      <c r="B5848" s="120">
        <v>10</v>
      </c>
      <c r="C5848" s="120">
        <v>15</v>
      </c>
      <c r="D5848" s="208">
        <f t="shared" si="586"/>
        <v>45580</v>
      </c>
      <c r="E5848" s="290">
        <f t="shared" si="589"/>
        <v>45580</v>
      </c>
      <c r="F5848" s="515"/>
      <c r="G5848" s="132" t="s">
        <v>1209</v>
      </c>
      <c r="J5848" s="120" t="s">
        <v>1845</v>
      </c>
      <c r="K5848" s="207"/>
      <c r="L5848" s="207">
        <v>1996500</v>
      </c>
    </row>
    <row r="5849" spans="1:14" ht="11.25" customHeight="1" x14ac:dyDescent="0.2">
      <c r="A5849" s="197">
        <v>2024</v>
      </c>
      <c r="B5849" s="197">
        <v>10</v>
      </c>
      <c r="C5849" s="197">
        <v>16</v>
      </c>
      <c r="D5849" s="198">
        <f t="shared" si="586"/>
        <v>45581</v>
      </c>
      <c r="E5849" s="209">
        <f t="shared" ref="E5849:E5859" si="590">DATE(A5849,B5849,C5849)</f>
        <v>45581</v>
      </c>
      <c r="F5849" s="513" t="s">
        <v>1210</v>
      </c>
      <c r="G5849" s="200" t="s">
        <v>1209</v>
      </c>
      <c r="H5849" s="201"/>
      <c r="I5849" s="201" t="s">
        <v>1911</v>
      </c>
      <c r="J5849" s="197" t="s">
        <v>46</v>
      </c>
      <c r="K5849" s="202">
        <v>300000</v>
      </c>
      <c r="L5849" s="202"/>
    </row>
    <row r="5850" spans="1:14" ht="11.25" customHeight="1" x14ac:dyDescent="0.2">
      <c r="A5850" s="120">
        <v>2024</v>
      </c>
      <c r="B5850" s="120">
        <v>10</v>
      </c>
      <c r="C5850" s="120">
        <v>16</v>
      </c>
      <c r="D5850" s="208">
        <f t="shared" si="586"/>
        <v>45581</v>
      </c>
      <c r="E5850" s="209">
        <f t="shared" si="590"/>
        <v>45581</v>
      </c>
      <c r="F5850" s="515"/>
      <c r="G5850" s="132" t="s">
        <v>1209</v>
      </c>
      <c r="I5850" s="128" t="s">
        <v>1911</v>
      </c>
      <c r="J5850" s="120" t="s">
        <v>16</v>
      </c>
      <c r="K5850" s="207"/>
      <c r="L5850" s="207">
        <v>260150</v>
      </c>
    </row>
    <row r="5851" spans="1:14" ht="11.25" customHeight="1" x14ac:dyDescent="0.2">
      <c r="A5851" s="191">
        <v>2024</v>
      </c>
      <c r="B5851" s="191">
        <v>10</v>
      </c>
      <c r="C5851" s="191">
        <v>16</v>
      </c>
      <c r="D5851" s="192">
        <f t="shared" si="586"/>
        <v>45581</v>
      </c>
      <c r="E5851" s="193">
        <f t="shared" si="590"/>
        <v>45581</v>
      </c>
      <c r="F5851" s="514"/>
      <c r="G5851" s="194" t="s">
        <v>1209</v>
      </c>
      <c r="H5851" s="195"/>
      <c r="I5851" s="195" t="s">
        <v>1911</v>
      </c>
      <c r="J5851" s="191" t="s">
        <v>47</v>
      </c>
      <c r="K5851" s="196"/>
      <c r="L5851" s="196">
        <v>39850</v>
      </c>
    </row>
    <row r="5852" spans="1:14" ht="11.25" customHeight="1" x14ac:dyDescent="0.2">
      <c r="A5852" s="197">
        <v>2024</v>
      </c>
      <c r="B5852" s="197">
        <v>10</v>
      </c>
      <c r="C5852" s="197">
        <v>16</v>
      </c>
      <c r="D5852" s="198">
        <f t="shared" si="586"/>
        <v>45581</v>
      </c>
      <c r="E5852" s="209">
        <f t="shared" si="590"/>
        <v>45581</v>
      </c>
      <c r="F5852" s="513" t="s">
        <v>1280</v>
      </c>
      <c r="G5852" s="200" t="s">
        <v>1209</v>
      </c>
      <c r="H5852" s="201"/>
      <c r="I5852" s="201" t="s">
        <v>1498</v>
      </c>
      <c r="J5852" s="197" t="s">
        <v>16</v>
      </c>
      <c r="K5852" s="202">
        <v>650800</v>
      </c>
      <c r="L5852" s="202"/>
    </row>
    <row r="5853" spans="1:14" ht="11.25" customHeight="1" x14ac:dyDescent="0.2">
      <c r="A5853" s="120">
        <v>2024</v>
      </c>
      <c r="B5853" s="120">
        <v>10</v>
      </c>
      <c r="C5853" s="120">
        <v>16</v>
      </c>
      <c r="D5853" s="208">
        <f t="shared" si="586"/>
        <v>45581</v>
      </c>
      <c r="E5853" s="209">
        <f t="shared" si="590"/>
        <v>45581</v>
      </c>
      <c r="F5853" s="515"/>
      <c r="G5853" s="132" t="s">
        <v>1209</v>
      </c>
      <c r="I5853" s="128" t="s">
        <v>1498</v>
      </c>
      <c r="J5853" s="120" t="s">
        <v>47</v>
      </c>
      <c r="K5853" s="207">
        <v>99702.560000000056</v>
      </c>
      <c r="L5853" s="207"/>
    </row>
    <row r="5854" spans="1:14" ht="11.25" customHeight="1" x14ac:dyDescent="0.2">
      <c r="A5854" s="191">
        <v>2024</v>
      </c>
      <c r="B5854" s="191">
        <v>10</v>
      </c>
      <c r="C5854" s="191">
        <v>16</v>
      </c>
      <c r="D5854" s="192">
        <f t="shared" si="586"/>
        <v>45581</v>
      </c>
      <c r="E5854" s="193">
        <f t="shared" si="590"/>
        <v>45581</v>
      </c>
      <c r="F5854" s="514"/>
      <c r="G5854" s="194" t="s">
        <v>1209</v>
      </c>
      <c r="H5854" s="195"/>
      <c r="I5854" s="195" t="s">
        <v>1498</v>
      </c>
      <c r="J5854" s="191" t="s">
        <v>46</v>
      </c>
      <c r="K5854" s="196"/>
      <c r="L5854" s="196">
        <v>750502.56</v>
      </c>
    </row>
    <row r="5855" spans="1:14" ht="11.25" customHeight="1" x14ac:dyDescent="0.2">
      <c r="A5855" s="197">
        <v>2024</v>
      </c>
      <c r="B5855" s="197">
        <v>10</v>
      </c>
      <c r="C5855" s="197">
        <v>16</v>
      </c>
      <c r="D5855" s="198">
        <f t="shared" si="586"/>
        <v>45581</v>
      </c>
      <c r="E5855" s="199">
        <f t="shared" si="590"/>
        <v>45581</v>
      </c>
      <c r="F5855" s="513" t="s">
        <v>1913</v>
      </c>
      <c r="G5855" s="200" t="s">
        <v>1209</v>
      </c>
      <c r="H5855" s="201"/>
      <c r="I5855" s="201" t="s">
        <v>1253</v>
      </c>
      <c r="J5855" s="197" t="s">
        <v>1837</v>
      </c>
      <c r="K5855" s="202">
        <v>1797560.12</v>
      </c>
      <c r="L5855" s="202"/>
    </row>
    <row r="5856" spans="1:14" ht="11.25" customHeight="1" x14ac:dyDescent="0.2">
      <c r="A5856" s="191">
        <v>2024</v>
      </c>
      <c r="B5856" s="191">
        <v>10</v>
      </c>
      <c r="C5856" s="191">
        <v>16</v>
      </c>
      <c r="D5856" s="192">
        <f t="shared" si="586"/>
        <v>45581</v>
      </c>
      <c r="E5856" s="193">
        <f t="shared" si="590"/>
        <v>45581</v>
      </c>
      <c r="F5856" s="514"/>
      <c r="G5856" s="194" t="s">
        <v>1209</v>
      </c>
      <c r="H5856" s="195"/>
      <c r="I5856" s="195" t="s">
        <v>1253</v>
      </c>
      <c r="J5856" s="191" t="s">
        <v>46</v>
      </c>
      <c r="K5856" s="196"/>
      <c r="L5856" s="196">
        <v>1797560.12</v>
      </c>
      <c r="N5856" s="130"/>
    </row>
    <row r="5857" spans="1:15" ht="22.5" x14ac:dyDescent="0.2">
      <c r="A5857" s="197">
        <v>2024</v>
      </c>
      <c r="B5857" s="197">
        <v>10</v>
      </c>
      <c r="C5857" s="197">
        <v>16</v>
      </c>
      <c r="D5857" s="198">
        <f t="shared" si="586"/>
        <v>45581</v>
      </c>
      <c r="E5857" s="209">
        <f t="shared" si="590"/>
        <v>45581</v>
      </c>
      <c r="F5857" s="513" t="s">
        <v>1210</v>
      </c>
      <c r="G5857" s="200" t="s">
        <v>1209</v>
      </c>
      <c r="H5857" s="201"/>
      <c r="I5857" s="201" t="s">
        <v>1597</v>
      </c>
      <c r="J5857" s="197" t="s">
        <v>46</v>
      </c>
      <c r="K5857" s="202">
        <v>1082586</v>
      </c>
      <c r="L5857" s="202"/>
    </row>
    <row r="5858" spans="1:15" ht="22.5" x14ac:dyDescent="0.2">
      <c r="A5858" s="120">
        <v>2024</v>
      </c>
      <c r="B5858" s="120">
        <v>10</v>
      </c>
      <c r="C5858" s="120">
        <v>16</v>
      </c>
      <c r="D5858" s="208">
        <f t="shared" si="586"/>
        <v>45581</v>
      </c>
      <c r="E5858" s="209">
        <f t="shared" si="590"/>
        <v>45581</v>
      </c>
      <c r="F5858" s="515"/>
      <c r="G5858" s="132" t="s">
        <v>1209</v>
      </c>
      <c r="I5858" s="128" t="s">
        <v>1597</v>
      </c>
      <c r="J5858" s="120" t="s">
        <v>16</v>
      </c>
      <c r="K5858" s="207"/>
      <c r="L5858" s="207">
        <v>938770</v>
      </c>
    </row>
    <row r="5859" spans="1:15" ht="22.5" x14ac:dyDescent="0.2">
      <c r="A5859" s="191">
        <v>2024</v>
      </c>
      <c r="B5859" s="191">
        <v>10</v>
      </c>
      <c r="C5859" s="191">
        <v>16</v>
      </c>
      <c r="D5859" s="192">
        <f t="shared" si="586"/>
        <v>45581</v>
      </c>
      <c r="E5859" s="193">
        <f t="shared" si="590"/>
        <v>45581</v>
      </c>
      <c r="F5859" s="514"/>
      <c r="G5859" s="194" t="s">
        <v>1209</v>
      </c>
      <c r="H5859" s="195"/>
      <c r="I5859" s="195" t="s">
        <v>1597</v>
      </c>
      <c r="J5859" s="191" t="s">
        <v>47</v>
      </c>
      <c r="K5859" s="196"/>
      <c r="L5859" s="196">
        <v>143816</v>
      </c>
    </row>
    <row r="5860" spans="1:15" ht="22.5" x14ac:dyDescent="0.2">
      <c r="A5860" s="197">
        <v>2024</v>
      </c>
      <c r="B5860" s="197">
        <v>10</v>
      </c>
      <c r="C5860" s="197">
        <v>16</v>
      </c>
      <c r="D5860" s="198">
        <f t="shared" si="586"/>
        <v>45581</v>
      </c>
      <c r="E5860" s="209">
        <f t="shared" ref="E5860:E5862" si="591">DATE(A5860,B5860,C5860)</f>
        <v>45581</v>
      </c>
      <c r="F5860" s="513" t="s">
        <v>1210</v>
      </c>
      <c r="G5860" s="200" t="s">
        <v>1209</v>
      </c>
      <c r="H5860" s="201"/>
      <c r="I5860" s="201" t="s">
        <v>396</v>
      </c>
      <c r="J5860" s="197" t="s">
        <v>46</v>
      </c>
      <c r="K5860" s="202">
        <v>150000</v>
      </c>
      <c r="L5860" s="202"/>
    </row>
    <row r="5861" spans="1:15" ht="22.5" x14ac:dyDescent="0.2">
      <c r="A5861" s="120">
        <v>2024</v>
      </c>
      <c r="B5861" s="120">
        <v>10</v>
      </c>
      <c r="C5861" s="120">
        <v>16</v>
      </c>
      <c r="D5861" s="208">
        <f t="shared" si="586"/>
        <v>45581</v>
      </c>
      <c r="E5861" s="209">
        <f t="shared" si="591"/>
        <v>45581</v>
      </c>
      <c r="F5861" s="515"/>
      <c r="G5861" s="132" t="s">
        <v>1209</v>
      </c>
      <c r="I5861" s="128" t="s">
        <v>396</v>
      </c>
      <c r="J5861" s="120" t="s">
        <v>16</v>
      </c>
      <c r="K5861" s="207"/>
      <c r="L5861" s="207">
        <v>130070</v>
      </c>
    </row>
    <row r="5862" spans="1:15" ht="22.5" x14ac:dyDescent="0.2">
      <c r="A5862" s="191">
        <v>2024</v>
      </c>
      <c r="B5862" s="191">
        <v>10</v>
      </c>
      <c r="C5862" s="191">
        <v>16</v>
      </c>
      <c r="D5862" s="192">
        <f t="shared" si="586"/>
        <v>45581</v>
      </c>
      <c r="E5862" s="193">
        <f t="shared" si="591"/>
        <v>45581</v>
      </c>
      <c r="F5862" s="514"/>
      <c r="G5862" s="194" t="s">
        <v>1209</v>
      </c>
      <c r="H5862" s="195"/>
      <c r="I5862" s="195" t="s">
        <v>396</v>
      </c>
      <c r="J5862" s="191" t="s">
        <v>47</v>
      </c>
      <c r="K5862" s="196"/>
      <c r="L5862" s="196">
        <v>19930</v>
      </c>
    </row>
    <row r="5863" spans="1:15" ht="22.5" x14ac:dyDescent="0.2">
      <c r="A5863" s="197">
        <v>2024</v>
      </c>
      <c r="B5863" s="197">
        <v>10</v>
      </c>
      <c r="C5863" s="197">
        <v>16</v>
      </c>
      <c r="D5863" s="198">
        <f t="shared" si="586"/>
        <v>45581</v>
      </c>
      <c r="E5863" s="209">
        <f t="shared" ref="E5863:E5868" si="592">DATE(A5863,B5863,C5863)</f>
        <v>45581</v>
      </c>
      <c r="F5863" s="513" t="s">
        <v>1210</v>
      </c>
      <c r="G5863" s="200" t="s">
        <v>1209</v>
      </c>
      <c r="H5863" s="201"/>
      <c r="I5863" s="201" t="s">
        <v>1503</v>
      </c>
      <c r="J5863" s="197" t="s">
        <v>46</v>
      </c>
      <c r="K5863" s="202">
        <v>5000000</v>
      </c>
      <c r="L5863" s="202"/>
    </row>
    <row r="5864" spans="1:15" ht="22.5" x14ac:dyDescent="0.2">
      <c r="A5864" s="120">
        <v>2024</v>
      </c>
      <c r="B5864" s="120">
        <v>10</v>
      </c>
      <c r="C5864" s="120">
        <v>16</v>
      </c>
      <c r="D5864" s="208">
        <f t="shared" si="586"/>
        <v>45581</v>
      </c>
      <c r="E5864" s="209">
        <f t="shared" si="592"/>
        <v>45581</v>
      </c>
      <c r="F5864" s="515"/>
      <c r="G5864" s="132" t="s">
        <v>1209</v>
      </c>
      <c r="I5864" s="128" t="s">
        <v>1503</v>
      </c>
      <c r="J5864" s="120" t="s">
        <v>16</v>
      </c>
      <c r="K5864" s="207"/>
      <c r="L5864" s="207">
        <v>4335760</v>
      </c>
    </row>
    <row r="5865" spans="1:15" ht="22.5" x14ac:dyDescent="0.2">
      <c r="A5865" s="191">
        <v>2024</v>
      </c>
      <c r="B5865" s="191">
        <v>10</v>
      </c>
      <c r="C5865" s="191">
        <v>16</v>
      </c>
      <c r="D5865" s="192">
        <f t="shared" si="586"/>
        <v>45581</v>
      </c>
      <c r="E5865" s="193">
        <f t="shared" si="592"/>
        <v>45581</v>
      </c>
      <c r="F5865" s="514"/>
      <c r="G5865" s="194" t="s">
        <v>1209</v>
      </c>
      <c r="H5865" s="195"/>
      <c r="I5865" s="195" t="s">
        <v>1503</v>
      </c>
      <c r="J5865" s="191" t="s">
        <v>47</v>
      </c>
      <c r="K5865" s="196"/>
      <c r="L5865" s="196">
        <v>664240</v>
      </c>
    </row>
    <row r="5866" spans="1:15" ht="11.25" customHeight="1" x14ac:dyDescent="0.2">
      <c r="A5866" s="197">
        <v>2024</v>
      </c>
      <c r="B5866" s="197">
        <v>10</v>
      </c>
      <c r="C5866" s="197">
        <v>16</v>
      </c>
      <c r="D5866" s="198">
        <f t="shared" si="586"/>
        <v>45581</v>
      </c>
      <c r="E5866" s="209">
        <f t="shared" si="592"/>
        <v>45581</v>
      </c>
      <c r="F5866" s="513" t="s">
        <v>1423</v>
      </c>
      <c r="G5866" s="200" t="s">
        <v>1209</v>
      </c>
      <c r="H5866" s="201"/>
      <c r="I5866" s="201" t="s">
        <v>652</v>
      </c>
      <c r="J5866" s="197" t="s">
        <v>16</v>
      </c>
      <c r="K5866" s="202">
        <v>13010</v>
      </c>
      <c r="L5866" s="202"/>
    </row>
    <row r="5867" spans="1:15" ht="11.25" customHeight="1" x14ac:dyDescent="0.2">
      <c r="A5867" s="120">
        <v>2024</v>
      </c>
      <c r="B5867" s="120">
        <v>10</v>
      </c>
      <c r="C5867" s="120">
        <v>16</v>
      </c>
      <c r="D5867" s="208">
        <f t="shared" si="586"/>
        <v>45581</v>
      </c>
      <c r="E5867" s="209">
        <f t="shared" si="592"/>
        <v>45581</v>
      </c>
      <c r="F5867" s="515"/>
      <c r="G5867" s="132" t="s">
        <v>1209</v>
      </c>
      <c r="I5867" s="128" t="s">
        <v>652</v>
      </c>
      <c r="J5867" s="120" t="s">
        <v>47</v>
      </c>
      <c r="K5867" s="207">
        <v>1990</v>
      </c>
      <c r="L5867" s="207"/>
    </row>
    <row r="5868" spans="1:15" ht="11.25" customHeight="1" x14ac:dyDescent="0.2">
      <c r="A5868" s="191">
        <v>2024</v>
      </c>
      <c r="B5868" s="191">
        <v>10</v>
      </c>
      <c r="C5868" s="191">
        <v>16</v>
      </c>
      <c r="D5868" s="192">
        <f t="shared" ref="D5868:D5931" si="593">DATE(A5868,B5868,C5868)</f>
        <v>45581</v>
      </c>
      <c r="E5868" s="193">
        <f t="shared" si="592"/>
        <v>45581</v>
      </c>
      <c r="F5868" s="514"/>
      <c r="G5868" s="194" t="s">
        <v>1209</v>
      </c>
      <c r="H5868" s="195"/>
      <c r="I5868" s="195" t="s">
        <v>652</v>
      </c>
      <c r="J5868" s="191" t="s">
        <v>46</v>
      </c>
      <c r="K5868" s="196"/>
      <c r="L5868" s="196">
        <v>15000</v>
      </c>
    </row>
    <row r="5869" spans="1:15" ht="11.25" customHeight="1" x14ac:dyDescent="0.2">
      <c r="A5869" s="197">
        <v>2024</v>
      </c>
      <c r="B5869" s="197">
        <v>10</v>
      </c>
      <c r="C5869" s="197">
        <v>16</v>
      </c>
      <c r="D5869" s="198">
        <f t="shared" si="593"/>
        <v>45581</v>
      </c>
      <c r="E5869" s="290">
        <f>DATE(A5869,B5869,C5869)</f>
        <v>45581</v>
      </c>
      <c r="F5869" s="513" t="s">
        <v>1514</v>
      </c>
      <c r="G5869" s="200" t="s">
        <v>1209</v>
      </c>
      <c r="H5869" s="201"/>
      <c r="I5869" s="201"/>
      <c r="J5869" s="197" t="s">
        <v>54</v>
      </c>
      <c r="K5869" s="202">
        <v>25</v>
      </c>
      <c r="L5869" s="202"/>
      <c r="M5869" s="251"/>
      <c r="N5869" s="251"/>
      <c r="O5869" s="251"/>
    </row>
    <row r="5870" spans="1:15" ht="11.25" customHeight="1" x14ac:dyDescent="0.2">
      <c r="A5870" s="191">
        <v>2024</v>
      </c>
      <c r="B5870" s="191">
        <v>10</v>
      </c>
      <c r="C5870" s="191">
        <v>16</v>
      </c>
      <c r="D5870" s="192">
        <f t="shared" si="593"/>
        <v>45581</v>
      </c>
      <c r="E5870" s="291">
        <f>DATE(A5870,B5870,C5870)</f>
        <v>45581</v>
      </c>
      <c r="F5870" s="514"/>
      <c r="G5870" s="194" t="s">
        <v>1209</v>
      </c>
      <c r="H5870" s="195"/>
      <c r="I5870" s="195"/>
      <c r="J5870" s="191" t="s">
        <v>46</v>
      </c>
      <c r="K5870" s="196"/>
      <c r="L5870" s="196">
        <v>25</v>
      </c>
      <c r="M5870" s="251"/>
      <c r="N5870" s="251"/>
      <c r="O5870" s="251"/>
    </row>
    <row r="5871" spans="1:15" ht="11.25" customHeight="1" x14ac:dyDescent="0.2">
      <c r="A5871" s="197">
        <v>2024</v>
      </c>
      <c r="B5871" s="197">
        <v>10</v>
      </c>
      <c r="C5871" s="197">
        <v>16</v>
      </c>
      <c r="D5871" s="198">
        <f t="shared" si="593"/>
        <v>45581</v>
      </c>
      <c r="E5871" s="290">
        <f>DATE(A5871,B5871,C5871)</f>
        <v>45581</v>
      </c>
      <c r="F5871" s="513" t="s">
        <v>1527</v>
      </c>
      <c r="G5871" s="200" t="s">
        <v>1209</v>
      </c>
      <c r="H5871" s="201"/>
      <c r="I5871" s="201"/>
      <c r="J5871" s="197" t="s">
        <v>54</v>
      </c>
      <c r="K5871" s="202">
        <v>60</v>
      </c>
      <c r="L5871" s="202"/>
      <c r="M5871" s="251"/>
      <c r="N5871" s="251"/>
      <c r="O5871" s="251"/>
    </row>
    <row r="5872" spans="1:15" ht="11.25" customHeight="1" x14ac:dyDescent="0.2">
      <c r="A5872" s="191">
        <v>2024</v>
      </c>
      <c r="B5872" s="191">
        <v>10</v>
      </c>
      <c r="C5872" s="191">
        <v>16</v>
      </c>
      <c r="D5872" s="192">
        <f t="shared" si="593"/>
        <v>45581</v>
      </c>
      <c r="E5872" s="291">
        <f>DATE(A5872,B5872,C5872)</f>
        <v>45581</v>
      </c>
      <c r="F5872" s="514"/>
      <c r="G5872" s="194" t="s">
        <v>1209</v>
      </c>
      <c r="H5872" s="195"/>
      <c r="I5872" s="195"/>
      <c r="J5872" s="191" t="s">
        <v>46</v>
      </c>
      <c r="K5872" s="196"/>
      <c r="L5872" s="196">
        <v>60</v>
      </c>
      <c r="M5872" s="251"/>
      <c r="N5872" s="251"/>
      <c r="O5872" s="251"/>
    </row>
    <row r="5873" spans="1:14" ht="22.5" x14ac:dyDescent="0.2">
      <c r="A5873" s="197">
        <v>2024</v>
      </c>
      <c r="B5873" s="197">
        <v>10</v>
      </c>
      <c r="C5873" s="197">
        <v>17</v>
      </c>
      <c r="D5873" s="198">
        <f t="shared" si="593"/>
        <v>45582</v>
      </c>
      <c r="E5873" s="209">
        <f t="shared" ref="E5873:E5877" si="594">DATE(A5873,B5873,C5873)</f>
        <v>45582</v>
      </c>
      <c r="F5873" s="513" t="s">
        <v>1210</v>
      </c>
      <c r="G5873" s="200" t="s">
        <v>1209</v>
      </c>
      <c r="H5873" s="201"/>
      <c r="I5873" s="201" t="s">
        <v>1597</v>
      </c>
      <c r="J5873" s="197" t="s">
        <v>46</v>
      </c>
      <c r="K5873" s="202">
        <v>200000</v>
      </c>
      <c r="L5873" s="202"/>
    </row>
    <row r="5874" spans="1:14" ht="22.5" x14ac:dyDescent="0.2">
      <c r="A5874" s="120">
        <v>2024</v>
      </c>
      <c r="B5874" s="120">
        <v>10</v>
      </c>
      <c r="C5874" s="120">
        <v>17</v>
      </c>
      <c r="D5874" s="208">
        <f t="shared" si="593"/>
        <v>45582</v>
      </c>
      <c r="E5874" s="209">
        <f t="shared" si="594"/>
        <v>45582</v>
      </c>
      <c r="F5874" s="515"/>
      <c r="G5874" s="132" t="s">
        <v>1209</v>
      </c>
      <c r="I5874" s="128" t="s">
        <v>1597</v>
      </c>
      <c r="J5874" s="120" t="s">
        <v>16</v>
      </c>
      <c r="K5874" s="207"/>
      <c r="L5874" s="207">
        <v>173430</v>
      </c>
    </row>
    <row r="5875" spans="1:14" ht="22.5" x14ac:dyDescent="0.2">
      <c r="A5875" s="191">
        <v>2024</v>
      </c>
      <c r="B5875" s="191">
        <v>10</v>
      </c>
      <c r="C5875" s="191">
        <v>17</v>
      </c>
      <c r="D5875" s="192">
        <f t="shared" si="593"/>
        <v>45582</v>
      </c>
      <c r="E5875" s="193">
        <f t="shared" si="594"/>
        <v>45582</v>
      </c>
      <c r="F5875" s="514"/>
      <c r="G5875" s="194" t="s">
        <v>1209</v>
      </c>
      <c r="H5875" s="195"/>
      <c r="I5875" s="195" t="s">
        <v>1597</v>
      </c>
      <c r="J5875" s="191" t="s">
        <v>47</v>
      </c>
      <c r="K5875" s="196"/>
      <c r="L5875" s="196">
        <v>26570</v>
      </c>
    </row>
    <row r="5876" spans="1:14" ht="11.25" customHeight="1" x14ac:dyDescent="0.2">
      <c r="A5876" s="197">
        <v>2024</v>
      </c>
      <c r="B5876" s="197">
        <v>10</v>
      </c>
      <c r="C5876" s="197">
        <v>17</v>
      </c>
      <c r="D5876" s="198">
        <f t="shared" si="593"/>
        <v>45582</v>
      </c>
      <c r="E5876" s="290">
        <f t="shared" si="594"/>
        <v>45582</v>
      </c>
      <c r="F5876" s="513" t="s">
        <v>1912</v>
      </c>
      <c r="G5876" s="200" t="s">
        <v>1209</v>
      </c>
      <c r="H5876" s="201"/>
      <c r="I5876" s="201" t="s">
        <v>1253</v>
      </c>
      <c r="J5876" s="197" t="s">
        <v>46</v>
      </c>
      <c r="K5876" s="202">
        <v>1816425</v>
      </c>
      <c r="L5876" s="202"/>
    </row>
    <row r="5877" spans="1:14" ht="11.25" customHeight="1" x14ac:dyDescent="0.2">
      <c r="A5877" s="191">
        <v>2024</v>
      </c>
      <c r="B5877" s="191">
        <v>10</v>
      </c>
      <c r="C5877" s="191">
        <v>17</v>
      </c>
      <c r="D5877" s="192">
        <f t="shared" si="593"/>
        <v>45582</v>
      </c>
      <c r="E5877" s="290">
        <f t="shared" si="594"/>
        <v>45582</v>
      </c>
      <c r="F5877" s="514"/>
      <c r="G5877" s="194" t="s">
        <v>1209</v>
      </c>
      <c r="H5877" s="195"/>
      <c r="I5877" s="195"/>
      <c r="J5877" s="191" t="s">
        <v>1845</v>
      </c>
      <c r="K5877" s="196"/>
      <c r="L5877" s="196">
        <v>1816425</v>
      </c>
    </row>
    <row r="5878" spans="1:14" ht="11.25" customHeight="1" x14ac:dyDescent="0.2">
      <c r="A5878" s="197">
        <v>2024</v>
      </c>
      <c r="B5878" s="197">
        <v>10</v>
      </c>
      <c r="C5878" s="197">
        <v>17</v>
      </c>
      <c r="D5878" s="198">
        <f t="shared" si="593"/>
        <v>45582</v>
      </c>
      <c r="E5878" s="209">
        <f t="shared" ref="E5878:E5882" si="595">DATE(A5878,B5878,C5878)</f>
        <v>45582</v>
      </c>
      <c r="F5878" s="513" t="s">
        <v>1423</v>
      </c>
      <c r="G5878" s="200" t="s">
        <v>1209</v>
      </c>
      <c r="H5878" s="201"/>
      <c r="I5878" s="201" t="s">
        <v>1596</v>
      </c>
      <c r="J5878" s="197" t="s">
        <v>16</v>
      </c>
      <c r="K5878" s="202">
        <v>870</v>
      </c>
      <c r="L5878" s="202"/>
    </row>
    <row r="5879" spans="1:14" ht="11.25" customHeight="1" x14ac:dyDescent="0.2">
      <c r="A5879" s="120">
        <v>2024</v>
      </c>
      <c r="B5879" s="120">
        <v>10</v>
      </c>
      <c r="C5879" s="120">
        <v>17</v>
      </c>
      <c r="D5879" s="208">
        <f t="shared" si="593"/>
        <v>45582</v>
      </c>
      <c r="E5879" s="209">
        <f t="shared" si="595"/>
        <v>45582</v>
      </c>
      <c r="F5879" s="515"/>
      <c r="G5879" s="132" t="s">
        <v>1209</v>
      </c>
      <c r="I5879" s="128" t="s">
        <v>1596</v>
      </c>
      <c r="J5879" s="120" t="s">
        <v>47</v>
      </c>
      <c r="K5879" s="207">
        <v>130</v>
      </c>
      <c r="L5879" s="207"/>
    </row>
    <row r="5880" spans="1:14" ht="11.25" customHeight="1" x14ac:dyDescent="0.2">
      <c r="A5880" s="191">
        <v>2024</v>
      </c>
      <c r="B5880" s="191">
        <v>10</v>
      </c>
      <c r="C5880" s="191">
        <v>17</v>
      </c>
      <c r="D5880" s="192">
        <f t="shared" si="593"/>
        <v>45582</v>
      </c>
      <c r="E5880" s="193">
        <f t="shared" si="595"/>
        <v>45582</v>
      </c>
      <c r="F5880" s="514"/>
      <c r="G5880" s="194" t="s">
        <v>1209</v>
      </c>
      <c r="H5880" s="195"/>
      <c r="I5880" s="195" t="s">
        <v>1596</v>
      </c>
      <c r="J5880" s="191" t="s">
        <v>46</v>
      </c>
      <c r="K5880" s="196"/>
      <c r="L5880" s="196">
        <v>1000</v>
      </c>
    </row>
    <row r="5881" spans="1:14" ht="11.25" customHeight="1" x14ac:dyDescent="0.2">
      <c r="A5881" s="197">
        <v>2024</v>
      </c>
      <c r="B5881" s="197">
        <v>10</v>
      </c>
      <c r="C5881" s="197">
        <v>17</v>
      </c>
      <c r="D5881" s="198">
        <f t="shared" si="593"/>
        <v>45582</v>
      </c>
      <c r="E5881" s="199">
        <f t="shared" si="595"/>
        <v>45582</v>
      </c>
      <c r="F5881" s="513" t="s">
        <v>1864</v>
      </c>
      <c r="G5881" s="200" t="s">
        <v>1209</v>
      </c>
      <c r="H5881" s="201"/>
      <c r="I5881" s="201" t="s">
        <v>1253</v>
      </c>
      <c r="J5881" s="197" t="s">
        <v>1837</v>
      </c>
      <c r="K5881" s="202">
        <v>6332411.4749999996</v>
      </c>
      <c r="L5881" s="202"/>
    </row>
    <row r="5882" spans="1:14" ht="11.25" customHeight="1" x14ac:dyDescent="0.2">
      <c r="A5882" s="191">
        <v>2024</v>
      </c>
      <c r="B5882" s="191">
        <v>10</v>
      </c>
      <c r="C5882" s="191">
        <v>17</v>
      </c>
      <c r="D5882" s="192">
        <f t="shared" si="593"/>
        <v>45582</v>
      </c>
      <c r="E5882" s="193">
        <f t="shared" si="595"/>
        <v>45582</v>
      </c>
      <c r="F5882" s="514"/>
      <c r="G5882" s="194" t="s">
        <v>1209</v>
      </c>
      <c r="H5882" s="195"/>
      <c r="I5882" s="195" t="s">
        <v>1253</v>
      </c>
      <c r="J5882" s="191" t="s">
        <v>46</v>
      </c>
      <c r="K5882" s="196"/>
      <c r="L5882" s="196">
        <v>6332411.4749999996</v>
      </c>
      <c r="N5882" s="130"/>
    </row>
    <row r="5883" spans="1:14" ht="11.25" customHeight="1" x14ac:dyDescent="0.2">
      <c r="A5883" s="197">
        <v>2024</v>
      </c>
      <c r="B5883" s="197">
        <v>10</v>
      </c>
      <c r="C5883" s="197">
        <v>17</v>
      </c>
      <c r="D5883" s="198">
        <f t="shared" si="593"/>
        <v>45582</v>
      </c>
      <c r="E5883" s="290">
        <f>DATE(A5883,B5883,C5883)</f>
        <v>45582</v>
      </c>
      <c r="F5883" s="513" t="s">
        <v>1909</v>
      </c>
      <c r="G5883" s="200" t="s">
        <v>1209</v>
      </c>
      <c r="H5883" s="201"/>
      <c r="I5883" s="201" t="s">
        <v>1253</v>
      </c>
      <c r="J5883" s="197" t="s">
        <v>173</v>
      </c>
      <c r="K5883" s="202">
        <v>40000.199999999997</v>
      </c>
      <c r="L5883" s="202"/>
    </row>
    <row r="5884" spans="1:14" ht="11.25" customHeight="1" x14ac:dyDescent="0.2">
      <c r="A5884" s="191">
        <v>2024</v>
      </c>
      <c r="B5884" s="191">
        <v>10</v>
      </c>
      <c r="C5884" s="191">
        <v>17</v>
      </c>
      <c r="D5884" s="192">
        <f t="shared" si="593"/>
        <v>45582</v>
      </c>
      <c r="E5884" s="291">
        <f t="shared" ref="E5884:E5887" si="596">DATE(A5884,B5884,C5884)</f>
        <v>45582</v>
      </c>
      <c r="F5884" s="514"/>
      <c r="G5884" s="194" t="s">
        <v>1209</v>
      </c>
      <c r="H5884" s="195"/>
      <c r="I5884" s="195"/>
      <c r="J5884" s="191" t="s">
        <v>43</v>
      </c>
      <c r="K5884" s="196"/>
      <c r="L5884" s="196">
        <v>40000.199999999997</v>
      </c>
    </row>
    <row r="5885" spans="1:14" ht="22.5" x14ac:dyDescent="0.2">
      <c r="A5885" s="197">
        <v>2024</v>
      </c>
      <c r="B5885" s="197">
        <v>10</v>
      </c>
      <c r="C5885" s="197">
        <v>20</v>
      </c>
      <c r="D5885" s="198">
        <f t="shared" si="593"/>
        <v>45585</v>
      </c>
      <c r="E5885" s="209">
        <f t="shared" si="596"/>
        <v>45585</v>
      </c>
      <c r="F5885" s="513" t="s">
        <v>1296</v>
      </c>
      <c r="G5885" s="200" t="s">
        <v>1209</v>
      </c>
      <c r="H5885" s="201"/>
      <c r="I5885" s="201" t="s">
        <v>899</v>
      </c>
      <c r="J5885" s="197" t="s">
        <v>46</v>
      </c>
      <c r="K5885" s="202">
        <v>15000</v>
      </c>
      <c r="L5885" s="202"/>
    </row>
    <row r="5886" spans="1:14" ht="22.5" x14ac:dyDescent="0.2">
      <c r="A5886" s="120">
        <v>2024</v>
      </c>
      <c r="B5886" s="120">
        <v>10</v>
      </c>
      <c r="C5886" s="120">
        <v>20</v>
      </c>
      <c r="D5886" s="208">
        <f t="shared" si="593"/>
        <v>45585</v>
      </c>
      <c r="E5886" s="209">
        <f t="shared" si="596"/>
        <v>45585</v>
      </c>
      <c r="F5886" s="515"/>
      <c r="G5886" s="132" t="s">
        <v>1209</v>
      </c>
      <c r="I5886" s="128" t="s">
        <v>899</v>
      </c>
      <c r="J5886" s="120" t="s">
        <v>16</v>
      </c>
      <c r="K5886" s="207"/>
      <c r="L5886" s="207">
        <v>12980</v>
      </c>
    </row>
    <row r="5887" spans="1:14" ht="22.5" x14ac:dyDescent="0.2">
      <c r="A5887" s="191">
        <v>2024</v>
      </c>
      <c r="B5887" s="191">
        <v>10</v>
      </c>
      <c r="C5887" s="191">
        <v>20</v>
      </c>
      <c r="D5887" s="192">
        <f t="shared" si="593"/>
        <v>45585</v>
      </c>
      <c r="E5887" s="193">
        <f t="shared" si="596"/>
        <v>45585</v>
      </c>
      <c r="F5887" s="514"/>
      <c r="G5887" s="194" t="s">
        <v>1209</v>
      </c>
      <c r="H5887" s="195"/>
      <c r="I5887" s="195" t="s">
        <v>899</v>
      </c>
      <c r="J5887" s="191" t="s">
        <v>47</v>
      </c>
      <c r="K5887" s="196"/>
      <c r="L5887" s="196">
        <v>2020</v>
      </c>
    </row>
    <row r="5888" spans="1:14" ht="11.25" customHeight="1" x14ac:dyDescent="0.2">
      <c r="A5888" s="424">
        <v>2024</v>
      </c>
      <c r="B5888" s="424">
        <v>10</v>
      </c>
      <c r="C5888" s="424">
        <v>17</v>
      </c>
      <c r="D5888" s="425">
        <f t="shared" si="593"/>
        <v>45582</v>
      </c>
      <c r="E5888" s="384">
        <f t="shared" ref="E5888:E5896" si="597">DATE(A5888,B5888,C5888)</f>
        <v>45582</v>
      </c>
      <c r="F5888" s="516" t="s">
        <v>1850</v>
      </c>
      <c r="G5888" s="426" t="s">
        <v>1209</v>
      </c>
      <c r="H5888" s="427"/>
      <c r="I5888" s="427"/>
      <c r="J5888" s="428" t="s">
        <v>81</v>
      </c>
      <c r="K5888" s="429">
        <v>6973.2450980392159</v>
      </c>
      <c r="L5888" s="429"/>
    </row>
    <row r="5889" spans="1:12" ht="11.25" customHeight="1" x14ac:dyDescent="0.2">
      <c r="A5889" s="389">
        <v>2024</v>
      </c>
      <c r="B5889" s="389">
        <v>10</v>
      </c>
      <c r="C5889" s="389">
        <v>17</v>
      </c>
      <c r="D5889" s="390">
        <f t="shared" si="593"/>
        <v>45582</v>
      </c>
      <c r="E5889" s="391">
        <f t="shared" si="597"/>
        <v>45582</v>
      </c>
      <c r="F5889" s="517"/>
      <c r="G5889" s="392" t="s">
        <v>1209</v>
      </c>
      <c r="H5889" s="393"/>
      <c r="I5889" s="393"/>
      <c r="J5889" s="394" t="s">
        <v>1847</v>
      </c>
      <c r="K5889" s="423"/>
      <c r="L5889" s="423">
        <v>6973.2450980392159</v>
      </c>
    </row>
    <row r="5890" spans="1:12" ht="11.25" customHeight="1" x14ac:dyDescent="0.2">
      <c r="A5890" s="382">
        <v>2024</v>
      </c>
      <c r="B5890" s="382">
        <v>10</v>
      </c>
      <c r="C5890" s="382">
        <v>17</v>
      </c>
      <c r="D5890" s="383">
        <f t="shared" si="593"/>
        <v>45582</v>
      </c>
      <c r="E5890" s="384">
        <f t="shared" si="597"/>
        <v>45582</v>
      </c>
      <c r="F5890" s="516" t="s">
        <v>1892</v>
      </c>
      <c r="G5890" s="385" t="s">
        <v>1209</v>
      </c>
      <c r="H5890" s="386"/>
      <c r="I5890" s="386"/>
      <c r="J5890" s="387" t="s">
        <v>173</v>
      </c>
      <c r="K5890" s="388">
        <v>4279.2184721770818</v>
      </c>
      <c r="L5890" s="388"/>
    </row>
    <row r="5891" spans="1:12" ht="11.25" customHeight="1" x14ac:dyDescent="0.2">
      <c r="A5891" s="389">
        <v>2024</v>
      </c>
      <c r="B5891" s="389">
        <v>10</v>
      </c>
      <c r="C5891" s="389">
        <v>17</v>
      </c>
      <c r="D5891" s="390">
        <f t="shared" si="593"/>
        <v>45582</v>
      </c>
      <c r="E5891" s="391">
        <f t="shared" si="597"/>
        <v>45582</v>
      </c>
      <c r="F5891" s="517"/>
      <c r="G5891" s="392" t="s">
        <v>1209</v>
      </c>
      <c r="H5891" s="393"/>
      <c r="I5891" s="393"/>
      <c r="J5891" s="394" t="s">
        <v>43</v>
      </c>
      <c r="K5891" s="388"/>
      <c r="L5891" s="388">
        <f>K5890</f>
        <v>4279.2184721770818</v>
      </c>
    </row>
    <row r="5892" spans="1:12" ht="11.25" customHeight="1" x14ac:dyDescent="0.2">
      <c r="A5892" s="344">
        <v>2024</v>
      </c>
      <c r="B5892" s="344">
        <v>10</v>
      </c>
      <c r="C5892" s="344">
        <v>17</v>
      </c>
      <c r="D5892" s="345">
        <f t="shared" si="593"/>
        <v>45582</v>
      </c>
      <c r="E5892" s="346">
        <f t="shared" si="597"/>
        <v>45582</v>
      </c>
      <c r="F5892" s="518" t="s">
        <v>1621</v>
      </c>
      <c r="G5892" s="347" t="s">
        <v>1245</v>
      </c>
      <c r="H5892" s="348"/>
      <c r="I5892" s="348" t="s">
        <v>1253</v>
      </c>
      <c r="J5892" s="344" t="s">
        <v>113</v>
      </c>
      <c r="K5892" s="349">
        <v>197692.30769230766</v>
      </c>
      <c r="L5892" s="349"/>
    </row>
    <row r="5893" spans="1:12" ht="11.25" customHeight="1" x14ac:dyDescent="0.2">
      <c r="A5893" s="350">
        <v>2024</v>
      </c>
      <c r="B5893" s="350">
        <v>10</v>
      </c>
      <c r="C5893" s="350">
        <v>17</v>
      </c>
      <c r="D5893" s="351">
        <f t="shared" si="593"/>
        <v>45582</v>
      </c>
      <c r="E5893" s="352">
        <f t="shared" si="597"/>
        <v>45582</v>
      </c>
      <c r="F5893" s="519"/>
      <c r="G5893" s="353" t="s">
        <v>1245</v>
      </c>
      <c r="H5893" s="354"/>
      <c r="I5893" s="354" t="s">
        <v>1253</v>
      </c>
      <c r="J5893" s="350" t="s">
        <v>153</v>
      </c>
      <c r="K5893" s="355"/>
      <c r="L5893" s="355">
        <f>K5892</f>
        <v>197692.30769230766</v>
      </c>
    </row>
    <row r="5894" spans="1:12" ht="11.25" customHeight="1" x14ac:dyDescent="0.2">
      <c r="A5894" s="210">
        <v>2024</v>
      </c>
      <c r="B5894" s="210">
        <v>10</v>
      </c>
      <c r="C5894" s="210">
        <v>17</v>
      </c>
      <c r="D5894" s="211">
        <f t="shared" si="593"/>
        <v>45582</v>
      </c>
      <c r="E5894" s="238">
        <f t="shared" si="597"/>
        <v>45582</v>
      </c>
      <c r="F5894" s="520" t="s">
        <v>1278</v>
      </c>
      <c r="G5894" s="213" t="s">
        <v>1245</v>
      </c>
      <c r="H5894" s="214"/>
      <c r="I5894" s="214" t="s">
        <v>1253</v>
      </c>
      <c r="J5894" s="210" t="s">
        <v>1529</v>
      </c>
      <c r="K5894" s="215">
        <v>510.40384615384613</v>
      </c>
      <c r="L5894" s="215"/>
    </row>
    <row r="5895" spans="1:12" ht="11.25" customHeight="1" x14ac:dyDescent="0.2">
      <c r="A5895" s="216">
        <v>2024</v>
      </c>
      <c r="B5895" s="216">
        <v>10</v>
      </c>
      <c r="C5895" s="216">
        <v>17</v>
      </c>
      <c r="D5895" s="217">
        <f t="shared" si="593"/>
        <v>45582</v>
      </c>
      <c r="E5895" s="239">
        <f t="shared" si="597"/>
        <v>45582</v>
      </c>
      <c r="F5895" s="521"/>
      <c r="G5895" s="219" t="s">
        <v>1245</v>
      </c>
      <c r="H5895" s="220"/>
      <c r="I5895" s="220" t="s">
        <v>1253</v>
      </c>
      <c r="J5895" s="216" t="s">
        <v>1581</v>
      </c>
      <c r="K5895" s="221"/>
      <c r="L5895" s="221">
        <v>510.40384615384613</v>
      </c>
    </row>
    <row r="5896" spans="1:12" ht="11.25" customHeight="1" x14ac:dyDescent="0.2">
      <c r="A5896" s="210">
        <v>2024</v>
      </c>
      <c r="B5896" s="210">
        <v>10</v>
      </c>
      <c r="C5896" s="210">
        <v>17</v>
      </c>
      <c r="D5896" s="211">
        <f t="shared" si="593"/>
        <v>45582</v>
      </c>
      <c r="E5896" s="238">
        <f t="shared" si="597"/>
        <v>45582</v>
      </c>
      <c r="F5896" s="520" t="s">
        <v>1857</v>
      </c>
      <c r="G5896" s="213" t="s">
        <v>1245</v>
      </c>
      <c r="H5896" s="214"/>
      <c r="I5896" s="214" t="s">
        <v>1253</v>
      </c>
      <c r="J5896" s="210" t="s">
        <v>1284</v>
      </c>
      <c r="K5896" s="215">
        <v>8903.4309440559427</v>
      </c>
      <c r="L5896" s="215"/>
    </row>
    <row r="5897" spans="1:12" ht="11.25" customHeight="1" x14ac:dyDescent="0.2">
      <c r="A5897" s="242">
        <v>2024</v>
      </c>
      <c r="B5897" s="242">
        <v>10</v>
      </c>
      <c r="C5897" s="242">
        <v>17</v>
      </c>
      <c r="D5897" s="243">
        <f t="shared" si="593"/>
        <v>45582</v>
      </c>
      <c r="E5897" s="244">
        <f>DATE(A5897,B5897,C5897)</f>
        <v>45582</v>
      </c>
      <c r="F5897" s="524"/>
      <c r="G5897" s="245" t="s">
        <v>1245</v>
      </c>
      <c r="H5897" s="246"/>
      <c r="I5897" s="246"/>
      <c r="J5897" s="242" t="s">
        <v>1582</v>
      </c>
      <c r="K5897" s="247"/>
      <c r="L5897" s="247">
        <v>8903.4309440559427</v>
      </c>
    </row>
    <row r="5898" spans="1:12" ht="11.25" customHeight="1" x14ac:dyDescent="0.2">
      <c r="A5898" s="210">
        <v>2024</v>
      </c>
      <c r="B5898" s="210">
        <v>10</v>
      </c>
      <c r="C5898" s="210">
        <v>17</v>
      </c>
      <c r="D5898" s="211">
        <f t="shared" si="593"/>
        <v>45582</v>
      </c>
      <c r="E5898" s="238">
        <f t="shared" ref="E5898:E5917" si="598">DATE(A5898,B5898,C5898)</f>
        <v>45582</v>
      </c>
      <c r="F5898" s="520" t="s">
        <v>1259</v>
      </c>
      <c r="G5898" s="213" t="s">
        <v>1245</v>
      </c>
      <c r="H5898" s="214"/>
      <c r="I5898" s="214" t="s">
        <v>1253</v>
      </c>
      <c r="J5898" s="210" t="s">
        <v>58</v>
      </c>
      <c r="K5898" s="215">
        <v>5688.61</v>
      </c>
      <c r="L5898" s="215"/>
    </row>
    <row r="5899" spans="1:12" ht="11.25" customHeight="1" x14ac:dyDescent="0.2">
      <c r="A5899" s="216">
        <v>2024</v>
      </c>
      <c r="B5899" s="216">
        <v>10</v>
      </c>
      <c r="C5899" s="216">
        <v>17</v>
      </c>
      <c r="D5899" s="217">
        <f t="shared" si="593"/>
        <v>45582</v>
      </c>
      <c r="E5899" s="239">
        <f t="shared" si="598"/>
        <v>45582</v>
      </c>
      <c r="F5899" s="521"/>
      <c r="G5899" s="219" t="s">
        <v>1245</v>
      </c>
      <c r="H5899" s="220"/>
      <c r="I5899" s="220" t="s">
        <v>1253</v>
      </c>
      <c r="J5899" s="216" t="s">
        <v>153</v>
      </c>
      <c r="K5899" s="221"/>
      <c r="L5899" s="221">
        <f>K5898</f>
        <v>5688.61</v>
      </c>
    </row>
    <row r="5900" spans="1:12" ht="11.25" customHeight="1" x14ac:dyDescent="0.2">
      <c r="A5900" s="312">
        <v>2024</v>
      </c>
      <c r="B5900" s="312">
        <v>10</v>
      </c>
      <c r="C5900" s="312">
        <v>17</v>
      </c>
      <c r="D5900" s="313">
        <f t="shared" si="593"/>
        <v>45582</v>
      </c>
      <c r="E5900" s="314">
        <f t="shared" si="598"/>
        <v>45582</v>
      </c>
      <c r="F5900" s="522" t="s">
        <v>1477</v>
      </c>
      <c r="G5900" s="315" t="s">
        <v>1245</v>
      </c>
      <c r="H5900" s="316"/>
      <c r="I5900" s="316" t="s">
        <v>1253</v>
      </c>
      <c r="J5900" s="312" t="s">
        <v>1460</v>
      </c>
      <c r="K5900" s="317">
        <v>115910.5</v>
      </c>
      <c r="L5900" s="317"/>
    </row>
    <row r="5901" spans="1:12" ht="11.25" customHeight="1" x14ac:dyDescent="0.2">
      <c r="A5901" s="318">
        <v>2024</v>
      </c>
      <c r="B5901" s="318">
        <v>10</v>
      </c>
      <c r="C5901" s="318">
        <v>17</v>
      </c>
      <c r="D5901" s="319">
        <f t="shared" si="593"/>
        <v>45582</v>
      </c>
      <c r="E5901" s="320">
        <f t="shared" si="598"/>
        <v>45582</v>
      </c>
      <c r="F5901" s="523"/>
      <c r="G5901" s="321" t="s">
        <v>1245</v>
      </c>
      <c r="H5901" s="322"/>
      <c r="I5901" s="322" t="s">
        <v>1253</v>
      </c>
      <c r="J5901" s="318" t="s">
        <v>1458</v>
      </c>
      <c r="K5901" s="323"/>
      <c r="L5901" s="323">
        <f>K5900</f>
        <v>115910.5</v>
      </c>
    </row>
    <row r="5902" spans="1:12" ht="11.25" customHeight="1" x14ac:dyDescent="0.2">
      <c r="A5902" s="312">
        <v>2024</v>
      </c>
      <c r="B5902" s="312">
        <v>10</v>
      </c>
      <c r="C5902" s="312">
        <v>17</v>
      </c>
      <c r="D5902" s="313">
        <f t="shared" si="593"/>
        <v>45582</v>
      </c>
      <c r="E5902" s="314">
        <f t="shared" si="598"/>
        <v>45582</v>
      </c>
      <c r="F5902" s="522" t="s">
        <v>1595</v>
      </c>
      <c r="G5902" s="315" t="s">
        <v>1245</v>
      </c>
      <c r="H5902" s="316"/>
      <c r="I5902" s="316" t="s">
        <v>1253</v>
      </c>
      <c r="J5902" s="312" t="s">
        <v>1459</v>
      </c>
      <c r="K5902" s="317">
        <v>3197460.0769998133</v>
      </c>
      <c r="L5902" s="317"/>
    </row>
    <row r="5903" spans="1:12" ht="11.25" customHeight="1" x14ac:dyDescent="0.2">
      <c r="A5903" s="318">
        <v>2024</v>
      </c>
      <c r="B5903" s="318">
        <v>10</v>
      </c>
      <c r="C5903" s="318">
        <v>17</v>
      </c>
      <c r="D5903" s="319">
        <f t="shared" si="593"/>
        <v>45582</v>
      </c>
      <c r="E5903" s="320">
        <f t="shared" si="598"/>
        <v>45582</v>
      </c>
      <c r="F5903" s="523"/>
      <c r="G5903" s="321" t="s">
        <v>1245</v>
      </c>
      <c r="H5903" s="322"/>
      <c r="I5903" s="322" t="s">
        <v>1253</v>
      </c>
      <c r="J5903" s="318" t="s">
        <v>1461</v>
      </c>
      <c r="K5903" s="323"/>
      <c r="L5903" s="323">
        <f>K5902</f>
        <v>3197460.0769998133</v>
      </c>
    </row>
    <row r="5904" spans="1:12" ht="11.25" customHeight="1" x14ac:dyDescent="0.2">
      <c r="A5904" s="222">
        <v>2024</v>
      </c>
      <c r="B5904" s="222">
        <v>10</v>
      </c>
      <c r="C5904" s="222">
        <v>17</v>
      </c>
      <c r="D5904" s="223">
        <f t="shared" si="593"/>
        <v>45582</v>
      </c>
      <c r="E5904" s="240">
        <f t="shared" si="598"/>
        <v>45582</v>
      </c>
      <c r="F5904" s="511" t="s">
        <v>1244</v>
      </c>
      <c r="G5904" s="225" t="s">
        <v>1245</v>
      </c>
      <c r="H5904" s="226"/>
      <c r="I5904" s="226" t="s">
        <v>1253</v>
      </c>
      <c r="J5904" s="222" t="s">
        <v>87</v>
      </c>
      <c r="K5904" s="227">
        <v>5230</v>
      </c>
      <c r="L5904" s="227"/>
    </row>
    <row r="5905" spans="1:13" ht="11.25" customHeight="1" x14ac:dyDescent="0.2">
      <c r="A5905" s="228">
        <v>2024</v>
      </c>
      <c r="B5905" s="228">
        <v>10</v>
      </c>
      <c r="C5905" s="228">
        <v>17</v>
      </c>
      <c r="D5905" s="229">
        <f t="shared" si="593"/>
        <v>45582</v>
      </c>
      <c r="E5905" s="241">
        <f t="shared" si="598"/>
        <v>45582</v>
      </c>
      <c r="F5905" s="512"/>
      <c r="G5905" s="231" t="s">
        <v>1245</v>
      </c>
      <c r="H5905" s="232"/>
      <c r="I5905" s="232" t="s">
        <v>1253</v>
      </c>
      <c r="J5905" s="228" t="s">
        <v>72</v>
      </c>
      <c r="K5905" s="233"/>
      <c r="L5905" s="233">
        <f>K5904</f>
        <v>5230</v>
      </c>
    </row>
    <row r="5906" spans="1:13" ht="11.25" customHeight="1" x14ac:dyDescent="0.2">
      <c r="A5906" s="222">
        <v>2024</v>
      </c>
      <c r="B5906" s="222">
        <v>10</v>
      </c>
      <c r="C5906" s="222">
        <v>17</v>
      </c>
      <c r="D5906" s="223">
        <f t="shared" si="593"/>
        <v>45582</v>
      </c>
      <c r="E5906" s="240">
        <f t="shared" si="598"/>
        <v>45582</v>
      </c>
      <c r="F5906" s="511" t="s">
        <v>1246</v>
      </c>
      <c r="G5906" s="225" t="s">
        <v>1245</v>
      </c>
      <c r="H5906" s="226"/>
      <c r="I5906" s="226" t="s">
        <v>1253</v>
      </c>
      <c r="J5906" s="222" t="s">
        <v>75</v>
      </c>
      <c r="K5906" s="227">
        <v>3623.123846153846</v>
      </c>
      <c r="L5906" s="227"/>
    </row>
    <row r="5907" spans="1:13" ht="11.25" customHeight="1" x14ac:dyDescent="0.2">
      <c r="A5907" s="228">
        <v>2024</v>
      </c>
      <c r="B5907" s="228">
        <v>10</v>
      </c>
      <c r="C5907" s="228">
        <v>17</v>
      </c>
      <c r="D5907" s="229">
        <f t="shared" si="593"/>
        <v>45582</v>
      </c>
      <c r="E5907" s="241">
        <f t="shared" si="598"/>
        <v>45582</v>
      </c>
      <c r="F5907" s="512"/>
      <c r="G5907" s="231" t="s">
        <v>1245</v>
      </c>
      <c r="H5907" s="232"/>
      <c r="I5907" s="232" t="s">
        <v>1253</v>
      </c>
      <c r="J5907" s="228" t="s">
        <v>55</v>
      </c>
      <c r="K5907" s="233"/>
      <c r="L5907" s="233">
        <v>3623.123846153846</v>
      </c>
    </row>
    <row r="5908" spans="1:13" ht="11.25" customHeight="1" x14ac:dyDescent="0.2">
      <c r="A5908" s="222">
        <v>2024</v>
      </c>
      <c r="B5908" s="222">
        <v>10</v>
      </c>
      <c r="C5908" s="222">
        <v>17</v>
      </c>
      <c r="D5908" s="223">
        <f t="shared" si="593"/>
        <v>45582</v>
      </c>
      <c r="E5908" s="240">
        <f t="shared" si="598"/>
        <v>45582</v>
      </c>
      <c r="F5908" s="511" t="s">
        <v>1247</v>
      </c>
      <c r="G5908" s="225" t="s">
        <v>1245</v>
      </c>
      <c r="H5908" s="226"/>
      <c r="I5908" s="226" t="s">
        <v>1253</v>
      </c>
      <c r="J5908" s="222" t="s">
        <v>77</v>
      </c>
      <c r="K5908" s="227">
        <f>M5908</f>
        <v>0</v>
      </c>
      <c r="L5908" s="227"/>
    </row>
    <row r="5909" spans="1:13" ht="11.25" customHeight="1" x14ac:dyDescent="0.2">
      <c r="A5909" s="228">
        <v>2024</v>
      </c>
      <c r="B5909" s="228">
        <v>10</v>
      </c>
      <c r="C5909" s="228">
        <v>17</v>
      </c>
      <c r="D5909" s="229">
        <f t="shared" si="593"/>
        <v>45582</v>
      </c>
      <c r="E5909" s="241">
        <f t="shared" si="598"/>
        <v>45582</v>
      </c>
      <c r="F5909" s="512"/>
      <c r="G5909" s="231" t="s">
        <v>1245</v>
      </c>
      <c r="H5909" s="232"/>
      <c r="I5909" s="232" t="s">
        <v>1253</v>
      </c>
      <c r="J5909" s="228" t="s">
        <v>41</v>
      </c>
      <c r="K5909" s="233"/>
      <c r="L5909" s="233">
        <f>K5908</f>
        <v>0</v>
      </c>
      <c r="M5909" s="120">
        <v>4064.125663905781</v>
      </c>
    </row>
    <row r="5910" spans="1:13" ht="11.25" customHeight="1" x14ac:dyDescent="0.2">
      <c r="A5910" s="222">
        <v>2024</v>
      </c>
      <c r="B5910" s="222">
        <v>10</v>
      </c>
      <c r="C5910" s="222">
        <v>17</v>
      </c>
      <c r="D5910" s="223">
        <f t="shared" si="593"/>
        <v>45582</v>
      </c>
      <c r="E5910" s="240">
        <f t="shared" si="598"/>
        <v>45582</v>
      </c>
      <c r="F5910" s="511" t="s">
        <v>1248</v>
      </c>
      <c r="G5910" s="225" t="s">
        <v>1245</v>
      </c>
      <c r="H5910" s="226"/>
      <c r="I5910" s="226" t="s">
        <v>1253</v>
      </c>
      <c r="J5910" s="222" t="s">
        <v>80</v>
      </c>
      <c r="K5910" s="227">
        <f>M5909</f>
        <v>4064.125663905781</v>
      </c>
      <c r="L5910" s="227"/>
    </row>
    <row r="5911" spans="1:13" x14ac:dyDescent="0.2">
      <c r="A5911" s="228">
        <v>2024</v>
      </c>
      <c r="B5911" s="228">
        <v>10</v>
      </c>
      <c r="C5911" s="228">
        <v>17</v>
      </c>
      <c r="D5911" s="229">
        <f t="shared" si="593"/>
        <v>45582</v>
      </c>
      <c r="E5911" s="241">
        <f t="shared" si="598"/>
        <v>45582</v>
      </c>
      <c r="F5911" s="512"/>
      <c r="G5911" s="231" t="s">
        <v>1245</v>
      </c>
      <c r="H5911" s="232"/>
      <c r="I5911" s="232" t="s">
        <v>1253</v>
      </c>
      <c r="J5911" s="228" t="s">
        <v>42</v>
      </c>
      <c r="K5911" s="233"/>
      <c r="L5911" s="233">
        <f>K5910</f>
        <v>4064.125663905781</v>
      </c>
    </row>
    <row r="5912" spans="1:13" ht="11.25" customHeight="1" x14ac:dyDescent="0.2">
      <c r="A5912" s="197">
        <v>2024</v>
      </c>
      <c r="B5912" s="197">
        <v>10</v>
      </c>
      <c r="C5912" s="197">
        <v>20</v>
      </c>
      <c r="D5912" s="198">
        <f t="shared" si="593"/>
        <v>45585</v>
      </c>
      <c r="E5912" s="209">
        <f t="shared" si="598"/>
        <v>45585</v>
      </c>
      <c r="F5912" s="513" t="s">
        <v>1280</v>
      </c>
      <c r="G5912" s="200" t="s">
        <v>1209</v>
      </c>
      <c r="H5912" s="201"/>
      <c r="I5912" s="201" t="s">
        <v>1235</v>
      </c>
      <c r="J5912" s="197" t="s">
        <v>16</v>
      </c>
      <c r="K5912" s="202">
        <v>158360</v>
      </c>
      <c r="L5912" s="202"/>
    </row>
    <row r="5913" spans="1:13" ht="11.25" customHeight="1" x14ac:dyDescent="0.2">
      <c r="A5913" s="120">
        <v>2024</v>
      </c>
      <c r="B5913" s="120">
        <v>10</v>
      </c>
      <c r="C5913" s="120">
        <v>20</v>
      </c>
      <c r="D5913" s="208">
        <f t="shared" si="593"/>
        <v>45585</v>
      </c>
      <c r="E5913" s="209">
        <f t="shared" si="598"/>
        <v>45585</v>
      </c>
      <c r="F5913" s="515"/>
      <c r="G5913" s="132" t="s">
        <v>1209</v>
      </c>
      <c r="I5913" s="128" t="s">
        <v>1235</v>
      </c>
      <c r="J5913" s="120" t="s">
        <v>47</v>
      </c>
      <c r="K5913" s="207">
        <v>24640</v>
      </c>
      <c r="L5913" s="207"/>
    </row>
    <row r="5914" spans="1:13" ht="11.25" customHeight="1" x14ac:dyDescent="0.2">
      <c r="A5914" s="191">
        <v>2024</v>
      </c>
      <c r="B5914" s="191">
        <v>10</v>
      </c>
      <c r="C5914" s="191">
        <v>20</v>
      </c>
      <c r="D5914" s="192">
        <f t="shared" si="593"/>
        <v>45585</v>
      </c>
      <c r="E5914" s="193">
        <f t="shared" si="598"/>
        <v>45585</v>
      </c>
      <c r="F5914" s="514"/>
      <c r="G5914" s="194" t="s">
        <v>1209</v>
      </c>
      <c r="H5914" s="195"/>
      <c r="I5914" s="195" t="s">
        <v>1235</v>
      </c>
      <c r="J5914" s="191" t="s">
        <v>46</v>
      </c>
      <c r="K5914" s="196"/>
      <c r="L5914" s="196">
        <v>183000</v>
      </c>
    </row>
    <row r="5915" spans="1:13" ht="22.5" x14ac:dyDescent="0.2">
      <c r="A5915" s="197">
        <v>2024</v>
      </c>
      <c r="B5915" s="197">
        <v>10</v>
      </c>
      <c r="C5915" s="197">
        <v>20</v>
      </c>
      <c r="D5915" s="198">
        <f t="shared" si="593"/>
        <v>45585</v>
      </c>
      <c r="E5915" s="209">
        <f t="shared" si="598"/>
        <v>45585</v>
      </c>
      <c r="F5915" s="513" t="s">
        <v>1210</v>
      </c>
      <c r="G5915" s="200" t="s">
        <v>1209</v>
      </c>
      <c r="H5915" s="201"/>
      <c r="I5915" s="201" t="s">
        <v>366</v>
      </c>
      <c r="J5915" s="197" t="s">
        <v>46</v>
      </c>
      <c r="K5915" s="202">
        <v>25000</v>
      </c>
      <c r="L5915" s="202"/>
    </row>
    <row r="5916" spans="1:13" ht="22.5" x14ac:dyDescent="0.2">
      <c r="A5916" s="120">
        <v>2024</v>
      </c>
      <c r="B5916" s="120">
        <v>10</v>
      </c>
      <c r="C5916" s="120">
        <v>20</v>
      </c>
      <c r="D5916" s="208">
        <f t="shared" si="593"/>
        <v>45585</v>
      </c>
      <c r="E5916" s="209">
        <f t="shared" si="598"/>
        <v>45585</v>
      </c>
      <c r="F5916" s="515"/>
      <c r="G5916" s="132" t="s">
        <v>1209</v>
      </c>
      <c r="I5916" s="128" t="s">
        <v>366</v>
      </c>
      <c r="J5916" s="120" t="s">
        <v>16</v>
      </c>
      <c r="K5916" s="207"/>
      <c r="L5916" s="207">
        <v>21630</v>
      </c>
    </row>
    <row r="5917" spans="1:13" ht="22.5" x14ac:dyDescent="0.2">
      <c r="A5917" s="191">
        <v>2024</v>
      </c>
      <c r="B5917" s="191">
        <v>10</v>
      </c>
      <c r="C5917" s="191">
        <v>20</v>
      </c>
      <c r="D5917" s="192">
        <f t="shared" si="593"/>
        <v>45585</v>
      </c>
      <c r="E5917" s="193">
        <f t="shared" si="598"/>
        <v>45585</v>
      </c>
      <c r="F5917" s="514"/>
      <c r="G5917" s="194" t="s">
        <v>1209</v>
      </c>
      <c r="H5917" s="195"/>
      <c r="I5917" s="195" t="s">
        <v>366</v>
      </c>
      <c r="J5917" s="191" t="s">
        <v>47</v>
      </c>
      <c r="K5917" s="196"/>
      <c r="L5917" s="196">
        <v>3370</v>
      </c>
    </row>
    <row r="5918" spans="1:13" ht="11.25" customHeight="1" x14ac:dyDescent="0.2">
      <c r="A5918" s="197">
        <v>2024</v>
      </c>
      <c r="B5918" s="197">
        <v>10</v>
      </c>
      <c r="C5918" s="197">
        <v>20</v>
      </c>
      <c r="D5918" s="198">
        <f t="shared" si="593"/>
        <v>45585</v>
      </c>
      <c r="E5918" s="209">
        <f t="shared" ref="E5918:E5920" si="599">DATE(A5918,B5918,C5918)</f>
        <v>45585</v>
      </c>
      <c r="F5918" s="513" t="s">
        <v>1280</v>
      </c>
      <c r="G5918" s="200" t="s">
        <v>1209</v>
      </c>
      <c r="H5918" s="201"/>
      <c r="I5918" s="201" t="s">
        <v>1170</v>
      </c>
      <c r="J5918" s="197" t="s">
        <v>16</v>
      </c>
      <c r="K5918" s="202">
        <v>24230</v>
      </c>
      <c r="L5918" s="202"/>
    </row>
    <row r="5919" spans="1:13" ht="11.25" customHeight="1" x14ac:dyDescent="0.2">
      <c r="A5919" s="120">
        <v>2024</v>
      </c>
      <c r="B5919" s="120">
        <v>10</v>
      </c>
      <c r="C5919" s="120">
        <v>20</v>
      </c>
      <c r="D5919" s="208">
        <f t="shared" si="593"/>
        <v>45585</v>
      </c>
      <c r="E5919" s="209">
        <f t="shared" si="599"/>
        <v>45585</v>
      </c>
      <c r="F5919" s="515"/>
      <c r="G5919" s="132" t="s">
        <v>1209</v>
      </c>
      <c r="I5919" s="128" t="s">
        <v>1170</v>
      </c>
      <c r="J5919" s="120" t="s">
        <v>47</v>
      </c>
      <c r="K5919" s="207">
        <v>3770</v>
      </c>
      <c r="L5919" s="207"/>
    </row>
    <row r="5920" spans="1:13" ht="11.25" customHeight="1" x14ac:dyDescent="0.2">
      <c r="A5920" s="191">
        <v>2024</v>
      </c>
      <c r="B5920" s="191">
        <v>10</v>
      </c>
      <c r="C5920" s="191">
        <v>20</v>
      </c>
      <c r="D5920" s="192">
        <f t="shared" si="593"/>
        <v>45585</v>
      </c>
      <c r="E5920" s="193">
        <f t="shared" si="599"/>
        <v>45585</v>
      </c>
      <c r="F5920" s="514"/>
      <c r="G5920" s="194" t="s">
        <v>1209</v>
      </c>
      <c r="H5920" s="195"/>
      <c r="I5920" s="195" t="s">
        <v>1170</v>
      </c>
      <c r="J5920" s="191" t="s">
        <v>46</v>
      </c>
      <c r="K5920" s="196"/>
      <c r="L5920" s="196">
        <v>28000</v>
      </c>
    </row>
    <row r="5921" spans="1:15" ht="11.25" customHeight="1" x14ac:dyDescent="0.2">
      <c r="A5921" s="197">
        <v>2024</v>
      </c>
      <c r="B5921" s="197">
        <v>10</v>
      </c>
      <c r="C5921" s="197">
        <v>21</v>
      </c>
      <c r="D5921" s="198">
        <f t="shared" si="593"/>
        <v>45586</v>
      </c>
      <c r="E5921" s="209">
        <f t="shared" ref="E5921:E5923" si="600">DATE(A5921,B5921,C5921)</f>
        <v>45586</v>
      </c>
      <c r="F5921" s="513" t="s">
        <v>1280</v>
      </c>
      <c r="G5921" s="200" t="s">
        <v>1209</v>
      </c>
      <c r="H5921" s="201"/>
      <c r="I5921" s="201" t="s">
        <v>389</v>
      </c>
      <c r="J5921" s="197" t="s">
        <v>16</v>
      </c>
      <c r="K5921" s="202">
        <v>1730700</v>
      </c>
      <c r="L5921" s="202"/>
    </row>
    <row r="5922" spans="1:15" ht="11.25" customHeight="1" x14ac:dyDescent="0.2">
      <c r="A5922" s="120">
        <v>2024</v>
      </c>
      <c r="B5922" s="120">
        <v>10</v>
      </c>
      <c r="C5922" s="120">
        <v>21</v>
      </c>
      <c r="D5922" s="208">
        <f t="shared" si="593"/>
        <v>45586</v>
      </c>
      <c r="E5922" s="209">
        <f t="shared" si="600"/>
        <v>45586</v>
      </c>
      <c r="F5922" s="515"/>
      <c r="G5922" s="132" t="s">
        <v>1209</v>
      </c>
      <c r="I5922" s="128" t="s">
        <v>389</v>
      </c>
      <c r="J5922" s="120" t="s">
        <v>47</v>
      </c>
      <c r="K5922" s="207">
        <v>269300</v>
      </c>
      <c r="L5922" s="207"/>
    </row>
    <row r="5923" spans="1:15" ht="11.25" customHeight="1" x14ac:dyDescent="0.2">
      <c r="A5923" s="191">
        <v>2024</v>
      </c>
      <c r="B5923" s="191">
        <v>10</v>
      </c>
      <c r="C5923" s="191">
        <v>21</v>
      </c>
      <c r="D5923" s="192">
        <f t="shared" si="593"/>
        <v>45586</v>
      </c>
      <c r="E5923" s="193">
        <f t="shared" si="600"/>
        <v>45586</v>
      </c>
      <c r="F5923" s="514"/>
      <c r="G5923" s="194" t="s">
        <v>1209</v>
      </c>
      <c r="H5923" s="195"/>
      <c r="I5923" s="195" t="s">
        <v>389</v>
      </c>
      <c r="J5923" s="191" t="s">
        <v>46</v>
      </c>
      <c r="K5923" s="196"/>
      <c r="L5923" s="196">
        <v>2000000</v>
      </c>
    </row>
    <row r="5924" spans="1:15" ht="11.25" customHeight="1" x14ac:dyDescent="0.2">
      <c r="A5924" s="197">
        <v>2024</v>
      </c>
      <c r="B5924" s="197">
        <v>10</v>
      </c>
      <c r="C5924" s="197">
        <v>23</v>
      </c>
      <c r="D5924" s="198">
        <f t="shared" si="593"/>
        <v>45588</v>
      </c>
      <c r="E5924" s="209">
        <f t="shared" ref="E5924:E5929" si="601">DATE(A5924,B5924,C5924)</f>
        <v>45588</v>
      </c>
      <c r="F5924" s="513" t="s">
        <v>1280</v>
      </c>
      <c r="G5924" s="200" t="s">
        <v>1209</v>
      </c>
      <c r="H5924" s="201"/>
      <c r="I5924" s="201" t="s">
        <v>1647</v>
      </c>
      <c r="J5924" s="197" t="s">
        <v>16</v>
      </c>
      <c r="K5924" s="202">
        <v>39690</v>
      </c>
      <c r="L5924" s="202"/>
    </row>
    <row r="5925" spans="1:15" ht="11.25" customHeight="1" x14ac:dyDescent="0.2">
      <c r="A5925" s="120">
        <v>2024</v>
      </c>
      <c r="B5925" s="120">
        <v>10</v>
      </c>
      <c r="C5925" s="120">
        <v>23</v>
      </c>
      <c r="D5925" s="208">
        <f t="shared" si="593"/>
        <v>45588</v>
      </c>
      <c r="E5925" s="209">
        <f t="shared" si="601"/>
        <v>45588</v>
      </c>
      <c r="F5925" s="515"/>
      <c r="G5925" s="132" t="s">
        <v>1209</v>
      </c>
      <c r="I5925" s="128" t="s">
        <v>1647</v>
      </c>
      <c r="J5925" s="120" t="s">
        <v>47</v>
      </c>
      <c r="K5925" s="207">
        <v>6175.760000000002</v>
      </c>
      <c r="L5925" s="207"/>
    </row>
    <row r="5926" spans="1:15" ht="11.25" customHeight="1" x14ac:dyDescent="0.2">
      <c r="A5926" s="191">
        <v>2024</v>
      </c>
      <c r="B5926" s="191">
        <v>10</v>
      </c>
      <c r="C5926" s="191">
        <v>23</v>
      </c>
      <c r="D5926" s="192">
        <f t="shared" si="593"/>
        <v>45588</v>
      </c>
      <c r="E5926" s="193">
        <f t="shared" si="601"/>
        <v>45588</v>
      </c>
      <c r="F5926" s="514"/>
      <c r="G5926" s="194" t="s">
        <v>1209</v>
      </c>
      <c r="H5926" s="195"/>
      <c r="I5926" s="195" t="s">
        <v>1647</v>
      </c>
      <c r="J5926" s="191" t="s">
        <v>46</v>
      </c>
      <c r="K5926" s="196"/>
      <c r="L5926" s="196">
        <v>45865.760000000002</v>
      </c>
    </row>
    <row r="5927" spans="1:15" ht="22.5" x14ac:dyDescent="0.2">
      <c r="A5927" s="197">
        <v>2024</v>
      </c>
      <c r="B5927" s="197">
        <v>10</v>
      </c>
      <c r="C5927" s="197">
        <v>23</v>
      </c>
      <c r="D5927" s="198">
        <f t="shared" si="593"/>
        <v>45588</v>
      </c>
      <c r="E5927" s="209">
        <f t="shared" si="601"/>
        <v>45588</v>
      </c>
      <c r="F5927" s="513" t="s">
        <v>1210</v>
      </c>
      <c r="G5927" s="200" t="s">
        <v>1209</v>
      </c>
      <c r="H5927" s="201"/>
      <c r="I5927" s="201" t="s">
        <v>1641</v>
      </c>
      <c r="J5927" s="197" t="s">
        <v>46</v>
      </c>
      <c r="K5927" s="202">
        <v>1500000</v>
      </c>
      <c r="L5927" s="202"/>
    </row>
    <row r="5928" spans="1:15" ht="22.5" x14ac:dyDescent="0.2">
      <c r="A5928" s="120">
        <v>2024</v>
      </c>
      <c r="B5928" s="120">
        <v>10</v>
      </c>
      <c r="C5928" s="120">
        <v>23</v>
      </c>
      <c r="D5928" s="208">
        <f t="shared" si="593"/>
        <v>45588</v>
      </c>
      <c r="E5928" s="209">
        <f t="shared" si="601"/>
        <v>45588</v>
      </c>
      <c r="F5928" s="515"/>
      <c r="G5928" s="132" t="s">
        <v>1209</v>
      </c>
      <c r="I5928" s="128" t="s">
        <v>1641</v>
      </c>
      <c r="J5928" s="120" t="s">
        <v>16</v>
      </c>
      <c r="K5928" s="207"/>
      <c r="L5928" s="207">
        <v>1298030</v>
      </c>
    </row>
    <row r="5929" spans="1:15" ht="22.5" x14ac:dyDescent="0.2">
      <c r="A5929" s="191">
        <v>2024</v>
      </c>
      <c r="B5929" s="191">
        <v>10</v>
      </c>
      <c r="C5929" s="191">
        <v>23</v>
      </c>
      <c r="D5929" s="192">
        <f t="shared" si="593"/>
        <v>45588</v>
      </c>
      <c r="E5929" s="193">
        <f t="shared" si="601"/>
        <v>45588</v>
      </c>
      <c r="F5929" s="514"/>
      <c r="G5929" s="194" t="s">
        <v>1209</v>
      </c>
      <c r="H5929" s="195"/>
      <c r="I5929" s="195" t="s">
        <v>1641</v>
      </c>
      <c r="J5929" s="191" t="s">
        <v>47</v>
      </c>
      <c r="K5929" s="196"/>
      <c r="L5929" s="196">
        <v>201970</v>
      </c>
    </row>
    <row r="5930" spans="1:15" ht="22.5" x14ac:dyDescent="0.2">
      <c r="A5930" s="197">
        <v>2024</v>
      </c>
      <c r="B5930" s="197">
        <v>10</v>
      </c>
      <c r="C5930" s="197">
        <v>23</v>
      </c>
      <c r="D5930" s="198">
        <f t="shared" si="593"/>
        <v>45588</v>
      </c>
      <c r="E5930" s="209">
        <f t="shared" ref="E5930:E5932" si="602">DATE(A5930,B5930,C5930)</f>
        <v>45588</v>
      </c>
      <c r="F5930" s="513" t="s">
        <v>1210</v>
      </c>
      <c r="G5930" s="200" t="s">
        <v>1209</v>
      </c>
      <c r="H5930" s="201"/>
      <c r="I5930" s="201" t="s">
        <v>1914</v>
      </c>
      <c r="J5930" s="197" t="s">
        <v>46</v>
      </c>
      <c r="K5930" s="202">
        <v>500000</v>
      </c>
      <c r="L5930" s="202"/>
    </row>
    <row r="5931" spans="1:15" ht="22.5" x14ac:dyDescent="0.2">
      <c r="A5931" s="120">
        <v>2024</v>
      </c>
      <c r="B5931" s="120">
        <v>10</v>
      </c>
      <c r="C5931" s="120">
        <v>23</v>
      </c>
      <c r="D5931" s="208">
        <f t="shared" si="593"/>
        <v>45588</v>
      </c>
      <c r="E5931" s="209">
        <f t="shared" si="602"/>
        <v>45588</v>
      </c>
      <c r="F5931" s="515"/>
      <c r="G5931" s="132" t="s">
        <v>1209</v>
      </c>
      <c r="I5931" s="128" t="s">
        <v>1914</v>
      </c>
      <c r="J5931" s="120" t="s">
        <v>16</v>
      </c>
      <c r="K5931" s="207"/>
      <c r="L5931" s="207">
        <v>432680</v>
      </c>
    </row>
    <row r="5932" spans="1:15" ht="22.5" x14ac:dyDescent="0.2">
      <c r="A5932" s="191">
        <v>2024</v>
      </c>
      <c r="B5932" s="191">
        <v>10</v>
      </c>
      <c r="C5932" s="191">
        <v>23</v>
      </c>
      <c r="D5932" s="192">
        <f t="shared" ref="D5932:D5995" si="603">DATE(A5932,B5932,C5932)</f>
        <v>45588</v>
      </c>
      <c r="E5932" s="193">
        <f t="shared" si="602"/>
        <v>45588</v>
      </c>
      <c r="F5932" s="514"/>
      <c r="G5932" s="194" t="s">
        <v>1209</v>
      </c>
      <c r="H5932" s="195"/>
      <c r="I5932" s="195" t="s">
        <v>1914</v>
      </c>
      <c r="J5932" s="191" t="s">
        <v>47</v>
      </c>
      <c r="K5932" s="196"/>
      <c r="L5932" s="196">
        <v>67320</v>
      </c>
    </row>
    <row r="5933" spans="1:15" ht="11.25" customHeight="1" x14ac:dyDescent="0.2">
      <c r="A5933" s="197">
        <v>2024</v>
      </c>
      <c r="B5933" s="197">
        <v>10</v>
      </c>
      <c r="C5933" s="197">
        <v>23</v>
      </c>
      <c r="D5933" s="198">
        <f t="shared" si="603"/>
        <v>45588</v>
      </c>
      <c r="E5933" s="290">
        <f>DATE(A5933,B5933,C5933)</f>
        <v>45588</v>
      </c>
      <c r="F5933" s="513" t="s">
        <v>1514</v>
      </c>
      <c r="G5933" s="200" t="s">
        <v>1209</v>
      </c>
      <c r="H5933" s="201"/>
      <c r="I5933" s="201"/>
      <c r="J5933" s="197" t="s">
        <v>54</v>
      </c>
      <c r="K5933" s="202">
        <v>120</v>
      </c>
      <c r="L5933" s="202"/>
      <c r="M5933" s="251"/>
      <c r="N5933" s="251"/>
      <c r="O5933" s="251"/>
    </row>
    <row r="5934" spans="1:15" ht="11.25" customHeight="1" x14ac:dyDescent="0.2">
      <c r="A5934" s="191">
        <v>2024</v>
      </c>
      <c r="B5934" s="191">
        <v>10</v>
      </c>
      <c r="C5934" s="191">
        <v>23</v>
      </c>
      <c r="D5934" s="192">
        <f t="shared" si="603"/>
        <v>45588</v>
      </c>
      <c r="E5934" s="291">
        <f>DATE(A5934,B5934,C5934)</f>
        <v>45588</v>
      </c>
      <c r="F5934" s="514"/>
      <c r="G5934" s="194" t="s">
        <v>1209</v>
      </c>
      <c r="H5934" s="195"/>
      <c r="I5934" s="195"/>
      <c r="J5934" s="191" t="s">
        <v>46</v>
      </c>
      <c r="K5934" s="196"/>
      <c r="L5934" s="196">
        <v>120</v>
      </c>
      <c r="M5934" s="251"/>
      <c r="N5934" s="251"/>
      <c r="O5934" s="251"/>
    </row>
    <row r="5935" spans="1:15" ht="22.5" x14ac:dyDescent="0.2">
      <c r="A5935" s="197">
        <v>2024</v>
      </c>
      <c r="B5935" s="197">
        <v>10</v>
      </c>
      <c r="C5935" s="197">
        <v>24</v>
      </c>
      <c r="D5935" s="198">
        <f t="shared" si="603"/>
        <v>45589</v>
      </c>
      <c r="E5935" s="209">
        <f t="shared" ref="E5935:E5946" si="604">DATE(A5935,B5935,C5935)</f>
        <v>45589</v>
      </c>
      <c r="F5935" s="513" t="s">
        <v>1296</v>
      </c>
      <c r="G5935" s="200" t="s">
        <v>1209</v>
      </c>
      <c r="H5935" s="201"/>
      <c r="I5935" s="201" t="s">
        <v>1170</v>
      </c>
      <c r="J5935" s="197" t="s">
        <v>46</v>
      </c>
      <c r="K5935" s="202">
        <v>25000</v>
      </c>
      <c r="L5935" s="202"/>
    </row>
    <row r="5936" spans="1:15" ht="22.5" x14ac:dyDescent="0.2">
      <c r="A5936" s="120">
        <v>2024</v>
      </c>
      <c r="B5936" s="120">
        <v>10</v>
      </c>
      <c r="C5936" s="120">
        <v>24</v>
      </c>
      <c r="D5936" s="208">
        <f t="shared" si="603"/>
        <v>45589</v>
      </c>
      <c r="E5936" s="209">
        <f t="shared" si="604"/>
        <v>45589</v>
      </c>
      <c r="F5936" s="515"/>
      <c r="G5936" s="132" t="s">
        <v>1209</v>
      </c>
      <c r="I5936" s="128" t="s">
        <v>1170</v>
      </c>
      <c r="J5936" s="120" t="s">
        <v>16</v>
      </c>
      <c r="K5936" s="207"/>
      <c r="L5936" s="207">
        <v>21640</v>
      </c>
    </row>
    <row r="5937" spans="1:12" ht="22.5" x14ac:dyDescent="0.2">
      <c r="A5937" s="191">
        <v>2024</v>
      </c>
      <c r="B5937" s="191">
        <v>10</v>
      </c>
      <c r="C5937" s="191">
        <v>24</v>
      </c>
      <c r="D5937" s="192">
        <f t="shared" si="603"/>
        <v>45589</v>
      </c>
      <c r="E5937" s="193">
        <f t="shared" si="604"/>
        <v>45589</v>
      </c>
      <c r="F5937" s="514"/>
      <c r="G5937" s="194" t="s">
        <v>1209</v>
      </c>
      <c r="H5937" s="195"/>
      <c r="I5937" s="195" t="s">
        <v>1170</v>
      </c>
      <c r="J5937" s="191" t="s">
        <v>47</v>
      </c>
      <c r="K5937" s="196"/>
      <c r="L5937" s="196">
        <v>3360</v>
      </c>
    </row>
    <row r="5938" spans="1:12" ht="11.25" customHeight="1" x14ac:dyDescent="0.2">
      <c r="A5938" s="424">
        <v>2024</v>
      </c>
      <c r="B5938" s="424">
        <v>10</v>
      </c>
      <c r="C5938" s="424">
        <v>24</v>
      </c>
      <c r="D5938" s="425">
        <f t="shared" si="603"/>
        <v>45589</v>
      </c>
      <c r="E5938" s="384">
        <f t="shared" si="604"/>
        <v>45589</v>
      </c>
      <c r="F5938" s="516" t="s">
        <v>1850</v>
      </c>
      <c r="G5938" s="426" t="s">
        <v>1209</v>
      </c>
      <c r="H5938" s="427"/>
      <c r="I5938" s="427"/>
      <c r="J5938" s="428" t="s">
        <v>81</v>
      </c>
      <c r="K5938" s="429">
        <v>6973.2450980392159</v>
      </c>
      <c r="L5938" s="429"/>
    </row>
    <row r="5939" spans="1:12" ht="11.25" customHeight="1" x14ac:dyDescent="0.2">
      <c r="A5939" s="389">
        <v>2024</v>
      </c>
      <c r="B5939" s="389">
        <v>10</v>
      </c>
      <c r="C5939" s="389">
        <v>24</v>
      </c>
      <c r="D5939" s="390">
        <f t="shared" si="603"/>
        <v>45589</v>
      </c>
      <c r="E5939" s="391">
        <f t="shared" si="604"/>
        <v>45589</v>
      </c>
      <c r="F5939" s="517"/>
      <c r="G5939" s="392" t="s">
        <v>1209</v>
      </c>
      <c r="H5939" s="393"/>
      <c r="I5939" s="393"/>
      <c r="J5939" s="394" t="s">
        <v>1847</v>
      </c>
      <c r="K5939" s="423"/>
      <c r="L5939" s="423">
        <v>6973.2450980392159</v>
      </c>
    </row>
    <row r="5940" spans="1:12" ht="11.25" customHeight="1" x14ac:dyDescent="0.2">
      <c r="A5940" s="382">
        <v>2024</v>
      </c>
      <c r="B5940" s="382">
        <v>10</v>
      </c>
      <c r="C5940" s="382">
        <v>24</v>
      </c>
      <c r="D5940" s="383">
        <f t="shared" si="603"/>
        <v>45589</v>
      </c>
      <c r="E5940" s="384">
        <f t="shared" si="604"/>
        <v>45589</v>
      </c>
      <c r="F5940" s="516" t="s">
        <v>1892</v>
      </c>
      <c r="G5940" s="385" t="s">
        <v>1209</v>
      </c>
      <c r="H5940" s="386"/>
      <c r="I5940" s="386"/>
      <c r="J5940" s="387" t="s">
        <v>173</v>
      </c>
      <c r="K5940" s="388">
        <v>4279.2184721770818</v>
      </c>
      <c r="L5940" s="388"/>
    </row>
    <row r="5941" spans="1:12" ht="11.25" customHeight="1" x14ac:dyDescent="0.2">
      <c r="A5941" s="389">
        <v>2024</v>
      </c>
      <c r="B5941" s="389">
        <v>10</v>
      </c>
      <c r="C5941" s="389">
        <v>24</v>
      </c>
      <c r="D5941" s="390">
        <f t="shared" si="603"/>
        <v>45589</v>
      </c>
      <c r="E5941" s="391">
        <f t="shared" si="604"/>
        <v>45589</v>
      </c>
      <c r="F5941" s="517"/>
      <c r="G5941" s="392" t="s">
        <v>1209</v>
      </c>
      <c r="H5941" s="393"/>
      <c r="I5941" s="393"/>
      <c r="J5941" s="394" t="s">
        <v>43</v>
      </c>
      <c r="K5941" s="388"/>
      <c r="L5941" s="388">
        <f>K5940</f>
        <v>4279.2184721770818</v>
      </c>
    </row>
    <row r="5942" spans="1:12" ht="11.25" customHeight="1" x14ac:dyDescent="0.2">
      <c r="A5942" s="344">
        <v>2024</v>
      </c>
      <c r="B5942" s="344">
        <v>10</v>
      </c>
      <c r="C5942" s="344">
        <v>24</v>
      </c>
      <c r="D5942" s="345">
        <f t="shared" si="603"/>
        <v>45589</v>
      </c>
      <c r="E5942" s="346">
        <f t="shared" si="604"/>
        <v>45589</v>
      </c>
      <c r="F5942" s="518" t="s">
        <v>1621</v>
      </c>
      <c r="G5942" s="347" t="s">
        <v>1245</v>
      </c>
      <c r="H5942" s="348"/>
      <c r="I5942" s="348" t="s">
        <v>1253</v>
      </c>
      <c r="J5942" s="344" t="s">
        <v>113</v>
      </c>
      <c r="K5942" s="349">
        <v>197692.30769230766</v>
      </c>
      <c r="L5942" s="349"/>
    </row>
    <row r="5943" spans="1:12" ht="11.25" customHeight="1" x14ac:dyDescent="0.2">
      <c r="A5943" s="350">
        <v>2024</v>
      </c>
      <c r="B5943" s="350">
        <v>10</v>
      </c>
      <c r="C5943" s="350">
        <v>24</v>
      </c>
      <c r="D5943" s="351">
        <f t="shared" si="603"/>
        <v>45589</v>
      </c>
      <c r="E5943" s="352">
        <f t="shared" si="604"/>
        <v>45589</v>
      </c>
      <c r="F5943" s="519"/>
      <c r="G5943" s="353" t="s">
        <v>1245</v>
      </c>
      <c r="H5943" s="354"/>
      <c r="I5943" s="354" t="s">
        <v>1253</v>
      </c>
      <c r="J5943" s="350" t="s">
        <v>153</v>
      </c>
      <c r="K5943" s="355"/>
      <c r="L5943" s="355">
        <f>K5942</f>
        <v>197692.30769230766</v>
      </c>
    </row>
    <row r="5944" spans="1:12" ht="11.25" customHeight="1" x14ac:dyDescent="0.2">
      <c r="A5944" s="210">
        <v>2024</v>
      </c>
      <c r="B5944" s="210">
        <v>10</v>
      </c>
      <c r="C5944" s="210">
        <v>24</v>
      </c>
      <c r="D5944" s="211">
        <f t="shared" si="603"/>
        <v>45589</v>
      </c>
      <c r="E5944" s="238">
        <f t="shared" si="604"/>
        <v>45589</v>
      </c>
      <c r="F5944" s="520" t="s">
        <v>1278</v>
      </c>
      <c r="G5944" s="213" t="s">
        <v>1245</v>
      </c>
      <c r="H5944" s="214"/>
      <c r="I5944" s="214" t="s">
        <v>1253</v>
      </c>
      <c r="J5944" s="210" t="s">
        <v>1529</v>
      </c>
      <c r="K5944" s="215">
        <v>510.40384615384613</v>
      </c>
      <c r="L5944" s="215"/>
    </row>
    <row r="5945" spans="1:12" ht="11.25" customHeight="1" x14ac:dyDescent="0.2">
      <c r="A5945" s="216">
        <v>2024</v>
      </c>
      <c r="B5945" s="216">
        <v>10</v>
      </c>
      <c r="C5945" s="216">
        <v>24</v>
      </c>
      <c r="D5945" s="217">
        <f t="shared" si="603"/>
        <v>45589</v>
      </c>
      <c r="E5945" s="239">
        <f t="shared" si="604"/>
        <v>45589</v>
      </c>
      <c r="F5945" s="521"/>
      <c r="G5945" s="219" t="s">
        <v>1245</v>
      </c>
      <c r="H5945" s="220"/>
      <c r="I5945" s="220" t="s">
        <v>1253</v>
      </c>
      <c r="J5945" s="216" t="s">
        <v>1581</v>
      </c>
      <c r="K5945" s="221"/>
      <c r="L5945" s="221">
        <v>510.40384615384613</v>
      </c>
    </row>
    <row r="5946" spans="1:12" ht="11.25" customHeight="1" x14ac:dyDescent="0.2">
      <c r="A5946" s="210">
        <v>2024</v>
      </c>
      <c r="B5946" s="210">
        <v>10</v>
      </c>
      <c r="C5946" s="210">
        <v>24</v>
      </c>
      <c r="D5946" s="211">
        <f t="shared" si="603"/>
        <v>45589</v>
      </c>
      <c r="E5946" s="238">
        <f t="shared" si="604"/>
        <v>45589</v>
      </c>
      <c r="F5946" s="520" t="s">
        <v>1857</v>
      </c>
      <c r="G5946" s="213" t="s">
        <v>1245</v>
      </c>
      <c r="H5946" s="214"/>
      <c r="I5946" s="214" t="s">
        <v>1253</v>
      </c>
      <c r="J5946" s="210" t="s">
        <v>1284</v>
      </c>
      <c r="K5946" s="215">
        <v>8903.4309440559427</v>
      </c>
      <c r="L5946" s="215"/>
    </row>
    <row r="5947" spans="1:12" ht="11.25" customHeight="1" x14ac:dyDescent="0.2">
      <c r="A5947" s="242">
        <v>2024</v>
      </c>
      <c r="B5947" s="242">
        <v>10</v>
      </c>
      <c r="C5947" s="242">
        <v>24</v>
      </c>
      <c r="D5947" s="243">
        <f t="shared" si="603"/>
        <v>45589</v>
      </c>
      <c r="E5947" s="244">
        <f>DATE(A5947,B5947,C5947)</f>
        <v>45589</v>
      </c>
      <c r="F5947" s="524"/>
      <c r="G5947" s="245" t="s">
        <v>1245</v>
      </c>
      <c r="H5947" s="246"/>
      <c r="I5947" s="246"/>
      <c r="J5947" s="242" t="s">
        <v>1582</v>
      </c>
      <c r="K5947" s="247"/>
      <c r="L5947" s="247">
        <v>8903.4309440559427</v>
      </c>
    </row>
    <row r="5948" spans="1:12" ht="11.25" customHeight="1" x14ac:dyDescent="0.2">
      <c r="A5948" s="210">
        <v>2024</v>
      </c>
      <c r="B5948" s="210">
        <v>10</v>
      </c>
      <c r="C5948" s="210">
        <v>24</v>
      </c>
      <c r="D5948" s="211">
        <f t="shared" si="603"/>
        <v>45589</v>
      </c>
      <c r="E5948" s="238">
        <f t="shared" ref="E5948:E5983" si="605">DATE(A5948,B5948,C5948)</f>
        <v>45589</v>
      </c>
      <c r="F5948" s="520" t="s">
        <v>1259</v>
      </c>
      <c r="G5948" s="213" t="s">
        <v>1245</v>
      </c>
      <c r="H5948" s="214"/>
      <c r="I5948" s="214" t="s">
        <v>1253</v>
      </c>
      <c r="J5948" s="210" t="s">
        <v>58</v>
      </c>
      <c r="K5948" s="215">
        <v>5268.98</v>
      </c>
      <c r="L5948" s="215"/>
    </row>
    <row r="5949" spans="1:12" ht="11.25" customHeight="1" x14ac:dyDescent="0.2">
      <c r="A5949" s="216">
        <v>2024</v>
      </c>
      <c r="B5949" s="216">
        <v>10</v>
      </c>
      <c r="C5949" s="216">
        <v>24</v>
      </c>
      <c r="D5949" s="217">
        <f t="shared" si="603"/>
        <v>45589</v>
      </c>
      <c r="E5949" s="239">
        <f t="shared" si="605"/>
        <v>45589</v>
      </c>
      <c r="F5949" s="521"/>
      <c r="G5949" s="219" t="s">
        <v>1245</v>
      </c>
      <c r="H5949" s="220"/>
      <c r="I5949" s="220" t="s">
        <v>1253</v>
      </c>
      <c r="J5949" s="216" t="s">
        <v>153</v>
      </c>
      <c r="K5949" s="221"/>
      <c r="L5949" s="221">
        <f>K5948</f>
        <v>5268.98</v>
      </c>
    </row>
    <row r="5950" spans="1:12" ht="11.25" customHeight="1" x14ac:dyDescent="0.2">
      <c r="A5950" s="312">
        <v>2024</v>
      </c>
      <c r="B5950" s="312">
        <v>10</v>
      </c>
      <c r="C5950" s="312">
        <v>24</v>
      </c>
      <c r="D5950" s="313">
        <f t="shared" si="603"/>
        <v>45589</v>
      </c>
      <c r="E5950" s="314">
        <f t="shared" si="605"/>
        <v>45589</v>
      </c>
      <c r="F5950" s="522" t="s">
        <v>1477</v>
      </c>
      <c r="G5950" s="315" t="s">
        <v>1245</v>
      </c>
      <c r="H5950" s="316"/>
      <c r="I5950" s="316" t="s">
        <v>1253</v>
      </c>
      <c r="J5950" s="312" t="s">
        <v>1460</v>
      </c>
      <c r="K5950" s="317">
        <v>95422.39999999851</v>
      </c>
      <c r="L5950" s="317"/>
    </row>
    <row r="5951" spans="1:12" ht="11.25" customHeight="1" x14ac:dyDescent="0.2">
      <c r="A5951" s="318">
        <v>2024</v>
      </c>
      <c r="B5951" s="318">
        <v>10</v>
      </c>
      <c r="C5951" s="318">
        <v>24</v>
      </c>
      <c r="D5951" s="319">
        <f t="shared" si="603"/>
        <v>45589</v>
      </c>
      <c r="E5951" s="320">
        <f t="shared" si="605"/>
        <v>45589</v>
      </c>
      <c r="F5951" s="523"/>
      <c r="G5951" s="321" t="s">
        <v>1245</v>
      </c>
      <c r="H5951" s="322"/>
      <c r="I5951" s="322" t="s">
        <v>1253</v>
      </c>
      <c r="J5951" s="318" t="s">
        <v>1458</v>
      </c>
      <c r="K5951" s="323"/>
      <c r="L5951" s="323">
        <f>K5950</f>
        <v>95422.39999999851</v>
      </c>
    </row>
    <row r="5952" spans="1:12" ht="11.25" customHeight="1" x14ac:dyDescent="0.2">
      <c r="A5952" s="312">
        <v>2024</v>
      </c>
      <c r="B5952" s="312">
        <v>10</v>
      </c>
      <c r="C5952" s="312">
        <v>24</v>
      </c>
      <c r="D5952" s="313">
        <f t="shared" si="603"/>
        <v>45589</v>
      </c>
      <c r="E5952" s="314">
        <f t="shared" si="605"/>
        <v>45589</v>
      </c>
      <c r="F5952" s="522" t="s">
        <v>1595</v>
      </c>
      <c r="G5952" s="315" t="s">
        <v>1245</v>
      </c>
      <c r="H5952" s="316"/>
      <c r="I5952" s="316" t="s">
        <v>1253</v>
      </c>
      <c r="J5952" s="312" t="s">
        <v>1461</v>
      </c>
      <c r="K5952" s="317">
        <v>628696.01199990511</v>
      </c>
      <c r="L5952" s="317"/>
    </row>
    <row r="5953" spans="1:13" ht="11.25" customHeight="1" x14ac:dyDescent="0.2">
      <c r="A5953" s="318">
        <v>2024</v>
      </c>
      <c r="B5953" s="318">
        <v>10</v>
      </c>
      <c r="C5953" s="318">
        <v>24</v>
      </c>
      <c r="D5953" s="319">
        <f t="shared" si="603"/>
        <v>45589</v>
      </c>
      <c r="E5953" s="320">
        <f t="shared" si="605"/>
        <v>45589</v>
      </c>
      <c r="F5953" s="523"/>
      <c r="G5953" s="321" t="s">
        <v>1245</v>
      </c>
      <c r="H5953" s="322"/>
      <c r="I5953" s="322" t="s">
        <v>1253</v>
      </c>
      <c r="J5953" s="318" t="s">
        <v>1459</v>
      </c>
      <c r="K5953" s="323"/>
      <c r="L5953" s="323">
        <f>K5952</f>
        <v>628696.01199990511</v>
      </c>
    </row>
    <row r="5954" spans="1:13" ht="11.25" customHeight="1" x14ac:dyDescent="0.2">
      <c r="A5954" s="222">
        <v>2024</v>
      </c>
      <c r="B5954" s="222">
        <v>10</v>
      </c>
      <c r="C5954" s="222">
        <v>24</v>
      </c>
      <c r="D5954" s="223">
        <f t="shared" si="603"/>
        <v>45589</v>
      </c>
      <c r="E5954" s="240">
        <f t="shared" si="605"/>
        <v>45589</v>
      </c>
      <c r="F5954" s="511" t="s">
        <v>1244</v>
      </c>
      <c r="G5954" s="225" t="s">
        <v>1245</v>
      </c>
      <c r="H5954" s="226"/>
      <c r="I5954" s="226" t="s">
        <v>1253</v>
      </c>
      <c r="J5954" s="222" t="s">
        <v>87</v>
      </c>
      <c r="K5954" s="227">
        <v>13075</v>
      </c>
      <c r="L5954" s="227"/>
    </row>
    <row r="5955" spans="1:13" ht="11.25" customHeight="1" x14ac:dyDescent="0.2">
      <c r="A5955" s="228">
        <v>2024</v>
      </c>
      <c r="B5955" s="228">
        <v>10</v>
      </c>
      <c r="C5955" s="228">
        <v>24</v>
      </c>
      <c r="D5955" s="229">
        <f t="shared" si="603"/>
        <v>45589</v>
      </c>
      <c r="E5955" s="241">
        <f t="shared" si="605"/>
        <v>45589</v>
      </c>
      <c r="F5955" s="512"/>
      <c r="G5955" s="231" t="s">
        <v>1245</v>
      </c>
      <c r="H5955" s="232"/>
      <c r="I5955" s="232" t="s">
        <v>1253</v>
      </c>
      <c r="J5955" s="228" t="s">
        <v>72</v>
      </c>
      <c r="K5955" s="233"/>
      <c r="L5955" s="233">
        <f>K5954</f>
        <v>13075</v>
      </c>
    </row>
    <row r="5956" spans="1:13" ht="11.25" customHeight="1" x14ac:dyDescent="0.2">
      <c r="A5956" s="222">
        <v>2024</v>
      </c>
      <c r="B5956" s="222">
        <v>10</v>
      </c>
      <c r="C5956" s="222">
        <v>24</v>
      </c>
      <c r="D5956" s="223">
        <f t="shared" si="603"/>
        <v>45589</v>
      </c>
      <c r="E5956" s="240">
        <f t="shared" si="605"/>
        <v>45589</v>
      </c>
      <c r="F5956" s="511" t="s">
        <v>1246</v>
      </c>
      <c r="G5956" s="225" t="s">
        <v>1245</v>
      </c>
      <c r="H5956" s="226"/>
      <c r="I5956" s="226" t="s">
        <v>1253</v>
      </c>
      <c r="J5956" s="222" t="s">
        <v>75</v>
      </c>
      <c r="K5956" s="227">
        <v>3623.123846153846</v>
      </c>
      <c r="L5956" s="227"/>
    </row>
    <row r="5957" spans="1:13" ht="11.25" customHeight="1" x14ac:dyDescent="0.2">
      <c r="A5957" s="228">
        <v>2024</v>
      </c>
      <c r="B5957" s="228">
        <v>10</v>
      </c>
      <c r="C5957" s="228">
        <v>24</v>
      </c>
      <c r="D5957" s="229">
        <f t="shared" si="603"/>
        <v>45589</v>
      </c>
      <c r="E5957" s="241">
        <f t="shared" si="605"/>
        <v>45589</v>
      </c>
      <c r="F5957" s="512"/>
      <c r="G5957" s="231" t="s">
        <v>1245</v>
      </c>
      <c r="H5957" s="232"/>
      <c r="I5957" s="232" t="s">
        <v>1253</v>
      </c>
      <c r="J5957" s="228" t="s">
        <v>55</v>
      </c>
      <c r="K5957" s="233"/>
      <c r="L5957" s="233">
        <v>3623.123846153846</v>
      </c>
    </row>
    <row r="5958" spans="1:13" ht="11.25" customHeight="1" x14ac:dyDescent="0.2">
      <c r="A5958" s="222">
        <v>2024</v>
      </c>
      <c r="B5958" s="222">
        <v>10</v>
      </c>
      <c r="C5958" s="222">
        <v>24</v>
      </c>
      <c r="D5958" s="223">
        <f t="shared" si="603"/>
        <v>45589</v>
      </c>
      <c r="E5958" s="240">
        <f t="shared" si="605"/>
        <v>45589</v>
      </c>
      <c r="F5958" s="511" t="s">
        <v>1247</v>
      </c>
      <c r="G5958" s="225" t="s">
        <v>1245</v>
      </c>
      <c r="H5958" s="226"/>
      <c r="I5958" s="226" t="s">
        <v>1253</v>
      </c>
      <c r="J5958" s="222" t="s">
        <v>77</v>
      </c>
      <c r="K5958" s="227">
        <f>M5958</f>
        <v>30000</v>
      </c>
      <c r="L5958" s="227"/>
      <c r="M5958" s="120">
        <v>30000</v>
      </c>
    </row>
    <row r="5959" spans="1:13" ht="11.25" customHeight="1" x14ac:dyDescent="0.2">
      <c r="A5959" s="228">
        <v>2024</v>
      </c>
      <c r="B5959" s="228">
        <v>10</v>
      </c>
      <c r="C5959" s="228">
        <v>24</v>
      </c>
      <c r="D5959" s="229">
        <f t="shared" si="603"/>
        <v>45589</v>
      </c>
      <c r="E5959" s="241">
        <f t="shared" si="605"/>
        <v>45589</v>
      </c>
      <c r="F5959" s="512"/>
      <c r="G5959" s="231" t="s">
        <v>1245</v>
      </c>
      <c r="H5959" s="232"/>
      <c r="I5959" s="232" t="s">
        <v>1253</v>
      </c>
      <c r="J5959" s="228" t="s">
        <v>41</v>
      </c>
      <c r="K5959" s="233"/>
      <c r="L5959" s="233">
        <f>K5958</f>
        <v>30000</v>
      </c>
      <c r="M5959" s="120">
        <v>4057.0751075346498</v>
      </c>
    </row>
    <row r="5960" spans="1:13" ht="11.25" customHeight="1" x14ac:dyDescent="0.2">
      <c r="A5960" s="222">
        <v>2024</v>
      </c>
      <c r="B5960" s="222">
        <v>10</v>
      </c>
      <c r="C5960" s="222">
        <v>24</v>
      </c>
      <c r="D5960" s="223">
        <f t="shared" si="603"/>
        <v>45589</v>
      </c>
      <c r="E5960" s="240">
        <f t="shared" si="605"/>
        <v>45589</v>
      </c>
      <c r="F5960" s="511" t="s">
        <v>1248</v>
      </c>
      <c r="G5960" s="225" t="s">
        <v>1245</v>
      </c>
      <c r="H5960" s="226"/>
      <c r="I5960" s="226" t="s">
        <v>1253</v>
      </c>
      <c r="J5960" s="222" t="s">
        <v>80</v>
      </c>
      <c r="K5960" s="227">
        <f>M5959</f>
        <v>4057.0751075346498</v>
      </c>
      <c r="L5960" s="227"/>
    </row>
    <row r="5961" spans="1:13" x14ac:dyDescent="0.2">
      <c r="A5961" s="228">
        <v>2024</v>
      </c>
      <c r="B5961" s="228">
        <v>10</v>
      </c>
      <c r="C5961" s="228">
        <v>24</v>
      </c>
      <c r="D5961" s="229">
        <f t="shared" si="603"/>
        <v>45589</v>
      </c>
      <c r="E5961" s="241">
        <f t="shared" si="605"/>
        <v>45589</v>
      </c>
      <c r="F5961" s="512"/>
      <c r="G5961" s="231" t="s">
        <v>1245</v>
      </c>
      <c r="H5961" s="232"/>
      <c r="I5961" s="232" t="s">
        <v>1253</v>
      </c>
      <c r="J5961" s="228" t="s">
        <v>42</v>
      </c>
      <c r="K5961" s="233"/>
      <c r="L5961" s="233">
        <f>K5960</f>
        <v>4057.0751075346498</v>
      </c>
    </row>
    <row r="5962" spans="1:13" x14ac:dyDescent="0.2">
      <c r="A5962" s="197">
        <v>2024</v>
      </c>
      <c r="B5962" s="197">
        <v>10</v>
      </c>
      <c r="C5962" s="197">
        <v>26</v>
      </c>
      <c r="D5962" s="198">
        <f t="shared" si="603"/>
        <v>45591</v>
      </c>
      <c r="E5962" s="209">
        <f t="shared" si="605"/>
        <v>45591</v>
      </c>
      <c r="F5962" s="513" t="s">
        <v>1296</v>
      </c>
      <c r="G5962" s="200" t="s">
        <v>1209</v>
      </c>
      <c r="H5962" s="201"/>
      <c r="I5962" s="201"/>
      <c r="J5962" s="197" t="s">
        <v>46</v>
      </c>
      <c r="K5962" s="202">
        <v>11000</v>
      </c>
      <c r="L5962" s="202"/>
    </row>
    <row r="5963" spans="1:13" x14ac:dyDescent="0.2">
      <c r="A5963" s="120">
        <v>2024</v>
      </c>
      <c r="B5963" s="120">
        <v>10</v>
      </c>
      <c r="C5963" s="120">
        <v>26</v>
      </c>
      <c r="D5963" s="208">
        <f t="shared" si="603"/>
        <v>45591</v>
      </c>
      <c r="E5963" s="209">
        <f t="shared" si="605"/>
        <v>45591</v>
      </c>
      <c r="F5963" s="515"/>
      <c r="G5963" s="132" t="s">
        <v>1209</v>
      </c>
      <c r="J5963" s="120" t="s">
        <v>16</v>
      </c>
      <c r="K5963" s="207"/>
      <c r="L5963" s="207">
        <v>9490</v>
      </c>
    </row>
    <row r="5964" spans="1:13" x14ac:dyDescent="0.2">
      <c r="A5964" s="191">
        <v>2024</v>
      </c>
      <c r="B5964" s="191">
        <v>10</v>
      </c>
      <c r="C5964" s="191">
        <v>26</v>
      </c>
      <c r="D5964" s="192">
        <f t="shared" si="603"/>
        <v>45591</v>
      </c>
      <c r="E5964" s="193">
        <f t="shared" si="605"/>
        <v>45591</v>
      </c>
      <c r="F5964" s="514"/>
      <c r="G5964" s="194" t="s">
        <v>1209</v>
      </c>
      <c r="H5964" s="195"/>
      <c r="I5964" s="195"/>
      <c r="J5964" s="191" t="s">
        <v>47</v>
      </c>
      <c r="K5964" s="196"/>
      <c r="L5964" s="196">
        <v>1510</v>
      </c>
    </row>
    <row r="5965" spans="1:13" ht="22.5" x14ac:dyDescent="0.2">
      <c r="A5965" s="197">
        <v>2024</v>
      </c>
      <c r="B5965" s="197">
        <v>10</v>
      </c>
      <c r="C5965" s="197">
        <v>27</v>
      </c>
      <c r="D5965" s="198">
        <f t="shared" si="603"/>
        <v>45592</v>
      </c>
      <c r="E5965" s="209">
        <f t="shared" si="605"/>
        <v>45592</v>
      </c>
      <c r="F5965" s="513" t="s">
        <v>1210</v>
      </c>
      <c r="G5965" s="200" t="s">
        <v>1209</v>
      </c>
      <c r="H5965" s="201"/>
      <c r="I5965" s="201" t="s">
        <v>1218</v>
      </c>
      <c r="J5965" s="197" t="s">
        <v>46</v>
      </c>
      <c r="K5965" s="202">
        <v>10000000</v>
      </c>
      <c r="L5965" s="202"/>
    </row>
    <row r="5966" spans="1:13" ht="22.5" x14ac:dyDescent="0.2">
      <c r="A5966" s="120">
        <v>2024</v>
      </c>
      <c r="B5966" s="120">
        <v>10</v>
      </c>
      <c r="C5966" s="120">
        <v>27</v>
      </c>
      <c r="D5966" s="208">
        <f t="shared" si="603"/>
        <v>45592</v>
      </c>
      <c r="E5966" s="209">
        <f t="shared" si="605"/>
        <v>45592</v>
      </c>
      <c r="F5966" s="515"/>
      <c r="G5966" s="132" t="s">
        <v>1209</v>
      </c>
      <c r="I5966" s="128" t="s">
        <v>1218</v>
      </c>
      <c r="J5966" s="120" t="s">
        <v>16</v>
      </c>
      <c r="K5966" s="207"/>
      <c r="L5966" s="207">
        <v>8634830</v>
      </c>
    </row>
    <row r="5967" spans="1:13" ht="22.5" x14ac:dyDescent="0.2">
      <c r="A5967" s="191">
        <v>2024</v>
      </c>
      <c r="B5967" s="191">
        <v>10</v>
      </c>
      <c r="C5967" s="191">
        <v>27</v>
      </c>
      <c r="D5967" s="192">
        <f t="shared" si="603"/>
        <v>45592</v>
      </c>
      <c r="E5967" s="193">
        <f t="shared" si="605"/>
        <v>45592</v>
      </c>
      <c r="F5967" s="514"/>
      <c r="G5967" s="194" t="s">
        <v>1209</v>
      </c>
      <c r="H5967" s="195"/>
      <c r="I5967" s="195" t="s">
        <v>1218</v>
      </c>
      <c r="J5967" s="191" t="s">
        <v>47</v>
      </c>
      <c r="K5967" s="196"/>
      <c r="L5967" s="196">
        <v>1365170</v>
      </c>
    </row>
    <row r="5968" spans="1:13" ht="22.5" x14ac:dyDescent="0.2">
      <c r="A5968" s="197">
        <v>2024</v>
      </c>
      <c r="B5968" s="197">
        <v>10</v>
      </c>
      <c r="C5968" s="197">
        <v>27</v>
      </c>
      <c r="D5968" s="198">
        <f t="shared" si="603"/>
        <v>45592</v>
      </c>
      <c r="E5968" s="209">
        <f t="shared" ref="E5968:E5970" si="606">DATE(A5968,B5968,C5968)</f>
        <v>45592</v>
      </c>
      <c r="F5968" s="513" t="s">
        <v>1210</v>
      </c>
      <c r="G5968" s="200" t="s">
        <v>1209</v>
      </c>
      <c r="H5968" s="201"/>
      <c r="I5968" s="201" t="s">
        <v>1917</v>
      </c>
      <c r="J5968" s="197" t="s">
        <v>46</v>
      </c>
      <c r="K5968" s="202">
        <v>45000</v>
      </c>
      <c r="L5968" s="202"/>
    </row>
    <row r="5969" spans="1:15" ht="22.5" x14ac:dyDescent="0.2">
      <c r="A5969" s="120">
        <v>2024</v>
      </c>
      <c r="B5969" s="120">
        <v>10</v>
      </c>
      <c r="C5969" s="120">
        <v>27</v>
      </c>
      <c r="D5969" s="208">
        <f t="shared" si="603"/>
        <v>45592</v>
      </c>
      <c r="E5969" s="209">
        <f t="shared" si="606"/>
        <v>45592</v>
      </c>
      <c r="F5969" s="515"/>
      <c r="G5969" s="132" t="s">
        <v>1209</v>
      </c>
      <c r="I5969" s="128" t="s">
        <v>1917</v>
      </c>
      <c r="J5969" s="120" t="s">
        <v>16</v>
      </c>
      <c r="K5969" s="207"/>
      <c r="L5969" s="207">
        <v>38860</v>
      </c>
    </row>
    <row r="5970" spans="1:15" ht="22.5" x14ac:dyDescent="0.2">
      <c r="A5970" s="191">
        <v>2024</v>
      </c>
      <c r="B5970" s="191">
        <v>10</v>
      </c>
      <c r="C5970" s="191">
        <v>27</v>
      </c>
      <c r="D5970" s="192">
        <f t="shared" si="603"/>
        <v>45592</v>
      </c>
      <c r="E5970" s="193">
        <f t="shared" si="606"/>
        <v>45592</v>
      </c>
      <c r="F5970" s="514"/>
      <c r="G5970" s="194" t="s">
        <v>1209</v>
      </c>
      <c r="H5970" s="195"/>
      <c r="I5970" s="195" t="s">
        <v>1917</v>
      </c>
      <c r="J5970" s="191" t="s">
        <v>47</v>
      </c>
      <c r="K5970" s="196"/>
      <c r="L5970" s="196">
        <v>6140</v>
      </c>
    </row>
    <row r="5971" spans="1:15" ht="11.25" customHeight="1" x14ac:dyDescent="0.2">
      <c r="A5971" s="197">
        <v>2024</v>
      </c>
      <c r="B5971" s="197">
        <v>10</v>
      </c>
      <c r="C5971" s="197">
        <v>27</v>
      </c>
      <c r="D5971" s="198">
        <f t="shared" si="603"/>
        <v>45592</v>
      </c>
      <c r="E5971" s="290">
        <f>DATE(A5971,B5971,C5971)</f>
        <v>45592</v>
      </c>
      <c r="F5971" s="513" t="s">
        <v>1514</v>
      </c>
      <c r="G5971" s="200" t="s">
        <v>1209</v>
      </c>
      <c r="H5971" s="201"/>
      <c r="I5971" s="201"/>
      <c r="J5971" s="197" t="s">
        <v>54</v>
      </c>
      <c r="K5971" s="202">
        <v>60</v>
      </c>
      <c r="L5971" s="202"/>
      <c r="M5971" s="251"/>
      <c r="N5971" s="251"/>
      <c r="O5971" s="251"/>
    </row>
    <row r="5972" spans="1:15" ht="11.25" customHeight="1" x14ac:dyDescent="0.2">
      <c r="A5972" s="191">
        <v>2024</v>
      </c>
      <c r="B5972" s="191">
        <v>10</v>
      </c>
      <c r="C5972" s="191">
        <v>27</v>
      </c>
      <c r="D5972" s="192">
        <f t="shared" si="603"/>
        <v>45592</v>
      </c>
      <c r="E5972" s="291">
        <f>DATE(A5972,B5972,C5972)</f>
        <v>45592</v>
      </c>
      <c r="F5972" s="514"/>
      <c r="G5972" s="194" t="s">
        <v>1209</v>
      </c>
      <c r="H5972" s="195"/>
      <c r="I5972" s="195"/>
      <c r="J5972" s="191" t="s">
        <v>46</v>
      </c>
      <c r="K5972" s="196"/>
      <c r="L5972" s="196">
        <v>60</v>
      </c>
      <c r="M5972" s="251"/>
      <c r="N5972" s="251"/>
      <c r="O5972" s="251"/>
    </row>
    <row r="5973" spans="1:15" ht="11.25" customHeight="1" x14ac:dyDescent="0.2">
      <c r="A5973" s="197">
        <v>2024</v>
      </c>
      <c r="B5973" s="197">
        <v>10</v>
      </c>
      <c r="C5973" s="197">
        <v>27</v>
      </c>
      <c r="D5973" s="198">
        <f t="shared" si="603"/>
        <v>45592</v>
      </c>
      <c r="E5973" s="209">
        <f t="shared" ref="E5973:E5975" si="607">DATE(A5973,B5973,C5973)</f>
        <v>45592</v>
      </c>
      <c r="F5973" s="513" t="s">
        <v>1296</v>
      </c>
      <c r="G5973" s="200" t="s">
        <v>1209</v>
      </c>
      <c r="H5973" s="201"/>
      <c r="I5973" s="201"/>
      <c r="J5973" s="197" t="s">
        <v>46</v>
      </c>
      <c r="K5973" s="202">
        <v>262500</v>
      </c>
      <c r="L5973" s="202"/>
    </row>
    <row r="5974" spans="1:15" ht="11.25" customHeight="1" x14ac:dyDescent="0.2">
      <c r="A5974" s="120">
        <v>2024</v>
      </c>
      <c r="B5974" s="120">
        <v>10</v>
      </c>
      <c r="C5974" s="120">
        <v>27</v>
      </c>
      <c r="D5974" s="208">
        <f t="shared" si="603"/>
        <v>45592</v>
      </c>
      <c r="E5974" s="209">
        <f t="shared" si="607"/>
        <v>45592</v>
      </c>
      <c r="F5974" s="515"/>
      <c r="G5974" s="132" t="s">
        <v>1209</v>
      </c>
      <c r="J5974" s="120" t="s">
        <v>16</v>
      </c>
      <c r="K5974" s="207"/>
      <c r="L5974" s="207">
        <v>226670</v>
      </c>
    </row>
    <row r="5975" spans="1:15" ht="11.25" customHeight="1" x14ac:dyDescent="0.2">
      <c r="A5975" s="191">
        <v>2024</v>
      </c>
      <c r="B5975" s="191">
        <v>10</v>
      </c>
      <c r="C5975" s="191">
        <v>27</v>
      </c>
      <c r="D5975" s="192">
        <f t="shared" si="603"/>
        <v>45592</v>
      </c>
      <c r="E5975" s="193">
        <f t="shared" si="607"/>
        <v>45592</v>
      </c>
      <c r="F5975" s="514"/>
      <c r="G5975" s="194" t="s">
        <v>1209</v>
      </c>
      <c r="H5975" s="195"/>
      <c r="I5975" s="195"/>
      <c r="J5975" s="191" t="s">
        <v>47</v>
      </c>
      <c r="K5975" s="196"/>
      <c r="L5975" s="196">
        <v>35830</v>
      </c>
    </row>
    <row r="5976" spans="1:15" ht="11.25" customHeight="1" x14ac:dyDescent="0.2">
      <c r="A5976" s="197">
        <v>2024</v>
      </c>
      <c r="B5976" s="197">
        <v>10</v>
      </c>
      <c r="C5976" s="197">
        <v>28</v>
      </c>
      <c r="D5976" s="198">
        <f t="shared" si="603"/>
        <v>45593</v>
      </c>
      <c r="E5976" s="290">
        <f t="shared" si="605"/>
        <v>45593</v>
      </c>
      <c r="F5976" s="513" t="s">
        <v>1915</v>
      </c>
      <c r="G5976" s="200" t="s">
        <v>1209</v>
      </c>
      <c r="H5976" s="201"/>
      <c r="I5976" s="201" t="s">
        <v>1253</v>
      </c>
      <c r="J5976" s="197" t="s">
        <v>42</v>
      </c>
      <c r="K5976" s="202">
        <v>66024.42</v>
      </c>
      <c r="L5976" s="202"/>
    </row>
    <row r="5977" spans="1:15" ht="11.25" customHeight="1" x14ac:dyDescent="0.2">
      <c r="A5977" s="120">
        <v>2024</v>
      </c>
      <c r="B5977" s="120">
        <v>10</v>
      </c>
      <c r="C5977" s="120">
        <v>28</v>
      </c>
      <c r="D5977" s="208">
        <f t="shared" si="603"/>
        <v>45593</v>
      </c>
      <c r="E5977" s="293">
        <f t="shared" si="605"/>
        <v>45593</v>
      </c>
      <c r="F5977" s="515"/>
      <c r="G5977" s="132" t="s">
        <v>1209</v>
      </c>
      <c r="J5977" s="120" t="s">
        <v>457</v>
      </c>
      <c r="K5977" s="120"/>
      <c r="L5977" s="207">
        <v>6602.44</v>
      </c>
    </row>
    <row r="5978" spans="1:15" ht="11.25" customHeight="1" x14ac:dyDescent="0.2">
      <c r="A5978" s="191">
        <v>2024</v>
      </c>
      <c r="B5978" s="191">
        <v>10</v>
      </c>
      <c r="C5978" s="191">
        <v>28</v>
      </c>
      <c r="D5978" s="192">
        <f t="shared" si="603"/>
        <v>45593</v>
      </c>
      <c r="E5978" s="291">
        <f t="shared" si="605"/>
        <v>45593</v>
      </c>
      <c r="F5978" s="514"/>
      <c r="G5978" s="194" t="s">
        <v>1209</v>
      </c>
      <c r="H5978" s="195"/>
      <c r="I5978" s="195" t="s">
        <v>1253</v>
      </c>
      <c r="J5978" s="191" t="s">
        <v>46</v>
      </c>
      <c r="K5978" s="196"/>
      <c r="L5978" s="196">
        <v>59421.98</v>
      </c>
    </row>
    <row r="5979" spans="1:15" ht="11.25" customHeight="1" x14ac:dyDescent="0.2">
      <c r="A5979" s="197">
        <v>2024</v>
      </c>
      <c r="B5979" s="197">
        <v>10</v>
      </c>
      <c r="C5979" s="197">
        <v>28</v>
      </c>
      <c r="D5979" s="198">
        <f t="shared" si="603"/>
        <v>45593</v>
      </c>
      <c r="E5979" s="199">
        <f t="shared" si="605"/>
        <v>45593</v>
      </c>
      <c r="F5979" s="513" t="s">
        <v>1916</v>
      </c>
      <c r="G5979" s="200" t="s">
        <v>1209</v>
      </c>
      <c r="H5979" s="201"/>
      <c r="I5979" s="201" t="s">
        <v>1253</v>
      </c>
      <c r="J5979" s="197" t="s">
        <v>1455</v>
      </c>
      <c r="K5979" s="202">
        <v>3886332</v>
      </c>
      <c r="L5979" s="202"/>
    </row>
    <row r="5980" spans="1:15" ht="11.25" customHeight="1" x14ac:dyDescent="0.2">
      <c r="A5980" s="191">
        <v>2024</v>
      </c>
      <c r="B5980" s="191">
        <v>10</v>
      </c>
      <c r="C5980" s="191">
        <v>28</v>
      </c>
      <c r="D5980" s="192">
        <f t="shared" si="603"/>
        <v>45593</v>
      </c>
      <c r="E5980" s="193">
        <f t="shared" si="605"/>
        <v>45593</v>
      </c>
      <c r="F5980" s="514"/>
      <c r="G5980" s="194" t="s">
        <v>1209</v>
      </c>
      <c r="H5980" s="195"/>
      <c r="I5980" s="195" t="s">
        <v>1253</v>
      </c>
      <c r="J5980" s="191" t="s">
        <v>46</v>
      </c>
      <c r="K5980" s="196"/>
      <c r="L5980" s="196">
        <v>3886332</v>
      </c>
      <c r="N5980" s="130"/>
    </row>
    <row r="5981" spans="1:15" ht="11.25" customHeight="1" x14ac:dyDescent="0.2">
      <c r="A5981" s="197">
        <v>2024</v>
      </c>
      <c r="B5981" s="197">
        <v>10</v>
      </c>
      <c r="C5981" s="197">
        <v>28</v>
      </c>
      <c r="D5981" s="198">
        <f t="shared" si="603"/>
        <v>45593</v>
      </c>
      <c r="E5981" s="209">
        <f t="shared" si="605"/>
        <v>45593</v>
      </c>
      <c r="F5981" s="513" t="s">
        <v>1280</v>
      </c>
      <c r="G5981" s="200" t="s">
        <v>1209</v>
      </c>
      <c r="H5981" s="201"/>
      <c r="I5981" s="201" t="s">
        <v>369</v>
      </c>
      <c r="J5981" s="197" t="s">
        <v>16</v>
      </c>
      <c r="K5981" s="202">
        <v>974850</v>
      </c>
      <c r="L5981" s="202"/>
    </row>
    <row r="5982" spans="1:15" ht="11.25" customHeight="1" x14ac:dyDescent="0.2">
      <c r="A5982" s="120">
        <v>2024</v>
      </c>
      <c r="B5982" s="120">
        <v>10</v>
      </c>
      <c r="C5982" s="120">
        <v>28</v>
      </c>
      <c r="D5982" s="208">
        <f t="shared" si="603"/>
        <v>45593</v>
      </c>
      <c r="E5982" s="209">
        <f t="shared" si="605"/>
        <v>45593</v>
      </c>
      <c r="F5982" s="515"/>
      <c r="G5982" s="132" t="s">
        <v>1209</v>
      </c>
      <c r="I5982" s="128" t="s">
        <v>369</v>
      </c>
      <c r="J5982" s="120" t="s">
        <v>47</v>
      </c>
      <c r="K5982" s="207">
        <v>154123.79000000004</v>
      </c>
      <c r="L5982" s="207"/>
    </row>
    <row r="5983" spans="1:15" ht="11.25" customHeight="1" x14ac:dyDescent="0.2">
      <c r="A5983" s="191">
        <v>2024</v>
      </c>
      <c r="B5983" s="191">
        <v>10</v>
      </c>
      <c r="C5983" s="191">
        <v>28</v>
      </c>
      <c r="D5983" s="192">
        <f t="shared" si="603"/>
        <v>45593</v>
      </c>
      <c r="E5983" s="193">
        <f t="shared" si="605"/>
        <v>45593</v>
      </c>
      <c r="F5983" s="514"/>
      <c r="G5983" s="194" t="s">
        <v>1209</v>
      </c>
      <c r="H5983" s="195"/>
      <c r="I5983" s="195" t="s">
        <v>369</v>
      </c>
      <c r="J5983" s="191" t="s">
        <v>46</v>
      </c>
      <c r="K5983" s="196"/>
      <c r="L5983" s="196">
        <v>1128973.79</v>
      </c>
    </row>
    <row r="5984" spans="1:15" ht="11.25" customHeight="1" x14ac:dyDescent="0.2">
      <c r="A5984" s="197">
        <v>2024</v>
      </c>
      <c r="B5984" s="197">
        <v>10</v>
      </c>
      <c r="C5984" s="197">
        <v>28</v>
      </c>
      <c r="D5984" s="198">
        <f t="shared" si="603"/>
        <v>45593</v>
      </c>
      <c r="E5984" s="209">
        <f t="shared" ref="E5984:E5986" si="608">DATE(A5984,B5984,C5984)</f>
        <v>45593</v>
      </c>
      <c r="F5984" s="513" t="s">
        <v>1280</v>
      </c>
      <c r="G5984" s="200" t="s">
        <v>1209</v>
      </c>
      <c r="H5984" s="201"/>
      <c r="I5984" s="201" t="s">
        <v>1804</v>
      </c>
      <c r="J5984" s="197" t="s">
        <v>16</v>
      </c>
      <c r="K5984" s="202">
        <v>340210</v>
      </c>
      <c r="L5984" s="202"/>
    </row>
    <row r="5985" spans="1:12" ht="11.25" customHeight="1" x14ac:dyDescent="0.2">
      <c r="A5985" s="120">
        <v>2024</v>
      </c>
      <c r="B5985" s="120">
        <v>10</v>
      </c>
      <c r="C5985" s="120">
        <v>28</v>
      </c>
      <c r="D5985" s="208">
        <f t="shared" si="603"/>
        <v>45593</v>
      </c>
      <c r="E5985" s="209">
        <f t="shared" si="608"/>
        <v>45593</v>
      </c>
      <c r="F5985" s="515"/>
      <c r="G5985" s="132" t="s">
        <v>1209</v>
      </c>
      <c r="I5985" s="128" t="s">
        <v>1804</v>
      </c>
      <c r="J5985" s="120" t="s">
        <v>47</v>
      </c>
      <c r="K5985" s="207">
        <v>53790</v>
      </c>
      <c r="L5985" s="207"/>
    </row>
    <row r="5986" spans="1:12" ht="11.25" customHeight="1" x14ac:dyDescent="0.2">
      <c r="A5986" s="191">
        <v>2024</v>
      </c>
      <c r="B5986" s="191">
        <v>10</v>
      </c>
      <c r="C5986" s="191">
        <v>28</v>
      </c>
      <c r="D5986" s="192">
        <f t="shared" si="603"/>
        <v>45593</v>
      </c>
      <c r="E5986" s="193">
        <f t="shared" si="608"/>
        <v>45593</v>
      </c>
      <c r="F5986" s="514"/>
      <c r="G5986" s="194" t="s">
        <v>1209</v>
      </c>
      <c r="H5986" s="195"/>
      <c r="I5986" s="195" t="s">
        <v>1804</v>
      </c>
      <c r="J5986" s="191" t="s">
        <v>46</v>
      </c>
      <c r="K5986" s="196"/>
      <c r="L5986" s="196">
        <v>394000</v>
      </c>
    </row>
    <row r="5987" spans="1:12" ht="11.25" customHeight="1" x14ac:dyDescent="0.2">
      <c r="A5987" s="197">
        <v>2024</v>
      </c>
      <c r="B5987" s="197">
        <v>10</v>
      </c>
      <c r="C5987" s="197">
        <v>28</v>
      </c>
      <c r="D5987" s="198">
        <f t="shared" si="603"/>
        <v>45593</v>
      </c>
      <c r="E5987" s="209">
        <f t="shared" ref="E5987:E5989" si="609">DATE(A5987,B5987,C5987)</f>
        <v>45593</v>
      </c>
      <c r="F5987" s="513" t="s">
        <v>1280</v>
      </c>
      <c r="G5987" s="200" t="s">
        <v>1209</v>
      </c>
      <c r="H5987" s="201"/>
      <c r="I5987" s="201" t="s">
        <v>301</v>
      </c>
      <c r="J5987" s="197" t="s">
        <v>16</v>
      </c>
      <c r="K5987" s="202">
        <v>474680</v>
      </c>
      <c r="L5987" s="202"/>
    </row>
    <row r="5988" spans="1:12" ht="11.25" customHeight="1" x14ac:dyDescent="0.2">
      <c r="A5988" s="120">
        <v>2024</v>
      </c>
      <c r="B5988" s="120">
        <v>10</v>
      </c>
      <c r="C5988" s="120">
        <v>28</v>
      </c>
      <c r="D5988" s="208">
        <f t="shared" si="603"/>
        <v>45593</v>
      </c>
      <c r="E5988" s="209">
        <f t="shared" si="609"/>
        <v>45593</v>
      </c>
      <c r="F5988" s="515"/>
      <c r="G5988" s="132" t="s">
        <v>1209</v>
      </c>
      <c r="I5988" s="128" t="s">
        <v>301</v>
      </c>
      <c r="J5988" s="120" t="s">
        <v>47</v>
      </c>
      <c r="K5988" s="207">
        <v>75046.910000000033</v>
      </c>
      <c r="L5988" s="207"/>
    </row>
    <row r="5989" spans="1:12" ht="11.25" customHeight="1" x14ac:dyDescent="0.2">
      <c r="A5989" s="191">
        <v>2024</v>
      </c>
      <c r="B5989" s="191">
        <v>10</v>
      </c>
      <c r="C5989" s="191">
        <v>28</v>
      </c>
      <c r="D5989" s="192">
        <f t="shared" si="603"/>
        <v>45593</v>
      </c>
      <c r="E5989" s="193">
        <f t="shared" si="609"/>
        <v>45593</v>
      </c>
      <c r="F5989" s="514"/>
      <c r="G5989" s="194" t="s">
        <v>1209</v>
      </c>
      <c r="H5989" s="195"/>
      <c r="I5989" s="195" t="s">
        <v>301</v>
      </c>
      <c r="J5989" s="191" t="s">
        <v>46</v>
      </c>
      <c r="K5989" s="196"/>
      <c r="L5989" s="196">
        <v>549726.91</v>
      </c>
    </row>
    <row r="5990" spans="1:12" ht="11.25" customHeight="1" x14ac:dyDescent="0.2">
      <c r="A5990" s="197">
        <v>2024</v>
      </c>
      <c r="B5990" s="197">
        <v>10</v>
      </c>
      <c r="C5990" s="197">
        <v>28</v>
      </c>
      <c r="D5990" s="198">
        <f t="shared" si="603"/>
        <v>45593</v>
      </c>
      <c r="E5990" s="209">
        <f t="shared" ref="E5990:E5995" si="610">DATE(A5990,B5990,C5990)</f>
        <v>45593</v>
      </c>
      <c r="F5990" s="513" t="s">
        <v>1280</v>
      </c>
      <c r="G5990" s="200" t="s">
        <v>1209</v>
      </c>
      <c r="H5990" s="201"/>
      <c r="I5990" s="201" t="s">
        <v>351</v>
      </c>
      <c r="J5990" s="197" t="s">
        <v>16</v>
      </c>
      <c r="K5990" s="202">
        <v>1259710</v>
      </c>
      <c r="L5990" s="202"/>
    </row>
    <row r="5991" spans="1:12" ht="11.25" customHeight="1" x14ac:dyDescent="0.2">
      <c r="A5991" s="120">
        <v>2024</v>
      </c>
      <c r="B5991" s="120">
        <v>10</v>
      </c>
      <c r="C5991" s="120">
        <v>28</v>
      </c>
      <c r="D5991" s="208">
        <f t="shared" si="603"/>
        <v>45593</v>
      </c>
      <c r="E5991" s="209">
        <f t="shared" si="610"/>
        <v>45593</v>
      </c>
      <c r="F5991" s="515"/>
      <c r="G5991" s="132" t="s">
        <v>1209</v>
      </c>
      <c r="I5991" s="128" t="s">
        <v>351</v>
      </c>
      <c r="J5991" s="120" t="s">
        <v>47</v>
      </c>
      <c r="K5991" s="207">
        <v>199160.14999999991</v>
      </c>
      <c r="L5991" s="207"/>
    </row>
    <row r="5992" spans="1:12" ht="11.25" customHeight="1" x14ac:dyDescent="0.2">
      <c r="A5992" s="191">
        <v>2024</v>
      </c>
      <c r="B5992" s="191">
        <v>10</v>
      </c>
      <c r="C5992" s="191">
        <v>28</v>
      </c>
      <c r="D5992" s="192">
        <f t="shared" si="603"/>
        <v>45593</v>
      </c>
      <c r="E5992" s="193">
        <f t="shared" si="610"/>
        <v>45593</v>
      </c>
      <c r="F5992" s="514"/>
      <c r="G5992" s="194" t="s">
        <v>1209</v>
      </c>
      <c r="H5992" s="195"/>
      <c r="I5992" s="195" t="s">
        <v>351</v>
      </c>
      <c r="J5992" s="191" t="s">
        <v>46</v>
      </c>
      <c r="K5992" s="196"/>
      <c r="L5992" s="196">
        <v>1458870.15</v>
      </c>
    </row>
    <row r="5993" spans="1:12" ht="11.25" customHeight="1" x14ac:dyDescent="0.2">
      <c r="A5993" s="197">
        <v>2024</v>
      </c>
      <c r="B5993" s="197">
        <v>10</v>
      </c>
      <c r="C5993" s="197">
        <v>28</v>
      </c>
      <c r="D5993" s="198">
        <f t="shared" si="603"/>
        <v>45593</v>
      </c>
      <c r="E5993" s="209">
        <f t="shared" si="610"/>
        <v>45593</v>
      </c>
      <c r="F5993" s="513" t="s">
        <v>1210</v>
      </c>
      <c r="G5993" s="200" t="s">
        <v>1209</v>
      </c>
      <c r="H5993" s="201"/>
      <c r="I5993" s="201" t="s">
        <v>1647</v>
      </c>
      <c r="J5993" s="197" t="s">
        <v>46</v>
      </c>
      <c r="K5993" s="202">
        <v>111600</v>
      </c>
      <c r="L5993" s="202"/>
    </row>
    <row r="5994" spans="1:12" ht="11.25" customHeight="1" x14ac:dyDescent="0.2">
      <c r="A5994" s="120">
        <v>2024</v>
      </c>
      <c r="B5994" s="120">
        <v>10</v>
      </c>
      <c r="C5994" s="120">
        <v>28</v>
      </c>
      <c r="D5994" s="208">
        <f t="shared" si="603"/>
        <v>45593</v>
      </c>
      <c r="E5994" s="209">
        <f t="shared" si="610"/>
        <v>45593</v>
      </c>
      <c r="F5994" s="515"/>
      <c r="G5994" s="132" t="s">
        <v>1209</v>
      </c>
      <c r="I5994" s="128" t="s">
        <v>1647</v>
      </c>
      <c r="J5994" s="120" t="s">
        <v>16</v>
      </c>
      <c r="K5994" s="207"/>
      <c r="L5994" s="207">
        <v>96360</v>
      </c>
    </row>
    <row r="5995" spans="1:12" ht="11.25" customHeight="1" x14ac:dyDescent="0.2">
      <c r="A5995" s="191">
        <v>2024</v>
      </c>
      <c r="B5995" s="191">
        <v>10</v>
      </c>
      <c r="C5995" s="191">
        <v>28</v>
      </c>
      <c r="D5995" s="192">
        <f t="shared" si="603"/>
        <v>45593</v>
      </c>
      <c r="E5995" s="193">
        <f t="shared" si="610"/>
        <v>45593</v>
      </c>
      <c r="F5995" s="514"/>
      <c r="G5995" s="194" t="s">
        <v>1209</v>
      </c>
      <c r="H5995" s="195"/>
      <c r="I5995" s="195" t="s">
        <v>1647</v>
      </c>
      <c r="J5995" s="191" t="s">
        <v>47</v>
      </c>
      <c r="K5995" s="196"/>
      <c r="L5995" s="196">
        <v>15240</v>
      </c>
    </row>
    <row r="5996" spans="1:12" ht="11.25" customHeight="1" x14ac:dyDescent="0.2">
      <c r="A5996" s="197">
        <v>2024</v>
      </c>
      <c r="B5996" s="197">
        <v>10</v>
      </c>
      <c r="C5996" s="197">
        <v>29</v>
      </c>
      <c r="D5996" s="198">
        <f t="shared" ref="D5996:D6059" si="611">DATE(A5996,B5996,C5996)</f>
        <v>45594</v>
      </c>
      <c r="E5996" s="209">
        <f t="shared" ref="E5996:E5998" si="612">DATE(A5996,B5996,C5996)</f>
        <v>45594</v>
      </c>
      <c r="F5996" s="513" t="s">
        <v>1280</v>
      </c>
      <c r="G5996" s="200" t="s">
        <v>1209</v>
      </c>
      <c r="H5996" s="201"/>
      <c r="I5996" s="201" t="s">
        <v>310</v>
      </c>
      <c r="J5996" s="197" t="s">
        <v>16</v>
      </c>
      <c r="K5996" s="202">
        <v>2090850</v>
      </c>
      <c r="L5996" s="202"/>
    </row>
    <row r="5997" spans="1:12" ht="11.25" customHeight="1" x14ac:dyDescent="0.2">
      <c r="A5997" s="120">
        <v>2024</v>
      </c>
      <c r="B5997" s="120">
        <v>10</v>
      </c>
      <c r="C5997" s="120">
        <v>29</v>
      </c>
      <c r="D5997" s="208">
        <f t="shared" si="611"/>
        <v>45594</v>
      </c>
      <c r="E5997" s="209">
        <f t="shared" si="612"/>
        <v>45594</v>
      </c>
      <c r="F5997" s="515"/>
      <c r="G5997" s="132" t="s">
        <v>1209</v>
      </c>
      <c r="I5997" s="128" t="s">
        <v>310</v>
      </c>
      <c r="J5997" s="120" t="s">
        <v>47</v>
      </c>
      <c r="K5997" s="207">
        <v>330567.33999999985</v>
      </c>
      <c r="L5997" s="207"/>
    </row>
    <row r="5998" spans="1:12" ht="11.25" customHeight="1" x14ac:dyDescent="0.2">
      <c r="A5998" s="191">
        <v>2024</v>
      </c>
      <c r="B5998" s="191">
        <v>10</v>
      </c>
      <c r="C5998" s="191">
        <v>29</v>
      </c>
      <c r="D5998" s="192">
        <f t="shared" si="611"/>
        <v>45594</v>
      </c>
      <c r="E5998" s="193">
        <f t="shared" si="612"/>
        <v>45594</v>
      </c>
      <c r="F5998" s="514"/>
      <c r="G5998" s="194" t="s">
        <v>1209</v>
      </c>
      <c r="H5998" s="195"/>
      <c r="I5998" s="195" t="s">
        <v>310</v>
      </c>
      <c r="J5998" s="191" t="s">
        <v>46</v>
      </c>
      <c r="K5998" s="196"/>
      <c r="L5998" s="196">
        <v>2421417.34</v>
      </c>
    </row>
    <row r="5999" spans="1:12" ht="11.25" customHeight="1" x14ac:dyDescent="0.2">
      <c r="A5999" s="197">
        <v>2024</v>
      </c>
      <c r="B5999" s="197">
        <v>10</v>
      </c>
      <c r="C5999" s="197">
        <v>29</v>
      </c>
      <c r="D5999" s="198">
        <f t="shared" si="611"/>
        <v>45594</v>
      </c>
      <c r="E5999" s="209">
        <f t="shared" ref="E5999:E6001" si="613">DATE(A5999,B5999,C5999)</f>
        <v>45594</v>
      </c>
      <c r="F5999" s="513" t="s">
        <v>1210</v>
      </c>
      <c r="G5999" s="200" t="s">
        <v>1209</v>
      </c>
      <c r="H5999" s="201"/>
      <c r="I5999" s="201" t="s">
        <v>1491</v>
      </c>
      <c r="J5999" s="197" t="s">
        <v>46</v>
      </c>
      <c r="K5999" s="202">
        <v>2000</v>
      </c>
      <c r="L5999" s="202"/>
    </row>
    <row r="6000" spans="1:12" ht="11.25" customHeight="1" x14ac:dyDescent="0.2">
      <c r="A6000" s="120">
        <v>2024</v>
      </c>
      <c r="B6000" s="120">
        <v>10</v>
      </c>
      <c r="C6000" s="120">
        <v>29</v>
      </c>
      <c r="D6000" s="208">
        <f t="shared" si="611"/>
        <v>45594</v>
      </c>
      <c r="E6000" s="209">
        <f t="shared" si="613"/>
        <v>45594</v>
      </c>
      <c r="F6000" s="515"/>
      <c r="G6000" s="132" t="s">
        <v>1209</v>
      </c>
      <c r="I6000" s="128" t="s">
        <v>1491</v>
      </c>
      <c r="J6000" s="120" t="s">
        <v>16</v>
      </c>
      <c r="K6000" s="207"/>
      <c r="L6000" s="207">
        <v>1730</v>
      </c>
    </row>
    <row r="6001" spans="1:15" ht="11.25" customHeight="1" x14ac:dyDescent="0.2">
      <c r="A6001" s="191">
        <v>2024</v>
      </c>
      <c r="B6001" s="191">
        <v>10</v>
      </c>
      <c r="C6001" s="191">
        <v>29</v>
      </c>
      <c r="D6001" s="192">
        <f t="shared" si="611"/>
        <v>45594</v>
      </c>
      <c r="E6001" s="193">
        <f t="shared" si="613"/>
        <v>45594</v>
      </c>
      <c r="F6001" s="514"/>
      <c r="G6001" s="194" t="s">
        <v>1209</v>
      </c>
      <c r="H6001" s="195"/>
      <c r="I6001" s="195" t="s">
        <v>1491</v>
      </c>
      <c r="J6001" s="191" t="s">
        <v>47</v>
      </c>
      <c r="K6001" s="196"/>
      <c r="L6001" s="196">
        <v>270</v>
      </c>
    </row>
    <row r="6002" spans="1:15" ht="11.25" customHeight="1" x14ac:dyDescent="0.2">
      <c r="A6002" s="197">
        <v>2024</v>
      </c>
      <c r="B6002" s="197">
        <v>10</v>
      </c>
      <c r="C6002" s="197">
        <v>30</v>
      </c>
      <c r="D6002" s="198">
        <f t="shared" si="611"/>
        <v>45595</v>
      </c>
      <c r="E6002" s="209">
        <f t="shared" ref="E6002:E6004" si="614">DATE(A6002,B6002,C6002)</f>
        <v>45595</v>
      </c>
      <c r="F6002" s="513" t="s">
        <v>1280</v>
      </c>
      <c r="G6002" s="200" t="s">
        <v>1209</v>
      </c>
      <c r="H6002" s="201"/>
      <c r="I6002" s="201" t="s">
        <v>742</v>
      </c>
      <c r="J6002" s="197" t="s">
        <v>16</v>
      </c>
      <c r="K6002" s="202">
        <v>345390</v>
      </c>
      <c r="L6002" s="202"/>
    </row>
    <row r="6003" spans="1:15" ht="11.25" customHeight="1" x14ac:dyDescent="0.2">
      <c r="A6003" s="120">
        <v>2024</v>
      </c>
      <c r="B6003" s="120">
        <v>10</v>
      </c>
      <c r="C6003" s="120">
        <v>30</v>
      </c>
      <c r="D6003" s="208">
        <f t="shared" si="611"/>
        <v>45595</v>
      </c>
      <c r="E6003" s="209">
        <f t="shared" si="614"/>
        <v>45595</v>
      </c>
      <c r="F6003" s="515"/>
      <c r="G6003" s="132" t="s">
        <v>1209</v>
      </c>
      <c r="I6003" s="128" t="s">
        <v>742</v>
      </c>
      <c r="J6003" s="120" t="s">
        <v>47</v>
      </c>
      <c r="K6003" s="207">
        <v>54610</v>
      </c>
      <c r="L6003" s="207"/>
    </row>
    <row r="6004" spans="1:15" ht="11.25" customHeight="1" x14ac:dyDescent="0.2">
      <c r="A6004" s="191">
        <v>2024</v>
      </c>
      <c r="B6004" s="191">
        <v>10</v>
      </c>
      <c r="C6004" s="191">
        <v>30</v>
      </c>
      <c r="D6004" s="192">
        <f t="shared" si="611"/>
        <v>45595</v>
      </c>
      <c r="E6004" s="193">
        <f t="shared" si="614"/>
        <v>45595</v>
      </c>
      <c r="F6004" s="514"/>
      <c r="G6004" s="194" t="s">
        <v>1209</v>
      </c>
      <c r="H6004" s="195"/>
      <c r="I6004" s="195" t="s">
        <v>742</v>
      </c>
      <c r="J6004" s="191" t="s">
        <v>46</v>
      </c>
      <c r="K6004" s="196"/>
      <c r="L6004" s="196">
        <v>400000</v>
      </c>
    </row>
    <row r="6005" spans="1:15" ht="11.25" customHeight="1" x14ac:dyDescent="0.2">
      <c r="A6005" s="197">
        <v>2024</v>
      </c>
      <c r="B6005" s="197">
        <v>10</v>
      </c>
      <c r="C6005" s="197">
        <v>30</v>
      </c>
      <c r="D6005" s="198">
        <f t="shared" si="611"/>
        <v>45595</v>
      </c>
      <c r="E6005" s="209">
        <f t="shared" ref="E6005:E6012" si="615">DATE(A6005,B6005,C6005)</f>
        <v>45595</v>
      </c>
      <c r="F6005" s="513" t="s">
        <v>1280</v>
      </c>
      <c r="G6005" s="200" t="s">
        <v>1209</v>
      </c>
      <c r="H6005" s="201"/>
      <c r="I6005" s="201" t="s">
        <v>1243</v>
      </c>
      <c r="J6005" s="197" t="s">
        <v>16</v>
      </c>
      <c r="K6005" s="202">
        <v>259040</v>
      </c>
      <c r="L6005" s="202"/>
    </row>
    <row r="6006" spans="1:15" ht="11.25" customHeight="1" x14ac:dyDescent="0.2">
      <c r="A6006" s="120">
        <v>2024</v>
      </c>
      <c r="B6006" s="120">
        <v>10</v>
      </c>
      <c r="C6006" s="120">
        <v>30</v>
      </c>
      <c r="D6006" s="208">
        <f t="shared" si="611"/>
        <v>45595</v>
      </c>
      <c r="E6006" s="209">
        <f t="shared" si="615"/>
        <v>45595</v>
      </c>
      <c r="F6006" s="515"/>
      <c r="G6006" s="132" t="s">
        <v>1209</v>
      </c>
      <c r="I6006" s="128" t="s">
        <v>1243</v>
      </c>
      <c r="J6006" s="120" t="s">
        <v>47</v>
      </c>
      <c r="K6006" s="207">
        <v>40960</v>
      </c>
      <c r="L6006" s="207"/>
    </row>
    <row r="6007" spans="1:15" ht="11.25" customHeight="1" x14ac:dyDescent="0.2">
      <c r="A6007" s="191">
        <v>2024</v>
      </c>
      <c r="B6007" s="191">
        <v>10</v>
      </c>
      <c r="C6007" s="191">
        <v>30</v>
      </c>
      <c r="D6007" s="192">
        <f t="shared" si="611"/>
        <v>45595</v>
      </c>
      <c r="E6007" s="193">
        <f t="shared" si="615"/>
        <v>45595</v>
      </c>
      <c r="F6007" s="514"/>
      <c r="G6007" s="194" t="s">
        <v>1209</v>
      </c>
      <c r="H6007" s="195"/>
      <c r="I6007" s="195" t="s">
        <v>1243</v>
      </c>
      <c r="J6007" s="191" t="s">
        <v>46</v>
      </c>
      <c r="K6007" s="196"/>
      <c r="L6007" s="196">
        <v>300000</v>
      </c>
    </row>
    <row r="6008" spans="1:15" ht="11.25" customHeight="1" x14ac:dyDescent="0.2">
      <c r="A6008" s="197">
        <v>2024</v>
      </c>
      <c r="B6008" s="197">
        <v>10</v>
      </c>
      <c r="C6008" s="197">
        <v>30</v>
      </c>
      <c r="D6008" s="198">
        <f t="shared" si="611"/>
        <v>45595</v>
      </c>
      <c r="E6008" s="290">
        <f>DATE(A6008,B6008,C6008)</f>
        <v>45595</v>
      </c>
      <c r="F6008" s="513" t="s">
        <v>1514</v>
      </c>
      <c r="G6008" s="200" t="s">
        <v>1209</v>
      </c>
      <c r="H6008" s="201"/>
      <c r="I6008" s="201"/>
      <c r="J6008" s="197" t="s">
        <v>54</v>
      </c>
      <c r="K6008" s="202">
        <v>58</v>
      </c>
      <c r="L6008" s="202"/>
      <c r="M6008" s="251"/>
      <c r="N6008" s="251"/>
      <c r="O6008" s="251"/>
    </row>
    <row r="6009" spans="1:15" ht="11.25" customHeight="1" x14ac:dyDescent="0.2">
      <c r="A6009" s="191">
        <v>2024</v>
      </c>
      <c r="B6009" s="191">
        <v>10</v>
      </c>
      <c r="C6009" s="191">
        <v>30</v>
      </c>
      <c r="D6009" s="192">
        <f t="shared" si="611"/>
        <v>45595</v>
      </c>
      <c r="E6009" s="291">
        <f>DATE(A6009,B6009,C6009)</f>
        <v>45595</v>
      </c>
      <c r="F6009" s="514"/>
      <c r="G6009" s="194" t="s">
        <v>1209</v>
      </c>
      <c r="H6009" s="195"/>
      <c r="I6009" s="195"/>
      <c r="J6009" s="191" t="s">
        <v>46</v>
      </c>
      <c r="K6009" s="196"/>
      <c r="L6009" s="196">
        <v>58</v>
      </c>
      <c r="M6009" s="251"/>
      <c r="N6009" s="251"/>
      <c r="O6009" s="251"/>
    </row>
    <row r="6010" spans="1:15" ht="11.25" customHeight="1" x14ac:dyDescent="0.2">
      <c r="A6010" s="197">
        <v>2024</v>
      </c>
      <c r="B6010" s="197">
        <v>10</v>
      </c>
      <c r="C6010" s="197">
        <v>30</v>
      </c>
      <c r="D6010" s="198">
        <f t="shared" si="611"/>
        <v>45595</v>
      </c>
      <c r="E6010" s="209">
        <f t="shared" si="615"/>
        <v>45595</v>
      </c>
      <c r="F6010" s="513" t="s">
        <v>1280</v>
      </c>
      <c r="G6010" s="200" t="s">
        <v>1209</v>
      </c>
      <c r="H6010" s="201"/>
      <c r="I6010" s="201" t="s">
        <v>1849</v>
      </c>
      <c r="J6010" s="197" t="s">
        <v>16</v>
      </c>
      <c r="K6010" s="202">
        <v>863480</v>
      </c>
      <c r="L6010" s="202"/>
    </row>
    <row r="6011" spans="1:15" ht="11.25" customHeight="1" x14ac:dyDescent="0.2">
      <c r="A6011" s="120">
        <v>2024</v>
      </c>
      <c r="B6011" s="120">
        <v>10</v>
      </c>
      <c r="C6011" s="120">
        <v>30</v>
      </c>
      <c r="D6011" s="208">
        <f t="shared" si="611"/>
        <v>45595</v>
      </c>
      <c r="E6011" s="209">
        <f t="shared" si="615"/>
        <v>45595</v>
      </c>
      <c r="F6011" s="515"/>
      <c r="G6011" s="132" t="s">
        <v>1209</v>
      </c>
      <c r="I6011" s="128" t="s">
        <v>1849</v>
      </c>
      <c r="J6011" s="120" t="s">
        <v>47</v>
      </c>
      <c r="K6011" s="207">
        <v>136520</v>
      </c>
      <c r="L6011" s="207"/>
    </row>
    <row r="6012" spans="1:15" ht="11.25" customHeight="1" x14ac:dyDescent="0.2">
      <c r="A6012" s="191">
        <v>2024</v>
      </c>
      <c r="B6012" s="191">
        <v>10</v>
      </c>
      <c r="C6012" s="191">
        <v>30</v>
      </c>
      <c r="D6012" s="192">
        <f t="shared" si="611"/>
        <v>45595</v>
      </c>
      <c r="E6012" s="193">
        <f t="shared" si="615"/>
        <v>45595</v>
      </c>
      <c r="F6012" s="514"/>
      <c r="G6012" s="194" t="s">
        <v>1209</v>
      </c>
      <c r="H6012" s="195"/>
      <c r="I6012" s="195" t="s">
        <v>1849</v>
      </c>
      <c r="J6012" s="191" t="s">
        <v>46</v>
      </c>
      <c r="K6012" s="196"/>
      <c r="L6012" s="196">
        <v>1000000</v>
      </c>
    </row>
    <row r="6013" spans="1:15" ht="11.25" customHeight="1" x14ac:dyDescent="0.2">
      <c r="A6013" s="197">
        <v>2024</v>
      </c>
      <c r="B6013" s="197">
        <v>10</v>
      </c>
      <c r="C6013" s="197">
        <v>30</v>
      </c>
      <c r="D6013" s="198">
        <f t="shared" si="611"/>
        <v>45595</v>
      </c>
      <c r="E6013" s="290">
        <f>DATE(A6013,B6013,C6013)</f>
        <v>45595</v>
      </c>
      <c r="F6013" s="513" t="s">
        <v>1514</v>
      </c>
      <c r="G6013" s="200" t="s">
        <v>1209</v>
      </c>
      <c r="H6013" s="201"/>
      <c r="I6013" s="201"/>
      <c r="J6013" s="197" t="s">
        <v>54</v>
      </c>
      <c r="K6013" s="202">
        <v>100</v>
      </c>
      <c r="L6013" s="202"/>
      <c r="M6013" s="251"/>
      <c r="N6013" s="251"/>
      <c r="O6013" s="251"/>
    </row>
    <row r="6014" spans="1:15" ht="11.25" customHeight="1" x14ac:dyDescent="0.2">
      <c r="A6014" s="191">
        <v>2024</v>
      </c>
      <c r="B6014" s="191">
        <v>10</v>
      </c>
      <c r="C6014" s="191">
        <v>30</v>
      </c>
      <c r="D6014" s="192">
        <f t="shared" si="611"/>
        <v>45595</v>
      </c>
      <c r="E6014" s="291">
        <f>DATE(A6014,B6014,C6014)</f>
        <v>45595</v>
      </c>
      <c r="F6014" s="514"/>
      <c r="G6014" s="194" t="s">
        <v>1209</v>
      </c>
      <c r="H6014" s="195"/>
      <c r="I6014" s="195"/>
      <c r="J6014" s="191" t="s">
        <v>46</v>
      </c>
      <c r="K6014" s="196"/>
      <c r="L6014" s="196">
        <v>100</v>
      </c>
      <c r="M6014" s="251"/>
      <c r="N6014" s="251"/>
      <c r="O6014" s="251"/>
    </row>
    <row r="6015" spans="1:15" ht="11.25" customHeight="1" x14ac:dyDescent="0.2">
      <c r="A6015" s="197">
        <v>2024</v>
      </c>
      <c r="B6015" s="197">
        <v>10</v>
      </c>
      <c r="C6015" s="197">
        <v>30</v>
      </c>
      <c r="D6015" s="198">
        <f t="shared" si="611"/>
        <v>45595</v>
      </c>
      <c r="E6015" s="209">
        <f t="shared" ref="E6015:E6022" si="616">DATE(A6015,B6015,C6015)</f>
        <v>45595</v>
      </c>
      <c r="F6015" s="513" t="s">
        <v>1280</v>
      </c>
      <c r="G6015" s="200" t="s">
        <v>1209</v>
      </c>
      <c r="H6015" s="201"/>
      <c r="I6015" s="201" t="s">
        <v>1849</v>
      </c>
      <c r="J6015" s="197" t="s">
        <v>16</v>
      </c>
      <c r="K6015" s="202">
        <v>259040</v>
      </c>
      <c r="L6015" s="202"/>
    </row>
    <row r="6016" spans="1:15" ht="11.25" customHeight="1" x14ac:dyDescent="0.2">
      <c r="A6016" s="120">
        <v>2024</v>
      </c>
      <c r="B6016" s="120">
        <v>10</v>
      </c>
      <c r="C6016" s="120">
        <v>30</v>
      </c>
      <c r="D6016" s="208">
        <f t="shared" si="611"/>
        <v>45595</v>
      </c>
      <c r="E6016" s="209">
        <f t="shared" si="616"/>
        <v>45595</v>
      </c>
      <c r="F6016" s="515"/>
      <c r="G6016" s="132" t="s">
        <v>1209</v>
      </c>
      <c r="I6016" s="128" t="s">
        <v>1849</v>
      </c>
      <c r="J6016" s="120" t="s">
        <v>47</v>
      </c>
      <c r="K6016" s="207">
        <v>40960</v>
      </c>
      <c r="L6016" s="207"/>
    </row>
    <row r="6017" spans="1:15" ht="11.25" customHeight="1" x14ac:dyDescent="0.2">
      <c r="A6017" s="191">
        <v>2024</v>
      </c>
      <c r="B6017" s="191">
        <v>10</v>
      </c>
      <c r="C6017" s="191">
        <v>30</v>
      </c>
      <c r="D6017" s="192">
        <f t="shared" si="611"/>
        <v>45595</v>
      </c>
      <c r="E6017" s="193">
        <f t="shared" si="616"/>
        <v>45595</v>
      </c>
      <c r="F6017" s="514"/>
      <c r="G6017" s="194" t="s">
        <v>1209</v>
      </c>
      <c r="H6017" s="195"/>
      <c r="I6017" s="195" t="s">
        <v>1849</v>
      </c>
      <c r="J6017" s="191" t="s">
        <v>46</v>
      </c>
      <c r="K6017" s="196"/>
      <c r="L6017" s="196">
        <v>300000</v>
      </c>
    </row>
    <row r="6018" spans="1:15" ht="11.25" customHeight="1" x14ac:dyDescent="0.2">
      <c r="A6018" s="197">
        <v>2024</v>
      </c>
      <c r="B6018" s="197">
        <v>10</v>
      </c>
      <c r="C6018" s="197">
        <v>30</v>
      </c>
      <c r="D6018" s="198">
        <f t="shared" si="611"/>
        <v>45595</v>
      </c>
      <c r="E6018" s="290">
        <f>DATE(A6018,B6018,C6018)</f>
        <v>45595</v>
      </c>
      <c r="F6018" s="513" t="s">
        <v>1514</v>
      </c>
      <c r="G6018" s="200" t="s">
        <v>1209</v>
      </c>
      <c r="H6018" s="201"/>
      <c r="I6018" s="201"/>
      <c r="J6018" s="197" t="s">
        <v>54</v>
      </c>
      <c r="K6018" s="202">
        <v>58</v>
      </c>
      <c r="L6018" s="202"/>
      <c r="M6018" s="251"/>
      <c r="N6018" s="251"/>
      <c r="O6018" s="251"/>
    </row>
    <row r="6019" spans="1:15" ht="11.25" customHeight="1" x14ac:dyDescent="0.2">
      <c r="A6019" s="191">
        <v>2024</v>
      </c>
      <c r="B6019" s="191">
        <v>10</v>
      </c>
      <c r="C6019" s="191">
        <v>30</v>
      </c>
      <c r="D6019" s="192">
        <f t="shared" si="611"/>
        <v>45595</v>
      </c>
      <c r="E6019" s="291">
        <f>DATE(A6019,B6019,C6019)</f>
        <v>45595</v>
      </c>
      <c r="F6019" s="514"/>
      <c r="G6019" s="194" t="s">
        <v>1209</v>
      </c>
      <c r="H6019" s="195"/>
      <c r="I6019" s="195"/>
      <c r="J6019" s="191" t="s">
        <v>46</v>
      </c>
      <c r="K6019" s="196"/>
      <c r="L6019" s="196">
        <v>58</v>
      </c>
      <c r="M6019" s="251"/>
      <c r="N6019" s="251"/>
      <c r="O6019" s="251"/>
    </row>
    <row r="6020" spans="1:15" ht="11.25" customHeight="1" x14ac:dyDescent="0.2">
      <c r="A6020" s="197">
        <v>2024</v>
      </c>
      <c r="B6020" s="197">
        <v>10</v>
      </c>
      <c r="C6020" s="197">
        <v>30</v>
      </c>
      <c r="D6020" s="198">
        <f t="shared" si="611"/>
        <v>45595</v>
      </c>
      <c r="E6020" s="209">
        <f t="shared" si="616"/>
        <v>45595</v>
      </c>
      <c r="F6020" s="513" t="s">
        <v>1210</v>
      </c>
      <c r="G6020" s="200" t="s">
        <v>1209</v>
      </c>
      <c r="H6020" s="201"/>
      <c r="I6020" s="201" t="s">
        <v>1647</v>
      </c>
      <c r="J6020" s="197" t="s">
        <v>46</v>
      </c>
      <c r="K6020" s="202">
        <v>25000</v>
      </c>
      <c r="L6020" s="202"/>
    </row>
    <row r="6021" spans="1:15" ht="11.25" customHeight="1" x14ac:dyDescent="0.2">
      <c r="A6021" s="120">
        <v>2024</v>
      </c>
      <c r="B6021" s="120">
        <v>10</v>
      </c>
      <c r="C6021" s="120">
        <v>30</v>
      </c>
      <c r="D6021" s="208">
        <f t="shared" si="611"/>
        <v>45595</v>
      </c>
      <c r="E6021" s="209">
        <f t="shared" si="616"/>
        <v>45595</v>
      </c>
      <c r="F6021" s="515"/>
      <c r="G6021" s="132" t="s">
        <v>1209</v>
      </c>
      <c r="I6021" s="128" t="s">
        <v>1647</v>
      </c>
      <c r="J6021" s="120" t="s">
        <v>16</v>
      </c>
      <c r="K6021" s="207"/>
      <c r="L6021" s="207">
        <v>21590</v>
      </c>
    </row>
    <row r="6022" spans="1:15" ht="11.25" customHeight="1" x14ac:dyDescent="0.2">
      <c r="A6022" s="191">
        <v>2024</v>
      </c>
      <c r="B6022" s="191">
        <v>10</v>
      </c>
      <c r="C6022" s="191">
        <v>30</v>
      </c>
      <c r="D6022" s="192">
        <f t="shared" si="611"/>
        <v>45595</v>
      </c>
      <c r="E6022" s="193">
        <f t="shared" si="616"/>
        <v>45595</v>
      </c>
      <c r="F6022" s="514"/>
      <c r="G6022" s="194" t="s">
        <v>1209</v>
      </c>
      <c r="H6022" s="195"/>
      <c r="I6022" s="195" t="s">
        <v>1647</v>
      </c>
      <c r="J6022" s="191" t="s">
        <v>47</v>
      </c>
      <c r="K6022" s="196"/>
      <c r="L6022" s="196">
        <v>3410</v>
      </c>
    </row>
    <row r="6023" spans="1:15" ht="11.25" customHeight="1" x14ac:dyDescent="0.2">
      <c r="A6023" s="197">
        <v>2024</v>
      </c>
      <c r="B6023" s="197">
        <v>10</v>
      </c>
      <c r="C6023" s="197">
        <v>31</v>
      </c>
      <c r="D6023" s="198">
        <f t="shared" si="611"/>
        <v>45596</v>
      </c>
      <c r="E6023" s="209">
        <f t="shared" ref="E6023:E6040" si="617">DATE(A6023,B6023,C6023)</f>
        <v>45596</v>
      </c>
      <c r="F6023" s="513" t="s">
        <v>1210</v>
      </c>
      <c r="G6023" s="200" t="s">
        <v>1209</v>
      </c>
      <c r="H6023" s="201"/>
      <c r="I6023" s="201" t="s">
        <v>1647</v>
      </c>
      <c r="J6023" s="197" t="s">
        <v>46</v>
      </c>
      <c r="K6023" s="202">
        <v>170000</v>
      </c>
      <c r="L6023" s="202"/>
    </row>
    <row r="6024" spans="1:15" ht="11.25" customHeight="1" x14ac:dyDescent="0.2">
      <c r="A6024" s="120">
        <v>2024</v>
      </c>
      <c r="B6024" s="120">
        <v>10</v>
      </c>
      <c r="C6024" s="120">
        <v>31</v>
      </c>
      <c r="D6024" s="208">
        <f t="shared" si="611"/>
        <v>45596</v>
      </c>
      <c r="E6024" s="209">
        <f t="shared" si="617"/>
        <v>45596</v>
      </c>
      <c r="F6024" s="515"/>
      <c r="G6024" s="132" t="s">
        <v>1209</v>
      </c>
      <c r="I6024" s="128" t="s">
        <v>1647</v>
      </c>
      <c r="J6024" s="120" t="s">
        <v>16</v>
      </c>
      <c r="K6024" s="207"/>
      <c r="L6024" s="207">
        <v>146790</v>
      </c>
    </row>
    <row r="6025" spans="1:15" ht="11.25" customHeight="1" x14ac:dyDescent="0.2">
      <c r="A6025" s="191">
        <v>2024</v>
      </c>
      <c r="B6025" s="191">
        <v>10</v>
      </c>
      <c r="C6025" s="191">
        <v>31</v>
      </c>
      <c r="D6025" s="192">
        <f t="shared" si="611"/>
        <v>45596</v>
      </c>
      <c r="E6025" s="193">
        <f t="shared" si="617"/>
        <v>45596</v>
      </c>
      <c r="F6025" s="514"/>
      <c r="G6025" s="194" t="s">
        <v>1209</v>
      </c>
      <c r="H6025" s="195"/>
      <c r="I6025" s="195" t="s">
        <v>1647</v>
      </c>
      <c r="J6025" s="191" t="s">
        <v>47</v>
      </c>
      <c r="K6025" s="196"/>
      <c r="L6025" s="196">
        <v>23210</v>
      </c>
    </row>
    <row r="6026" spans="1:15" ht="11.25" customHeight="1" x14ac:dyDescent="0.2">
      <c r="A6026" s="197">
        <v>2024</v>
      </c>
      <c r="B6026" s="197">
        <v>10</v>
      </c>
      <c r="C6026" s="197">
        <v>31</v>
      </c>
      <c r="D6026" s="198">
        <f t="shared" si="611"/>
        <v>45596</v>
      </c>
      <c r="E6026" s="209">
        <f t="shared" ref="E6026:E6028" si="618">DATE(A6026,B6026,C6026)</f>
        <v>45596</v>
      </c>
      <c r="F6026" s="513" t="s">
        <v>1280</v>
      </c>
      <c r="G6026" s="200" t="s">
        <v>1209</v>
      </c>
      <c r="H6026" s="201"/>
      <c r="I6026" s="201" t="s">
        <v>299</v>
      </c>
      <c r="J6026" s="197" t="s">
        <v>16</v>
      </c>
      <c r="K6026" s="202">
        <v>1726970</v>
      </c>
      <c r="L6026" s="202"/>
    </row>
    <row r="6027" spans="1:15" ht="11.25" customHeight="1" x14ac:dyDescent="0.2">
      <c r="A6027" s="120">
        <v>2024</v>
      </c>
      <c r="B6027" s="120">
        <v>10</v>
      </c>
      <c r="C6027" s="120">
        <v>31</v>
      </c>
      <c r="D6027" s="208">
        <f t="shared" si="611"/>
        <v>45596</v>
      </c>
      <c r="E6027" s="209">
        <f t="shared" si="618"/>
        <v>45596</v>
      </c>
      <c r="F6027" s="515"/>
      <c r="G6027" s="132" t="s">
        <v>1209</v>
      </c>
      <c r="I6027" s="128" t="s">
        <v>299</v>
      </c>
      <c r="J6027" s="120" t="s">
        <v>47</v>
      </c>
      <c r="K6027" s="207">
        <v>273030</v>
      </c>
      <c r="L6027" s="207"/>
    </row>
    <row r="6028" spans="1:15" ht="11.25" customHeight="1" x14ac:dyDescent="0.2">
      <c r="A6028" s="191">
        <v>2024</v>
      </c>
      <c r="B6028" s="191">
        <v>10</v>
      </c>
      <c r="C6028" s="191">
        <v>31</v>
      </c>
      <c r="D6028" s="192">
        <f t="shared" si="611"/>
        <v>45596</v>
      </c>
      <c r="E6028" s="193">
        <f t="shared" si="618"/>
        <v>45596</v>
      </c>
      <c r="F6028" s="514"/>
      <c r="G6028" s="194" t="s">
        <v>1209</v>
      </c>
      <c r="H6028" s="195"/>
      <c r="I6028" s="195" t="s">
        <v>299</v>
      </c>
      <c r="J6028" s="191" t="s">
        <v>46</v>
      </c>
      <c r="K6028" s="196"/>
      <c r="L6028" s="196">
        <v>2000000</v>
      </c>
    </row>
    <row r="6029" spans="1:15" ht="11.25" customHeight="1" x14ac:dyDescent="0.2">
      <c r="A6029" s="197">
        <v>2024</v>
      </c>
      <c r="B6029" s="197">
        <v>10</v>
      </c>
      <c r="C6029" s="197">
        <v>31</v>
      </c>
      <c r="D6029" s="198">
        <f t="shared" si="611"/>
        <v>45596</v>
      </c>
      <c r="E6029" s="209">
        <f t="shared" ref="E6029:E6031" si="619">DATE(A6029,B6029,C6029)</f>
        <v>45596</v>
      </c>
      <c r="F6029" s="513" t="s">
        <v>1280</v>
      </c>
      <c r="G6029" s="200" t="s">
        <v>1209</v>
      </c>
      <c r="H6029" s="201"/>
      <c r="I6029" s="201" t="s">
        <v>399</v>
      </c>
      <c r="J6029" s="197" t="s">
        <v>16</v>
      </c>
      <c r="K6029" s="202">
        <v>8670</v>
      </c>
      <c r="L6029" s="202"/>
    </row>
    <row r="6030" spans="1:15" ht="11.25" customHeight="1" x14ac:dyDescent="0.2">
      <c r="A6030" s="120">
        <v>2024</v>
      </c>
      <c r="B6030" s="120">
        <v>10</v>
      </c>
      <c r="C6030" s="120">
        <v>31</v>
      </c>
      <c r="D6030" s="208">
        <f t="shared" si="611"/>
        <v>45596</v>
      </c>
      <c r="E6030" s="209">
        <f t="shared" si="619"/>
        <v>45596</v>
      </c>
      <c r="F6030" s="515"/>
      <c r="G6030" s="132" t="s">
        <v>1209</v>
      </c>
      <c r="I6030" s="128" t="s">
        <v>399</v>
      </c>
      <c r="J6030" s="120" t="s">
        <v>47</v>
      </c>
      <c r="K6030" s="207">
        <v>1370.7299999999996</v>
      </c>
      <c r="L6030" s="207"/>
    </row>
    <row r="6031" spans="1:15" ht="11.25" customHeight="1" x14ac:dyDescent="0.2">
      <c r="A6031" s="191">
        <v>2024</v>
      </c>
      <c r="B6031" s="191">
        <v>10</v>
      </c>
      <c r="C6031" s="191">
        <v>31</v>
      </c>
      <c r="D6031" s="192">
        <f t="shared" si="611"/>
        <v>45596</v>
      </c>
      <c r="E6031" s="193">
        <f t="shared" si="619"/>
        <v>45596</v>
      </c>
      <c r="F6031" s="514"/>
      <c r="G6031" s="194" t="s">
        <v>1209</v>
      </c>
      <c r="H6031" s="195"/>
      <c r="I6031" s="195" t="s">
        <v>399</v>
      </c>
      <c r="J6031" s="191" t="s">
        <v>46</v>
      </c>
      <c r="K6031" s="196"/>
      <c r="L6031" s="196">
        <v>10040.73</v>
      </c>
    </row>
    <row r="6032" spans="1:15" ht="11.25" customHeight="1" x14ac:dyDescent="0.2">
      <c r="A6032" s="424">
        <v>2024</v>
      </c>
      <c r="B6032" s="424">
        <v>10</v>
      </c>
      <c r="C6032" s="424">
        <v>31</v>
      </c>
      <c r="D6032" s="425">
        <f t="shared" si="611"/>
        <v>45596</v>
      </c>
      <c r="E6032" s="384">
        <f t="shared" si="617"/>
        <v>45596</v>
      </c>
      <c r="F6032" s="516" t="s">
        <v>1850</v>
      </c>
      <c r="G6032" s="426" t="s">
        <v>1209</v>
      </c>
      <c r="H6032" s="427"/>
      <c r="I6032" s="427"/>
      <c r="J6032" s="428" t="s">
        <v>81</v>
      </c>
      <c r="K6032" s="429">
        <v>6973.2450980392159</v>
      </c>
      <c r="L6032" s="429"/>
    </row>
    <row r="6033" spans="1:12" ht="11.25" customHeight="1" x14ac:dyDescent="0.2">
      <c r="A6033" s="389">
        <v>2024</v>
      </c>
      <c r="B6033" s="389">
        <v>10</v>
      </c>
      <c r="C6033" s="389">
        <v>31</v>
      </c>
      <c r="D6033" s="390">
        <f t="shared" si="611"/>
        <v>45596</v>
      </c>
      <c r="E6033" s="391">
        <f t="shared" si="617"/>
        <v>45596</v>
      </c>
      <c r="F6033" s="517"/>
      <c r="G6033" s="392" t="s">
        <v>1209</v>
      </c>
      <c r="H6033" s="393"/>
      <c r="I6033" s="393"/>
      <c r="J6033" s="394" t="s">
        <v>1847</v>
      </c>
      <c r="K6033" s="423"/>
      <c r="L6033" s="423">
        <v>6973.2450980392159</v>
      </c>
    </row>
    <row r="6034" spans="1:12" ht="11.25" customHeight="1" x14ac:dyDescent="0.2">
      <c r="A6034" s="382">
        <v>2024</v>
      </c>
      <c r="B6034" s="382">
        <v>10</v>
      </c>
      <c r="C6034" s="382">
        <v>31</v>
      </c>
      <c r="D6034" s="383">
        <f t="shared" si="611"/>
        <v>45596</v>
      </c>
      <c r="E6034" s="384">
        <f t="shared" si="617"/>
        <v>45596</v>
      </c>
      <c r="F6034" s="516" t="s">
        <v>1892</v>
      </c>
      <c r="G6034" s="385" t="s">
        <v>1209</v>
      </c>
      <c r="H6034" s="386"/>
      <c r="I6034" s="386"/>
      <c r="J6034" s="387" t="s">
        <v>173</v>
      </c>
      <c r="K6034" s="388">
        <v>4279.2184721770818</v>
      </c>
      <c r="L6034" s="388"/>
    </row>
    <row r="6035" spans="1:12" ht="11.25" customHeight="1" x14ac:dyDescent="0.2">
      <c r="A6035" s="389">
        <v>2024</v>
      </c>
      <c r="B6035" s="389">
        <v>10</v>
      </c>
      <c r="C6035" s="389">
        <v>31</v>
      </c>
      <c r="D6035" s="390">
        <f t="shared" si="611"/>
        <v>45596</v>
      </c>
      <c r="E6035" s="391">
        <f t="shared" si="617"/>
        <v>45596</v>
      </c>
      <c r="F6035" s="517"/>
      <c r="G6035" s="392" t="s">
        <v>1209</v>
      </c>
      <c r="H6035" s="393"/>
      <c r="I6035" s="393"/>
      <c r="J6035" s="394" t="s">
        <v>43</v>
      </c>
      <c r="K6035" s="388"/>
      <c r="L6035" s="388">
        <f>K6034</f>
        <v>4279.2184721770818</v>
      </c>
    </row>
    <row r="6036" spans="1:12" ht="11.25" customHeight="1" x14ac:dyDescent="0.2">
      <c r="A6036" s="344">
        <v>2024</v>
      </c>
      <c r="B6036" s="344">
        <v>10</v>
      </c>
      <c r="C6036" s="344">
        <v>31</v>
      </c>
      <c r="D6036" s="345">
        <f t="shared" si="611"/>
        <v>45596</v>
      </c>
      <c r="E6036" s="346">
        <f t="shared" si="617"/>
        <v>45596</v>
      </c>
      <c r="F6036" s="518" t="s">
        <v>1621</v>
      </c>
      <c r="G6036" s="347" t="s">
        <v>1245</v>
      </c>
      <c r="H6036" s="348"/>
      <c r="I6036" s="348" t="s">
        <v>1253</v>
      </c>
      <c r="J6036" s="344" t="s">
        <v>113</v>
      </c>
      <c r="K6036" s="349">
        <v>197692.30769230766</v>
      </c>
      <c r="L6036" s="349"/>
    </row>
    <row r="6037" spans="1:12" ht="11.25" customHeight="1" x14ac:dyDescent="0.2">
      <c r="A6037" s="350">
        <v>2024</v>
      </c>
      <c r="B6037" s="350">
        <v>10</v>
      </c>
      <c r="C6037" s="350">
        <v>31</v>
      </c>
      <c r="D6037" s="351">
        <f t="shared" si="611"/>
        <v>45596</v>
      </c>
      <c r="E6037" s="352">
        <f t="shared" si="617"/>
        <v>45596</v>
      </c>
      <c r="F6037" s="519"/>
      <c r="G6037" s="353" t="s">
        <v>1245</v>
      </c>
      <c r="H6037" s="354"/>
      <c r="I6037" s="354" t="s">
        <v>1253</v>
      </c>
      <c r="J6037" s="350" t="s">
        <v>153</v>
      </c>
      <c r="K6037" s="355"/>
      <c r="L6037" s="355">
        <f>K6036</f>
        <v>197692.30769230766</v>
      </c>
    </row>
    <row r="6038" spans="1:12" ht="11.25" customHeight="1" x14ac:dyDescent="0.2">
      <c r="A6038" s="210">
        <v>2024</v>
      </c>
      <c r="B6038" s="210">
        <v>10</v>
      </c>
      <c r="C6038" s="210">
        <v>31</v>
      </c>
      <c r="D6038" s="211">
        <f t="shared" si="611"/>
        <v>45596</v>
      </c>
      <c r="E6038" s="238">
        <f t="shared" si="617"/>
        <v>45596</v>
      </c>
      <c r="F6038" s="520" t="s">
        <v>1278</v>
      </c>
      <c r="G6038" s="213" t="s">
        <v>1245</v>
      </c>
      <c r="H6038" s="214"/>
      <c r="I6038" s="214" t="s">
        <v>1253</v>
      </c>
      <c r="J6038" s="210" t="s">
        <v>1529</v>
      </c>
      <c r="K6038" s="215">
        <v>510.40384615384613</v>
      </c>
      <c r="L6038" s="215"/>
    </row>
    <row r="6039" spans="1:12" ht="11.25" customHeight="1" x14ac:dyDescent="0.2">
      <c r="A6039" s="216">
        <v>2024</v>
      </c>
      <c r="B6039" s="216">
        <v>10</v>
      </c>
      <c r="C6039" s="216">
        <v>31</v>
      </c>
      <c r="D6039" s="217">
        <f t="shared" si="611"/>
        <v>45596</v>
      </c>
      <c r="E6039" s="239">
        <f t="shared" si="617"/>
        <v>45596</v>
      </c>
      <c r="F6039" s="521"/>
      <c r="G6039" s="219" t="s">
        <v>1245</v>
      </c>
      <c r="H6039" s="220"/>
      <c r="I6039" s="220" t="s">
        <v>1253</v>
      </c>
      <c r="J6039" s="216" t="s">
        <v>1581</v>
      </c>
      <c r="K6039" s="221"/>
      <c r="L6039" s="221">
        <v>510.40384615384613</v>
      </c>
    </row>
    <row r="6040" spans="1:12" ht="11.25" customHeight="1" x14ac:dyDescent="0.2">
      <c r="A6040" s="210">
        <v>2024</v>
      </c>
      <c r="B6040" s="210">
        <v>10</v>
      </c>
      <c r="C6040" s="210">
        <v>31</v>
      </c>
      <c r="D6040" s="211">
        <f t="shared" si="611"/>
        <v>45596</v>
      </c>
      <c r="E6040" s="238">
        <f t="shared" si="617"/>
        <v>45596</v>
      </c>
      <c r="F6040" s="520" t="s">
        <v>1857</v>
      </c>
      <c r="G6040" s="213" t="s">
        <v>1245</v>
      </c>
      <c r="H6040" s="214"/>
      <c r="I6040" s="214" t="s">
        <v>1253</v>
      </c>
      <c r="J6040" s="210" t="s">
        <v>1284</v>
      </c>
      <c r="K6040" s="215">
        <v>8903.4309440559427</v>
      </c>
      <c r="L6040" s="215"/>
    </row>
    <row r="6041" spans="1:12" ht="11.25" customHeight="1" x14ac:dyDescent="0.2">
      <c r="A6041" s="242">
        <v>2024</v>
      </c>
      <c r="B6041" s="242">
        <v>10</v>
      </c>
      <c r="C6041" s="242">
        <v>31</v>
      </c>
      <c r="D6041" s="243">
        <f t="shared" si="611"/>
        <v>45596</v>
      </c>
      <c r="E6041" s="244">
        <f>DATE(A6041,B6041,C6041)</f>
        <v>45596</v>
      </c>
      <c r="F6041" s="524"/>
      <c r="G6041" s="245" t="s">
        <v>1245</v>
      </c>
      <c r="H6041" s="246"/>
      <c r="I6041" s="246"/>
      <c r="J6041" s="242" t="s">
        <v>1582</v>
      </c>
      <c r="K6041" s="247"/>
      <c r="L6041" s="247">
        <v>8903.4309440559427</v>
      </c>
    </row>
    <row r="6042" spans="1:12" ht="11.25" customHeight="1" x14ac:dyDescent="0.2">
      <c r="A6042" s="210">
        <v>2024</v>
      </c>
      <c r="B6042" s="210">
        <v>10</v>
      </c>
      <c r="C6042" s="210">
        <v>31</v>
      </c>
      <c r="D6042" s="211">
        <f t="shared" si="611"/>
        <v>45596</v>
      </c>
      <c r="E6042" s="238">
        <f t="shared" ref="E6042:E6055" si="620">DATE(A6042,B6042,C6042)</f>
        <v>45596</v>
      </c>
      <c r="F6042" s="520" t="s">
        <v>1259</v>
      </c>
      <c r="G6042" s="213" t="s">
        <v>1245</v>
      </c>
      <c r="H6042" s="214"/>
      <c r="I6042" s="214" t="s">
        <v>1253</v>
      </c>
      <c r="J6042" s="210" t="s">
        <v>58</v>
      </c>
      <c r="K6042" s="215">
        <v>6344.95</v>
      </c>
      <c r="L6042" s="215"/>
    </row>
    <row r="6043" spans="1:12" ht="11.25" customHeight="1" x14ac:dyDescent="0.2">
      <c r="A6043" s="216">
        <v>2024</v>
      </c>
      <c r="B6043" s="216">
        <v>10</v>
      </c>
      <c r="C6043" s="216">
        <v>31</v>
      </c>
      <c r="D6043" s="217">
        <f t="shared" si="611"/>
        <v>45596</v>
      </c>
      <c r="E6043" s="239">
        <f t="shared" si="620"/>
        <v>45596</v>
      </c>
      <c r="F6043" s="521"/>
      <c r="G6043" s="219" t="s">
        <v>1245</v>
      </c>
      <c r="H6043" s="220"/>
      <c r="I6043" s="220" t="s">
        <v>1253</v>
      </c>
      <c r="J6043" s="216" t="s">
        <v>153</v>
      </c>
      <c r="K6043" s="221"/>
      <c r="L6043" s="221">
        <f>K6042</f>
        <v>6344.95</v>
      </c>
    </row>
    <row r="6044" spans="1:12" ht="11.25" customHeight="1" x14ac:dyDescent="0.2">
      <c r="A6044" s="312">
        <v>2024</v>
      </c>
      <c r="B6044" s="312">
        <v>10</v>
      </c>
      <c r="C6044" s="312">
        <v>31</v>
      </c>
      <c r="D6044" s="313">
        <f t="shared" si="611"/>
        <v>45596</v>
      </c>
      <c r="E6044" s="314">
        <f t="shared" si="620"/>
        <v>45596</v>
      </c>
      <c r="F6044" s="522" t="s">
        <v>1477</v>
      </c>
      <c r="G6044" s="315" t="s">
        <v>1245</v>
      </c>
      <c r="H6044" s="316"/>
      <c r="I6044" s="316" t="s">
        <v>1253</v>
      </c>
      <c r="J6044" s="312" t="s">
        <v>1460</v>
      </c>
      <c r="K6044" s="317">
        <v>126185.69999999553</v>
      </c>
      <c r="L6044" s="317"/>
    </row>
    <row r="6045" spans="1:12" ht="11.25" customHeight="1" x14ac:dyDescent="0.2">
      <c r="A6045" s="318">
        <v>2024</v>
      </c>
      <c r="B6045" s="318">
        <v>10</v>
      </c>
      <c r="C6045" s="318">
        <v>31</v>
      </c>
      <c r="D6045" s="319">
        <f t="shared" si="611"/>
        <v>45596</v>
      </c>
      <c r="E6045" s="320">
        <f t="shared" si="620"/>
        <v>45596</v>
      </c>
      <c r="F6045" s="523"/>
      <c r="G6045" s="321" t="s">
        <v>1245</v>
      </c>
      <c r="H6045" s="322"/>
      <c r="I6045" s="322" t="s">
        <v>1253</v>
      </c>
      <c r="J6045" s="318" t="s">
        <v>1458</v>
      </c>
      <c r="K6045" s="323"/>
      <c r="L6045" s="323">
        <f>K6044</f>
        <v>126185.69999999553</v>
      </c>
    </row>
    <row r="6046" spans="1:12" ht="11.25" customHeight="1" x14ac:dyDescent="0.2">
      <c r="A6046" s="312">
        <v>2024</v>
      </c>
      <c r="B6046" s="312">
        <v>10</v>
      </c>
      <c r="C6046" s="312">
        <v>31</v>
      </c>
      <c r="D6046" s="313">
        <f t="shared" si="611"/>
        <v>45596</v>
      </c>
      <c r="E6046" s="314">
        <f t="shared" si="620"/>
        <v>45596</v>
      </c>
      <c r="F6046" s="522" t="s">
        <v>1595</v>
      </c>
      <c r="G6046" s="315" t="s">
        <v>1245</v>
      </c>
      <c r="H6046" s="316"/>
      <c r="I6046" s="316" t="s">
        <v>1253</v>
      </c>
      <c r="J6046" s="312" t="s">
        <v>1461</v>
      </c>
      <c r="K6046" s="317">
        <v>630145.98199999332</v>
      </c>
      <c r="L6046" s="317"/>
    </row>
    <row r="6047" spans="1:12" ht="11.25" customHeight="1" x14ac:dyDescent="0.2">
      <c r="A6047" s="318">
        <v>2024</v>
      </c>
      <c r="B6047" s="318">
        <v>10</v>
      </c>
      <c r="C6047" s="318">
        <v>31</v>
      </c>
      <c r="D6047" s="319">
        <f t="shared" si="611"/>
        <v>45596</v>
      </c>
      <c r="E6047" s="320">
        <f t="shared" si="620"/>
        <v>45596</v>
      </c>
      <c r="F6047" s="523"/>
      <c r="G6047" s="321" t="s">
        <v>1245</v>
      </c>
      <c r="H6047" s="322"/>
      <c r="I6047" s="322" t="s">
        <v>1253</v>
      </c>
      <c r="J6047" s="318" t="s">
        <v>1459</v>
      </c>
      <c r="K6047" s="323"/>
      <c r="L6047" s="323">
        <f>K6046</f>
        <v>630145.98199999332</v>
      </c>
    </row>
    <row r="6048" spans="1:12" ht="11.25" customHeight="1" x14ac:dyDescent="0.2">
      <c r="A6048" s="222">
        <v>2024</v>
      </c>
      <c r="B6048" s="222">
        <v>10</v>
      </c>
      <c r="C6048" s="222">
        <v>31</v>
      </c>
      <c r="D6048" s="223">
        <f t="shared" si="611"/>
        <v>45596</v>
      </c>
      <c r="E6048" s="240">
        <f t="shared" si="620"/>
        <v>45596</v>
      </c>
      <c r="F6048" s="511" t="s">
        <v>1244</v>
      </c>
      <c r="G6048" s="225" t="s">
        <v>1245</v>
      </c>
      <c r="H6048" s="226"/>
      <c r="I6048" s="226" t="s">
        <v>1253</v>
      </c>
      <c r="J6048" s="222" t="s">
        <v>87</v>
      </c>
      <c r="K6048" s="227">
        <v>5230</v>
      </c>
      <c r="L6048" s="227"/>
    </row>
    <row r="6049" spans="1:13" ht="11.25" customHeight="1" x14ac:dyDescent="0.2">
      <c r="A6049" s="228">
        <v>2024</v>
      </c>
      <c r="B6049" s="228">
        <v>10</v>
      </c>
      <c r="C6049" s="228">
        <v>31</v>
      </c>
      <c r="D6049" s="229">
        <f t="shared" si="611"/>
        <v>45596</v>
      </c>
      <c r="E6049" s="241">
        <f t="shared" si="620"/>
        <v>45596</v>
      </c>
      <c r="F6049" s="512"/>
      <c r="G6049" s="231" t="s">
        <v>1245</v>
      </c>
      <c r="H6049" s="232"/>
      <c r="I6049" s="232" t="s">
        <v>1253</v>
      </c>
      <c r="J6049" s="228" t="s">
        <v>72</v>
      </c>
      <c r="K6049" s="233"/>
      <c r="L6049" s="233">
        <f>K6048</f>
        <v>5230</v>
      </c>
    </row>
    <row r="6050" spans="1:13" ht="11.25" customHeight="1" x14ac:dyDescent="0.2">
      <c r="A6050" s="222">
        <v>2024</v>
      </c>
      <c r="B6050" s="222">
        <v>10</v>
      </c>
      <c r="C6050" s="222">
        <v>31</v>
      </c>
      <c r="D6050" s="223">
        <f t="shared" si="611"/>
        <v>45596</v>
      </c>
      <c r="E6050" s="240">
        <f t="shared" si="620"/>
        <v>45596</v>
      </c>
      <c r="F6050" s="511" t="s">
        <v>1246</v>
      </c>
      <c r="G6050" s="225" t="s">
        <v>1245</v>
      </c>
      <c r="H6050" s="226"/>
      <c r="I6050" s="226" t="s">
        <v>1253</v>
      </c>
      <c r="J6050" s="222" t="s">
        <v>75</v>
      </c>
      <c r="K6050" s="227">
        <v>3623.123846153846</v>
      </c>
      <c r="L6050" s="227"/>
    </row>
    <row r="6051" spans="1:13" ht="11.25" customHeight="1" x14ac:dyDescent="0.2">
      <c r="A6051" s="228">
        <v>2024</v>
      </c>
      <c r="B6051" s="228">
        <v>10</v>
      </c>
      <c r="C6051" s="228">
        <v>31</v>
      </c>
      <c r="D6051" s="229">
        <f t="shared" si="611"/>
        <v>45596</v>
      </c>
      <c r="E6051" s="241">
        <f t="shared" si="620"/>
        <v>45596</v>
      </c>
      <c r="F6051" s="512"/>
      <c r="G6051" s="231" t="s">
        <v>1245</v>
      </c>
      <c r="H6051" s="232"/>
      <c r="I6051" s="232" t="s">
        <v>1253</v>
      </c>
      <c r="J6051" s="228" t="s">
        <v>55</v>
      </c>
      <c r="K6051" s="233"/>
      <c r="L6051" s="233">
        <v>3623.123846153846</v>
      </c>
    </row>
    <row r="6052" spans="1:13" ht="11.25" customHeight="1" x14ac:dyDescent="0.2">
      <c r="A6052" s="222">
        <v>2024</v>
      </c>
      <c r="B6052" s="222">
        <v>10</v>
      </c>
      <c r="C6052" s="222">
        <v>31</v>
      </c>
      <c r="D6052" s="223">
        <f t="shared" si="611"/>
        <v>45596</v>
      </c>
      <c r="E6052" s="240">
        <f t="shared" si="620"/>
        <v>45596</v>
      </c>
      <c r="F6052" s="511" t="s">
        <v>1247</v>
      </c>
      <c r="G6052" s="225" t="s">
        <v>1245</v>
      </c>
      <c r="H6052" s="226"/>
      <c r="I6052" s="226" t="s">
        <v>1253</v>
      </c>
      <c r="J6052" s="222" t="s">
        <v>77</v>
      </c>
      <c r="K6052" s="227">
        <f>M6052</f>
        <v>41037.920711496343</v>
      </c>
      <c r="L6052" s="227"/>
      <c r="M6052" s="120">
        <v>41037.920711496343</v>
      </c>
    </row>
    <row r="6053" spans="1:13" ht="11.25" customHeight="1" x14ac:dyDescent="0.2">
      <c r="A6053" s="228">
        <v>2024</v>
      </c>
      <c r="B6053" s="228">
        <v>10</v>
      </c>
      <c r="C6053" s="228">
        <v>31</v>
      </c>
      <c r="D6053" s="229">
        <f t="shared" si="611"/>
        <v>45596</v>
      </c>
      <c r="E6053" s="241">
        <f t="shared" si="620"/>
        <v>45596</v>
      </c>
      <c r="F6053" s="512"/>
      <c r="G6053" s="231" t="s">
        <v>1245</v>
      </c>
      <c r="H6053" s="232"/>
      <c r="I6053" s="232" t="s">
        <v>1253</v>
      </c>
      <c r="J6053" s="228" t="s">
        <v>41</v>
      </c>
      <c r="K6053" s="233"/>
      <c r="L6053" s="233">
        <f>K6052</f>
        <v>41037.920711496343</v>
      </c>
      <c r="M6053" s="120">
        <v>4103.7920711496345</v>
      </c>
    </row>
    <row r="6054" spans="1:13" ht="11.25" customHeight="1" x14ac:dyDescent="0.2">
      <c r="A6054" s="222">
        <v>2024</v>
      </c>
      <c r="B6054" s="222">
        <v>10</v>
      </c>
      <c r="C6054" s="222">
        <v>31</v>
      </c>
      <c r="D6054" s="223">
        <f t="shared" si="611"/>
        <v>45596</v>
      </c>
      <c r="E6054" s="240">
        <f t="shared" si="620"/>
        <v>45596</v>
      </c>
      <c r="F6054" s="511" t="s">
        <v>1248</v>
      </c>
      <c r="G6054" s="225" t="s">
        <v>1245</v>
      </c>
      <c r="H6054" s="226"/>
      <c r="I6054" s="226" t="s">
        <v>1253</v>
      </c>
      <c r="J6054" s="222" t="s">
        <v>80</v>
      </c>
      <c r="K6054" s="227">
        <f>M6053</f>
        <v>4103.7920711496345</v>
      </c>
      <c r="L6054" s="227"/>
    </row>
    <row r="6055" spans="1:13" x14ac:dyDescent="0.2">
      <c r="A6055" s="228">
        <v>2024</v>
      </c>
      <c r="B6055" s="228">
        <v>10</v>
      </c>
      <c r="C6055" s="228">
        <v>31</v>
      </c>
      <c r="D6055" s="229">
        <f t="shared" si="611"/>
        <v>45596</v>
      </c>
      <c r="E6055" s="241">
        <f t="shared" si="620"/>
        <v>45596</v>
      </c>
      <c r="F6055" s="512"/>
      <c r="G6055" s="231" t="s">
        <v>1245</v>
      </c>
      <c r="H6055" s="232"/>
      <c r="I6055" s="232" t="s">
        <v>1253</v>
      </c>
      <c r="J6055" s="228" t="s">
        <v>42</v>
      </c>
      <c r="K6055" s="233"/>
      <c r="L6055" s="233">
        <f>K6054</f>
        <v>4103.7920711496345</v>
      </c>
    </row>
    <row r="6056" spans="1:13" ht="11.25" customHeight="1" x14ac:dyDescent="0.2">
      <c r="A6056" s="197">
        <v>2024</v>
      </c>
      <c r="B6056" s="197">
        <v>11</v>
      </c>
      <c r="C6056" s="197">
        <v>4</v>
      </c>
      <c r="D6056" s="198">
        <f t="shared" si="611"/>
        <v>45600</v>
      </c>
      <c r="E6056" s="209">
        <f t="shared" ref="E6056:E6064" si="621">DATE(A6056,B6056,C6056)</f>
        <v>45600</v>
      </c>
      <c r="F6056" s="513" t="s">
        <v>1280</v>
      </c>
      <c r="G6056" s="200" t="s">
        <v>1209</v>
      </c>
      <c r="H6056" s="201"/>
      <c r="I6056" s="201" t="s">
        <v>1235</v>
      </c>
      <c r="J6056" s="197" t="s">
        <v>16</v>
      </c>
      <c r="K6056" s="202">
        <v>86160</v>
      </c>
      <c r="L6056" s="202"/>
    </row>
    <row r="6057" spans="1:13" ht="11.25" customHeight="1" x14ac:dyDescent="0.2">
      <c r="A6057" s="120">
        <v>2024</v>
      </c>
      <c r="B6057" s="120">
        <v>11</v>
      </c>
      <c r="C6057" s="120">
        <v>4</v>
      </c>
      <c r="D6057" s="208">
        <f t="shared" si="611"/>
        <v>45600</v>
      </c>
      <c r="E6057" s="209">
        <f t="shared" si="621"/>
        <v>45600</v>
      </c>
      <c r="F6057" s="515"/>
      <c r="G6057" s="132" t="s">
        <v>1209</v>
      </c>
      <c r="I6057" s="128" t="s">
        <v>1235</v>
      </c>
      <c r="J6057" s="120" t="s">
        <v>47</v>
      </c>
      <c r="K6057" s="207">
        <v>13840</v>
      </c>
      <c r="L6057" s="207"/>
    </row>
    <row r="6058" spans="1:13" ht="11.25" customHeight="1" x14ac:dyDescent="0.2">
      <c r="A6058" s="191">
        <v>2024</v>
      </c>
      <c r="B6058" s="191">
        <v>11</v>
      </c>
      <c r="C6058" s="191">
        <v>4</v>
      </c>
      <c r="D6058" s="192">
        <f t="shared" si="611"/>
        <v>45600</v>
      </c>
      <c r="E6058" s="193">
        <f t="shared" si="621"/>
        <v>45600</v>
      </c>
      <c r="F6058" s="514"/>
      <c r="G6058" s="194" t="s">
        <v>1209</v>
      </c>
      <c r="H6058" s="195"/>
      <c r="I6058" s="195" t="s">
        <v>1235</v>
      </c>
      <c r="J6058" s="191" t="s">
        <v>46</v>
      </c>
      <c r="K6058" s="196"/>
      <c r="L6058" s="196">
        <v>100000</v>
      </c>
    </row>
    <row r="6059" spans="1:13" ht="11.25" customHeight="1" x14ac:dyDescent="0.2">
      <c r="A6059" s="197">
        <v>2024</v>
      </c>
      <c r="B6059" s="197">
        <v>11</v>
      </c>
      <c r="C6059" s="197">
        <v>5</v>
      </c>
      <c r="D6059" s="198">
        <f t="shared" si="611"/>
        <v>45601</v>
      </c>
      <c r="E6059" s="209">
        <f t="shared" ref="E6059:E6061" si="622">DATE(A6059,B6059,C6059)</f>
        <v>45601</v>
      </c>
      <c r="F6059" s="513" t="s">
        <v>1296</v>
      </c>
      <c r="G6059" s="200" t="s">
        <v>1209</v>
      </c>
      <c r="H6059" s="201"/>
      <c r="I6059" s="201"/>
      <c r="J6059" s="197" t="s">
        <v>46</v>
      </c>
      <c r="K6059" s="202">
        <v>233000</v>
      </c>
      <c r="L6059" s="202"/>
    </row>
    <row r="6060" spans="1:13" ht="11.25" customHeight="1" x14ac:dyDescent="0.2">
      <c r="A6060" s="120">
        <v>2024</v>
      </c>
      <c r="B6060" s="120">
        <v>11</v>
      </c>
      <c r="C6060" s="120">
        <v>5</v>
      </c>
      <c r="D6060" s="208">
        <f t="shared" ref="D6060:D6123" si="623">DATE(A6060,B6060,C6060)</f>
        <v>45601</v>
      </c>
      <c r="E6060" s="209">
        <f t="shared" si="622"/>
        <v>45601</v>
      </c>
      <c r="F6060" s="515"/>
      <c r="G6060" s="132" t="s">
        <v>1209</v>
      </c>
      <c r="J6060" s="120" t="s">
        <v>16</v>
      </c>
      <c r="K6060" s="207"/>
      <c r="L6060" s="207">
        <v>200760</v>
      </c>
    </row>
    <row r="6061" spans="1:13" ht="11.25" customHeight="1" x14ac:dyDescent="0.2">
      <c r="A6061" s="191">
        <v>2024</v>
      </c>
      <c r="B6061" s="191">
        <v>11</v>
      </c>
      <c r="C6061" s="191">
        <v>5</v>
      </c>
      <c r="D6061" s="192">
        <f t="shared" si="623"/>
        <v>45601</v>
      </c>
      <c r="E6061" s="193">
        <f t="shared" si="622"/>
        <v>45601</v>
      </c>
      <c r="F6061" s="514"/>
      <c r="G6061" s="194" t="s">
        <v>1209</v>
      </c>
      <c r="H6061" s="195"/>
      <c r="I6061" s="195"/>
      <c r="J6061" s="191" t="s">
        <v>47</v>
      </c>
      <c r="K6061" s="196"/>
      <c r="L6061" s="196">
        <v>32240</v>
      </c>
    </row>
    <row r="6062" spans="1:13" ht="11.25" customHeight="1" x14ac:dyDescent="0.2">
      <c r="A6062" s="197">
        <v>2024</v>
      </c>
      <c r="B6062" s="197">
        <v>11</v>
      </c>
      <c r="C6062" s="197">
        <v>6</v>
      </c>
      <c r="D6062" s="198">
        <f t="shared" si="623"/>
        <v>45602</v>
      </c>
      <c r="E6062" s="209">
        <f t="shared" si="621"/>
        <v>45602</v>
      </c>
      <c r="F6062" s="513" t="s">
        <v>1210</v>
      </c>
      <c r="G6062" s="200" t="s">
        <v>1209</v>
      </c>
      <c r="H6062" s="201"/>
      <c r="I6062" s="201" t="s">
        <v>1918</v>
      </c>
      <c r="J6062" s="197" t="s">
        <v>46</v>
      </c>
      <c r="K6062" s="202">
        <v>100000</v>
      </c>
      <c r="L6062" s="202"/>
    </row>
    <row r="6063" spans="1:13" ht="11.25" customHeight="1" x14ac:dyDescent="0.2">
      <c r="A6063" s="120">
        <v>2024</v>
      </c>
      <c r="B6063" s="120">
        <v>11</v>
      </c>
      <c r="C6063" s="120">
        <v>6</v>
      </c>
      <c r="D6063" s="208">
        <f t="shared" si="623"/>
        <v>45602</v>
      </c>
      <c r="E6063" s="209">
        <f t="shared" si="621"/>
        <v>45602</v>
      </c>
      <c r="F6063" s="515"/>
      <c r="G6063" s="132" t="s">
        <v>1209</v>
      </c>
      <c r="I6063" s="128" t="s">
        <v>1918</v>
      </c>
      <c r="J6063" s="120" t="s">
        <v>16</v>
      </c>
      <c r="K6063" s="207"/>
      <c r="L6063" s="207">
        <v>86160</v>
      </c>
    </row>
    <row r="6064" spans="1:13" ht="11.25" customHeight="1" x14ac:dyDescent="0.2">
      <c r="A6064" s="191">
        <v>2024</v>
      </c>
      <c r="B6064" s="191">
        <v>11</v>
      </c>
      <c r="C6064" s="191">
        <v>6</v>
      </c>
      <c r="D6064" s="192">
        <f t="shared" si="623"/>
        <v>45602</v>
      </c>
      <c r="E6064" s="193">
        <f t="shared" si="621"/>
        <v>45602</v>
      </c>
      <c r="F6064" s="514"/>
      <c r="G6064" s="194" t="s">
        <v>1209</v>
      </c>
      <c r="H6064" s="195"/>
      <c r="I6064" s="195" t="s">
        <v>1918</v>
      </c>
      <c r="J6064" s="191" t="s">
        <v>47</v>
      </c>
      <c r="K6064" s="196"/>
      <c r="L6064" s="196">
        <v>13840</v>
      </c>
    </row>
    <row r="6065" spans="1:15" ht="11.25" customHeight="1" x14ac:dyDescent="0.2">
      <c r="A6065" s="197">
        <v>2024</v>
      </c>
      <c r="B6065" s="197">
        <v>11</v>
      </c>
      <c r="C6065" s="197">
        <v>7</v>
      </c>
      <c r="D6065" s="198">
        <f t="shared" si="623"/>
        <v>45603</v>
      </c>
      <c r="E6065" s="209">
        <f t="shared" ref="E6065:E6070" si="624">DATE(A6065,B6065,C6065)</f>
        <v>45603</v>
      </c>
      <c r="F6065" s="513" t="s">
        <v>1210</v>
      </c>
      <c r="G6065" s="200" t="s">
        <v>1209</v>
      </c>
      <c r="H6065" s="201"/>
      <c r="I6065" s="201" t="s">
        <v>1918</v>
      </c>
      <c r="J6065" s="197" t="s">
        <v>46</v>
      </c>
      <c r="K6065" s="202">
        <v>100000</v>
      </c>
      <c r="L6065" s="202"/>
    </row>
    <row r="6066" spans="1:15" ht="11.25" customHeight="1" x14ac:dyDescent="0.2">
      <c r="A6066" s="120">
        <v>2024</v>
      </c>
      <c r="B6066" s="120">
        <v>11</v>
      </c>
      <c r="C6066" s="120">
        <v>7</v>
      </c>
      <c r="D6066" s="208">
        <f t="shared" si="623"/>
        <v>45603</v>
      </c>
      <c r="E6066" s="209">
        <f t="shared" si="624"/>
        <v>45603</v>
      </c>
      <c r="F6066" s="515"/>
      <c r="G6066" s="132" t="s">
        <v>1209</v>
      </c>
      <c r="I6066" s="128" t="s">
        <v>1918</v>
      </c>
      <c r="J6066" s="120" t="s">
        <v>16</v>
      </c>
      <c r="K6066" s="207"/>
      <c r="L6066" s="207">
        <v>86160</v>
      </c>
    </row>
    <row r="6067" spans="1:15" ht="11.25" customHeight="1" x14ac:dyDescent="0.2">
      <c r="A6067" s="191">
        <v>2024</v>
      </c>
      <c r="B6067" s="191">
        <v>11</v>
      </c>
      <c r="C6067" s="191">
        <v>7</v>
      </c>
      <c r="D6067" s="192">
        <f t="shared" si="623"/>
        <v>45603</v>
      </c>
      <c r="E6067" s="193">
        <f t="shared" si="624"/>
        <v>45603</v>
      </c>
      <c r="F6067" s="514"/>
      <c r="G6067" s="194" t="s">
        <v>1209</v>
      </c>
      <c r="H6067" s="195"/>
      <c r="I6067" s="195" t="s">
        <v>1918</v>
      </c>
      <c r="J6067" s="191" t="s">
        <v>47</v>
      </c>
      <c r="K6067" s="196"/>
      <c r="L6067" s="196">
        <v>13840</v>
      </c>
    </row>
    <row r="6068" spans="1:15" ht="11.25" customHeight="1" x14ac:dyDescent="0.2">
      <c r="A6068" s="197">
        <v>2024</v>
      </c>
      <c r="B6068" s="197">
        <v>11</v>
      </c>
      <c r="C6068" s="197">
        <v>7</v>
      </c>
      <c r="D6068" s="198">
        <f t="shared" si="623"/>
        <v>45603</v>
      </c>
      <c r="E6068" s="209">
        <f t="shared" si="624"/>
        <v>45603</v>
      </c>
      <c r="F6068" s="513" t="s">
        <v>1280</v>
      </c>
      <c r="G6068" s="200" t="s">
        <v>1209</v>
      </c>
      <c r="H6068" s="201"/>
      <c r="I6068" s="201" t="s">
        <v>299</v>
      </c>
      <c r="J6068" s="197" t="s">
        <v>16</v>
      </c>
      <c r="K6068" s="202">
        <v>861620</v>
      </c>
      <c r="L6068" s="202"/>
    </row>
    <row r="6069" spans="1:15" ht="11.25" customHeight="1" x14ac:dyDescent="0.2">
      <c r="A6069" s="120">
        <v>2024</v>
      </c>
      <c r="B6069" s="120">
        <v>11</v>
      </c>
      <c r="C6069" s="120">
        <v>7</v>
      </c>
      <c r="D6069" s="208">
        <f t="shared" si="623"/>
        <v>45603</v>
      </c>
      <c r="E6069" s="209">
        <f t="shared" si="624"/>
        <v>45603</v>
      </c>
      <c r="F6069" s="515"/>
      <c r="G6069" s="132" t="s">
        <v>1209</v>
      </c>
      <c r="I6069" s="128" t="s">
        <v>299</v>
      </c>
      <c r="J6069" s="120" t="s">
        <v>47</v>
      </c>
      <c r="K6069" s="207">
        <v>138380</v>
      </c>
      <c r="L6069" s="207"/>
    </row>
    <row r="6070" spans="1:15" ht="11.25" customHeight="1" x14ac:dyDescent="0.2">
      <c r="A6070" s="191">
        <v>2024</v>
      </c>
      <c r="B6070" s="191">
        <v>11</v>
      </c>
      <c r="C6070" s="191">
        <v>7</v>
      </c>
      <c r="D6070" s="192">
        <f t="shared" si="623"/>
        <v>45603</v>
      </c>
      <c r="E6070" s="193">
        <f t="shared" si="624"/>
        <v>45603</v>
      </c>
      <c r="F6070" s="514"/>
      <c r="G6070" s="194" t="s">
        <v>1209</v>
      </c>
      <c r="H6070" s="195"/>
      <c r="I6070" s="195" t="s">
        <v>299</v>
      </c>
      <c r="J6070" s="191" t="s">
        <v>46</v>
      </c>
      <c r="K6070" s="196"/>
      <c r="L6070" s="196">
        <v>1000000</v>
      </c>
    </row>
    <row r="6071" spans="1:15" ht="11.25" customHeight="1" x14ac:dyDescent="0.2">
      <c r="A6071" s="197">
        <v>2024</v>
      </c>
      <c r="B6071" s="197">
        <v>11</v>
      </c>
      <c r="C6071" s="197">
        <v>7</v>
      </c>
      <c r="D6071" s="198">
        <f t="shared" si="623"/>
        <v>45603</v>
      </c>
      <c r="E6071" s="209">
        <f t="shared" ref="E6071:E6073" si="625">DATE(A6071,B6071,C6071)</f>
        <v>45603</v>
      </c>
      <c r="F6071" s="513" t="s">
        <v>1280</v>
      </c>
      <c r="G6071" s="200" t="s">
        <v>1209</v>
      </c>
      <c r="H6071" s="201"/>
      <c r="I6071" s="201" t="s">
        <v>1806</v>
      </c>
      <c r="J6071" s="197" t="s">
        <v>16</v>
      </c>
      <c r="K6071" s="202">
        <v>107600</v>
      </c>
      <c r="L6071" s="202"/>
    </row>
    <row r="6072" spans="1:15" ht="11.25" customHeight="1" x14ac:dyDescent="0.2">
      <c r="A6072" s="120">
        <v>2024</v>
      </c>
      <c r="B6072" s="120">
        <v>11</v>
      </c>
      <c r="C6072" s="120">
        <v>7</v>
      </c>
      <c r="D6072" s="208">
        <f t="shared" si="623"/>
        <v>45603</v>
      </c>
      <c r="E6072" s="209">
        <f t="shared" si="625"/>
        <v>45603</v>
      </c>
      <c r="F6072" s="515"/>
      <c r="G6072" s="132" t="s">
        <v>1209</v>
      </c>
      <c r="I6072" s="128" t="s">
        <v>1806</v>
      </c>
      <c r="J6072" s="120" t="s">
        <v>47</v>
      </c>
      <c r="K6072" s="207">
        <v>17280.559999999998</v>
      </c>
      <c r="L6072" s="207"/>
    </row>
    <row r="6073" spans="1:15" ht="11.25" customHeight="1" x14ac:dyDescent="0.2">
      <c r="A6073" s="191">
        <v>2024</v>
      </c>
      <c r="B6073" s="191">
        <v>11</v>
      </c>
      <c r="C6073" s="191">
        <v>7</v>
      </c>
      <c r="D6073" s="192">
        <f t="shared" si="623"/>
        <v>45603</v>
      </c>
      <c r="E6073" s="193">
        <f t="shared" si="625"/>
        <v>45603</v>
      </c>
      <c r="F6073" s="514"/>
      <c r="G6073" s="194" t="s">
        <v>1209</v>
      </c>
      <c r="H6073" s="195"/>
      <c r="I6073" s="195" t="s">
        <v>1806</v>
      </c>
      <c r="J6073" s="191" t="s">
        <v>46</v>
      </c>
      <c r="K6073" s="196"/>
      <c r="L6073" s="196">
        <v>124880.56</v>
      </c>
    </row>
    <row r="6074" spans="1:15" ht="11.25" customHeight="1" x14ac:dyDescent="0.2">
      <c r="A6074" s="197">
        <v>2024</v>
      </c>
      <c r="B6074" s="197">
        <v>11</v>
      </c>
      <c r="C6074" s="197">
        <v>7</v>
      </c>
      <c r="D6074" s="198">
        <f t="shared" si="623"/>
        <v>45603</v>
      </c>
      <c r="E6074" s="290">
        <f>DATE(A6074,B6074,C6074)</f>
        <v>45603</v>
      </c>
      <c r="F6074" s="513" t="s">
        <v>1514</v>
      </c>
      <c r="G6074" s="200" t="s">
        <v>1209</v>
      </c>
      <c r="H6074" s="201"/>
      <c r="I6074" s="201"/>
      <c r="J6074" s="197" t="s">
        <v>54</v>
      </c>
      <c r="K6074" s="202">
        <v>58</v>
      </c>
      <c r="L6074" s="202"/>
      <c r="M6074" s="251"/>
      <c r="N6074" s="251"/>
      <c r="O6074" s="251"/>
    </row>
    <row r="6075" spans="1:15" ht="11.25" customHeight="1" x14ac:dyDescent="0.2">
      <c r="A6075" s="191">
        <v>2024</v>
      </c>
      <c r="B6075" s="191">
        <v>11</v>
      </c>
      <c r="C6075" s="191">
        <v>7</v>
      </c>
      <c r="D6075" s="192">
        <f t="shared" si="623"/>
        <v>45603</v>
      </c>
      <c r="E6075" s="291">
        <f>DATE(A6075,B6075,C6075)</f>
        <v>45603</v>
      </c>
      <c r="F6075" s="514"/>
      <c r="G6075" s="194" t="s">
        <v>1209</v>
      </c>
      <c r="H6075" s="195"/>
      <c r="I6075" s="195"/>
      <c r="J6075" s="191" t="s">
        <v>46</v>
      </c>
      <c r="K6075" s="196"/>
      <c r="L6075" s="196">
        <v>58</v>
      </c>
      <c r="M6075" s="251"/>
      <c r="N6075" s="251"/>
      <c r="O6075" s="251"/>
    </row>
    <row r="6076" spans="1:15" ht="11.25" customHeight="1" x14ac:dyDescent="0.2">
      <c r="A6076" s="424">
        <v>2024</v>
      </c>
      <c r="B6076" s="424">
        <v>11</v>
      </c>
      <c r="C6076" s="424">
        <v>7</v>
      </c>
      <c r="D6076" s="425">
        <f t="shared" si="623"/>
        <v>45603</v>
      </c>
      <c r="E6076" s="384">
        <f t="shared" ref="E6076:E6084" si="626">DATE(A6076,B6076,C6076)</f>
        <v>45603</v>
      </c>
      <c r="F6076" s="516" t="s">
        <v>1850</v>
      </c>
      <c r="G6076" s="426" t="s">
        <v>1209</v>
      </c>
      <c r="H6076" s="427"/>
      <c r="I6076" s="427"/>
      <c r="J6076" s="428" t="s">
        <v>81</v>
      </c>
      <c r="K6076" s="429">
        <v>6973.2450980392159</v>
      </c>
      <c r="L6076" s="429"/>
    </row>
    <row r="6077" spans="1:15" ht="11.25" customHeight="1" x14ac:dyDescent="0.2">
      <c r="A6077" s="389">
        <v>2024</v>
      </c>
      <c r="B6077" s="389">
        <v>11</v>
      </c>
      <c r="C6077" s="389">
        <v>7</v>
      </c>
      <c r="D6077" s="390">
        <f t="shared" si="623"/>
        <v>45603</v>
      </c>
      <c r="E6077" s="391">
        <f t="shared" si="626"/>
        <v>45603</v>
      </c>
      <c r="F6077" s="517"/>
      <c r="G6077" s="392" t="s">
        <v>1209</v>
      </c>
      <c r="H6077" s="393"/>
      <c r="I6077" s="393"/>
      <c r="J6077" s="394" t="s">
        <v>1847</v>
      </c>
      <c r="K6077" s="423"/>
      <c r="L6077" s="423">
        <v>6973.2450980392159</v>
      </c>
    </row>
    <row r="6078" spans="1:15" ht="11.25" customHeight="1" x14ac:dyDescent="0.2">
      <c r="A6078" s="382">
        <v>2024</v>
      </c>
      <c r="B6078" s="382">
        <v>11</v>
      </c>
      <c r="C6078" s="382">
        <v>7</v>
      </c>
      <c r="D6078" s="383">
        <f t="shared" si="623"/>
        <v>45603</v>
      </c>
      <c r="E6078" s="384">
        <f t="shared" si="626"/>
        <v>45603</v>
      </c>
      <c r="F6078" s="516" t="s">
        <v>1892</v>
      </c>
      <c r="G6078" s="385" t="s">
        <v>1209</v>
      </c>
      <c r="H6078" s="386"/>
      <c r="I6078" s="386"/>
      <c r="J6078" s="387" t="s">
        <v>173</v>
      </c>
      <c r="K6078" s="388">
        <v>4389.8175498229166</v>
      </c>
      <c r="L6078" s="388"/>
    </row>
    <row r="6079" spans="1:15" ht="11.25" customHeight="1" x14ac:dyDescent="0.2">
      <c r="A6079" s="389">
        <v>2024</v>
      </c>
      <c r="B6079" s="389">
        <v>11</v>
      </c>
      <c r="C6079" s="389">
        <v>7</v>
      </c>
      <c r="D6079" s="390">
        <f t="shared" si="623"/>
        <v>45603</v>
      </c>
      <c r="E6079" s="391">
        <f t="shared" si="626"/>
        <v>45603</v>
      </c>
      <c r="F6079" s="517"/>
      <c r="G6079" s="392" t="s">
        <v>1209</v>
      </c>
      <c r="H6079" s="393"/>
      <c r="I6079" s="393"/>
      <c r="J6079" s="394" t="s">
        <v>43</v>
      </c>
      <c r="K6079" s="388"/>
      <c r="L6079" s="388">
        <f>K6078</f>
        <v>4389.8175498229166</v>
      </c>
    </row>
    <row r="6080" spans="1:15" ht="11.25" customHeight="1" x14ac:dyDescent="0.2">
      <c r="A6080" s="344">
        <v>2024</v>
      </c>
      <c r="B6080" s="344">
        <v>11</v>
      </c>
      <c r="C6080" s="344">
        <v>7</v>
      </c>
      <c r="D6080" s="345">
        <f t="shared" si="623"/>
        <v>45603</v>
      </c>
      <c r="E6080" s="346">
        <f t="shared" si="626"/>
        <v>45603</v>
      </c>
      <c r="F6080" s="518" t="s">
        <v>1621</v>
      </c>
      <c r="G6080" s="347" t="s">
        <v>1245</v>
      </c>
      <c r="H6080" s="348"/>
      <c r="I6080" s="348" t="s">
        <v>1253</v>
      </c>
      <c r="J6080" s="344" t="s">
        <v>113</v>
      </c>
      <c r="K6080" s="349">
        <v>197692.30769230766</v>
      </c>
      <c r="L6080" s="349"/>
    </row>
    <row r="6081" spans="1:13" ht="11.25" customHeight="1" x14ac:dyDescent="0.2">
      <c r="A6081" s="350">
        <v>2024</v>
      </c>
      <c r="B6081" s="350">
        <v>11</v>
      </c>
      <c r="C6081" s="350">
        <v>7</v>
      </c>
      <c r="D6081" s="351">
        <f t="shared" si="623"/>
        <v>45603</v>
      </c>
      <c r="E6081" s="352">
        <f t="shared" si="626"/>
        <v>45603</v>
      </c>
      <c r="F6081" s="519"/>
      <c r="G6081" s="353" t="s">
        <v>1245</v>
      </c>
      <c r="H6081" s="354"/>
      <c r="I6081" s="354" t="s">
        <v>1253</v>
      </c>
      <c r="J6081" s="350" t="s">
        <v>153</v>
      </c>
      <c r="K6081" s="355"/>
      <c r="L6081" s="355">
        <f>K6080</f>
        <v>197692.30769230766</v>
      </c>
    </row>
    <row r="6082" spans="1:13" ht="11.25" customHeight="1" x14ac:dyDescent="0.2">
      <c r="A6082" s="210">
        <v>2024</v>
      </c>
      <c r="B6082" s="210">
        <v>11</v>
      </c>
      <c r="C6082" s="210">
        <v>7</v>
      </c>
      <c r="D6082" s="211">
        <f t="shared" si="623"/>
        <v>45603</v>
      </c>
      <c r="E6082" s="238">
        <f t="shared" si="626"/>
        <v>45603</v>
      </c>
      <c r="F6082" s="520" t="s">
        <v>1278</v>
      </c>
      <c r="G6082" s="213" t="s">
        <v>1245</v>
      </c>
      <c r="H6082" s="214"/>
      <c r="I6082" s="214" t="s">
        <v>1253</v>
      </c>
      <c r="J6082" s="210" t="s">
        <v>1529</v>
      </c>
      <c r="K6082" s="215">
        <v>510.40384615384613</v>
      </c>
      <c r="L6082" s="215"/>
    </row>
    <row r="6083" spans="1:13" ht="11.25" customHeight="1" x14ac:dyDescent="0.2">
      <c r="A6083" s="216">
        <v>2024</v>
      </c>
      <c r="B6083" s="216">
        <v>11</v>
      </c>
      <c r="C6083" s="216">
        <v>7</v>
      </c>
      <c r="D6083" s="217">
        <f t="shared" si="623"/>
        <v>45603</v>
      </c>
      <c r="E6083" s="239">
        <f t="shared" si="626"/>
        <v>45603</v>
      </c>
      <c r="F6083" s="521"/>
      <c r="G6083" s="219" t="s">
        <v>1245</v>
      </c>
      <c r="H6083" s="220"/>
      <c r="I6083" s="220" t="s">
        <v>1253</v>
      </c>
      <c r="J6083" s="216" t="s">
        <v>1581</v>
      </c>
      <c r="K6083" s="221"/>
      <c r="L6083" s="221">
        <v>510.40384615384613</v>
      </c>
    </row>
    <row r="6084" spans="1:13" ht="11.25" customHeight="1" x14ac:dyDescent="0.2">
      <c r="A6084" s="210">
        <v>2024</v>
      </c>
      <c r="B6084" s="210">
        <v>11</v>
      </c>
      <c r="C6084" s="210">
        <v>7</v>
      </c>
      <c r="D6084" s="211">
        <f t="shared" si="623"/>
        <v>45603</v>
      </c>
      <c r="E6084" s="238">
        <f t="shared" si="626"/>
        <v>45603</v>
      </c>
      <c r="F6084" s="520" t="s">
        <v>1857</v>
      </c>
      <c r="G6084" s="213" t="s">
        <v>1245</v>
      </c>
      <c r="H6084" s="214"/>
      <c r="I6084" s="214" t="s">
        <v>1253</v>
      </c>
      <c r="J6084" s="210" t="s">
        <v>1284</v>
      </c>
      <c r="K6084" s="215">
        <v>8903.4309440559427</v>
      </c>
      <c r="L6084" s="215"/>
    </row>
    <row r="6085" spans="1:13" ht="11.25" customHeight="1" x14ac:dyDescent="0.2">
      <c r="A6085" s="242">
        <v>2024</v>
      </c>
      <c r="B6085" s="242">
        <v>11</v>
      </c>
      <c r="C6085" s="242">
        <v>7</v>
      </c>
      <c r="D6085" s="243">
        <f t="shared" si="623"/>
        <v>45603</v>
      </c>
      <c r="E6085" s="244">
        <f>DATE(A6085,B6085,C6085)</f>
        <v>45603</v>
      </c>
      <c r="F6085" s="524"/>
      <c r="G6085" s="245" t="s">
        <v>1245</v>
      </c>
      <c r="H6085" s="246"/>
      <c r="I6085" s="246"/>
      <c r="J6085" s="242" t="s">
        <v>1582</v>
      </c>
      <c r="K6085" s="247"/>
      <c r="L6085" s="247">
        <v>8903.4309440559427</v>
      </c>
    </row>
    <row r="6086" spans="1:13" ht="11.25" customHeight="1" x14ac:dyDescent="0.2">
      <c r="A6086" s="210">
        <v>2024</v>
      </c>
      <c r="B6086" s="210">
        <v>11</v>
      </c>
      <c r="C6086" s="210">
        <v>7</v>
      </c>
      <c r="D6086" s="211">
        <f t="shared" si="623"/>
        <v>45603</v>
      </c>
      <c r="E6086" s="238">
        <f t="shared" ref="E6086:E6114" si="627">DATE(A6086,B6086,C6086)</f>
        <v>45603</v>
      </c>
      <c r="F6086" s="520" t="s">
        <v>1259</v>
      </c>
      <c r="G6086" s="213" t="s">
        <v>1245</v>
      </c>
      <c r="H6086" s="214"/>
      <c r="I6086" s="214" t="s">
        <v>1253</v>
      </c>
      <c r="J6086" s="210" t="s">
        <v>58</v>
      </c>
      <c r="K6086" s="215">
        <v>759.28</v>
      </c>
      <c r="L6086" s="215"/>
    </row>
    <row r="6087" spans="1:13" ht="11.25" customHeight="1" x14ac:dyDescent="0.2">
      <c r="A6087" s="216">
        <v>2024</v>
      </c>
      <c r="B6087" s="216">
        <v>11</v>
      </c>
      <c r="C6087" s="216">
        <v>7</v>
      </c>
      <c r="D6087" s="217">
        <f t="shared" si="623"/>
        <v>45603</v>
      </c>
      <c r="E6087" s="239">
        <f t="shared" si="627"/>
        <v>45603</v>
      </c>
      <c r="F6087" s="521"/>
      <c r="G6087" s="219" t="s">
        <v>1245</v>
      </c>
      <c r="H6087" s="220"/>
      <c r="I6087" s="220" t="s">
        <v>1253</v>
      </c>
      <c r="J6087" s="216" t="s">
        <v>153</v>
      </c>
      <c r="K6087" s="221"/>
      <c r="L6087" s="221">
        <f>K6086</f>
        <v>759.28</v>
      </c>
    </row>
    <row r="6088" spans="1:13" ht="11.25" customHeight="1" x14ac:dyDescent="0.2">
      <c r="A6088" s="312">
        <v>2024</v>
      </c>
      <c r="B6088" s="312">
        <v>11</v>
      </c>
      <c r="C6088" s="312">
        <v>7</v>
      </c>
      <c r="D6088" s="313">
        <f t="shared" si="623"/>
        <v>45603</v>
      </c>
      <c r="E6088" s="314">
        <f t="shared" si="627"/>
        <v>45603</v>
      </c>
      <c r="F6088" s="522" t="s">
        <v>1477</v>
      </c>
      <c r="G6088" s="315" t="s">
        <v>1245</v>
      </c>
      <c r="H6088" s="316"/>
      <c r="I6088" s="316" t="s">
        <v>1253</v>
      </c>
      <c r="J6088" s="312" t="s">
        <v>1460</v>
      </c>
      <c r="K6088" s="317">
        <v>129307.20000000298</v>
      </c>
      <c r="L6088" s="317"/>
    </row>
    <row r="6089" spans="1:13" ht="11.25" customHeight="1" x14ac:dyDescent="0.2">
      <c r="A6089" s="318">
        <v>2024</v>
      </c>
      <c r="B6089" s="318">
        <v>11</v>
      </c>
      <c r="C6089" s="318">
        <v>7</v>
      </c>
      <c r="D6089" s="319">
        <f t="shared" si="623"/>
        <v>45603</v>
      </c>
      <c r="E6089" s="320">
        <f t="shared" si="627"/>
        <v>45603</v>
      </c>
      <c r="F6089" s="523"/>
      <c r="G6089" s="321" t="s">
        <v>1245</v>
      </c>
      <c r="H6089" s="322"/>
      <c r="I6089" s="322" t="s">
        <v>1253</v>
      </c>
      <c r="J6089" s="318" t="s">
        <v>1458</v>
      </c>
      <c r="K6089" s="323"/>
      <c r="L6089" s="323">
        <f>K6088</f>
        <v>129307.20000000298</v>
      </c>
    </row>
    <row r="6090" spans="1:13" ht="11.25" customHeight="1" x14ac:dyDescent="0.2">
      <c r="A6090" s="312">
        <v>2024</v>
      </c>
      <c r="B6090" s="312">
        <v>11</v>
      </c>
      <c r="C6090" s="312">
        <v>7</v>
      </c>
      <c r="D6090" s="313">
        <f t="shared" si="623"/>
        <v>45603</v>
      </c>
      <c r="E6090" s="314">
        <f t="shared" si="627"/>
        <v>45603</v>
      </c>
      <c r="F6090" s="522" t="s">
        <v>1595</v>
      </c>
      <c r="G6090" s="315" t="s">
        <v>1245</v>
      </c>
      <c r="H6090" s="316"/>
      <c r="I6090" s="316" t="s">
        <v>1253</v>
      </c>
      <c r="J6090" s="312" t="s">
        <v>1461</v>
      </c>
      <c r="K6090" s="317">
        <v>631560.93900001049</v>
      </c>
      <c r="L6090" s="317"/>
    </row>
    <row r="6091" spans="1:13" ht="11.25" customHeight="1" x14ac:dyDescent="0.2">
      <c r="A6091" s="318">
        <v>2024</v>
      </c>
      <c r="B6091" s="318">
        <v>11</v>
      </c>
      <c r="C6091" s="318">
        <v>7</v>
      </c>
      <c r="D6091" s="319">
        <f t="shared" si="623"/>
        <v>45603</v>
      </c>
      <c r="E6091" s="320">
        <f t="shared" si="627"/>
        <v>45603</v>
      </c>
      <c r="F6091" s="523"/>
      <c r="G6091" s="321" t="s">
        <v>1245</v>
      </c>
      <c r="H6091" s="322"/>
      <c r="I6091" s="322" t="s">
        <v>1253</v>
      </c>
      <c r="J6091" s="318" t="s">
        <v>1459</v>
      </c>
      <c r="K6091" s="323"/>
      <c r="L6091" s="323">
        <f>K6090</f>
        <v>631560.93900001049</v>
      </c>
    </row>
    <row r="6092" spans="1:13" ht="11.25" customHeight="1" x14ac:dyDescent="0.2">
      <c r="A6092" s="222">
        <v>2024</v>
      </c>
      <c r="B6092" s="222">
        <v>11</v>
      </c>
      <c r="C6092" s="222">
        <v>7</v>
      </c>
      <c r="D6092" s="223">
        <f t="shared" si="623"/>
        <v>45603</v>
      </c>
      <c r="E6092" s="240">
        <f t="shared" si="627"/>
        <v>45603</v>
      </c>
      <c r="F6092" s="511" t="s">
        <v>1244</v>
      </c>
      <c r="G6092" s="225" t="s">
        <v>1245</v>
      </c>
      <c r="H6092" s="226"/>
      <c r="I6092" s="226" t="s">
        <v>1253</v>
      </c>
      <c r="J6092" s="222" t="s">
        <v>87</v>
      </c>
      <c r="K6092" s="227">
        <v>5230</v>
      </c>
      <c r="L6092" s="227"/>
    </row>
    <row r="6093" spans="1:13" ht="11.25" customHeight="1" x14ac:dyDescent="0.2">
      <c r="A6093" s="228">
        <v>2024</v>
      </c>
      <c r="B6093" s="228">
        <v>11</v>
      </c>
      <c r="C6093" s="228">
        <v>7</v>
      </c>
      <c r="D6093" s="229">
        <f t="shared" si="623"/>
        <v>45603</v>
      </c>
      <c r="E6093" s="241">
        <f t="shared" si="627"/>
        <v>45603</v>
      </c>
      <c r="F6093" s="512"/>
      <c r="G6093" s="231" t="s">
        <v>1245</v>
      </c>
      <c r="H6093" s="232"/>
      <c r="I6093" s="232" t="s">
        <v>1253</v>
      </c>
      <c r="J6093" s="228" t="s">
        <v>72</v>
      </c>
      <c r="K6093" s="233"/>
      <c r="L6093" s="233">
        <f>K6092</f>
        <v>5230</v>
      </c>
    </row>
    <row r="6094" spans="1:13" ht="11.25" customHeight="1" x14ac:dyDescent="0.2">
      <c r="A6094" s="222">
        <v>2024</v>
      </c>
      <c r="B6094" s="222">
        <v>11</v>
      </c>
      <c r="C6094" s="222">
        <v>7</v>
      </c>
      <c r="D6094" s="223">
        <f t="shared" si="623"/>
        <v>45603</v>
      </c>
      <c r="E6094" s="240">
        <f t="shared" si="627"/>
        <v>45603</v>
      </c>
      <c r="F6094" s="511" t="s">
        <v>1246</v>
      </c>
      <c r="G6094" s="225" t="s">
        <v>1245</v>
      </c>
      <c r="H6094" s="226"/>
      <c r="I6094" s="226" t="s">
        <v>1253</v>
      </c>
      <c r="J6094" s="222" t="s">
        <v>75</v>
      </c>
      <c r="K6094" s="227">
        <v>3623.123846153846</v>
      </c>
      <c r="L6094" s="227"/>
    </row>
    <row r="6095" spans="1:13" ht="11.25" customHeight="1" x14ac:dyDescent="0.2">
      <c r="A6095" s="228">
        <v>2024</v>
      </c>
      <c r="B6095" s="228">
        <v>11</v>
      </c>
      <c r="C6095" s="228">
        <v>7</v>
      </c>
      <c r="D6095" s="229">
        <f t="shared" si="623"/>
        <v>45603</v>
      </c>
      <c r="E6095" s="241">
        <f t="shared" si="627"/>
        <v>45603</v>
      </c>
      <c r="F6095" s="512"/>
      <c r="G6095" s="231" t="s">
        <v>1245</v>
      </c>
      <c r="H6095" s="232"/>
      <c r="I6095" s="232" t="s">
        <v>1253</v>
      </c>
      <c r="J6095" s="228" t="s">
        <v>55</v>
      </c>
      <c r="K6095" s="233"/>
      <c r="L6095" s="233">
        <v>3623.123846153846</v>
      </c>
    </row>
    <row r="6096" spans="1:13" ht="11.25" customHeight="1" x14ac:dyDescent="0.2">
      <c r="A6096" s="222">
        <v>2024</v>
      </c>
      <c r="B6096" s="222">
        <v>11</v>
      </c>
      <c r="C6096" s="222">
        <v>7</v>
      </c>
      <c r="D6096" s="223">
        <f t="shared" si="623"/>
        <v>45603</v>
      </c>
      <c r="E6096" s="240">
        <f t="shared" si="627"/>
        <v>45603</v>
      </c>
      <c r="F6096" s="511" t="s">
        <v>1247</v>
      </c>
      <c r="G6096" s="225" t="s">
        <v>1245</v>
      </c>
      <c r="H6096" s="226"/>
      <c r="I6096" s="226" t="s">
        <v>1253</v>
      </c>
      <c r="J6096" s="222" t="s">
        <v>77</v>
      </c>
      <c r="K6096" s="227">
        <f>M6096</f>
        <v>40844.671740754377</v>
      </c>
      <c r="L6096" s="227"/>
      <c r="M6096" s="120">
        <v>40844.671740754377</v>
      </c>
    </row>
    <row r="6097" spans="1:13" ht="11.25" customHeight="1" x14ac:dyDescent="0.2">
      <c r="A6097" s="228">
        <v>2024</v>
      </c>
      <c r="B6097" s="228">
        <v>11</v>
      </c>
      <c r="C6097" s="228">
        <v>7</v>
      </c>
      <c r="D6097" s="229">
        <f t="shared" si="623"/>
        <v>45603</v>
      </c>
      <c r="E6097" s="241">
        <f t="shared" si="627"/>
        <v>45603</v>
      </c>
      <c r="F6097" s="512"/>
      <c r="G6097" s="231" t="s">
        <v>1245</v>
      </c>
      <c r="H6097" s="232"/>
      <c r="I6097" s="232" t="s">
        <v>1253</v>
      </c>
      <c r="J6097" s="228" t="s">
        <v>41</v>
      </c>
      <c r="K6097" s="233"/>
      <c r="L6097" s="233">
        <f>K6096</f>
        <v>40844.671740754377</v>
      </c>
      <c r="M6097" s="120">
        <v>4084.4671740754375</v>
      </c>
    </row>
    <row r="6098" spans="1:13" ht="11.25" customHeight="1" x14ac:dyDescent="0.2">
      <c r="A6098" s="222">
        <v>2024</v>
      </c>
      <c r="B6098" s="222">
        <v>11</v>
      </c>
      <c r="C6098" s="222">
        <v>7</v>
      </c>
      <c r="D6098" s="223">
        <f t="shared" si="623"/>
        <v>45603</v>
      </c>
      <c r="E6098" s="240">
        <f t="shared" si="627"/>
        <v>45603</v>
      </c>
      <c r="F6098" s="511" t="s">
        <v>1248</v>
      </c>
      <c r="G6098" s="225" t="s">
        <v>1245</v>
      </c>
      <c r="H6098" s="226"/>
      <c r="I6098" s="226" t="s">
        <v>1253</v>
      </c>
      <c r="J6098" s="222" t="s">
        <v>80</v>
      </c>
      <c r="K6098" s="227">
        <f>M6097</f>
        <v>4084.4671740754375</v>
      </c>
      <c r="L6098" s="227"/>
    </row>
    <row r="6099" spans="1:13" x14ac:dyDescent="0.2">
      <c r="A6099" s="228">
        <v>2024</v>
      </c>
      <c r="B6099" s="228">
        <v>11</v>
      </c>
      <c r="C6099" s="228">
        <v>7</v>
      </c>
      <c r="D6099" s="229">
        <f t="shared" si="623"/>
        <v>45603</v>
      </c>
      <c r="E6099" s="241">
        <f t="shared" si="627"/>
        <v>45603</v>
      </c>
      <c r="F6099" s="512"/>
      <c r="G6099" s="231" t="s">
        <v>1245</v>
      </c>
      <c r="H6099" s="232"/>
      <c r="I6099" s="232" t="s">
        <v>1253</v>
      </c>
      <c r="J6099" s="228" t="s">
        <v>42</v>
      </c>
      <c r="K6099" s="233"/>
      <c r="L6099" s="233">
        <f>K6098</f>
        <v>4084.4671740754375</v>
      </c>
    </row>
    <row r="6100" spans="1:13" ht="11.25" customHeight="1" x14ac:dyDescent="0.2">
      <c r="A6100" s="197">
        <v>2024</v>
      </c>
      <c r="B6100" s="197">
        <v>11</v>
      </c>
      <c r="C6100" s="197">
        <v>10</v>
      </c>
      <c r="D6100" s="198">
        <f t="shared" si="623"/>
        <v>45606</v>
      </c>
      <c r="E6100" s="199">
        <f t="shared" si="627"/>
        <v>45606</v>
      </c>
      <c r="F6100" s="513" t="s">
        <v>1919</v>
      </c>
      <c r="G6100" s="200" t="s">
        <v>1209</v>
      </c>
      <c r="H6100" s="201"/>
      <c r="I6100" s="201" t="s">
        <v>1253</v>
      </c>
      <c r="J6100" s="197" t="s">
        <v>46</v>
      </c>
      <c r="K6100" s="202">
        <v>4997000</v>
      </c>
      <c r="L6100" s="202"/>
    </row>
    <row r="6101" spans="1:13" ht="11.25" customHeight="1" x14ac:dyDescent="0.2">
      <c r="A6101" s="120">
        <v>2024</v>
      </c>
      <c r="B6101" s="120">
        <v>11</v>
      </c>
      <c r="C6101" s="120">
        <v>10</v>
      </c>
      <c r="D6101" s="208">
        <f t="shared" si="623"/>
        <v>45606</v>
      </c>
      <c r="E6101" s="209">
        <f t="shared" ref="E6101:E6102" si="628">DATE(A6101,B6101,C6101)</f>
        <v>45606</v>
      </c>
      <c r="F6101" s="515"/>
      <c r="G6101" s="132" t="s">
        <v>1209</v>
      </c>
      <c r="J6101" s="120" t="s">
        <v>46</v>
      </c>
      <c r="K6101" s="207">
        <v>151875</v>
      </c>
      <c r="L6101" s="207"/>
    </row>
    <row r="6102" spans="1:13" ht="11.25" customHeight="1" x14ac:dyDescent="0.2">
      <c r="A6102" s="120">
        <v>2024</v>
      </c>
      <c r="B6102" s="120">
        <v>11</v>
      </c>
      <c r="C6102" s="120">
        <v>10</v>
      </c>
      <c r="D6102" s="208">
        <f t="shared" si="623"/>
        <v>45606</v>
      </c>
      <c r="E6102" s="209">
        <f t="shared" si="628"/>
        <v>45606</v>
      </c>
      <c r="F6102" s="515"/>
      <c r="G6102" s="132" t="s">
        <v>1209</v>
      </c>
      <c r="J6102" s="120" t="s">
        <v>54</v>
      </c>
      <c r="K6102" s="207">
        <v>3000</v>
      </c>
      <c r="L6102" s="207"/>
    </row>
    <row r="6103" spans="1:13" ht="11.25" customHeight="1" x14ac:dyDescent="0.2">
      <c r="A6103" s="120">
        <v>2024</v>
      </c>
      <c r="B6103" s="120">
        <v>11</v>
      </c>
      <c r="C6103" s="120">
        <v>10</v>
      </c>
      <c r="D6103" s="208">
        <f t="shared" si="623"/>
        <v>45606</v>
      </c>
      <c r="E6103" s="209">
        <f t="shared" si="627"/>
        <v>45606</v>
      </c>
      <c r="F6103" s="515"/>
      <c r="G6103" s="132" t="s">
        <v>1209</v>
      </c>
      <c r="J6103" s="120" t="s">
        <v>113</v>
      </c>
      <c r="K6103" s="207"/>
      <c r="L6103" s="207">
        <v>151875</v>
      </c>
    </row>
    <row r="6104" spans="1:13" ht="11.25" customHeight="1" x14ac:dyDescent="0.2">
      <c r="A6104" s="191">
        <v>2024</v>
      </c>
      <c r="B6104" s="191">
        <v>11</v>
      </c>
      <c r="C6104" s="191">
        <v>10</v>
      </c>
      <c r="D6104" s="192">
        <f t="shared" si="623"/>
        <v>45606</v>
      </c>
      <c r="E6104" s="193">
        <f t="shared" si="627"/>
        <v>45606</v>
      </c>
      <c r="F6104" s="514"/>
      <c r="G6104" s="194" t="s">
        <v>1209</v>
      </c>
      <c r="H6104" s="195"/>
      <c r="I6104" s="195" t="s">
        <v>1253</v>
      </c>
      <c r="J6104" s="191" t="s">
        <v>76</v>
      </c>
      <c r="K6104" s="196"/>
      <c r="L6104" s="196">
        <v>5000000</v>
      </c>
    </row>
    <row r="6105" spans="1:13" ht="11.25" customHeight="1" x14ac:dyDescent="0.2">
      <c r="A6105" s="197">
        <v>2024</v>
      </c>
      <c r="B6105" s="197">
        <v>11</v>
      </c>
      <c r="C6105" s="197">
        <v>10</v>
      </c>
      <c r="D6105" s="198">
        <f t="shared" si="623"/>
        <v>45606</v>
      </c>
      <c r="E6105" s="199">
        <f t="shared" ref="E6105:E6111" si="629">DATE(A6105,B6105,C6105)</f>
        <v>45606</v>
      </c>
      <c r="F6105" s="513" t="s">
        <v>1920</v>
      </c>
      <c r="G6105" s="200" t="s">
        <v>1209</v>
      </c>
      <c r="H6105" s="201"/>
      <c r="I6105" s="201" t="s">
        <v>1253</v>
      </c>
      <c r="J6105" s="197" t="s">
        <v>46</v>
      </c>
      <c r="K6105" s="202">
        <v>4997000</v>
      </c>
      <c r="L6105" s="202"/>
    </row>
    <row r="6106" spans="1:13" ht="11.25" customHeight="1" x14ac:dyDescent="0.2">
      <c r="A6106" s="120">
        <v>2024</v>
      </c>
      <c r="B6106" s="120">
        <v>11</v>
      </c>
      <c r="C6106" s="120">
        <v>10</v>
      </c>
      <c r="D6106" s="208">
        <f t="shared" si="623"/>
        <v>45606</v>
      </c>
      <c r="E6106" s="209">
        <f t="shared" si="629"/>
        <v>45606</v>
      </c>
      <c r="F6106" s="515"/>
      <c r="G6106" s="132" t="s">
        <v>1209</v>
      </c>
      <c r="J6106" s="120" t="s">
        <v>46</v>
      </c>
      <c r="K6106" s="207">
        <v>151875</v>
      </c>
      <c r="L6106" s="207"/>
    </row>
    <row r="6107" spans="1:13" ht="11.25" customHeight="1" x14ac:dyDescent="0.2">
      <c r="A6107" s="120">
        <v>2024</v>
      </c>
      <c r="B6107" s="120">
        <v>11</v>
      </c>
      <c r="C6107" s="120">
        <v>10</v>
      </c>
      <c r="D6107" s="208">
        <f t="shared" si="623"/>
        <v>45606</v>
      </c>
      <c r="E6107" s="209">
        <f t="shared" si="629"/>
        <v>45606</v>
      </c>
      <c r="F6107" s="515"/>
      <c r="G6107" s="132" t="s">
        <v>1209</v>
      </c>
      <c r="J6107" s="120" t="s">
        <v>54</v>
      </c>
      <c r="K6107" s="207">
        <v>3000</v>
      </c>
      <c r="L6107" s="207"/>
    </row>
    <row r="6108" spans="1:13" ht="11.25" customHeight="1" x14ac:dyDescent="0.2">
      <c r="A6108" s="120">
        <v>2024</v>
      </c>
      <c r="B6108" s="120">
        <v>11</v>
      </c>
      <c r="C6108" s="120">
        <v>10</v>
      </c>
      <c r="D6108" s="208">
        <f t="shared" si="623"/>
        <v>45606</v>
      </c>
      <c r="E6108" s="209">
        <f t="shared" si="629"/>
        <v>45606</v>
      </c>
      <c r="F6108" s="515"/>
      <c r="G6108" s="132" t="s">
        <v>1209</v>
      </c>
      <c r="J6108" s="120" t="s">
        <v>113</v>
      </c>
      <c r="K6108" s="207"/>
      <c r="L6108" s="207">
        <v>151875</v>
      </c>
    </row>
    <row r="6109" spans="1:13" ht="11.25" customHeight="1" x14ac:dyDescent="0.2">
      <c r="A6109" s="191">
        <v>2024</v>
      </c>
      <c r="B6109" s="191">
        <v>11</v>
      </c>
      <c r="C6109" s="191">
        <v>10</v>
      </c>
      <c r="D6109" s="192">
        <f t="shared" si="623"/>
        <v>45606</v>
      </c>
      <c r="E6109" s="193">
        <f t="shared" si="629"/>
        <v>45606</v>
      </c>
      <c r="F6109" s="514"/>
      <c r="G6109" s="194" t="s">
        <v>1209</v>
      </c>
      <c r="H6109" s="195"/>
      <c r="I6109" s="195" t="s">
        <v>1253</v>
      </c>
      <c r="J6109" s="191" t="s">
        <v>76</v>
      </c>
      <c r="K6109" s="196"/>
      <c r="L6109" s="196">
        <v>5000000</v>
      </c>
    </row>
    <row r="6110" spans="1:13" ht="11.25" customHeight="1" x14ac:dyDescent="0.2">
      <c r="A6110" s="197">
        <v>2024</v>
      </c>
      <c r="B6110" s="197">
        <v>11</v>
      </c>
      <c r="C6110" s="197">
        <v>10</v>
      </c>
      <c r="D6110" s="198">
        <f t="shared" si="623"/>
        <v>45606</v>
      </c>
      <c r="E6110" s="290">
        <f t="shared" si="629"/>
        <v>45606</v>
      </c>
      <c r="F6110" s="513" t="s">
        <v>1921</v>
      </c>
      <c r="G6110" s="200" t="s">
        <v>1209</v>
      </c>
      <c r="H6110" s="201"/>
      <c r="I6110" s="201" t="s">
        <v>1253</v>
      </c>
      <c r="J6110" s="197" t="s">
        <v>46</v>
      </c>
      <c r="K6110" s="202">
        <v>120500</v>
      </c>
      <c r="L6110" s="202"/>
    </row>
    <row r="6111" spans="1:13" ht="11.25" customHeight="1" x14ac:dyDescent="0.2">
      <c r="A6111" s="191">
        <v>2024</v>
      </c>
      <c r="B6111" s="191">
        <v>11</v>
      </c>
      <c r="C6111" s="191">
        <v>10</v>
      </c>
      <c r="D6111" s="192">
        <f t="shared" si="623"/>
        <v>45606</v>
      </c>
      <c r="E6111" s="290">
        <f t="shared" si="629"/>
        <v>45606</v>
      </c>
      <c r="F6111" s="514"/>
      <c r="G6111" s="194" t="s">
        <v>1209</v>
      </c>
      <c r="H6111" s="195"/>
      <c r="I6111" s="195"/>
      <c r="J6111" s="191" t="s">
        <v>1845</v>
      </c>
      <c r="K6111" s="196"/>
      <c r="L6111" s="196">
        <v>120500</v>
      </c>
    </row>
    <row r="6112" spans="1:13" ht="11.25" customHeight="1" x14ac:dyDescent="0.2">
      <c r="A6112" s="197">
        <v>2024</v>
      </c>
      <c r="B6112" s="197">
        <v>11</v>
      </c>
      <c r="C6112" s="197">
        <v>12</v>
      </c>
      <c r="D6112" s="198">
        <f t="shared" si="623"/>
        <v>45608</v>
      </c>
      <c r="E6112" s="209">
        <f t="shared" si="627"/>
        <v>45608</v>
      </c>
      <c r="F6112" s="513" t="s">
        <v>1280</v>
      </c>
      <c r="G6112" s="200" t="s">
        <v>1209</v>
      </c>
      <c r="H6112" s="201"/>
      <c r="I6112" s="201" t="s">
        <v>1596</v>
      </c>
      <c r="J6112" s="197" t="s">
        <v>16</v>
      </c>
      <c r="K6112" s="202">
        <v>10320</v>
      </c>
      <c r="L6112" s="202"/>
    </row>
    <row r="6113" spans="1:15" ht="11.25" customHeight="1" x14ac:dyDescent="0.2">
      <c r="A6113" s="120">
        <v>2024</v>
      </c>
      <c r="B6113" s="120">
        <v>11</v>
      </c>
      <c r="C6113" s="120">
        <v>12</v>
      </c>
      <c r="D6113" s="208">
        <f t="shared" si="623"/>
        <v>45608</v>
      </c>
      <c r="E6113" s="209">
        <f t="shared" si="627"/>
        <v>45608</v>
      </c>
      <c r="F6113" s="515"/>
      <c r="G6113" s="132" t="s">
        <v>1209</v>
      </c>
      <c r="I6113" s="128" t="s">
        <v>1596</v>
      </c>
      <c r="J6113" s="120" t="s">
        <v>47</v>
      </c>
      <c r="K6113" s="207">
        <v>1680</v>
      </c>
      <c r="L6113" s="207"/>
    </row>
    <row r="6114" spans="1:15" ht="11.25" customHeight="1" x14ac:dyDescent="0.2">
      <c r="A6114" s="191">
        <v>2024</v>
      </c>
      <c r="B6114" s="191">
        <v>11</v>
      </c>
      <c r="C6114" s="191">
        <v>12</v>
      </c>
      <c r="D6114" s="192">
        <f t="shared" si="623"/>
        <v>45608</v>
      </c>
      <c r="E6114" s="193">
        <f t="shared" si="627"/>
        <v>45608</v>
      </c>
      <c r="F6114" s="514"/>
      <c r="G6114" s="194" t="s">
        <v>1209</v>
      </c>
      <c r="H6114" s="195"/>
      <c r="I6114" s="195" t="s">
        <v>1596</v>
      </c>
      <c r="J6114" s="191" t="s">
        <v>46</v>
      </c>
      <c r="K6114" s="196"/>
      <c r="L6114" s="196">
        <v>12000</v>
      </c>
    </row>
    <row r="6115" spans="1:15" ht="11.25" customHeight="1" x14ac:dyDescent="0.2">
      <c r="A6115" s="197">
        <v>2024</v>
      </c>
      <c r="B6115" s="197">
        <v>11</v>
      </c>
      <c r="C6115" s="197">
        <v>12</v>
      </c>
      <c r="D6115" s="198">
        <f t="shared" si="623"/>
        <v>45608</v>
      </c>
      <c r="E6115" s="209">
        <f t="shared" ref="E6115:E6117" si="630">DATE(A6115,B6115,C6115)</f>
        <v>45608</v>
      </c>
      <c r="F6115" s="513" t="s">
        <v>1280</v>
      </c>
      <c r="G6115" s="200" t="s">
        <v>1209</v>
      </c>
      <c r="H6115" s="201"/>
      <c r="I6115" s="201" t="s">
        <v>389</v>
      </c>
      <c r="J6115" s="197" t="s">
        <v>16</v>
      </c>
      <c r="K6115" s="202">
        <v>2407360</v>
      </c>
      <c r="L6115" s="202"/>
    </row>
    <row r="6116" spans="1:15" ht="11.25" customHeight="1" x14ac:dyDescent="0.2">
      <c r="A6116" s="120">
        <v>2024</v>
      </c>
      <c r="B6116" s="120">
        <v>11</v>
      </c>
      <c r="C6116" s="120">
        <v>12</v>
      </c>
      <c r="D6116" s="208">
        <f t="shared" si="623"/>
        <v>45608</v>
      </c>
      <c r="E6116" s="209">
        <f t="shared" si="630"/>
        <v>45608</v>
      </c>
      <c r="F6116" s="515"/>
      <c r="G6116" s="132" t="s">
        <v>1209</v>
      </c>
      <c r="I6116" s="128" t="s">
        <v>389</v>
      </c>
      <c r="J6116" s="120" t="s">
        <v>47</v>
      </c>
      <c r="K6116" s="207">
        <v>392640</v>
      </c>
      <c r="L6116" s="207"/>
    </row>
    <row r="6117" spans="1:15" ht="11.25" customHeight="1" x14ac:dyDescent="0.2">
      <c r="A6117" s="191">
        <v>2024</v>
      </c>
      <c r="B6117" s="191">
        <v>11</v>
      </c>
      <c r="C6117" s="191">
        <v>12</v>
      </c>
      <c r="D6117" s="192">
        <f t="shared" si="623"/>
        <v>45608</v>
      </c>
      <c r="E6117" s="193">
        <f t="shared" si="630"/>
        <v>45608</v>
      </c>
      <c r="F6117" s="514"/>
      <c r="G6117" s="194" t="s">
        <v>1209</v>
      </c>
      <c r="H6117" s="195"/>
      <c r="I6117" s="195" t="s">
        <v>389</v>
      </c>
      <c r="J6117" s="191" t="s">
        <v>46</v>
      </c>
      <c r="K6117" s="196"/>
      <c r="L6117" s="196">
        <v>2800000</v>
      </c>
    </row>
    <row r="6118" spans="1:15" ht="11.25" customHeight="1" x14ac:dyDescent="0.2">
      <c r="A6118" s="197">
        <v>2024</v>
      </c>
      <c r="B6118" s="197">
        <v>11</v>
      </c>
      <c r="C6118" s="197">
        <v>12</v>
      </c>
      <c r="D6118" s="198">
        <f t="shared" si="623"/>
        <v>45608</v>
      </c>
      <c r="E6118" s="290">
        <f>DATE(A6118,B6118,C6118)</f>
        <v>45608</v>
      </c>
      <c r="F6118" s="513" t="s">
        <v>1514</v>
      </c>
      <c r="G6118" s="200" t="s">
        <v>1209</v>
      </c>
      <c r="H6118" s="201"/>
      <c r="I6118" s="201"/>
      <c r="J6118" s="197" t="s">
        <v>54</v>
      </c>
      <c r="K6118" s="202">
        <v>158</v>
      </c>
      <c r="L6118" s="202"/>
      <c r="M6118" s="251"/>
      <c r="N6118" s="251"/>
      <c r="O6118" s="251"/>
    </row>
    <row r="6119" spans="1:15" ht="11.25" customHeight="1" x14ac:dyDescent="0.2">
      <c r="A6119" s="191">
        <v>2024</v>
      </c>
      <c r="B6119" s="191">
        <v>11</v>
      </c>
      <c r="C6119" s="191">
        <v>12</v>
      </c>
      <c r="D6119" s="192">
        <f t="shared" si="623"/>
        <v>45608</v>
      </c>
      <c r="E6119" s="291">
        <f>DATE(A6119,B6119,C6119)</f>
        <v>45608</v>
      </c>
      <c r="F6119" s="514"/>
      <c r="G6119" s="194" t="s">
        <v>1209</v>
      </c>
      <c r="H6119" s="195"/>
      <c r="I6119" s="195"/>
      <c r="J6119" s="191" t="s">
        <v>46</v>
      </c>
      <c r="K6119" s="196"/>
      <c r="L6119" s="196">
        <v>158</v>
      </c>
      <c r="M6119" s="251"/>
      <c r="N6119" s="251"/>
      <c r="O6119" s="251"/>
    </row>
    <row r="6120" spans="1:15" ht="11.25" customHeight="1" x14ac:dyDescent="0.2">
      <c r="A6120" s="197">
        <v>2024</v>
      </c>
      <c r="B6120" s="197">
        <v>11</v>
      </c>
      <c r="C6120" s="197">
        <v>12</v>
      </c>
      <c r="D6120" s="198">
        <f t="shared" si="623"/>
        <v>45608</v>
      </c>
      <c r="E6120" s="209">
        <f t="shared" ref="E6120:E6122" si="631">DATE(A6120,B6120,C6120)</f>
        <v>45608</v>
      </c>
      <c r="F6120" s="513" t="s">
        <v>1423</v>
      </c>
      <c r="G6120" s="200" t="s">
        <v>1209</v>
      </c>
      <c r="H6120" s="201"/>
      <c r="I6120" s="201" t="s">
        <v>349</v>
      </c>
      <c r="J6120" s="197" t="s">
        <v>16</v>
      </c>
      <c r="K6120" s="202">
        <v>42990</v>
      </c>
      <c r="L6120" s="202"/>
    </row>
    <row r="6121" spans="1:15" ht="11.25" customHeight="1" x14ac:dyDescent="0.2">
      <c r="A6121" s="120">
        <v>2024</v>
      </c>
      <c r="B6121" s="120">
        <v>11</v>
      </c>
      <c r="C6121" s="120">
        <v>12</v>
      </c>
      <c r="D6121" s="208">
        <f t="shared" si="623"/>
        <v>45608</v>
      </c>
      <c r="E6121" s="209">
        <f t="shared" si="631"/>
        <v>45608</v>
      </c>
      <c r="F6121" s="515"/>
      <c r="G6121" s="132" t="s">
        <v>1209</v>
      </c>
      <c r="I6121" s="128" t="s">
        <v>349</v>
      </c>
      <c r="J6121" s="120" t="s">
        <v>47</v>
      </c>
      <c r="K6121" s="207">
        <v>7010</v>
      </c>
      <c r="L6121" s="207"/>
    </row>
    <row r="6122" spans="1:15" ht="11.25" customHeight="1" x14ac:dyDescent="0.2">
      <c r="A6122" s="191">
        <v>2024</v>
      </c>
      <c r="B6122" s="191">
        <v>11</v>
      </c>
      <c r="C6122" s="191">
        <v>12</v>
      </c>
      <c r="D6122" s="192">
        <f t="shared" si="623"/>
        <v>45608</v>
      </c>
      <c r="E6122" s="193">
        <f t="shared" si="631"/>
        <v>45608</v>
      </c>
      <c r="F6122" s="514"/>
      <c r="G6122" s="194" t="s">
        <v>1209</v>
      </c>
      <c r="H6122" s="195"/>
      <c r="I6122" s="195" t="s">
        <v>349</v>
      </c>
      <c r="J6122" s="191" t="s">
        <v>46</v>
      </c>
      <c r="K6122" s="196"/>
      <c r="L6122" s="196">
        <v>50000</v>
      </c>
    </row>
    <row r="6123" spans="1:15" ht="11.25" customHeight="1" x14ac:dyDescent="0.2">
      <c r="A6123" s="120">
        <v>2024</v>
      </c>
      <c r="B6123" s="197">
        <v>11</v>
      </c>
      <c r="C6123" s="197">
        <v>12</v>
      </c>
      <c r="D6123" s="208">
        <f t="shared" si="623"/>
        <v>45608</v>
      </c>
      <c r="E6123" s="209">
        <f>DATE(A6123,B6123,C6123)</f>
        <v>45608</v>
      </c>
      <c r="F6123" s="515" t="s">
        <v>1922</v>
      </c>
      <c r="G6123" s="132" t="s">
        <v>1209</v>
      </c>
      <c r="H6123" s="132"/>
      <c r="J6123" s="120" t="s">
        <v>457</v>
      </c>
      <c r="K6123" s="202">
        <v>6602.44</v>
      </c>
      <c r="L6123" s="207"/>
    </row>
    <row r="6124" spans="1:15" ht="11.25" customHeight="1" x14ac:dyDescent="0.2">
      <c r="A6124" s="191">
        <v>2024</v>
      </c>
      <c r="B6124" s="191">
        <v>11</v>
      </c>
      <c r="C6124" s="191">
        <v>12</v>
      </c>
      <c r="D6124" s="192">
        <f t="shared" ref="D6124:D6187" si="632">DATE(A6124,B6124,C6124)</f>
        <v>45608</v>
      </c>
      <c r="E6124" s="291">
        <f t="shared" ref="E6124:E6126" si="633">DATE(A6124,B6124,C6124)</f>
        <v>45608</v>
      </c>
      <c r="F6124" s="514"/>
      <c r="G6124" s="194" t="s">
        <v>1209</v>
      </c>
      <c r="H6124" s="195"/>
      <c r="I6124" s="195" t="s">
        <v>1253</v>
      </c>
      <c r="J6124" s="191" t="s">
        <v>46</v>
      </c>
      <c r="K6124" s="196"/>
      <c r="L6124" s="196">
        <v>6602.44</v>
      </c>
    </row>
    <row r="6125" spans="1:15" ht="11.25" customHeight="1" x14ac:dyDescent="0.2">
      <c r="A6125" s="197">
        <v>2024</v>
      </c>
      <c r="B6125" s="197">
        <v>11</v>
      </c>
      <c r="C6125" s="197">
        <v>13</v>
      </c>
      <c r="D6125" s="198">
        <f t="shared" si="632"/>
        <v>45609</v>
      </c>
      <c r="E6125" s="199">
        <f t="shared" si="633"/>
        <v>45609</v>
      </c>
      <c r="F6125" s="513" t="s">
        <v>1923</v>
      </c>
      <c r="G6125" s="200" t="s">
        <v>1209</v>
      </c>
      <c r="H6125" s="201"/>
      <c r="I6125" s="201" t="s">
        <v>1253</v>
      </c>
      <c r="J6125" s="197" t="s">
        <v>1837</v>
      </c>
      <c r="K6125" s="202">
        <v>2517712.31</v>
      </c>
      <c r="L6125" s="202"/>
    </row>
    <row r="6126" spans="1:15" ht="11.25" customHeight="1" x14ac:dyDescent="0.2">
      <c r="A6126" s="191">
        <v>2024</v>
      </c>
      <c r="B6126" s="191">
        <v>11</v>
      </c>
      <c r="C6126" s="191">
        <v>13</v>
      </c>
      <c r="D6126" s="192">
        <f t="shared" si="632"/>
        <v>45609</v>
      </c>
      <c r="E6126" s="193">
        <f t="shared" si="633"/>
        <v>45609</v>
      </c>
      <c r="F6126" s="514"/>
      <c r="G6126" s="194" t="s">
        <v>1209</v>
      </c>
      <c r="H6126" s="195"/>
      <c r="I6126" s="195" t="s">
        <v>1253</v>
      </c>
      <c r="J6126" s="191" t="s">
        <v>46</v>
      </c>
      <c r="K6126" s="196"/>
      <c r="L6126" s="196">
        <v>2517712.31</v>
      </c>
      <c r="N6126" s="130"/>
    </row>
    <row r="6127" spans="1:15" ht="11.25" customHeight="1" x14ac:dyDescent="0.2">
      <c r="A6127" s="197">
        <v>2024</v>
      </c>
      <c r="B6127" s="197">
        <v>11</v>
      </c>
      <c r="C6127" s="197">
        <v>14</v>
      </c>
      <c r="D6127" s="198">
        <f t="shared" si="632"/>
        <v>45610</v>
      </c>
      <c r="E6127" s="199">
        <f t="shared" ref="E6127:E6139" si="634">DATE(A6127,B6127,C6127)</f>
        <v>45610</v>
      </c>
      <c r="F6127" s="513" t="s">
        <v>1913</v>
      </c>
      <c r="G6127" s="200" t="s">
        <v>1209</v>
      </c>
      <c r="H6127" s="201"/>
      <c r="I6127" s="201" t="s">
        <v>1253</v>
      </c>
      <c r="J6127" s="197" t="s">
        <v>1837</v>
      </c>
      <c r="K6127" s="202">
        <v>1006477.43</v>
      </c>
      <c r="L6127" s="202"/>
    </row>
    <row r="6128" spans="1:15" ht="11.25" customHeight="1" x14ac:dyDescent="0.2">
      <c r="A6128" s="191">
        <v>2024</v>
      </c>
      <c r="B6128" s="191">
        <v>11</v>
      </c>
      <c r="C6128" s="191">
        <v>14</v>
      </c>
      <c r="D6128" s="192">
        <f t="shared" si="632"/>
        <v>45610</v>
      </c>
      <c r="E6128" s="193">
        <f t="shared" si="634"/>
        <v>45610</v>
      </c>
      <c r="F6128" s="514"/>
      <c r="G6128" s="194" t="s">
        <v>1209</v>
      </c>
      <c r="H6128" s="195"/>
      <c r="I6128" s="195" t="s">
        <v>1253</v>
      </c>
      <c r="J6128" s="191" t="s">
        <v>46</v>
      </c>
      <c r="K6128" s="196"/>
      <c r="L6128" s="196">
        <v>1006477.43</v>
      </c>
      <c r="N6128" s="130"/>
    </row>
    <row r="6129" spans="1:12" ht="11.25" customHeight="1" x14ac:dyDescent="0.2">
      <c r="A6129" s="197">
        <v>2024</v>
      </c>
      <c r="B6129" s="197">
        <v>11</v>
      </c>
      <c r="C6129" s="197">
        <v>14</v>
      </c>
      <c r="D6129" s="198">
        <f t="shared" si="632"/>
        <v>45610</v>
      </c>
      <c r="E6129" s="290">
        <f t="shared" si="634"/>
        <v>45610</v>
      </c>
      <c r="F6129" s="513" t="s">
        <v>1924</v>
      </c>
      <c r="G6129" s="200" t="s">
        <v>1209</v>
      </c>
      <c r="H6129" s="201"/>
      <c r="I6129" s="201" t="s">
        <v>1253</v>
      </c>
      <c r="J6129" s="197" t="s">
        <v>1873</v>
      </c>
      <c r="K6129" s="202">
        <v>1170950</v>
      </c>
      <c r="L6129" s="202"/>
    </row>
    <row r="6130" spans="1:12" ht="11.25" customHeight="1" x14ac:dyDescent="0.2">
      <c r="A6130" s="191">
        <v>2024</v>
      </c>
      <c r="B6130" s="191">
        <v>11</v>
      </c>
      <c r="C6130" s="191">
        <v>14</v>
      </c>
      <c r="D6130" s="192">
        <f t="shared" si="632"/>
        <v>45610</v>
      </c>
      <c r="E6130" s="290">
        <f t="shared" si="634"/>
        <v>45610</v>
      </c>
      <c r="F6130" s="514"/>
      <c r="G6130" s="194" t="s">
        <v>1209</v>
      </c>
      <c r="H6130" s="195"/>
      <c r="I6130" s="195"/>
      <c r="J6130" s="191" t="s">
        <v>1845</v>
      </c>
      <c r="K6130" s="196"/>
      <c r="L6130" s="196">
        <v>1170950</v>
      </c>
    </row>
    <row r="6131" spans="1:12" ht="11.25" customHeight="1" x14ac:dyDescent="0.2">
      <c r="A6131" s="424">
        <v>2024</v>
      </c>
      <c r="B6131" s="424">
        <v>11</v>
      </c>
      <c r="C6131" s="424">
        <v>14</v>
      </c>
      <c r="D6131" s="425">
        <f t="shared" si="632"/>
        <v>45610</v>
      </c>
      <c r="E6131" s="384">
        <f t="shared" si="634"/>
        <v>45610</v>
      </c>
      <c r="F6131" s="516" t="s">
        <v>1850</v>
      </c>
      <c r="G6131" s="426" t="s">
        <v>1209</v>
      </c>
      <c r="H6131" s="427"/>
      <c r="I6131" s="427"/>
      <c r="J6131" s="428" t="s">
        <v>81</v>
      </c>
      <c r="K6131" s="429">
        <v>6973.2450980392159</v>
      </c>
      <c r="L6131" s="429"/>
    </row>
    <row r="6132" spans="1:12" ht="11.25" customHeight="1" x14ac:dyDescent="0.2">
      <c r="A6132" s="389">
        <v>2024</v>
      </c>
      <c r="B6132" s="389">
        <v>11</v>
      </c>
      <c r="C6132" s="389">
        <v>14</v>
      </c>
      <c r="D6132" s="390">
        <f t="shared" si="632"/>
        <v>45610</v>
      </c>
      <c r="E6132" s="391">
        <f t="shared" si="634"/>
        <v>45610</v>
      </c>
      <c r="F6132" s="517"/>
      <c r="G6132" s="392" t="s">
        <v>1209</v>
      </c>
      <c r="H6132" s="393"/>
      <c r="I6132" s="393"/>
      <c r="J6132" s="394" t="s">
        <v>1847</v>
      </c>
      <c r="K6132" s="423"/>
      <c r="L6132" s="423">
        <v>6973.2450980392159</v>
      </c>
    </row>
    <row r="6133" spans="1:12" ht="11.25" customHeight="1" x14ac:dyDescent="0.2">
      <c r="A6133" s="382">
        <v>2024</v>
      </c>
      <c r="B6133" s="382">
        <v>11</v>
      </c>
      <c r="C6133" s="382">
        <v>14</v>
      </c>
      <c r="D6133" s="383">
        <f t="shared" si="632"/>
        <v>45610</v>
      </c>
      <c r="E6133" s="384">
        <f t="shared" si="634"/>
        <v>45610</v>
      </c>
      <c r="F6133" s="516" t="s">
        <v>1892</v>
      </c>
      <c r="G6133" s="385" t="s">
        <v>1209</v>
      </c>
      <c r="H6133" s="386"/>
      <c r="I6133" s="386"/>
      <c r="J6133" s="387" t="s">
        <v>173</v>
      </c>
      <c r="K6133" s="388">
        <v>4313.1195259895831</v>
      </c>
      <c r="L6133" s="388"/>
    </row>
    <row r="6134" spans="1:12" ht="11.25" customHeight="1" x14ac:dyDescent="0.2">
      <c r="A6134" s="389">
        <v>2024</v>
      </c>
      <c r="B6134" s="389">
        <v>11</v>
      </c>
      <c r="C6134" s="389">
        <v>14</v>
      </c>
      <c r="D6134" s="390">
        <f t="shared" si="632"/>
        <v>45610</v>
      </c>
      <c r="E6134" s="391">
        <f t="shared" si="634"/>
        <v>45610</v>
      </c>
      <c r="F6134" s="517"/>
      <c r="G6134" s="392" t="s">
        <v>1209</v>
      </c>
      <c r="H6134" s="393"/>
      <c r="I6134" s="393"/>
      <c r="J6134" s="394" t="s">
        <v>43</v>
      </c>
      <c r="K6134" s="388"/>
      <c r="L6134" s="388">
        <f>K6133</f>
        <v>4313.1195259895831</v>
      </c>
    </row>
    <row r="6135" spans="1:12" ht="11.25" customHeight="1" x14ac:dyDescent="0.2">
      <c r="A6135" s="344">
        <v>2024</v>
      </c>
      <c r="B6135" s="344">
        <v>11</v>
      </c>
      <c r="C6135" s="344">
        <v>14</v>
      </c>
      <c r="D6135" s="345">
        <f t="shared" si="632"/>
        <v>45610</v>
      </c>
      <c r="E6135" s="346">
        <f t="shared" si="634"/>
        <v>45610</v>
      </c>
      <c r="F6135" s="518" t="s">
        <v>1621</v>
      </c>
      <c r="G6135" s="347" t="s">
        <v>1245</v>
      </c>
      <c r="H6135" s="348"/>
      <c r="I6135" s="348" t="s">
        <v>1253</v>
      </c>
      <c r="J6135" s="344" t="s">
        <v>113</v>
      </c>
      <c r="K6135" s="349">
        <v>174326.92307692306</v>
      </c>
      <c r="L6135" s="349"/>
    </row>
    <row r="6136" spans="1:12" ht="11.25" customHeight="1" x14ac:dyDescent="0.2">
      <c r="A6136" s="350">
        <v>2024</v>
      </c>
      <c r="B6136" s="350">
        <v>11</v>
      </c>
      <c r="C6136" s="350">
        <v>14</v>
      </c>
      <c r="D6136" s="351">
        <f t="shared" si="632"/>
        <v>45610</v>
      </c>
      <c r="E6136" s="352">
        <f t="shared" si="634"/>
        <v>45610</v>
      </c>
      <c r="F6136" s="519"/>
      <c r="G6136" s="353" t="s">
        <v>1245</v>
      </c>
      <c r="H6136" s="354"/>
      <c r="I6136" s="354" t="s">
        <v>1253</v>
      </c>
      <c r="J6136" s="350" t="s">
        <v>153</v>
      </c>
      <c r="K6136" s="355"/>
      <c r="L6136" s="355">
        <f>K6135</f>
        <v>174326.92307692306</v>
      </c>
    </row>
    <row r="6137" spans="1:12" ht="11.25" customHeight="1" x14ac:dyDescent="0.2">
      <c r="A6137" s="210">
        <v>2024</v>
      </c>
      <c r="B6137" s="210">
        <v>11</v>
      </c>
      <c r="C6137" s="210">
        <v>14</v>
      </c>
      <c r="D6137" s="211">
        <f t="shared" si="632"/>
        <v>45610</v>
      </c>
      <c r="E6137" s="238">
        <f t="shared" si="634"/>
        <v>45610</v>
      </c>
      <c r="F6137" s="520" t="s">
        <v>1278</v>
      </c>
      <c r="G6137" s="213" t="s">
        <v>1245</v>
      </c>
      <c r="H6137" s="214"/>
      <c r="I6137" s="214" t="s">
        <v>1253</v>
      </c>
      <c r="J6137" s="210" t="s">
        <v>1529</v>
      </c>
      <c r="K6137" s="215">
        <v>510.40384615384613</v>
      </c>
      <c r="L6137" s="215"/>
    </row>
    <row r="6138" spans="1:12" ht="11.25" customHeight="1" x14ac:dyDescent="0.2">
      <c r="A6138" s="216">
        <v>2024</v>
      </c>
      <c r="B6138" s="216">
        <v>11</v>
      </c>
      <c r="C6138" s="216">
        <v>14</v>
      </c>
      <c r="D6138" s="217">
        <f t="shared" si="632"/>
        <v>45610</v>
      </c>
      <c r="E6138" s="239">
        <f t="shared" si="634"/>
        <v>45610</v>
      </c>
      <c r="F6138" s="521"/>
      <c r="G6138" s="219" t="s">
        <v>1245</v>
      </c>
      <c r="H6138" s="220"/>
      <c r="I6138" s="220" t="s">
        <v>1253</v>
      </c>
      <c r="J6138" s="216" t="s">
        <v>1581</v>
      </c>
      <c r="K6138" s="221"/>
      <c r="L6138" s="221">
        <v>510.40384615384613</v>
      </c>
    </row>
    <row r="6139" spans="1:12" ht="11.25" customHeight="1" x14ac:dyDescent="0.2">
      <c r="A6139" s="210">
        <v>2024</v>
      </c>
      <c r="B6139" s="210">
        <v>11</v>
      </c>
      <c r="C6139" s="210">
        <v>14</v>
      </c>
      <c r="D6139" s="211">
        <f t="shared" si="632"/>
        <v>45610</v>
      </c>
      <c r="E6139" s="238">
        <f t="shared" si="634"/>
        <v>45610</v>
      </c>
      <c r="F6139" s="520" t="s">
        <v>1857</v>
      </c>
      <c r="G6139" s="213" t="s">
        <v>1245</v>
      </c>
      <c r="H6139" s="214"/>
      <c r="I6139" s="214" t="s">
        <v>1253</v>
      </c>
      <c r="J6139" s="210" t="s">
        <v>1284</v>
      </c>
      <c r="K6139" s="215">
        <v>8903.4309440559427</v>
      </c>
      <c r="L6139" s="215"/>
    </row>
    <row r="6140" spans="1:12" ht="11.25" customHeight="1" x14ac:dyDescent="0.2">
      <c r="A6140" s="242">
        <v>2024</v>
      </c>
      <c r="B6140" s="242">
        <v>11</v>
      </c>
      <c r="C6140" s="242">
        <v>14</v>
      </c>
      <c r="D6140" s="243">
        <f t="shared" si="632"/>
        <v>45610</v>
      </c>
      <c r="E6140" s="244">
        <f>DATE(A6140,B6140,C6140)</f>
        <v>45610</v>
      </c>
      <c r="F6140" s="524"/>
      <c r="G6140" s="245" t="s">
        <v>1245</v>
      </c>
      <c r="H6140" s="246"/>
      <c r="I6140" s="246"/>
      <c r="J6140" s="242" t="s">
        <v>1582</v>
      </c>
      <c r="K6140" s="247"/>
      <c r="L6140" s="247">
        <v>8903.4309440559427</v>
      </c>
    </row>
    <row r="6141" spans="1:12" ht="11.25" customHeight="1" x14ac:dyDescent="0.2">
      <c r="A6141" s="210">
        <v>2024</v>
      </c>
      <c r="B6141" s="210">
        <v>11</v>
      </c>
      <c r="C6141" s="210">
        <v>14</v>
      </c>
      <c r="D6141" s="211">
        <f t="shared" si="632"/>
        <v>45610</v>
      </c>
      <c r="E6141" s="238">
        <f t="shared" ref="E6141:E6204" si="635">DATE(A6141,B6141,C6141)</f>
        <v>45610</v>
      </c>
      <c r="F6141" s="520" t="s">
        <v>1259</v>
      </c>
      <c r="G6141" s="213" t="s">
        <v>1245</v>
      </c>
      <c r="H6141" s="214"/>
      <c r="I6141" s="214" t="s">
        <v>1253</v>
      </c>
      <c r="J6141" s="210" t="s">
        <v>58</v>
      </c>
      <c r="K6141" s="215">
        <v>9646.84</v>
      </c>
      <c r="L6141" s="215"/>
    </row>
    <row r="6142" spans="1:12" ht="11.25" customHeight="1" x14ac:dyDescent="0.2">
      <c r="A6142" s="216">
        <v>2024</v>
      </c>
      <c r="B6142" s="216">
        <v>11</v>
      </c>
      <c r="C6142" s="216">
        <v>14</v>
      </c>
      <c r="D6142" s="217">
        <f t="shared" si="632"/>
        <v>45610</v>
      </c>
      <c r="E6142" s="239">
        <f t="shared" si="635"/>
        <v>45610</v>
      </c>
      <c r="F6142" s="521"/>
      <c r="G6142" s="219" t="s">
        <v>1245</v>
      </c>
      <c r="H6142" s="220"/>
      <c r="I6142" s="220" t="s">
        <v>1253</v>
      </c>
      <c r="J6142" s="216" t="s">
        <v>153</v>
      </c>
      <c r="K6142" s="221"/>
      <c r="L6142" s="221">
        <f>K6141</f>
        <v>9646.84</v>
      </c>
    </row>
    <row r="6143" spans="1:12" ht="11.25" customHeight="1" x14ac:dyDescent="0.2">
      <c r="A6143" s="312">
        <v>2024</v>
      </c>
      <c r="B6143" s="312">
        <v>11</v>
      </c>
      <c r="C6143" s="312">
        <v>14</v>
      </c>
      <c r="D6143" s="313">
        <f t="shared" si="632"/>
        <v>45610</v>
      </c>
      <c r="E6143" s="314">
        <f t="shared" si="635"/>
        <v>45610</v>
      </c>
      <c r="F6143" s="522" t="s">
        <v>1477</v>
      </c>
      <c r="G6143" s="315" t="s">
        <v>1245</v>
      </c>
      <c r="H6143" s="316"/>
      <c r="I6143" s="316" t="s">
        <v>1253</v>
      </c>
      <c r="J6143" s="312" t="s">
        <v>1460</v>
      </c>
      <c r="K6143" s="317">
        <v>129410.70000000298</v>
      </c>
      <c r="L6143" s="317"/>
    </row>
    <row r="6144" spans="1:12" ht="11.25" customHeight="1" x14ac:dyDescent="0.2">
      <c r="A6144" s="318">
        <v>2024</v>
      </c>
      <c r="B6144" s="318">
        <v>11</v>
      </c>
      <c r="C6144" s="318">
        <v>14</v>
      </c>
      <c r="D6144" s="319">
        <f t="shared" si="632"/>
        <v>45610</v>
      </c>
      <c r="E6144" s="320">
        <f t="shared" si="635"/>
        <v>45610</v>
      </c>
      <c r="F6144" s="523"/>
      <c r="G6144" s="321" t="s">
        <v>1245</v>
      </c>
      <c r="H6144" s="322"/>
      <c r="I6144" s="322" t="s">
        <v>1253</v>
      </c>
      <c r="J6144" s="318" t="s">
        <v>1458</v>
      </c>
      <c r="K6144" s="323"/>
      <c r="L6144" s="323">
        <f>K6143</f>
        <v>129410.70000000298</v>
      </c>
    </row>
    <row r="6145" spans="1:13" ht="11.25" customHeight="1" x14ac:dyDescent="0.2">
      <c r="A6145" s="312">
        <v>2024</v>
      </c>
      <c r="B6145" s="312">
        <v>11</v>
      </c>
      <c r="C6145" s="312">
        <v>14</v>
      </c>
      <c r="D6145" s="313">
        <f t="shared" si="632"/>
        <v>45610</v>
      </c>
      <c r="E6145" s="314">
        <f t="shared" si="635"/>
        <v>45610</v>
      </c>
      <c r="F6145" s="522" t="s">
        <v>1595</v>
      </c>
      <c r="G6145" s="315" t="s">
        <v>1245</v>
      </c>
      <c r="H6145" s="316"/>
      <c r="I6145" s="316" t="s">
        <v>1253</v>
      </c>
      <c r="J6145" s="312" t="s">
        <v>1459</v>
      </c>
      <c r="K6145" s="317">
        <v>655899.82500004768</v>
      </c>
      <c r="L6145" s="317"/>
    </row>
    <row r="6146" spans="1:13" ht="11.25" customHeight="1" x14ac:dyDescent="0.2">
      <c r="A6146" s="318">
        <v>2024</v>
      </c>
      <c r="B6146" s="318">
        <v>11</v>
      </c>
      <c r="C6146" s="318">
        <v>14</v>
      </c>
      <c r="D6146" s="319">
        <f t="shared" si="632"/>
        <v>45610</v>
      </c>
      <c r="E6146" s="320">
        <f t="shared" si="635"/>
        <v>45610</v>
      </c>
      <c r="F6146" s="523"/>
      <c r="G6146" s="321" t="s">
        <v>1245</v>
      </c>
      <c r="H6146" s="322"/>
      <c r="I6146" s="322" t="s">
        <v>1253</v>
      </c>
      <c r="J6146" s="318" t="s">
        <v>1461</v>
      </c>
      <c r="K6146" s="323"/>
      <c r="L6146" s="323">
        <f>K6145</f>
        <v>655899.82500004768</v>
      </c>
    </row>
    <row r="6147" spans="1:13" ht="11.25" customHeight="1" x14ac:dyDescent="0.2">
      <c r="A6147" s="222">
        <v>2024</v>
      </c>
      <c r="B6147" s="222">
        <v>11</v>
      </c>
      <c r="C6147" s="222">
        <v>14</v>
      </c>
      <c r="D6147" s="223">
        <f t="shared" si="632"/>
        <v>45610</v>
      </c>
      <c r="E6147" s="240">
        <f t="shared" si="635"/>
        <v>45610</v>
      </c>
      <c r="F6147" s="511" t="s">
        <v>1244</v>
      </c>
      <c r="G6147" s="225" t="s">
        <v>1245</v>
      </c>
      <c r="H6147" s="226"/>
      <c r="I6147" s="226" t="s">
        <v>1253</v>
      </c>
      <c r="J6147" s="222" t="s">
        <v>87</v>
      </c>
      <c r="K6147" s="227">
        <v>5230</v>
      </c>
      <c r="L6147" s="227"/>
    </row>
    <row r="6148" spans="1:13" ht="11.25" customHeight="1" x14ac:dyDescent="0.2">
      <c r="A6148" s="228">
        <v>2024</v>
      </c>
      <c r="B6148" s="228">
        <v>11</v>
      </c>
      <c r="C6148" s="228">
        <v>14</v>
      </c>
      <c r="D6148" s="229">
        <f t="shared" si="632"/>
        <v>45610</v>
      </c>
      <c r="E6148" s="241">
        <f t="shared" si="635"/>
        <v>45610</v>
      </c>
      <c r="F6148" s="512"/>
      <c r="G6148" s="231" t="s">
        <v>1245</v>
      </c>
      <c r="H6148" s="232"/>
      <c r="I6148" s="232" t="s">
        <v>1253</v>
      </c>
      <c r="J6148" s="228" t="s">
        <v>72</v>
      </c>
      <c r="K6148" s="233"/>
      <c r="L6148" s="233">
        <f>K6147</f>
        <v>5230</v>
      </c>
    </row>
    <row r="6149" spans="1:13" ht="11.25" customHeight="1" x14ac:dyDescent="0.2">
      <c r="A6149" s="222">
        <v>2024</v>
      </c>
      <c r="B6149" s="222">
        <v>11</v>
      </c>
      <c r="C6149" s="222">
        <v>14</v>
      </c>
      <c r="D6149" s="223">
        <f t="shared" si="632"/>
        <v>45610</v>
      </c>
      <c r="E6149" s="240">
        <f t="shared" si="635"/>
        <v>45610</v>
      </c>
      <c r="F6149" s="511" t="s">
        <v>1246</v>
      </c>
      <c r="G6149" s="225" t="s">
        <v>1245</v>
      </c>
      <c r="H6149" s="226"/>
      <c r="I6149" s="226" t="s">
        <v>1253</v>
      </c>
      <c r="J6149" s="222" t="s">
        <v>75</v>
      </c>
      <c r="K6149" s="227">
        <v>3623.123846153846</v>
      </c>
      <c r="L6149" s="227"/>
    </row>
    <row r="6150" spans="1:13" ht="11.25" customHeight="1" x14ac:dyDescent="0.2">
      <c r="A6150" s="228">
        <v>2024</v>
      </c>
      <c r="B6150" s="228">
        <v>11</v>
      </c>
      <c r="C6150" s="228">
        <v>14</v>
      </c>
      <c r="D6150" s="229">
        <f t="shared" si="632"/>
        <v>45610</v>
      </c>
      <c r="E6150" s="241">
        <f t="shared" si="635"/>
        <v>45610</v>
      </c>
      <c r="F6150" s="512"/>
      <c r="G6150" s="231" t="s">
        <v>1245</v>
      </c>
      <c r="H6150" s="232"/>
      <c r="I6150" s="232" t="s">
        <v>1253</v>
      </c>
      <c r="J6150" s="228" t="s">
        <v>55</v>
      </c>
      <c r="K6150" s="233"/>
      <c r="L6150" s="233">
        <v>3623.123846153846</v>
      </c>
    </row>
    <row r="6151" spans="1:13" ht="11.25" customHeight="1" x14ac:dyDescent="0.2">
      <c r="A6151" s="222">
        <v>2024</v>
      </c>
      <c r="B6151" s="222">
        <v>11</v>
      </c>
      <c r="C6151" s="222">
        <v>14</v>
      </c>
      <c r="D6151" s="223">
        <f t="shared" si="632"/>
        <v>45610</v>
      </c>
      <c r="E6151" s="240">
        <f t="shared" si="635"/>
        <v>45610</v>
      </c>
      <c r="F6151" s="511" t="s">
        <v>1247</v>
      </c>
      <c r="G6151" s="225" t="s">
        <v>1245</v>
      </c>
      <c r="H6151" s="226"/>
      <c r="I6151" s="226" t="s">
        <v>1253</v>
      </c>
      <c r="J6151" s="222" t="s">
        <v>77</v>
      </c>
      <c r="K6151" s="227">
        <f>M6151</f>
        <v>40664.085806265386</v>
      </c>
      <c r="L6151" s="227"/>
      <c r="M6151" s="120">
        <v>40664.085806265386</v>
      </c>
    </row>
    <row r="6152" spans="1:13" ht="11.25" customHeight="1" x14ac:dyDescent="0.2">
      <c r="A6152" s="228">
        <v>2024</v>
      </c>
      <c r="B6152" s="228">
        <v>11</v>
      </c>
      <c r="C6152" s="228">
        <v>14</v>
      </c>
      <c r="D6152" s="229">
        <f t="shared" si="632"/>
        <v>45610</v>
      </c>
      <c r="E6152" s="241">
        <f t="shared" si="635"/>
        <v>45610</v>
      </c>
      <c r="F6152" s="512"/>
      <c r="G6152" s="231" t="s">
        <v>1245</v>
      </c>
      <c r="H6152" s="232"/>
      <c r="I6152" s="232" t="s">
        <v>1253</v>
      </c>
      <c r="J6152" s="228" t="s">
        <v>41</v>
      </c>
      <c r="K6152" s="233"/>
      <c r="L6152" s="233">
        <f>K6151</f>
        <v>40664.085806265386</v>
      </c>
      <c r="M6152" s="120">
        <v>4066.4085806265389</v>
      </c>
    </row>
    <row r="6153" spans="1:13" ht="11.25" customHeight="1" x14ac:dyDescent="0.2">
      <c r="A6153" s="222">
        <v>2024</v>
      </c>
      <c r="B6153" s="222">
        <v>11</v>
      </c>
      <c r="C6153" s="222">
        <v>14</v>
      </c>
      <c r="D6153" s="223">
        <f t="shared" si="632"/>
        <v>45610</v>
      </c>
      <c r="E6153" s="240">
        <f t="shared" si="635"/>
        <v>45610</v>
      </c>
      <c r="F6153" s="511" t="s">
        <v>1248</v>
      </c>
      <c r="G6153" s="225" t="s">
        <v>1245</v>
      </c>
      <c r="H6153" s="226"/>
      <c r="I6153" s="226" t="s">
        <v>1253</v>
      </c>
      <c r="J6153" s="222" t="s">
        <v>80</v>
      </c>
      <c r="K6153" s="227">
        <f>M6152</f>
        <v>4066.4085806265389</v>
      </c>
      <c r="L6153" s="227"/>
    </row>
    <row r="6154" spans="1:13" x14ac:dyDescent="0.2">
      <c r="A6154" s="228">
        <v>2024</v>
      </c>
      <c r="B6154" s="228">
        <v>11</v>
      </c>
      <c r="C6154" s="228">
        <v>14</v>
      </c>
      <c r="D6154" s="229">
        <f t="shared" si="632"/>
        <v>45610</v>
      </c>
      <c r="E6154" s="241">
        <f t="shared" si="635"/>
        <v>45610</v>
      </c>
      <c r="F6154" s="512"/>
      <c r="G6154" s="231" t="s">
        <v>1245</v>
      </c>
      <c r="H6154" s="232"/>
      <c r="I6154" s="232" t="s">
        <v>1253</v>
      </c>
      <c r="J6154" s="228" t="s">
        <v>42</v>
      </c>
      <c r="K6154" s="233"/>
      <c r="L6154" s="233">
        <f>K6153</f>
        <v>4066.4085806265389</v>
      </c>
    </row>
    <row r="6155" spans="1:13" ht="11.25" customHeight="1" x14ac:dyDescent="0.2">
      <c r="A6155" s="197">
        <v>2024</v>
      </c>
      <c r="B6155" s="197">
        <v>11</v>
      </c>
      <c r="C6155" s="197">
        <v>15</v>
      </c>
      <c r="D6155" s="198">
        <f t="shared" si="632"/>
        <v>45611</v>
      </c>
      <c r="E6155" s="209">
        <f t="shared" si="635"/>
        <v>45611</v>
      </c>
      <c r="F6155" s="513" t="s">
        <v>1296</v>
      </c>
      <c r="G6155" s="200" t="s">
        <v>1209</v>
      </c>
      <c r="H6155" s="201"/>
      <c r="I6155" s="201" t="s">
        <v>1720</v>
      </c>
      <c r="J6155" s="197" t="s">
        <v>46</v>
      </c>
      <c r="K6155" s="202">
        <v>5000</v>
      </c>
      <c r="L6155" s="202"/>
    </row>
    <row r="6156" spans="1:13" ht="11.25" customHeight="1" x14ac:dyDescent="0.2">
      <c r="A6156" s="120">
        <v>2024</v>
      </c>
      <c r="B6156" s="120">
        <v>11</v>
      </c>
      <c r="C6156" s="120">
        <v>15</v>
      </c>
      <c r="D6156" s="208">
        <f t="shared" si="632"/>
        <v>45611</v>
      </c>
      <c r="E6156" s="209">
        <f t="shared" si="635"/>
        <v>45611</v>
      </c>
      <c r="F6156" s="515"/>
      <c r="G6156" s="132" t="s">
        <v>1209</v>
      </c>
      <c r="I6156" s="128" t="s">
        <v>1720</v>
      </c>
      <c r="J6156" s="120" t="s">
        <v>16</v>
      </c>
      <c r="K6156" s="207"/>
      <c r="L6156" s="207">
        <v>4290</v>
      </c>
    </row>
    <row r="6157" spans="1:13" ht="11.25" customHeight="1" x14ac:dyDescent="0.2">
      <c r="A6157" s="191">
        <v>2024</v>
      </c>
      <c r="B6157" s="191">
        <v>11</v>
      </c>
      <c r="C6157" s="191">
        <v>15</v>
      </c>
      <c r="D6157" s="192">
        <f t="shared" si="632"/>
        <v>45611</v>
      </c>
      <c r="E6157" s="193">
        <f t="shared" si="635"/>
        <v>45611</v>
      </c>
      <c r="F6157" s="514"/>
      <c r="G6157" s="194" t="s">
        <v>1209</v>
      </c>
      <c r="H6157" s="195"/>
      <c r="I6157" s="195" t="s">
        <v>1720</v>
      </c>
      <c r="J6157" s="191" t="s">
        <v>47</v>
      </c>
      <c r="K6157" s="196"/>
      <c r="L6157" s="196">
        <v>710</v>
      </c>
    </row>
    <row r="6158" spans="1:13" ht="11.25" customHeight="1" x14ac:dyDescent="0.2">
      <c r="A6158" s="197">
        <v>2024</v>
      </c>
      <c r="B6158" s="197">
        <v>11</v>
      </c>
      <c r="C6158" s="197">
        <v>17</v>
      </c>
      <c r="D6158" s="198">
        <f t="shared" si="632"/>
        <v>45613</v>
      </c>
      <c r="E6158" s="290">
        <f t="shared" si="635"/>
        <v>45613</v>
      </c>
      <c r="F6158" s="513" t="s">
        <v>1943</v>
      </c>
      <c r="G6158" s="200" t="s">
        <v>1209</v>
      </c>
      <c r="H6158" s="201"/>
      <c r="I6158" s="201" t="s">
        <v>1253</v>
      </c>
      <c r="J6158" s="197" t="s">
        <v>46</v>
      </c>
      <c r="K6158" s="202">
        <v>54950</v>
      </c>
      <c r="L6158" s="202"/>
    </row>
    <row r="6159" spans="1:13" ht="11.25" customHeight="1" x14ac:dyDescent="0.2">
      <c r="A6159" s="191">
        <v>2024</v>
      </c>
      <c r="B6159" s="191">
        <v>11</v>
      </c>
      <c r="C6159" s="191">
        <v>17</v>
      </c>
      <c r="D6159" s="192">
        <f t="shared" si="632"/>
        <v>45613</v>
      </c>
      <c r="E6159" s="291">
        <v>45568</v>
      </c>
      <c r="F6159" s="514"/>
      <c r="G6159" s="194" t="s">
        <v>1209</v>
      </c>
      <c r="H6159" s="195"/>
      <c r="I6159" s="195"/>
      <c r="J6159" s="191" t="s">
        <v>1873</v>
      </c>
      <c r="K6159" s="196"/>
      <c r="L6159" s="196">
        <v>54950</v>
      </c>
    </row>
    <row r="6160" spans="1:13" ht="11.25" customHeight="1" x14ac:dyDescent="0.2">
      <c r="A6160" s="197">
        <v>2024</v>
      </c>
      <c r="B6160" s="197">
        <v>11</v>
      </c>
      <c r="C6160" s="197">
        <v>17</v>
      </c>
      <c r="D6160" s="198">
        <f t="shared" si="632"/>
        <v>45613</v>
      </c>
      <c r="E6160" s="290">
        <f t="shared" ref="E6160" si="636">DATE(A6160,B6160,C6160)</f>
        <v>45613</v>
      </c>
      <c r="F6160" s="513" t="s">
        <v>1943</v>
      </c>
      <c r="G6160" s="200" t="s">
        <v>1209</v>
      </c>
      <c r="H6160" s="201"/>
      <c r="I6160" s="201" t="s">
        <v>1253</v>
      </c>
      <c r="J6160" s="197" t="s">
        <v>46</v>
      </c>
      <c r="K6160" s="202">
        <v>1116000</v>
      </c>
      <c r="L6160" s="202"/>
    </row>
    <row r="6161" spans="1:12" ht="11.25" customHeight="1" x14ac:dyDescent="0.2">
      <c r="A6161" s="191">
        <v>2024</v>
      </c>
      <c r="B6161" s="191">
        <v>11</v>
      </c>
      <c r="C6161" s="191">
        <v>17</v>
      </c>
      <c r="D6161" s="192">
        <f t="shared" si="632"/>
        <v>45613</v>
      </c>
      <c r="E6161" s="291">
        <v>45568</v>
      </c>
      <c r="F6161" s="514"/>
      <c r="G6161" s="194" t="s">
        <v>1209</v>
      </c>
      <c r="H6161" s="195"/>
      <c r="I6161" s="195"/>
      <c r="J6161" s="191" t="s">
        <v>1873</v>
      </c>
      <c r="K6161" s="196"/>
      <c r="L6161" s="196">
        <v>1116000</v>
      </c>
    </row>
    <row r="6162" spans="1:12" ht="11.25" customHeight="1" x14ac:dyDescent="0.2">
      <c r="A6162" s="197">
        <v>2024</v>
      </c>
      <c r="B6162" s="197">
        <v>11</v>
      </c>
      <c r="C6162" s="197">
        <v>17</v>
      </c>
      <c r="D6162" s="198">
        <f t="shared" si="632"/>
        <v>45613</v>
      </c>
      <c r="E6162" s="209">
        <f t="shared" ref="E6162:E6167" si="637">DATE(A6162,B6162,C6162)</f>
        <v>45613</v>
      </c>
      <c r="F6162" s="513" t="s">
        <v>1423</v>
      </c>
      <c r="G6162" s="200" t="s">
        <v>1209</v>
      </c>
      <c r="H6162" s="201"/>
      <c r="I6162" s="201" t="s">
        <v>1235</v>
      </c>
      <c r="J6162" s="197" t="s">
        <v>16</v>
      </c>
      <c r="K6162" s="202">
        <v>8620</v>
      </c>
      <c r="L6162" s="202"/>
    </row>
    <row r="6163" spans="1:12" ht="11.25" customHeight="1" x14ac:dyDescent="0.2">
      <c r="A6163" s="120">
        <v>2024</v>
      </c>
      <c r="B6163" s="120">
        <v>11</v>
      </c>
      <c r="C6163" s="120">
        <v>17</v>
      </c>
      <c r="D6163" s="208">
        <f t="shared" si="632"/>
        <v>45613</v>
      </c>
      <c r="E6163" s="209">
        <f t="shared" si="637"/>
        <v>45613</v>
      </c>
      <c r="F6163" s="515"/>
      <c r="G6163" s="132" t="s">
        <v>1209</v>
      </c>
      <c r="I6163" s="128" t="s">
        <v>1235</v>
      </c>
      <c r="J6163" s="120" t="s">
        <v>47</v>
      </c>
      <c r="K6163" s="207">
        <v>1380</v>
      </c>
      <c r="L6163" s="207"/>
    </row>
    <row r="6164" spans="1:12" ht="11.25" customHeight="1" x14ac:dyDescent="0.2">
      <c r="A6164" s="191">
        <v>2024</v>
      </c>
      <c r="B6164" s="191">
        <v>11</v>
      </c>
      <c r="C6164" s="191">
        <v>17</v>
      </c>
      <c r="D6164" s="192">
        <f t="shared" si="632"/>
        <v>45613</v>
      </c>
      <c r="E6164" s="193">
        <f t="shared" si="637"/>
        <v>45613</v>
      </c>
      <c r="F6164" s="514"/>
      <c r="G6164" s="194" t="s">
        <v>1209</v>
      </c>
      <c r="H6164" s="195"/>
      <c r="I6164" s="195" t="s">
        <v>1235</v>
      </c>
      <c r="J6164" s="191" t="s">
        <v>46</v>
      </c>
      <c r="K6164" s="196"/>
      <c r="L6164" s="196">
        <v>10000</v>
      </c>
    </row>
    <row r="6165" spans="1:12" ht="11.25" customHeight="1" x14ac:dyDescent="0.2">
      <c r="A6165" s="197">
        <v>2024</v>
      </c>
      <c r="B6165" s="197">
        <v>11</v>
      </c>
      <c r="C6165" s="197">
        <v>17</v>
      </c>
      <c r="D6165" s="198">
        <f t="shared" si="632"/>
        <v>45613</v>
      </c>
      <c r="E6165" s="209">
        <f t="shared" si="637"/>
        <v>45613</v>
      </c>
      <c r="F6165" s="513" t="s">
        <v>1210</v>
      </c>
      <c r="G6165" s="200" t="s">
        <v>1209</v>
      </c>
      <c r="H6165" s="201"/>
      <c r="I6165" s="201" t="s">
        <v>1720</v>
      </c>
      <c r="J6165" s="197" t="s">
        <v>46</v>
      </c>
      <c r="K6165" s="202">
        <v>99000</v>
      </c>
      <c r="L6165" s="202"/>
    </row>
    <row r="6166" spans="1:12" ht="11.25" customHeight="1" x14ac:dyDescent="0.2">
      <c r="A6166" s="120">
        <v>2024</v>
      </c>
      <c r="B6166" s="120">
        <v>11</v>
      </c>
      <c r="C6166" s="120">
        <v>17</v>
      </c>
      <c r="D6166" s="208">
        <f t="shared" si="632"/>
        <v>45613</v>
      </c>
      <c r="E6166" s="209">
        <f t="shared" si="637"/>
        <v>45613</v>
      </c>
      <c r="F6166" s="515"/>
      <c r="G6166" s="132" t="s">
        <v>1209</v>
      </c>
      <c r="I6166" s="128" t="s">
        <v>1720</v>
      </c>
      <c r="J6166" s="120" t="s">
        <v>16</v>
      </c>
      <c r="K6166" s="207"/>
      <c r="L6166" s="207">
        <v>84950</v>
      </c>
    </row>
    <row r="6167" spans="1:12" ht="11.25" customHeight="1" x14ac:dyDescent="0.2">
      <c r="A6167" s="191">
        <v>2024</v>
      </c>
      <c r="B6167" s="191">
        <v>11</v>
      </c>
      <c r="C6167" s="191">
        <v>17</v>
      </c>
      <c r="D6167" s="192">
        <f t="shared" si="632"/>
        <v>45613</v>
      </c>
      <c r="E6167" s="193">
        <f t="shared" si="637"/>
        <v>45613</v>
      </c>
      <c r="F6167" s="514"/>
      <c r="G6167" s="194" t="s">
        <v>1209</v>
      </c>
      <c r="H6167" s="195"/>
      <c r="I6167" s="195" t="s">
        <v>1720</v>
      </c>
      <c r="J6167" s="191" t="s">
        <v>47</v>
      </c>
      <c r="K6167" s="196"/>
      <c r="L6167" s="196">
        <v>14050</v>
      </c>
    </row>
    <row r="6168" spans="1:12" ht="11.25" customHeight="1" x14ac:dyDescent="0.2">
      <c r="A6168" s="197">
        <v>2024</v>
      </c>
      <c r="B6168" s="197">
        <v>11</v>
      </c>
      <c r="C6168" s="197">
        <v>18</v>
      </c>
      <c r="D6168" s="198">
        <f t="shared" si="632"/>
        <v>45614</v>
      </c>
      <c r="E6168" s="209">
        <f t="shared" ref="E6168:E6175" si="638">DATE(A6168,B6168,C6168)</f>
        <v>45614</v>
      </c>
      <c r="F6168" s="513" t="s">
        <v>1423</v>
      </c>
      <c r="G6168" s="200" t="s">
        <v>1209</v>
      </c>
      <c r="H6168" s="201"/>
      <c r="I6168" s="201" t="s">
        <v>652</v>
      </c>
      <c r="J6168" s="197" t="s">
        <v>16</v>
      </c>
      <c r="K6168" s="202">
        <v>12870</v>
      </c>
      <c r="L6168" s="202"/>
    </row>
    <row r="6169" spans="1:12" ht="11.25" customHeight="1" x14ac:dyDescent="0.2">
      <c r="A6169" s="120">
        <v>2024</v>
      </c>
      <c r="B6169" s="120">
        <v>11</v>
      </c>
      <c r="C6169" s="120">
        <v>18</v>
      </c>
      <c r="D6169" s="208">
        <f t="shared" si="632"/>
        <v>45614</v>
      </c>
      <c r="E6169" s="209">
        <f t="shared" si="638"/>
        <v>45614</v>
      </c>
      <c r="F6169" s="515"/>
      <c r="G6169" s="132" t="s">
        <v>1209</v>
      </c>
      <c r="I6169" s="128" t="s">
        <v>652</v>
      </c>
      <c r="J6169" s="120" t="s">
        <v>47</v>
      </c>
      <c r="K6169" s="207">
        <v>2130</v>
      </c>
      <c r="L6169" s="207"/>
    </row>
    <row r="6170" spans="1:12" ht="11.25" customHeight="1" x14ac:dyDescent="0.2">
      <c r="A6170" s="191">
        <v>2024</v>
      </c>
      <c r="B6170" s="191">
        <v>11</v>
      </c>
      <c r="C6170" s="191">
        <v>18</v>
      </c>
      <c r="D6170" s="192">
        <f t="shared" si="632"/>
        <v>45614</v>
      </c>
      <c r="E6170" s="193">
        <f t="shared" si="638"/>
        <v>45614</v>
      </c>
      <c r="F6170" s="514"/>
      <c r="G6170" s="194" t="s">
        <v>1209</v>
      </c>
      <c r="H6170" s="195"/>
      <c r="I6170" s="195" t="s">
        <v>652</v>
      </c>
      <c r="J6170" s="191" t="s">
        <v>46</v>
      </c>
      <c r="K6170" s="196"/>
      <c r="L6170" s="196">
        <v>15000</v>
      </c>
    </row>
    <row r="6171" spans="1:12" ht="11.25" customHeight="1" x14ac:dyDescent="0.2">
      <c r="A6171" s="197">
        <v>2024</v>
      </c>
      <c r="B6171" s="197">
        <v>11</v>
      </c>
      <c r="C6171" s="197">
        <v>19</v>
      </c>
      <c r="D6171" s="198">
        <f t="shared" si="632"/>
        <v>45615</v>
      </c>
      <c r="E6171" s="199">
        <f t="shared" si="638"/>
        <v>45615</v>
      </c>
      <c r="F6171" s="513" t="s">
        <v>1925</v>
      </c>
      <c r="G6171" s="200" t="s">
        <v>1209</v>
      </c>
      <c r="H6171" s="201"/>
      <c r="I6171" s="201" t="s">
        <v>1253</v>
      </c>
      <c r="J6171" s="197" t="s">
        <v>46</v>
      </c>
      <c r="K6171" s="202">
        <v>8495000</v>
      </c>
      <c r="L6171" s="202"/>
    </row>
    <row r="6172" spans="1:12" ht="11.25" customHeight="1" x14ac:dyDescent="0.2">
      <c r="A6172" s="120">
        <v>2024</v>
      </c>
      <c r="B6172" s="120">
        <v>11</v>
      </c>
      <c r="C6172" s="120">
        <v>19</v>
      </c>
      <c r="D6172" s="208">
        <f t="shared" si="632"/>
        <v>45615</v>
      </c>
      <c r="E6172" s="209">
        <f t="shared" si="638"/>
        <v>45615</v>
      </c>
      <c r="F6172" s="515"/>
      <c r="G6172" s="132" t="s">
        <v>1209</v>
      </c>
      <c r="J6172" s="120" t="s">
        <v>46</v>
      </c>
      <c r="K6172" s="207">
        <v>260312.5</v>
      </c>
      <c r="L6172" s="207"/>
    </row>
    <row r="6173" spans="1:12" ht="11.25" customHeight="1" x14ac:dyDescent="0.2">
      <c r="A6173" s="120">
        <v>2024</v>
      </c>
      <c r="B6173" s="120">
        <v>11</v>
      </c>
      <c r="C6173" s="120">
        <v>19</v>
      </c>
      <c r="D6173" s="208">
        <f t="shared" si="632"/>
        <v>45615</v>
      </c>
      <c r="E6173" s="209">
        <f t="shared" si="638"/>
        <v>45615</v>
      </c>
      <c r="F6173" s="515"/>
      <c r="G6173" s="132" t="s">
        <v>1209</v>
      </c>
      <c r="J6173" s="120" t="s">
        <v>54</v>
      </c>
      <c r="K6173" s="207">
        <v>5000</v>
      </c>
      <c r="L6173" s="207"/>
    </row>
    <row r="6174" spans="1:12" ht="11.25" customHeight="1" x14ac:dyDescent="0.2">
      <c r="A6174" s="120">
        <v>2024</v>
      </c>
      <c r="B6174" s="120">
        <v>11</v>
      </c>
      <c r="C6174" s="120">
        <v>19</v>
      </c>
      <c r="D6174" s="208">
        <f t="shared" si="632"/>
        <v>45615</v>
      </c>
      <c r="E6174" s="209">
        <f t="shared" si="638"/>
        <v>45615</v>
      </c>
      <c r="F6174" s="515"/>
      <c r="G6174" s="132" t="s">
        <v>1209</v>
      </c>
      <c r="J6174" s="120" t="s">
        <v>113</v>
      </c>
      <c r="K6174" s="207"/>
      <c r="L6174" s="207">
        <v>260312.5</v>
      </c>
    </row>
    <row r="6175" spans="1:12" ht="11.25" customHeight="1" x14ac:dyDescent="0.2">
      <c r="A6175" s="191">
        <v>2024</v>
      </c>
      <c r="B6175" s="191">
        <v>11</v>
      </c>
      <c r="C6175" s="191">
        <v>19</v>
      </c>
      <c r="D6175" s="192">
        <f t="shared" si="632"/>
        <v>45615</v>
      </c>
      <c r="E6175" s="193">
        <f t="shared" si="638"/>
        <v>45615</v>
      </c>
      <c r="F6175" s="514"/>
      <c r="G6175" s="194" t="s">
        <v>1209</v>
      </c>
      <c r="H6175" s="195"/>
      <c r="I6175" s="195" t="s">
        <v>1253</v>
      </c>
      <c r="J6175" s="191" t="s">
        <v>76</v>
      </c>
      <c r="K6175" s="196"/>
      <c r="L6175" s="196">
        <v>8500000</v>
      </c>
    </row>
    <row r="6176" spans="1:12" ht="11.25" customHeight="1" x14ac:dyDescent="0.2">
      <c r="A6176" s="197">
        <v>2024</v>
      </c>
      <c r="B6176" s="197">
        <v>11</v>
      </c>
      <c r="C6176" s="197">
        <v>19</v>
      </c>
      <c r="D6176" s="198">
        <f t="shared" si="632"/>
        <v>45615</v>
      </c>
      <c r="E6176" s="199">
        <f t="shared" ref="E6176:E6180" si="639">DATE(A6176,B6176,C6176)</f>
        <v>45615</v>
      </c>
      <c r="F6176" s="513" t="s">
        <v>1926</v>
      </c>
      <c r="G6176" s="200" t="s">
        <v>1209</v>
      </c>
      <c r="H6176" s="201"/>
      <c r="I6176" s="201" t="s">
        <v>1253</v>
      </c>
      <c r="J6176" s="197" t="s">
        <v>46</v>
      </c>
      <c r="K6176" s="202">
        <v>8495000</v>
      </c>
      <c r="L6176" s="202"/>
    </row>
    <row r="6177" spans="1:12" ht="11.25" customHeight="1" x14ac:dyDescent="0.2">
      <c r="A6177" s="120">
        <v>2024</v>
      </c>
      <c r="B6177" s="120">
        <v>11</v>
      </c>
      <c r="C6177" s="120">
        <v>19</v>
      </c>
      <c r="D6177" s="208">
        <f t="shared" si="632"/>
        <v>45615</v>
      </c>
      <c r="E6177" s="209">
        <f t="shared" si="639"/>
        <v>45615</v>
      </c>
      <c r="F6177" s="515"/>
      <c r="G6177" s="132" t="s">
        <v>1209</v>
      </c>
      <c r="J6177" s="120" t="s">
        <v>46</v>
      </c>
      <c r="K6177" s="207">
        <v>260312.5</v>
      </c>
      <c r="L6177" s="207"/>
    </row>
    <row r="6178" spans="1:12" ht="11.25" customHeight="1" x14ac:dyDescent="0.2">
      <c r="A6178" s="120">
        <v>2024</v>
      </c>
      <c r="B6178" s="120">
        <v>11</v>
      </c>
      <c r="C6178" s="120">
        <v>19</v>
      </c>
      <c r="D6178" s="208">
        <f t="shared" si="632"/>
        <v>45615</v>
      </c>
      <c r="E6178" s="209">
        <f t="shared" si="639"/>
        <v>45615</v>
      </c>
      <c r="F6178" s="515"/>
      <c r="G6178" s="132" t="s">
        <v>1209</v>
      </c>
      <c r="J6178" s="120" t="s">
        <v>54</v>
      </c>
      <c r="K6178" s="207">
        <v>5000</v>
      </c>
      <c r="L6178" s="207"/>
    </row>
    <row r="6179" spans="1:12" ht="11.25" customHeight="1" x14ac:dyDescent="0.2">
      <c r="A6179" s="120">
        <v>2024</v>
      </c>
      <c r="B6179" s="120">
        <v>11</v>
      </c>
      <c r="C6179" s="120">
        <v>19</v>
      </c>
      <c r="D6179" s="208">
        <f t="shared" si="632"/>
        <v>45615</v>
      </c>
      <c r="E6179" s="209">
        <f t="shared" si="639"/>
        <v>45615</v>
      </c>
      <c r="F6179" s="515"/>
      <c r="G6179" s="132" t="s">
        <v>1209</v>
      </c>
      <c r="J6179" s="120" t="s">
        <v>113</v>
      </c>
      <c r="K6179" s="207"/>
      <c r="L6179" s="207">
        <v>260312.5</v>
      </c>
    </row>
    <row r="6180" spans="1:12" ht="11.25" customHeight="1" x14ac:dyDescent="0.2">
      <c r="A6180" s="191">
        <v>2024</v>
      </c>
      <c r="B6180" s="191">
        <v>11</v>
      </c>
      <c r="C6180" s="191">
        <v>19</v>
      </c>
      <c r="D6180" s="192">
        <f t="shared" si="632"/>
        <v>45615</v>
      </c>
      <c r="E6180" s="193">
        <f t="shared" si="639"/>
        <v>45615</v>
      </c>
      <c r="F6180" s="514"/>
      <c r="G6180" s="194" t="s">
        <v>1209</v>
      </c>
      <c r="H6180" s="195"/>
      <c r="I6180" s="195" t="s">
        <v>1253</v>
      </c>
      <c r="J6180" s="191" t="s">
        <v>76</v>
      </c>
      <c r="K6180" s="196"/>
      <c r="L6180" s="196">
        <v>8500000</v>
      </c>
    </row>
    <row r="6181" spans="1:12" ht="11.25" customHeight="1" x14ac:dyDescent="0.2">
      <c r="A6181" s="197">
        <v>2024</v>
      </c>
      <c r="B6181" s="197">
        <v>11</v>
      </c>
      <c r="C6181" s="197">
        <v>19</v>
      </c>
      <c r="D6181" s="198">
        <f t="shared" si="632"/>
        <v>45615</v>
      </c>
      <c r="E6181" s="199">
        <f t="shared" ref="E6181:E6185" si="640">DATE(A6181,B6181,C6181)</f>
        <v>45615</v>
      </c>
      <c r="F6181" s="513" t="s">
        <v>1927</v>
      </c>
      <c r="G6181" s="200" t="s">
        <v>1209</v>
      </c>
      <c r="H6181" s="201"/>
      <c r="I6181" s="201" t="s">
        <v>1253</v>
      </c>
      <c r="J6181" s="197" t="s">
        <v>46</v>
      </c>
      <c r="K6181" s="202">
        <v>8495000</v>
      </c>
      <c r="L6181" s="202"/>
    </row>
    <row r="6182" spans="1:12" ht="11.25" customHeight="1" x14ac:dyDescent="0.2">
      <c r="A6182" s="120">
        <v>2024</v>
      </c>
      <c r="B6182" s="120">
        <v>11</v>
      </c>
      <c r="C6182" s="120">
        <v>19</v>
      </c>
      <c r="D6182" s="208">
        <f t="shared" si="632"/>
        <v>45615</v>
      </c>
      <c r="E6182" s="209">
        <f t="shared" si="640"/>
        <v>45615</v>
      </c>
      <c r="F6182" s="515"/>
      <c r="G6182" s="132" t="s">
        <v>1209</v>
      </c>
      <c r="J6182" s="120" t="s">
        <v>46</v>
      </c>
      <c r="K6182" s="207">
        <v>260312.5</v>
      </c>
      <c r="L6182" s="207"/>
    </row>
    <row r="6183" spans="1:12" ht="11.25" customHeight="1" x14ac:dyDescent="0.2">
      <c r="A6183" s="120">
        <v>2024</v>
      </c>
      <c r="B6183" s="120">
        <v>11</v>
      </c>
      <c r="C6183" s="120">
        <v>19</v>
      </c>
      <c r="D6183" s="208">
        <f t="shared" si="632"/>
        <v>45615</v>
      </c>
      <c r="E6183" s="209">
        <f t="shared" si="640"/>
        <v>45615</v>
      </c>
      <c r="F6183" s="515"/>
      <c r="G6183" s="132" t="s">
        <v>1209</v>
      </c>
      <c r="J6183" s="120" t="s">
        <v>54</v>
      </c>
      <c r="K6183" s="207">
        <v>5000</v>
      </c>
      <c r="L6183" s="207"/>
    </row>
    <row r="6184" spans="1:12" ht="11.25" customHeight="1" x14ac:dyDescent="0.2">
      <c r="A6184" s="120">
        <v>2024</v>
      </c>
      <c r="B6184" s="120">
        <v>11</v>
      </c>
      <c r="C6184" s="120">
        <v>19</v>
      </c>
      <c r="D6184" s="208">
        <f t="shared" si="632"/>
        <v>45615</v>
      </c>
      <c r="E6184" s="209">
        <f t="shared" si="640"/>
        <v>45615</v>
      </c>
      <c r="F6184" s="515"/>
      <c r="G6184" s="132" t="s">
        <v>1209</v>
      </c>
      <c r="J6184" s="120" t="s">
        <v>113</v>
      </c>
      <c r="K6184" s="207"/>
      <c r="L6184" s="207">
        <v>260312.5</v>
      </c>
    </row>
    <row r="6185" spans="1:12" ht="11.25" customHeight="1" x14ac:dyDescent="0.2">
      <c r="A6185" s="191">
        <v>2024</v>
      </c>
      <c r="B6185" s="191">
        <v>11</v>
      </c>
      <c r="C6185" s="191">
        <v>19</v>
      </c>
      <c r="D6185" s="192">
        <f t="shared" si="632"/>
        <v>45615</v>
      </c>
      <c r="E6185" s="193">
        <f t="shared" si="640"/>
        <v>45615</v>
      </c>
      <c r="F6185" s="514"/>
      <c r="G6185" s="194" t="s">
        <v>1209</v>
      </c>
      <c r="H6185" s="195"/>
      <c r="I6185" s="195" t="s">
        <v>1253</v>
      </c>
      <c r="J6185" s="191" t="s">
        <v>76</v>
      </c>
      <c r="K6185" s="196"/>
      <c r="L6185" s="196">
        <v>8500000</v>
      </c>
    </row>
    <row r="6186" spans="1:12" ht="11.25" customHeight="1" x14ac:dyDescent="0.2">
      <c r="A6186" s="197">
        <v>2024</v>
      </c>
      <c r="B6186" s="197">
        <v>11</v>
      </c>
      <c r="C6186" s="197">
        <v>19</v>
      </c>
      <c r="D6186" s="198">
        <f t="shared" si="632"/>
        <v>45615</v>
      </c>
      <c r="E6186" s="199">
        <f t="shared" ref="E6186:E6194" si="641">DATE(A6186,B6186,C6186)</f>
        <v>45615</v>
      </c>
      <c r="F6186" s="513" t="s">
        <v>1928</v>
      </c>
      <c r="G6186" s="200" t="s">
        <v>1209</v>
      </c>
      <c r="H6186" s="201"/>
      <c r="I6186" s="201" t="s">
        <v>1253</v>
      </c>
      <c r="J6186" s="197" t="s">
        <v>46</v>
      </c>
      <c r="K6186" s="202">
        <v>7495000</v>
      </c>
      <c r="L6186" s="202"/>
    </row>
    <row r="6187" spans="1:12" ht="11.25" customHeight="1" x14ac:dyDescent="0.2">
      <c r="A6187" s="120">
        <v>2024</v>
      </c>
      <c r="B6187" s="120">
        <v>11</v>
      </c>
      <c r="C6187" s="120">
        <v>19</v>
      </c>
      <c r="D6187" s="208">
        <f t="shared" si="632"/>
        <v>45615</v>
      </c>
      <c r="E6187" s="209">
        <f t="shared" si="641"/>
        <v>45615</v>
      </c>
      <c r="F6187" s="515"/>
      <c r="G6187" s="132" t="s">
        <v>1209</v>
      </c>
      <c r="J6187" s="120" t="s">
        <v>46</v>
      </c>
      <c r="K6187" s="207">
        <v>229687.5</v>
      </c>
      <c r="L6187" s="207"/>
    </row>
    <row r="6188" spans="1:12" ht="11.25" customHeight="1" x14ac:dyDescent="0.2">
      <c r="A6188" s="120">
        <v>2024</v>
      </c>
      <c r="B6188" s="120">
        <v>11</v>
      </c>
      <c r="C6188" s="120">
        <v>19</v>
      </c>
      <c r="D6188" s="208">
        <f t="shared" ref="D6188:D6251" si="642">DATE(A6188,B6188,C6188)</f>
        <v>45615</v>
      </c>
      <c r="E6188" s="209">
        <f t="shared" si="641"/>
        <v>45615</v>
      </c>
      <c r="F6188" s="515"/>
      <c r="G6188" s="132" t="s">
        <v>1209</v>
      </c>
      <c r="J6188" s="120" t="s">
        <v>54</v>
      </c>
      <c r="K6188" s="207">
        <v>5000</v>
      </c>
      <c r="L6188" s="207"/>
    </row>
    <row r="6189" spans="1:12" ht="11.25" customHeight="1" x14ac:dyDescent="0.2">
      <c r="A6189" s="120">
        <v>2024</v>
      </c>
      <c r="B6189" s="120">
        <v>11</v>
      </c>
      <c r="C6189" s="120">
        <v>19</v>
      </c>
      <c r="D6189" s="208">
        <f t="shared" si="642"/>
        <v>45615</v>
      </c>
      <c r="E6189" s="209">
        <f t="shared" si="641"/>
        <v>45615</v>
      </c>
      <c r="F6189" s="515"/>
      <c r="G6189" s="132" t="s">
        <v>1209</v>
      </c>
      <c r="J6189" s="120" t="s">
        <v>113</v>
      </c>
      <c r="K6189" s="207"/>
      <c r="L6189" s="207">
        <v>229687.5</v>
      </c>
    </row>
    <row r="6190" spans="1:12" ht="11.25" customHeight="1" x14ac:dyDescent="0.2">
      <c r="A6190" s="191">
        <v>2024</v>
      </c>
      <c r="B6190" s="191">
        <v>11</v>
      </c>
      <c r="C6190" s="191">
        <v>19</v>
      </c>
      <c r="D6190" s="192">
        <f t="shared" si="642"/>
        <v>45615</v>
      </c>
      <c r="E6190" s="193">
        <f t="shared" si="641"/>
        <v>45615</v>
      </c>
      <c r="F6190" s="514"/>
      <c r="G6190" s="194" t="s">
        <v>1209</v>
      </c>
      <c r="H6190" s="195"/>
      <c r="I6190" s="195" t="s">
        <v>1253</v>
      </c>
      <c r="J6190" s="191" t="s">
        <v>76</v>
      </c>
      <c r="K6190" s="196"/>
      <c r="L6190" s="196">
        <v>7500000</v>
      </c>
    </row>
    <row r="6191" spans="1:12" ht="11.25" customHeight="1" x14ac:dyDescent="0.2">
      <c r="A6191" s="197">
        <v>2024</v>
      </c>
      <c r="B6191" s="197">
        <v>11</v>
      </c>
      <c r="C6191" s="197">
        <v>19</v>
      </c>
      <c r="D6191" s="198">
        <f t="shared" si="642"/>
        <v>45615</v>
      </c>
      <c r="E6191" s="199">
        <f t="shared" si="641"/>
        <v>45615</v>
      </c>
      <c r="F6191" s="513" t="s">
        <v>1929</v>
      </c>
      <c r="G6191" s="200" t="s">
        <v>1209</v>
      </c>
      <c r="H6191" s="201"/>
      <c r="I6191" s="201" t="s">
        <v>1253</v>
      </c>
      <c r="J6191" s="197" t="s">
        <v>76</v>
      </c>
      <c r="K6191" s="202">
        <v>8500000</v>
      </c>
      <c r="L6191" s="202"/>
    </row>
    <row r="6192" spans="1:12" ht="11.25" customHeight="1" x14ac:dyDescent="0.2">
      <c r="A6192" s="120">
        <v>2024</v>
      </c>
      <c r="B6192" s="120">
        <v>11</v>
      </c>
      <c r="C6192" s="120">
        <v>19</v>
      </c>
      <c r="D6192" s="208">
        <f t="shared" si="642"/>
        <v>45615</v>
      </c>
      <c r="E6192" s="209">
        <f t="shared" ref="E6192:E6193" si="643">DATE(A6192,B6192,C6192)</f>
        <v>45615</v>
      </c>
      <c r="F6192" s="515"/>
      <c r="G6192" s="132" t="s">
        <v>1209</v>
      </c>
      <c r="J6192" s="120" t="s">
        <v>46</v>
      </c>
      <c r="K6192" s="207">
        <v>260312.5</v>
      </c>
      <c r="L6192" s="207"/>
    </row>
    <row r="6193" spans="1:14" ht="11.25" customHeight="1" x14ac:dyDescent="0.2">
      <c r="A6193" s="120">
        <v>2024</v>
      </c>
      <c r="B6193" s="120">
        <v>11</v>
      </c>
      <c r="C6193" s="120">
        <v>19</v>
      </c>
      <c r="D6193" s="208">
        <f t="shared" si="642"/>
        <v>45615</v>
      </c>
      <c r="E6193" s="209">
        <f t="shared" si="643"/>
        <v>45615</v>
      </c>
      <c r="F6193" s="515"/>
      <c r="G6193" s="132" t="s">
        <v>1209</v>
      </c>
      <c r="J6193" s="120" t="s">
        <v>113</v>
      </c>
      <c r="K6193" s="207"/>
      <c r="L6193" s="207">
        <v>260312.5</v>
      </c>
    </row>
    <row r="6194" spans="1:14" ht="11.25" customHeight="1" x14ac:dyDescent="0.2">
      <c r="A6194" s="191">
        <v>2024</v>
      </c>
      <c r="B6194" s="191">
        <v>11</v>
      </c>
      <c r="C6194" s="191">
        <v>19</v>
      </c>
      <c r="D6194" s="192">
        <f t="shared" si="642"/>
        <v>45615</v>
      </c>
      <c r="E6194" s="193">
        <f t="shared" si="641"/>
        <v>45615</v>
      </c>
      <c r="F6194" s="514"/>
      <c r="G6194" s="194" t="s">
        <v>1209</v>
      </c>
      <c r="H6194" s="195"/>
      <c r="I6194" s="195" t="s">
        <v>1253</v>
      </c>
      <c r="J6194" s="191" t="s">
        <v>76</v>
      </c>
      <c r="K6194" s="196"/>
      <c r="L6194" s="196">
        <v>8500000</v>
      </c>
    </row>
    <row r="6195" spans="1:14" ht="11.25" customHeight="1" x14ac:dyDescent="0.2">
      <c r="A6195" s="197">
        <v>2024</v>
      </c>
      <c r="B6195" s="197">
        <v>11</v>
      </c>
      <c r="C6195" s="197">
        <v>19</v>
      </c>
      <c r="D6195" s="198">
        <f t="shared" si="642"/>
        <v>45615</v>
      </c>
      <c r="E6195" s="199">
        <f t="shared" ref="E6195:E6198" si="644">DATE(A6195,B6195,C6195)</f>
        <v>45615</v>
      </c>
      <c r="F6195" s="513" t="s">
        <v>1930</v>
      </c>
      <c r="G6195" s="200" t="s">
        <v>1209</v>
      </c>
      <c r="H6195" s="201"/>
      <c r="I6195" s="201" t="s">
        <v>1253</v>
      </c>
      <c r="J6195" s="197" t="s">
        <v>76</v>
      </c>
      <c r="K6195" s="202">
        <v>8500000</v>
      </c>
      <c r="L6195" s="202"/>
    </row>
    <row r="6196" spans="1:14" ht="11.25" customHeight="1" x14ac:dyDescent="0.2">
      <c r="A6196" s="120">
        <v>2024</v>
      </c>
      <c r="B6196" s="120">
        <v>11</v>
      </c>
      <c r="C6196" s="120">
        <v>19</v>
      </c>
      <c r="D6196" s="208">
        <f t="shared" si="642"/>
        <v>45615</v>
      </c>
      <c r="E6196" s="209">
        <f t="shared" si="644"/>
        <v>45615</v>
      </c>
      <c r="F6196" s="515"/>
      <c r="G6196" s="132" t="s">
        <v>1209</v>
      </c>
      <c r="J6196" s="120" t="s">
        <v>46</v>
      </c>
      <c r="K6196" s="207">
        <v>260312.5</v>
      </c>
      <c r="L6196" s="207"/>
    </row>
    <row r="6197" spans="1:14" ht="11.25" customHeight="1" x14ac:dyDescent="0.2">
      <c r="A6197" s="120">
        <v>2024</v>
      </c>
      <c r="B6197" s="120">
        <v>11</v>
      </c>
      <c r="C6197" s="120">
        <v>19</v>
      </c>
      <c r="D6197" s="208">
        <f t="shared" si="642"/>
        <v>45615</v>
      </c>
      <c r="E6197" s="209">
        <f t="shared" si="644"/>
        <v>45615</v>
      </c>
      <c r="F6197" s="515"/>
      <c r="G6197" s="132" t="s">
        <v>1209</v>
      </c>
      <c r="J6197" s="120" t="s">
        <v>113</v>
      </c>
      <c r="K6197" s="207"/>
      <c r="L6197" s="207">
        <v>260312.5</v>
      </c>
    </row>
    <row r="6198" spans="1:14" ht="11.25" customHeight="1" x14ac:dyDescent="0.2">
      <c r="A6198" s="191">
        <v>2024</v>
      </c>
      <c r="B6198" s="191">
        <v>11</v>
      </c>
      <c r="C6198" s="191">
        <v>19</v>
      </c>
      <c r="D6198" s="192">
        <f t="shared" si="642"/>
        <v>45615</v>
      </c>
      <c r="E6198" s="193">
        <f t="shared" si="644"/>
        <v>45615</v>
      </c>
      <c r="F6198" s="514"/>
      <c r="G6198" s="194" t="s">
        <v>1209</v>
      </c>
      <c r="H6198" s="195"/>
      <c r="I6198" s="195" t="s">
        <v>1253</v>
      </c>
      <c r="J6198" s="191" t="s">
        <v>76</v>
      </c>
      <c r="K6198" s="196"/>
      <c r="L6198" s="196">
        <v>8500000</v>
      </c>
    </row>
    <row r="6199" spans="1:14" ht="11.25" customHeight="1" x14ac:dyDescent="0.2">
      <c r="A6199" s="197">
        <v>2024</v>
      </c>
      <c r="B6199" s="197">
        <v>11</v>
      </c>
      <c r="C6199" s="197">
        <v>20</v>
      </c>
      <c r="D6199" s="198">
        <f t="shared" si="642"/>
        <v>45616</v>
      </c>
      <c r="E6199" s="209">
        <f t="shared" ref="E6199:E6201" si="645">DATE(A6199,B6199,C6199)</f>
        <v>45616</v>
      </c>
      <c r="F6199" s="513" t="s">
        <v>1423</v>
      </c>
      <c r="G6199" s="200" t="s">
        <v>1209</v>
      </c>
      <c r="H6199" s="201"/>
      <c r="I6199" s="201" t="s">
        <v>652</v>
      </c>
      <c r="J6199" s="197" t="s">
        <v>16</v>
      </c>
      <c r="K6199" s="202">
        <v>8580</v>
      </c>
      <c r="L6199" s="202"/>
    </row>
    <row r="6200" spans="1:14" ht="11.25" customHeight="1" x14ac:dyDescent="0.2">
      <c r="A6200" s="120">
        <v>2024</v>
      </c>
      <c r="B6200" s="120">
        <v>11</v>
      </c>
      <c r="C6200" s="120">
        <v>20</v>
      </c>
      <c r="D6200" s="208">
        <f t="shared" si="642"/>
        <v>45616</v>
      </c>
      <c r="E6200" s="209">
        <f t="shared" si="645"/>
        <v>45616</v>
      </c>
      <c r="F6200" s="515"/>
      <c r="G6200" s="132" t="s">
        <v>1209</v>
      </c>
      <c r="I6200" s="128" t="s">
        <v>652</v>
      </c>
      <c r="J6200" s="120" t="s">
        <v>47</v>
      </c>
      <c r="K6200" s="207">
        <v>1420</v>
      </c>
      <c r="L6200" s="207"/>
    </row>
    <row r="6201" spans="1:14" ht="11.25" customHeight="1" x14ac:dyDescent="0.2">
      <c r="A6201" s="191">
        <v>2024</v>
      </c>
      <c r="B6201" s="191">
        <v>11</v>
      </c>
      <c r="C6201" s="191">
        <v>20</v>
      </c>
      <c r="D6201" s="192">
        <f t="shared" si="642"/>
        <v>45616</v>
      </c>
      <c r="E6201" s="193">
        <f t="shared" si="645"/>
        <v>45616</v>
      </c>
      <c r="F6201" s="514"/>
      <c r="G6201" s="194" t="s">
        <v>1209</v>
      </c>
      <c r="H6201" s="195"/>
      <c r="I6201" s="195" t="s">
        <v>652</v>
      </c>
      <c r="J6201" s="191" t="s">
        <v>46</v>
      </c>
      <c r="K6201" s="196"/>
      <c r="L6201" s="196">
        <v>10000</v>
      </c>
    </row>
    <row r="6202" spans="1:14" ht="11.25" customHeight="1" x14ac:dyDescent="0.2">
      <c r="A6202" s="197">
        <v>2024</v>
      </c>
      <c r="B6202" s="197">
        <v>11</v>
      </c>
      <c r="C6202" s="197">
        <v>20</v>
      </c>
      <c r="D6202" s="198">
        <f t="shared" si="642"/>
        <v>45616</v>
      </c>
      <c r="E6202" s="209">
        <f t="shared" si="635"/>
        <v>45616</v>
      </c>
      <c r="F6202" s="513" t="s">
        <v>1280</v>
      </c>
      <c r="G6202" s="200" t="s">
        <v>1209</v>
      </c>
      <c r="H6202" s="201"/>
      <c r="I6202" s="201" t="s">
        <v>1235</v>
      </c>
      <c r="J6202" s="197" t="s">
        <v>16</v>
      </c>
      <c r="K6202" s="202">
        <v>257400</v>
      </c>
      <c r="L6202" s="202"/>
    </row>
    <row r="6203" spans="1:14" ht="11.25" customHeight="1" x14ac:dyDescent="0.2">
      <c r="A6203" s="120">
        <v>2024</v>
      </c>
      <c r="B6203" s="120">
        <v>11</v>
      </c>
      <c r="C6203" s="120">
        <v>20</v>
      </c>
      <c r="D6203" s="208">
        <f t="shared" si="642"/>
        <v>45616</v>
      </c>
      <c r="E6203" s="209">
        <f t="shared" si="635"/>
        <v>45616</v>
      </c>
      <c r="F6203" s="515"/>
      <c r="G6203" s="132" t="s">
        <v>1209</v>
      </c>
      <c r="I6203" s="128" t="s">
        <v>1235</v>
      </c>
      <c r="J6203" s="120" t="s">
        <v>47</v>
      </c>
      <c r="K6203" s="207">
        <v>42600</v>
      </c>
      <c r="L6203" s="207"/>
    </row>
    <row r="6204" spans="1:14" ht="11.25" customHeight="1" x14ac:dyDescent="0.2">
      <c r="A6204" s="191">
        <v>2024</v>
      </c>
      <c r="B6204" s="191">
        <v>11</v>
      </c>
      <c r="C6204" s="191">
        <v>20</v>
      </c>
      <c r="D6204" s="192">
        <f t="shared" si="642"/>
        <v>45616</v>
      </c>
      <c r="E6204" s="193">
        <f t="shared" si="635"/>
        <v>45616</v>
      </c>
      <c r="F6204" s="514"/>
      <c r="G6204" s="194" t="s">
        <v>1209</v>
      </c>
      <c r="H6204" s="195"/>
      <c r="I6204" s="195" t="s">
        <v>1235</v>
      </c>
      <c r="J6204" s="191" t="s">
        <v>46</v>
      </c>
      <c r="K6204" s="196"/>
      <c r="L6204" s="196">
        <v>300000</v>
      </c>
    </row>
    <row r="6205" spans="1:14" ht="11.25" customHeight="1" x14ac:dyDescent="0.2">
      <c r="A6205" s="197">
        <v>2024</v>
      </c>
      <c r="B6205" s="197">
        <v>11</v>
      </c>
      <c r="C6205" s="197">
        <v>20</v>
      </c>
      <c r="D6205" s="198">
        <f t="shared" si="642"/>
        <v>45616</v>
      </c>
      <c r="E6205" s="199">
        <f t="shared" ref="E6205:E6206" si="646">DATE(A6205,B6205,C6205)</f>
        <v>45616</v>
      </c>
      <c r="F6205" s="513" t="s">
        <v>1931</v>
      </c>
      <c r="G6205" s="200" t="s">
        <v>1209</v>
      </c>
      <c r="H6205" s="201"/>
      <c r="I6205" s="201" t="s">
        <v>1253</v>
      </c>
      <c r="J6205" s="197" t="s">
        <v>1837</v>
      </c>
      <c r="K6205" s="202">
        <v>981826.31</v>
      </c>
      <c r="L6205" s="202"/>
    </row>
    <row r="6206" spans="1:14" ht="11.25" customHeight="1" x14ac:dyDescent="0.2">
      <c r="A6206" s="191">
        <v>2024</v>
      </c>
      <c r="B6206" s="191">
        <v>11</v>
      </c>
      <c r="C6206" s="191">
        <v>20</v>
      </c>
      <c r="D6206" s="192">
        <f t="shared" si="642"/>
        <v>45616</v>
      </c>
      <c r="E6206" s="193">
        <f t="shared" si="646"/>
        <v>45616</v>
      </c>
      <c r="F6206" s="514"/>
      <c r="G6206" s="194" t="s">
        <v>1209</v>
      </c>
      <c r="H6206" s="195"/>
      <c r="I6206" s="195" t="s">
        <v>1253</v>
      </c>
      <c r="J6206" s="191" t="s">
        <v>46</v>
      </c>
      <c r="K6206" s="196"/>
      <c r="L6206" s="196">
        <v>981826.31</v>
      </c>
      <c r="N6206" s="130"/>
    </row>
    <row r="6207" spans="1:14" ht="11.25" customHeight="1" x14ac:dyDescent="0.2">
      <c r="A6207" s="197">
        <v>2024</v>
      </c>
      <c r="B6207" s="197">
        <v>11</v>
      </c>
      <c r="C6207" s="197">
        <v>20</v>
      </c>
      <c r="D6207" s="198">
        <f t="shared" si="642"/>
        <v>45616</v>
      </c>
      <c r="E6207" s="199">
        <f t="shared" ref="E6207:E6208" si="647">DATE(A6207,B6207,C6207)</f>
        <v>45616</v>
      </c>
      <c r="F6207" s="513" t="s">
        <v>1931</v>
      </c>
      <c r="G6207" s="200" t="s">
        <v>1209</v>
      </c>
      <c r="H6207" s="201"/>
      <c r="I6207" s="201" t="s">
        <v>1253</v>
      </c>
      <c r="J6207" s="197" t="s">
        <v>1837</v>
      </c>
      <c r="K6207" s="202">
        <v>981826.31</v>
      </c>
      <c r="L6207" s="202"/>
    </row>
    <row r="6208" spans="1:14" ht="11.25" customHeight="1" x14ac:dyDescent="0.2">
      <c r="A6208" s="191">
        <v>2024</v>
      </c>
      <c r="B6208" s="191">
        <v>11</v>
      </c>
      <c r="C6208" s="191">
        <v>20</v>
      </c>
      <c r="D6208" s="192">
        <f t="shared" si="642"/>
        <v>45616</v>
      </c>
      <c r="E6208" s="193">
        <f t="shared" si="647"/>
        <v>45616</v>
      </c>
      <c r="F6208" s="514"/>
      <c r="G6208" s="194" t="s">
        <v>1209</v>
      </c>
      <c r="H6208" s="195"/>
      <c r="I6208" s="195" t="s">
        <v>1253</v>
      </c>
      <c r="J6208" s="191" t="s">
        <v>46</v>
      </c>
      <c r="K6208" s="196"/>
      <c r="L6208" s="196">
        <v>981826.31</v>
      </c>
      <c r="N6208" s="130"/>
    </row>
    <row r="6209" spans="1:14" ht="11.25" customHeight="1" x14ac:dyDescent="0.2">
      <c r="A6209" s="197">
        <v>2024</v>
      </c>
      <c r="B6209" s="197">
        <v>11</v>
      </c>
      <c r="C6209" s="197">
        <v>20</v>
      </c>
      <c r="D6209" s="198">
        <f t="shared" si="642"/>
        <v>45616</v>
      </c>
      <c r="E6209" s="199">
        <f t="shared" ref="E6209:E6219" si="648">DATE(A6209,B6209,C6209)</f>
        <v>45616</v>
      </c>
      <c r="F6209" s="513" t="s">
        <v>1854</v>
      </c>
      <c r="G6209" s="200" t="s">
        <v>1209</v>
      </c>
      <c r="H6209" s="201"/>
      <c r="I6209" s="201" t="s">
        <v>1253</v>
      </c>
      <c r="J6209" s="197" t="s">
        <v>1837</v>
      </c>
      <c r="K6209" s="202">
        <v>3469024.65</v>
      </c>
      <c r="L6209" s="202"/>
    </row>
    <row r="6210" spans="1:14" ht="11.25" customHeight="1" x14ac:dyDescent="0.2">
      <c r="A6210" s="191">
        <v>2024</v>
      </c>
      <c r="B6210" s="191">
        <v>11</v>
      </c>
      <c r="C6210" s="191">
        <v>20</v>
      </c>
      <c r="D6210" s="192">
        <f t="shared" si="642"/>
        <v>45616</v>
      </c>
      <c r="E6210" s="193">
        <f t="shared" si="648"/>
        <v>45616</v>
      </c>
      <c r="F6210" s="514"/>
      <c r="G6210" s="194" t="s">
        <v>1209</v>
      </c>
      <c r="H6210" s="195"/>
      <c r="I6210" s="195" t="s">
        <v>1253</v>
      </c>
      <c r="J6210" s="191" t="s">
        <v>46</v>
      </c>
      <c r="K6210" s="196"/>
      <c r="L6210" s="196">
        <v>3469024.65</v>
      </c>
      <c r="N6210" s="130"/>
    </row>
    <row r="6211" spans="1:14" ht="11.25" customHeight="1" x14ac:dyDescent="0.2">
      <c r="A6211" s="424">
        <v>2024</v>
      </c>
      <c r="B6211" s="424">
        <v>11</v>
      </c>
      <c r="C6211" s="424">
        <v>21</v>
      </c>
      <c r="D6211" s="425">
        <f t="shared" si="642"/>
        <v>45617</v>
      </c>
      <c r="E6211" s="384">
        <f t="shared" si="648"/>
        <v>45617</v>
      </c>
      <c r="F6211" s="516" t="s">
        <v>1850</v>
      </c>
      <c r="G6211" s="426" t="s">
        <v>1209</v>
      </c>
      <c r="H6211" s="427"/>
      <c r="I6211" s="427"/>
      <c r="J6211" s="428" t="s">
        <v>81</v>
      </c>
      <c r="K6211" s="429">
        <v>6973.2450980392159</v>
      </c>
      <c r="L6211" s="429"/>
    </row>
    <row r="6212" spans="1:14" ht="11.25" customHeight="1" x14ac:dyDescent="0.2">
      <c r="A6212" s="389">
        <v>2024</v>
      </c>
      <c r="B6212" s="389">
        <v>11</v>
      </c>
      <c r="C6212" s="389">
        <v>21</v>
      </c>
      <c r="D6212" s="390">
        <f t="shared" si="642"/>
        <v>45617</v>
      </c>
      <c r="E6212" s="391">
        <f t="shared" si="648"/>
        <v>45617</v>
      </c>
      <c r="F6212" s="517"/>
      <c r="G6212" s="392" t="s">
        <v>1209</v>
      </c>
      <c r="H6212" s="393"/>
      <c r="I6212" s="393"/>
      <c r="J6212" s="394" t="s">
        <v>1847</v>
      </c>
      <c r="K6212" s="423"/>
      <c r="L6212" s="423">
        <v>6973.2450980392159</v>
      </c>
    </row>
    <row r="6213" spans="1:14" ht="11.25" customHeight="1" x14ac:dyDescent="0.2">
      <c r="A6213" s="382">
        <v>2024</v>
      </c>
      <c r="B6213" s="382">
        <v>11</v>
      </c>
      <c r="C6213" s="382">
        <v>21</v>
      </c>
      <c r="D6213" s="383">
        <f t="shared" si="642"/>
        <v>45617</v>
      </c>
      <c r="E6213" s="384">
        <f t="shared" si="648"/>
        <v>45617</v>
      </c>
      <c r="F6213" s="516" t="s">
        <v>1892</v>
      </c>
      <c r="G6213" s="385" t="s">
        <v>1209</v>
      </c>
      <c r="H6213" s="386"/>
      <c r="I6213" s="386"/>
      <c r="J6213" s="387" t="s">
        <v>173</v>
      </c>
      <c r="K6213" s="388">
        <v>4029.6789788020833</v>
      </c>
      <c r="L6213" s="388"/>
    </row>
    <row r="6214" spans="1:14" ht="11.25" customHeight="1" x14ac:dyDescent="0.2">
      <c r="A6214" s="389">
        <v>2024</v>
      </c>
      <c r="B6214" s="389">
        <v>11</v>
      </c>
      <c r="C6214" s="389">
        <v>21</v>
      </c>
      <c r="D6214" s="390">
        <f t="shared" si="642"/>
        <v>45617</v>
      </c>
      <c r="E6214" s="391">
        <f t="shared" si="648"/>
        <v>45617</v>
      </c>
      <c r="F6214" s="517"/>
      <c r="G6214" s="392" t="s">
        <v>1209</v>
      </c>
      <c r="H6214" s="393"/>
      <c r="I6214" s="393"/>
      <c r="J6214" s="394" t="s">
        <v>43</v>
      </c>
      <c r="K6214" s="388"/>
      <c r="L6214" s="388">
        <f>K6213</f>
        <v>4029.6789788020833</v>
      </c>
    </row>
    <row r="6215" spans="1:14" ht="11.25" customHeight="1" x14ac:dyDescent="0.2">
      <c r="A6215" s="344">
        <v>2024</v>
      </c>
      <c r="B6215" s="344">
        <v>11</v>
      </c>
      <c r="C6215" s="344">
        <v>21</v>
      </c>
      <c r="D6215" s="345">
        <f t="shared" si="642"/>
        <v>45617</v>
      </c>
      <c r="E6215" s="346">
        <f t="shared" si="648"/>
        <v>45617</v>
      </c>
      <c r="F6215" s="518" t="s">
        <v>1621</v>
      </c>
      <c r="G6215" s="347" t="s">
        <v>1245</v>
      </c>
      <c r="H6215" s="348"/>
      <c r="I6215" s="348" t="s">
        <v>1253</v>
      </c>
      <c r="J6215" s="344" t="s">
        <v>113</v>
      </c>
      <c r="K6215" s="349">
        <v>96586.538461538468</v>
      </c>
      <c r="L6215" s="349"/>
    </row>
    <row r="6216" spans="1:14" ht="11.25" customHeight="1" x14ac:dyDescent="0.2">
      <c r="A6216" s="350">
        <v>2024</v>
      </c>
      <c r="B6216" s="350">
        <v>11</v>
      </c>
      <c r="C6216" s="350">
        <v>21</v>
      </c>
      <c r="D6216" s="351">
        <f t="shared" si="642"/>
        <v>45617</v>
      </c>
      <c r="E6216" s="352">
        <f t="shared" si="648"/>
        <v>45617</v>
      </c>
      <c r="F6216" s="519"/>
      <c r="G6216" s="353" t="s">
        <v>1245</v>
      </c>
      <c r="H6216" s="354"/>
      <c r="I6216" s="354" t="s">
        <v>1253</v>
      </c>
      <c r="J6216" s="350" t="s">
        <v>153</v>
      </c>
      <c r="K6216" s="355"/>
      <c r="L6216" s="355">
        <f>K6215</f>
        <v>96586.538461538468</v>
      </c>
    </row>
    <row r="6217" spans="1:14" ht="11.25" customHeight="1" x14ac:dyDescent="0.2">
      <c r="A6217" s="210">
        <v>2024</v>
      </c>
      <c r="B6217" s="210">
        <v>11</v>
      </c>
      <c r="C6217" s="210">
        <v>21</v>
      </c>
      <c r="D6217" s="211">
        <f t="shared" si="642"/>
        <v>45617</v>
      </c>
      <c r="E6217" s="238">
        <f t="shared" si="648"/>
        <v>45617</v>
      </c>
      <c r="F6217" s="520" t="s">
        <v>1278</v>
      </c>
      <c r="G6217" s="213" t="s">
        <v>1245</v>
      </c>
      <c r="H6217" s="214"/>
      <c r="I6217" s="214" t="s">
        <v>1253</v>
      </c>
      <c r="J6217" s="210" t="s">
        <v>1529</v>
      </c>
      <c r="K6217" s="215">
        <v>510.40384615384613</v>
      </c>
      <c r="L6217" s="215"/>
    </row>
    <row r="6218" spans="1:14" ht="11.25" customHeight="1" x14ac:dyDescent="0.2">
      <c r="A6218" s="216">
        <v>2024</v>
      </c>
      <c r="B6218" s="216">
        <v>11</v>
      </c>
      <c r="C6218" s="216">
        <v>21</v>
      </c>
      <c r="D6218" s="217">
        <f t="shared" si="642"/>
        <v>45617</v>
      </c>
      <c r="E6218" s="239">
        <f t="shared" si="648"/>
        <v>45617</v>
      </c>
      <c r="F6218" s="521"/>
      <c r="G6218" s="219" t="s">
        <v>1245</v>
      </c>
      <c r="H6218" s="220"/>
      <c r="I6218" s="220" t="s">
        <v>1253</v>
      </c>
      <c r="J6218" s="216" t="s">
        <v>1581</v>
      </c>
      <c r="K6218" s="221"/>
      <c r="L6218" s="221">
        <v>510.40384615384613</v>
      </c>
    </row>
    <row r="6219" spans="1:14" ht="11.25" customHeight="1" x14ac:dyDescent="0.2">
      <c r="A6219" s="210">
        <v>2024</v>
      </c>
      <c r="B6219" s="210">
        <v>11</v>
      </c>
      <c r="C6219" s="210">
        <v>21</v>
      </c>
      <c r="D6219" s="211">
        <f t="shared" si="642"/>
        <v>45617</v>
      </c>
      <c r="E6219" s="238">
        <f t="shared" si="648"/>
        <v>45617</v>
      </c>
      <c r="F6219" s="520" t="s">
        <v>1857</v>
      </c>
      <c r="G6219" s="213" t="s">
        <v>1245</v>
      </c>
      <c r="H6219" s="214"/>
      <c r="I6219" s="214" t="s">
        <v>1253</v>
      </c>
      <c r="J6219" s="210" t="s">
        <v>1284</v>
      </c>
      <c r="K6219" s="215">
        <v>8903.4309440559427</v>
      </c>
      <c r="L6219" s="215"/>
    </row>
    <row r="6220" spans="1:14" ht="11.25" customHeight="1" x14ac:dyDescent="0.2">
      <c r="A6220" s="242">
        <v>2024</v>
      </c>
      <c r="B6220" s="242">
        <v>11</v>
      </c>
      <c r="C6220" s="242">
        <v>21</v>
      </c>
      <c r="D6220" s="243">
        <f t="shared" si="642"/>
        <v>45617</v>
      </c>
      <c r="E6220" s="244">
        <f>DATE(A6220,B6220,C6220)</f>
        <v>45617</v>
      </c>
      <c r="F6220" s="524"/>
      <c r="G6220" s="245" t="s">
        <v>1245</v>
      </c>
      <c r="H6220" s="246"/>
      <c r="I6220" s="246"/>
      <c r="J6220" s="242" t="s">
        <v>1582</v>
      </c>
      <c r="K6220" s="247"/>
      <c r="L6220" s="247">
        <v>8903.4309440559427</v>
      </c>
    </row>
    <row r="6221" spans="1:14" ht="11.25" customHeight="1" x14ac:dyDescent="0.2">
      <c r="A6221" s="210">
        <v>2024</v>
      </c>
      <c r="B6221" s="210">
        <v>11</v>
      </c>
      <c r="C6221" s="210">
        <v>21</v>
      </c>
      <c r="D6221" s="211">
        <f t="shared" si="642"/>
        <v>45617</v>
      </c>
      <c r="E6221" s="238">
        <f t="shared" ref="E6221:E6250" si="649">DATE(A6221,B6221,C6221)</f>
        <v>45617</v>
      </c>
      <c r="F6221" s="520" t="s">
        <v>1259</v>
      </c>
      <c r="G6221" s="213" t="s">
        <v>1245</v>
      </c>
      <c r="H6221" s="214"/>
      <c r="I6221" s="214" t="s">
        <v>1253</v>
      </c>
      <c r="J6221" s="210" t="s">
        <v>58</v>
      </c>
      <c r="K6221" s="215">
        <v>38975.26</v>
      </c>
      <c r="L6221" s="215"/>
    </row>
    <row r="6222" spans="1:14" ht="11.25" customHeight="1" x14ac:dyDescent="0.2">
      <c r="A6222" s="216">
        <v>2024</v>
      </c>
      <c r="B6222" s="216">
        <v>11</v>
      </c>
      <c r="C6222" s="216">
        <v>21</v>
      </c>
      <c r="D6222" s="217">
        <f t="shared" si="642"/>
        <v>45617</v>
      </c>
      <c r="E6222" s="239">
        <f t="shared" si="649"/>
        <v>45617</v>
      </c>
      <c r="F6222" s="521"/>
      <c r="G6222" s="219" t="s">
        <v>1245</v>
      </c>
      <c r="H6222" s="220"/>
      <c r="I6222" s="220" t="s">
        <v>1253</v>
      </c>
      <c r="J6222" s="216" t="s">
        <v>153</v>
      </c>
      <c r="K6222" s="221"/>
      <c r="L6222" s="221">
        <f>K6221</f>
        <v>38975.26</v>
      </c>
    </row>
    <row r="6223" spans="1:14" ht="11.25" customHeight="1" x14ac:dyDescent="0.2">
      <c r="A6223" s="312">
        <v>2024</v>
      </c>
      <c r="B6223" s="312">
        <v>11</v>
      </c>
      <c r="C6223" s="312">
        <v>21</v>
      </c>
      <c r="D6223" s="313">
        <f t="shared" si="642"/>
        <v>45617</v>
      </c>
      <c r="E6223" s="314">
        <f t="shared" si="649"/>
        <v>45617</v>
      </c>
      <c r="F6223" s="522" t="s">
        <v>1477</v>
      </c>
      <c r="G6223" s="315" t="s">
        <v>1245</v>
      </c>
      <c r="H6223" s="316"/>
      <c r="I6223" s="316" t="s">
        <v>1253</v>
      </c>
      <c r="J6223" s="312" t="s">
        <v>1460</v>
      </c>
      <c r="K6223" s="317">
        <v>129562.5</v>
      </c>
      <c r="L6223" s="317"/>
      <c r="M6223" s="120">
        <f>BS!$I$11</f>
        <v>5.9604644775390625E-8</v>
      </c>
    </row>
    <row r="6224" spans="1:14" ht="11.25" customHeight="1" x14ac:dyDescent="0.2">
      <c r="A6224" s="318">
        <v>2024</v>
      </c>
      <c r="B6224" s="318">
        <v>11</v>
      </c>
      <c r="C6224" s="318">
        <v>21</v>
      </c>
      <c r="D6224" s="319">
        <f t="shared" si="642"/>
        <v>45617</v>
      </c>
      <c r="E6224" s="320">
        <f t="shared" si="649"/>
        <v>45617</v>
      </c>
      <c r="F6224" s="523"/>
      <c r="G6224" s="321" t="s">
        <v>1245</v>
      </c>
      <c r="H6224" s="322"/>
      <c r="I6224" s="322" t="s">
        <v>1253</v>
      </c>
      <c r="J6224" s="318" t="s">
        <v>1458</v>
      </c>
      <c r="K6224" s="323"/>
      <c r="L6224" s="323">
        <f>K6223</f>
        <v>129562.5</v>
      </c>
    </row>
    <row r="6225" spans="1:13" ht="11.25" customHeight="1" x14ac:dyDescent="0.2">
      <c r="A6225" s="312">
        <v>2024</v>
      </c>
      <c r="B6225" s="312">
        <v>11</v>
      </c>
      <c r="C6225" s="312">
        <v>21</v>
      </c>
      <c r="D6225" s="313">
        <f t="shared" si="642"/>
        <v>45617</v>
      </c>
      <c r="E6225" s="314">
        <f t="shared" si="649"/>
        <v>45617</v>
      </c>
      <c r="F6225" s="522" t="s">
        <v>1595</v>
      </c>
      <c r="G6225" s="315" t="s">
        <v>1245</v>
      </c>
      <c r="H6225" s="316"/>
      <c r="I6225" s="316" t="s">
        <v>1253</v>
      </c>
      <c r="J6225" s="312" t="s">
        <v>1461</v>
      </c>
      <c r="K6225" s="317">
        <v>639176.73300009966</v>
      </c>
      <c r="L6225" s="317"/>
      <c r="M6225" s="120">
        <f>BS!$I$14</f>
        <v>0</v>
      </c>
    </row>
    <row r="6226" spans="1:13" ht="11.25" customHeight="1" x14ac:dyDescent="0.2">
      <c r="A6226" s="318">
        <v>2024</v>
      </c>
      <c r="B6226" s="318">
        <v>11</v>
      </c>
      <c r="C6226" s="318">
        <v>21</v>
      </c>
      <c r="D6226" s="319">
        <f t="shared" si="642"/>
        <v>45617</v>
      </c>
      <c r="E6226" s="320">
        <f t="shared" si="649"/>
        <v>45617</v>
      </c>
      <c r="F6226" s="523"/>
      <c r="G6226" s="321" t="s">
        <v>1245</v>
      </c>
      <c r="H6226" s="322"/>
      <c r="I6226" s="322" t="s">
        <v>1253</v>
      </c>
      <c r="J6226" s="318" t="s">
        <v>1459</v>
      </c>
      <c r="K6226" s="323"/>
      <c r="L6226" s="323">
        <f>K6225</f>
        <v>639176.73300009966</v>
      </c>
    </row>
    <row r="6227" spans="1:13" ht="11.25" customHeight="1" x14ac:dyDescent="0.2">
      <c r="A6227" s="222">
        <v>2024</v>
      </c>
      <c r="B6227" s="222">
        <v>11</v>
      </c>
      <c r="C6227" s="222">
        <v>21</v>
      </c>
      <c r="D6227" s="223">
        <f t="shared" si="642"/>
        <v>45617</v>
      </c>
      <c r="E6227" s="240">
        <f t="shared" si="649"/>
        <v>45617</v>
      </c>
      <c r="F6227" s="511" t="s">
        <v>1244</v>
      </c>
      <c r="G6227" s="225" t="s">
        <v>1245</v>
      </c>
      <c r="H6227" s="226"/>
      <c r="I6227" s="226" t="s">
        <v>1253</v>
      </c>
      <c r="J6227" s="222" t="s">
        <v>87</v>
      </c>
      <c r="K6227" s="227">
        <v>2615</v>
      </c>
      <c r="L6227" s="227"/>
      <c r="M6227" s="120">
        <f>BS!$I$7</f>
        <v>0</v>
      </c>
    </row>
    <row r="6228" spans="1:13" ht="11.25" customHeight="1" x14ac:dyDescent="0.2">
      <c r="A6228" s="228">
        <v>2024</v>
      </c>
      <c r="B6228" s="228">
        <v>11</v>
      </c>
      <c r="C6228" s="228">
        <v>21</v>
      </c>
      <c r="D6228" s="229">
        <f t="shared" si="642"/>
        <v>45617</v>
      </c>
      <c r="E6228" s="241">
        <f t="shared" si="649"/>
        <v>45617</v>
      </c>
      <c r="F6228" s="512"/>
      <c r="G6228" s="231" t="s">
        <v>1245</v>
      </c>
      <c r="H6228" s="232"/>
      <c r="I6228" s="232" t="s">
        <v>1253</v>
      </c>
      <c r="J6228" s="228" t="s">
        <v>72</v>
      </c>
      <c r="K6228" s="233"/>
      <c r="L6228" s="233">
        <f>K6227</f>
        <v>2615</v>
      </c>
    </row>
    <row r="6229" spans="1:13" ht="11.25" customHeight="1" x14ac:dyDescent="0.2">
      <c r="A6229" s="222">
        <v>2024</v>
      </c>
      <c r="B6229" s="222">
        <v>11</v>
      </c>
      <c r="C6229" s="222">
        <v>21</v>
      </c>
      <c r="D6229" s="223">
        <f t="shared" si="642"/>
        <v>45617</v>
      </c>
      <c r="E6229" s="240">
        <f t="shared" si="649"/>
        <v>45617</v>
      </c>
      <c r="F6229" s="511" t="s">
        <v>1246</v>
      </c>
      <c r="G6229" s="225" t="s">
        <v>1245</v>
      </c>
      <c r="H6229" s="226"/>
      <c r="I6229" s="226" t="s">
        <v>1253</v>
      </c>
      <c r="J6229" s="222" t="s">
        <v>75</v>
      </c>
      <c r="K6229" s="227">
        <v>3623.123846153846</v>
      </c>
      <c r="L6229" s="227"/>
    </row>
    <row r="6230" spans="1:13" ht="11.25" customHeight="1" x14ac:dyDescent="0.2">
      <c r="A6230" s="228">
        <v>2024</v>
      </c>
      <c r="B6230" s="228">
        <v>11</v>
      </c>
      <c r="C6230" s="228">
        <v>21</v>
      </c>
      <c r="D6230" s="229">
        <f t="shared" si="642"/>
        <v>45617</v>
      </c>
      <c r="E6230" s="241">
        <f t="shared" si="649"/>
        <v>45617</v>
      </c>
      <c r="F6230" s="512"/>
      <c r="G6230" s="231" t="s">
        <v>1245</v>
      </c>
      <c r="H6230" s="232"/>
      <c r="I6230" s="232" t="s">
        <v>1253</v>
      </c>
      <c r="J6230" s="228" t="s">
        <v>55</v>
      </c>
      <c r="K6230" s="233"/>
      <c r="L6230" s="233">
        <v>3623.123846153846</v>
      </c>
    </row>
    <row r="6231" spans="1:13" ht="11.25" customHeight="1" x14ac:dyDescent="0.2">
      <c r="A6231" s="222">
        <v>2024</v>
      </c>
      <c r="B6231" s="222">
        <v>11</v>
      </c>
      <c r="C6231" s="222">
        <v>21</v>
      </c>
      <c r="D6231" s="223">
        <f t="shared" si="642"/>
        <v>45617</v>
      </c>
      <c r="E6231" s="240">
        <f t="shared" si="649"/>
        <v>45617</v>
      </c>
      <c r="F6231" s="511" t="s">
        <v>1247</v>
      </c>
      <c r="G6231" s="225" t="s">
        <v>1245</v>
      </c>
      <c r="H6231" s="226"/>
      <c r="I6231" s="226" t="s">
        <v>1253</v>
      </c>
      <c r="J6231" s="222" t="s">
        <v>77</v>
      </c>
      <c r="K6231" s="227">
        <f>M6231</f>
        <v>40602.457904345356</v>
      </c>
      <c r="L6231" s="227"/>
      <c r="M6231" s="120">
        <v>40602.457904345356</v>
      </c>
    </row>
    <row r="6232" spans="1:13" ht="11.25" customHeight="1" x14ac:dyDescent="0.2">
      <c r="A6232" s="228">
        <v>2024</v>
      </c>
      <c r="B6232" s="228">
        <v>11</v>
      </c>
      <c r="C6232" s="228">
        <v>21</v>
      </c>
      <c r="D6232" s="229">
        <f t="shared" si="642"/>
        <v>45617</v>
      </c>
      <c r="E6232" s="241">
        <f t="shared" si="649"/>
        <v>45617</v>
      </c>
      <c r="F6232" s="512"/>
      <c r="G6232" s="231" t="s">
        <v>1245</v>
      </c>
      <c r="H6232" s="232"/>
      <c r="I6232" s="232" t="s">
        <v>1253</v>
      </c>
      <c r="J6232" s="228" t="s">
        <v>41</v>
      </c>
      <c r="K6232" s="233"/>
      <c r="L6232" s="233">
        <f>K6231</f>
        <v>40602.457904345356</v>
      </c>
      <c r="M6232" s="120">
        <v>4060.2457904345356</v>
      </c>
    </row>
    <row r="6233" spans="1:13" ht="11.25" customHeight="1" x14ac:dyDescent="0.2">
      <c r="A6233" s="222">
        <v>2024</v>
      </c>
      <c r="B6233" s="222">
        <v>11</v>
      </c>
      <c r="C6233" s="222">
        <v>21</v>
      </c>
      <c r="D6233" s="223">
        <f t="shared" si="642"/>
        <v>45617</v>
      </c>
      <c r="E6233" s="240">
        <f t="shared" si="649"/>
        <v>45617</v>
      </c>
      <c r="F6233" s="511" t="s">
        <v>1248</v>
      </c>
      <c r="G6233" s="225" t="s">
        <v>1245</v>
      </c>
      <c r="H6233" s="226"/>
      <c r="I6233" s="226" t="s">
        <v>1253</v>
      </c>
      <c r="J6233" s="222" t="s">
        <v>80</v>
      </c>
      <c r="K6233" s="227">
        <f>M6232</f>
        <v>4060.2457904345356</v>
      </c>
      <c r="L6233" s="227"/>
    </row>
    <row r="6234" spans="1:13" x14ac:dyDescent="0.2">
      <c r="A6234" s="228">
        <v>2024</v>
      </c>
      <c r="B6234" s="228">
        <v>11</v>
      </c>
      <c r="C6234" s="228">
        <v>21</v>
      </c>
      <c r="D6234" s="229">
        <f t="shared" si="642"/>
        <v>45617</v>
      </c>
      <c r="E6234" s="241">
        <f t="shared" si="649"/>
        <v>45617</v>
      </c>
      <c r="F6234" s="512"/>
      <c r="G6234" s="231" t="s">
        <v>1245</v>
      </c>
      <c r="H6234" s="232"/>
      <c r="I6234" s="232" t="s">
        <v>1253</v>
      </c>
      <c r="J6234" s="228" t="s">
        <v>42</v>
      </c>
      <c r="K6234" s="233"/>
      <c r="L6234" s="233">
        <f>K6233</f>
        <v>4060.2457904345356</v>
      </c>
    </row>
    <row r="6235" spans="1:13" ht="11.25" customHeight="1" x14ac:dyDescent="0.2">
      <c r="A6235" s="197">
        <v>2024</v>
      </c>
      <c r="B6235" s="197">
        <v>11</v>
      </c>
      <c r="C6235" s="197">
        <v>24</v>
      </c>
      <c r="D6235" s="198">
        <f t="shared" si="642"/>
        <v>45620</v>
      </c>
      <c r="E6235" s="209">
        <f>DATE(A6235,B6235,C6235)</f>
        <v>45620</v>
      </c>
      <c r="F6235" s="513" t="s">
        <v>1210</v>
      </c>
      <c r="G6235" s="200" t="s">
        <v>1209</v>
      </c>
      <c r="H6235" s="201"/>
      <c r="I6235" s="201" t="s">
        <v>1333</v>
      </c>
      <c r="J6235" s="197" t="s">
        <v>46</v>
      </c>
      <c r="K6235" s="202">
        <v>300000</v>
      </c>
      <c r="L6235" s="202"/>
    </row>
    <row r="6236" spans="1:13" ht="11.25" customHeight="1" x14ac:dyDescent="0.2">
      <c r="A6236" s="120">
        <v>2024</v>
      </c>
      <c r="B6236" s="120">
        <v>11</v>
      </c>
      <c r="C6236" s="120">
        <v>24</v>
      </c>
      <c r="D6236" s="208">
        <f t="shared" si="642"/>
        <v>45620</v>
      </c>
      <c r="E6236" s="209">
        <f>DATE(A6236,B6236,C6236)</f>
        <v>45620</v>
      </c>
      <c r="F6236" s="515"/>
      <c r="G6236" s="132" t="s">
        <v>1209</v>
      </c>
      <c r="I6236" s="128" t="s">
        <v>1333</v>
      </c>
      <c r="J6236" s="120" t="s">
        <v>16</v>
      </c>
      <c r="K6236" s="207"/>
      <c r="L6236" s="207">
        <v>256890</v>
      </c>
    </row>
    <row r="6237" spans="1:13" ht="11.25" customHeight="1" x14ac:dyDescent="0.2">
      <c r="A6237" s="191">
        <v>2024</v>
      </c>
      <c r="B6237" s="191">
        <v>11</v>
      </c>
      <c r="C6237" s="191">
        <v>24</v>
      </c>
      <c r="D6237" s="192">
        <f t="shared" si="642"/>
        <v>45620</v>
      </c>
      <c r="E6237" s="193">
        <f>DATE(A6237,B6237,C6237)</f>
        <v>45620</v>
      </c>
      <c r="F6237" s="514"/>
      <c r="G6237" s="194" t="s">
        <v>1209</v>
      </c>
      <c r="H6237" s="195"/>
      <c r="I6237" s="195" t="s">
        <v>1333</v>
      </c>
      <c r="J6237" s="191" t="s">
        <v>47</v>
      </c>
      <c r="K6237" s="196"/>
      <c r="L6237" s="196">
        <v>43110</v>
      </c>
    </row>
    <row r="6238" spans="1:13" ht="11.25" customHeight="1" x14ac:dyDescent="0.2">
      <c r="A6238" s="197">
        <v>2024</v>
      </c>
      <c r="B6238" s="197">
        <v>11</v>
      </c>
      <c r="C6238" s="197">
        <v>24</v>
      </c>
      <c r="D6238" s="198">
        <f t="shared" si="642"/>
        <v>45620</v>
      </c>
      <c r="E6238" s="209">
        <f t="shared" ref="E6238:E6240" si="650">DATE(A6238,B6238,C6238)</f>
        <v>45620</v>
      </c>
      <c r="F6238" s="513" t="s">
        <v>1280</v>
      </c>
      <c r="G6238" s="200" t="s">
        <v>1209</v>
      </c>
      <c r="H6238" s="201"/>
      <c r="I6238" s="201" t="s">
        <v>1647</v>
      </c>
      <c r="J6238" s="197" t="s">
        <v>16</v>
      </c>
      <c r="K6238" s="202">
        <v>85630</v>
      </c>
      <c r="L6238" s="202"/>
    </row>
    <row r="6239" spans="1:13" ht="11.25" customHeight="1" x14ac:dyDescent="0.2">
      <c r="A6239" s="120">
        <v>2024</v>
      </c>
      <c r="B6239" s="120">
        <v>11</v>
      </c>
      <c r="C6239" s="120">
        <v>24</v>
      </c>
      <c r="D6239" s="208">
        <f t="shared" si="642"/>
        <v>45620</v>
      </c>
      <c r="E6239" s="209">
        <f t="shared" si="650"/>
        <v>45620</v>
      </c>
      <c r="F6239" s="515"/>
      <c r="G6239" s="132" t="s">
        <v>1209</v>
      </c>
      <c r="I6239" s="128" t="s">
        <v>1647</v>
      </c>
      <c r="J6239" s="120" t="s">
        <v>47</v>
      </c>
      <c r="K6239" s="207">
        <v>14370</v>
      </c>
      <c r="L6239" s="207"/>
    </row>
    <row r="6240" spans="1:13" ht="11.25" customHeight="1" x14ac:dyDescent="0.2">
      <c r="A6240" s="191">
        <v>2024</v>
      </c>
      <c r="B6240" s="191">
        <v>11</v>
      </c>
      <c r="C6240" s="191">
        <v>24</v>
      </c>
      <c r="D6240" s="192">
        <f t="shared" si="642"/>
        <v>45620</v>
      </c>
      <c r="E6240" s="193">
        <f t="shared" si="650"/>
        <v>45620</v>
      </c>
      <c r="F6240" s="514"/>
      <c r="G6240" s="194" t="s">
        <v>1209</v>
      </c>
      <c r="H6240" s="195"/>
      <c r="I6240" s="195" t="s">
        <v>1647</v>
      </c>
      <c r="J6240" s="191" t="s">
        <v>46</v>
      </c>
      <c r="K6240" s="196"/>
      <c r="L6240" s="196">
        <v>100000</v>
      </c>
    </row>
    <row r="6241" spans="1:15" ht="11.25" customHeight="1" x14ac:dyDescent="0.2">
      <c r="A6241" s="197">
        <v>2024</v>
      </c>
      <c r="B6241" s="197">
        <v>11</v>
      </c>
      <c r="C6241" s="197">
        <v>24</v>
      </c>
      <c r="D6241" s="198">
        <f t="shared" si="642"/>
        <v>45620</v>
      </c>
      <c r="E6241" s="209">
        <f t="shared" ref="E6241:E6247" si="651">DATE(A6241,B6241,C6241)</f>
        <v>45620</v>
      </c>
      <c r="F6241" s="513" t="s">
        <v>1210</v>
      </c>
      <c r="G6241" s="200" t="s">
        <v>1209</v>
      </c>
      <c r="H6241" s="201"/>
      <c r="I6241" s="201" t="s">
        <v>1914</v>
      </c>
      <c r="J6241" s="197" t="s">
        <v>46</v>
      </c>
      <c r="K6241" s="202">
        <v>500000</v>
      </c>
      <c r="L6241" s="202"/>
    </row>
    <row r="6242" spans="1:15" ht="11.25" customHeight="1" x14ac:dyDescent="0.2">
      <c r="A6242" s="120">
        <v>2024</v>
      </c>
      <c r="B6242" s="120">
        <v>11</v>
      </c>
      <c r="C6242" s="120">
        <v>24</v>
      </c>
      <c r="D6242" s="208">
        <f t="shared" si="642"/>
        <v>45620</v>
      </c>
      <c r="E6242" s="209">
        <f t="shared" si="651"/>
        <v>45620</v>
      </c>
      <c r="F6242" s="515"/>
      <c r="G6242" s="132" t="s">
        <v>1209</v>
      </c>
      <c r="I6242" s="128" t="s">
        <v>1914</v>
      </c>
      <c r="J6242" s="120" t="s">
        <v>16</v>
      </c>
      <c r="K6242" s="207"/>
      <c r="L6242" s="207">
        <v>429000</v>
      </c>
    </row>
    <row r="6243" spans="1:15" ht="11.25" customHeight="1" x14ac:dyDescent="0.2">
      <c r="A6243" s="191">
        <v>2024</v>
      </c>
      <c r="B6243" s="191">
        <v>11</v>
      </c>
      <c r="C6243" s="191">
        <v>24</v>
      </c>
      <c r="D6243" s="192">
        <f t="shared" si="642"/>
        <v>45620</v>
      </c>
      <c r="E6243" s="193">
        <f t="shared" si="651"/>
        <v>45620</v>
      </c>
      <c r="F6243" s="514"/>
      <c r="G6243" s="194" t="s">
        <v>1209</v>
      </c>
      <c r="H6243" s="195"/>
      <c r="I6243" s="195" t="s">
        <v>1914</v>
      </c>
      <c r="J6243" s="191" t="s">
        <v>47</v>
      </c>
      <c r="K6243" s="196"/>
      <c r="L6243" s="196">
        <v>71000</v>
      </c>
    </row>
    <row r="6244" spans="1:15" ht="11.25" customHeight="1" x14ac:dyDescent="0.2">
      <c r="A6244" s="197">
        <v>2024</v>
      </c>
      <c r="B6244" s="197">
        <v>11</v>
      </c>
      <c r="C6244" s="197">
        <v>24</v>
      </c>
      <c r="D6244" s="198">
        <f t="shared" si="642"/>
        <v>45620</v>
      </c>
      <c r="E6244" s="290">
        <f t="shared" si="651"/>
        <v>45620</v>
      </c>
      <c r="F6244" s="513" t="s">
        <v>1514</v>
      </c>
      <c r="G6244" s="200" t="s">
        <v>1209</v>
      </c>
      <c r="H6244" s="201"/>
      <c r="I6244" s="201"/>
      <c r="J6244" s="197" t="s">
        <v>54</v>
      </c>
      <c r="K6244" s="202">
        <v>58</v>
      </c>
      <c r="L6244" s="202"/>
      <c r="M6244" s="251"/>
      <c r="N6244" s="251"/>
      <c r="O6244" s="251"/>
    </row>
    <row r="6245" spans="1:15" ht="11.25" customHeight="1" x14ac:dyDescent="0.2">
      <c r="A6245" s="191">
        <v>2024</v>
      </c>
      <c r="B6245" s="191">
        <v>11</v>
      </c>
      <c r="C6245" s="191">
        <v>24</v>
      </c>
      <c r="D6245" s="192">
        <f t="shared" si="642"/>
        <v>45620</v>
      </c>
      <c r="E6245" s="291">
        <f t="shared" si="651"/>
        <v>45620</v>
      </c>
      <c r="F6245" s="514"/>
      <c r="G6245" s="194" t="s">
        <v>1209</v>
      </c>
      <c r="H6245" s="195"/>
      <c r="I6245" s="195"/>
      <c r="J6245" s="191" t="s">
        <v>46</v>
      </c>
      <c r="K6245" s="196"/>
      <c r="L6245" s="196">
        <v>58</v>
      </c>
      <c r="M6245" s="251"/>
      <c r="N6245" s="251"/>
      <c r="O6245" s="251"/>
    </row>
    <row r="6246" spans="1:15" ht="11.25" customHeight="1" x14ac:dyDescent="0.2">
      <c r="A6246" s="197">
        <v>2024</v>
      </c>
      <c r="B6246" s="197">
        <v>11</v>
      </c>
      <c r="C6246" s="197">
        <v>24</v>
      </c>
      <c r="D6246" s="198">
        <f t="shared" si="642"/>
        <v>45620</v>
      </c>
      <c r="E6246" s="290">
        <f t="shared" si="651"/>
        <v>45620</v>
      </c>
      <c r="F6246" s="513" t="s">
        <v>1514</v>
      </c>
      <c r="G6246" s="200" t="s">
        <v>1209</v>
      </c>
      <c r="H6246" s="201"/>
      <c r="I6246" s="201"/>
      <c r="J6246" s="197" t="s">
        <v>54</v>
      </c>
      <c r="K6246" s="202">
        <v>25</v>
      </c>
      <c r="L6246" s="202"/>
      <c r="M6246" s="251"/>
      <c r="N6246" s="251"/>
      <c r="O6246" s="251"/>
    </row>
    <row r="6247" spans="1:15" ht="11.25" customHeight="1" x14ac:dyDescent="0.2">
      <c r="A6247" s="191">
        <v>2024</v>
      </c>
      <c r="B6247" s="191">
        <v>11</v>
      </c>
      <c r="C6247" s="191">
        <v>24</v>
      </c>
      <c r="D6247" s="192">
        <f t="shared" si="642"/>
        <v>45620</v>
      </c>
      <c r="E6247" s="291">
        <f t="shared" si="651"/>
        <v>45620</v>
      </c>
      <c r="F6247" s="514"/>
      <c r="G6247" s="194" t="s">
        <v>1209</v>
      </c>
      <c r="H6247" s="195"/>
      <c r="I6247" s="195"/>
      <c r="J6247" s="191" t="s">
        <v>46</v>
      </c>
      <c r="K6247" s="196"/>
      <c r="L6247" s="196">
        <v>25</v>
      </c>
      <c r="M6247" s="251"/>
      <c r="N6247" s="251"/>
      <c r="O6247" s="251"/>
    </row>
    <row r="6248" spans="1:15" ht="11.25" customHeight="1" x14ac:dyDescent="0.2">
      <c r="A6248" s="197">
        <v>2024</v>
      </c>
      <c r="B6248" s="197">
        <v>11</v>
      </c>
      <c r="C6248" s="197">
        <v>26</v>
      </c>
      <c r="D6248" s="198">
        <f t="shared" si="642"/>
        <v>45622</v>
      </c>
      <c r="E6248" s="209">
        <f t="shared" si="649"/>
        <v>45622</v>
      </c>
      <c r="F6248" s="513" t="s">
        <v>1296</v>
      </c>
      <c r="G6248" s="200" t="s">
        <v>1209</v>
      </c>
      <c r="H6248" s="201"/>
      <c r="I6248" s="201"/>
      <c r="J6248" s="197" t="s">
        <v>46</v>
      </c>
      <c r="K6248" s="202">
        <v>283540</v>
      </c>
      <c r="L6248" s="202"/>
    </row>
    <row r="6249" spans="1:15" ht="11.25" customHeight="1" x14ac:dyDescent="0.2">
      <c r="A6249" s="120">
        <v>2024</v>
      </c>
      <c r="B6249" s="120">
        <v>11</v>
      </c>
      <c r="C6249" s="120">
        <v>26</v>
      </c>
      <c r="D6249" s="208">
        <f t="shared" si="642"/>
        <v>45622</v>
      </c>
      <c r="E6249" s="209">
        <f t="shared" si="649"/>
        <v>45622</v>
      </c>
      <c r="F6249" s="515"/>
      <c r="G6249" s="132" t="s">
        <v>1209</v>
      </c>
      <c r="J6249" s="120" t="s">
        <v>16</v>
      </c>
      <c r="K6249" s="207"/>
      <c r="L6249" s="207">
        <v>242790</v>
      </c>
    </row>
    <row r="6250" spans="1:15" ht="11.25" customHeight="1" x14ac:dyDescent="0.2">
      <c r="A6250" s="191">
        <v>2024</v>
      </c>
      <c r="B6250" s="191">
        <v>11</v>
      </c>
      <c r="C6250" s="191">
        <v>26</v>
      </c>
      <c r="D6250" s="192">
        <f t="shared" si="642"/>
        <v>45622</v>
      </c>
      <c r="E6250" s="193">
        <f t="shared" si="649"/>
        <v>45622</v>
      </c>
      <c r="F6250" s="514"/>
      <c r="G6250" s="194" t="s">
        <v>1209</v>
      </c>
      <c r="H6250" s="195"/>
      <c r="I6250" s="195"/>
      <c r="J6250" s="191" t="s">
        <v>47</v>
      </c>
      <c r="K6250" s="196"/>
      <c r="L6250" s="196">
        <v>40750</v>
      </c>
    </row>
    <row r="6251" spans="1:15" ht="11.25" customHeight="1" x14ac:dyDescent="0.2">
      <c r="A6251" s="197">
        <v>2024</v>
      </c>
      <c r="B6251" s="197">
        <v>11</v>
      </c>
      <c r="C6251" s="197">
        <v>27</v>
      </c>
      <c r="D6251" s="198">
        <f t="shared" si="642"/>
        <v>45623</v>
      </c>
      <c r="E6251" s="209">
        <f>DATE(A6251,B6251,C6251)</f>
        <v>45623</v>
      </c>
      <c r="F6251" s="513" t="s">
        <v>1210</v>
      </c>
      <c r="G6251" s="200" t="s">
        <v>1209</v>
      </c>
      <c r="H6251" s="201"/>
      <c r="I6251" s="201" t="s">
        <v>355</v>
      </c>
      <c r="J6251" s="197" t="s">
        <v>46</v>
      </c>
      <c r="K6251" s="202">
        <v>100000</v>
      </c>
      <c r="L6251" s="202"/>
    </row>
    <row r="6252" spans="1:15" ht="11.25" customHeight="1" x14ac:dyDescent="0.2">
      <c r="A6252" s="120">
        <v>2024</v>
      </c>
      <c r="B6252" s="120">
        <v>11</v>
      </c>
      <c r="C6252" s="120">
        <v>27</v>
      </c>
      <c r="D6252" s="208">
        <f t="shared" ref="D6252:D6315" si="652">DATE(A6252,B6252,C6252)</f>
        <v>45623</v>
      </c>
      <c r="E6252" s="209">
        <f>DATE(A6252,B6252,C6252)</f>
        <v>45623</v>
      </c>
      <c r="F6252" s="515"/>
      <c r="G6252" s="132" t="s">
        <v>1209</v>
      </c>
      <c r="I6252" s="128" t="s">
        <v>355</v>
      </c>
      <c r="J6252" s="120" t="s">
        <v>16</v>
      </c>
      <c r="K6252" s="207"/>
      <c r="L6252" s="207">
        <v>85630</v>
      </c>
    </row>
    <row r="6253" spans="1:15" ht="11.25" customHeight="1" x14ac:dyDescent="0.2">
      <c r="A6253" s="191">
        <v>2024</v>
      </c>
      <c r="B6253" s="191">
        <v>11</v>
      </c>
      <c r="C6253" s="191">
        <v>27</v>
      </c>
      <c r="D6253" s="192">
        <f t="shared" si="652"/>
        <v>45623</v>
      </c>
      <c r="E6253" s="193">
        <f>DATE(A6253,B6253,C6253)</f>
        <v>45623</v>
      </c>
      <c r="F6253" s="514"/>
      <c r="G6253" s="194" t="s">
        <v>1209</v>
      </c>
      <c r="H6253" s="195"/>
      <c r="I6253" s="195" t="s">
        <v>355</v>
      </c>
      <c r="J6253" s="191" t="s">
        <v>47</v>
      </c>
      <c r="K6253" s="196"/>
      <c r="L6253" s="196">
        <v>14370</v>
      </c>
    </row>
    <row r="6254" spans="1:15" ht="11.25" customHeight="1" x14ac:dyDescent="0.2">
      <c r="A6254" s="197">
        <v>2024</v>
      </c>
      <c r="B6254" s="197">
        <v>11</v>
      </c>
      <c r="C6254" s="197">
        <v>27</v>
      </c>
      <c r="D6254" s="198">
        <f t="shared" si="652"/>
        <v>45623</v>
      </c>
      <c r="E6254" s="199">
        <f t="shared" ref="E6254:E6255" si="653">DATE(A6254,B6254,C6254)</f>
        <v>45623</v>
      </c>
      <c r="F6254" s="513" t="s">
        <v>1931</v>
      </c>
      <c r="G6254" s="200" t="s">
        <v>1209</v>
      </c>
      <c r="H6254" s="201"/>
      <c r="I6254" s="201" t="s">
        <v>1253</v>
      </c>
      <c r="J6254" s="197" t="s">
        <v>1837</v>
      </c>
      <c r="K6254" s="202">
        <v>12812315.84</v>
      </c>
      <c r="L6254" s="202"/>
    </row>
    <row r="6255" spans="1:15" ht="11.25" customHeight="1" x14ac:dyDescent="0.2">
      <c r="A6255" s="191">
        <v>2024</v>
      </c>
      <c r="B6255" s="191">
        <v>11</v>
      </c>
      <c r="C6255" s="191">
        <v>27</v>
      </c>
      <c r="D6255" s="192">
        <f t="shared" si="652"/>
        <v>45623</v>
      </c>
      <c r="E6255" s="193">
        <f t="shared" si="653"/>
        <v>45623</v>
      </c>
      <c r="F6255" s="514"/>
      <c r="G6255" s="194" t="s">
        <v>1209</v>
      </c>
      <c r="H6255" s="195"/>
      <c r="I6255" s="195" t="s">
        <v>1253</v>
      </c>
      <c r="J6255" s="191" t="s">
        <v>46</v>
      </c>
      <c r="K6255" s="196"/>
      <c r="L6255" s="196">
        <v>12812315.84</v>
      </c>
      <c r="N6255" s="130"/>
    </row>
    <row r="6256" spans="1:15" ht="11.25" customHeight="1" x14ac:dyDescent="0.2">
      <c r="A6256" s="197">
        <v>2024</v>
      </c>
      <c r="B6256" s="197">
        <v>11</v>
      </c>
      <c r="C6256" s="197">
        <v>27</v>
      </c>
      <c r="D6256" s="198">
        <f t="shared" si="652"/>
        <v>45623</v>
      </c>
      <c r="E6256" s="199">
        <f t="shared" ref="E6256:E6257" si="654">DATE(A6256,B6256,C6256)</f>
        <v>45623</v>
      </c>
      <c r="F6256" s="513" t="s">
        <v>1897</v>
      </c>
      <c r="G6256" s="200" t="s">
        <v>1209</v>
      </c>
      <c r="H6256" s="201"/>
      <c r="I6256" s="201" t="s">
        <v>1253</v>
      </c>
      <c r="J6256" s="197" t="s">
        <v>1837</v>
      </c>
      <c r="K6256" s="202">
        <v>2602565.0499999998</v>
      </c>
      <c r="L6256" s="202"/>
    </row>
    <row r="6257" spans="1:14" ht="11.25" customHeight="1" x14ac:dyDescent="0.2">
      <c r="A6257" s="191">
        <v>2024</v>
      </c>
      <c r="B6257" s="191">
        <v>11</v>
      </c>
      <c r="C6257" s="191">
        <v>27</v>
      </c>
      <c r="D6257" s="192">
        <f t="shared" si="652"/>
        <v>45623</v>
      </c>
      <c r="E6257" s="193">
        <f t="shared" si="654"/>
        <v>45623</v>
      </c>
      <c r="F6257" s="514"/>
      <c r="G6257" s="194" t="s">
        <v>1209</v>
      </c>
      <c r="H6257" s="195"/>
      <c r="I6257" s="195" t="s">
        <v>1253</v>
      </c>
      <c r="J6257" s="191" t="s">
        <v>46</v>
      </c>
      <c r="K6257" s="196"/>
      <c r="L6257" s="196">
        <v>2602565.0499999998</v>
      </c>
      <c r="N6257" s="130"/>
    </row>
    <row r="6258" spans="1:14" ht="11.25" customHeight="1" x14ac:dyDescent="0.2">
      <c r="A6258" s="197">
        <v>2024</v>
      </c>
      <c r="B6258" s="197">
        <v>11</v>
      </c>
      <c r="C6258" s="197">
        <v>28</v>
      </c>
      <c r="D6258" s="198">
        <f t="shared" si="652"/>
        <v>45624</v>
      </c>
      <c r="E6258" s="209">
        <f>DATE(A6258,B6258,C6258)</f>
        <v>45624</v>
      </c>
      <c r="F6258" s="513" t="s">
        <v>1210</v>
      </c>
      <c r="G6258" s="200" t="s">
        <v>1209</v>
      </c>
      <c r="H6258" s="201"/>
      <c r="I6258" s="201" t="s">
        <v>1749</v>
      </c>
      <c r="J6258" s="197" t="s">
        <v>46</v>
      </c>
      <c r="K6258" s="202">
        <v>1977361</v>
      </c>
      <c r="L6258" s="202"/>
    </row>
    <row r="6259" spans="1:14" ht="11.25" customHeight="1" x14ac:dyDescent="0.2">
      <c r="A6259" s="120">
        <v>2024</v>
      </c>
      <c r="B6259" s="120">
        <v>11</v>
      </c>
      <c r="C6259" s="120">
        <v>28</v>
      </c>
      <c r="D6259" s="208">
        <f t="shared" si="652"/>
        <v>45624</v>
      </c>
      <c r="E6259" s="209">
        <f>DATE(A6259,B6259,C6259)</f>
        <v>45624</v>
      </c>
      <c r="F6259" s="515"/>
      <c r="G6259" s="132" t="s">
        <v>1209</v>
      </c>
      <c r="I6259" s="128" t="s">
        <v>1749</v>
      </c>
      <c r="J6259" s="120" t="s">
        <v>16</v>
      </c>
      <c r="K6259" s="207"/>
      <c r="L6259" s="207">
        <v>1693240</v>
      </c>
    </row>
    <row r="6260" spans="1:14" ht="11.25" customHeight="1" x14ac:dyDescent="0.2">
      <c r="A6260" s="191">
        <v>2024</v>
      </c>
      <c r="B6260" s="191">
        <v>11</v>
      </c>
      <c r="C6260" s="191">
        <v>28</v>
      </c>
      <c r="D6260" s="192">
        <f t="shared" si="652"/>
        <v>45624</v>
      </c>
      <c r="E6260" s="193">
        <f>DATE(A6260,B6260,C6260)</f>
        <v>45624</v>
      </c>
      <c r="F6260" s="514"/>
      <c r="G6260" s="194" t="s">
        <v>1209</v>
      </c>
      <c r="H6260" s="195"/>
      <c r="I6260" s="195" t="s">
        <v>1749</v>
      </c>
      <c r="J6260" s="191" t="s">
        <v>47</v>
      </c>
      <c r="K6260" s="196"/>
      <c r="L6260" s="196">
        <v>284121</v>
      </c>
    </row>
    <row r="6261" spans="1:14" ht="11.25" customHeight="1" x14ac:dyDescent="0.2">
      <c r="A6261" s="197">
        <v>2024</v>
      </c>
      <c r="B6261" s="197">
        <v>11</v>
      </c>
      <c r="C6261" s="197">
        <v>28</v>
      </c>
      <c r="D6261" s="198">
        <f t="shared" si="652"/>
        <v>45624</v>
      </c>
      <c r="E6261" s="199">
        <f t="shared" ref="E6261:E6262" si="655">DATE(A6261,B6261,C6261)</f>
        <v>45624</v>
      </c>
      <c r="F6261" s="513" t="s">
        <v>1923</v>
      </c>
      <c r="G6261" s="200" t="s">
        <v>1209</v>
      </c>
      <c r="H6261" s="201"/>
      <c r="I6261" s="201" t="s">
        <v>1253</v>
      </c>
      <c r="J6261" s="197" t="s">
        <v>1837</v>
      </c>
      <c r="K6261" s="202">
        <v>5057658</v>
      </c>
      <c r="L6261" s="202"/>
    </row>
    <row r="6262" spans="1:14" ht="11.25" customHeight="1" x14ac:dyDescent="0.2">
      <c r="A6262" s="191">
        <v>2024</v>
      </c>
      <c r="B6262" s="191">
        <v>11</v>
      </c>
      <c r="C6262" s="191">
        <v>28</v>
      </c>
      <c r="D6262" s="192">
        <f t="shared" si="652"/>
        <v>45624</v>
      </c>
      <c r="E6262" s="193">
        <f t="shared" si="655"/>
        <v>45624</v>
      </c>
      <c r="F6262" s="514"/>
      <c r="G6262" s="194" t="s">
        <v>1209</v>
      </c>
      <c r="H6262" s="195"/>
      <c r="I6262" s="195" t="s">
        <v>1253</v>
      </c>
      <c r="J6262" s="191" t="s">
        <v>46</v>
      </c>
      <c r="K6262" s="196"/>
      <c r="L6262" s="196">
        <v>5057658</v>
      </c>
      <c r="N6262" s="130"/>
    </row>
    <row r="6263" spans="1:14" ht="11.25" customHeight="1" x14ac:dyDescent="0.2">
      <c r="A6263" s="197">
        <v>2024</v>
      </c>
      <c r="B6263" s="197">
        <v>11</v>
      </c>
      <c r="C6263" s="197">
        <v>28</v>
      </c>
      <c r="D6263" s="198">
        <f t="shared" si="652"/>
        <v>45624</v>
      </c>
      <c r="E6263" s="199">
        <f t="shared" ref="E6263:E6282" si="656">DATE(A6263,B6263,C6263)</f>
        <v>45624</v>
      </c>
      <c r="F6263" s="513" t="s">
        <v>1923</v>
      </c>
      <c r="G6263" s="200" t="s">
        <v>1209</v>
      </c>
      <c r="H6263" s="201"/>
      <c r="I6263" s="201" t="s">
        <v>1253</v>
      </c>
      <c r="J6263" s="197" t="s">
        <v>1837</v>
      </c>
      <c r="K6263" s="202">
        <v>7586487</v>
      </c>
      <c r="L6263" s="202"/>
    </row>
    <row r="6264" spans="1:14" ht="11.25" customHeight="1" x14ac:dyDescent="0.2">
      <c r="A6264" s="191">
        <v>2024</v>
      </c>
      <c r="B6264" s="191">
        <v>11</v>
      </c>
      <c r="C6264" s="191">
        <v>28</v>
      </c>
      <c r="D6264" s="192">
        <f t="shared" si="652"/>
        <v>45624</v>
      </c>
      <c r="E6264" s="193">
        <f t="shared" si="656"/>
        <v>45624</v>
      </c>
      <c r="F6264" s="514"/>
      <c r="G6264" s="194" t="s">
        <v>1209</v>
      </c>
      <c r="H6264" s="195"/>
      <c r="I6264" s="195" t="s">
        <v>1253</v>
      </c>
      <c r="J6264" s="191" t="s">
        <v>46</v>
      </c>
      <c r="K6264" s="196"/>
      <c r="L6264" s="196">
        <v>7586487</v>
      </c>
      <c r="N6264" s="130"/>
    </row>
    <row r="6265" spans="1:14" ht="11.25" customHeight="1" x14ac:dyDescent="0.2">
      <c r="A6265" s="197">
        <v>2024</v>
      </c>
      <c r="B6265" s="197">
        <v>11</v>
      </c>
      <c r="C6265" s="197">
        <v>28</v>
      </c>
      <c r="D6265" s="198">
        <f t="shared" si="652"/>
        <v>45624</v>
      </c>
      <c r="E6265" s="209">
        <f>DATE(A6265,B6265,C6265)</f>
        <v>45624</v>
      </c>
      <c r="F6265" s="513" t="s">
        <v>1210</v>
      </c>
      <c r="G6265" s="200" t="s">
        <v>1209</v>
      </c>
      <c r="H6265" s="201"/>
      <c r="I6265" s="201" t="s">
        <v>1333</v>
      </c>
      <c r="J6265" s="197" t="s">
        <v>46</v>
      </c>
      <c r="K6265" s="202">
        <v>100000</v>
      </c>
      <c r="L6265" s="202"/>
    </row>
    <row r="6266" spans="1:14" ht="11.25" customHeight="1" x14ac:dyDescent="0.2">
      <c r="A6266" s="120">
        <v>2024</v>
      </c>
      <c r="B6266" s="120">
        <v>11</v>
      </c>
      <c r="C6266" s="120">
        <v>28</v>
      </c>
      <c r="D6266" s="208">
        <f t="shared" si="652"/>
        <v>45624</v>
      </c>
      <c r="E6266" s="209">
        <f>DATE(A6266,B6266,C6266)</f>
        <v>45624</v>
      </c>
      <c r="F6266" s="515"/>
      <c r="G6266" s="132" t="s">
        <v>1209</v>
      </c>
      <c r="I6266" s="128" t="s">
        <v>1333</v>
      </c>
      <c r="J6266" s="120" t="s">
        <v>16</v>
      </c>
      <c r="K6266" s="207"/>
      <c r="L6266" s="207">
        <v>85630</v>
      </c>
    </row>
    <row r="6267" spans="1:14" ht="11.25" customHeight="1" x14ac:dyDescent="0.2">
      <c r="A6267" s="191">
        <v>2024</v>
      </c>
      <c r="B6267" s="191">
        <v>11</v>
      </c>
      <c r="C6267" s="191">
        <v>28</v>
      </c>
      <c r="D6267" s="192">
        <f t="shared" si="652"/>
        <v>45624</v>
      </c>
      <c r="E6267" s="193">
        <f>DATE(A6267,B6267,C6267)</f>
        <v>45624</v>
      </c>
      <c r="F6267" s="514"/>
      <c r="G6267" s="194" t="s">
        <v>1209</v>
      </c>
      <c r="H6267" s="195"/>
      <c r="I6267" s="195" t="s">
        <v>1333</v>
      </c>
      <c r="J6267" s="191" t="s">
        <v>47</v>
      </c>
      <c r="K6267" s="196"/>
      <c r="L6267" s="196">
        <v>14370</v>
      </c>
    </row>
    <row r="6268" spans="1:14" ht="11.25" customHeight="1" x14ac:dyDescent="0.2">
      <c r="A6268" s="197">
        <v>2024</v>
      </c>
      <c r="B6268" s="197">
        <v>11</v>
      </c>
      <c r="C6268" s="197">
        <v>28</v>
      </c>
      <c r="D6268" s="198">
        <f t="shared" si="652"/>
        <v>45624</v>
      </c>
      <c r="E6268" s="209">
        <f t="shared" ref="E6268:E6270" si="657">DATE(A6268,B6268,C6268)</f>
        <v>45624</v>
      </c>
      <c r="F6268" s="513" t="s">
        <v>1423</v>
      </c>
      <c r="G6268" s="200" t="s">
        <v>1209</v>
      </c>
      <c r="H6268" s="201"/>
      <c r="I6268" s="201" t="s">
        <v>1711</v>
      </c>
      <c r="J6268" s="197" t="s">
        <v>16</v>
      </c>
      <c r="K6268" s="202">
        <v>69670</v>
      </c>
      <c r="L6268" s="202"/>
    </row>
    <row r="6269" spans="1:14" ht="11.25" customHeight="1" x14ac:dyDescent="0.2">
      <c r="A6269" s="120">
        <v>2024</v>
      </c>
      <c r="B6269" s="120">
        <v>11</v>
      </c>
      <c r="C6269" s="120">
        <v>28</v>
      </c>
      <c r="D6269" s="208">
        <f t="shared" si="652"/>
        <v>45624</v>
      </c>
      <c r="E6269" s="209">
        <f t="shared" si="657"/>
        <v>45624</v>
      </c>
      <c r="F6269" s="515"/>
      <c r="G6269" s="132" t="s">
        <v>1209</v>
      </c>
      <c r="I6269" s="128" t="s">
        <v>1711</v>
      </c>
      <c r="J6269" s="120" t="s">
        <v>47</v>
      </c>
      <c r="K6269" s="207">
        <v>11690.630000000005</v>
      </c>
      <c r="L6269" s="207"/>
    </row>
    <row r="6270" spans="1:14" ht="11.25" customHeight="1" x14ac:dyDescent="0.2">
      <c r="A6270" s="191">
        <v>2024</v>
      </c>
      <c r="B6270" s="191">
        <v>11</v>
      </c>
      <c r="C6270" s="191">
        <v>28</v>
      </c>
      <c r="D6270" s="192">
        <f t="shared" si="652"/>
        <v>45624</v>
      </c>
      <c r="E6270" s="193">
        <f t="shared" si="657"/>
        <v>45624</v>
      </c>
      <c r="F6270" s="514"/>
      <c r="G6270" s="194" t="s">
        <v>1209</v>
      </c>
      <c r="H6270" s="195"/>
      <c r="I6270" s="195" t="s">
        <v>1711</v>
      </c>
      <c r="J6270" s="191" t="s">
        <v>46</v>
      </c>
      <c r="K6270" s="196"/>
      <c r="L6270" s="196">
        <v>81360.63</v>
      </c>
    </row>
    <row r="6271" spans="1:14" ht="11.25" customHeight="1" x14ac:dyDescent="0.2">
      <c r="A6271" s="197">
        <v>2024</v>
      </c>
      <c r="B6271" s="197">
        <v>11</v>
      </c>
      <c r="C6271" s="197">
        <v>28</v>
      </c>
      <c r="D6271" s="198">
        <f t="shared" si="652"/>
        <v>45624</v>
      </c>
      <c r="E6271" s="209">
        <f t="shared" ref="E6271:E6273" si="658">DATE(A6271,B6271,C6271)</f>
        <v>45624</v>
      </c>
      <c r="F6271" s="513" t="s">
        <v>1423</v>
      </c>
      <c r="G6271" s="200" t="s">
        <v>1209</v>
      </c>
      <c r="H6271" s="201"/>
      <c r="I6271" s="201" t="s">
        <v>1596</v>
      </c>
      <c r="J6271" s="197" t="s">
        <v>16</v>
      </c>
      <c r="K6271" s="202">
        <v>860</v>
      </c>
      <c r="L6271" s="202"/>
    </row>
    <row r="6272" spans="1:14" ht="11.25" customHeight="1" x14ac:dyDescent="0.2">
      <c r="A6272" s="120">
        <v>2024</v>
      </c>
      <c r="B6272" s="120">
        <v>11</v>
      </c>
      <c r="C6272" s="120">
        <v>28</v>
      </c>
      <c r="D6272" s="208">
        <f t="shared" si="652"/>
        <v>45624</v>
      </c>
      <c r="E6272" s="209">
        <f t="shared" si="658"/>
        <v>45624</v>
      </c>
      <c r="F6272" s="515"/>
      <c r="G6272" s="132" t="s">
        <v>1209</v>
      </c>
      <c r="I6272" s="128" t="s">
        <v>1596</v>
      </c>
      <c r="J6272" s="120" t="s">
        <v>47</v>
      </c>
      <c r="K6272" s="207">
        <v>140</v>
      </c>
      <c r="L6272" s="207"/>
    </row>
    <row r="6273" spans="1:13" ht="11.25" customHeight="1" x14ac:dyDescent="0.2">
      <c r="A6273" s="191">
        <v>2024</v>
      </c>
      <c r="B6273" s="191">
        <v>11</v>
      </c>
      <c r="C6273" s="191">
        <v>28</v>
      </c>
      <c r="D6273" s="192">
        <f t="shared" si="652"/>
        <v>45624</v>
      </c>
      <c r="E6273" s="193">
        <f t="shared" si="658"/>
        <v>45624</v>
      </c>
      <c r="F6273" s="514"/>
      <c r="G6273" s="194" t="s">
        <v>1209</v>
      </c>
      <c r="H6273" s="195"/>
      <c r="I6273" s="195" t="s">
        <v>1596</v>
      </c>
      <c r="J6273" s="191" t="s">
        <v>46</v>
      </c>
      <c r="K6273" s="196"/>
      <c r="L6273" s="196">
        <v>1000</v>
      </c>
    </row>
    <row r="6274" spans="1:13" ht="11.25" customHeight="1" x14ac:dyDescent="0.2">
      <c r="A6274" s="424">
        <v>2024</v>
      </c>
      <c r="B6274" s="424">
        <v>11</v>
      </c>
      <c r="C6274" s="424">
        <v>28</v>
      </c>
      <c r="D6274" s="425">
        <f t="shared" si="652"/>
        <v>45624</v>
      </c>
      <c r="E6274" s="384">
        <f t="shared" si="656"/>
        <v>45624</v>
      </c>
      <c r="F6274" s="516" t="s">
        <v>1850</v>
      </c>
      <c r="G6274" s="426" t="s">
        <v>1209</v>
      </c>
      <c r="H6274" s="427"/>
      <c r="I6274" s="427"/>
      <c r="J6274" s="428" t="s">
        <v>81</v>
      </c>
      <c r="K6274" s="429">
        <v>6973.2450980392159</v>
      </c>
      <c r="L6274" s="429"/>
    </row>
    <row r="6275" spans="1:13" ht="11.25" customHeight="1" x14ac:dyDescent="0.2">
      <c r="A6275" s="389">
        <v>2024</v>
      </c>
      <c r="B6275" s="389">
        <v>11</v>
      </c>
      <c r="C6275" s="389">
        <v>28</v>
      </c>
      <c r="D6275" s="390">
        <f t="shared" si="652"/>
        <v>45624</v>
      </c>
      <c r="E6275" s="391">
        <f t="shared" si="656"/>
        <v>45624</v>
      </c>
      <c r="F6275" s="517"/>
      <c r="G6275" s="392" t="s">
        <v>1209</v>
      </c>
      <c r="H6275" s="393"/>
      <c r="I6275" s="393"/>
      <c r="J6275" s="394" t="s">
        <v>1847</v>
      </c>
      <c r="K6275" s="423"/>
      <c r="L6275" s="423">
        <v>6973.2450980392159</v>
      </c>
    </row>
    <row r="6276" spans="1:13" ht="11.25" customHeight="1" x14ac:dyDescent="0.2">
      <c r="A6276" s="382">
        <v>2024</v>
      </c>
      <c r="B6276" s="382">
        <v>11</v>
      </c>
      <c r="C6276" s="382">
        <v>28</v>
      </c>
      <c r="D6276" s="383">
        <f t="shared" si="652"/>
        <v>45624</v>
      </c>
      <c r="E6276" s="384">
        <f t="shared" si="656"/>
        <v>45624</v>
      </c>
      <c r="F6276" s="516" t="s">
        <v>1892</v>
      </c>
      <c r="G6276" s="385" t="s">
        <v>1209</v>
      </c>
      <c r="H6276" s="386"/>
      <c r="I6276" s="386"/>
      <c r="J6276" s="387" t="s">
        <v>173</v>
      </c>
      <c r="K6276" s="388">
        <v>4336.8559338020832</v>
      </c>
      <c r="L6276" s="388"/>
    </row>
    <row r="6277" spans="1:13" ht="11.25" customHeight="1" x14ac:dyDescent="0.2">
      <c r="A6277" s="389">
        <v>2024</v>
      </c>
      <c r="B6277" s="389">
        <v>11</v>
      </c>
      <c r="C6277" s="389">
        <v>28</v>
      </c>
      <c r="D6277" s="390">
        <f t="shared" si="652"/>
        <v>45624</v>
      </c>
      <c r="E6277" s="391">
        <f t="shared" si="656"/>
        <v>45624</v>
      </c>
      <c r="F6277" s="517"/>
      <c r="G6277" s="392" t="s">
        <v>1209</v>
      </c>
      <c r="H6277" s="393"/>
      <c r="I6277" s="393"/>
      <c r="J6277" s="394" t="s">
        <v>43</v>
      </c>
      <c r="K6277" s="388"/>
      <c r="L6277" s="388">
        <f>K6276</f>
        <v>4336.8559338020832</v>
      </c>
    </row>
    <row r="6278" spans="1:13" ht="11.25" customHeight="1" x14ac:dyDescent="0.2">
      <c r="A6278" s="344">
        <v>2024</v>
      </c>
      <c r="B6278" s="344">
        <v>11</v>
      </c>
      <c r="C6278" s="344">
        <v>28</v>
      </c>
      <c r="D6278" s="345">
        <f t="shared" si="652"/>
        <v>45624</v>
      </c>
      <c r="E6278" s="346">
        <f t="shared" si="656"/>
        <v>45624</v>
      </c>
      <c r="F6278" s="518" t="s">
        <v>1621</v>
      </c>
      <c r="G6278" s="347" t="s">
        <v>1245</v>
      </c>
      <c r="H6278" s="348"/>
      <c r="I6278" s="348" t="s">
        <v>1253</v>
      </c>
      <c r="J6278" s="344" t="s">
        <v>113</v>
      </c>
      <c r="K6278" s="349">
        <v>96586.538461538468</v>
      </c>
      <c r="L6278" s="349"/>
    </row>
    <row r="6279" spans="1:13" ht="11.25" customHeight="1" x14ac:dyDescent="0.2">
      <c r="A6279" s="350">
        <v>2024</v>
      </c>
      <c r="B6279" s="350">
        <v>11</v>
      </c>
      <c r="C6279" s="350">
        <v>28</v>
      </c>
      <c r="D6279" s="351">
        <f t="shared" si="652"/>
        <v>45624</v>
      </c>
      <c r="E6279" s="352">
        <f t="shared" si="656"/>
        <v>45624</v>
      </c>
      <c r="F6279" s="519"/>
      <c r="G6279" s="353" t="s">
        <v>1245</v>
      </c>
      <c r="H6279" s="354"/>
      <c r="I6279" s="354" t="s">
        <v>1253</v>
      </c>
      <c r="J6279" s="350" t="s">
        <v>153</v>
      </c>
      <c r="K6279" s="355"/>
      <c r="L6279" s="355">
        <f>K6278</f>
        <v>96586.538461538468</v>
      </c>
    </row>
    <row r="6280" spans="1:13" ht="11.25" customHeight="1" x14ac:dyDescent="0.2">
      <c r="A6280" s="210">
        <v>2024</v>
      </c>
      <c r="B6280" s="210">
        <v>11</v>
      </c>
      <c r="C6280" s="210">
        <v>28</v>
      </c>
      <c r="D6280" s="211">
        <f t="shared" si="652"/>
        <v>45624</v>
      </c>
      <c r="E6280" s="238">
        <f t="shared" si="656"/>
        <v>45624</v>
      </c>
      <c r="F6280" s="520" t="s">
        <v>1278</v>
      </c>
      <c r="G6280" s="213" t="s">
        <v>1245</v>
      </c>
      <c r="H6280" s="214"/>
      <c r="I6280" s="214" t="s">
        <v>1253</v>
      </c>
      <c r="J6280" s="210" t="s">
        <v>1529</v>
      </c>
      <c r="K6280" s="215">
        <v>510.40384615384613</v>
      </c>
      <c r="L6280" s="215"/>
    </row>
    <row r="6281" spans="1:13" ht="11.25" customHeight="1" x14ac:dyDescent="0.2">
      <c r="A6281" s="216">
        <v>2024</v>
      </c>
      <c r="B6281" s="216">
        <v>11</v>
      </c>
      <c r="C6281" s="216">
        <v>28</v>
      </c>
      <c r="D6281" s="217">
        <f t="shared" si="652"/>
        <v>45624</v>
      </c>
      <c r="E6281" s="239">
        <f t="shared" si="656"/>
        <v>45624</v>
      </c>
      <c r="F6281" s="521"/>
      <c r="G6281" s="219" t="s">
        <v>1245</v>
      </c>
      <c r="H6281" s="220"/>
      <c r="I6281" s="220" t="s">
        <v>1253</v>
      </c>
      <c r="J6281" s="216" t="s">
        <v>1581</v>
      </c>
      <c r="K6281" s="221"/>
      <c r="L6281" s="221">
        <v>510.40384615384613</v>
      </c>
    </row>
    <row r="6282" spans="1:13" ht="11.25" customHeight="1" x14ac:dyDescent="0.2">
      <c r="A6282" s="210">
        <v>2024</v>
      </c>
      <c r="B6282" s="210">
        <v>11</v>
      </c>
      <c r="C6282" s="210">
        <v>28</v>
      </c>
      <c r="D6282" s="211">
        <f t="shared" si="652"/>
        <v>45624</v>
      </c>
      <c r="E6282" s="238">
        <f t="shared" si="656"/>
        <v>45624</v>
      </c>
      <c r="F6282" s="520" t="s">
        <v>1857</v>
      </c>
      <c r="G6282" s="213" t="s">
        <v>1245</v>
      </c>
      <c r="H6282" s="214"/>
      <c r="I6282" s="214" t="s">
        <v>1253</v>
      </c>
      <c r="J6282" s="210" t="s">
        <v>1284</v>
      </c>
      <c r="K6282" s="215">
        <v>8903.4309440559427</v>
      </c>
      <c r="L6282" s="215"/>
    </row>
    <row r="6283" spans="1:13" ht="11.25" customHeight="1" x14ac:dyDescent="0.2">
      <c r="A6283" s="242">
        <v>2024</v>
      </c>
      <c r="B6283" s="242">
        <v>11</v>
      </c>
      <c r="C6283" s="242">
        <v>28</v>
      </c>
      <c r="D6283" s="243">
        <f t="shared" si="652"/>
        <v>45624</v>
      </c>
      <c r="E6283" s="244">
        <f>DATE(A6283,B6283,C6283)</f>
        <v>45624</v>
      </c>
      <c r="F6283" s="524"/>
      <c r="G6283" s="245" t="s">
        <v>1245</v>
      </c>
      <c r="H6283" s="246"/>
      <c r="I6283" s="246"/>
      <c r="J6283" s="242" t="s">
        <v>1582</v>
      </c>
      <c r="K6283" s="247"/>
      <c r="L6283" s="247">
        <v>8903.4309440559427</v>
      </c>
    </row>
    <row r="6284" spans="1:13" ht="11.25" customHeight="1" x14ac:dyDescent="0.2">
      <c r="A6284" s="210">
        <v>2024</v>
      </c>
      <c r="B6284" s="210">
        <v>11</v>
      </c>
      <c r="C6284" s="210">
        <v>28</v>
      </c>
      <c r="D6284" s="211">
        <f t="shared" si="652"/>
        <v>45624</v>
      </c>
      <c r="E6284" s="238">
        <f t="shared" ref="E6284:E6309" si="659">DATE(A6284,B6284,C6284)</f>
        <v>45624</v>
      </c>
      <c r="F6284" s="520" t="s">
        <v>1259</v>
      </c>
      <c r="G6284" s="213" t="s">
        <v>1245</v>
      </c>
      <c r="H6284" s="214"/>
      <c r="I6284" s="214" t="s">
        <v>1253</v>
      </c>
      <c r="J6284" s="210" t="s">
        <v>58</v>
      </c>
      <c r="K6284" s="215">
        <v>31516.63</v>
      </c>
      <c r="L6284" s="215"/>
    </row>
    <row r="6285" spans="1:13" ht="11.25" customHeight="1" x14ac:dyDescent="0.2">
      <c r="A6285" s="216">
        <v>2024</v>
      </c>
      <c r="B6285" s="216">
        <v>11</v>
      </c>
      <c r="C6285" s="216">
        <v>28</v>
      </c>
      <c r="D6285" s="217">
        <f t="shared" si="652"/>
        <v>45624</v>
      </c>
      <c r="E6285" s="239">
        <f t="shared" si="659"/>
        <v>45624</v>
      </c>
      <c r="F6285" s="521"/>
      <c r="G6285" s="219" t="s">
        <v>1245</v>
      </c>
      <c r="H6285" s="220"/>
      <c r="I6285" s="220" t="s">
        <v>1253</v>
      </c>
      <c r="J6285" s="216" t="s">
        <v>153</v>
      </c>
      <c r="K6285" s="221"/>
      <c r="L6285" s="221">
        <f>K6284</f>
        <v>31516.63</v>
      </c>
    </row>
    <row r="6286" spans="1:13" ht="11.25" customHeight="1" x14ac:dyDescent="0.2">
      <c r="A6286" s="312">
        <v>2024</v>
      </c>
      <c r="B6286" s="312">
        <v>11</v>
      </c>
      <c r="C6286" s="312">
        <v>28</v>
      </c>
      <c r="D6286" s="313">
        <f t="shared" si="652"/>
        <v>45624</v>
      </c>
      <c r="E6286" s="314">
        <f t="shared" si="659"/>
        <v>45624</v>
      </c>
      <c r="F6286" s="522" t="s">
        <v>1477</v>
      </c>
      <c r="G6286" s="315" t="s">
        <v>1245</v>
      </c>
      <c r="H6286" s="316"/>
      <c r="I6286" s="316" t="s">
        <v>1253</v>
      </c>
      <c r="J6286" s="312" t="s">
        <v>1460</v>
      </c>
      <c r="K6286" s="317">
        <v>129716.29999999702</v>
      </c>
      <c r="L6286" s="317"/>
      <c r="M6286" s="120">
        <f>BS!$I$11</f>
        <v>5.9604644775390625E-8</v>
      </c>
    </row>
    <row r="6287" spans="1:13" ht="11.25" customHeight="1" x14ac:dyDescent="0.2">
      <c r="A6287" s="318">
        <v>2024</v>
      </c>
      <c r="B6287" s="318">
        <v>11</v>
      </c>
      <c r="C6287" s="318">
        <v>28</v>
      </c>
      <c r="D6287" s="319">
        <f t="shared" si="652"/>
        <v>45624</v>
      </c>
      <c r="E6287" s="320">
        <f t="shared" si="659"/>
        <v>45624</v>
      </c>
      <c r="F6287" s="523"/>
      <c r="G6287" s="321" t="s">
        <v>1245</v>
      </c>
      <c r="H6287" s="322"/>
      <c r="I6287" s="322" t="s">
        <v>1253</v>
      </c>
      <c r="J6287" s="318" t="s">
        <v>1458</v>
      </c>
      <c r="K6287" s="323"/>
      <c r="L6287" s="323">
        <f>K6286</f>
        <v>129716.29999999702</v>
      </c>
    </row>
    <row r="6288" spans="1:13" ht="11.25" customHeight="1" x14ac:dyDescent="0.2">
      <c r="A6288" s="312">
        <v>2024</v>
      </c>
      <c r="B6288" s="312">
        <v>11</v>
      </c>
      <c r="C6288" s="312">
        <v>28</v>
      </c>
      <c r="D6288" s="313">
        <f t="shared" si="652"/>
        <v>45624</v>
      </c>
      <c r="E6288" s="314">
        <f t="shared" si="659"/>
        <v>45624</v>
      </c>
      <c r="F6288" s="522" t="s">
        <v>1595</v>
      </c>
      <c r="G6288" s="315" t="s">
        <v>1245</v>
      </c>
      <c r="H6288" s="316"/>
      <c r="I6288" s="316" t="s">
        <v>1253</v>
      </c>
      <c r="J6288" s="312" t="s">
        <v>1461</v>
      </c>
      <c r="K6288" s="317">
        <v>790785.05699986219</v>
      </c>
      <c r="L6288" s="317"/>
      <c r="M6288" s="120">
        <f>BS!$I$14</f>
        <v>0</v>
      </c>
    </row>
    <row r="6289" spans="1:13" ht="11.25" customHeight="1" x14ac:dyDescent="0.2">
      <c r="A6289" s="318">
        <v>2024</v>
      </c>
      <c r="B6289" s="318">
        <v>11</v>
      </c>
      <c r="C6289" s="318">
        <v>28</v>
      </c>
      <c r="D6289" s="319">
        <f t="shared" si="652"/>
        <v>45624</v>
      </c>
      <c r="E6289" s="320">
        <f t="shared" si="659"/>
        <v>45624</v>
      </c>
      <c r="F6289" s="523"/>
      <c r="G6289" s="321" t="s">
        <v>1245</v>
      </c>
      <c r="H6289" s="322"/>
      <c r="I6289" s="322" t="s">
        <v>1253</v>
      </c>
      <c r="J6289" s="318" t="s">
        <v>1459</v>
      </c>
      <c r="K6289" s="323"/>
      <c r="L6289" s="323">
        <f>K6288</f>
        <v>790785.05699986219</v>
      </c>
    </row>
    <row r="6290" spans="1:13" ht="11.25" customHeight="1" x14ac:dyDescent="0.2">
      <c r="A6290" s="222">
        <v>2024</v>
      </c>
      <c r="B6290" s="222">
        <v>11</v>
      </c>
      <c r="C6290" s="222">
        <v>28</v>
      </c>
      <c r="D6290" s="223">
        <f t="shared" si="652"/>
        <v>45624</v>
      </c>
      <c r="E6290" s="240">
        <f t="shared" si="659"/>
        <v>45624</v>
      </c>
      <c r="F6290" s="511" t="s">
        <v>1244</v>
      </c>
      <c r="G6290" s="225" t="s">
        <v>1245</v>
      </c>
      <c r="H6290" s="226"/>
      <c r="I6290" s="226" t="s">
        <v>1253</v>
      </c>
      <c r="J6290" s="222" t="s">
        <v>72</v>
      </c>
      <c r="K6290" s="227">
        <v>2615</v>
      </c>
      <c r="L6290" s="227"/>
      <c r="M6290" s="120">
        <f>BS!$I$7</f>
        <v>0</v>
      </c>
    </row>
    <row r="6291" spans="1:13" ht="11.25" customHeight="1" x14ac:dyDescent="0.2">
      <c r="A6291" s="228">
        <v>2024</v>
      </c>
      <c r="B6291" s="228">
        <v>11</v>
      </c>
      <c r="C6291" s="228">
        <v>28</v>
      </c>
      <c r="D6291" s="229">
        <f t="shared" si="652"/>
        <v>45624</v>
      </c>
      <c r="E6291" s="241">
        <f t="shared" si="659"/>
        <v>45624</v>
      </c>
      <c r="F6291" s="512"/>
      <c r="G6291" s="231" t="s">
        <v>1245</v>
      </c>
      <c r="H6291" s="232"/>
      <c r="I6291" s="232" t="s">
        <v>1253</v>
      </c>
      <c r="J6291" s="228" t="s">
        <v>87</v>
      </c>
      <c r="K6291" s="233"/>
      <c r="L6291" s="233">
        <f>K6290</f>
        <v>2615</v>
      </c>
    </row>
    <row r="6292" spans="1:13" ht="11.25" customHeight="1" x14ac:dyDescent="0.2">
      <c r="A6292" s="222">
        <v>2024</v>
      </c>
      <c r="B6292" s="222">
        <v>11</v>
      </c>
      <c r="C6292" s="222">
        <v>28</v>
      </c>
      <c r="D6292" s="223">
        <f t="shared" si="652"/>
        <v>45624</v>
      </c>
      <c r="E6292" s="240">
        <f t="shared" si="659"/>
        <v>45624</v>
      </c>
      <c r="F6292" s="511" t="s">
        <v>1246</v>
      </c>
      <c r="G6292" s="225" t="s">
        <v>1245</v>
      </c>
      <c r="H6292" s="226"/>
      <c r="I6292" s="226" t="s">
        <v>1253</v>
      </c>
      <c r="J6292" s="222" t="s">
        <v>75</v>
      </c>
      <c r="K6292" s="227">
        <v>3623.123846153846</v>
      </c>
      <c r="L6292" s="227"/>
    </row>
    <row r="6293" spans="1:13" ht="11.25" customHeight="1" x14ac:dyDescent="0.2">
      <c r="A6293" s="228">
        <v>2024</v>
      </c>
      <c r="B6293" s="228">
        <v>11</v>
      </c>
      <c r="C6293" s="228">
        <v>28</v>
      </c>
      <c r="D6293" s="229">
        <f t="shared" si="652"/>
        <v>45624</v>
      </c>
      <c r="E6293" s="241">
        <f t="shared" si="659"/>
        <v>45624</v>
      </c>
      <c r="F6293" s="512"/>
      <c r="G6293" s="231" t="s">
        <v>1245</v>
      </c>
      <c r="H6293" s="232"/>
      <c r="I6293" s="232" t="s">
        <v>1253</v>
      </c>
      <c r="J6293" s="228" t="s">
        <v>55</v>
      </c>
      <c r="K6293" s="233"/>
      <c r="L6293" s="233">
        <v>3623.123846153846</v>
      </c>
    </row>
    <row r="6294" spans="1:13" ht="11.25" customHeight="1" x14ac:dyDescent="0.2">
      <c r="A6294" s="222">
        <v>2024</v>
      </c>
      <c r="B6294" s="222">
        <v>11</v>
      </c>
      <c r="C6294" s="222">
        <v>28</v>
      </c>
      <c r="D6294" s="223">
        <f t="shared" si="652"/>
        <v>45624</v>
      </c>
      <c r="E6294" s="240">
        <f t="shared" si="659"/>
        <v>45624</v>
      </c>
      <c r="F6294" s="511" t="s">
        <v>1247</v>
      </c>
      <c r="G6294" s="225" t="s">
        <v>1245</v>
      </c>
      <c r="H6294" s="226"/>
      <c r="I6294" s="226" t="s">
        <v>1253</v>
      </c>
      <c r="J6294" s="222" t="s">
        <v>77</v>
      </c>
      <c r="K6294" s="227">
        <f>M6294</f>
        <v>41267.202458909167</v>
      </c>
      <c r="L6294" s="227"/>
      <c r="M6294" s="120">
        <v>41267.202458909167</v>
      </c>
    </row>
    <row r="6295" spans="1:13" ht="11.25" customHeight="1" x14ac:dyDescent="0.2">
      <c r="A6295" s="228">
        <v>2024</v>
      </c>
      <c r="B6295" s="228">
        <v>11</v>
      </c>
      <c r="C6295" s="228">
        <v>28</v>
      </c>
      <c r="D6295" s="229">
        <f t="shared" si="652"/>
        <v>45624</v>
      </c>
      <c r="E6295" s="241">
        <f t="shared" si="659"/>
        <v>45624</v>
      </c>
      <c r="F6295" s="512"/>
      <c r="G6295" s="231" t="s">
        <v>1245</v>
      </c>
      <c r="H6295" s="232"/>
      <c r="I6295" s="232" t="s">
        <v>1253</v>
      </c>
      <c r="J6295" s="228" t="s">
        <v>41</v>
      </c>
      <c r="K6295" s="233"/>
      <c r="L6295" s="233">
        <f>K6294</f>
        <v>41267.202458909167</v>
      </c>
      <c r="M6295" s="120">
        <v>4126.7202458909169</v>
      </c>
    </row>
    <row r="6296" spans="1:13" ht="11.25" customHeight="1" x14ac:dyDescent="0.2">
      <c r="A6296" s="222">
        <v>2024</v>
      </c>
      <c r="B6296" s="222">
        <v>11</v>
      </c>
      <c r="C6296" s="222">
        <v>28</v>
      </c>
      <c r="D6296" s="223">
        <f t="shared" si="652"/>
        <v>45624</v>
      </c>
      <c r="E6296" s="240">
        <f t="shared" si="659"/>
        <v>45624</v>
      </c>
      <c r="F6296" s="511" t="s">
        <v>1248</v>
      </c>
      <c r="G6296" s="225" t="s">
        <v>1245</v>
      </c>
      <c r="H6296" s="226"/>
      <c r="I6296" s="226" t="s">
        <v>1253</v>
      </c>
      <c r="J6296" s="222" t="s">
        <v>80</v>
      </c>
      <c r="K6296" s="227">
        <f>M6295</f>
        <v>4126.7202458909169</v>
      </c>
      <c r="L6296" s="227"/>
    </row>
    <row r="6297" spans="1:13" x14ac:dyDescent="0.2">
      <c r="A6297" s="228">
        <v>2024</v>
      </c>
      <c r="B6297" s="228">
        <v>11</v>
      </c>
      <c r="C6297" s="228">
        <v>28</v>
      </c>
      <c r="D6297" s="229">
        <f t="shared" si="652"/>
        <v>45624</v>
      </c>
      <c r="E6297" s="241">
        <f t="shared" si="659"/>
        <v>45624</v>
      </c>
      <c r="F6297" s="512"/>
      <c r="G6297" s="231" t="s">
        <v>1245</v>
      </c>
      <c r="H6297" s="232"/>
      <c r="I6297" s="232" t="s">
        <v>1253</v>
      </c>
      <c r="J6297" s="228" t="s">
        <v>42</v>
      </c>
      <c r="K6297" s="233"/>
      <c r="L6297" s="233">
        <f>K6296</f>
        <v>4126.7202458909169</v>
      </c>
    </row>
    <row r="6298" spans="1:13" ht="11.25" customHeight="1" x14ac:dyDescent="0.2">
      <c r="A6298" s="197">
        <v>2024</v>
      </c>
      <c r="B6298" s="197">
        <v>12</v>
      </c>
      <c r="C6298" s="197">
        <v>2</v>
      </c>
      <c r="D6298" s="198">
        <f t="shared" si="652"/>
        <v>45628</v>
      </c>
      <c r="E6298" s="209">
        <f t="shared" si="659"/>
        <v>45628</v>
      </c>
      <c r="F6298" s="513" t="s">
        <v>1423</v>
      </c>
      <c r="G6298" s="200" t="s">
        <v>1209</v>
      </c>
      <c r="H6298" s="201"/>
      <c r="I6298" s="201" t="s">
        <v>1072</v>
      </c>
      <c r="J6298" s="197" t="s">
        <v>16</v>
      </c>
      <c r="K6298" s="202">
        <v>21360</v>
      </c>
      <c r="L6298" s="202"/>
    </row>
    <row r="6299" spans="1:13" ht="11.25" customHeight="1" x14ac:dyDescent="0.2">
      <c r="A6299" s="120">
        <v>2024</v>
      </c>
      <c r="B6299" s="120">
        <v>12</v>
      </c>
      <c r="C6299" s="120">
        <v>2</v>
      </c>
      <c r="D6299" s="208">
        <f t="shared" si="652"/>
        <v>45628</v>
      </c>
      <c r="E6299" s="209">
        <f t="shared" si="659"/>
        <v>45628</v>
      </c>
      <c r="F6299" s="515"/>
      <c r="G6299" s="132" t="s">
        <v>1209</v>
      </c>
      <c r="I6299" s="128" t="s">
        <v>1072</v>
      </c>
      <c r="J6299" s="120" t="s">
        <v>47</v>
      </c>
      <c r="K6299" s="207">
        <v>3640</v>
      </c>
      <c r="L6299" s="207"/>
    </row>
    <row r="6300" spans="1:13" ht="11.25" customHeight="1" x14ac:dyDescent="0.2">
      <c r="A6300" s="191">
        <v>2024</v>
      </c>
      <c r="B6300" s="191">
        <v>12</v>
      </c>
      <c r="C6300" s="191">
        <v>2</v>
      </c>
      <c r="D6300" s="192">
        <f t="shared" si="652"/>
        <v>45628</v>
      </c>
      <c r="E6300" s="193">
        <f t="shared" si="659"/>
        <v>45628</v>
      </c>
      <c r="F6300" s="514"/>
      <c r="G6300" s="194" t="s">
        <v>1209</v>
      </c>
      <c r="H6300" s="195"/>
      <c r="I6300" s="195" t="s">
        <v>1072</v>
      </c>
      <c r="J6300" s="191" t="s">
        <v>46</v>
      </c>
      <c r="K6300" s="196"/>
      <c r="L6300" s="196">
        <v>25000</v>
      </c>
    </row>
    <row r="6301" spans="1:13" ht="11.25" customHeight="1" x14ac:dyDescent="0.2">
      <c r="A6301" s="197">
        <v>2024</v>
      </c>
      <c r="B6301" s="197">
        <v>12</v>
      </c>
      <c r="C6301" s="197">
        <v>2</v>
      </c>
      <c r="D6301" s="198">
        <f t="shared" si="652"/>
        <v>45628</v>
      </c>
      <c r="E6301" s="209">
        <f t="shared" ref="E6301:E6303" si="660">DATE(A6301,B6301,C6301)</f>
        <v>45628</v>
      </c>
      <c r="F6301" s="513" t="s">
        <v>1423</v>
      </c>
      <c r="G6301" s="200" t="s">
        <v>1209</v>
      </c>
      <c r="H6301" s="201"/>
      <c r="I6301" s="201" t="s">
        <v>351</v>
      </c>
      <c r="J6301" s="197" t="s">
        <v>16</v>
      </c>
      <c r="K6301" s="202">
        <v>341790</v>
      </c>
      <c r="L6301" s="202"/>
    </row>
    <row r="6302" spans="1:13" ht="11.25" customHeight="1" x14ac:dyDescent="0.2">
      <c r="A6302" s="120">
        <v>2024</v>
      </c>
      <c r="B6302" s="120">
        <v>12</v>
      </c>
      <c r="C6302" s="120">
        <v>2</v>
      </c>
      <c r="D6302" s="208">
        <f t="shared" si="652"/>
        <v>45628</v>
      </c>
      <c r="E6302" s="209">
        <f t="shared" si="660"/>
        <v>45628</v>
      </c>
      <c r="F6302" s="515"/>
      <c r="G6302" s="132" t="s">
        <v>1209</v>
      </c>
      <c r="I6302" s="128" t="s">
        <v>351</v>
      </c>
      <c r="J6302" s="120" t="s">
        <v>47</v>
      </c>
      <c r="K6302" s="207">
        <v>58210</v>
      </c>
      <c r="L6302" s="207"/>
    </row>
    <row r="6303" spans="1:13" ht="11.25" customHeight="1" x14ac:dyDescent="0.2">
      <c r="A6303" s="191">
        <v>2024</v>
      </c>
      <c r="B6303" s="191">
        <v>12</v>
      </c>
      <c r="C6303" s="191">
        <v>2</v>
      </c>
      <c r="D6303" s="192">
        <f t="shared" si="652"/>
        <v>45628</v>
      </c>
      <c r="E6303" s="193">
        <f t="shared" si="660"/>
        <v>45628</v>
      </c>
      <c r="F6303" s="514"/>
      <c r="G6303" s="194" t="s">
        <v>1209</v>
      </c>
      <c r="H6303" s="195"/>
      <c r="I6303" s="195" t="s">
        <v>351</v>
      </c>
      <c r="J6303" s="191" t="s">
        <v>46</v>
      </c>
      <c r="K6303" s="196"/>
      <c r="L6303" s="196">
        <v>400000</v>
      </c>
    </row>
    <row r="6304" spans="1:13" ht="11.25" customHeight="1" x14ac:dyDescent="0.2">
      <c r="A6304" s="197">
        <v>2024</v>
      </c>
      <c r="B6304" s="197">
        <v>12</v>
      </c>
      <c r="C6304" s="197">
        <v>2</v>
      </c>
      <c r="D6304" s="198">
        <f t="shared" si="652"/>
        <v>45628</v>
      </c>
      <c r="E6304" s="199">
        <f t="shared" si="659"/>
        <v>45628</v>
      </c>
      <c r="F6304" s="513" t="s">
        <v>1933</v>
      </c>
      <c r="G6304" s="200" t="s">
        <v>1209</v>
      </c>
      <c r="H6304" s="201"/>
      <c r="I6304" s="201" t="s">
        <v>1253</v>
      </c>
      <c r="J6304" s="197" t="s">
        <v>46</v>
      </c>
      <c r="K6304" s="202">
        <v>44300000</v>
      </c>
      <c r="L6304" s="202"/>
    </row>
    <row r="6305" spans="1:14" ht="11.25" customHeight="1" x14ac:dyDescent="0.2">
      <c r="A6305" s="120">
        <v>2024</v>
      </c>
      <c r="B6305" s="120">
        <v>12</v>
      </c>
      <c r="C6305" s="120">
        <v>2</v>
      </c>
      <c r="D6305" s="208">
        <f t="shared" si="652"/>
        <v>45628</v>
      </c>
      <c r="E6305" s="209">
        <f t="shared" si="659"/>
        <v>45628</v>
      </c>
      <c r="F6305" s="515"/>
      <c r="G6305" s="132" t="s">
        <v>1209</v>
      </c>
      <c r="J6305" s="120" t="s">
        <v>1462</v>
      </c>
      <c r="K6305" s="328"/>
      <c r="L6305" s="207">
        <v>1240621.5</v>
      </c>
    </row>
    <row r="6306" spans="1:14" ht="11.25" customHeight="1" x14ac:dyDescent="0.2">
      <c r="A6306" s="191">
        <v>2024</v>
      </c>
      <c r="B6306" s="191">
        <v>12</v>
      </c>
      <c r="C6306" s="191">
        <v>2</v>
      </c>
      <c r="D6306" s="192">
        <f t="shared" si="652"/>
        <v>45628</v>
      </c>
      <c r="E6306" s="193">
        <f t="shared" si="659"/>
        <v>45628</v>
      </c>
      <c r="F6306" s="514"/>
      <c r="G6306" s="194" t="s">
        <v>1209</v>
      </c>
      <c r="H6306" s="195"/>
      <c r="I6306" s="195" t="s">
        <v>1253</v>
      </c>
      <c r="J6306" s="191" t="s">
        <v>1455</v>
      </c>
      <c r="K6306" s="196"/>
      <c r="L6306" s="196">
        <v>43059378.5</v>
      </c>
      <c r="N6306" s="130"/>
    </row>
    <row r="6307" spans="1:14" ht="11.25" customHeight="1" x14ac:dyDescent="0.2">
      <c r="A6307" s="197">
        <v>2024</v>
      </c>
      <c r="B6307" s="197">
        <v>12</v>
      </c>
      <c r="C6307" s="197">
        <v>3</v>
      </c>
      <c r="D6307" s="198">
        <f t="shared" si="652"/>
        <v>45629</v>
      </c>
      <c r="E6307" s="209">
        <f t="shared" si="659"/>
        <v>45629</v>
      </c>
      <c r="F6307" s="513" t="s">
        <v>1210</v>
      </c>
      <c r="G6307" s="200" t="s">
        <v>1209</v>
      </c>
      <c r="H6307" s="201"/>
      <c r="I6307" s="201" t="s">
        <v>1137</v>
      </c>
      <c r="J6307" s="197" t="s">
        <v>46</v>
      </c>
      <c r="K6307" s="202">
        <v>451</v>
      </c>
      <c r="L6307" s="202"/>
    </row>
    <row r="6308" spans="1:14" ht="11.25" customHeight="1" x14ac:dyDescent="0.2">
      <c r="A6308" s="120">
        <v>2024</v>
      </c>
      <c r="B6308" s="120">
        <v>12</v>
      </c>
      <c r="C6308" s="120">
        <v>3</v>
      </c>
      <c r="D6308" s="208">
        <f t="shared" si="652"/>
        <v>45629</v>
      </c>
      <c r="E6308" s="209">
        <f t="shared" si="659"/>
        <v>45629</v>
      </c>
      <c r="F6308" s="515"/>
      <c r="G6308" s="132" t="s">
        <v>1209</v>
      </c>
      <c r="I6308" s="128" t="s">
        <v>1137</v>
      </c>
      <c r="J6308" s="120" t="s">
        <v>16</v>
      </c>
      <c r="K6308" s="207"/>
      <c r="L6308" s="207">
        <v>390</v>
      </c>
    </row>
    <row r="6309" spans="1:14" ht="11.25" customHeight="1" x14ac:dyDescent="0.2">
      <c r="A6309" s="191">
        <v>2024</v>
      </c>
      <c r="B6309" s="191">
        <v>12</v>
      </c>
      <c r="C6309" s="191">
        <v>3</v>
      </c>
      <c r="D6309" s="192">
        <f t="shared" si="652"/>
        <v>45629</v>
      </c>
      <c r="E6309" s="193">
        <f t="shared" si="659"/>
        <v>45629</v>
      </c>
      <c r="F6309" s="514"/>
      <c r="G6309" s="194" t="s">
        <v>1209</v>
      </c>
      <c r="H6309" s="195"/>
      <c r="I6309" s="195" t="s">
        <v>1137</v>
      </c>
      <c r="J6309" s="191" t="s">
        <v>47</v>
      </c>
      <c r="K6309" s="196"/>
      <c r="L6309" s="196">
        <v>61</v>
      </c>
    </row>
    <row r="6310" spans="1:14" ht="11.25" customHeight="1" x14ac:dyDescent="0.2">
      <c r="A6310" s="197">
        <v>2024</v>
      </c>
      <c r="B6310" s="197">
        <v>12</v>
      </c>
      <c r="C6310" s="197">
        <v>3</v>
      </c>
      <c r="D6310" s="198">
        <f t="shared" si="652"/>
        <v>45629</v>
      </c>
      <c r="E6310" s="209">
        <f t="shared" ref="E6310:E6321" si="661">DATE(A6310,B6310,C6310)</f>
        <v>45629</v>
      </c>
      <c r="F6310" s="513" t="s">
        <v>1210</v>
      </c>
      <c r="G6310" s="200" t="s">
        <v>1209</v>
      </c>
      <c r="H6310" s="201"/>
      <c r="I6310" s="201" t="s">
        <v>1333</v>
      </c>
      <c r="J6310" s="197" t="s">
        <v>46</v>
      </c>
      <c r="K6310" s="202">
        <v>300000</v>
      </c>
      <c r="L6310" s="202"/>
    </row>
    <row r="6311" spans="1:14" ht="11.25" customHeight="1" x14ac:dyDescent="0.2">
      <c r="A6311" s="120">
        <v>2024</v>
      </c>
      <c r="B6311" s="120">
        <v>12</v>
      </c>
      <c r="C6311" s="120">
        <v>3</v>
      </c>
      <c r="D6311" s="208">
        <f t="shared" si="652"/>
        <v>45629</v>
      </c>
      <c r="E6311" s="209">
        <f t="shared" si="661"/>
        <v>45629</v>
      </c>
      <c r="F6311" s="515"/>
      <c r="G6311" s="132" t="s">
        <v>1209</v>
      </c>
      <c r="I6311" s="128" t="s">
        <v>1333</v>
      </c>
      <c r="J6311" s="120" t="s">
        <v>16</v>
      </c>
      <c r="K6311" s="207"/>
      <c r="L6311" s="207">
        <v>256340</v>
      </c>
    </row>
    <row r="6312" spans="1:14" ht="11.25" customHeight="1" x14ac:dyDescent="0.2">
      <c r="A6312" s="191">
        <v>2024</v>
      </c>
      <c r="B6312" s="191">
        <v>12</v>
      </c>
      <c r="C6312" s="191">
        <v>3</v>
      </c>
      <c r="D6312" s="192">
        <f t="shared" si="652"/>
        <v>45629</v>
      </c>
      <c r="E6312" s="193">
        <f t="shared" si="661"/>
        <v>45629</v>
      </c>
      <c r="F6312" s="514"/>
      <c r="G6312" s="194" t="s">
        <v>1209</v>
      </c>
      <c r="H6312" s="195"/>
      <c r="I6312" s="195" t="s">
        <v>1333</v>
      </c>
      <c r="J6312" s="191" t="s">
        <v>47</v>
      </c>
      <c r="K6312" s="196"/>
      <c r="L6312" s="196">
        <v>43660</v>
      </c>
    </row>
    <row r="6313" spans="1:14" ht="11.25" customHeight="1" x14ac:dyDescent="0.2">
      <c r="A6313" s="197">
        <v>2024</v>
      </c>
      <c r="B6313" s="197">
        <v>12</v>
      </c>
      <c r="C6313" s="197">
        <v>3</v>
      </c>
      <c r="D6313" s="198">
        <f t="shared" si="652"/>
        <v>45629</v>
      </c>
      <c r="E6313" s="209">
        <f t="shared" si="661"/>
        <v>45629</v>
      </c>
      <c r="F6313" s="513" t="s">
        <v>1210</v>
      </c>
      <c r="G6313" s="200" t="s">
        <v>1209</v>
      </c>
      <c r="H6313" s="201"/>
      <c r="I6313" s="201" t="s">
        <v>1333</v>
      </c>
      <c r="J6313" s="197" t="s">
        <v>46</v>
      </c>
      <c r="K6313" s="202">
        <v>100000</v>
      </c>
      <c r="L6313" s="202"/>
    </row>
    <row r="6314" spans="1:14" ht="11.25" customHeight="1" x14ac:dyDescent="0.2">
      <c r="A6314" s="120">
        <v>2024</v>
      </c>
      <c r="B6314" s="120">
        <v>12</v>
      </c>
      <c r="C6314" s="120">
        <v>3</v>
      </c>
      <c r="D6314" s="208">
        <f t="shared" si="652"/>
        <v>45629</v>
      </c>
      <c r="E6314" s="209">
        <f t="shared" si="661"/>
        <v>45629</v>
      </c>
      <c r="F6314" s="515"/>
      <c r="G6314" s="132" t="s">
        <v>1209</v>
      </c>
      <c r="I6314" s="128" t="s">
        <v>1333</v>
      </c>
      <c r="J6314" s="120" t="s">
        <v>16</v>
      </c>
      <c r="K6314" s="207"/>
      <c r="L6314" s="207">
        <v>85450</v>
      </c>
    </row>
    <row r="6315" spans="1:14" ht="11.25" customHeight="1" x14ac:dyDescent="0.2">
      <c r="A6315" s="191">
        <v>2024</v>
      </c>
      <c r="B6315" s="191">
        <v>12</v>
      </c>
      <c r="C6315" s="191">
        <v>3</v>
      </c>
      <c r="D6315" s="192">
        <f t="shared" si="652"/>
        <v>45629</v>
      </c>
      <c r="E6315" s="193">
        <f t="shared" si="661"/>
        <v>45629</v>
      </c>
      <c r="F6315" s="514"/>
      <c r="G6315" s="194" t="s">
        <v>1209</v>
      </c>
      <c r="H6315" s="195"/>
      <c r="I6315" s="195" t="s">
        <v>1333</v>
      </c>
      <c r="J6315" s="191" t="s">
        <v>47</v>
      </c>
      <c r="K6315" s="196"/>
      <c r="L6315" s="196">
        <v>14550</v>
      </c>
    </row>
    <row r="6316" spans="1:14" ht="11.25" customHeight="1" x14ac:dyDescent="0.2">
      <c r="A6316" s="197">
        <v>2024</v>
      </c>
      <c r="B6316" s="197">
        <v>12</v>
      </c>
      <c r="C6316" s="197">
        <v>3</v>
      </c>
      <c r="D6316" s="198">
        <f t="shared" ref="D6316:D6379" si="662">DATE(A6316,B6316,C6316)</f>
        <v>45629</v>
      </c>
      <c r="E6316" s="209">
        <f t="shared" si="661"/>
        <v>45629</v>
      </c>
      <c r="F6316" s="513" t="s">
        <v>1210</v>
      </c>
      <c r="G6316" s="200" t="s">
        <v>1209</v>
      </c>
      <c r="H6316" s="201"/>
      <c r="I6316" s="201" t="s">
        <v>1932</v>
      </c>
      <c r="J6316" s="197" t="s">
        <v>46</v>
      </c>
      <c r="K6316" s="202">
        <v>117030</v>
      </c>
      <c r="L6316" s="202"/>
    </row>
    <row r="6317" spans="1:14" ht="11.25" customHeight="1" x14ac:dyDescent="0.2">
      <c r="A6317" s="120">
        <v>2024</v>
      </c>
      <c r="B6317" s="120">
        <v>12</v>
      </c>
      <c r="C6317" s="120">
        <v>3</v>
      </c>
      <c r="D6317" s="208">
        <f t="shared" si="662"/>
        <v>45629</v>
      </c>
      <c r="E6317" s="209">
        <f t="shared" si="661"/>
        <v>45629</v>
      </c>
      <c r="F6317" s="515"/>
      <c r="G6317" s="132" t="s">
        <v>1209</v>
      </c>
      <c r="I6317" s="128" t="s">
        <v>1932</v>
      </c>
      <c r="J6317" s="120" t="s">
        <v>16</v>
      </c>
      <c r="K6317" s="207"/>
      <c r="L6317" s="207">
        <v>100000</v>
      </c>
    </row>
    <row r="6318" spans="1:14" ht="11.25" customHeight="1" x14ac:dyDescent="0.2">
      <c r="A6318" s="191">
        <v>2024</v>
      </c>
      <c r="B6318" s="191">
        <v>12</v>
      </c>
      <c r="C6318" s="191">
        <v>3</v>
      </c>
      <c r="D6318" s="192">
        <f t="shared" si="662"/>
        <v>45629</v>
      </c>
      <c r="E6318" s="193">
        <f t="shared" si="661"/>
        <v>45629</v>
      </c>
      <c r="F6318" s="514"/>
      <c r="G6318" s="194" t="s">
        <v>1209</v>
      </c>
      <c r="H6318" s="195"/>
      <c r="I6318" s="195" t="s">
        <v>1932</v>
      </c>
      <c r="J6318" s="191" t="s">
        <v>47</v>
      </c>
      <c r="K6318" s="196"/>
      <c r="L6318" s="196">
        <v>17030</v>
      </c>
    </row>
    <row r="6319" spans="1:14" ht="11.25" customHeight="1" x14ac:dyDescent="0.2">
      <c r="A6319" s="197">
        <v>2024</v>
      </c>
      <c r="B6319" s="197">
        <v>12</v>
      </c>
      <c r="C6319" s="197">
        <v>3</v>
      </c>
      <c r="D6319" s="198">
        <f t="shared" si="662"/>
        <v>45629</v>
      </c>
      <c r="E6319" s="209">
        <f t="shared" si="661"/>
        <v>45629</v>
      </c>
      <c r="F6319" s="513" t="s">
        <v>1210</v>
      </c>
      <c r="G6319" s="200" t="s">
        <v>1209</v>
      </c>
      <c r="H6319" s="201"/>
      <c r="I6319" s="201" t="s">
        <v>1235</v>
      </c>
      <c r="J6319" s="197" t="s">
        <v>46</v>
      </c>
      <c r="K6319" s="202">
        <v>140000</v>
      </c>
      <c r="L6319" s="202"/>
    </row>
    <row r="6320" spans="1:14" ht="11.25" customHeight="1" x14ac:dyDescent="0.2">
      <c r="A6320" s="120">
        <v>2024</v>
      </c>
      <c r="B6320" s="120">
        <v>12</v>
      </c>
      <c r="C6320" s="120">
        <v>3</v>
      </c>
      <c r="D6320" s="208">
        <f t="shared" si="662"/>
        <v>45629</v>
      </c>
      <c r="E6320" s="209">
        <f t="shared" si="661"/>
        <v>45629</v>
      </c>
      <c r="F6320" s="515"/>
      <c r="G6320" s="132" t="s">
        <v>1209</v>
      </c>
      <c r="I6320" s="128" t="s">
        <v>1235</v>
      </c>
      <c r="J6320" s="120" t="s">
        <v>16</v>
      </c>
      <c r="K6320" s="207"/>
      <c r="L6320" s="207">
        <v>119630</v>
      </c>
    </row>
    <row r="6321" spans="1:15" ht="11.25" customHeight="1" x14ac:dyDescent="0.2">
      <c r="A6321" s="191">
        <v>2024</v>
      </c>
      <c r="B6321" s="191">
        <v>12</v>
      </c>
      <c r="C6321" s="191">
        <v>3</v>
      </c>
      <c r="D6321" s="192">
        <f t="shared" si="662"/>
        <v>45629</v>
      </c>
      <c r="E6321" s="193">
        <f t="shared" si="661"/>
        <v>45629</v>
      </c>
      <c r="F6321" s="514"/>
      <c r="G6321" s="194" t="s">
        <v>1209</v>
      </c>
      <c r="H6321" s="195"/>
      <c r="I6321" s="195" t="s">
        <v>1235</v>
      </c>
      <c r="J6321" s="191" t="s">
        <v>47</v>
      </c>
      <c r="K6321" s="196"/>
      <c r="L6321" s="196">
        <v>20370</v>
      </c>
    </row>
    <row r="6322" spans="1:15" ht="11.25" customHeight="1" x14ac:dyDescent="0.2">
      <c r="A6322" s="197">
        <v>2024</v>
      </c>
      <c r="B6322" s="197">
        <v>12</v>
      </c>
      <c r="C6322" s="197">
        <v>3</v>
      </c>
      <c r="D6322" s="198">
        <f t="shared" si="662"/>
        <v>45629</v>
      </c>
      <c r="E6322" s="290">
        <f t="shared" ref="E6322:E6323" si="663">DATE(A6322,B6322,C6322)</f>
        <v>45629</v>
      </c>
      <c r="F6322" s="513" t="s">
        <v>1514</v>
      </c>
      <c r="G6322" s="200" t="s">
        <v>1209</v>
      </c>
      <c r="H6322" s="201"/>
      <c r="I6322" s="201"/>
      <c r="J6322" s="197" t="s">
        <v>54</v>
      </c>
      <c r="K6322" s="202">
        <v>10</v>
      </c>
      <c r="L6322" s="202"/>
      <c r="M6322" s="251"/>
      <c r="N6322" s="251"/>
      <c r="O6322" s="251"/>
    </row>
    <row r="6323" spans="1:15" ht="11.25" customHeight="1" x14ac:dyDescent="0.2">
      <c r="A6323" s="191">
        <v>2024</v>
      </c>
      <c r="B6323" s="191">
        <v>12</v>
      </c>
      <c r="C6323" s="191">
        <v>3</v>
      </c>
      <c r="D6323" s="192">
        <f t="shared" si="662"/>
        <v>45629</v>
      </c>
      <c r="E6323" s="291">
        <f t="shared" si="663"/>
        <v>45629</v>
      </c>
      <c r="F6323" s="514"/>
      <c r="G6323" s="194" t="s">
        <v>1209</v>
      </c>
      <c r="H6323" s="195"/>
      <c r="I6323" s="195"/>
      <c r="J6323" s="191" t="s">
        <v>46</v>
      </c>
      <c r="K6323" s="196"/>
      <c r="L6323" s="196">
        <v>10</v>
      </c>
      <c r="M6323" s="251"/>
      <c r="N6323" s="251"/>
      <c r="O6323" s="251"/>
    </row>
    <row r="6324" spans="1:15" ht="11.25" customHeight="1" x14ac:dyDescent="0.2">
      <c r="A6324" s="197">
        <v>2024</v>
      </c>
      <c r="B6324" s="197">
        <v>12</v>
      </c>
      <c r="C6324" s="197">
        <v>3</v>
      </c>
      <c r="D6324" s="198">
        <f t="shared" si="662"/>
        <v>45629</v>
      </c>
      <c r="E6324" s="199">
        <f t="shared" ref="E6324:E6328" si="664">DATE(A6324,B6324,C6324)</f>
        <v>45629</v>
      </c>
      <c r="F6324" s="513" t="s">
        <v>1934</v>
      </c>
      <c r="G6324" s="200" t="s">
        <v>1209</v>
      </c>
      <c r="H6324" s="201"/>
      <c r="I6324" s="201" t="s">
        <v>1253</v>
      </c>
      <c r="J6324" s="197" t="s">
        <v>46</v>
      </c>
      <c r="K6324" s="202">
        <v>4797000</v>
      </c>
      <c r="L6324" s="202"/>
    </row>
    <row r="6325" spans="1:15" ht="11.25" customHeight="1" x14ac:dyDescent="0.2">
      <c r="A6325" s="120">
        <v>2024</v>
      </c>
      <c r="B6325" s="120">
        <v>12</v>
      </c>
      <c r="C6325" s="120">
        <v>3</v>
      </c>
      <c r="D6325" s="208">
        <f t="shared" si="662"/>
        <v>45629</v>
      </c>
      <c r="E6325" s="209">
        <f t="shared" si="664"/>
        <v>45629</v>
      </c>
      <c r="F6325" s="515"/>
      <c r="G6325" s="132" t="s">
        <v>1209</v>
      </c>
      <c r="J6325" s="120" t="s">
        <v>46</v>
      </c>
      <c r="K6325" s="207">
        <v>147000</v>
      </c>
      <c r="L6325" s="207"/>
    </row>
    <row r="6326" spans="1:15" ht="11.25" customHeight="1" x14ac:dyDescent="0.2">
      <c r="A6326" s="120">
        <v>2024</v>
      </c>
      <c r="B6326" s="120">
        <v>12</v>
      </c>
      <c r="C6326" s="120">
        <v>3</v>
      </c>
      <c r="D6326" s="208">
        <f t="shared" si="662"/>
        <v>45629</v>
      </c>
      <c r="E6326" s="209">
        <f t="shared" si="664"/>
        <v>45629</v>
      </c>
      <c r="F6326" s="515"/>
      <c r="G6326" s="132" t="s">
        <v>1209</v>
      </c>
      <c r="J6326" s="120" t="s">
        <v>54</v>
      </c>
      <c r="K6326" s="207">
        <v>3000</v>
      </c>
      <c r="L6326" s="207"/>
    </row>
    <row r="6327" spans="1:15" ht="11.25" customHeight="1" x14ac:dyDescent="0.2">
      <c r="A6327" s="120">
        <v>2024</v>
      </c>
      <c r="B6327" s="120">
        <v>12</v>
      </c>
      <c r="C6327" s="120">
        <v>3</v>
      </c>
      <c r="D6327" s="208">
        <f t="shared" si="662"/>
        <v>45629</v>
      </c>
      <c r="E6327" s="209">
        <f t="shared" si="664"/>
        <v>45629</v>
      </c>
      <c r="F6327" s="515"/>
      <c r="G6327" s="132" t="s">
        <v>1209</v>
      </c>
      <c r="J6327" s="120" t="s">
        <v>113</v>
      </c>
      <c r="K6327" s="207"/>
      <c r="L6327" s="207">
        <v>147000</v>
      </c>
    </row>
    <row r="6328" spans="1:15" ht="11.25" customHeight="1" x14ac:dyDescent="0.2">
      <c r="A6328" s="191">
        <v>2024</v>
      </c>
      <c r="B6328" s="191">
        <v>12</v>
      </c>
      <c r="C6328" s="191">
        <v>3</v>
      </c>
      <c r="D6328" s="192">
        <f t="shared" si="662"/>
        <v>45629</v>
      </c>
      <c r="E6328" s="193">
        <f t="shared" si="664"/>
        <v>45629</v>
      </c>
      <c r="F6328" s="514"/>
      <c r="G6328" s="194" t="s">
        <v>1209</v>
      </c>
      <c r="H6328" s="195"/>
      <c r="I6328" s="195" t="s">
        <v>1253</v>
      </c>
      <c r="J6328" s="191" t="s">
        <v>76</v>
      </c>
      <c r="K6328" s="196"/>
      <c r="L6328" s="196">
        <v>4800000</v>
      </c>
    </row>
    <row r="6329" spans="1:15" ht="11.25" customHeight="1" x14ac:dyDescent="0.2">
      <c r="A6329" s="197">
        <v>2024</v>
      </c>
      <c r="B6329" s="197">
        <v>12</v>
      </c>
      <c r="C6329" s="197">
        <v>3</v>
      </c>
      <c r="D6329" s="198">
        <f t="shared" si="662"/>
        <v>45629</v>
      </c>
      <c r="E6329" s="199">
        <f t="shared" ref="E6329:E6371" si="665">DATE(A6329,B6329,C6329)</f>
        <v>45629</v>
      </c>
      <c r="F6329" s="513" t="s">
        <v>1935</v>
      </c>
      <c r="G6329" s="200" t="s">
        <v>1209</v>
      </c>
      <c r="H6329" s="201"/>
      <c r="I6329" s="201" t="s">
        <v>1253</v>
      </c>
      <c r="J6329" s="197" t="s">
        <v>46</v>
      </c>
      <c r="K6329" s="202">
        <v>700000</v>
      </c>
      <c r="L6329" s="202"/>
    </row>
    <row r="6330" spans="1:15" ht="11.25" customHeight="1" x14ac:dyDescent="0.2">
      <c r="A6330" s="120">
        <v>2024</v>
      </c>
      <c r="B6330" s="120">
        <v>12</v>
      </c>
      <c r="C6330" s="120">
        <v>3</v>
      </c>
      <c r="D6330" s="208">
        <f t="shared" si="662"/>
        <v>45629</v>
      </c>
      <c r="E6330" s="209">
        <f t="shared" si="665"/>
        <v>45629</v>
      </c>
      <c r="F6330" s="515"/>
      <c r="G6330" s="132" t="s">
        <v>1209</v>
      </c>
      <c r="J6330" s="120" t="s">
        <v>46</v>
      </c>
      <c r="K6330" s="207">
        <v>21437.5</v>
      </c>
      <c r="L6330" s="207"/>
    </row>
    <row r="6331" spans="1:15" ht="11.25" customHeight="1" x14ac:dyDescent="0.2">
      <c r="A6331" s="120">
        <v>2024</v>
      </c>
      <c r="B6331" s="120">
        <v>12</v>
      </c>
      <c r="C6331" s="120">
        <v>3</v>
      </c>
      <c r="D6331" s="208">
        <f t="shared" si="662"/>
        <v>45629</v>
      </c>
      <c r="E6331" s="209">
        <f t="shared" si="665"/>
        <v>45629</v>
      </c>
      <c r="F6331" s="515"/>
      <c r="G6331" s="132" t="s">
        <v>1209</v>
      </c>
      <c r="J6331" s="120" t="s">
        <v>113</v>
      </c>
      <c r="K6331" s="207"/>
      <c r="L6331" s="207">
        <v>21437.5</v>
      </c>
    </row>
    <row r="6332" spans="1:15" ht="11.25" customHeight="1" x14ac:dyDescent="0.2">
      <c r="A6332" s="191">
        <v>2024</v>
      </c>
      <c r="B6332" s="191">
        <v>12</v>
      </c>
      <c r="C6332" s="191">
        <v>3</v>
      </c>
      <c r="D6332" s="192">
        <f t="shared" si="662"/>
        <v>45629</v>
      </c>
      <c r="E6332" s="193">
        <f t="shared" si="665"/>
        <v>45629</v>
      </c>
      <c r="F6332" s="514"/>
      <c r="G6332" s="194" t="s">
        <v>1209</v>
      </c>
      <c r="H6332" s="195"/>
      <c r="I6332" s="195" t="s">
        <v>1253</v>
      </c>
      <c r="J6332" s="191" t="s">
        <v>76</v>
      </c>
      <c r="K6332" s="196"/>
      <c r="L6332" s="196">
        <v>700000</v>
      </c>
    </row>
    <row r="6333" spans="1:15" ht="11.25" customHeight="1" x14ac:dyDescent="0.2">
      <c r="A6333" s="197">
        <v>2024</v>
      </c>
      <c r="B6333" s="197">
        <v>12</v>
      </c>
      <c r="C6333" s="197">
        <v>3</v>
      </c>
      <c r="D6333" s="198">
        <f t="shared" si="662"/>
        <v>45629</v>
      </c>
      <c r="E6333" s="199">
        <f t="shared" si="665"/>
        <v>45629</v>
      </c>
      <c r="F6333" s="513" t="s">
        <v>1934</v>
      </c>
      <c r="G6333" s="200" t="s">
        <v>1209</v>
      </c>
      <c r="H6333" s="201"/>
      <c r="I6333" s="201" t="s">
        <v>1253</v>
      </c>
      <c r="J6333" s="197" t="s">
        <v>46</v>
      </c>
      <c r="K6333" s="202">
        <v>4497000</v>
      </c>
      <c r="L6333" s="202"/>
    </row>
    <row r="6334" spans="1:15" ht="11.25" customHeight="1" x14ac:dyDescent="0.2">
      <c r="A6334" s="120">
        <v>2024</v>
      </c>
      <c r="B6334" s="120">
        <v>12</v>
      </c>
      <c r="C6334" s="120">
        <v>3</v>
      </c>
      <c r="D6334" s="208">
        <f t="shared" si="662"/>
        <v>45629</v>
      </c>
      <c r="E6334" s="209">
        <f t="shared" si="665"/>
        <v>45629</v>
      </c>
      <c r="F6334" s="515"/>
      <c r="G6334" s="132" t="s">
        <v>1209</v>
      </c>
      <c r="J6334" s="120" t="s">
        <v>46</v>
      </c>
      <c r="K6334" s="207">
        <v>137812.5</v>
      </c>
      <c r="L6334" s="207"/>
    </row>
    <row r="6335" spans="1:15" ht="11.25" customHeight="1" x14ac:dyDescent="0.2">
      <c r="A6335" s="120">
        <v>2024</v>
      </c>
      <c r="B6335" s="120">
        <v>12</v>
      </c>
      <c r="C6335" s="120">
        <v>3</v>
      </c>
      <c r="D6335" s="208">
        <f t="shared" si="662"/>
        <v>45629</v>
      </c>
      <c r="E6335" s="209">
        <f t="shared" si="665"/>
        <v>45629</v>
      </c>
      <c r="F6335" s="515"/>
      <c r="G6335" s="132" t="s">
        <v>1209</v>
      </c>
      <c r="J6335" s="120" t="s">
        <v>54</v>
      </c>
      <c r="K6335" s="207">
        <v>3000</v>
      </c>
      <c r="L6335" s="207"/>
    </row>
    <row r="6336" spans="1:15" ht="11.25" customHeight="1" x14ac:dyDescent="0.2">
      <c r="A6336" s="120">
        <v>2024</v>
      </c>
      <c r="B6336" s="120">
        <v>12</v>
      </c>
      <c r="C6336" s="120">
        <v>3</v>
      </c>
      <c r="D6336" s="208">
        <f t="shared" si="662"/>
        <v>45629</v>
      </c>
      <c r="E6336" s="209">
        <f t="shared" si="665"/>
        <v>45629</v>
      </c>
      <c r="F6336" s="515"/>
      <c r="G6336" s="132" t="s">
        <v>1209</v>
      </c>
      <c r="J6336" s="120" t="s">
        <v>113</v>
      </c>
      <c r="K6336" s="207"/>
      <c r="L6336" s="207">
        <v>137812.5</v>
      </c>
    </row>
    <row r="6337" spans="1:14" ht="11.25" customHeight="1" x14ac:dyDescent="0.2">
      <c r="A6337" s="191">
        <v>2024</v>
      </c>
      <c r="B6337" s="191">
        <v>12</v>
      </c>
      <c r="C6337" s="191">
        <v>3</v>
      </c>
      <c r="D6337" s="192">
        <f t="shared" si="662"/>
        <v>45629</v>
      </c>
      <c r="E6337" s="193">
        <f t="shared" si="665"/>
        <v>45629</v>
      </c>
      <c r="F6337" s="514"/>
      <c r="G6337" s="194" t="s">
        <v>1209</v>
      </c>
      <c r="H6337" s="195"/>
      <c r="I6337" s="195" t="s">
        <v>1253</v>
      </c>
      <c r="J6337" s="191" t="s">
        <v>76</v>
      </c>
      <c r="K6337" s="196"/>
      <c r="L6337" s="196">
        <v>4500000</v>
      </c>
    </row>
    <row r="6338" spans="1:14" ht="11.25" customHeight="1" x14ac:dyDescent="0.2">
      <c r="A6338" s="197">
        <v>2024</v>
      </c>
      <c r="B6338" s="197">
        <v>12</v>
      </c>
      <c r="C6338" s="197">
        <v>4</v>
      </c>
      <c r="D6338" s="198">
        <f t="shared" si="662"/>
        <v>45630</v>
      </c>
      <c r="E6338" s="199">
        <f t="shared" si="665"/>
        <v>45630</v>
      </c>
      <c r="F6338" s="513" t="s">
        <v>1936</v>
      </c>
      <c r="G6338" s="200" t="s">
        <v>1209</v>
      </c>
      <c r="H6338" s="201"/>
      <c r="I6338" s="201" t="s">
        <v>1253</v>
      </c>
      <c r="J6338" s="197" t="s">
        <v>1837</v>
      </c>
      <c r="K6338" s="202">
        <v>57027873</v>
      </c>
      <c r="L6338" s="202"/>
    </row>
    <row r="6339" spans="1:14" ht="11.25" customHeight="1" x14ac:dyDescent="0.2">
      <c r="A6339" s="191">
        <v>2024</v>
      </c>
      <c r="B6339" s="191">
        <v>12</v>
      </c>
      <c r="C6339" s="191">
        <v>4</v>
      </c>
      <c r="D6339" s="192">
        <f t="shared" si="662"/>
        <v>45630</v>
      </c>
      <c r="E6339" s="193">
        <f t="shared" si="665"/>
        <v>45630</v>
      </c>
      <c r="F6339" s="514"/>
      <c r="G6339" s="194" t="s">
        <v>1209</v>
      </c>
      <c r="H6339" s="195"/>
      <c r="I6339" s="195" t="s">
        <v>1253</v>
      </c>
      <c r="J6339" s="191" t="s">
        <v>46</v>
      </c>
      <c r="K6339" s="196"/>
      <c r="L6339" s="196">
        <v>57027873</v>
      </c>
      <c r="N6339" s="130"/>
    </row>
    <row r="6340" spans="1:14" ht="11.25" customHeight="1" x14ac:dyDescent="0.2">
      <c r="A6340" s="197">
        <v>2024</v>
      </c>
      <c r="B6340" s="197">
        <v>12</v>
      </c>
      <c r="C6340" s="197">
        <v>4</v>
      </c>
      <c r="D6340" s="198">
        <f t="shared" si="662"/>
        <v>45630</v>
      </c>
      <c r="E6340" s="209">
        <f t="shared" si="665"/>
        <v>45630</v>
      </c>
      <c r="F6340" s="513" t="s">
        <v>1210</v>
      </c>
      <c r="G6340" s="200" t="s">
        <v>1209</v>
      </c>
      <c r="H6340" s="201"/>
      <c r="I6340" s="201" t="s">
        <v>355</v>
      </c>
      <c r="J6340" s="197" t="s">
        <v>46</v>
      </c>
      <c r="K6340" s="202">
        <v>26100</v>
      </c>
      <c r="L6340" s="202"/>
    </row>
    <row r="6341" spans="1:14" ht="11.25" customHeight="1" x14ac:dyDescent="0.2">
      <c r="A6341" s="120">
        <v>2024</v>
      </c>
      <c r="B6341" s="120">
        <v>12</v>
      </c>
      <c r="C6341" s="120">
        <v>4</v>
      </c>
      <c r="D6341" s="208">
        <f t="shared" si="662"/>
        <v>45630</v>
      </c>
      <c r="E6341" s="209">
        <f t="shared" si="665"/>
        <v>45630</v>
      </c>
      <c r="F6341" s="515"/>
      <c r="G6341" s="132" t="s">
        <v>1209</v>
      </c>
      <c r="I6341" s="128" t="s">
        <v>355</v>
      </c>
      <c r="J6341" s="120" t="s">
        <v>16</v>
      </c>
      <c r="K6341" s="207"/>
      <c r="L6341" s="207">
        <v>22300</v>
      </c>
    </row>
    <row r="6342" spans="1:14" ht="11.25" customHeight="1" x14ac:dyDescent="0.2">
      <c r="A6342" s="191">
        <v>2024</v>
      </c>
      <c r="B6342" s="191">
        <v>12</v>
      </c>
      <c r="C6342" s="191">
        <v>4</v>
      </c>
      <c r="D6342" s="192">
        <f t="shared" si="662"/>
        <v>45630</v>
      </c>
      <c r="E6342" s="193">
        <f t="shared" si="665"/>
        <v>45630</v>
      </c>
      <c r="F6342" s="514"/>
      <c r="G6342" s="194" t="s">
        <v>1209</v>
      </c>
      <c r="H6342" s="195"/>
      <c r="I6342" s="195" t="s">
        <v>355</v>
      </c>
      <c r="J6342" s="191" t="s">
        <v>47</v>
      </c>
      <c r="K6342" s="196"/>
      <c r="L6342" s="196">
        <v>3800</v>
      </c>
    </row>
    <row r="6343" spans="1:14" ht="11.25" customHeight="1" x14ac:dyDescent="0.2">
      <c r="A6343" s="197">
        <v>2024</v>
      </c>
      <c r="B6343" s="197">
        <v>12</v>
      </c>
      <c r="C6343" s="197">
        <v>5</v>
      </c>
      <c r="D6343" s="198">
        <f t="shared" si="662"/>
        <v>45631</v>
      </c>
      <c r="E6343" s="209">
        <f t="shared" si="665"/>
        <v>45631</v>
      </c>
      <c r="F6343" s="513" t="s">
        <v>1210</v>
      </c>
      <c r="G6343" s="200" t="s">
        <v>1209</v>
      </c>
      <c r="H6343" s="201"/>
      <c r="I6343" s="201" t="s">
        <v>355</v>
      </c>
      <c r="J6343" s="197" t="s">
        <v>46</v>
      </c>
      <c r="K6343" s="202">
        <v>6450</v>
      </c>
      <c r="L6343" s="202"/>
    </row>
    <row r="6344" spans="1:14" ht="11.25" customHeight="1" x14ac:dyDescent="0.2">
      <c r="A6344" s="120">
        <v>2024</v>
      </c>
      <c r="B6344" s="120">
        <v>12</v>
      </c>
      <c r="C6344" s="120">
        <v>5</v>
      </c>
      <c r="D6344" s="208">
        <f t="shared" si="662"/>
        <v>45631</v>
      </c>
      <c r="E6344" s="209">
        <f t="shared" si="665"/>
        <v>45631</v>
      </c>
      <c r="F6344" s="515"/>
      <c r="G6344" s="132" t="s">
        <v>1209</v>
      </c>
      <c r="I6344" s="128" t="s">
        <v>355</v>
      </c>
      <c r="J6344" s="120" t="s">
        <v>16</v>
      </c>
      <c r="K6344" s="207"/>
      <c r="L6344" s="207">
        <v>5510</v>
      </c>
    </row>
    <row r="6345" spans="1:14" ht="11.25" customHeight="1" x14ac:dyDescent="0.2">
      <c r="A6345" s="191">
        <v>2024</v>
      </c>
      <c r="B6345" s="191">
        <v>12</v>
      </c>
      <c r="C6345" s="191">
        <v>5</v>
      </c>
      <c r="D6345" s="192">
        <f t="shared" si="662"/>
        <v>45631</v>
      </c>
      <c r="E6345" s="193">
        <f t="shared" si="665"/>
        <v>45631</v>
      </c>
      <c r="F6345" s="514"/>
      <c r="G6345" s="194" t="s">
        <v>1209</v>
      </c>
      <c r="H6345" s="195"/>
      <c r="I6345" s="195" t="s">
        <v>355</v>
      </c>
      <c r="J6345" s="191" t="s">
        <v>47</v>
      </c>
      <c r="K6345" s="196"/>
      <c r="L6345" s="196">
        <v>940</v>
      </c>
    </row>
    <row r="6346" spans="1:14" ht="11.25" customHeight="1" x14ac:dyDescent="0.2">
      <c r="A6346" s="197">
        <v>2024</v>
      </c>
      <c r="B6346" s="197">
        <v>12</v>
      </c>
      <c r="C6346" s="197">
        <v>5</v>
      </c>
      <c r="D6346" s="198">
        <f t="shared" si="662"/>
        <v>45631</v>
      </c>
      <c r="E6346" s="209">
        <f t="shared" si="665"/>
        <v>45631</v>
      </c>
      <c r="F6346" s="513" t="s">
        <v>1296</v>
      </c>
      <c r="G6346" s="200" t="s">
        <v>1209</v>
      </c>
      <c r="H6346" s="201"/>
      <c r="I6346" s="201"/>
      <c r="J6346" s="197" t="s">
        <v>46</v>
      </c>
      <c r="K6346" s="202">
        <v>153000</v>
      </c>
      <c r="L6346" s="202"/>
    </row>
    <row r="6347" spans="1:14" ht="11.25" customHeight="1" x14ac:dyDescent="0.2">
      <c r="A6347" s="120">
        <v>2024</v>
      </c>
      <c r="B6347" s="120">
        <v>12</v>
      </c>
      <c r="C6347" s="120">
        <v>5</v>
      </c>
      <c r="D6347" s="208">
        <f t="shared" si="662"/>
        <v>45631</v>
      </c>
      <c r="E6347" s="209">
        <f t="shared" si="665"/>
        <v>45631</v>
      </c>
      <c r="F6347" s="515"/>
      <c r="G6347" s="132" t="s">
        <v>1209</v>
      </c>
      <c r="J6347" s="120" t="s">
        <v>16</v>
      </c>
      <c r="K6347" s="207"/>
      <c r="L6347" s="207">
        <v>130450</v>
      </c>
    </row>
    <row r="6348" spans="1:14" ht="11.25" customHeight="1" x14ac:dyDescent="0.2">
      <c r="A6348" s="191">
        <v>2024</v>
      </c>
      <c r="B6348" s="191">
        <v>12</v>
      </c>
      <c r="C6348" s="191">
        <v>5</v>
      </c>
      <c r="D6348" s="192">
        <f t="shared" si="662"/>
        <v>45631</v>
      </c>
      <c r="E6348" s="193">
        <f t="shared" si="665"/>
        <v>45631</v>
      </c>
      <c r="F6348" s="514"/>
      <c r="G6348" s="194" t="s">
        <v>1209</v>
      </c>
      <c r="H6348" s="195"/>
      <c r="I6348" s="195"/>
      <c r="J6348" s="191" t="s">
        <v>47</v>
      </c>
      <c r="K6348" s="196"/>
      <c r="L6348" s="196">
        <v>22550</v>
      </c>
    </row>
    <row r="6349" spans="1:14" ht="11.25" customHeight="1" x14ac:dyDescent="0.2">
      <c r="A6349" s="197">
        <v>2024</v>
      </c>
      <c r="B6349" s="197">
        <v>12</v>
      </c>
      <c r="C6349" s="197">
        <v>5</v>
      </c>
      <c r="D6349" s="198">
        <f t="shared" si="662"/>
        <v>45631</v>
      </c>
      <c r="E6349" s="199">
        <f>DATE(A6349,B6349,C6349)</f>
        <v>45631</v>
      </c>
      <c r="F6349" s="513" t="s">
        <v>1937</v>
      </c>
      <c r="G6349" s="200" t="s">
        <v>1209</v>
      </c>
      <c r="H6349" s="201"/>
      <c r="I6349" s="201" t="s">
        <v>1253</v>
      </c>
      <c r="J6349" s="197" t="s">
        <v>46</v>
      </c>
      <c r="K6349" s="202">
        <v>4797000</v>
      </c>
      <c r="L6349" s="202"/>
    </row>
    <row r="6350" spans="1:14" ht="11.25" customHeight="1" x14ac:dyDescent="0.2">
      <c r="A6350" s="120">
        <v>2024</v>
      </c>
      <c r="B6350" s="120">
        <v>12</v>
      </c>
      <c r="C6350" s="120">
        <v>5</v>
      </c>
      <c r="D6350" s="208">
        <f t="shared" si="662"/>
        <v>45631</v>
      </c>
      <c r="E6350" s="209">
        <f t="shared" ref="E6350:E6353" si="666">DATE(A6350,B6350,C6350)</f>
        <v>45631</v>
      </c>
      <c r="F6350" s="515"/>
      <c r="G6350" s="132" t="s">
        <v>1209</v>
      </c>
      <c r="J6350" s="120" t="s">
        <v>46</v>
      </c>
      <c r="K6350" s="207">
        <v>147000</v>
      </c>
      <c r="L6350" s="207"/>
    </row>
    <row r="6351" spans="1:14" ht="11.25" customHeight="1" x14ac:dyDescent="0.2">
      <c r="A6351" s="120">
        <v>2024</v>
      </c>
      <c r="B6351" s="120">
        <v>12</v>
      </c>
      <c r="C6351" s="120">
        <v>5</v>
      </c>
      <c r="D6351" s="208">
        <f t="shared" si="662"/>
        <v>45631</v>
      </c>
      <c r="E6351" s="209">
        <f t="shared" si="666"/>
        <v>45631</v>
      </c>
      <c r="F6351" s="515"/>
      <c r="G6351" s="132" t="s">
        <v>1209</v>
      </c>
      <c r="J6351" s="120" t="s">
        <v>54</v>
      </c>
      <c r="K6351" s="207">
        <v>3000</v>
      </c>
      <c r="L6351" s="207"/>
    </row>
    <row r="6352" spans="1:14" ht="11.25" customHeight="1" x14ac:dyDescent="0.2">
      <c r="A6352" s="120">
        <v>2024</v>
      </c>
      <c r="B6352" s="120">
        <v>12</v>
      </c>
      <c r="C6352" s="120">
        <v>5</v>
      </c>
      <c r="D6352" s="208">
        <f t="shared" si="662"/>
        <v>45631</v>
      </c>
      <c r="E6352" s="209">
        <f t="shared" si="666"/>
        <v>45631</v>
      </c>
      <c r="F6352" s="515"/>
      <c r="G6352" s="132" t="s">
        <v>1209</v>
      </c>
      <c r="J6352" s="120" t="s">
        <v>113</v>
      </c>
      <c r="K6352" s="207"/>
      <c r="L6352" s="207">
        <v>147000</v>
      </c>
    </row>
    <row r="6353" spans="1:12" ht="11.25" customHeight="1" x14ac:dyDescent="0.2">
      <c r="A6353" s="191">
        <v>2024</v>
      </c>
      <c r="B6353" s="191">
        <v>12</v>
      </c>
      <c r="C6353" s="191">
        <v>5</v>
      </c>
      <c r="D6353" s="192">
        <f t="shared" si="662"/>
        <v>45631</v>
      </c>
      <c r="E6353" s="193">
        <f t="shared" si="666"/>
        <v>45631</v>
      </c>
      <c r="F6353" s="514"/>
      <c r="G6353" s="194" t="s">
        <v>1209</v>
      </c>
      <c r="H6353" s="195"/>
      <c r="I6353" s="195" t="s">
        <v>1253</v>
      </c>
      <c r="J6353" s="191" t="s">
        <v>76</v>
      </c>
      <c r="K6353" s="196"/>
      <c r="L6353" s="196">
        <v>4800000</v>
      </c>
    </row>
    <row r="6354" spans="1:12" ht="11.25" customHeight="1" x14ac:dyDescent="0.2">
      <c r="A6354" s="197">
        <v>2024</v>
      </c>
      <c r="B6354" s="197">
        <v>12</v>
      </c>
      <c r="C6354" s="197">
        <v>5</v>
      </c>
      <c r="D6354" s="198">
        <f t="shared" si="662"/>
        <v>45631</v>
      </c>
      <c r="E6354" s="199">
        <f>DATE(A6354,B6354,C6354)</f>
        <v>45631</v>
      </c>
      <c r="F6354" s="513" t="s">
        <v>1938</v>
      </c>
      <c r="G6354" s="200" t="s">
        <v>1209</v>
      </c>
      <c r="H6354" s="201"/>
      <c r="I6354" s="201" t="s">
        <v>1253</v>
      </c>
      <c r="J6354" s="197" t="s">
        <v>46</v>
      </c>
      <c r="K6354" s="202">
        <v>4797000</v>
      </c>
      <c r="L6354" s="202"/>
    </row>
    <row r="6355" spans="1:12" ht="11.25" customHeight="1" x14ac:dyDescent="0.2">
      <c r="A6355" s="120">
        <v>2024</v>
      </c>
      <c r="B6355" s="120">
        <v>12</v>
      </c>
      <c r="C6355" s="120">
        <v>5</v>
      </c>
      <c r="D6355" s="208">
        <f t="shared" si="662"/>
        <v>45631</v>
      </c>
      <c r="E6355" s="209">
        <f t="shared" ref="E6355:E6358" si="667">DATE(A6355,B6355,C6355)</f>
        <v>45631</v>
      </c>
      <c r="F6355" s="515"/>
      <c r="G6355" s="132" t="s">
        <v>1209</v>
      </c>
      <c r="J6355" s="120" t="s">
        <v>46</v>
      </c>
      <c r="K6355" s="207">
        <v>147000</v>
      </c>
      <c r="L6355" s="207"/>
    </row>
    <row r="6356" spans="1:12" ht="11.25" customHeight="1" x14ac:dyDescent="0.2">
      <c r="A6356" s="120">
        <v>2024</v>
      </c>
      <c r="B6356" s="120">
        <v>12</v>
      </c>
      <c r="C6356" s="120">
        <v>5</v>
      </c>
      <c r="D6356" s="208">
        <f t="shared" si="662"/>
        <v>45631</v>
      </c>
      <c r="E6356" s="209">
        <f t="shared" si="667"/>
        <v>45631</v>
      </c>
      <c r="F6356" s="515"/>
      <c r="G6356" s="132" t="s">
        <v>1209</v>
      </c>
      <c r="J6356" s="120" t="s">
        <v>54</v>
      </c>
      <c r="K6356" s="207">
        <v>3000</v>
      </c>
      <c r="L6356" s="207"/>
    </row>
    <row r="6357" spans="1:12" ht="11.25" customHeight="1" x14ac:dyDescent="0.2">
      <c r="A6357" s="120">
        <v>2024</v>
      </c>
      <c r="B6357" s="120">
        <v>12</v>
      </c>
      <c r="C6357" s="120">
        <v>5</v>
      </c>
      <c r="D6357" s="208">
        <f t="shared" si="662"/>
        <v>45631</v>
      </c>
      <c r="E6357" s="209">
        <f t="shared" si="667"/>
        <v>45631</v>
      </c>
      <c r="F6357" s="515"/>
      <c r="G6357" s="132" t="s">
        <v>1209</v>
      </c>
      <c r="J6357" s="120" t="s">
        <v>113</v>
      </c>
      <c r="K6357" s="207"/>
      <c r="L6357" s="207">
        <v>147000</v>
      </c>
    </row>
    <row r="6358" spans="1:12" ht="11.25" customHeight="1" x14ac:dyDescent="0.2">
      <c r="A6358" s="191">
        <v>2024</v>
      </c>
      <c r="B6358" s="191">
        <v>12</v>
      </c>
      <c r="C6358" s="191">
        <v>5</v>
      </c>
      <c r="D6358" s="192">
        <f t="shared" si="662"/>
        <v>45631</v>
      </c>
      <c r="E6358" s="193">
        <f t="shared" si="667"/>
        <v>45631</v>
      </c>
      <c r="F6358" s="514"/>
      <c r="G6358" s="194" t="s">
        <v>1209</v>
      </c>
      <c r="H6358" s="195"/>
      <c r="I6358" s="195" t="s">
        <v>1253</v>
      </c>
      <c r="J6358" s="191" t="s">
        <v>76</v>
      </c>
      <c r="K6358" s="196"/>
      <c r="L6358" s="196">
        <v>4800000</v>
      </c>
    </row>
    <row r="6359" spans="1:12" ht="11.25" customHeight="1" x14ac:dyDescent="0.2">
      <c r="A6359" s="197">
        <v>2024</v>
      </c>
      <c r="B6359" s="197">
        <v>12</v>
      </c>
      <c r="C6359" s="197">
        <v>5</v>
      </c>
      <c r="D6359" s="198">
        <f t="shared" si="662"/>
        <v>45631</v>
      </c>
      <c r="E6359" s="199">
        <f>DATE(A6359,B6359,C6359)</f>
        <v>45631</v>
      </c>
      <c r="F6359" s="513" t="s">
        <v>1939</v>
      </c>
      <c r="G6359" s="200" t="s">
        <v>1209</v>
      </c>
      <c r="H6359" s="201"/>
      <c r="I6359" s="201" t="s">
        <v>1253</v>
      </c>
      <c r="J6359" s="197" t="s">
        <v>46</v>
      </c>
      <c r="K6359" s="202">
        <v>400000</v>
      </c>
      <c r="L6359" s="202"/>
    </row>
    <row r="6360" spans="1:12" ht="11.25" customHeight="1" x14ac:dyDescent="0.2">
      <c r="A6360" s="120">
        <v>2024</v>
      </c>
      <c r="B6360" s="120">
        <v>12</v>
      </c>
      <c r="C6360" s="120">
        <v>5</v>
      </c>
      <c r="D6360" s="208">
        <f t="shared" si="662"/>
        <v>45631</v>
      </c>
      <c r="E6360" s="209">
        <f t="shared" ref="E6360:E6362" si="668">DATE(A6360,B6360,C6360)</f>
        <v>45631</v>
      </c>
      <c r="F6360" s="515"/>
      <c r="G6360" s="132" t="s">
        <v>1209</v>
      </c>
      <c r="J6360" s="120" t="s">
        <v>46</v>
      </c>
      <c r="K6360" s="207">
        <v>12250</v>
      </c>
      <c r="L6360" s="207"/>
    </row>
    <row r="6361" spans="1:12" ht="11.25" customHeight="1" x14ac:dyDescent="0.2">
      <c r="A6361" s="120">
        <v>2024</v>
      </c>
      <c r="B6361" s="120">
        <v>12</v>
      </c>
      <c r="C6361" s="120">
        <v>5</v>
      </c>
      <c r="D6361" s="208">
        <f t="shared" si="662"/>
        <v>45631</v>
      </c>
      <c r="E6361" s="209">
        <f t="shared" si="668"/>
        <v>45631</v>
      </c>
      <c r="F6361" s="515"/>
      <c r="G6361" s="132" t="s">
        <v>1209</v>
      </c>
      <c r="J6361" s="120" t="s">
        <v>113</v>
      </c>
      <c r="K6361" s="207"/>
      <c r="L6361" s="207">
        <v>12250</v>
      </c>
    </row>
    <row r="6362" spans="1:12" ht="11.25" customHeight="1" x14ac:dyDescent="0.2">
      <c r="A6362" s="191">
        <v>2024</v>
      </c>
      <c r="B6362" s="191">
        <v>12</v>
      </c>
      <c r="C6362" s="191">
        <v>5</v>
      </c>
      <c r="D6362" s="192">
        <f t="shared" si="662"/>
        <v>45631</v>
      </c>
      <c r="E6362" s="193">
        <f t="shared" si="668"/>
        <v>45631</v>
      </c>
      <c r="F6362" s="514"/>
      <c r="G6362" s="194" t="s">
        <v>1209</v>
      </c>
      <c r="H6362" s="195"/>
      <c r="I6362" s="195" t="s">
        <v>1253</v>
      </c>
      <c r="J6362" s="191" t="s">
        <v>76</v>
      </c>
      <c r="K6362" s="196"/>
      <c r="L6362" s="196">
        <v>400000</v>
      </c>
    </row>
    <row r="6363" spans="1:12" ht="11.25" customHeight="1" x14ac:dyDescent="0.2">
      <c r="A6363" s="424">
        <v>2024</v>
      </c>
      <c r="B6363" s="424">
        <v>12</v>
      </c>
      <c r="C6363" s="424">
        <v>5</v>
      </c>
      <c r="D6363" s="425">
        <f t="shared" si="662"/>
        <v>45631</v>
      </c>
      <c r="E6363" s="384">
        <f t="shared" si="665"/>
        <v>45631</v>
      </c>
      <c r="F6363" s="516" t="s">
        <v>1850</v>
      </c>
      <c r="G6363" s="426" t="s">
        <v>1209</v>
      </c>
      <c r="H6363" s="427"/>
      <c r="I6363" s="427"/>
      <c r="J6363" s="428" t="s">
        <v>81</v>
      </c>
      <c r="K6363" s="429">
        <v>6973.2450980392159</v>
      </c>
      <c r="L6363" s="429"/>
    </row>
    <row r="6364" spans="1:12" ht="11.25" customHeight="1" x14ac:dyDescent="0.2">
      <c r="A6364" s="389">
        <v>2024</v>
      </c>
      <c r="B6364" s="389">
        <v>12</v>
      </c>
      <c r="C6364" s="389">
        <v>5</v>
      </c>
      <c r="D6364" s="390">
        <f t="shared" si="662"/>
        <v>45631</v>
      </c>
      <c r="E6364" s="391">
        <f t="shared" si="665"/>
        <v>45631</v>
      </c>
      <c r="F6364" s="517"/>
      <c r="G6364" s="392" t="s">
        <v>1209</v>
      </c>
      <c r="H6364" s="393"/>
      <c r="I6364" s="393"/>
      <c r="J6364" s="394" t="s">
        <v>1847</v>
      </c>
      <c r="K6364" s="423"/>
      <c r="L6364" s="423">
        <v>6973.2450980392159</v>
      </c>
    </row>
    <row r="6365" spans="1:12" ht="11.25" customHeight="1" x14ac:dyDescent="0.2">
      <c r="A6365" s="382">
        <v>2024</v>
      </c>
      <c r="B6365" s="382">
        <v>12</v>
      </c>
      <c r="C6365" s="382">
        <v>5</v>
      </c>
      <c r="D6365" s="383">
        <f t="shared" si="662"/>
        <v>45631</v>
      </c>
      <c r="E6365" s="384">
        <f t="shared" si="665"/>
        <v>45631</v>
      </c>
      <c r="F6365" s="516" t="s">
        <v>1892</v>
      </c>
      <c r="G6365" s="385" t="s">
        <v>1209</v>
      </c>
      <c r="H6365" s="386"/>
      <c r="I6365" s="386"/>
      <c r="J6365" s="387" t="s">
        <v>173</v>
      </c>
      <c r="K6365" s="388">
        <v>4386.4045229374979</v>
      </c>
      <c r="L6365" s="388"/>
    </row>
    <row r="6366" spans="1:12" ht="11.25" customHeight="1" x14ac:dyDescent="0.2">
      <c r="A6366" s="389">
        <v>2024</v>
      </c>
      <c r="B6366" s="389">
        <v>12</v>
      </c>
      <c r="C6366" s="389">
        <v>5</v>
      </c>
      <c r="D6366" s="390">
        <f t="shared" si="662"/>
        <v>45631</v>
      </c>
      <c r="E6366" s="391">
        <f t="shared" si="665"/>
        <v>45631</v>
      </c>
      <c r="F6366" s="517"/>
      <c r="G6366" s="392" t="s">
        <v>1209</v>
      </c>
      <c r="H6366" s="393"/>
      <c r="I6366" s="393"/>
      <c r="J6366" s="394" t="s">
        <v>43</v>
      </c>
      <c r="K6366" s="388"/>
      <c r="L6366" s="388">
        <f>K6365</f>
        <v>4386.4045229374979</v>
      </c>
    </row>
    <row r="6367" spans="1:12" ht="11.25" customHeight="1" x14ac:dyDescent="0.2">
      <c r="A6367" s="344">
        <v>2024</v>
      </c>
      <c r="B6367" s="344">
        <v>12</v>
      </c>
      <c r="C6367" s="344">
        <v>5</v>
      </c>
      <c r="D6367" s="345">
        <f t="shared" si="662"/>
        <v>45631</v>
      </c>
      <c r="E6367" s="346">
        <f t="shared" si="665"/>
        <v>45631</v>
      </c>
      <c r="F6367" s="518" t="s">
        <v>1621</v>
      </c>
      <c r="G6367" s="347" t="s">
        <v>1245</v>
      </c>
      <c r="H6367" s="348"/>
      <c r="I6367" s="348" t="s">
        <v>1253</v>
      </c>
      <c r="J6367" s="344" t="s">
        <v>113</v>
      </c>
      <c r="K6367" s="349">
        <v>73028.846153846156</v>
      </c>
      <c r="L6367" s="349"/>
    </row>
    <row r="6368" spans="1:12" ht="11.25" customHeight="1" x14ac:dyDescent="0.2">
      <c r="A6368" s="350">
        <v>2024</v>
      </c>
      <c r="B6368" s="350">
        <v>12</v>
      </c>
      <c r="C6368" s="350">
        <v>5</v>
      </c>
      <c r="D6368" s="351">
        <f t="shared" si="662"/>
        <v>45631</v>
      </c>
      <c r="E6368" s="352">
        <f t="shared" si="665"/>
        <v>45631</v>
      </c>
      <c r="F6368" s="519"/>
      <c r="G6368" s="353" t="s">
        <v>1245</v>
      </c>
      <c r="H6368" s="354"/>
      <c r="I6368" s="354" t="s">
        <v>1253</v>
      </c>
      <c r="J6368" s="350" t="s">
        <v>153</v>
      </c>
      <c r="K6368" s="355"/>
      <c r="L6368" s="355">
        <f>K6367</f>
        <v>73028.846153846156</v>
      </c>
    </row>
    <row r="6369" spans="1:13" ht="11.25" customHeight="1" x14ac:dyDescent="0.2">
      <c r="A6369" s="210">
        <v>2024</v>
      </c>
      <c r="B6369" s="210">
        <v>12</v>
      </c>
      <c r="C6369" s="210">
        <v>5</v>
      </c>
      <c r="D6369" s="211">
        <f t="shared" si="662"/>
        <v>45631</v>
      </c>
      <c r="E6369" s="238">
        <f t="shared" si="665"/>
        <v>45631</v>
      </c>
      <c r="F6369" s="520" t="s">
        <v>1278</v>
      </c>
      <c r="G6369" s="213" t="s">
        <v>1245</v>
      </c>
      <c r="H6369" s="214"/>
      <c r="I6369" s="214" t="s">
        <v>1253</v>
      </c>
      <c r="J6369" s="210" t="s">
        <v>1529</v>
      </c>
      <c r="K6369" s="215">
        <v>510.40384615384613</v>
      </c>
      <c r="L6369" s="215"/>
    </row>
    <row r="6370" spans="1:13" ht="11.25" customHeight="1" x14ac:dyDescent="0.2">
      <c r="A6370" s="216">
        <v>2024</v>
      </c>
      <c r="B6370" s="216">
        <v>12</v>
      </c>
      <c r="C6370" s="216">
        <v>5</v>
      </c>
      <c r="D6370" s="217">
        <f t="shared" si="662"/>
        <v>45631</v>
      </c>
      <c r="E6370" s="239">
        <f t="shared" si="665"/>
        <v>45631</v>
      </c>
      <c r="F6370" s="521"/>
      <c r="G6370" s="219" t="s">
        <v>1245</v>
      </c>
      <c r="H6370" s="220"/>
      <c r="I6370" s="220" t="s">
        <v>1253</v>
      </c>
      <c r="J6370" s="216" t="s">
        <v>1581</v>
      </c>
      <c r="K6370" s="221"/>
      <c r="L6370" s="221">
        <v>510.40384615384613</v>
      </c>
    </row>
    <row r="6371" spans="1:13" ht="11.25" customHeight="1" x14ac:dyDescent="0.2">
      <c r="A6371" s="210">
        <v>2024</v>
      </c>
      <c r="B6371" s="210">
        <v>12</v>
      </c>
      <c r="C6371" s="210">
        <v>5</v>
      </c>
      <c r="D6371" s="211">
        <f t="shared" si="662"/>
        <v>45631</v>
      </c>
      <c r="E6371" s="238">
        <f t="shared" si="665"/>
        <v>45631</v>
      </c>
      <c r="F6371" s="520" t="s">
        <v>1857</v>
      </c>
      <c r="G6371" s="213" t="s">
        <v>1245</v>
      </c>
      <c r="H6371" s="214"/>
      <c r="I6371" s="214" t="s">
        <v>1253</v>
      </c>
      <c r="J6371" s="210" t="s">
        <v>1284</v>
      </c>
      <c r="K6371" s="215">
        <v>8903.4309440559427</v>
      </c>
      <c r="L6371" s="215"/>
    </row>
    <row r="6372" spans="1:13" ht="11.25" customHeight="1" x14ac:dyDescent="0.2">
      <c r="A6372" s="242">
        <v>2024</v>
      </c>
      <c r="B6372" s="242">
        <v>12</v>
      </c>
      <c r="C6372" s="242">
        <v>5</v>
      </c>
      <c r="D6372" s="243">
        <f t="shared" si="662"/>
        <v>45631</v>
      </c>
      <c r="E6372" s="244">
        <f>DATE(A6372,B6372,C6372)</f>
        <v>45631</v>
      </c>
      <c r="F6372" s="524"/>
      <c r="G6372" s="245" t="s">
        <v>1245</v>
      </c>
      <c r="H6372" s="246"/>
      <c r="I6372" s="246"/>
      <c r="J6372" s="242" t="s">
        <v>1582</v>
      </c>
      <c r="K6372" s="247"/>
      <c r="L6372" s="247">
        <v>8903.4309440559427</v>
      </c>
    </row>
    <row r="6373" spans="1:13" ht="11.25" customHeight="1" x14ac:dyDescent="0.2">
      <c r="A6373" s="210">
        <v>2024</v>
      </c>
      <c r="B6373" s="210">
        <v>12</v>
      </c>
      <c r="C6373" s="210">
        <v>5</v>
      </c>
      <c r="D6373" s="211">
        <f t="shared" si="662"/>
        <v>45631</v>
      </c>
      <c r="E6373" s="238">
        <f t="shared" ref="E6373:E6389" si="669">DATE(A6373,B6373,C6373)</f>
        <v>45631</v>
      </c>
      <c r="F6373" s="520" t="s">
        <v>1259</v>
      </c>
      <c r="G6373" s="213" t="s">
        <v>1245</v>
      </c>
      <c r="H6373" s="214"/>
      <c r="I6373" s="214" t="s">
        <v>1253</v>
      </c>
      <c r="J6373" s="210" t="s">
        <v>58</v>
      </c>
      <c r="K6373" s="215">
        <v>38559.800000000003</v>
      </c>
      <c r="L6373" s="215"/>
    </row>
    <row r="6374" spans="1:13" ht="11.25" customHeight="1" x14ac:dyDescent="0.2">
      <c r="A6374" s="216">
        <v>2024</v>
      </c>
      <c r="B6374" s="216">
        <v>12</v>
      </c>
      <c r="C6374" s="216">
        <v>5</v>
      </c>
      <c r="D6374" s="217">
        <f t="shared" si="662"/>
        <v>45631</v>
      </c>
      <c r="E6374" s="239">
        <f t="shared" si="669"/>
        <v>45631</v>
      </c>
      <c r="F6374" s="521"/>
      <c r="G6374" s="219" t="s">
        <v>1245</v>
      </c>
      <c r="H6374" s="220"/>
      <c r="I6374" s="220" t="s">
        <v>1253</v>
      </c>
      <c r="J6374" s="216" t="s">
        <v>153</v>
      </c>
      <c r="K6374" s="221"/>
      <c r="L6374" s="221">
        <f>K6373</f>
        <v>38559.800000000003</v>
      </c>
    </row>
    <row r="6375" spans="1:13" ht="11.25" customHeight="1" x14ac:dyDescent="0.2">
      <c r="A6375" s="312">
        <v>2024</v>
      </c>
      <c r="B6375" s="312">
        <v>12</v>
      </c>
      <c r="C6375" s="312">
        <v>5</v>
      </c>
      <c r="D6375" s="313">
        <f t="shared" si="662"/>
        <v>45631</v>
      </c>
      <c r="E6375" s="314">
        <f t="shared" si="669"/>
        <v>45631</v>
      </c>
      <c r="F6375" s="522" t="s">
        <v>1477</v>
      </c>
      <c r="G6375" s="315" t="s">
        <v>1245</v>
      </c>
      <c r="H6375" s="316"/>
      <c r="I6375" s="316" t="s">
        <v>1253</v>
      </c>
      <c r="J6375" s="312" t="s">
        <v>1458</v>
      </c>
      <c r="K6375" s="317">
        <v>1181277</v>
      </c>
      <c r="L6375" s="317"/>
      <c r="M6375" s="120">
        <f>BS!$I$11</f>
        <v>5.9604644775390625E-8</v>
      </c>
    </row>
    <row r="6376" spans="1:13" ht="11.25" customHeight="1" x14ac:dyDescent="0.2">
      <c r="A6376" s="318">
        <v>2024</v>
      </c>
      <c r="B6376" s="318">
        <v>12</v>
      </c>
      <c r="C6376" s="318">
        <v>5</v>
      </c>
      <c r="D6376" s="319">
        <f t="shared" si="662"/>
        <v>45631</v>
      </c>
      <c r="E6376" s="320">
        <f t="shared" si="669"/>
        <v>45631</v>
      </c>
      <c r="F6376" s="523"/>
      <c r="G6376" s="321" t="s">
        <v>1245</v>
      </c>
      <c r="H6376" s="322"/>
      <c r="I6376" s="322" t="s">
        <v>1253</v>
      </c>
      <c r="J6376" s="318" t="s">
        <v>1460</v>
      </c>
      <c r="K6376" s="323"/>
      <c r="L6376" s="323">
        <f>K6375</f>
        <v>1181277</v>
      </c>
    </row>
    <row r="6377" spans="1:13" ht="11.25" customHeight="1" x14ac:dyDescent="0.2">
      <c r="A6377" s="312">
        <v>2024</v>
      </c>
      <c r="B6377" s="312">
        <v>12</v>
      </c>
      <c r="C6377" s="312">
        <v>5</v>
      </c>
      <c r="D6377" s="313">
        <f t="shared" si="662"/>
        <v>45631</v>
      </c>
      <c r="E6377" s="314">
        <f t="shared" si="669"/>
        <v>45631</v>
      </c>
      <c r="F6377" s="522" t="s">
        <v>1595</v>
      </c>
      <c r="G6377" s="315" t="s">
        <v>1245</v>
      </c>
      <c r="H6377" s="316"/>
      <c r="I6377" s="316" t="s">
        <v>1253</v>
      </c>
      <c r="J6377" s="312" t="s">
        <v>1461</v>
      </c>
      <c r="K6377" s="317">
        <v>781927.99900007248</v>
      </c>
      <c r="L6377" s="317"/>
      <c r="M6377" s="120">
        <f>BS!$I$14</f>
        <v>0</v>
      </c>
    </row>
    <row r="6378" spans="1:13" ht="11.25" customHeight="1" x14ac:dyDescent="0.2">
      <c r="A6378" s="318">
        <v>2024</v>
      </c>
      <c r="B6378" s="318">
        <v>12</v>
      </c>
      <c r="C6378" s="318">
        <v>5</v>
      </c>
      <c r="D6378" s="319">
        <f t="shared" si="662"/>
        <v>45631</v>
      </c>
      <c r="E6378" s="320">
        <f t="shared" si="669"/>
        <v>45631</v>
      </c>
      <c r="F6378" s="523"/>
      <c r="G6378" s="321" t="s">
        <v>1245</v>
      </c>
      <c r="H6378" s="322"/>
      <c r="I6378" s="322" t="s">
        <v>1253</v>
      </c>
      <c r="J6378" s="318" t="s">
        <v>1459</v>
      </c>
      <c r="K6378" s="323"/>
      <c r="L6378" s="323">
        <f>K6377</f>
        <v>781927.99900007248</v>
      </c>
    </row>
    <row r="6379" spans="1:13" ht="11.25" customHeight="1" x14ac:dyDescent="0.2">
      <c r="A6379" s="222">
        <v>2024</v>
      </c>
      <c r="B6379" s="222">
        <v>12</v>
      </c>
      <c r="C6379" s="222">
        <v>5</v>
      </c>
      <c r="D6379" s="223">
        <f t="shared" si="662"/>
        <v>45631</v>
      </c>
      <c r="E6379" s="240">
        <f t="shared" si="669"/>
        <v>45631</v>
      </c>
      <c r="F6379" s="511" t="s">
        <v>1244</v>
      </c>
      <c r="G6379" s="225" t="s">
        <v>1245</v>
      </c>
      <c r="H6379" s="226"/>
      <c r="I6379" s="226" t="s">
        <v>1253</v>
      </c>
      <c r="J6379" s="222" t="s">
        <v>87</v>
      </c>
      <c r="K6379" s="227">
        <v>7845</v>
      </c>
      <c r="L6379" s="227"/>
      <c r="M6379" s="120">
        <f>BS!$I$7</f>
        <v>0</v>
      </c>
    </row>
    <row r="6380" spans="1:13" ht="11.25" customHeight="1" x14ac:dyDescent="0.2">
      <c r="A6380" s="228">
        <v>2024</v>
      </c>
      <c r="B6380" s="228">
        <v>12</v>
      </c>
      <c r="C6380" s="228">
        <v>5</v>
      </c>
      <c r="D6380" s="229">
        <f t="shared" ref="D6380:D6443" si="670">DATE(A6380,B6380,C6380)</f>
        <v>45631</v>
      </c>
      <c r="E6380" s="241">
        <f t="shared" si="669"/>
        <v>45631</v>
      </c>
      <c r="F6380" s="512"/>
      <c r="G6380" s="231" t="s">
        <v>1245</v>
      </c>
      <c r="H6380" s="232"/>
      <c r="I6380" s="232" t="s">
        <v>1253</v>
      </c>
      <c r="J6380" s="228" t="s">
        <v>72</v>
      </c>
      <c r="K6380" s="233"/>
      <c r="L6380" s="233">
        <f>K6379</f>
        <v>7845</v>
      </c>
    </row>
    <row r="6381" spans="1:13" ht="11.25" customHeight="1" x14ac:dyDescent="0.2">
      <c r="A6381" s="222">
        <v>2024</v>
      </c>
      <c r="B6381" s="222">
        <v>12</v>
      </c>
      <c r="C6381" s="222">
        <v>5</v>
      </c>
      <c r="D6381" s="223">
        <f t="shared" si="670"/>
        <v>45631</v>
      </c>
      <c r="E6381" s="240">
        <f t="shared" si="669"/>
        <v>45631</v>
      </c>
      <c r="F6381" s="511" t="s">
        <v>1246</v>
      </c>
      <c r="G6381" s="225" t="s">
        <v>1245</v>
      </c>
      <c r="H6381" s="226"/>
      <c r="I6381" s="226" t="s">
        <v>1253</v>
      </c>
      <c r="J6381" s="222" t="s">
        <v>75</v>
      </c>
      <c r="K6381" s="227">
        <v>3623.123846153846</v>
      </c>
      <c r="L6381" s="227"/>
    </row>
    <row r="6382" spans="1:13" ht="11.25" customHeight="1" x14ac:dyDescent="0.2">
      <c r="A6382" s="228">
        <v>2024</v>
      </c>
      <c r="B6382" s="228">
        <v>12</v>
      </c>
      <c r="C6382" s="228">
        <v>5</v>
      </c>
      <c r="D6382" s="229">
        <f t="shared" si="670"/>
        <v>45631</v>
      </c>
      <c r="E6382" s="241">
        <f t="shared" si="669"/>
        <v>45631</v>
      </c>
      <c r="F6382" s="512"/>
      <c r="G6382" s="231" t="s">
        <v>1245</v>
      </c>
      <c r="H6382" s="232"/>
      <c r="I6382" s="232" t="s">
        <v>1253</v>
      </c>
      <c r="J6382" s="228" t="s">
        <v>55</v>
      </c>
      <c r="K6382" s="233"/>
      <c r="L6382" s="233">
        <v>3623.123846153846</v>
      </c>
    </row>
    <row r="6383" spans="1:13" ht="11.25" customHeight="1" x14ac:dyDescent="0.2">
      <c r="A6383" s="222">
        <v>2024</v>
      </c>
      <c r="B6383" s="222">
        <v>12</v>
      </c>
      <c r="C6383" s="222">
        <v>5</v>
      </c>
      <c r="D6383" s="223">
        <f t="shared" si="670"/>
        <v>45631</v>
      </c>
      <c r="E6383" s="240">
        <f t="shared" si="669"/>
        <v>45631</v>
      </c>
      <c r="F6383" s="511" t="s">
        <v>1247</v>
      </c>
      <c r="G6383" s="225" t="s">
        <v>1245</v>
      </c>
      <c r="H6383" s="226"/>
      <c r="I6383" s="226" t="s">
        <v>1253</v>
      </c>
      <c r="J6383" s="222" t="s">
        <v>77</v>
      </c>
      <c r="K6383" s="227">
        <f>M6383</f>
        <v>41229.1407669849</v>
      </c>
      <c r="L6383" s="227"/>
      <c r="M6383" s="120">
        <v>41229.1407669849</v>
      </c>
    </row>
    <row r="6384" spans="1:13" ht="11.25" customHeight="1" x14ac:dyDescent="0.2">
      <c r="A6384" s="228">
        <v>2024</v>
      </c>
      <c r="B6384" s="228">
        <v>12</v>
      </c>
      <c r="C6384" s="228">
        <v>5</v>
      </c>
      <c r="D6384" s="229">
        <f t="shared" si="670"/>
        <v>45631</v>
      </c>
      <c r="E6384" s="241">
        <f t="shared" si="669"/>
        <v>45631</v>
      </c>
      <c r="F6384" s="512"/>
      <c r="G6384" s="231" t="s">
        <v>1245</v>
      </c>
      <c r="H6384" s="232"/>
      <c r="I6384" s="232" t="s">
        <v>1253</v>
      </c>
      <c r="J6384" s="228" t="s">
        <v>41</v>
      </c>
      <c r="K6384" s="233"/>
      <c r="L6384" s="233">
        <f>K6383</f>
        <v>41229.1407669849</v>
      </c>
      <c r="M6384" s="120">
        <v>4122.9140766984892</v>
      </c>
    </row>
    <row r="6385" spans="1:14" ht="11.25" customHeight="1" x14ac:dyDescent="0.2">
      <c r="A6385" s="222">
        <v>2024</v>
      </c>
      <c r="B6385" s="222">
        <v>12</v>
      </c>
      <c r="C6385" s="222">
        <v>5</v>
      </c>
      <c r="D6385" s="223">
        <f t="shared" si="670"/>
        <v>45631</v>
      </c>
      <c r="E6385" s="240">
        <f t="shared" si="669"/>
        <v>45631</v>
      </c>
      <c r="F6385" s="511" t="s">
        <v>1248</v>
      </c>
      <c r="G6385" s="225" t="s">
        <v>1245</v>
      </c>
      <c r="H6385" s="226"/>
      <c r="I6385" s="226" t="s">
        <v>1253</v>
      </c>
      <c r="J6385" s="222" t="s">
        <v>80</v>
      </c>
      <c r="K6385" s="227">
        <f>M6384</f>
        <v>4122.9140766984892</v>
      </c>
      <c r="L6385" s="227"/>
    </row>
    <row r="6386" spans="1:14" x14ac:dyDescent="0.2">
      <c r="A6386" s="228">
        <v>2024</v>
      </c>
      <c r="B6386" s="228">
        <v>12</v>
      </c>
      <c r="C6386" s="228">
        <v>5</v>
      </c>
      <c r="D6386" s="229">
        <f t="shared" si="670"/>
        <v>45631</v>
      </c>
      <c r="E6386" s="241">
        <f t="shared" si="669"/>
        <v>45631</v>
      </c>
      <c r="F6386" s="512"/>
      <c r="G6386" s="231" t="s">
        <v>1245</v>
      </c>
      <c r="H6386" s="232"/>
      <c r="I6386" s="232" t="s">
        <v>1253</v>
      </c>
      <c r="J6386" s="228" t="s">
        <v>42</v>
      </c>
      <c r="K6386" s="233"/>
      <c r="L6386" s="233">
        <f>K6385</f>
        <v>4122.9140766984892</v>
      </c>
    </row>
    <row r="6387" spans="1:14" ht="11.25" customHeight="1" x14ac:dyDescent="0.2">
      <c r="A6387" s="197">
        <v>2024</v>
      </c>
      <c r="B6387" s="197">
        <v>12</v>
      </c>
      <c r="C6387" s="197">
        <v>9</v>
      </c>
      <c r="D6387" s="198">
        <f t="shared" si="670"/>
        <v>45635</v>
      </c>
      <c r="E6387" s="209">
        <f t="shared" si="669"/>
        <v>45635</v>
      </c>
      <c r="F6387" s="513" t="s">
        <v>1280</v>
      </c>
      <c r="G6387" s="200" t="s">
        <v>1209</v>
      </c>
      <c r="H6387" s="201"/>
      <c r="I6387" s="201" t="s">
        <v>426</v>
      </c>
      <c r="J6387" s="197" t="s">
        <v>16</v>
      </c>
      <c r="K6387" s="202">
        <v>118820</v>
      </c>
      <c r="L6387" s="202"/>
    </row>
    <row r="6388" spans="1:14" ht="11.25" customHeight="1" x14ac:dyDescent="0.2">
      <c r="A6388" s="120">
        <v>2024</v>
      </c>
      <c r="B6388" s="120">
        <v>12</v>
      </c>
      <c r="C6388" s="120">
        <v>9</v>
      </c>
      <c r="D6388" s="208">
        <f t="shared" si="670"/>
        <v>45635</v>
      </c>
      <c r="E6388" s="209">
        <f t="shared" si="669"/>
        <v>45635</v>
      </c>
      <c r="F6388" s="515"/>
      <c r="G6388" s="132" t="s">
        <v>1209</v>
      </c>
      <c r="I6388" s="128" t="s">
        <v>426</v>
      </c>
      <c r="J6388" s="120" t="s">
        <v>47</v>
      </c>
      <c r="K6388" s="207">
        <v>20530.339999999997</v>
      </c>
      <c r="L6388" s="207"/>
    </row>
    <row r="6389" spans="1:14" ht="11.25" customHeight="1" x14ac:dyDescent="0.2">
      <c r="A6389" s="191">
        <v>2024</v>
      </c>
      <c r="B6389" s="191">
        <v>12</v>
      </c>
      <c r="C6389" s="191">
        <v>9</v>
      </c>
      <c r="D6389" s="192">
        <f t="shared" si="670"/>
        <v>45635</v>
      </c>
      <c r="E6389" s="193">
        <f t="shared" si="669"/>
        <v>45635</v>
      </c>
      <c r="F6389" s="514"/>
      <c r="G6389" s="194" t="s">
        <v>1209</v>
      </c>
      <c r="H6389" s="195"/>
      <c r="I6389" s="195" t="s">
        <v>426</v>
      </c>
      <c r="J6389" s="191" t="s">
        <v>46</v>
      </c>
      <c r="K6389" s="196"/>
      <c r="L6389" s="196">
        <v>139350.34</v>
      </c>
    </row>
    <row r="6390" spans="1:14" ht="11.25" customHeight="1" x14ac:dyDescent="0.2">
      <c r="A6390" s="197">
        <v>2024</v>
      </c>
      <c r="B6390" s="197">
        <v>12</v>
      </c>
      <c r="C6390" s="197">
        <v>9</v>
      </c>
      <c r="D6390" s="198">
        <f t="shared" si="670"/>
        <v>45635</v>
      </c>
      <c r="E6390" s="209">
        <f t="shared" ref="E6390:E6398" si="671">DATE(A6390,B6390,C6390)</f>
        <v>45635</v>
      </c>
      <c r="F6390" s="513" t="s">
        <v>1280</v>
      </c>
      <c r="G6390" s="200" t="s">
        <v>1209</v>
      </c>
      <c r="H6390" s="201"/>
      <c r="I6390" s="201" t="s">
        <v>1790</v>
      </c>
      <c r="J6390" s="197" t="s">
        <v>16</v>
      </c>
      <c r="K6390" s="202">
        <v>17050</v>
      </c>
      <c r="L6390" s="202"/>
    </row>
    <row r="6391" spans="1:14" ht="11.25" customHeight="1" x14ac:dyDescent="0.2">
      <c r="A6391" s="120">
        <v>2024</v>
      </c>
      <c r="B6391" s="120">
        <v>12</v>
      </c>
      <c r="C6391" s="120">
        <v>9</v>
      </c>
      <c r="D6391" s="208">
        <f t="shared" si="670"/>
        <v>45635</v>
      </c>
      <c r="E6391" s="209">
        <f t="shared" si="671"/>
        <v>45635</v>
      </c>
      <c r="F6391" s="515"/>
      <c r="G6391" s="132" t="s">
        <v>1209</v>
      </c>
      <c r="I6391" s="128" t="s">
        <v>1790</v>
      </c>
      <c r="J6391" s="120" t="s">
        <v>47</v>
      </c>
      <c r="K6391" s="207">
        <v>2950</v>
      </c>
      <c r="L6391" s="207"/>
    </row>
    <row r="6392" spans="1:14" ht="11.25" customHeight="1" x14ac:dyDescent="0.2">
      <c r="A6392" s="191">
        <v>2024</v>
      </c>
      <c r="B6392" s="191">
        <v>12</v>
      </c>
      <c r="C6392" s="191">
        <v>9</v>
      </c>
      <c r="D6392" s="192">
        <f t="shared" si="670"/>
        <v>45635</v>
      </c>
      <c r="E6392" s="193">
        <f t="shared" si="671"/>
        <v>45635</v>
      </c>
      <c r="F6392" s="514"/>
      <c r="G6392" s="194" t="s">
        <v>1209</v>
      </c>
      <c r="H6392" s="195"/>
      <c r="I6392" s="195" t="s">
        <v>1790</v>
      </c>
      <c r="J6392" s="191" t="s">
        <v>46</v>
      </c>
      <c r="K6392" s="196"/>
      <c r="L6392" s="196">
        <v>20000</v>
      </c>
    </row>
    <row r="6393" spans="1:14" ht="11.25" customHeight="1" x14ac:dyDescent="0.2">
      <c r="A6393" s="197">
        <v>2024</v>
      </c>
      <c r="B6393" s="197">
        <v>12</v>
      </c>
      <c r="C6393" s="197">
        <v>9</v>
      </c>
      <c r="D6393" s="198">
        <f t="shared" si="670"/>
        <v>45635</v>
      </c>
      <c r="E6393" s="199">
        <f t="shared" si="671"/>
        <v>45635</v>
      </c>
      <c r="F6393" s="513" t="s">
        <v>1933</v>
      </c>
      <c r="G6393" s="200" t="s">
        <v>1209</v>
      </c>
      <c r="H6393" s="201"/>
      <c r="I6393" s="201" t="s">
        <v>1253</v>
      </c>
      <c r="J6393" s="197" t="s">
        <v>46</v>
      </c>
      <c r="K6393" s="202">
        <v>10000000</v>
      </c>
      <c r="L6393" s="202"/>
    </row>
    <row r="6394" spans="1:14" ht="11.25" customHeight="1" x14ac:dyDescent="0.2">
      <c r="A6394" s="120">
        <v>2024</v>
      </c>
      <c r="B6394" s="120">
        <v>12</v>
      </c>
      <c r="C6394" s="120">
        <v>9</v>
      </c>
      <c r="D6394" s="208">
        <f t="shared" si="670"/>
        <v>45635</v>
      </c>
      <c r="E6394" s="209">
        <f t="shared" si="671"/>
        <v>45635</v>
      </c>
      <c r="F6394" s="515"/>
      <c r="G6394" s="132" t="s">
        <v>1209</v>
      </c>
      <c r="J6394" s="120" t="s">
        <v>1462</v>
      </c>
      <c r="K6394" s="328"/>
      <c r="L6394" s="207">
        <v>278640</v>
      </c>
    </row>
    <row r="6395" spans="1:14" ht="11.25" customHeight="1" x14ac:dyDescent="0.2">
      <c r="A6395" s="191">
        <v>2024</v>
      </c>
      <c r="B6395" s="191">
        <v>12</v>
      </c>
      <c r="C6395" s="191">
        <v>9</v>
      </c>
      <c r="D6395" s="192">
        <f t="shared" si="670"/>
        <v>45635</v>
      </c>
      <c r="E6395" s="193">
        <f t="shared" si="671"/>
        <v>45635</v>
      </c>
      <c r="F6395" s="514"/>
      <c r="G6395" s="194" t="s">
        <v>1209</v>
      </c>
      <c r="H6395" s="195"/>
      <c r="I6395" s="195" t="s">
        <v>1253</v>
      </c>
      <c r="J6395" s="191" t="s">
        <v>1455</v>
      </c>
      <c r="K6395" s="196"/>
      <c r="L6395" s="196">
        <v>9721360</v>
      </c>
      <c r="N6395" s="130"/>
    </row>
    <row r="6396" spans="1:14" ht="11.25" customHeight="1" x14ac:dyDescent="0.2">
      <c r="A6396" s="197">
        <v>2024</v>
      </c>
      <c r="B6396" s="197">
        <v>12</v>
      </c>
      <c r="C6396" s="197">
        <v>10</v>
      </c>
      <c r="D6396" s="198">
        <f t="shared" si="670"/>
        <v>45636</v>
      </c>
      <c r="E6396" s="209">
        <f t="shared" si="671"/>
        <v>45636</v>
      </c>
      <c r="F6396" s="513" t="s">
        <v>1210</v>
      </c>
      <c r="G6396" s="200" t="s">
        <v>1209</v>
      </c>
      <c r="H6396" s="201"/>
      <c r="I6396" s="201" t="s">
        <v>1940</v>
      </c>
      <c r="J6396" s="197" t="s">
        <v>46</v>
      </c>
      <c r="K6396" s="202">
        <v>300000</v>
      </c>
      <c r="L6396" s="202"/>
    </row>
    <row r="6397" spans="1:14" ht="11.25" customHeight="1" x14ac:dyDescent="0.2">
      <c r="A6397" s="120">
        <v>2024</v>
      </c>
      <c r="B6397" s="120">
        <v>12</v>
      </c>
      <c r="C6397" s="120">
        <v>10</v>
      </c>
      <c r="D6397" s="208">
        <f t="shared" si="670"/>
        <v>45636</v>
      </c>
      <c r="E6397" s="209">
        <f t="shared" si="671"/>
        <v>45636</v>
      </c>
      <c r="F6397" s="515"/>
      <c r="G6397" s="132" t="s">
        <v>1209</v>
      </c>
      <c r="I6397" s="128" t="s">
        <v>1940</v>
      </c>
      <c r="J6397" s="120" t="s">
        <v>16</v>
      </c>
      <c r="K6397" s="207"/>
      <c r="L6397" s="207">
        <v>255800</v>
      </c>
    </row>
    <row r="6398" spans="1:14" ht="11.25" customHeight="1" x14ac:dyDescent="0.2">
      <c r="A6398" s="191">
        <v>2024</v>
      </c>
      <c r="B6398" s="191">
        <v>12</v>
      </c>
      <c r="C6398" s="191">
        <v>10</v>
      </c>
      <c r="D6398" s="192">
        <f t="shared" si="670"/>
        <v>45636</v>
      </c>
      <c r="E6398" s="193">
        <f t="shared" si="671"/>
        <v>45636</v>
      </c>
      <c r="F6398" s="514"/>
      <c r="G6398" s="194" t="s">
        <v>1209</v>
      </c>
      <c r="H6398" s="195"/>
      <c r="I6398" s="195" t="s">
        <v>1940</v>
      </c>
      <c r="J6398" s="191" t="s">
        <v>47</v>
      </c>
      <c r="K6398" s="196"/>
      <c r="L6398" s="196">
        <v>44200</v>
      </c>
    </row>
    <row r="6399" spans="1:14" ht="11.25" customHeight="1" x14ac:dyDescent="0.2">
      <c r="A6399" s="197">
        <v>2024</v>
      </c>
      <c r="B6399" s="197">
        <v>12</v>
      </c>
      <c r="C6399" s="197">
        <v>10</v>
      </c>
      <c r="D6399" s="198">
        <f t="shared" si="670"/>
        <v>45636</v>
      </c>
      <c r="E6399" s="209">
        <f t="shared" ref="E6399:E6404" si="672">DATE(A6399,B6399,C6399)</f>
        <v>45636</v>
      </c>
      <c r="F6399" s="513" t="s">
        <v>1210</v>
      </c>
      <c r="G6399" s="200" t="s">
        <v>1209</v>
      </c>
      <c r="H6399" s="201"/>
      <c r="I6399" s="201" t="s">
        <v>1941</v>
      </c>
      <c r="J6399" s="197" t="s">
        <v>46</v>
      </c>
      <c r="K6399" s="202">
        <v>350000</v>
      </c>
      <c r="L6399" s="202"/>
    </row>
    <row r="6400" spans="1:14" ht="11.25" customHeight="1" x14ac:dyDescent="0.2">
      <c r="A6400" s="120">
        <v>2024</v>
      </c>
      <c r="B6400" s="120">
        <v>12</v>
      </c>
      <c r="C6400" s="120">
        <v>10</v>
      </c>
      <c r="D6400" s="208">
        <f t="shared" si="670"/>
        <v>45636</v>
      </c>
      <c r="E6400" s="209">
        <f t="shared" si="672"/>
        <v>45636</v>
      </c>
      <c r="F6400" s="515"/>
      <c r="G6400" s="132" t="s">
        <v>1209</v>
      </c>
      <c r="I6400" s="128" t="s">
        <v>1941</v>
      </c>
      <c r="J6400" s="120" t="s">
        <v>16</v>
      </c>
      <c r="K6400" s="207"/>
      <c r="L6400" s="207">
        <v>298430</v>
      </c>
    </row>
    <row r="6401" spans="1:12" ht="11.25" customHeight="1" x14ac:dyDescent="0.2">
      <c r="A6401" s="191">
        <v>2024</v>
      </c>
      <c r="B6401" s="191">
        <v>12</v>
      </c>
      <c r="C6401" s="191">
        <v>10</v>
      </c>
      <c r="D6401" s="192">
        <f t="shared" si="670"/>
        <v>45636</v>
      </c>
      <c r="E6401" s="193">
        <f t="shared" si="672"/>
        <v>45636</v>
      </c>
      <c r="F6401" s="514"/>
      <c r="G6401" s="194" t="s">
        <v>1209</v>
      </c>
      <c r="H6401" s="195"/>
      <c r="I6401" s="195" t="s">
        <v>1941</v>
      </c>
      <c r="J6401" s="191" t="s">
        <v>47</v>
      </c>
      <c r="K6401" s="196"/>
      <c r="L6401" s="196">
        <v>51570</v>
      </c>
    </row>
    <row r="6402" spans="1:12" ht="11.25" customHeight="1" x14ac:dyDescent="0.2">
      <c r="A6402" s="197">
        <v>2024</v>
      </c>
      <c r="B6402" s="197">
        <v>12</v>
      </c>
      <c r="C6402" s="197">
        <v>11</v>
      </c>
      <c r="D6402" s="198">
        <f t="shared" si="670"/>
        <v>45637</v>
      </c>
      <c r="E6402" s="209">
        <f t="shared" si="672"/>
        <v>45637</v>
      </c>
      <c r="F6402" s="513" t="s">
        <v>1280</v>
      </c>
      <c r="G6402" s="200" t="s">
        <v>1209</v>
      </c>
      <c r="H6402" s="201"/>
      <c r="I6402" s="201" t="s">
        <v>1170</v>
      </c>
      <c r="J6402" s="197" t="s">
        <v>16</v>
      </c>
      <c r="K6402" s="202">
        <v>39960</v>
      </c>
      <c r="L6402" s="202"/>
    </row>
    <row r="6403" spans="1:12" ht="11.25" customHeight="1" x14ac:dyDescent="0.2">
      <c r="A6403" s="120">
        <v>2024</v>
      </c>
      <c r="B6403" s="120">
        <v>12</v>
      </c>
      <c r="C6403" s="120">
        <v>11</v>
      </c>
      <c r="D6403" s="208">
        <f t="shared" si="670"/>
        <v>45637</v>
      </c>
      <c r="E6403" s="209">
        <f t="shared" si="672"/>
        <v>45637</v>
      </c>
      <c r="F6403" s="515"/>
      <c r="G6403" s="132" t="s">
        <v>1209</v>
      </c>
      <c r="I6403" s="128" t="s">
        <v>1170</v>
      </c>
      <c r="J6403" s="120" t="s">
        <v>47</v>
      </c>
      <c r="K6403" s="207">
        <v>6905.0899999999965</v>
      </c>
      <c r="L6403" s="207"/>
    </row>
    <row r="6404" spans="1:12" ht="11.25" customHeight="1" x14ac:dyDescent="0.2">
      <c r="A6404" s="191">
        <v>2024</v>
      </c>
      <c r="B6404" s="191">
        <v>12</v>
      </c>
      <c r="C6404" s="191">
        <v>11</v>
      </c>
      <c r="D6404" s="192">
        <f t="shared" si="670"/>
        <v>45637</v>
      </c>
      <c r="E6404" s="193">
        <f t="shared" si="672"/>
        <v>45637</v>
      </c>
      <c r="F6404" s="514"/>
      <c r="G6404" s="194" t="s">
        <v>1209</v>
      </c>
      <c r="H6404" s="195"/>
      <c r="I6404" s="195" t="s">
        <v>1170</v>
      </c>
      <c r="J6404" s="191" t="s">
        <v>46</v>
      </c>
      <c r="K6404" s="196"/>
      <c r="L6404" s="196">
        <v>46865.09</v>
      </c>
    </row>
    <row r="6405" spans="1:12" ht="11.25" customHeight="1" x14ac:dyDescent="0.2">
      <c r="A6405" s="197">
        <v>2024</v>
      </c>
      <c r="B6405" s="197">
        <v>12</v>
      </c>
      <c r="C6405" s="197">
        <v>11</v>
      </c>
      <c r="D6405" s="198">
        <f t="shared" si="670"/>
        <v>45637</v>
      </c>
      <c r="E6405" s="209">
        <f t="shared" ref="E6405:E6407" si="673">DATE(A6405,B6405,C6405)</f>
        <v>45637</v>
      </c>
      <c r="F6405" s="513" t="s">
        <v>1210</v>
      </c>
      <c r="G6405" s="200" t="s">
        <v>1209</v>
      </c>
      <c r="H6405" s="201"/>
      <c r="I6405" s="201" t="s">
        <v>355</v>
      </c>
      <c r="J6405" s="197" t="s">
        <v>46</v>
      </c>
      <c r="K6405" s="202">
        <v>25500</v>
      </c>
      <c r="L6405" s="202"/>
    </row>
    <row r="6406" spans="1:12" ht="11.25" customHeight="1" x14ac:dyDescent="0.2">
      <c r="A6406" s="120">
        <v>2024</v>
      </c>
      <c r="B6406" s="120">
        <v>12</v>
      </c>
      <c r="C6406" s="120">
        <v>11</v>
      </c>
      <c r="D6406" s="208">
        <f t="shared" si="670"/>
        <v>45637</v>
      </c>
      <c r="E6406" s="209">
        <f t="shared" si="673"/>
        <v>45637</v>
      </c>
      <c r="F6406" s="515"/>
      <c r="G6406" s="132" t="s">
        <v>1209</v>
      </c>
      <c r="I6406" s="128" t="s">
        <v>355</v>
      </c>
      <c r="J6406" s="120" t="s">
        <v>16</v>
      </c>
      <c r="K6406" s="207"/>
      <c r="L6406" s="207">
        <v>21740</v>
      </c>
    </row>
    <row r="6407" spans="1:12" ht="11.25" customHeight="1" x14ac:dyDescent="0.2">
      <c r="A6407" s="191">
        <v>2024</v>
      </c>
      <c r="B6407" s="191">
        <v>12</v>
      </c>
      <c r="C6407" s="191">
        <v>11</v>
      </c>
      <c r="D6407" s="192">
        <f t="shared" si="670"/>
        <v>45637</v>
      </c>
      <c r="E6407" s="193">
        <f t="shared" si="673"/>
        <v>45637</v>
      </c>
      <c r="F6407" s="514"/>
      <c r="G6407" s="194" t="s">
        <v>1209</v>
      </c>
      <c r="H6407" s="195"/>
      <c r="I6407" s="195" t="s">
        <v>355</v>
      </c>
      <c r="J6407" s="191" t="s">
        <v>47</v>
      </c>
      <c r="K6407" s="196"/>
      <c r="L6407" s="196">
        <v>3760</v>
      </c>
    </row>
    <row r="6408" spans="1:12" ht="11.25" customHeight="1" x14ac:dyDescent="0.2">
      <c r="A6408" s="197">
        <v>2024</v>
      </c>
      <c r="B6408" s="197">
        <v>12</v>
      </c>
      <c r="C6408" s="197">
        <v>11</v>
      </c>
      <c r="D6408" s="198">
        <f t="shared" si="670"/>
        <v>45637</v>
      </c>
      <c r="E6408" s="199">
        <f>DATE(A6408,B6408,C6408)</f>
        <v>45637</v>
      </c>
      <c r="F6408" s="513" t="s">
        <v>1938</v>
      </c>
      <c r="G6408" s="200" t="s">
        <v>1209</v>
      </c>
      <c r="H6408" s="201"/>
      <c r="I6408" s="201" t="s">
        <v>1253</v>
      </c>
      <c r="J6408" s="197" t="s">
        <v>46</v>
      </c>
      <c r="K6408" s="202">
        <v>3997000</v>
      </c>
      <c r="L6408" s="202"/>
    </row>
    <row r="6409" spans="1:12" ht="11.25" customHeight="1" x14ac:dyDescent="0.2">
      <c r="A6409" s="120">
        <v>2024</v>
      </c>
      <c r="B6409" s="120">
        <v>12</v>
      </c>
      <c r="C6409" s="120">
        <v>11</v>
      </c>
      <c r="D6409" s="208">
        <f t="shared" si="670"/>
        <v>45637</v>
      </c>
      <c r="E6409" s="209">
        <f t="shared" ref="E6409:E6421" si="674">DATE(A6409,B6409,C6409)</f>
        <v>45637</v>
      </c>
      <c r="F6409" s="515"/>
      <c r="G6409" s="132" t="s">
        <v>1209</v>
      </c>
      <c r="J6409" s="120" t="s">
        <v>46</v>
      </c>
      <c r="K6409" s="207">
        <v>122500</v>
      </c>
      <c r="L6409" s="207"/>
    </row>
    <row r="6410" spans="1:12" ht="11.25" customHeight="1" x14ac:dyDescent="0.2">
      <c r="A6410" s="120">
        <v>2024</v>
      </c>
      <c r="B6410" s="120">
        <v>12</v>
      </c>
      <c r="C6410" s="120">
        <v>11</v>
      </c>
      <c r="D6410" s="208">
        <f t="shared" si="670"/>
        <v>45637</v>
      </c>
      <c r="E6410" s="209">
        <f t="shared" si="674"/>
        <v>45637</v>
      </c>
      <c r="F6410" s="515"/>
      <c r="G6410" s="132" t="s">
        <v>1209</v>
      </c>
      <c r="J6410" s="120" t="s">
        <v>54</v>
      </c>
      <c r="K6410" s="207">
        <v>3000</v>
      </c>
      <c r="L6410" s="207"/>
    </row>
    <row r="6411" spans="1:12" ht="11.25" customHeight="1" x14ac:dyDescent="0.2">
      <c r="A6411" s="120">
        <v>2024</v>
      </c>
      <c r="B6411" s="120">
        <v>12</v>
      </c>
      <c r="C6411" s="120">
        <v>11</v>
      </c>
      <c r="D6411" s="208">
        <f t="shared" si="670"/>
        <v>45637</v>
      </c>
      <c r="E6411" s="209">
        <f t="shared" si="674"/>
        <v>45637</v>
      </c>
      <c r="F6411" s="515"/>
      <c r="G6411" s="132" t="s">
        <v>1209</v>
      </c>
      <c r="J6411" s="120" t="s">
        <v>113</v>
      </c>
      <c r="K6411" s="207"/>
      <c r="L6411" s="207">
        <v>122500</v>
      </c>
    </row>
    <row r="6412" spans="1:12" ht="11.25" customHeight="1" x14ac:dyDescent="0.2">
      <c r="A6412" s="191">
        <v>2024</v>
      </c>
      <c r="B6412" s="191">
        <v>12</v>
      </c>
      <c r="C6412" s="191">
        <v>11</v>
      </c>
      <c r="D6412" s="192">
        <f t="shared" si="670"/>
        <v>45637</v>
      </c>
      <c r="E6412" s="193">
        <f t="shared" si="674"/>
        <v>45637</v>
      </c>
      <c r="F6412" s="514"/>
      <c r="G6412" s="194" t="s">
        <v>1209</v>
      </c>
      <c r="H6412" s="195"/>
      <c r="I6412" s="195" t="s">
        <v>1253</v>
      </c>
      <c r="J6412" s="191" t="s">
        <v>76</v>
      </c>
      <c r="K6412" s="196"/>
      <c r="L6412" s="196">
        <v>4000000</v>
      </c>
    </row>
    <row r="6413" spans="1:12" ht="11.25" customHeight="1" x14ac:dyDescent="0.2">
      <c r="A6413" s="424">
        <v>2024</v>
      </c>
      <c r="B6413" s="424">
        <v>12</v>
      </c>
      <c r="C6413" s="424">
        <v>12</v>
      </c>
      <c r="D6413" s="425">
        <f t="shared" si="670"/>
        <v>45638</v>
      </c>
      <c r="E6413" s="384">
        <f t="shared" si="674"/>
        <v>45638</v>
      </c>
      <c r="F6413" s="516" t="s">
        <v>1850</v>
      </c>
      <c r="G6413" s="426" t="s">
        <v>1209</v>
      </c>
      <c r="H6413" s="427"/>
      <c r="I6413" s="427"/>
      <c r="J6413" s="428" t="s">
        <v>81</v>
      </c>
      <c r="K6413" s="429">
        <v>6973.2450980392159</v>
      </c>
      <c r="L6413" s="429"/>
    </row>
    <row r="6414" spans="1:12" ht="11.25" customHeight="1" x14ac:dyDescent="0.2">
      <c r="A6414" s="389">
        <v>2024</v>
      </c>
      <c r="B6414" s="389">
        <v>12</v>
      </c>
      <c r="C6414" s="389">
        <v>12</v>
      </c>
      <c r="D6414" s="390">
        <f t="shared" si="670"/>
        <v>45638</v>
      </c>
      <c r="E6414" s="391">
        <f t="shared" si="674"/>
        <v>45638</v>
      </c>
      <c r="F6414" s="517"/>
      <c r="G6414" s="392" t="s">
        <v>1209</v>
      </c>
      <c r="H6414" s="393"/>
      <c r="I6414" s="393"/>
      <c r="J6414" s="394" t="s">
        <v>1847</v>
      </c>
      <c r="K6414" s="423"/>
      <c r="L6414" s="423">
        <v>6973.2450980392159</v>
      </c>
    </row>
    <row r="6415" spans="1:12" ht="11.25" customHeight="1" x14ac:dyDescent="0.2">
      <c r="A6415" s="382">
        <v>2024</v>
      </c>
      <c r="B6415" s="382">
        <v>12</v>
      </c>
      <c r="C6415" s="382">
        <v>12</v>
      </c>
      <c r="D6415" s="383">
        <f t="shared" si="670"/>
        <v>45638</v>
      </c>
      <c r="E6415" s="384">
        <f t="shared" si="674"/>
        <v>45638</v>
      </c>
      <c r="F6415" s="516" t="s">
        <v>1892</v>
      </c>
      <c r="G6415" s="385" t="s">
        <v>1209</v>
      </c>
      <c r="H6415" s="386"/>
      <c r="I6415" s="386"/>
      <c r="J6415" s="387" t="s">
        <v>173</v>
      </c>
      <c r="K6415" s="388">
        <v>4124.1136175625006</v>
      </c>
      <c r="L6415" s="388"/>
    </row>
    <row r="6416" spans="1:12" ht="11.25" customHeight="1" x14ac:dyDescent="0.2">
      <c r="A6416" s="389">
        <v>2024</v>
      </c>
      <c r="B6416" s="389">
        <v>12</v>
      </c>
      <c r="C6416" s="389">
        <v>12</v>
      </c>
      <c r="D6416" s="390">
        <f t="shared" si="670"/>
        <v>45638</v>
      </c>
      <c r="E6416" s="391">
        <f t="shared" si="674"/>
        <v>45638</v>
      </c>
      <c r="F6416" s="517"/>
      <c r="G6416" s="392" t="s">
        <v>1209</v>
      </c>
      <c r="H6416" s="393"/>
      <c r="I6416" s="393"/>
      <c r="J6416" s="394" t="s">
        <v>43</v>
      </c>
      <c r="K6416" s="388"/>
      <c r="L6416" s="388">
        <f>K6415</f>
        <v>4124.1136175625006</v>
      </c>
    </row>
    <row r="6417" spans="1:13" ht="11.25" customHeight="1" x14ac:dyDescent="0.2">
      <c r="A6417" s="344">
        <v>2024</v>
      </c>
      <c r="B6417" s="344">
        <v>12</v>
      </c>
      <c r="C6417" s="344">
        <v>12</v>
      </c>
      <c r="D6417" s="345">
        <f t="shared" si="670"/>
        <v>45638</v>
      </c>
      <c r="E6417" s="346">
        <f t="shared" si="674"/>
        <v>45638</v>
      </c>
      <c r="F6417" s="518" t="s">
        <v>1621</v>
      </c>
      <c r="G6417" s="347" t="s">
        <v>1245</v>
      </c>
      <c r="H6417" s="348"/>
      <c r="I6417" s="348" t="s">
        <v>1253</v>
      </c>
      <c r="J6417" s="344" t="s">
        <v>113</v>
      </c>
      <c r="K6417" s="349">
        <v>40048.080000000002</v>
      </c>
      <c r="L6417" s="349"/>
    </row>
    <row r="6418" spans="1:13" ht="11.25" customHeight="1" x14ac:dyDescent="0.2">
      <c r="A6418" s="350">
        <v>2024</v>
      </c>
      <c r="B6418" s="350">
        <v>12</v>
      </c>
      <c r="C6418" s="350">
        <v>12</v>
      </c>
      <c r="D6418" s="351">
        <f t="shared" si="670"/>
        <v>45638</v>
      </c>
      <c r="E6418" s="352">
        <f t="shared" si="674"/>
        <v>45638</v>
      </c>
      <c r="F6418" s="519"/>
      <c r="G6418" s="353" t="s">
        <v>1245</v>
      </c>
      <c r="H6418" s="354"/>
      <c r="I6418" s="354" t="s">
        <v>1253</v>
      </c>
      <c r="J6418" s="350" t="s">
        <v>153</v>
      </c>
      <c r="K6418" s="355"/>
      <c r="L6418" s="355">
        <f>K6417</f>
        <v>40048.080000000002</v>
      </c>
    </row>
    <row r="6419" spans="1:13" ht="11.25" customHeight="1" x14ac:dyDescent="0.2">
      <c r="A6419" s="210">
        <v>2024</v>
      </c>
      <c r="B6419" s="210">
        <v>12</v>
      </c>
      <c r="C6419" s="210">
        <v>12</v>
      </c>
      <c r="D6419" s="211">
        <f t="shared" si="670"/>
        <v>45638</v>
      </c>
      <c r="E6419" s="238">
        <f t="shared" si="674"/>
        <v>45638</v>
      </c>
      <c r="F6419" s="520" t="s">
        <v>1278</v>
      </c>
      <c r="G6419" s="213" t="s">
        <v>1245</v>
      </c>
      <c r="H6419" s="214"/>
      <c r="I6419" s="214" t="s">
        <v>1253</v>
      </c>
      <c r="J6419" s="210" t="s">
        <v>1529</v>
      </c>
      <c r="K6419" s="215">
        <v>510.40384615384613</v>
      </c>
      <c r="L6419" s="215"/>
    </row>
    <row r="6420" spans="1:13" ht="11.25" customHeight="1" x14ac:dyDescent="0.2">
      <c r="A6420" s="216">
        <v>2024</v>
      </c>
      <c r="B6420" s="216">
        <v>12</v>
      </c>
      <c r="C6420" s="216">
        <v>12</v>
      </c>
      <c r="D6420" s="217">
        <f t="shared" si="670"/>
        <v>45638</v>
      </c>
      <c r="E6420" s="239">
        <f t="shared" si="674"/>
        <v>45638</v>
      </c>
      <c r="F6420" s="521"/>
      <c r="G6420" s="219" t="s">
        <v>1245</v>
      </c>
      <c r="H6420" s="220"/>
      <c r="I6420" s="220" t="s">
        <v>1253</v>
      </c>
      <c r="J6420" s="216" t="s">
        <v>1581</v>
      </c>
      <c r="K6420" s="221"/>
      <c r="L6420" s="221">
        <v>510.40384615384613</v>
      </c>
    </row>
    <row r="6421" spans="1:13" ht="11.25" customHeight="1" x14ac:dyDescent="0.2">
      <c r="A6421" s="210">
        <v>2024</v>
      </c>
      <c r="B6421" s="210">
        <v>12</v>
      </c>
      <c r="C6421" s="210">
        <v>12</v>
      </c>
      <c r="D6421" s="211">
        <f t="shared" si="670"/>
        <v>45638</v>
      </c>
      <c r="E6421" s="238">
        <f t="shared" si="674"/>
        <v>45638</v>
      </c>
      <c r="F6421" s="520" t="s">
        <v>1857</v>
      </c>
      <c r="G6421" s="213" t="s">
        <v>1245</v>
      </c>
      <c r="H6421" s="214"/>
      <c r="I6421" s="214" t="s">
        <v>1253</v>
      </c>
      <c r="J6421" s="210" t="s">
        <v>1284</v>
      </c>
      <c r="K6421" s="215">
        <v>8903.4309440559427</v>
      </c>
      <c r="L6421" s="215"/>
    </row>
    <row r="6422" spans="1:13" ht="11.25" customHeight="1" x14ac:dyDescent="0.2">
      <c r="A6422" s="242">
        <v>2024</v>
      </c>
      <c r="B6422" s="242">
        <v>12</v>
      </c>
      <c r="C6422" s="242">
        <v>12</v>
      </c>
      <c r="D6422" s="243">
        <f t="shared" si="670"/>
        <v>45638</v>
      </c>
      <c r="E6422" s="244">
        <f>DATE(A6422,B6422,C6422)</f>
        <v>45638</v>
      </c>
      <c r="F6422" s="524"/>
      <c r="G6422" s="245" t="s">
        <v>1245</v>
      </c>
      <c r="H6422" s="246"/>
      <c r="I6422" s="246"/>
      <c r="J6422" s="242" t="s">
        <v>1582</v>
      </c>
      <c r="K6422" s="247"/>
      <c r="L6422" s="247">
        <v>8903.4309440559427</v>
      </c>
    </row>
    <row r="6423" spans="1:13" ht="11.25" customHeight="1" x14ac:dyDescent="0.2">
      <c r="A6423" s="210">
        <v>2024</v>
      </c>
      <c r="B6423" s="210">
        <v>12</v>
      </c>
      <c r="C6423" s="210">
        <v>12</v>
      </c>
      <c r="D6423" s="211">
        <f t="shared" si="670"/>
        <v>45638</v>
      </c>
      <c r="E6423" s="238">
        <f t="shared" ref="E6423:E6476" si="675">DATE(A6423,B6423,C6423)</f>
        <v>45638</v>
      </c>
      <c r="F6423" s="520" t="s">
        <v>1259</v>
      </c>
      <c r="G6423" s="213" t="s">
        <v>1245</v>
      </c>
      <c r="H6423" s="214"/>
      <c r="I6423" s="214" t="s">
        <v>1253</v>
      </c>
      <c r="J6423" s="210" t="s">
        <v>58</v>
      </c>
      <c r="K6423" s="215">
        <v>41732.6</v>
      </c>
      <c r="L6423" s="215"/>
    </row>
    <row r="6424" spans="1:13" ht="11.25" customHeight="1" x14ac:dyDescent="0.2">
      <c r="A6424" s="216">
        <v>2024</v>
      </c>
      <c r="B6424" s="216">
        <v>12</v>
      </c>
      <c r="C6424" s="216">
        <v>12</v>
      </c>
      <c r="D6424" s="217">
        <f t="shared" si="670"/>
        <v>45638</v>
      </c>
      <c r="E6424" s="239">
        <f t="shared" si="675"/>
        <v>45638</v>
      </c>
      <c r="F6424" s="521"/>
      <c r="G6424" s="219" t="s">
        <v>1245</v>
      </c>
      <c r="H6424" s="220"/>
      <c r="I6424" s="220" t="s">
        <v>1253</v>
      </c>
      <c r="J6424" s="216" t="s">
        <v>153</v>
      </c>
      <c r="K6424" s="221"/>
      <c r="L6424" s="221">
        <f>K6423</f>
        <v>41732.6</v>
      </c>
    </row>
    <row r="6425" spans="1:13" ht="11.25" customHeight="1" x14ac:dyDescent="0.2">
      <c r="A6425" s="312">
        <v>2024</v>
      </c>
      <c r="B6425" s="312">
        <v>12</v>
      </c>
      <c r="C6425" s="312">
        <v>12</v>
      </c>
      <c r="D6425" s="313">
        <f t="shared" si="670"/>
        <v>45638</v>
      </c>
      <c r="E6425" s="314">
        <f t="shared" si="675"/>
        <v>45638</v>
      </c>
      <c r="F6425" s="522" t="s">
        <v>1477</v>
      </c>
      <c r="G6425" s="315" t="s">
        <v>1245</v>
      </c>
      <c r="H6425" s="316"/>
      <c r="I6425" s="316" t="s">
        <v>1253</v>
      </c>
      <c r="J6425" s="312" t="s">
        <v>1458</v>
      </c>
      <c r="K6425" s="317">
        <v>263282</v>
      </c>
      <c r="L6425" s="317"/>
      <c r="M6425" s="120">
        <f>BS!$I$11</f>
        <v>5.9604644775390625E-8</v>
      </c>
    </row>
    <row r="6426" spans="1:13" ht="11.25" customHeight="1" x14ac:dyDescent="0.2">
      <c r="A6426" s="318">
        <v>2024</v>
      </c>
      <c r="B6426" s="318">
        <v>12</v>
      </c>
      <c r="C6426" s="318">
        <v>12</v>
      </c>
      <c r="D6426" s="319">
        <f t="shared" si="670"/>
        <v>45638</v>
      </c>
      <c r="E6426" s="320">
        <f t="shared" si="675"/>
        <v>45638</v>
      </c>
      <c r="F6426" s="523"/>
      <c r="G6426" s="321" t="s">
        <v>1245</v>
      </c>
      <c r="H6426" s="322"/>
      <c r="I6426" s="322" t="s">
        <v>1253</v>
      </c>
      <c r="J6426" s="318" t="s">
        <v>1460</v>
      </c>
      <c r="K6426" s="323"/>
      <c r="L6426" s="323">
        <f>K6425</f>
        <v>263282</v>
      </c>
    </row>
    <row r="6427" spans="1:13" ht="11.25" customHeight="1" x14ac:dyDescent="0.2">
      <c r="A6427" s="312">
        <v>2024</v>
      </c>
      <c r="B6427" s="312">
        <v>12</v>
      </c>
      <c r="C6427" s="312">
        <v>12</v>
      </c>
      <c r="D6427" s="313">
        <f t="shared" si="670"/>
        <v>45638</v>
      </c>
      <c r="E6427" s="314">
        <f t="shared" si="675"/>
        <v>45638</v>
      </c>
      <c r="F6427" s="522" t="s">
        <v>1595</v>
      </c>
      <c r="G6427" s="315" t="s">
        <v>1245</v>
      </c>
      <c r="H6427" s="316"/>
      <c r="I6427" s="316" t="s">
        <v>1253</v>
      </c>
      <c r="J6427" s="312" t="s">
        <v>1461</v>
      </c>
      <c r="K6427" s="317">
        <v>863350.14599990845</v>
      </c>
      <c r="L6427" s="317"/>
      <c r="M6427" s="120">
        <f>BS!$I$14</f>
        <v>0</v>
      </c>
    </row>
    <row r="6428" spans="1:13" ht="11.25" customHeight="1" x14ac:dyDescent="0.2">
      <c r="A6428" s="318">
        <v>2024</v>
      </c>
      <c r="B6428" s="318">
        <v>12</v>
      </c>
      <c r="C6428" s="318">
        <v>12</v>
      </c>
      <c r="D6428" s="319">
        <f t="shared" si="670"/>
        <v>45638</v>
      </c>
      <c r="E6428" s="320">
        <f t="shared" si="675"/>
        <v>45638</v>
      </c>
      <c r="F6428" s="523"/>
      <c r="G6428" s="321" t="s">
        <v>1245</v>
      </c>
      <c r="H6428" s="322"/>
      <c r="I6428" s="322" t="s">
        <v>1253</v>
      </c>
      <c r="J6428" s="318" t="s">
        <v>1459</v>
      </c>
      <c r="K6428" s="323"/>
      <c r="L6428" s="323">
        <f>K6427</f>
        <v>863350.14599990845</v>
      </c>
    </row>
    <row r="6429" spans="1:13" ht="11.25" customHeight="1" x14ac:dyDescent="0.2">
      <c r="A6429" s="222">
        <v>2024</v>
      </c>
      <c r="B6429" s="222">
        <v>12</v>
      </c>
      <c r="C6429" s="222">
        <v>12</v>
      </c>
      <c r="D6429" s="223">
        <f t="shared" si="670"/>
        <v>45638</v>
      </c>
      <c r="E6429" s="240">
        <f t="shared" si="675"/>
        <v>45638</v>
      </c>
      <c r="F6429" s="511" t="s">
        <v>1244</v>
      </c>
      <c r="G6429" s="225" t="s">
        <v>1245</v>
      </c>
      <c r="H6429" s="226"/>
      <c r="I6429" s="226" t="s">
        <v>1253</v>
      </c>
      <c r="J6429" s="222" t="s">
        <v>87</v>
      </c>
      <c r="K6429" s="227">
        <v>5230</v>
      </c>
      <c r="L6429" s="227"/>
      <c r="M6429" s="120">
        <f>BS!$I$7</f>
        <v>0</v>
      </c>
    </row>
    <row r="6430" spans="1:13" ht="11.25" customHeight="1" x14ac:dyDescent="0.2">
      <c r="A6430" s="228">
        <v>2024</v>
      </c>
      <c r="B6430" s="228">
        <v>12</v>
      </c>
      <c r="C6430" s="228">
        <v>12</v>
      </c>
      <c r="D6430" s="229">
        <f t="shared" si="670"/>
        <v>45638</v>
      </c>
      <c r="E6430" s="241">
        <f t="shared" si="675"/>
        <v>45638</v>
      </c>
      <c r="F6430" s="512"/>
      <c r="G6430" s="231" t="s">
        <v>1245</v>
      </c>
      <c r="H6430" s="232"/>
      <c r="I6430" s="232" t="s">
        <v>1253</v>
      </c>
      <c r="J6430" s="228" t="s">
        <v>72</v>
      </c>
      <c r="K6430" s="233"/>
      <c r="L6430" s="233">
        <f>K6429</f>
        <v>5230</v>
      </c>
    </row>
    <row r="6431" spans="1:13" ht="11.25" customHeight="1" x14ac:dyDescent="0.2">
      <c r="A6431" s="222">
        <v>2024</v>
      </c>
      <c r="B6431" s="222">
        <v>12</v>
      </c>
      <c r="C6431" s="222">
        <v>12</v>
      </c>
      <c r="D6431" s="223">
        <f t="shared" si="670"/>
        <v>45638</v>
      </c>
      <c r="E6431" s="240">
        <f t="shared" si="675"/>
        <v>45638</v>
      </c>
      <c r="F6431" s="511" t="s">
        <v>1246</v>
      </c>
      <c r="G6431" s="225" t="s">
        <v>1245</v>
      </c>
      <c r="H6431" s="226"/>
      <c r="I6431" s="226" t="s">
        <v>1253</v>
      </c>
      <c r="J6431" s="222" t="s">
        <v>75</v>
      </c>
      <c r="K6431" s="227">
        <v>3623.123846153846</v>
      </c>
      <c r="L6431" s="227"/>
    </row>
    <row r="6432" spans="1:13" ht="11.25" customHeight="1" x14ac:dyDescent="0.2">
      <c r="A6432" s="228">
        <v>2024</v>
      </c>
      <c r="B6432" s="228">
        <v>12</v>
      </c>
      <c r="C6432" s="228">
        <v>12</v>
      </c>
      <c r="D6432" s="229">
        <f t="shared" si="670"/>
        <v>45638</v>
      </c>
      <c r="E6432" s="241">
        <f t="shared" si="675"/>
        <v>45638</v>
      </c>
      <c r="F6432" s="512"/>
      <c r="G6432" s="231" t="s">
        <v>1245</v>
      </c>
      <c r="H6432" s="232"/>
      <c r="I6432" s="232" t="s">
        <v>1253</v>
      </c>
      <c r="J6432" s="228" t="s">
        <v>55</v>
      </c>
      <c r="K6432" s="233"/>
      <c r="L6432" s="233">
        <v>3623.123846153846</v>
      </c>
    </row>
    <row r="6433" spans="1:13" ht="11.25" customHeight="1" x14ac:dyDescent="0.2">
      <c r="A6433" s="222">
        <v>2024</v>
      </c>
      <c r="B6433" s="222">
        <v>12</v>
      </c>
      <c r="C6433" s="222">
        <v>12</v>
      </c>
      <c r="D6433" s="223">
        <f t="shared" si="670"/>
        <v>45638</v>
      </c>
      <c r="E6433" s="240">
        <f t="shared" si="675"/>
        <v>45638</v>
      </c>
      <c r="F6433" s="511" t="s">
        <v>1247</v>
      </c>
      <c r="G6433" s="225" t="s">
        <v>1245</v>
      </c>
      <c r="H6433" s="226"/>
      <c r="I6433" s="226" t="s">
        <v>1253</v>
      </c>
      <c r="J6433" s="222" t="s">
        <v>77</v>
      </c>
      <c r="K6433" s="227">
        <f>M6433</f>
        <v>41152.793496733429</v>
      </c>
      <c r="L6433" s="227"/>
      <c r="M6433" s="120">
        <v>41152.793496733429</v>
      </c>
    </row>
    <row r="6434" spans="1:13" ht="11.25" customHeight="1" x14ac:dyDescent="0.2">
      <c r="A6434" s="228">
        <v>2024</v>
      </c>
      <c r="B6434" s="228">
        <v>12</v>
      </c>
      <c r="C6434" s="228">
        <v>12</v>
      </c>
      <c r="D6434" s="229">
        <f t="shared" si="670"/>
        <v>45638</v>
      </c>
      <c r="E6434" s="241">
        <f t="shared" si="675"/>
        <v>45638</v>
      </c>
      <c r="F6434" s="512"/>
      <c r="G6434" s="231" t="s">
        <v>1245</v>
      </c>
      <c r="H6434" s="232"/>
      <c r="I6434" s="232" t="s">
        <v>1253</v>
      </c>
      <c r="J6434" s="228" t="s">
        <v>41</v>
      </c>
      <c r="K6434" s="233"/>
      <c r="L6434" s="233">
        <f>K6433</f>
        <v>41152.793496733429</v>
      </c>
      <c r="M6434" s="120">
        <v>4115.2793496733439</v>
      </c>
    </row>
    <row r="6435" spans="1:13" ht="11.25" customHeight="1" x14ac:dyDescent="0.2">
      <c r="A6435" s="222">
        <v>2024</v>
      </c>
      <c r="B6435" s="222">
        <v>12</v>
      </c>
      <c r="C6435" s="222">
        <v>12</v>
      </c>
      <c r="D6435" s="223">
        <f t="shared" si="670"/>
        <v>45638</v>
      </c>
      <c r="E6435" s="240">
        <f t="shared" si="675"/>
        <v>45638</v>
      </c>
      <c r="F6435" s="511" t="s">
        <v>1248</v>
      </c>
      <c r="G6435" s="225" t="s">
        <v>1245</v>
      </c>
      <c r="H6435" s="226"/>
      <c r="I6435" s="226" t="s">
        <v>1253</v>
      </c>
      <c r="J6435" s="222" t="s">
        <v>80</v>
      </c>
      <c r="K6435" s="227">
        <f>M6434</f>
        <v>4115.2793496733439</v>
      </c>
      <c r="L6435" s="227"/>
    </row>
    <row r="6436" spans="1:13" ht="11.25" customHeight="1" x14ac:dyDescent="0.2">
      <c r="A6436" s="228">
        <v>2024</v>
      </c>
      <c r="B6436" s="228">
        <v>12</v>
      </c>
      <c r="C6436" s="228">
        <v>12</v>
      </c>
      <c r="D6436" s="229">
        <f t="shared" si="670"/>
        <v>45638</v>
      </c>
      <c r="E6436" s="241">
        <f t="shared" si="675"/>
        <v>45638</v>
      </c>
      <c r="F6436" s="512"/>
      <c r="G6436" s="231" t="s">
        <v>1245</v>
      </c>
      <c r="H6436" s="232"/>
      <c r="I6436" s="232" t="s">
        <v>1253</v>
      </c>
      <c r="J6436" s="228" t="s">
        <v>42</v>
      </c>
      <c r="K6436" s="233"/>
      <c r="L6436" s="233">
        <f>K6435</f>
        <v>4115.2793496733439</v>
      </c>
    </row>
    <row r="6437" spans="1:13" ht="11.25" customHeight="1" x14ac:dyDescent="0.2">
      <c r="A6437" s="197">
        <v>2024</v>
      </c>
      <c r="B6437" s="197">
        <v>12</v>
      </c>
      <c r="C6437" s="197">
        <v>15</v>
      </c>
      <c r="D6437" s="198">
        <f t="shared" si="670"/>
        <v>45641</v>
      </c>
      <c r="E6437" s="290">
        <f t="shared" si="675"/>
        <v>45641</v>
      </c>
      <c r="F6437" s="513" t="s">
        <v>1944</v>
      </c>
      <c r="G6437" s="200" t="s">
        <v>1209</v>
      </c>
      <c r="H6437" s="201"/>
      <c r="I6437" s="201" t="s">
        <v>1253</v>
      </c>
      <c r="J6437" s="197" t="s">
        <v>46</v>
      </c>
      <c r="K6437" s="202">
        <v>1552500</v>
      </c>
      <c r="L6437" s="202"/>
    </row>
    <row r="6438" spans="1:13" ht="11.25" customHeight="1" x14ac:dyDescent="0.2">
      <c r="A6438" s="191">
        <v>2024</v>
      </c>
      <c r="B6438" s="191">
        <v>12</v>
      </c>
      <c r="C6438" s="191">
        <v>15</v>
      </c>
      <c r="D6438" s="192">
        <f t="shared" si="670"/>
        <v>45641</v>
      </c>
      <c r="E6438" s="290">
        <f t="shared" si="675"/>
        <v>45641</v>
      </c>
      <c r="F6438" s="514"/>
      <c r="G6438" s="194" t="s">
        <v>1209</v>
      </c>
      <c r="H6438" s="195"/>
      <c r="I6438" s="195"/>
      <c r="J6438" s="191" t="s">
        <v>1845</v>
      </c>
      <c r="K6438" s="196"/>
      <c r="L6438" s="196">
        <v>1552500</v>
      </c>
    </row>
    <row r="6439" spans="1:13" ht="11.25" customHeight="1" x14ac:dyDescent="0.2">
      <c r="A6439" s="197">
        <v>2024</v>
      </c>
      <c r="B6439" s="197">
        <v>12</v>
      </c>
      <c r="C6439" s="197">
        <v>15</v>
      </c>
      <c r="D6439" s="198">
        <f t="shared" si="670"/>
        <v>45641</v>
      </c>
      <c r="E6439" s="290">
        <f t="shared" ref="E6439:E6440" si="676">DATE(A6439,B6439,C6439)</f>
        <v>45641</v>
      </c>
      <c r="F6439" s="513" t="s">
        <v>1945</v>
      </c>
      <c r="G6439" s="200" t="s">
        <v>1209</v>
      </c>
      <c r="H6439" s="201"/>
      <c r="I6439" s="201" t="s">
        <v>1253</v>
      </c>
      <c r="J6439" s="197" t="s">
        <v>46</v>
      </c>
      <c r="K6439" s="202">
        <v>776250</v>
      </c>
      <c r="L6439" s="202"/>
    </row>
    <row r="6440" spans="1:13" ht="11.25" customHeight="1" x14ac:dyDescent="0.2">
      <c r="A6440" s="191">
        <v>2024</v>
      </c>
      <c r="B6440" s="191">
        <v>12</v>
      </c>
      <c r="C6440" s="191">
        <v>15</v>
      </c>
      <c r="D6440" s="192">
        <f t="shared" si="670"/>
        <v>45641</v>
      </c>
      <c r="E6440" s="290">
        <f t="shared" si="676"/>
        <v>45641</v>
      </c>
      <c r="F6440" s="514"/>
      <c r="G6440" s="194" t="s">
        <v>1209</v>
      </c>
      <c r="H6440" s="195"/>
      <c r="I6440" s="195"/>
      <c r="J6440" s="191" t="s">
        <v>1845</v>
      </c>
      <c r="K6440" s="196"/>
      <c r="L6440" s="196">
        <v>776250</v>
      </c>
    </row>
    <row r="6441" spans="1:13" ht="11.25" customHeight="1" x14ac:dyDescent="0.2">
      <c r="A6441" s="197">
        <v>2024</v>
      </c>
      <c r="B6441" s="197">
        <v>12</v>
      </c>
      <c r="C6441" s="197">
        <v>15</v>
      </c>
      <c r="D6441" s="198">
        <f t="shared" si="670"/>
        <v>45641</v>
      </c>
      <c r="E6441" s="209">
        <f t="shared" si="675"/>
        <v>45641</v>
      </c>
      <c r="F6441" s="513" t="s">
        <v>1296</v>
      </c>
      <c r="G6441" s="200" t="s">
        <v>1209</v>
      </c>
      <c r="H6441" s="201"/>
      <c r="I6441" s="201"/>
      <c r="J6441" s="197" t="s">
        <v>46</v>
      </c>
      <c r="K6441" s="202">
        <v>133000</v>
      </c>
      <c r="L6441" s="202"/>
    </row>
    <row r="6442" spans="1:13" ht="11.25" customHeight="1" x14ac:dyDescent="0.2">
      <c r="A6442" s="120">
        <v>2024</v>
      </c>
      <c r="B6442" s="120">
        <v>12</v>
      </c>
      <c r="C6442" s="120">
        <v>15</v>
      </c>
      <c r="D6442" s="208">
        <f t="shared" si="670"/>
        <v>45641</v>
      </c>
      <c r="E6442" s="209">
        <f t="shared" si="675"/>
        <v>45641</v>
      </c>
      <c r="F6442" s="515"/>
      <c r="G6442" s="132" t="s">
        <v>1209</v>
      </c>
      <c r="J6442" s="120" t="s">
        <v>16</v>
      </c>
      <c r="K6442" s="207"/>
      <c r="L6442" s="207">
        <v>113150</v>
      </c>
    </row>
    <row r="6443" spans="1:13" ht="11.25" customHeight="1" x14ac:dyDescent="0.2">
      <c r="A6443" s="191">
        <v>2024</v>
      </c>
      <c r="B6443" s="191">
        <v>12</v>
      </c>
      <c r="C6443" s="191">
        <v>15</v>
      </c>
      <c r="D6443" s="192">
        <f t="shared" si="670"/>
        <v>45641</v>
      </c>
      <c r="E6443" s="193">
        <f t="shared" si="675"/>
        <v>45641</v>
      </c>
      <c r="F6443" s="514"/>
      <c r="G6443" s="194" t="s">
        <v>1209</v>
      </c>
      <c r="H6443" s="195"/>
      <c r="I6443" s="195"/>
      <c r="J6443" s="191" t="s">
        <v>47</v>
      </c>
      <c r="K6443" s="196"/>
      <c r="L6443" s="196">
        <v>19850</v>
      </c>
    </row>
    <row r="6444" spans="1:13" ht="11.25" customHeight="1" x14ac:dyDescent="0.2">
      <c r="A6444" s="197">
        <v>2024</v>
      </c>
      <c r="B6444" s="197">
        <v>12</v>
      </c>
      <c r="C6444" s="197">
        <v>17</v>
      </c>
      <c r="D6444" s="198">
        <f t="shared" ref="D6444:D6507" si="677">DATE(A6444,B6444,C6444)</f>
        <v>45643</v>
      </c>
      <c r="E6444" s="209">
        <f t="shared" si="675"/>
        <v>45643</v>
      </c>
      <c r="F6444" s="513" t="s">
        <v>1423</v>
      </c>
      <c r="G6444" s="200" t="s">
        <v>1209</v>
      </c>
      <c r="H6444" s="201"/>
      <c r="I6444" s="201" t="s">
        <v>1572</v>
      </c>
      <c r="J6444" s="197" t="s">
        <v>16</v>
      </c>
      <c r="K6444" s="202">
        <v>4250</v>
      </c>
      <c r="L6444" s="202"/>
    </row>
    <row r="6445" spans="1:13" ht="11.25" customHeight="1" x14ac:dyDescent="0.2">
      <c r="A6445" s="120">
        <v>2024</v>
      </c>
      <c r="B6445" s="120">
        <v>12</v>
      </c>
      <c r="C6445" s="120">
        <v>17</v>
      </c>
      <c r="D6445" s="208">
        <f t="shared" si="677"/>
        <v>45643</v>
      </c>
      <c r="E6445" s="209">
        <f t="shared" si="675"/>
        <v>45643</v>
      </c>
      <c r="F6445" s="515"/>
      <c r="G6445" s="132" t="s">
        <v>1209</v>
      </c>
      <c r="I6445" s="128" t="s">
        <v>1572</v>
      </c>
      <c r="J6445" s="120" t="s">
        <v>47</v>
      </c>
      <c r="K6445" s="207">
        <v>750</v>
      </c>
      <c r="L6445" s="207"/>
    </row>
    <row r="6446" spans="1:13" ht="11.25" customHeight="1" x14ac:dyDescent="0.2">
      <c r="A6446" s="191">
        <v>2024</v>
      </c>
      <c r="B6446" s="191">
        <v>12</v>
      </c>
      <c r="C6446" s="191">
        <v>17</v>
      </c>
      <c r="D6446" s="192">
        <f t="shared" si="677"/>
        <v>45643</v>
      </c>
      <c r="E6446" s="193">
        <f t="shared" si="675"/>
        <v>45643</v>
      </c>
      <c r="F6446" s="514"/>
      <c r="G6446" s="194" t="s">
        <v>1209</v>
      </c>
      <c r="H6446" s="195"/>
      <c r="I6446" s="195" t="s">
        <v>1572</v>
      </c>
      <c r="J6446" s="191" t="s">
        <v>46</v>
      </c>
      <c r="K6446" s="196"/>
      <c r="L6446" s="196">
        <v>5000</v>
      </c>
    </row>
    <row r="6447" spans="1:13" ht="11.25" customHeight="1" x14ac:dyDescent="0.2">
      <c r="A6447" s="197">
        <v>2024</v>
      </c>
      <c r="B6447" s="120">
        <v>12</v>
      </c>
      <c r="C6447" s="120">
        <v>17</v>
      </c>
      <c r="D6447" s="198">
        <f t="shared" si="677"/>
        <v>45643</v>
      </c>
      <c r="E6447" s="199">
        <f t="shared" si="675"/>
        <v>45643</v>
      </c>
      <c r="F6447" s="513" t="s">
        <v>1390</v>
      </c>
      <c r="G6447" s="200" t="s">
        <v>1209</v>
      </c>
      <c r="H6447" s="200"/>
      <c r="I6447" s="201" t="s">
        <v>1253</v>
      </c>
      <c r="J6447" s="197" t="s">
        <v>178</v>
      </c>
      <c r="K6447" s="202">
        <v>27599.141800000001</v>
      </c>
      <c r="L6447" s="202"/>
    </row>
    <row r="6448" spans="1:13" ht="11.25" customHeight="1" x14ac:dyDescent="0.2">
      <c r="A6448" s="120">
        <v>2024</v>
      </c>
      <c r="B6448" s="120">
        <v>12</v>
      </c>
      <c r="C6448" s="120">
        <v>17</v>
      </c>
      <c r="D6448" s="208">
        <f t="shared" si="677"/>
        <v>45643</v>
      </c>
      <c r="E6448" s="209">
        <f t="shared" si="675"/>
        <v>45643</v>
      </c>
      <c r="F6448" s="515"/>
      <c r="G6448" s="132" t="s">
        <v>1209</v>
      </c>
      <c r="H6448" s="132"/>
      <c r="J6448" s="120" t="s">
        <v>71</v>
      </c>
      <c r="K6448" s="207">
        <v>99.858199999999997</v>
      </c>
      <c r="L6448" s="207"/>
    </row>
    <row r="6449" spans="1:12" ht="11.25" customHeight="1" x14ac:dyDescent="0.2">
      <c r="A6449" s="120">
        <v>2024</v>
      </c>
      <c r="B6449" s="120">
        <v>12</v>
      </c>
      <c r="C6449" s="120">
        <v>17</v>
      </c>
      <c r="D6449" s="208">
        <f t="shared" si="677"/>
        <v>45643</v>
      </c>
      <c r="E6449" s="209">
        <f t="shared" si="675"/>
        <v>45643</v>
      </c>
      <c r="F6449" s="515"/>
      <c r="G6449" s="132" t="s">
        <v>1209</v>
      </c>
      <c r="H6449" s="132"/>
      <c r="I6449" s="128" t="s">
        <v>1253</v>
      </c>
      <c r="J6449" s="120" t="s">
        <v>179</v>
      </c>
      <c r="K6449" s="207">
        <v>651</v>
      </c>
      <c r="L6449" s="207"/>
    </row>
    <row r="6450" spans="1:12" ht="11.25" customHeight="1" x14ac:dyDescent="0.2">
      <c r="A6450" s="120">
        <v>2024</v>
      </c>
      <c r="B6450" s="120">
        <v>12</v>
      </c>
      <c r="C6450" s="120">
        <v>17</v>
      </c>
      <c r="D6450" s="208">
        <f t="shared" si="677"/>
        <v>45643</v>
      </c>
      <c r="E6450" s="209">
        <f t="shared" ref="E6450" si="678">DATE(A6450,B6450,C6450)</f>
        <v>45643</v>
      </c>
      <c r="F6450" s="515"/>
      <c r="G6450" s="132" t="s">
        <v>1209</v>
      </c>
      <c r="H6450" s="132"/>
      <c r="J6450" s="120" t="s">
        <v>1579</v>
      </c>
      <c r="K6450" s="207"/>
      <c r="L6450" s="207">
        <v>28350</v>
      </c>
    </row>
    <row r="6451" spans="1:12" ht="11.25" customHeight="1" x14ac:dyDescent="0.2">
      <c r="A6451" s="197">
        <v>2024</v>
      </c>
      <c r="B6451" s="197">
        <v>12</v>
      </c>
      <c r="C6451" s="197">
        <v>17</v>
      </c>
      <c r="D6451" s="198">
        <f t="shared" si="677"/>
        <v>45643</v>
      </c>
      <c r="E6451" s="209">
        <f t="shared" ref="E6451:E6453" si="679">DATE(A6451,B6451,C6451)</f>
        <v>45643</v>
      </c>
      <c r="F6451" s="513" t="s">
        <v>1280</v>
      </c>
      <c r="G6451" s="200" t="s">
        <v>1209</v>
      </c>
      <c r="H6451" s="201"/>
      <c r="I6451" s="201" t="s">
        <v>1829</v>
      </c>
      <c r="J6451" s="197" t="s">
        <v>16</v>
      </c>
      <c r="K6451" s="202">
        <v>107400</v>
      </c>
      <c r="L6451" s="202"/>
    </row>
    <row r="6452" spans="1:12" ht="11.25" customHeight="1" x14ac:dyDescent="0.2">
      <c r="A6452" s="120">
        <v>2024</v>
      </c>
      <c r="B6452" s="120">
        <v>12</v>
      </c>
      <c r="C6452" s="120">
        <v>17</v>
      </c>
      <c r="D6452" s="208">
        <f t="shared" si="677"/>
        <v>45643</v>
      </c>
      <c r="E6452" s="209">
        <f t="shared" si="679"/>
        <v>45643</v>
      </c>
      <c r="F6452" s="515"/>
      <c r="G6452" s="132" t="s">
        <v>1209</v>
      </c>
      <c r="I6452" s="128" t="s">
        <v>1829</v>
      </c>
      <c r="J6452" s="120" t="s">
        <v>47</v>
      </c>
      <c r="K6452" s="207">
        <v>18827.22</v>
      </c>
      <c r="L6452" s="207"/>
    </row>
    <row r="6453" spans="1:12" ht="11.25" customHeight="1" x14ac:dyDescent="0.2">
      <c r="A6453" s="191">
        <v>2024</v>
      </c>
      <c r="B6453" s="191">
        <v>12</v>
      </c>
      <c r="C6453" s="191">
        <v>17</v>
      </c>
      <c r="D6453" s="192">
        <f t="shared" si="677"/>
        <v>45643</v>
      </c>
      <c r="E6453" s="193">
        <f t="shared" si="679"/>
        <v>45643</v>
      </c>
      <c r="F6453" s="514"/>
      <c r="G6453" s="194" t="s">
        <v>1209</v>
      </c>
      <c r="H6453" s="195"/>
      <c r="I6453" s="195" t="s">
        <v>1829</v>
      </c>
      <c r="J6453" s="191" t="s">
        <v>46</v>
      </c>
      <c r="K6453" s="196"/>
      <c r="L6453" s="196">
        <v>126227.22</v>
      </c>
    </row>
    <row r="6454" spans="1:12" ht="11.25" customHeight="1" x14ac:dyDescent="0.2">
      <c r="A6454" s="197">
        <v>2024</v>
      </c>
      <c r="B6454" s="197">
        <v>12</v>
      </c>
      <c r="C6454" s="197">
        <v>17</v>
      </c>
      <c r="D6454" s="198">
        <f t="shared" si="677"/>
        <v>45643</v>
      </c>
      <c r="E6454" s="209">
        <f t="shared" ref="E6454:E6456" si="680">DATE(A6454,B6454,C6454)</f>
        <v>45643</v>
      </c>
      <c r="F6454" s="513" t="s">
        <v>1280</v>
      </c>
      <c r="G6454" s="200" t="s">
        <v>1209</v>
      </c>
      <c r="H6454" s="201"/>
      <c r="I6454" s="201" t="s">
        <v>464</v>
      </c>
      <c r="J6454" s="197" t="s">
        <v>16</v>
      </c>
      <c r="K6454" s="202">
        <v>50000</v>
      </c>
      <c r="L6454" s="202"/>
    </row>
    <row r="6455" spans="1:12" ht="11.25" customHeight="1" x14ac:dyDescent="0.2">
      <c r="A6455" s="120">
        <v>2024</v>
      </c>
      <c r="B6455" s="120">
        <v>12</v>
      </c>
      <c r="C6455" s="120">
        <v>17</v>
      </c>
      <c r="D6455" s="208">
        <f t="shared" si="677"/>
        <v>45643</v>
      </c>
      <c r="E6455" s="209">
        <f t="shared" si="680"/>
        <v>45643</v>
      </c>
      <c r="F6455" s="515"/>
      <c r="G6455" s="132" t="s">
        <v>1209</v>
      </c>
      <c r="I6455" s="128" t="s">
        <v>464</v>
      </c>
      <c r="J6455" s="120" t="s">
        <v>47</v>
      </c>
      <c r="K6455" s="207">
        <v>8765</v>
      </c>
      <c r="L6455" s="207"/>
    </row>
    <row r="6456" spans="1:12" ht="11.25" customHeight="1" x14ac:dyDescent="0.2">
      <c r="A6456" s="191">
        <v>2024</v>
      </c>
      <c r="B6456" s="191">
        <v>12</v>
      </c>
      <c r="C6456" s="191">
        <v>17</v>
      </c>
      <c r="D6456" s="192">
        <f t="shared" si="677"/>
        <v>45643</v>
      </c>
      <c r="E6456" s="193">
        <f t="shared" si="680"/>
        <v>45643</v>
      </c>
      <c r="F6456" s="514"/>
      <c r="G6456" s="194" t="s">
        <v>1209</v>
      </c>
      <c r="H6456" s="195"/>
      <c r="I6456" s="195" t="s">
        <v>464</v>
      </c>
      <c r="J6456" s="191" t="s">
        <v>46</v>
      </c>
      <c r="K6456" s="196"/>
      <c r="L6456" s="196">
        <v>58765</v>
      </c>
    </row>
    <row r="6457" spans="1:12" ht="11.25" customHeight="1" x14ac:dyDescent="0.2">
      <c r="A6457" s="197">
        <v>2024</v>
      </c>
      <c r="B6457" s="197">
        <v>12</v>
      </c>
      <c r="C6457" s="197">
        <v>17</v>
      </c>
      <c r="D6457" s="198">
        <f t="shared" si="677"/>
        <v>45643</v>
      </c>
      <c r="E6457" s="209">
        <f t="shared" ref="E6457:E6459" si="681">DATE(A6457,B6457,C6457)</f>
        <v>45643</v>
      </c>
      <c r="F6457" s="513" t="s">
        <v>1280</v>
      </c>
      <c r="G6457" s="200" t="s">
        <v>1209</v>
      </c>
      <c r="H6457" s="201"/>
      <c r="I6457" s="201" t="s">
        <v>1809</v>
      </c>
      <c r="J6457" s="197" t="s">
        <v>16</v>
      </c>
      <c r="K6457" s="202">
        <v>135000</v>
      </c>
      <c r="L6457" s="202"/>
    </row>
    <row r="6458" spans="1:12" ht="11.25" customHeight="1" x14ac:dyDescent="0.2">
      <c r="A6458" s="120">
        <v>2024</v>
      </c>
      <c r="B6458" s="120">
        <v>12</v>
      </c>
      <c r="C6458" s="120">
        <v>17</v>
      </c>
      <c r="D6458" s="208">
        <f t="shared" si="677"/>
        <v>45643</v>
      </c>
      <c r="E6458" s="209">
        <f t="shared" si="681"/>
        <v>45643</v>
      </c>
      <c r="F6458" s="515"/>
      <c r="G6458" s="132" t="s">
        <v>1209</v>
      </c>
      <c r="I6458" s="128" t="s">
        <v>1809</v>
      </c>
      <c r="J6458" s="120" t="s">
        <v>47</v>
      </c>
      <c r="K6458" s="207">
        <v>23665.5</v>
      </c>
      <c r="L6458" s="207"/>
    </row>
    <row r="6459" spans="1:12" ht="11.25" customHeight="1" x14ac:dyDescent="0.2">
      <c r="A6459" s="191">
        <v>2024</v>
      </c>
      <c r="B6459" s="191">
        <v>12</v>
      </c>
      <c r="C6459" s="191">
        <v>17</v>
      </c>
      <c r="D6459" s="192">
        <f t="shared" si="677"/>
        <v>45643</v>
      </c>
      <c r="E6459" s="193">
        <f t="shared" si="681"/>
        <v>45643</v>
      </c>
      <c r="F6459" s="514"/>
      <c r="G6459" s="194" t="s">
        <v>1209</v>
      </c>
      <c r="H6459" s="195"/>
      <c r="I6459" s="195" t="s">
        <v>1809</v>
      </c>
      <c r="J6459" s="191" t="s">
        <v>46</v>
      </c>
      <c r="K6459" s="196"/>
      <c r="L6459" s="196">
        <v>158665.5</v>
      </c>
    </row>
    <row r="6460" spans="1:12" ht="11.25" customHeight="1" x14ac:dyDescent="0.2">
      <c r="A6460" s="197">
        <v>2024</v>
      </c>
      <c r="B6460" s="197">
        <v>12</v>
      </c>
      <c r="C6460" s="197">
        <v>17</v>
      </c>
      <c r="D6460" s="198">
        <f t="shared" si="677"/>
        <v>45643</v>
      </c>
      <c r="E6460" s="209">
        <f t="shared" ref="E6460:E6462" si="682">DATE(A6460,B6460,C6460)</f>
        <v>45643</v>
      </c>
      <c r="F6460" s="513" t="s">
        <v>1280</v>
      </c>
      <c r="G6460" s="200" t="s">
        <v>1209</v>
      </c>
      <c r="H6460" s="201"/>
      <c r="I6460" s="201" t="s">
        <v>1235</v>
      </c>
      <c r="J6460" s="197" t="s">
        <v>16</v>
      </c>
      <c r="K6460" s="202">
        <v>85080</v>
      </c>
      <c r="L6460" s="202"/>
    </row>
    <row r="6461" spans="1:12" ht="11.25" customHeight="1" x14ac:dyDescent="0.2">
      <c r="A6461" s="120">
        <v>2024</v>
      </c>
      <c r="B6461" s="120">
        <v>12</v>
      </c>
      <c r="C6461" s="120">
        <v>17</v>
      </c>
      <c r="D6461" s="208">
        <f t="shared" si="677"/>
        <v>45643</v>
      </c>
      <c r="E6461" s="209">
        <f t="shared" si="682"/>
        <v>45643</v>
      </c>
      <c r="F6461" s="515"/>
      <c r="G6461" s="132" t="s">
        <v>1209</v>
      </c>
      <c r="I6461" s="128" t="s">
        <v>1235</v>
      </c>
      <c r="J6461" s="120" t="s">
        <v>47</v>
      </c>
      <c r="K6461" s="207">
        <v>14920</v>
      </c>
      <c r="L6461" s="207"/>
    </row>
    <row r="6462" spans="1:12" ht="11.25" customHeight="1" x14ac:dyDescent="0.2">
      <c r="A6462" s="191">
        <v>2024</v>
      </c>
      <c r="B6462" s="191">
        <v>12</v>
      </c>
      <c r="C6462" s="191">
        <v>17</v>
      </c>
      <c r="D6462" s="192">
        <f t="shared" si="677"/>
        <v>45643</v>
      </c>
      <c r="E6462" s="193">
        <f t="shared" si="682"/>
        <v>45643</v>
      </c>
      <c r="F6462" s="514"/>
      <c r="G6462" s="194" t="s">
        <v>1209</v>
      </c>
      <c r="H6462" s="195"/>
      <c r="I6462" s="195" t="s">
        <v>1235</v>
      </c>
      <c r="J6462" s="191" t="s">
        <v>46</v>
      </c>
      <c r="K6462" s="196"/>
      <c r="L6462" s="196">
        <v>100000</v>
      </c>
    </row>
    <row r="6463" spans="1:12" ht="11.25" customHeight="1" x14ac:dyDescent="0.2">
      <c r="A6463" s="197">
        <v>2024</v>
      </c>
      <c r="B6463" s="197">
        <v>12</v>
      </c>
      <c r="C6463" s="197">
        <v>17</v>
      </c>
      <c r="D6463" s="198">
        <f t="shared" si="677"/>
        <v>45643</v>
      </c>
      <c r="E6463" s="209">
        <f t="shared" ref="E6463:E6465" si="683">DATE(A6463,B6463,C6463)</f>
        <v>45643</v>
      </c>
      <c r="F6463" s="513" t="s">
        <v>1423</v>
      </c>
      <c r="G6463" s="200" t="s">
        <v>1209</v>
      </c>
      <c r="H6463" s="201"/>
      <c r="I6463" s="201" t="s">
        <v>1630</v>
      </c>
      <c r="J6463" s="197" t="s">
        <v>16</v>
      </c>
      <c r="K6463" s="202">
        <v>8510</v>
      </c>
      <c r="L6463" s="202"/>
    </row>
    <row r="6464" spans="1:12" ht="11.25" customHeight="1" x14ac:dyDescent="0.2">
      <c r="A6464" s="120">
        <v>2024</v>
      </c>
      <c r="B6464" s="120">
        <v>12</v>
      </c>
      <c r="C6464" s="120">
        <v>17</v>
      </c>
      <c r="D6464" s="208">
        <f t="shared" si="677"/>
        <v>45643</v>
      </c>
      <c r="E6464" s="209">
        <f t="shared" si="683"/>
        <v>45643</v>
      </c>
      <c r="F6464" s="515"/>
      <c r="G6464" s="132" t="s">
        <v>1209</v>
      </c>
      <c r="I6464" s="128" t="s">
        <v>1630</v>
      </c>
      <c r="J6464" s="120" t="s">
        <v>47</v>
      </c>
      <c r="K6464" s="207">
        <v>1490</v>
      </c>
      <c r="L6464" s="207"/>
    </row>
    <row r="6465" spans="1:14" ht="11.25" customHeight="1" x14ac:dyDescent="0.2">
      <c r="A6465" s="191">
        <v>2024</v>
      </c>
      <c r="B6465" s="191">
        <v>12</v>
      </c>
      <c r="C6465" s="191">
        <v>17</v>
      </c>
      <c r="D6465" s="192">
        <f t="shared" si="677"/>
        <v>45643</v>
      </c>
      <c r="E6465" s="193">
        <f t="shared" si="683"/>
        <v>45643</v>
      </c>
      <c r="F6465" s="514"/>
      <c r="G6465" s="194" t="s">
        <v>1209</v>
      </c>
      <c r="H6465" s="195"/>
      <c r="I6465" s="195" t="s">
        <v>1630</v>
      </c>
      <c r="J6465" s="191" t="s">
        <v>46</v>
      </c>
      <c r="K6465" s="196"/>
      <c r="L6465" s="196">
        <v>10000</v>
      </c>
    </row>
    <row r="6466" spans="1:14" ht="11.25" customHeight="1" x14ac:dyDescent="0.2">
      <c r="A6466" s="197">
        <v>2024</v>
      </c>
      <c r="B6466" s="197">
        <v>12</v>
      </c>
      <c r="C6466" s="197">
        <v>17</v>
      </c>
      <c r="D6466" s="198">
        <f t="shared" si="677"/>
        <v>45643</v>
      </c>
      <c r="E6466" s="209">
        <f t="shared" ref="E6466:E6469" si="684">DATE(A6466,B6466,C6466)</f>
        <v>45643</v>
      </c>
      <c r="F6466" s="513" t="s">
        <v>1423</v>
      </c>
      <c r="G6466" s="200" t="s">
        <v>1209</v>
      </c>
      <c r="H6466" s="201"/>
      <c r="I6466" s="201" t="s">
        <v>652</v>
      </c>
      <c r="J6466" s="197" t="s">
        <v>16</v>
      </c>
      <c r="K6466" s="202">
        <v>55430</v>
      </c>
      <c r="L6466" s="202"/>
    </row>
    <row r="6467" spans="1:14" ht="11.25" customHeight="1" x14ac:dyDescent="0.2">
      <c r="A6467" s="120">
        <v>2024</v>
      </c>
      <c r="B6467" s="120">
        <v>12</v>
      </c>
      <c r="C6467" s="120">
        <v>17</v>
      </c>
      <c r="D6467" s="208">
        <f t="shared" si="677"/>
        <v>45643</v>
      </c>
      <c r="E6467" s="209">
        <f t="shared" si="684"/>
        <v>45643</v>
      </c>
      <c r="F6467" s="515"/>
      <c r="G6467" s="132" t="s">
        <v>1209</v>
      </c>
      <c r="I6467" s="128" t="s">
        <v>652</v>
      </c>
      <c r="J6467" s="120" t="s">
        <v>47</v>
      </c>
      <c r="K6467" s="207">
        <v>9716.8799999999974</v>
      </c>
      <c r="L6467" s="207"/>
    </row>
    <row r="6468" spans="1:14" ht="11.25" customHeight="1" x14ac:dyDescent="0.2">
      <c r="A6468" s="191">
        <v>2024</v>
      </c>
      <c r="B6468" s="191">
        <v>12</v>
      </c>
      <c r="C6468" s="191">
        <v>17</v>
      </c>
      <c r="D6468" s="192">
        <f t="shared" si="677"/>
        <v>45643</v>
      </c>
      <c r="E6468" s="193">
        <f t="shared" si="684"/>
        <v>45643</v>
      </c>
      <c r="F6468" s="514"/>
      <c r="G6468" s="194" t="s">
        <v>1209</v>
      </c>
      <c r="H6468" s="195"/>
      <c r="I6468" s="195" t="s">
        <v>652</v>
      </c>
      <c r="J6468" s="191" t="s">
        <v>46</v>
      </c>
      <c r="K6468" s="196"/>
      <c r="L6468" s="196">
        <v>65146.879999999997</v>
      </c>
    </row>
    <row r="6469" spans="1:14" ht="11.25" customHeight="1" x14ac:dyDescent="0.2">
      <c r="A6469" s="197">
        <v>2024</v>
      </c>
      <c r="B6469" s="197">
        <v>12</v>
      </c>
      <c r="C6469" s="197">
        <v>17</v>
      </c>
      <c r="D6469" s="198">
        <f t="shared" si="677"/>
        <v>45643</v>
      </c>
      <c r="E6469" s="290">
        <f t="shared" si="684"/>
        <v>45643</v>
      </c>
      <c r="F6469" s="513" t="s">
        <v>1964</v>
      </c>
      <c r="G6469" s="200" t="s">
        <v>1209</v>
      </c>
      <c r="H6469" s="201"/>
      <c r="I6469" s="201" t="s">
        <v>1253</v>
      </c>
      <c r="J6469" s="197" t="s">
        <v>41</v>
      </c>
      <c r="K6469" s="202">
        <v>638551.87</v>
      </c>
      <c r="L6469" s="202"/>
      <c r="N6469" s="130">
        <f>K6469*0.15</f>
        <v>95782.780499999993</v>
      </c>
    </row>
    <row r="6470" spans="1:14" ht="11.25" customHeight="1" x14ac:dyDescent="0.2">
      <c r="A6470" s="120">
        <v>2024</v>
      </c>
      <c r="B6470" s="120">
        <v>12</v>
      </c>
      <c r="C6470" s="120">
        <v>17</v>
      </c>
      <c r="D6470" s="208">
        <f t="shared" si="677"/>
        <v>45643</v>
      </c>
      <c r="E6470" s="209">
        <f>DATE(A6470,B6470,C6470)</f>
        <v>45643</v>
      </c>
      <c r="F6470" s="515"/>
      <c r="G6470" s="132" t="s">
        <v>1209</v>
      </c>
      <c r="H6470" s="132"/>
      <c r="J6470" s="120" t="s">
        <v>457</v>
      </c>
      <c r="K6470" s="120"/>
      <c r="L6470" s="207">
        <v>95782.78</v>
      </c>
    </row>
    <row r="6471" spans="1:14" ht="11.25" customHeight="1" x14ac:dyDescent="0.2">
      <c r="A6471" s="191">
        <v>2024</v>
      </c>
      <c r="B6471" s="191">
        <v>12</v>
      </c>
      <c r="C6471" s="191">
        <v>17</v>
      </c>
      <c r="D6471" s="192">
        <f t="shared" si="677"/>
        <v>45643</v>
      </c>
      <c r="E6471" s="291">
        <f t="shared" ref="E6471:E6473" si="685">DATE(A6471,B6471,C6471)</f>
        <v>45643</v>
      </c>
      <c r="F6471" s="514"/>
      <c r="G6471" s="194" t="s">
        <v>1209</v>
      </c>
      <c r="H6471" s="195"/>
      <c r="I6471" s="195" t="s">
        <v>1253</v>
      </c>
      <c r="J6471" s="191" t="s">
        <v>46</v>
      </c>
      <c r="K6471" s="196"/>
      <c r="L6471" s="196">
        <v>542769.09</v>
      </c>
    </row>
    <row r="6472" spans="1:14" ht="11.25" customHeight="1" x14ac:dyDescent="0.2">
      <c r="A6472" s="197">
        <v>2024</v>
      </c>
      <c r="B6472" s="197">
        <v>12</v>
      </c>
      <c r="C6472" s="197">
        <v>18</v>
      </c>
      <c r="D6472" s="198">
        <f t="shared" si="677"/>
        <v>45644</v>
      </c>
      <c r="E6472" s="199">
        <f t="shared" si="685"/>
        <v>45644</v>
      </c>
      <c r="F6472" s="513" t="s">
        <v>1946</v>
      </c>
      <c r="G6472" s="200" t="s">
        <v>1209</v>
      </c>
      <c r="H6472" s="201"/>
      <c r="I6472" s="201" t="s">
        <v>1253</v>
      </c>
      <c r="J6472" s="197" t="s">
        <v>1837</v>
      </c>
      <c r="K6472" s="202">
        <v>21584225</v>
      </c>
      <c r="L6472" s="202"/>
    </row>
    <row r="6473" spans="1:14" ht="11.25" customHeight="1" x14ac:dyDescent="0.2">
      <c r="A6473" s="191">
        <v>2024</v>
      </c>
      <c r="B6473" s="191">
        <v>12</v>
      </c>
      <c r="C6473" s="191">
        <v>18</v>
      </c>
      <c r="D6473" s="192">
        <f t="shared" si="677"/>
        <v>45644</v>
      </c>
      <c r="E6473" s="193">
        <f t="shared" si="685"/>
        <v>45644</v>
      </c>
      <c r="F6473" s="514"/>
      <c r="G6473" s="194" t="s">
        <v>1209</v>
      </c>
      <c r="H6473" s="195"/>
      <c r="I6473" s="195" t="s">
        <v>1253</v>
      </c>
      <c r="J6473" s="191" t="s">
        <v>46</v>
      </c>
      <c r="K6473" s="196"/>
      <c r="L6473" s="196">
        <v>21584225</v>
      </c>
      <c r="N6473" s="130"/>
    </row>
    <row r="6474" spans="1:14" ht="11.25" customHeight="1" x14ac:dyDescent="0.2">
      <c r="A6474" s="197">
        <v>2024</v>
      </c>
      <c r="B6474" s="197">
        <v>12</v>
      </c>
      <c r="C6474" s="197">
        <v>18</v>
      </c>
      <c r="D6474" s="198">
        <f t="shared" si="677"/>
        <v>45644</v>
      </c>
      <c r="E6474" s="209">
        <f t="shared" si="675"/>
        <v>45644</v>
      </c>
      <c r="F6474" s="513" t="s">
        <v>1210</v>
      </c>
      <c r="G6474" s="200" t="s">
        <v>1209</v>
      </c>
      <c r="H6474" s="201"/>
      <c r="I6474" s="201" t="s">
        <v>355</v>
      </c>
      <c r="J6474" s="197" t="s">
        <v>46</v>
      </c>
      <c r="K6474" s="202">
        <v>13500</v>
      </c>
      <c r="L6474" s="202"/>
    </row>
    <row r="6475" spans="1:14" ht="11.25" customHeight="1" x14ac:dyDescent="0.2">
      <c r="A6475" s="120">
        <v>2024</v>
      </c>
      <c r="B6475" s="120">
        <v>12</v>
      </c>
      <c r="C6475" s="120">
        <v>18</v>
      </c>
      <c r="D6475" s="208">
        <f t="shared" si="677"/>
        <v>45644</v>
      </c>
      <c r="E6475" s="209">
        <f t="shared" si="675"/>
        <v>45644</v>
      </c>
      <c r="F6475" s="515"/>
      <c r="G6475" s="132" t="s">
        <v>1209</v>
      </c>
      <c r="I6475" s="128" t="s">
        <v>355</v>
      </c>
      <c r="J6475" s="120" t="s">
        <v>16</v>
      </c>
      <c r="K6475" s="207"/>
      <c r="L6475" s="207">
        <v>11490</v>
      </c>
    </row>
    <row r="6476" spans="1:14" ht="11.25" customHeight="1" x14ac:dyDescent="0.2">
      <c r="A6476" s="191">
        <v>2024</v>
      </c>
      <c r="B6476" s="191">
        <v>12</v>
      </c>
      <c r="C6476" s="191">
        <v>18</v>
      </c>
      <c r="D6476" s="192">
        <f t="shared" si="677"/>
        <v>45644</v>
      </c>
      <c r="E6476" s="193">
        <f t="shared" si="675"/>
        <v>45644</v>
      </c>
      <c r="F6476" s="514"/>
      <c r="G6476" s="194" t="s">
        <v>1209</v>
      </c>
      <c r="H6476" s="195"/>
      <c r="I6476" s="195" t="s">
        <v>355</v>
      </c>
      <c r="J6476" s="191" t="s">
        <v>47</v>
      </c>
      <c r="K6476" s="196"/>
      <c r="L6476" s="196">
        <v>2010</v>
      </c>
    </row>
    <row r="6477" spans="1:14" ht="11.25" customHeight="1" x14ac:dyDescent="0.2">
      <c r="A6477" s="197">
        <v>2024</v>
      </c>
      <c r="B6477" s="197">
        <v>12</v>
      </c>
      <c r="C6477" s="197">
        <v>18</v>
      </c>
      <c r="D6477" s="198">
        <f t="shared" si="677"/>
        <v>45644</v>
      </c>
      <c r="E6477" s="209">
        <f t="shared" ref="E6477:E6491" si="686">DATE(A6477,B6477,C6477)</f>
        <v>45644</v>
      </c>
      <c r="F6477" s="513" t="s">
        <v>1210</v>
      </c>
      <c r="G6477" s="200" t="s">
        <v>1209</v>
      </c>
      <c r="H6477" s="201"/>
      <c r="I6477" s="201" t="s">
        <v>1235</v>
      </c>
      <c r="J6477" s="197" t="s">
        <v>46</v>
      </c>
      <c r="K6477" s="202">
        <v>90000</v>
      </c>
      <c r="L6477" s="202"/>
    </row>
    <row r="6478" spans="1:14" ht="11.25" customHeight="1" x14ac:dyDescent="0.2">
      <c r="A6478" s="120">
        <v>2024</v>
      </c>
      <c r="B6478" s="120">
        <v>12</v>
      </c>
      <c r="C6478" s="120">
        <v>18</v>
      </c>
      <c r="D6478" s="208">
        <f t="shared" si="677"/>
        <v>45644</v>
      </c>
      <c r="E6478" s="209">
        <f t="shared" si="686"/>
        <v>45644</v>
      </c>
      <c r="F6478" s="515"/>
      <c r="G6478" s="132" t="s">
        <v>1209</v>
      </c>
      <c r="I6478" s="128" t="s">
        <v>1235</v>
      </c>
      <c r="J6478" s="120" t="s">
        <v>16</v>
      </c>
      <c r="K6478" s="207"/>
      <c r="L6478" s="207">
        <v>76580</v>
      </c>
    </row>
    <row r="6479" spans="1:14" ht="11.25" customHeight="1" x14ac:dyDescent="0.2">
      <c r="A6479" s="191">
        <v>2024</v>
      </c>
      <c r="B6479" s="191">
        <v>12</v>
      </c>
      <c r="C6479" s="191">
        <v>18</v>
      </c>
      <c r="D6479" s="192">
        <f t="shared" si="677"/>
        <v>45644</v>
      </c>
      <c r="E6479" s="193">
        <f t="shared" si="686"/>
        <v>45644</v>
      </c>
      <c r="F6479" s="514"/>
      <c r="G6479" s="194" t="s">
        <v>1209</v>
      </c>
      <c r="H6479" s="195"/>
      <c r="I6479" s="195" t="s">
        <v>1235</v>
      </c>
      <c r="J6479" s="191" t="s">
        <v>47</v>
      </c>
      <c r="K6479" s="196"/>
      <c r="L6479" s="196">
        <v>13420</v>
      </c>
    </row>
    <row r="6480" spans="1:14" ht="11.25" customHeight="1" x14ac:dyDescent="0.2">
      <c r="A6480" s="197">
        <v>2024</v>
      </c>
      <c r="B6480" s="197">
        <v>12</v>
      </c>
      <c r="C6480" s="197">
        <v>19</v>
      </c>
      <c r="D6480" s="198">
        <f t="shared" si="677"/>
        <v>45645</v>
      </c>
      <c r="E6480" s="209">
        <f t="shared" si="686"/>
        <v>45645</v>
      </c>
      <c r="F6480" s="513" t="s">
        <v>1280</v>
      </c>
      <c r="G6480" s="200" t="s">
        <v>1209</v>
      </c>
      <c r="H6480" s="201"/>
      <c r="I6480" s="201" t="s">
        <v>299</v>
      </c>
      <c r="J6480" s="197" t="s">
        <v>16</v>
      </c>
      <c r="K6480" s="202">
        <v>3910930</v>
      </c>
      <c r="L6480" s="202"/>
    </row>
    <row r="6481" spans="1:13" ht="11.25" customHeight="1" x14ac:dyDescent="0.2">
      <c r="A6481" s="120">
        <v>2024</v>
      </c>
      <c r="B6481" s="120">
        <v>12</v>
      </c>
      <c r="C6481" s="120">
        <v>19</v>
      </c>
      <c r="D6481" s="208">
        <f t="shared" si="677"/>
        <v>45645</v>
      </c>
      <c r="E6481" s="209">
        <f t="shared" si="686"/>
        <v>45645</v>
      </c>
      <c r="F6481" s="515"/>
      <c r="G6481" s="132" t="s">
        <v>1209</v>
      </c>
      <c r="I6481" s="128" t="s">
        <v>299</v>
      </c>
      <c r="J6481" s="120" t="s">
        <v>47</v>
      </c>
      <c r="K6481" s="207">
        <v>685586.03000000026</v>
      </c>
      <c r="L6481" s="207"/>
    </row>
    <row r="6482" spans="1:13" ht="11.25" customHeight="1" x14ac:dyDescent="0.2">
      <c r="A6482" s="191">
        <v>2024</v>
      </c>
      <c r="B6482" s="191">
        <v>12</v>
      </c>
      <c r="C6482" s="191">
        <v>19</v>
      </c>
      <c r="D6482" s="192">
        <f t="shared" si="677"/>
        <v>45645</v>
      </c>
      <c r="E6482" s="193">
        <f t="shared" si="686"/>
        <v>45645</v>
      </c>
      <c r="F6482" s="514"/>
      <c r="G6482" s="194" t="s">
        <v>1209</v>
      </c>
      <c r="H6482" s="195"/>
      <c r="I6482" s="195" t="s">
        <v>299</v>
      </c>
      <c r="J6482" s="191" t="s">
        <v>46</v>
      </c>
      <c r="K6482" s="196"/>
      <c r="L6482" s="196">
        <v>4596516.03</v>
      </c>
    </row>
    <row r="6483" spans="1:13" ht="11.25" customHeight="1" x14ac:dyDescent="0.2">
      <c r="A6483" s="424">
        <v>2024</v>
      </c>
      <c r="B6483" s="424">
        <v>12</v>
      </c>
      <c r="C6483" s="424">
        <v>19</v>
      </c>
      <c r="D6483" s="425">
        <f t="shared" si="677"/>
        <v>45645</v>
      </c>
      <c r="E6483" s="384">
        <f t="shared" si="686"/>
        <v>45645</v>
      </c>
      <c r="F6483" s="516" t="s">
        <v>1850</v>
      </c>
      <c r="G6483" s="426" t="s">
        <v>1209</v>
      </c>
      <c r="H6483" s="427"/>
      <c r="I6483" s="427"/>
      <c r="J6483" s="428" t="s">
        <v>81</v>
      </c>
      <c r="K6483" s="429">
        <v>6973.2450980392159</v>
      </c>
      <c r="L6483" s="429"/>
    </row>
    <row r="6484" spans="1:13" ht="11.25" customHeight="1" x14ac:dyDescent="0.2">
      <c r="A6484" s="389">
        <v>2024</v>
      </c>
      <c r="B6484" s="389">
        <v>12</v>
      </c>
      <c r="C6484" s="389">
        <v>19</v>
      </c>
      <c r="D6484" s="390">
        <f t="shared" si="677"/>
        <v>45645</v>
      </c>
      <c r="E6484" s="391">
        <f t="shared" si="686"/>
        <v>45645</v>
      </c>
      <c r="F6484" s="517"/>
      <c r="G6484" s="392" t="s">
        <v>1209</v>
      </c>
      <c r="H6484" s="393"/>
      <c r="I6484" s="393"/>
      <c r="J6484" s="394" t="s">
        <v>1847</v>
      </c>
      <c r="K6484" s="423"/>
      <c r="L6484" s="423">
        <v>6973.2450980392159</v>
      </c>
    </row>
    <row r="6485" spans="1:13" ht="11.25" customHeight="1" x14ac:dyDescent="0.2">
      <c r="A6485" s="382">
        <v>2024</v>
      </c>
      <c r="B6485" s="382">
        <v>12</v>
      </c>
      <c r="C6485" s="382">
        <v>19</v>
      </c>
      <c r="D6485" s="383">
        <f t="shared" si="677"/>
        <v>45645</v>
      </c>
      <c r="E6485" s="384">
        <f t="shared" si="686"/>
        <v>45645</v>
      </c>
      <c r="F6485" s="516" t="s">
        <v>1892</v>
      </c>
      <c r="G6485" s="385" t="s">
        <v>1209</v>
      </c>
      <c r="H6485" s="386"/>
      <c r="I6485" s="386"/>
      <c r="J6485" s="387" t="s">
        <v>173</v>
      </c>
      <c r="K6485" s="388">
        <v>4357.2476208333328</v>
      </c>
      <c r="L6485" s="388"/>
    </row>
    <row r="6486" spans="1:13" ht="11.25" customHeight="1" x14ac:dyDescent="0.2">
      <c r="A6486" s="389">
        <v>2024</v>
      </c>
      <c r="B6486" s="389">
        <v>12</v>
      </c>
      <c r="C6486" s="389">
        <v>19</v>
      </c>
      <c r="D6486" s="390">
        <f t="shared" si="677"/>
        <v>45645</v>
      </c>
      <c r="E6486" s="391">
        <f t="shared" si="686"/>
        <v>45645</v>
      </c>
      <c r="F6486" s="517"/>
      <c r="G6486" s="392" t="s">
        <v>1209</v>
      </c>
      <c r="H6486" s="393"/>
      <c r="I6486" s="393"/>
      <c r="J6486" s="394" t="s">
        <v>43</v>
      </c>
      <c r="K6486" s="388"/>
      <c r="L6486" s="388">
        <f>K6485</f>
        <v>4357.2476208333328</v>
      </c>
    </row>
    <row r="6487" spans="1:13" ht="11.25" customHeight="1" x14ac:dyDescent="0.2">
      <c r="A6487" s="344">
        <v>2024</v>
      </c>
      <c r="B6487" s="344">
        <v>12</v>
      </c>
      <c r="C6487" s="344">
        <v>19</v>
      </c>
      <c r="D6487" s="345">
        <f t="shared" si="677"/>
        <v>45645</v>
      </c>
      <c r="E6487" s="346">
        <f t="shared" si="686"/>
        <v>45645</v>
      </c>
      <c r="F6487" s="518" t="s">
        <v>1621</v>
      </c>
      <c r="G6487" s="347" t="s">
        <v>1245</v>
      </c>
      <c r="H6487" s="348"/>
      <c r="I6487" s="348" t="s">
        <v>1253</v>
      </c>
      <c r="J6487" s="344" t="s">
        <v>113</v>
      </c>
      <c r="K6487" s="349">
        <v>40048.080000000002</v>
      </c>
      <c r="L6487" s="349"/>
    </row>
    <row r="6488" spans="1:13" ht="11.25" customHeight="1" x14ac:dyDescent="0.2">
      <c r="A6488" s="350">
        <v>2024</v>
      </c>
      <c r="B6488" s="350">
        <v>12</v>
      </c>
      <c r="C6488" s="350">
        <v>19</v>
      </c>
      <c r="D6488" s="351">
        <f t="shared" si="677"/>
        <v>45645</v>
      </c>
      <c r="E6488" s="352">
        <f t="shared" si="686"/>
        <v>45645</v>
      </c>
      <c r="F6488" s="519"/>
      <c r="G6488" s="353" t="s">
        <v>1245</v>
      </c>
      <c r="H6488" s="354"/>
      <c r="I6488" s="354" t="s">
        <v>1253</v>
      </c>
      <c r="J6488" s="350" t="s">
        <v>153</v>
      </c>
      <c r="K6488" s="355"/>
      <c r="L6488" s="355">
        <f>K6487</f>
        <v>40048.080000000002</v>
      </c>
    </row>
    <row r="6489" spans="1:13" ht="11.25" customHeight="1" x14ac:dyDescent="0.2">
      <c r="A6489" s="210">
        <v>2024</v>
      </c>
      <c r="B6489" s="210">
        <v>12</v>
      </c>
      <c r="C6489" s="210">
        <v>19</v>
      </c>
      <c r="D6489" s="211">
        <f t="shared" si="677"/>
        <v>45645</v>
      </c>
      <c r="E6489" s="238">
        <f t="shared" si="686"/>
        <v>45645</v>
      </c>
      <c r="F6489" s="520" t="s">
        <v>1278</v>
      </c>
      <c r="G6489" s="213" t="s">
        <v>1245</v>
      </c>
      <c r="H6489" s="214"/>
      <c r="I6489" s="214" t="s">
        <v>1253</v>
      </c>
      <c r="J6489" s="210" t="s">
        <v>1529</v>
      </c>
      <c r="K6489" s="215">
        <v>510.40384615384613</v>
      </c>
      <c r="L6489" s="215"/>
    </row>
    <row r="6490" spans="1:13" ht="11.25" customHeight="1" x14ac:dyDescent="0.2">
      <c r="A6490" s="216">
        <v>2024</v>
      </c>
      <c r="B6490" s="216">
        <v>12</v>
      </c>
      <c r="C6490" s="216">
        <v>19</v>
      </c>
      <c r="D6490" s="217">
        <f t="shared" si="677"/>
        <v>45645</v>
      </c>
      <c r="E6490" s="239">
        <f t="shared" si="686"/>
        <v>45645</v>
      </c>
      <c r="F6490" s="521"/>
      <c r="G6490" s="219" t="s">
        <v>1245</v>
      </c>
      <c r="H6490" s="220"/>
      <c r="I6490" s="220" t="s">
        <v>1253</v>
      </c>
      <c r="J6490" s="216" t="s">
        <v>1581</v>
      </c>
      <c r="K6490" s="221"/>
      <c r="L6490" s="221">
        <v>510.40384615384613</v>
      </c>
    </row>
    <row r="6491" spans="1:13" ht="11.25" customHeight="1" x14ac:dyDescent="0.2">
      <c r="A6491" s="210">
        <v>2024</v>
      </c>
      <c r="B6491" s="210">
        <v>12</v>
      </c>
      <c r="C6491" s="210">
        <v>19</v>
      </c>
      <c r="D6491" s="211">
        <f t="shared" si="677"/>
        <v>45645</v>
      </c>
      <c r="E6491" s="238">
        <f t="shared" si="686"/>
        <v>45645</v>
      </c>
      <c r="F6491" s="520" t="s">
        <v>1857</v>
      </c>
      <c r="G6491" s="213" t="s">
        <v>1245</v>
      </c>
      <c r="H6491" s="214"/>
      <c r="I6491" s="214" t="s">
        <v>1253</v>
      </c>
      <c r="J6491" s="210" t="s">
        <v>1284</v>
      </c>
      <c r="K6491" s="215">
        <v>5589.828962703973</v>
      </c>
      <c r="L6491" s="215"/>
    </row>
    <row r="6492" spans="1:13" ht="11.25" customHeight="1" x14ac:dyDescent="0.2">
      <c r="A6492" s="242">
        <v>2024</v>
      </c>
      <c r="B6492" s="242">
        <v>12</v>
      </c>
      <c r="C6492" s="242">
        <v>19</v>
      </c>
      <c r="D6492" s="243">
        <f t="shared" si="677"/>
        <v>45645</v>
      </c>
      <c r="E6492" s="244">
        <f>DATE(A6492,B6492,C6492)</f>
        <v>45645</v>
      </c>
      <c r="F6492" s="524"/>
      <c r="G6492" s="245" t="s">
        <v>1245</v>
      </c>
      <c r="H6492" s="246"/>
      <c r="I6492" s="246"/>
      <c r="J6492" s="242" t="s">
        <v>1582</v>
      </c>
      <c r="K6492" s="247"/>
      <c r="L6492" s="247">
        <f>K6491</f>
        <v>5589.828962703973</v>
      </c>
    </row>
    <row r="6493" spans="1:13" ht="11.25" customHeight="1" x14ac:dyDescent="0.2">
      <c r="A6493" s="210">
        <v>2024</v>
      </c>
      <c r="B6493" s="210">
        <v>12</v>
      </c>
      <c r="C6493" s="210">
        <v>19</v>
      </c>
      <c r="D6493" s="211">
        <f t="shared" si="677"/>
        <v>45645</v>
      </c>
      <c r="E6493" s="238">
        <f t="shared" ref="E6493:E6509" si="687">DATE(A6493,B6493,C6493)</f>
        <v>45645</v>
      </c>
      <c r="F6493" s="520" t="s">
        <v>1259</v>
      </c>
      <c r="G6493" s="213" t="s">
        <v>1245</v>
      </c>
      <c r="H6493" s="214"/>
      <c r="I6493" s="214" t="s">
        <v>1253</v>
      </c>
      <c r="J6493" s="210" t="s">
        <v>58</v>
      </c>
      <c r="K6493" s="215">
        <v>28212.67</v>
      </c>
      <c r="L6493" s="215"/>
    </row>
    <row r="6494" spans="1:13" ht="11.25" customHeight="1" x14ac:dyDescent="0.2">
      <c r="A6494" s="216">
        <v>2024</v>
      </c>
      <c r="B6494" s="216">
        <v>12</v>
      </c>
      <c r="C6494" s="216">
        <v>19</v>
      </c>
      <c r="D6494" s="217">
        <f t="shared" si="677"/>
        <v>45645</v>
      </c>
      <c r="E6494" s="239">
        <f t="shared" si="687"/>
        <v>45645</v>
      </c>
      <c r="F6494" s="521"/>
      <c r="G6494" s="219" t="s">
        <v>1245</v>
      </c>
      <c r="H6494" s="220"/>
      <c r="I6494" s="220" t="s">
        <v>1253</v>
      </c>
      <c r="J6494" s="216" t="s">
        <v>153</v>
      </c>
      <c r="K6494" s="221"/>
      <c r="L6494" s="221">
        <f>K6493</f>
        <v>28212.67</v>
      </c>
    </row>
    <row r="6495" spans="1:13" ht="11.25" customHeight="1" x14ac:dyDescent="0.2">
      <c r="A6495" s="312">
        <v>2024</v>
      </c>
      <c r="B6495" s="312">
        <v>12</v>
      </c>
      <c r="C6495" s="312">
        <v>19</v>
      </c>
      <c r="D6495" s="313">
        <f t="shared" si="677"/>
        <v>45645</v>
      </c>
      <c r="E6495" s="314">
        <f t="shared" si="687"/>
        <v>45645</v>
      </c>
      <c r="F6495" s="522" t="s">
        <v>1477</v>
      </c>
      <c r="G6495" s="315" t="s">
        <v>1245</v>
      </c>
      <c r="H6495" s="316"/>
      <c r="I6495" s="316" t="s">
        <v>1253</v>
      </c>
      <c r="J6495" s="312" t="s">
        <v>1460</v>
      </c>
      <c r="K6495" s="317">
        <v>8680.0000000004657</v>
      </c>
      <c r="L6495" s="317"/>
      <c r="M6495" s="120">
        <f>BS!$I$11</f>
        <v>5.9604644775390625E-8</v>
      </c>
    </row>
    <row r="6496" spans="1:13" ht="11.25" customHeight="1" x14ac:dyDescent="0.2">
      <c r="A6496" s="318">
        <v>2024</v>
      </c>
      <c r="B6496" s="318">
        <v>12</v>
      </c>
      <c r="C6496" s="318">
        <v>19</v>
      </c>
      <c r="D6496" s="319">
        <f t="shared" si="677"/>
        <v>45645</v>
      </c>
      <c r="E6496" s="320">
        <f t="shared" si="687"/>
        <v>45645</v>
      </c>
      <c r="F6496" s="523"/>
      <c r="G6496" s="321" t="s">
        <v>1245</v>
      </c>
      <c r="H6496" s="322"/>
      <c r="I6496" s="322" t="s">
        <v>1253</v>
      </c>
      <c r="J6496" s="318" t="s">
        <v>1458</v>
      </c>
      <c r="K6496" s="323"/>
      <c r="L6496" s="323">
        <f>K6495</f>
        <v>8680.0000000004657</v>
      </c>
    </row>
    <row r="6497" spans="1:13" ht="11.25" customHeight="1" x14ac:dyDescent="0.2">
      <c r="A6497" s="312">
        <v>2024</v>
      </c>
      <c r="B6497" s="312">
        <v>12</v>
      </c>
      <c r="C6497" s="312">
        <v>19</v>
      </c>
      <c r="D6497" s="313">
        <f t="shared" si="677"/>
        <v>45645</v>
      </c>
      <c r="E6497" s="314">
        <f t="shared" si="687"/>
        <v>45645</v>
      </c>
      <c r="F6497" s="522" t="s">
        <v>1595</v>
      </c>
      <c r="G6497" s="315" t="s">
        <v>1245</v>
      </c>
      <c r="H6497" s="316"/>
      <c r="I6497" s="316" t="s">
        <v>1253</v>
      </c>
      <c r="J6497" s="312" t="s">
        <v>1459</v>
      </c>
      <c r="K6497" s="317">
        <v>1532110.6899999976</v>
      </c>
      <c r="L6497" s="317"/>
      <c r="M6497" s="120">
        <f>BS!$I$14</f>
        <v>0</v>
      </c>
    </row>
    <row r="6498" spans="1:13" ht="11.25" customHeight="1" x14ac:dyDescent="0.2">
      <c r="A6498" s="318">
        <v>2024</v>
      </c>
      <c r="B6498" s="318">
        <v>12</v>
      </c>
      <c r="C6498" s="318">
        <v>19</v>
      </c>
      <c r="D6498" s="319">
        <f t="shared" si="677"/>
        <v>45645</v>
      </c>
      <c r="E6498" s="320">
        <f t="shared" si="687"/>
        <v>45645</v>
      </c>
      <c r="F6498" s="523"/>
      <c r="G6498" s="321" t="s">
        <v>1245</v>
      </c>
      <c r="H6498" s="322"/>
      <c r="I6498" s="322" t="s">
        <v>1253</v>
      </c>
      <c r="J6498" s="318" t="s">
        <v>1461</v>
      </c>
      <c r="K6498" s="323"/>
      <c r="L6498" s="323">
        <f>K6497</f>
        <v>1532110.6899999976</v>
      </c>
    </row>
    <row r="6499" spans="1:13" ht="11.25" customHeight="1" x14ac:dyDescent="0.2">
      <c r="A6499" s="222">
        <v>2024</v>
      </c>
      <c r="B6499" s="222">
        <v>12</v>
      </c>
      <c r="C6499" s="222">
        <v>19</v>
      </c>
      <c r="D6499" s="223">
        <f t="shared" si="677"/>
        <v>45645</v>
      </c>
      <c r="E6499" s="240">
        <f t="shared" si="687"/>
        <v>45645</v>
      </c>
      <c r="F6499" s="511" t="s">
        <v>1244</v>
      </c>
      <c r="G6499" s="225" t="s">
        <v>1245</v>
      </c>
      <c r="H6499" s="226"/>
      <c r="I6499" s="226" t="s">
        <v>1253</v>
      </c>
      <c r="J6499" s="222" t="s">
        <v>87</v>
      </c>
      <c r="K6499" s="227">
        <v>9945</v>
      </c>
      <c r="L6499" s="227"/>
      <c r="M6499" s="120">
        <f>BS!$I$7</f>
        <v>0</v>
      </c>
    </row>
    <row r="6500" spans="1:13" ht="11.25" customHeight="1" x14ac:dyDescent="0.2">
      <c r="A6500" s="228">
        <v>2024</v>
      </c>
      <c r="B6500" s="228">
        <v>12</v>
      </c>
      <c r="C6500" s="228">
        <v>19</v>
      </c>
      <c r="D6500" s="229">
        <f t="shared" si="677"/>
        <v>45645</v>
      </c>
      <c r="E6500" s="241">
        <f t="shared" si="687"/>
        <v>45645</v>
      </c>
      <c r="F6500" s="512"/>
      <c r="G6500" s="231" t="s">
        <v>1245</v>
      </c>
      <c r="H6500" s="232"/>
      <c r="I6500" s="232" t="s">
        <v>1253</v>
      </c>
      <c r="J6500" s="228" t="s">
        <v>72</v>
      </c>
      <c r="K6500" s="233"/>
      <c r="L6500" s="233">
        <f>K6499</f>
        <v>9945</v>
      </c>
    </row>
    <row r="6501" spans="1:13" ht="11.25" customHeight="1" x14ac:dyDescent="0.2">
      <c r="A6501" s="222">
        <v>2024</v>
      </c>
      <c r="B6501" s="222">
        <v>12</v>
      </c>
      <c r="C6501" s="222">
        <v>19</v>
      </c>
      <c r="D6501" s="223">
        <f t="shared" si="677"/>
        <v>45645</v>
      </c>
      <c r="E6501" s="240">
        <f t="shared" si="687"/>
        <v>45645</v>
      </c>
      <c r="F6501" s="511" t="s">
        <v>1246</v>
      </c>
      <c r="G6501" s="225" t="s">
        <v>1245</v>
      </c>
      <c r="H6501" s="226"/>
      <c r="I6501" s="226" t="s">
        <v>1253</v>
      </c>
      <c r="J6501" s="222" t="s">
        <v>75</v>
      </c>
      <c r="K6501" s="227">
        <v>3623.123846153846</v>
      </c>
      <c r="L6501" s="227"/>
    </row>
    <row r="6502" spans="1:13" ht="11.25" customHeight="1" x14ac:dyDescent="0.2">
      <c r="A6502" s="228">
        <v>2024</v>
      </c>
      <c r="B6502" s="228">
        <v>12</v>
      </c>
      <c r="C6502" s="228">
        <v>19</v>
      </c>
      <c r="D6502" s="229">
        <f t="shared" si="677"/>
        <v>45645</v>
      </c>
      <c r="E6502" s="241">
        <f t="shared" si="687"/>
        <v>45645</v>
      </c>
      <c r="F6502" s="512"/>
      <c r="G6502" s="231" t="s">
        <v>1245</v>
      </c>
      <c r="H6502" s="232"/>
      <c r="I6502" s="232" t="s">
        <v>1253</v>
      </c>
      <c r="J6502" s="228" t="s">
        <v>55</v>
      </c>
      <c r="K6502" s="233"/>
      <c r="L6502" s="233">
        <v>3623.123846153846</v>
      </c>
    </row>
    <row r="6503" spans="1:13" ht="11.25" customHeight="1" x14ac:dyDescent="0.2">
      <c r="A6503" s="222">
        <v>2024</v>
      </c>
      <c r="B6503" s="222">
        <v>12</v>
      </c>
      <c r="C6503" s="222">
        <v>19</v>
      </c>
      <c r="D6503" s="223">
        <f t="shared" si="677"/>
        <v>45645</v>
      </c>
      <c r="E6503" s="240">
        <f t="shared" si="687"/>
        <v>45645</v>
      </c>
      <c r="F6503" s="511" t="s">
        <v>1247</v>
      </c>
      <c r="G6503" s="225" t="s">
        <v>1245</v>
      </c>
      <c r="H6503" s="226"/>
      <c r="I6503" s="226" t="s">
        <v>1253</v>
      </c>
      <c r="J6503" s="222" t="s">
        <v>77</v>
      </c>
      <c r="K6503" s="227">
        <f>M6503</f>
        <v>40988.571304348559</v>
      </c>
      <c r="L6503" s="227"/>
      <c r="M6503" s="120">
        <v>40988.571304348559</v>
      </c>
    </row>
    <row r="6504" spans="1:13" ht="11.25" customHeight="1" x14ac:dyDescent="0.2">
      <c r="A6504" s="228">
        <v>2024</v>
      </c>
      <c r="B6504" s="228">
        <v>12</v>
      </c>
      <c r="C6504" s="228">
        <v>19</v>
      </c>
      <c r="D6504" s="229">
        <f t="shared" si="677"/>
        <v>45645</v>
      </c>
      <c r="E6504" s="241">
        <f t="shared" si="687"/>
        <v>45645</v>
      </c>
      <c r="F6504" s="512"/>
      <c r="G6504" s="231" t="s">
        <v>1245</v>
      </c>
      <c r="H6504" s="232"/>
      <c r="I6504" s="232" t="s">
        <v>1253</v>
      </c>
      <c r="J6504" s="228" t="s">
        <v>41</v>
      </c>
      <c r="K6504" s="233"/>
      <c r="L6504" s="233">
        <f>K6503</f>
        <v>40988.571304348559</v>
      </c>
      <c r="M6504" s="120">
        <v>4098.8571304348561</v>
      </c>
    </row>
    <row r="6505" spans="1:13" ht="11.25" customHeight="1" x14ac:dyDescent="0.2">
      <c r="A6505" s="222">
        <v>2024</v>
      </c>
      <c r="B6505" s="222">
        <v>12</v>
      </c>
      <c r="C6505" s="222">
        <v>19</v>
      </c>
      <c r="D6505" s="223">
        <f t="shared" si="677"/>
        <v>45645</v>
      </c>
      <c r="E6505" s="240">
        <f t="shared" si="687"/>
        <v>45645</v>
      </c>
      <c r="F6505" s="511" t="s">
        <v>1248</v>
      </c>
      <c r="G6505" s="225" t="s">
        <v>1245</v>
      </c>
      <c r="H6505" s="226"/>
      <c r="I6505" s="226" t="s">
        <v>1253</v>
      </c>
      <c r="J6505" s="222" t="s">
        <v>80</v>
      </c>
      <c r="K6505" s="227">
        <f>M6504</f>
        <v>4098.8571304348561</v>
      </c>
      <c r="L6505" s="227"/>
    </row>
    <row r="6506" spans="1:13" ht="11.25" customHeight="1" x14ac:dyDescent="0.2">
      <c r="A6506" s="228">
        <v>2024</v>
      </c>
      <c r="B6506" s="228">
        <v>12</v>
      </c>
      <c r="C6506" s="228">
        <v>19</v>
      </c>
      <c r="D6506" s="229">
        <f t="shared" si="677"/>
        <v>45645</v>
      </c>
      <c r="E6506" s="241">
        <f t="shared" si="687"/>
        <v>45645</v>
      </c>
      <c r="F6506" s="512"/>
      <c r="G6506" s="231" t="s">
        <v>1245</v>
      </c>
      <c r="H6506" s="232"/>
      <c r="I6506" s="232" t="s">
        <v>1253</v>
      </c>
      <c r="J6506" s="228" t="s">
        <v>42</v>
      </c>
      <c r="K6506" s="233"/>
      <c r="L6506" s="233">
        <f>K6505</f>
        <v>4098.8571304348561</v>
      </c>
    </row>
    <row r="6507" spans="1:13" ht="11.25" customHeight="1" x14ac:dyDescent="0.2">
      <c r="A6507" s="197">
        <v>2024</v>
      </c>
      <c r="B6507" s="197">
        <v>12</v>
      </c>
      <c r="C6507" s="197">
        <v>22</v>
      </c>
      <c r="D6507" s="198">
        <f t="shared" si="677"/>
        <v>45648</v>
      </c>
      <c r="E6507" s="209">
        <f t="shared" si="687"/>
        <v>45648</v>
      </c>
      <c r="F6507" s="513" t="s">
        <v>1280</v>
      </c>
      <c r="G6507" s="200" t="s">
        <v>1209</v>
      </c>
      <c r="H6507" s="201"/>
      <c r="I6507" s="201" t="s">
        <v>1293</v>
      </c>
      <c r="J6507" s="197" t="s">
        <v>16</v>
      </c>
      <c r="K6507" s="202">
        <v>5094240</v>
      </c>
      <c r="L6507" s="202"/>
    </row>
    <row r="6508" spans="1:13" ht="11.25" customHeight="1" x14ac:dyDescent="0.2">
      <c r="A6508" s="120">
        <v>2024</v>
      </c>
      <c r="B6508" s="120">
        <v>12</v>
      </c>
      <c r="C6508" s="120">
        <v>22</v>
      </c>
      <c r="D6508" s="208">
        <f t="shared" ref="D6508:D6571" si="688">DATE(A6508,B6508,C6508)</f>
        <v>45648</v>
      </c>
      <c r="E6508" s="209">
        <f t="shared" si="687"/>
        <v>45648</v>
      </c>
      <c r="F6508" s="515"/>
      <c r="G6508" s="132" t="s">
        <v>1209</v>
      </c>
      <c r="I6508" s="128" t="s">
        <v>1293</v>
      </c>
      <c r="J6508" s="120" t="s">
        <v>47</v>
      </c>
      <c r="K6508" s="207">
        <v>905760</v>
      </c>
      <c r="L6508" s="207"/>
    </row>
    <row r="6509" spans="1:13" ht="11.25" customHeight="1" x14ac:dyDescent="0.2">
      <c r="A6509" s="191">
        <v>2024</v>
      </c>
      <c r="B6509" s="191">
        <v>12</v>
      </c>
      <c r="C6509" s="191">
        <v>22</v>
      </c>
      <c r="D6509" s="192">
        <f t="shared" si="688"/>
        <v>45648</v>
      </c>
      <c r="E6509" s="193">
        <f t="shared" si="687"/>
        <v>45648</v>
      </c>
      <c r="F6509" s="514"/>
      <c r="G6509" s="194" t="s">
        <v>1209</v>
      </c>
      <c r="H6509" s="195"/>
      <c r="I6509" s="195" t="s">
        <v>1293</v>
      </c>
      <c r="J6509" s="191" t="s">
        <v>46</v>
      </c>
      <c r="K6509" s="196"/>
      <c r="L6509" s="196">
        <v>6000000</v>
      </c>
    </row>
    <row r="6510" spans="1:13" ht="11.25" customHeight="1" x14ac:dyDescent="0.2">
      <c r="A6510" s="197">
        <v>2024</v>
      </c>
      <c r="B6510" s="197">
        <v>12</v>
      </c>
      <c r="C6510" s="197">
        <v>22</v>
      </c>
      <c r="D6510" s="198">
        <f t="shared" si="688"/>
        <v>45648</v>
      </c>
      <c r="E6510" s="209">
        <f t="shared" ref="E6510:E6529" si="689">DATE(A6510,B6510,C6510)</f>
        <v>45648</v>
      </c>
      <c r="F6510" s="513" t="s">
        <v>1280</v>
      </c>
      <c r="G6510" s="200" t="s">
        <v>1209</v>
      </c>
      <c r="H6510" s="201"/>
      <c r="I6510" s="201" t="s">
        <v>398</v>
      </c>
      <c r="J6510" s="197" t="s">
        <v>16</v>
      </c>
      <c r="K6510" s="202">
        <v>509330</v>
      </c>
      <c r="L6510" s="202"/>
    </row>
    <row r="6511" spans="1:13" ht="11.25" customHeight="1" x14ac:dyDescent="0.2">
      <c r="A6511" s="120">
        <v>2024</v>
      </c>
      <c r="B6511" s="120">
        <v>12</v>
      </c>
      <c r="C6511" s="120">
        <v>22</v>
      </c>
      <c r="D6511" s="208">
        <f t="shared" si="688"/>
        <v>45648</v>
      </c>
      <c r="E6511" s="209">
        <f t="shared" si="689"/>
        <v>45648</v>
      </c>
      <c r="F6511" s="515"/>
      <c r="G6511" s="132" t="s">
        <v>1209</v>
      </c>
      <c r="I6511" s="128" t="s">
        <v>398</v>
      </c>
      <c r="J6511" s="120" t="s">
        <v>47</v>
      </c>
      <c r="K6511" s="207">
        <v>90555</v>
      </c>
      <c r="L6511" s="207"/>
    </row>
    <row r="6512" spans="1:13" ht="11.25" customHeight="1" x14ac:dyDescent="0.2">
      <c r="A6512" s="191">
        <v>2024</v>
      </c>
      <c r="B6512" s="191">
        <v>12</v>
      </c>
      <c r="C6512" s="191">
        <v>22</v>
      </c>
      <c r="D6512" s="192">
        <f t="shared" si="688"/>
        <v>45648</v>
      </c>
      <c r="E6512" s="193">
        <f t="shared" si="689"/>
        <v>45648</v>
      </c>
      <c r="F6512" s="514"/>
      <c r="G6512" s="194" t="s">
        <v>1209</v>
      </c>
      <c r="H6512" s="195"/>
      <c r="I6512" s="195" t="s">
        <v>398</v>
      </c>
      <c r="J6512" s="191" t="s">
        <v>46</v>
      </c>
      <c r="K6512" s="196"/>
      <c r="L6512" s="196">
        <v>599885</v>
      </c>
    </row>
    <row r="6513" spans="1:15" ht="11.25" customHeight="1" x14ac:dyDescent="0.2">
      <c r="A6513" s="197">
        <v>2024</v>
      </c>
      <c r="B6513" s="197">
        <v>12</v>
      </c>
      <c r="C6513" s="197">
        <v>22</v>
      </c>
      <c r="D6513" s="198">
        <f t="shared" si="688"/>
        <v>45648</v>
      </c>
      <c r="E6513" s="209">
        <f t="shared" si="689"/>
        <v>45648</v>
      </c>
      <c r="F6513" s="513" t="s">
        <v>1210</v>
      </c>
      <c r="G6513" s="200" t="s">
        <v>1209</v>
      </c>
      <c r="H6513" s="201"/>
      <c r="I6513" s="201" t="s">
        <v>396</v>
      </c>
      <c r="J6513" s="197" t="s">
        <v>46</v>
      </c>
      <c r="K6513" s="202">
        <v>150000</v>
      </c>
      <c r="L6513" s="202"/>
    </row>
    <row r="6514" spans="1:15" ht="11.25" customHeight="1" x14ac:dyDescent="0.2">
      <c r="A6514" s="120">
        <v>2024</v>
      </c>
      <c r="B6514" s="120">
        <v>12</v>
      </c>
      <c r="C6514" s="120">
        <v>22</v>
      </c>
      <c r="D6514" s="208">
        <f t="shared" si="688"/>
        <v>45648</v>
      </c>
      <c r="E6514" s="209">
        <f t="shared" si="689"/>
        <v>45648</v>
      </c>
      <c r="F6514" s="515"/>
      <c r="G6514" s="132" t="s">
        <v>1209</v>
      </c>
      <c r="I6514" s="128" t="s">
        <v>396</v>
      </c>
      <c r="J6514" s="120" t="s">
        <v>16</v>
      </c>
      <c r="K6514" s="207"/>
      <c r="L6514" s="207">
        <v>127360</v>
      </c>
    </row>
    <row r="6515" spans="1:15" ht="11.25" customHeight="1" x14ac:dyDescent="0.2">
      <c r="A6515" s="191">
        <v>2024</v>
      </c>
      <c r="B6515" s="191">
        <v>12</v>
      </c>
      <c r="C6515" s="191">
        <v>22</v>
      </c>
      <c r="D6515" s="192">
        <f t="shared" si="688"/>
        <v>45648</v>
      </c>
      <c r="E6515" s="193">
        <f t="shared" si="689"/>
        <v>45648</v>
      </c>
      <c r="F6515" s="514"/>
      <c r="G6515" s="194" t="s">
        <v>1209</v>
      </c>
      <c r="H6515" s="195"/>
      <c r="I6515" s="195" t="s">
        <v>396</v>
      </c>
      <c r="J6515" s="191" t="s">
        <v>47</v>
      </c>
      <c r="K6515" s="196"/>
      <c r="L6515" s="196">
        <v>22640</v>
      </c>
    </row>
    <row r="6516" spans="1:15" s="437" customFormat="1" ht="11.25" customHeight="1" x14ac:dyDescent="0.2">
      <c r="A6516" s="431">
        <v>2024</v>
      </c>
      <c r="B6516" s="431">
        <v>12</v>
      </c>
      <c r="C6516" s="431">
        <v>22</v>
      </c>
      <c r="D6516" s="432">
        <f t="shared" si="688"/>
        <v>45648</v>
      </c>
      <c r="E6516" s="433">
        <f t="shared" si="689"/>
        <v>45648</v>
      </c>
      <c r="F6516" s="543" t="s">
        <v>1948</v>
      </c>
      <c r="G6516" s="434" t="s">
        <v>1209</v>
      </c>
      <c r="H6516" s="435"/>
      <c r="I6516" s="435" t="s">
        <v>1253</v>
      </c>
      <c r="J6516" s="431" t="s">
        <v>46</v>
      </c>
      <c r="K6516" s="436">
        <v>1165500</v>
      </c>
      <c r="L6516" s="436"/>
    </row>
    <row r="6517" spans="1:15" s="437" customFormat="1" ht="11.25" customHeight="1" x14ac:dyDescent="0.2">
      <c r="A6517" s="438">
        <v>2024</v>
      </c>
      <c r="B6517" s="438">
        <v>12</v>
      </c>
      <c r="C6517" s="438">
        <v>22</v>
      </c>
      <c r="D6517" s="439">
        <f t="shared" si="688"/>
        <v>45648</v>
      </c>
      <c r="E6517" s="290">
        <f t="shared" si="689"/>
        <v>45648</v>
      </c>
      <c r="F6517" s="544"/>
      <c r="G6517" s="440" t="s">
        <v>1209</v>
      </c>
      <c r="H6517" s="441"/>
      <c r="I6517" s="441"/>
      <c r="J6517" s="438" t="s">
        <v>1845</v>
      </c>
      <c r="K6517" s="442"/>
      <c r="L6517" s="442">
        <v>1165500</v>
      </c>
    </row>
    <row r="6518" spans="1:15" ht="11.25" customHeight="1" x14ac:dyDescent="0.2">
      <c r="A6518" s="197">
        <v>2024</v>
      </c>
      <c r="B6518" s="197">
        <v>12</v>
      </c>
      <c r="C6518" s="197">
        <v>22</v>
      </c>
      <c r="D6518" s="198">
        <f t="shared" si="688"/>
        <v>45648</v>
      </c>
      <c r="E6518" s="290">
        <f t="shared" ref="E6518:E6521" si="690">DATE(A6518,B6518,C6518)</f>
        <v>45648</v>
      </c>
      <c r="F6518" s="513" t="s">
        <v>1514</v>
      </c>
      <c r="G6518" s="200" t="s">
        <v>1209</v>
      </c>
      <c r="H6518" s="201"/>
      <c r="I6518" s="201"/>
      <c r="J6518" s="197" t="s">
        <v>54</v>
      </c>
      <c r="K6518" s="202">
        <v>200</v>
      </c>
      <c r="L6518" s="202"/>
      <c r="M6518" s="251"/>
      <c r="N6518" s="251"/>
      <c r="O6518" s="251"/>
    </row>
    <row r="6519" spans="1:15" ht="11.25" customHeight="1" x14ac:dyDescent="0.2">
      <c r="A6519" s="191">
        <v>2024</v>
      </c>
      <c r="B6519" s="191">
        <v>12</v>
      </c>
      <c r="C6519" s="191">
        <v>22</v>
      </c>
      <c r="D6519" s="192">
        <f t="shared" si="688"/>
        <v>45648</v>
      </c>
      <c r="E6519" s="291">
        <f t="shared" si="690"/>
        <v>45648</v>
      </c>
      <c r="F6519" s="514"/>
      <c r="G6519" s="194" t="s">
        <v>1209</v>
      </c>
      <c r="H6519" s="195"/>
      <c r="I6519" s="195"/>
      <c r="J6519" s="191" t="s">
        <v>46</v>
      </c>
      <c r="K6519" s="196"/>
      <c r="L6519" s="196">
        <v>200</v>
      </c>
      <c r="M6519" s="251"/>
      <c r="N6519" s="251"/>
      <c r="O6519" s="251"/>
    </row>
    <row r="6520" spans="1:15" s="367" customFormat="1" ht="11.25" customHeight="1" x14ac:dyDescent="0.2">
      <c r="A6520" s="360">
        <v>2024</v>
      </c>
      <c r="B6520" s="360">
        <v>12</v>
      </c>
      <c r="C6520" s="360">
        <v>22</v>
      </c>
      <c r="D6520" s="361">
        <f t="shared" si="688"/>
        <v>45648</v>
      </c>
      <c r="E6520" s="362">
        <f t="shared" si="690"/>
        <v>45648</v>
      </c>
      <c r="F6520" s="529" t="s">
        <v>1842</v>
      </c>
      <c r="G6520" s="363" t="s">
        <v>1209</v>
      </c>
      <c r="H6520" s="364"/>
      <c r="I6520" s="364"/>
      <c r="J6520" s="360" t="s">
        <v>1529</v>
      </c>
      <c r="K6520" s="365">
        <v>147.36557692349379</v>
      </c>
      <c r="L6520" s="365"/>
      <c r="M6520" s="366"/>
      <c r="N6520" s="366"/>
      <c r="O6520" s="366"/>
    </row>
    <row r="6521" spans="1:15" s="367" customFormat="1" ht="11.25" customHeight="1" x14ac:dyDescent="0.2">
      <c r="A6521" s="368">
        <v>2024</v>
      </c>
      <c r="B6521" s="368">
        <v>12</v>
      </c>
      <c r="C6521" s="368">
        <v>22</v>
      </c>
      <c r="D6521" s="369">
        <f t="shared" si="688"/>
        <v>45648</v>
      </c>
      <c r="E6521" s="370">
        <f t="shared" si="690"/>
        <v>45648</v>
      </c>
      <c r="F6521" s="530"/>
      <c r="G6521" s="371" t="s">
        <v>1209</v>
      </c>
      <c r="H6521" s="372"/>
      <c r="I6521" s="372"/>
      <c r="J6521" s="368" t="s">
        <v>1581</v>
      </c>
      <c r="K6521" s="373"/>
      <c r="L6521" s="373">
        <v>147.36557692349379</v>
      </c>
      <c r="M6521" s="366"/>
      <c r="N6521" s="366"/>
      <c r="O6521" s="366"/>
    </row>
    <row r="6522" spans="1:15" ht="11.25" customHeight="1" x14ac:dyDescent="0.2">
      <c r="A6522" s="197">
        <v>2024</v>
      </c>
      <c r="B6522" s="197">
        <v>12</v>
      </c>
      <c r="C6522" s="197">
        <v>23</v>
      </c>
      <c r="D6522" s="198">
        <f t="shared" si="688"/>
        <v>45649</v>
      </c>
      <c r="E6522" s="199">
        <f t="shared" ref="E6522:E6526" si="691">DATE(A6522,B6522,C6522)</f>
        <v>45649</v>
      </c>
      <c r="F6522" s="513" t="s">
        <v>1949</v>
      </c>
      <c r="G6522" s="200" t="s">
        <v>1209</v>
      </c>
      <c r="H6522" s="201"/>
      <c r="I6522" s="201" t="s">
        <v>1253</v>
      </c>
      <c r="J6522" s="197" t="s">
        <v>46</v>
      </c>
      <c r="K6522" s="202">
        <v>2031116.56</v>
      </c>
      <c r="L6522" s="202"/>
    </row>
    <row r="6523" spans="1:15" ht="11.25" customHeight="1" x14ac:dyDescent="0.2">
      <c r="A6523" s="120">
        <v>2024</v>
      </c>
      <c r="B6523" s="120">
        <v>12</v>
      </c>
      <c r="C6523" s="120">
        <v>23</v>
      </c>
      <c r="D6523" s="208">
        <f t="shared" si="688"/>
        <v>45649</v>
      </c>
      <c r="E6523" s="209">
        <f t="shared" si="691"/>
        <v>45649</v>
      </c>
      <c r="F6523" s="515"/>
      <c r="G6523" s="132" t="s">
        <v>1209</v>
      </c>
      <c r="J6523" s="120" t="s">
        <v>1463</v>
      </c>
      <c r="K6523" s="328"/>
      <c r="L6523" s="207">
        <v>31116.560000000056</v>
      </c>
    </row>
    <row r="6524" spans="1:15" ht="11.25" customHeight="1" x14ac:dyDescent="0.2">
      <c r="A6524" s="191">
        <v>2024</v>
      </c>
      <c r="B6524" s="191">
        <v>12</v>
      </c>
      <c r="C6524" s="191">
        <v>23</v>
      </c>
      <c r="D6524" s="192">
        <f t="shared" si="688"/>
        <v>45649</v>
      </c>
      <c r="E6524" s="193">
        <f t="shared" si="691"/>
        <v>45649</v>
      </c>
      <c r="F6524" s="514"/>
      <c r="G6524" s="194" t="s">
        <v>1209</v>
      </c>
      <c r="H6524" s="195"/>
      <c r="I6524" s="195" t="s">
        <v>1253</v>
      </c>
      <c r="J6524" s="191" t="s">
        <v>1837</v>
      </c>
      <c r="K6524" s="196"/>
      <c r="L6524" s="196">
        <v>2000000</v>
      </c>
      <c r="N6524" s="130"/>
    </row>
    <row r="6525" spans="1:15" ht="11.25" customHeight="1" x14ac:dyDescent="0.2">
      <c r="A6525" s="197">
        <v>2024</v>
      </c>
      <c r="B6525" s="197">
        <v>12</v>
      </c>
      <c r="C6525" s="197">
        <v>24</v>
      </c>
      <c r="D6525" s="198">
        <f t="shared" si="688"/>
        <v>45650</v>
      </c>
      <c r="E6525" s="290">
        <f t="shared" si="691"/>
        <v>45650</v>
      </c>
      <c r="F6525" s="513" t="s">
        <v>1514</v>
      </c>
      <c r="G6525" s="200" t="s">
        <v>1209</v>
      </c>
      <c r="H6525" s="201"/>
      <c r="I6525" s="201"/>
      <c r="J6525" s="197" t="s">
        <v>54</v>
      </c>
      <c r="K6525" s="202">
        <v>158</v>
      </c>
      <c r="L6525" s="202"/>
      <c r="M6525" s="251"/>
      <c r="N6525" s="251"/>
      <c r="O6525" s="251"/>
    </row>
    <row r="6526" spans="1:15" ht="11.25" customHeight="1" x14ac:dyDescent="0.2">
      <c r="A6526" s="191">
        <v>2024</v>
      </c>
      <c r="B6526" s="191">
        <v>12</v>
      </c>
      <c r="C6526" s="191">
        <v>24</v>
      </c>
      <c r="D6526" s="192">
        <f t="shared" si="688"/>
        <v>45650</v>
      </c>
      <c r="E6526" s="291">
        <f t="shared" si="691"/>
        <v>45650</v>
      </c>
      <c r="F6526" s="514"/>
      <c r="G6526" s="194" t="s">
        <v>1209</v>
      </c>
      <c r="H6526" s="195"/>
      <c r="I6526" s="195"/>
      <c r="J6526" s="191" t="s">
        <v>46</v>
      </c>
      <c r="K6526" s="196"/>
      <c r="L6526" s="196">
        <v>158</v>
      </c>
      <c r="M6526" s="251"/>
      <c r="N6526" s="251"/>
      <c r="O6526" s="251"/>
    </row>
    <row r="6527" spans="1:15" ht="11.25" customHeight="1" x14ac:dyDescent="0.2">
      <c r="A6527" s="197">
        <v>2024</v>
      </c>
      <c r="B6527" s="197">
        <v>12</v>
      </c>
      <c r="C6527" s="197">
        <v>24</v>
      </c>
      <c r="D6527" s="198">
        <f t="shared" si="688"/>
        <v>45650</v>
      </c>
      <c r="E6527" s="209">
        <f t="shared" si="689"/>
        <v>45650</v>
      </c>
      <c r="F6527" s="513" t="s">
        <v>1280</v>
      </c>
      <c r="G6527" s="200" t="s">
        <v>1209</v>
      </c>
      <c r="H6527" s="201"/>
      <c r="I6527" s="201" t="s">
        <v>1749</v>
      </c>
      <c r="J6527" s="197" t="s">
        <v>16</v>
      </c>
      <c r="K6527" s="202">
        <v>1698080</v>
      </c>
      <c r="L6527" s="202"/>
    </row>
    <row r="6528" spans="1:15" ht="11.25" customHeight="1" x14ac:dyDescent="0.2">
      <c r="A6528" s="120">
        <v>2024</v>
      </c>
      <c r="B6528" s="120">
        <v>12</v>
      </c>
      <c r="C6528" s="120">
        <v>24</v>
      </c>
      <c r="D6528" s="208">
        <f t="shared" si="688"/>
        <v>45650</v>
      </c>
      <c r="E6528" s="209">
        <f t="shared" si="689"/>
        <v>45650</v>
      </c>
      <c r="F6528" s="515"/>
      <c r="G6528" s="132" t="s">
        <v>1209</v>
      </c>
      <c r="I6528" s="128" t="s">
        <v>1749</v>
      </c>
      <c r="J6528" s="120" t="s">
        <v>47</v>
      </c>
      <c r="K6528" s="207">
        <v>301920</v>
      </c>
      <c r="L6528" s="207"/>
    </row>
    <row r="6529" spans="1:12" ht="11.25" customHeight="1" x14ac:dyDescent="0.2">
      <c r="A6529" s="191">
        <v>2024</v>
      </c>
      <c r="B6529" s="191">
        <v>12</v>
      </c>
      <c r="C6529" s="191">
        <v>24</v>
      </c>
      <c r="D6529" s="192">
        <f t="shared" si="688"/>
        <v>45650</v>
      </c>
      <c r="E6529" s="193">
        <f t="shared" si="689"/>
        <v>45650</v>
      </c>
      <c r="F6529" s="514"/>
      <c r="G6529" s="194" t="s">
        <v>1209</v>
      </c>
      <c r="H6529" s="195"/>
      <c r="I6529" s="195" t="s">
        <v>1749</v>
      </c>
      <c r="J6529" s="191" t="s">
        <v>46</v>
      </c>
      <c r="K6529" s="196"/>
      <c r="L6529" s="196">
        <v>2000000</v>
      </c>
    </row>
    <row r="6530" spans="1:12" ht="11.25" customHeight="1" x14ac:dyDescent="0.2">
      <c r="A6530" s="197">
        <v>2024</v>
      </c>
      <c r="B6530" s="197">
        <v>12</v>
      </c>
      <c r="C6530" s="197">
        <v>24</v>
      </c>
      <c r="D6530" s="198">
        <f t="shared" si="688"/>
        <v>45650</v>
      </c>
      <c r="E6530" s="209">
        <f t="shared" ref="E6530:E6539" si="692">DATE(A6530,B6530,C6530)</f>
        <v>45650</v>
      </c>
      <c r="F6530" s="513" t="s">
        <v>1280</v>
      </c>
      <c r="G6530" s="200" t="s">
        <v>1209</v>
      </c>
      <c r="H6530" s="201"/>
      <c r="I6530" s="201" t="s">
        <v>398</v>
      </c>
      <c r="J6530" s="197" t="s">
        <v>16</v>
      </c>
      <c r="K6530" s="202">
        <v>84900</v>
      </c>
      <c r="L6530" s="202"/>
    </row>
    <row r="6531" spans="1:12" ht="11.25" customHeight="1" x14ac:dyDescent="0.2">
      <c r="A6531" s="120">
        <v>2024</v>
      </c>
      <c r="B6531" s="120">
        <v>12</v>
      </c>
      <c r="C6531" s="120">
        <v>24</v>
      </c>
      <c r="D6531" s="208">
        <f t="shared" si="688"/>
        <v>45650</v>
      </c>
      <c r="E6531" s="209">
        <f t="shared" si="692"/>
        <v>45650</v>
      </c>
      <c r="F6531" s="515"/>
      <c r="G6531" s="132" t="s">
        <v>1209</v>
      </c>
      <c r="I6531" s="128" t="s">
        <v>398</v>
      </c>
      <c r="J6531" s="120" t="s">
        <v>47</v>
      </c>
      <c r="K6531" s="207">
        <v>15100</v>
      </c>
      <c r="L6531" s="207"/>
    </row>
    <row r="6532" spans="1:12" ht="11.25" customHeight="1" x14ac:dyDescent="0.2">
      <c r="A6532" s="191">
        <v>2024</v>
      </c>
      <c r="B6532" s="191">
        <v>12</v>
      </c>
      <c r="C6532" s="191">
        <v>24</v>
      </c>
      <c r="D6532" s="192">
        <f t="shared" si="688"/>
        <v>45650</v>
      </c>
      <c r="E6532" s="193">
        <f t="shared" si="692"/>
        <v>45650</v>
      </c>
      <c r="F6532" s="514"/>
      <c r="G6532" s="194" t="s">
        <v>1209</v>
      </c>
      <c r="H6532" s="195"/>
      <c r="I6532" s="195" t="s">
        <v>398</v>
      </c>
      <c r="J6532" s="191" t="s">
        <v>46</v>
      </c>
      <c r="K6532" s="196"/>
      <c r="L6532" s="196">
        <v>100000</v>
      </c>
    </row>
    <row r="6533" spans="1:12" ht="11.25" customHeight="1" x14ac:dyDescent="0.2">
      <c r="A6533" s="197">
        <v>2024</v>
      </c>
      <c r="B6533" s="197">
        <v>12</v>
      </c>
      <c r="C6533" s="197">
        <v>24</v>
      </c>
      <c r="D6533" s="198">
        <f t="shared" si="688"/>
        <v>45650</v>
      </c>
      <c r="E6533" s="209">
        <f t="shared" si="692"/>
        <v>45650</v>
      </c>
      <c r="F6533" s="513" t="s">
        <v>1210</v>
      </c>
      <c r="G6533" s="200" t="s">
        <v>1209</v>
      </c>
      <c r="H6533" s="201"/>
      <c r="I6533" s="201" t="s">
        <v>1597</v>
      </c>
      <c r="J6533" s="197" t="s">
        <v>46</v>
      </c>
      <c r="K6533" s="202">
        <v>760000</v>
      </c>
      <c r="L6533" s="202"/>
    </row>
    <row r="6534" spans="1:12" ht="11.25" customHeight="1" x14ac:dyDescent="0.2">
      <c r="A6534" s="120">
        <v>2024</v>
      </c>
      <c r="B6534" s="120">
        <v>12</v>
      </c>
      <c r="C6534" s="120">
        <v>24</v>
      </c>
      <c r="D6534" s="208">
        <f t="shared" si="688"/>
        <v>45650</v>
      </c>
      <c r="E6534" s="209">
        <f t="shared" si="692"/>
        <v>45650</v>
      </c>
      <c r="F6534" s="515"/>
      <c r="G6534" s="132" t="s">
        <v>1209</v>
      </c>
      <c r="I6534" s="128" t="s">
        <v>1597</v>
      </c>
      <c r="J6534" s="120" t="s">
        <v>16</v>
      </c>
      <c r="K6534" s="207"/>
      <c r="L6534" s="207">
        <v>645270</v>
      </c>
    </row>
    <row r="6535" spans="1:12" ht="11.25" customHeight="1" x14ac:dyDescent="0.2">
      <c r="A6535" s="191">
        <v>2024</v>
      </c>
      <c r="B6535" s="191">
        <v>12</v>
      </c>
      <c r="C6535" s="191">
        <v>24</v>
      </c>
      <c r="D6535" s="192">
        <f t="shared" si="688"/>
        <v>45650</v>
      </c>
      <c r="E6535" s="193">
        <f t="shared" si="692"/>
        <v>45650</v>
      </c>
      <c r="F6535" s="514"/>
      <c r="G6535" s="194" t="s">
        <v>1209</v>
      </c>
      <c r="H6535" s="195"/>
      <c r="I6535" s="195" t="s">
        <v>1597</v>
      </c>
      <c r="J6535" s="191" t="s">
        <v>47</v>
      </c>
      <c r="K6535" s="196"/>
      <c r="L6535" s="196">
        <v>114730</v>
      </c>
    </row>
    <row r="6536" spans="1:12" ht="11.25" customHeight="1" x14ac:dyDescent="0.2">
      <c r="A6536" s="197">
        <v>2024</v>
      </c>
      <c r="B6536" s="197">
        <v>12</v>
      </c>
      <c r="C6536" s="197">
        <v>24</v>
      </c>
      <c r="D6536" s="198">
        <f t="shared" si="688"/>
        <v>45650</v>
      </c>
      <c r="E6536" s="199">
        <f t="shared" si="692"/>
        <v>45650</v>
      </c>
      <c r="F6536" s="513" t="s">
        <v>1391</v>
      </c>
      <c r="G6536" s="200" t="s">
        <v>1209</v>
      </c>
      <c r="H6536" s="201"/>
      <c r="I6536" s="201"/>
      <c r="J6536" s="197" t="s">
        <v>46</v>
      </c>
      <c r="K6536" s="202">
        <v>27599</v>
      </c>
      <c r="L6536" s="202"/>
    </row>
    <row r="6537" spans="1:12" ht="11.25" customHeight="1" x14ac:dyDescent="0.2">
      <c r="A6537" s="191">
        <v>2024</v>
      </c>
      <c r="B6537" s="191">
        <v>12</v>
      </c>
      <c r="C6537" s="191">
        <v>24</v>
      </c>
      <c r="D6537" s="192">
        <f t="shared" si="688"/>
        <v>45650</v>
      </c>
      <c r="E6537" s="193">
        <f t="shared" si="692"/>
        <v>45650</v>
      </c>
      <c r="F6537" s="514"/>
      <c r="G6537" s="194" t="s">
        <v>1209</v>
      </c>
      <c r="H6537" s="195"/>
      <c r="I6537" s="195"/>
      <c r="J6537" s="191" t="s">
        <v>178</v>
      </c>
      <c r="K6537" s="196"/>
      <c r="L6537" s="196">
        <v>27599</v>
      </c>
    </row>
    <row r="6538" spans="1:12" ht="11.25" customHeight="1" x14ac:dyDescent="0.2">
      <c r="A6538" s="197">
        <v>2024</v>
      </c>
      <c r="B6538" s="197">
        <v>12</v>
      </c>
      <c r="C6538" s="197">
        <v>24</v>
      </c>
      <c r="D6538" s="198">
        <f t="shared" si="688"/>
        <v>45650</v>
      </c>
      <c r="E6538" s="290">
        <f t="shared" si="692"/>
        <v>45650</v>
      </c>
      <c r="F6538" s="513" t="s">
        <v>1950</v>
      </c>
      <c r="G6538" s="200" t="s">
        <v>1209</v>
      </c>
      <c r="H6538" s="201"/>
      <c r="I6538" s="201" t="s">
        <v>1253</v>
      </c>
      <c r="J6538" s="197" t="s">
        <v>46</v>
      </c>
      <c r="K6538" s="202">
        <v>217500</v>
      </c>
      <c r="L6538" s="202"/>
    </row>
    <row r="6539" spans="1:12" ht="11.25" customHeight="1" x14ac:dyDescent="0.2">
      <c r="A6539" s="191">
        <v>2024</v>
      </c>
      <c r="B6539" s="191">
        <v>12</v>
      </c>
      <c r="C6539" s="191">
        <v>24</v>
      </c>
      <c r="D6539" s="192">
        <f t="shared" si="688"/>
        <v>45650</v>
      </c>
      <c r="E6539" s="290">
        <f t="shared" si="692"/>
        <v>45650</v>
      </c>
      <c r="F6539" s="514"/>
      <c r="G6539" s="194" t="s">
        <v>1209</v>
      </c>
      <c r="H6539" s="195"/>
      <c r="I6539" s="195"/>
      <c r="J6539" s="191" t="s">
        <v>1845</v>
      </c>
      <c r="K6539" s="196"/>
      <c r="L6539" s="196">
        <v>217500</v>
      </c>
    </row>
    <row r="6540" spans="1:12" ht="11.25" customHeight="1" x14ac:dyDescent="0.2">
      <c r="A6540" s="197">
        <v>2024</v>
      </c>
      <c r="B6540" s="197">
        <v>12</v>
      </c>
      <c r="C6540" s="197">
        <v>26</v>
      </c>
      <c r="D6540" s="198">
        <f t="shared" si="688"/>
        <v>45652</v>
      </c>
      <c r="E6540" s="209">
        <f t="shared" ref="E6540:E6542" si="693">DATE(A6540,B6540,C6540)</f>
        <v>45652</v>
      </c>
      <c r="F6540" s="513" t="s">
        <v>1210</v>
      </c>
      <c r="G6540" s="200" t="s">
        <v>1209</v>
      </c>
      <c r="H6540" s="201"/>
      <c r="I6540" s="201" t="s">
        <v>1235</v>
      </c>
      <c r="J6540" s="197" t="s">
        <v>46</v>
      </c>
      <c r="K6540" s="202">
        <v>45000</v>
      </c>
      <c r="L6540" s="202"/>
    </row>
    <row r="6541" spans="1:12" ht="11.25" customHeight="1" x14ac:dyDescent="0.2">
      <c r="A6541" s="120">
        <v>2024</v>
      </c>
      <c r="B6541" s="120">
        <v>12</v>
      </c>
      <c r="C6541" s="120">
        <v>26</v>
      </c>
      <c r="D6541" s="208">
        <f t="shared" si="688"/>
        <v>45652</v>
      </c>
      <c r="E6541" s="209">
        <f t="shared" si="693"/>
        <v>45652</v>
      </c>
      <c r="F6541" s="515"/>
      <c r="G6541" s="132" t="s">
        <v>1209</v>
      </c>
      <c r="I6541" s="128" t="s">
        <v>1235</v>
      </c>
      <c r="J6541" s="120" t="s">
        <v>16</v>
      </c>
      <c r="K6541" s="207"/>
      <c r="L6541" s="207">
        <v>38210</v>
      </c>
    </row>
    <row r="6542" spans="1:12" ht="11.25" customHeight="1" x14ac:dyDescent="0.2">
      <c r="A6542" s="191">
        <v>2024</v>
      </c>
      <c r="B6542" s="191">
        <v>12</v>
      </c>
      <c r="C6542" s="191">
        <v>26</v>
      </c>
      <c r="D6542" s="192">
        <f t="shared" si="688"/>
        <v>45652</v>
      </c>
      <c r="E6542" s="193">
        <f t="shared" si="693"/>
        <v>45652</v>
      </c>
      <c r="F6542" s="514"/>
      <c r="G6542" s="194" t="s">
        <v>1209</v>
      </c>
      <c r="H6542" s="195"/>
      <c r="I6542" s="195" t="s">
        <v>1235</v>
      </c>
      <c r="J6542" s="191" t="s">
        <v>47</v>
      </c>
      <c r="K6542" s="196"/>
      <c r="L6542" s="196">
        <v>6790</v>
      </c>
    </row>
    <row r="6543" spans="1:12" ht="11.25" customHeight="1" x14ac:dyDescent="0.2">
      <c r="A6543" s="197">
        <v>2024</v>
      </c>
      <c r="B6543" s="197">
        <v>12</v>
      </c>
      <c r="C6543" s="197">
        <v>26</v>
      </c>
      <c r="D6543" s="198">
        <f t="shared" si="688"/>
        <v>45652</v>
      </c>
      <c r="E6543" s="209">
        <f t="shared" ref="E6543:E6545" si="694">DATE(A6543,B6543,C6543)</f>
        <v>45652</v>
      </c>
      <c r="F6543" s="513" t="s">
        <v>1210</v>
      </c>
      <c r="G6543" s="200" t="s">
        <v>1209</v>
      </c>
      <c r="H6543" s="201"/>
      <c r="I6543" s="201" t="s">
        <v>1493</v>
      </c>
      <c r="J6543" s="197" t="s">
        <v>46</v>
      </c>
      <c r="K6543" s="202">
        <v>20022.599999999999</v>
      </c>
      <c r="L6543" s="202"/>
    </row>
    <row r="6544" spans="1:12" ht="11.25" customHeight="1" x14ac:dyDescent="0.2">
      <c r="A6544" s="120">
        <v>2024</v>
      </c>
      <c r="B6544" s="120">
        <v>12</v>
      </c>
      <c r="C6544" s="120">
        <v>26</v>
      </c>
      <c r="D6544" s="208">
        <f t="shared" si="688"/>
        <v>45652</v>
      </c>
      <c r="E6544" s="209">
        <f t="shared" si="694"/>
        <v>45652</v>
      </c>
      <c r="F6544" s="515"/>
      <c r="G6544" s="132" t="s">
        <v>1209</v>
      </c>
      <c r="I6544" s="128" t="s">
        <v>1493</v>
      </c>
      <c r="J6544" s="120" t="s">
        <v>16</v>
      </c>
      <c r="K6544" s="207"/>
      <c r="L6544" s="207">
        <v>17000</v>
      </c>
    </row>
    <row r="6545" spans="1:15" ht="11.25" customHeight="1" x14ac:dyDescent="0.2">
      <c r="A6545" s="191">
        <v>2024</v>
      </c>
      <c r="B6545" s="191">
        <v>12</v>
      </c>
      <c r="C6545" s="191">
        <v>26</v>
      </c>
      <c r="D6545" s="192">
        <f t="shared" si="688"/>
        <v>45652</v>
      </c>
      <c r="E6545" s="193">
        <f t="shared" si="694"/>
        <v>45652</v>
      </c>
      <c r="F6545" s="514"/>
      <c r="G6545" s="194" t="s">
        <v>1209</v>
      </c>
      <c r="H6545" s="195"/>
      <c r="I6545" s="195" t="s">
        <v>1493</v>
      </c>
      <c r="J6545" s="191" t="s">
        <v>47</v>
      </c>
      <c r="K6545" s="196"/>
      <c r="L6545" s="196">
        <v>3022.5999999999985</v>
      </c>
    </row>
    <row r="6546" spans="1:15" ht="11.25" customHeight="1" x14ac:dyDescent="0.2">
      <c r="A6546" s="197">
        <v>2024</v>
      </c>
      <c r="B6546" s="197">
        <v>12</v>
      </c>
      <c r="C6546" s="197">
        <v>26</v>
      </c>
      <c r="D6546" s="198">
        <f t="shared" si="688"/>
        <v>45652</v>
      </c>
      <c r="E6546" s="209">
        <f t="shared" ref="E6546:E6564" si="695">DATE(A6546,B6546,C6546)</f>
        <v>45652</v>
      </c>
      <c r="F6546" s="513" t="s">
        <v>1210</v>
      </c>
      <c r="G6546" s="200" t="s">
        <v>1209</v>
      </c>
      <c r="H6546" s="201"/>
      <c r="I6546" s="201" t="s">
        <v>1947</v>
      </c>
      <c r="J6546" s="197" t="s">
        <v>46</v>
      </c>
      <c r="K6546" s="202">
        <v>500000</v>
      </c>
      <c r="L6546" s="202"/>
    </row>
    <row r="6547" spans="1:15" ht="11.25" customHeight="1" x14ac:dyDescent="0.2">
      <c r="A6547" s="120">
        <v>2024</v>
      </c>
      <c r="B6547" s="120">
        <v>12</v>
      </c>
      <c r="C6547" s="120">
        <v>26</v>
      </c>
      <c r="D6547" s="208">
        <f t="shared" si="688"/>
        <v>45652</v>
      </c>
      <c r="E6547" s="209">
        <f t="shared" si="695"/>
        <v>45652</v>
      </c>
      <c r="F6547" s="515"/>
      <c r="G6547" s="132" t="s">
        <v>1209</v>
      </c>
      <c r="I6547" s="128" t="s">
        <v>1947</v>
      </c>
      <c r="J6547" s="120" t="s">
        <v>16</v>
      </c>
      <c r="K6547" s="207"/>
      <c r="L6547" s="207">
        <v>424520</v>
      </c>
    </row>
    <row r="6548" spans="1:15" ht="11.25" customHeight="1" x14ac:dyDescent="0.2">
      <c r="A6548" s="191">
        <v>2024</v>
      </c>
      <c r="B6548" s="191">
        <v>12</v>
      </c>
      <c r="C6548" s="191">
        <v>26</v>
      </c>
      <c r="D6548" s="192">
        <f t="shared" si="688"/>
        <v>45652</v>
      </c>
      <c r="E6548" s="193">
        <f t="shared" si="695"/>
        <v>45652</v>
      </c>
      <c r="F6548" s="514"/>
      <c r="G6548" s="194" t="s">
        <v>1209</v>
      </c>
      <c r="H6548" s="195"/>
      <c r="I6548" s="195" t="s">
        <v>1947</v>
      </c>
      <c r="J6548" s="191" t="s">
        <v>47</v>
      </c>
      <c r="K6548" s="196"/>
      <c r="L6548" s="196">
        <v>75480</v>
      </c>
    </row>
    <row r="6549" spans="1:15" ht="11.25" customHeight="1" x14ac:dyDescent="0.2">
      <c r="A6549" s="197">
        <v>2024</v>
      </c>
      <c r="B6549" s="197">
        <v>12</v>
      </c>
      <c r="C6549" s="197">
        <v>26</v>
      </c>
      <c r="D6549" s="198">
        <f t="shared" si="688"/>
        <v>45652</v>
      </c>
      <c r="E6549" s="209">
        <f t="shared" si="695"/>
        <v>45652</v>
      </c>
      <c r="F6549" s="513" t="s">
        <v>1296</v>
      </c>
      <c r="G6549" s="200" t="s">
        <v>1209</v>
      </c>
      <c r="H6549" s="201"/>
      <c r="I6549" s="201"/>
      <c r="J6549" s="197" t="s">
        <v>46</v>
      </c>
      <c r="K6549" s="202">
        <v>299540</v>
      </c>
      <c r="L6549" s="202"/>
    </row>
    <row r="6550" spans="1:15" ht="11.25" customHeight="1" x14ac:dyDescent="0.2">
      <c r="A6550" s="120">
        <v>2024</v>
      </c>
      <c r="B6550" s="120">
        <v>12</v>
      </c>
      <c r="C6550" s="120">
        <v>26</v>
      </c>
      <c r="D6550" s="208">
        <f t="shared" si="688"/>
        <v>45652</v>
      </c>
      <c r="E6550" s="209">
        <f t="shared" si="695"/>
        <v>45652</v>
      </c>
      <c r="F6550" s="515"/>
      <c r="G6550" s="132" t="s">
        <v>1209</v>
      </c>
      <c r="J6550" s="120" t="s">
        <v>16</v>
      </c>
      <c r="K6550" s="207"/>
      <c r="L6550" s="207">
        <v>253790</v>
      </c>
    </row>
    <row r="6551" spans="1:15" ht="11.25" customHeight="1" x14ac:dyDescent="0.2">
      <c r="A6551" s="191">
        <v>2024</v>
      </c>
      <c r="B6551" s="191">
        <v>12</v>
      </c>
      <c r="C6551" s="191">
        <v>26</v>
      </c>
      <c r="D6551" s="192">
        <f t="shared" si="688"/>
        <v>45652</v>
      </c>
      <c r="E6551" s="193">
        <f t="shared" si="695"/>
        <v>45652</v>
      </c>
      <c r="F6551" s="514"/>
      <c r="G6551" s="194" t="s">
        <v>1209</v>
      </c>
      <c r="H6551" s="195"/>
      <c r="I6551" s="195"/>
      <c r="J6551" s="191" t="s">
        <v>47</v>
      </c>
      <c r="K6551" s="196"/>
      <c r="L6551" s="196">
        <v>45750</v>
      </c>
    </row>
    <row r="6552" spans="1:15" ht="11.25" customHeight="1" x14ac:dyDescent="0.2">
      <c r="A6552" s="197">
        <v>2024</v>
      </c>
      <c r="B6552" s="197">
        <v>12</v>
      </c>
      <c r="C6552" s="197">
        <v>26</v>
      </c>
      <c r="D6552" s="198">
        <f t="shared" si="688"/>
        <v>45652</v>
      </c>
      <c r="E6552" s="290">
        <f t="shared" si="695"/>
        <v>45652</v>
      </c>
      <c r="F6552" s="513" t="s">
        <v>1514</v>
      </c>
      <c r="G6552" s="200" t="s">
        <v>1209</v>
      </c>
      <c r="H6552" s="201"/>
      <c r="I6552" s="201"/>
      <c r="J6552" s="197" t="s">
        <v>54</v>
      </c>
      <c r="K6552" s="202">
        <v>60</v>
      </c>
      <c r="L6552" s="202"/>
      <c r="M6552" s="251"/>
      <c r="N6552" s="251"/>
      <c r="O6552" s="251"/>
    </row>
    <row r="6553" spans="1:15" ht="11.25" customHeight="1" x14ac:dyDescent="0.2">
      <c r="A6553" s="191">
        <v>2024</v>
      </c>
      <c r="B6553" s="191">
        <v>12</v>
      </c>
      <c r="C6553" s="191">
        <v>26</v>
      </c>
      <c r="D6553" s="192">
        <f t="shared" si="688"/>
        <v>45652</v>
      </c>
      <c r="E6553" s="291">
        <f t="shared" si="695"/>
        <v>45652</v>
      </c>
      <c r="F6553" s="514"/>
      <c r="G6553" s="194" t="s">
        <v>1209</v>
      </c>
      <c r="H6553" s="195"/>
      <c r="I6553" s="195"/>
      <c r="J6553" s="191" t="s">
        <v>46</v>
      </c>
      <c r="K6553" s="196"/>
      <c r="L6553" s="196">
        <v>60</v>
      </c>
      <c r="M6553" s="251"/>
      <c r="N6553" s="251"/>
      <c r="O6553" s="251"/>
    </row>
    <row r="6554" spans="1:15" ht="11.25" customHeight="1" x14ac:dyDescent="0.2">
      <c r="A6554" s="197">
        <v>2024</v>
      </c>
      <c r="B6554" s="197">
        <v>12</v>
      </c>
      <c r="C6554" s="197">
        <v>26</v>
      </c>
      <c r="D6554" s="198">
        <f t="shared" si="688"/>
        <v>45652</v>
      </c>
      <c r="E6554" s="290">
        <f t="shared" si="695"/>
        <v>45652</v>
      </c>
      <c r="F6554" s="513" t="s">
        <v>1524</v>
      </c>
      <c r="G6554" s="200" t="s">
        <v>1209</v>
      </c>
      <c r="H6554" s="201"/>
      <c r="I6554" s="201"/>
      <c r="J6554" s="197" t="s">
        <v>54</v>
      </c>
      <c r="K6554" s="202">
        <f>345+575</f>
        <v>920</v>
      </c>
      <c r="L6554" s="202"/>
      <c r="M6554" s="251"/>
      <c r="N6554" s="251"/>
      <c r="O6554" s="251"/>
    </row>
    <row r="6555" spans="1:15" ht="11.25" customHeight="1" x14ac:dyDescent="0.2">
      <c r="A6555" s="191">
        <v>2024</v>
      </c>
      <c r="B6555" s="191">
        <v>12</v>
      </c>
      <c r="C6555" s="191">
        <v>26</v>
      </c>
      <c r="D6555" s="192">
        <f t="shared" si="688"/>
        <v>45652</v>
      </c>
      <c r="E6555" s="291">
        <f t="shared" si="695"/>
        <v>45652</v>
      </c>
      <c r="F6555" s="514"/>
      <c r="G6555" s="194" t="s">
        <v>1209</v>
      </c>
      <c r="H6555" s="195"/>
      <c r="I6555" s="195"/>
      <c r="J6555" s="191" t="s">
        <v>46</v>
      </c>
      <c r="K6555" s="207"/>
      <c r="L6555" s="196">
        <f>K6554</f>
        <v>920</v>
      </c>
      <c r="M6555" s="251"/>
      <c r="N6555" s="251"/>
      <c r="O6555" s="251"/>
    </row>
    <row r="6556" spans="1:15" ht="11.25" customHeight="1" x14ac:dyDescent="0.2">
      <c r="A6556" s="424">
        <v>2024</v>
      </c>
      <c r="B6556" s="424">
        <v>12</v>
      </c>
      <c r="C6556" s="424">
        <v>26</v>
      </c>
      <c r="D6556" s="425">
        <f t="shared" si="688"/>
        <v>45652</v>
      </c>
      <c r="E6556" s="384">
        <f t="shared" si="695"/>
        <v>45652</v>
      </c>
      <c r="F6556" s="516" t="s">
        <v>1850</v>
      </c>
      <c r="G6556" s="426" t="s">
        <v>1209</v>
      </c>
      <c r="H6556" s="427"/>
      <c r="I6556" s="427"/>
      <c r="J6556" s="428" t="s">
        <v>81</v>
      </c>
      <c r="K6556" s="429">
        <v>6973.2450980392159</v>
      </c>
      <c r="L6556" s="429"/>
    </row>
    <row r="6557" spans="1:15" ht="11.25" customHeight="1" x14ac:dyDescent="0.2">
      <c r="A6557" s="389">
        <v>2024</v>
      </c>
      <c r="B6557" s="389">
        <v>12</v>
      </c>
      <c r="C6557" s="389">
        <v>26</v>
      </c>
      <c r="D6557" s="390">
        <f t="shared" si="688"/>
        <v>45652</v>
      </c>
      <c r="E6557" s="391">
        <f t="shared" si="695"/>
        <v>45652</v>
      </c>
      <c r="F6557" s="517"/>
      <c r="G6557" s="392" t="s">
        <v>1209</v>
      </c>
      <c r="H6557" s="393"/>
      <c r="I6557" s="393"/>
      <c r="J6557" s="394" t="s">
        <v>1847</v>
      </c>
      <c r="K6557" s="423"/>
      <c r="L6557" s="423">
        <v>6973.2450980392159</v>
      </c>
    </row>
    <row r="6558" spans="1:15" ht="11.25" customHeight="1" x14ac:dyDescent="0.2">
      <c r="A6558" s="382">
        <v>2024</v>
      </c>
      <c r="B6558" s="382">
        <v>12</v>
      </c>
      <c r="C6558" s="382">
        <v>26</v>
      </c>
      <c r="D6558" s="383">
        <f t="shared" si="688"/>
        <v>45652</v>
      </c>
      <c r="E6558" s="384">
        <f t="shared" si="695"/>
        <v>45652</v>
      </c>
      <c r="F6558" s="516" t="s">
        <v>1892</v>
      </c>
      <c r="G6558" s="385" t="s">
        <v>1209</v>
      </c>
      <c r="H6558" s="386"/>
      <c r="I6558" s="386"/>
      <c r="J6558" s="387" t="s">
        <v>173</v>
      </c>
      <c r="K6558" s="388">
        <v>4332.6896060937488</v>
      </c>
      <c r="L6558" s="388"/>
    </row>
    <row r="6559" spans="1:15" ht="11.25" customHeight="1" x14ac:dyDescent="0.2">
      <c r="A6559" s="389">
        <v>2024</v>
      </c>
      <c r="B6559" s="389">
        <v>12</v>
      </c>
      <c r="C6559" s="389">
        <v>26</v>
      </c>
      <c r="D6559" s="390">
        <f t="shared" si="688"/>
        <v>45652</v>
      </c>
      <c r="E6559" s="391">
        <f t="shared" si="695"/>
        <v>45652</v>
      </c>
      <c r="F6559" s="517"/>
      <c r="G6559" s="392" t="s">
        <v>1209</v>
      </c>
      <c r="H6559" s="393"/>
      <c r="I6559" s="393"/>
      <c r="J6559" s="394" t="s">
        <v>43</v>
      </c>
      <c r="K6559" s="388"/>
      <c r="L6559" s="388">
        <f>K6558</f>
        <v>4332.6896060937488</v>
      </c>
    </row>
    <row r="6560" spans="1:15" ht="11.25" customHeight="1" x14ac:dyDescent="0.2">
      <c r="A6560" s="344">
        <v>2024</v>
      </c>
      <c r="B6560" s="344">
        <v>12</v>
      </c>
      <c r="C6560" s="344">
        <v>26</v>
      </c>
      <c r="D6560" s="345">
        <f t="shared" si="688"/>
        <v>45652</v>
      </c>
      <c r="E6560" s="346">
        <f t="shared" si="695"/>
        <v>45652</v>
      </c>
      <c r="F6560" s="518" t="s">
        <v>1621</v>
      </c>
      <c r="G6560" s="347" t="s">
        <v>1245</v>
      </c>
      <c r="H6560" s="348"/>
      <c r="I6560" s="348" t="s">
        <v>1253</v>
      </c>
      <c r="J6560" s="344" t="s">
        <v>113</v>
      </c>
      <c r="K6560" s="349">
        <v>40048.080000000002</v>
      </c>
      <c r="L6560" s="349"/>
    </row>
    <row r="6561" spans="1:13" ht="11.25" customHeight="1" x14ac:dyDescent="0.2">
      <c r="A6561" s="350">
        <v>2024</v>
      </c>
      <c r="B6561" s="350">
        <v>12</v>
      </c>
      <c r="C6561" s="350">
        <v>26</v>
      </c>
      <c r="D6561" s="351">
        <f t="shared" si="688"/>
        <v>45652</v>
      </c>
      <c r="E6561" s="352">
        <f t="shared" si="695"/>
        <v>45652</v>
      </c>
      <c r="F6561" s="519"/>
      <c r="G6561" s="353" t="s">
        <v>1245</v>
      </c>
      <c r="H6561" s="354"/>
      <c r="I6561" s="354" t="s">
        <v>1253</v>
      </c>
      <c r="J6561" s="350" t="s">
        <v>153</v>
      </c>
      <c r="K6561" s="355"/>
      <c r="L6561" s="355">
        <f>K6560</f>
        <v>40048.080000000002</v>
      </c>
    </row>
    <row r="6562" spans="1:13" ht="11.25" customHeight="1" x14ac:dyDescent="0.2">
      <c r="A6562" s="210">
        <v>2024</v>
      </c>
      <c r="B6562" s="210">
        <v>12</v>
      </c>
      <c r="C6562" s="210">
        <v>26</v>
      </c>
      <c r="D6562" s="211">
        <f t="shared" si="688"/>
        <v>45652</v>
      </c>
      <c r="E6562" s="238">
        <f t="shared" si="695"/>
        <v>45652</v>
      </c>
      <c r="F6562" s="520" t="s">
        <v>1278</v>
      </c>
      <c r="G6562" s="213" t="s">
        <v>1245</v>
      </c>
      <c r="H6562" s="214"/>
      <c r="I6562" s="214" t="s">
        <v>1253</v>
      </c>
      <c r="J6562" s="210" t="s">
        <v>1529</v>
      </c>
      <c r="K6562" s="215">
        <v>510.40384615384613</v>
      </c>
      <c r="L6562" s="215"/>
    </row>
    <row r="6563" spans="1:13" ht="11.25" customHeight="1" x14ac:dyDescent="0.2">
      <c r="A6563" s="216">
        <v>2024</v>
      </c>
      <c r="B6563" s="216">
        <v>12</v>
      </c>
      <c r="C6563" s="216">
        <v>26</v>
      </c>
      <c r="D6563" s="217">
        <f t="shared" si="688"/>
        <v>45652</v>
      </c>
      <c r="E6563" s="239">
        <f t="shared" si="695"/>
        <v>45652</v>
      </c>
      <c r="F6563" s="521"/>
      <c r="G6563" s="219" t="s">
        <v>1245</v>
      </c>
      <c r="H6563" s="220"/>
      <c r="I6563" s="220" t="s">
        <v>1253</v>
      </c>
      <c r="J6563" s="216" t="s">
        <v>1581</v>
      </c>
      <c r="K6563" s="221"/>
      <c r="L6563" s="221">
        <v>510.40384615384613</v>
      </c>
    </row>
    <row r="6564" spans="1:13" ht="11.25" customHeight="1" x14ac:dyDescent="0.2">
      <c r="A6564" s="210">
        <v>2024</v>
      </c>
      <c r="B6564" s="210">
        <v>12</v>
      </c>
      <c r="C6564" s="210">
        <v>26</v>
      </c>
      <c r="D6564" s="211">
        <f t="shared" si="688"/>
        <v>45652</v>
      </c>
      <c r="E6564" s="238">
        <f t="shared" si="695"/>
        <v>45652</v>
      </c>
      <c r="F6564" s="520" t="s">
        <v>1857</v>
      </c>
      <c r="G6564" s="213" t="s">
        <v>1245</v>
      </c>
      <c r="H6564" s="214"/>
      <c r="I6564" s="214" t="s">
        <v>1253</v>
      </c>
      <c r="J6564" s="210" t="s">
        <v>1284</v>
      </c>
      <c r="K6564" s="215">
        <v>5589.828962703973</v>
      </c>
      <c r="L6564" s="215"/>
    </row>
    <row r="6565" spans="1:13" ht="11.25" customHeight="1" x14ac:dyDescent="0.2">
      <c r="A6565" s="242">
        <v>2024</v>
      </c>
      <c r="B6565" s="242">
        <v>12</v>
      </c>
      <c r="C6565" s="242">
        <v>26</v>
      </c>
      <c r="D6565" s="243">
        <f t="shared" si="688"/>
        <v>45652</v>
      </c>
      <c r="E6565" s="244">
        <f>DATE(A6565,B6565,C6565)</f>
        <v>45652</v>
      </c>
      <c r="F6565" s="524"/>
      <c r="G6565" s="245" t="s">
        <v>1245</v>
      </c>
      <c r="H6565" s="246"/>
      <c r="I6565" s="246"/>
      <c r="J6565" s="242" t="s">
        <v>1582</v>
      </c>
      <c r="K6565" s="247"/>
      <c r="L6565" s="247">
        <f>K6564</f>
        <v>5589.828962703973</v>
      </c>
    </row>
    <row r="6566" spans="1:13" ht="11.25" customHeight="1" x14ac:dyDescent="0.2">
      <c r="A6566" s="210">
        <v>2024</v>
      </c>
      <c r="B6566" s="210">
        <v>12</v>
      </c>
      <c r="C6566" s="210">
        <v>26</v>
      </c>
      <c r="D6566" s="211">
        <f t="shared" si="688"/>
        <v>45652</v>
      </c>
      <c r="E6566" s="238">
        <f t="shared" ref="E6566:E6589" si="696">DATE(A6566,B6566,C6566)</f>
        <v>45652</v>
      </c>
      <c r="F6566" s="520" t="s">
        <v>1259</v>
      </c>
      <c r="G6566" s="213" t="s">
        <v>1245</v>
      </c>
      <c r="H6566" s="214"/>
      <c r="I6566" s="214" t="s">
        <v>1253</v>
      </c>
      <c r="J6566" s="210" t="s">
        <v>58</v>
      </c>
      <c r="K6566" s="215">
        <v>4217.95</v>
      </c>
      <c r="L6566" s="215"/>
    </row>
    <row r="6567" spans="1:13" ht="11.25" customHeight="1" x14ac:dyDescent="0.2">
      <c r="A6567" s="216">
        <v>2024</v>
      </c>
      <c r="B6567" s="216">
        <v>12</v>
      </c>
      <c r="C6567" s="216">
        <v>26</v>
      </c>
      <c r="D6567" s="217">
        <f t="shared" si="688"/>
        <v>45652</v>
      </c>
      <c r="E6567" s="239">
        <f t="shared" si="696"/>
        <v>45652</v>
      </c>
      <c r="F6567" s="521"/>
      <c r="G6567" s="219" t="s">
        <v>1245</v>
      </c>
      <c r="H6567" s="220"/>
      <c r="I6567" s="220" t="s">
        <v>1253</v>
      </c>
      <c r="J6567" s="216" t="s">
        <v>153</v>
      </c>
      <c r="K6567" s="221"/>
      <c r="L6567" s="221">
        <f>K6566</f>
        <v>4217.95</v>
      </c>
    </row>
    <row r="6568" spans="1:13" ht="11.25" customHeight="1" x14ac:dyDescent="0.2">
      <c r="A6568" s="312">
        <v>2024</v>
      </c>
      <c r="B6568" s="312">
        <v>12</v>
      </c>
      <c r="C6568" s="312">
        <v>26</v>
      </c>
      <c r="D6568" s="313">
        <f t="shared" si="688"/>
        <v>45652</v>
      </c>
      <c r="E6568" s="314">
        <f t="shared" si="696"/>
        <v>45652</v>
      </c>
      <c r="F6568" s="522" t="s">
        <v>1477</v>
      </c>
      <c r="G6568" s="315" t="s">
        <v>1245</v>
      </c>
      <c r="H6568" s="316"/>
      <c r="I6568" s="316" t="s">
        <v>1253</v>
      </c>
      <c r="J6568" s="312" t="s">
        <v>1460</v>
      </c>
      <c r="K6568" s="317">
        <v>8419.9999999995343</v>
      </c>
      <c r="L6568" s="317"/>
      <c r="M6568" s="120">
        <f>BS!$I$11</f>
        <v>5.9604644775390625E-8</v>
      </c>
    </row>
    <row r="6569" spans="1:13" ht="11.25" customHeight="1" x14ac:dyDescent="0.2">
      <c r="A6569" s="318">
        <v>2024</v>
      </c>
      <c r="B6569" s="318">
        <v>12</v>
      </c>
      <c r="C6569" s="318">
        <v>26</v>
      </c>
      <c r="D6569" s="319">
        <f t="shared" si="688"/>
        <v>45652</v>
      </c>
      <c r="E6569" s="320">
        <f t="shared" si="696"/>
        <v>45652</v>
      </c>
      <c r="F6569" s="523"/>
      <c r="G6569" s="321" t="s">
        <v>1245</v>
      </c>
      <c r="H6569" s="322"/>
      <c r="I6569" s="322" t="s">
        <v>1253</v>
      </c>
      <c r="J6569" s="318" t="s">
        <v>1458</v>
      </c>
      <c r="K6569" s="323"/>
      <c r="L6569" s="323">
        <f>K6568</f>
        <v>8419.9999999995343</v>
      </c>
    </row>
    <row r="6570" spans="1:13" ht="11.25" customHeight="1" x14ac:dyDescent="0.2">
      <c r="A6570" s="312">
        <v>2024</v>
      </c>
      <c r="B6570" s="312">
        <v>12</v>
      </c>
      <c r="C6570" s="312">
        <v>26</v>
      </c>
      <c r="D6570" s="313">
        <f t="shared" si="688"/>
        <v>45652</v>
      </c>
      <c r="E6570" s="314">
        <f t="shared" si="696"/>
        <v>45652</v>
      </c>
      <c r="F6570" s="522" t="s">
        <v>1595</v>
      </c>
      <c r="G6570" s="315" t="s">
        <v>1245</v>
      </c>
      <c r="H6570" s="316"/>
      <c r="I6570" s="316" t="s">
        <v>1253</v>
      </c>
      <c r="J6570" s="312" t="s">
        <v>1459</v>
      </c>
      <c r="K6570" s="317">
        <v>349624.41500008106</v>
      </c>
      <c r="L6570" s="317"/>
      <c r="M6570" s="120">
        <f>BS!$I$14</f>
        <v>0</v>
      </c>
    </row>
    <row r="6571" spans="1:13" ht="11.25" customHeight="1" x14ac:dyDescent="0.2">
      <c r="A6571" s="318">
        <v>2024</v>
      </c>
      <c r="B6571" s="318">
        <v>12</v>
      </c>
      <c r="C6571" s="318">
        <v>26</v>
      </c>
      <c r="D6571" s="319">
        <f t="shared" si="688"/>
        <v>45652</v>
      </c>
      <c r="E6571" s="320">
        <f t="shared" si="696"/>
        <v>45652</v>
      </c>
      <c r="F6571" s="523"/>
      <c r="G6571" s="321" t="s">
        <v>1245</v>
      </c>
      <c r="H6571" s="322"/>
      <c r="I6571" s="322" t="s">
        <v>1253</v>
      </c>
      <c r="J6571" s="318" t="s">
        <v>1461</v>
      </c>
      <c r="K6571" s="323"/>
      <c r="L6571" s="323">
        <f>K6570</f>
        <v>349624.41500008106</v>
      </c>
    </row>
    <row r="6572" spans="1:13" ht="11.25" customHeight="1" x14ac:dyDescent="0.2">
      <c r="A6572" s="222">
        <v>2024</v>
      </c>
      <c r="B6572" s="222">
        <v>12</v>
      </c>
      <c r="C6572" s="222">
        <v>26</v>
      </c>
      <c r="D6572" s="223">
        <f t="shared" ref="D6572:D6635" si="697">DATE(A6572,B6572,C6572)</f>
        <v>45652</v>
      </c>
      <c r="E6572" s="240">
        <f t="shared" si="696"/>
        <v>45652</v>
      </c>
      <c r="F6572" s="511" t="s">
        <v>1244</v>
      </c>
      <c r="G6572" s="225" t="s">
        <v>1245</v>
      </c>
      <c r="H6572" s="226"/>
      <c r="I6572" s="226" t="s">
        <v>1253</v>
      </c>
      <c r="J6572" s="222" t="s">
        <v>87</v>
      </c>
      <c r="K6572" s="227">
        <v>10460</v>
      </c>
      <c r="L6572" s="227"/>
      <c r="M6572" s="120">
        <f>BS!$I$7</f>
        <v>0</v>
      </c>
    </row>
    <row r="6573" spans="1:13" ht="11.25" customHeight="1" x14ac:dyDescent="0.2">
      <c r="A6573" s="228">
        <v>2024</v>
      </c>
      <c r="B6573" s="228">
        <v>12</v>
      </c>
      <c r="C6573" s="228">
        <v>26</v>
      </c>
      <c r="D6573" s="229">
        <f t="shared" si="697"/>
        <v>45652</v>
      </c>
      <c r="E6573" s="241">
        <f t="shared" si="696"/>
        <v>45652</v>
      </c>
      <c r="F6573" s="512"/>
      <c r="G6573" s="231" t="s">
        <v>1245</v>
      </c>
      <c r="H6573" s="232"/>
      <c r="I6573" s="232" t="s">
        <v>1253</v>
      </c>
      <c r="J6573" s="228" t="s">
        <v>72</v>
      </c>
      <c r="K6573" s="233"/>
      <c r="L6573" s="233">
        <f>K6572</f>
        <v>10460</v>
      </c>
    </row>
    <row r="6574" spans="1:13" ht="11.25" customHeight="1" x14ac:dyDescent="0.2">
      <c r="A6574" s="222">
        <v>2024</v>
      </c>
      <c r="B6574" s="222">
        <v>12</v>
      </c>
      <c r="C6574" s="222">
        <v>26</v>
      </c>
      <c r="D6574" s="223">
        <f t="shared" si="697"/>
        <v>45652</v>
      </c>
      <c r="E6574" s="240">
        <f t="shared" si="696"/>
        <v>45652</v>
      </c>
      <c r="F6574" s="511" t="s">
        <v>1246</v>
      </c>
      <c r="G6574" s="225" t="s">
        <v>1245</v>
      </c>
      <c r="H6574" s="226"/>
      <c r="I6574" s="226" t="s">
        <v>1253</v>
      </c>
      <c r="J6574" s="222" t="s">
        <v>75</v>
      </c>
      <c r="K6574" s="227">
        <v>3623.123846153846</v>
      </c>
      <c r="L6574" s="227"/>
    </row>
    <row r="6575" spans="1:13" ht="11.25" customHeight="1" x14ac:dyDescent="0.2">
      <c r="A6575" s="228">
        <v>2024</v>
      </c>
      <c r="B6575" s="228">
        <v>12</v>
      </c>
      <c r="C6575" s="228">
        <v>26</v>
      </c>
      <c r="D6575" s="229">
        <f t="shared" si="697"/>
        <v>45652</v>
      </c>
      <c r="E6575" s="241">
        <f t="shared" si="696"/>
        <v>45652</v>
      </c>
      <c r="F6575" s="512"/>
      <c r="G6575" s="231" t="s">
        <v>1245</v>
      </c>
      <c r="H6575" s="232"/>
      <c r="I6575" s="232" t="s">
        <v>1253</v>
      </c>
      <c r="J6575" s="228" t="s">
        <v>55</v>
      </c>
      <c r="K6575" s="233"/>
      <c r="L6575" s="233">
        <v>3623.123846153846</v>
      </c>
    </row>
    <row r="6576" spans="1:13" ht="11.25" customHeight="1" x14ac:dyDescent="0.2">
      <c r="A6576" s="222">
        <v>2024</v>
      </c>
      <c r="B6576" s="222">
        <v>12</v>
      </c>
      <c r="C6576" s="222">
        <v>26</v>
      </c>
      <c r="D6576" s="223">
        <f t="shared" si="697"/>
        <v>45652</v>
      </c>
      <c r="E6576" s="240">
        <f t="shared" si="696"/>
        <v>45652</v>
      </c>
      <c r="F6576" s="511" t="s">
        <v>1247</v>
      </c>
      <c r="G6576" s="225" t="s">
        <v>1245</v>
      </c>
      <c r="H6576" s="226"/>
      <c r="I6576" s="226" t="s">
        <v>1253</v>
      </c>
      <c r="J6576" s="222" t="s">
        <v>77</v>
      </c>
      <c r="K6576" s="227">
        <f>M6576</f>
        <v>40395.30874115711</v>
      </c>
      <c r="L6576" s="227"/>
      <c r="M6576" s="120">
        <v>40395.30874115711</v>
      </c>
    </row>
    <row r="6577" spans="1:15" ht="11.25" customHeight="1" x14ac:dyDescent="0.2">
      <c r="A6577" s="228">
        <v>2024</v>
      </c>
      <c r="B6577" s="228">
        <v>12</v>
      </c>
      <c r="C6577" s="228">
        <v>26</v>
      </c>
      <c r="D6577" s="229">
        <f t="shared" si="697"/>
        <v>45652</v>
      </c>
      <c r="E6577" s="241">
        <f t="shared" si="696"/>
        <v>45652</v>
      </c>
      <c r="F6577" s="512"/>
      <c r="G6577" s="231" t="s">
        <v>1245</v>
      </c>
      <c r="H6577" s="232"/>
      <c r="I6577" s="232" t="s">
        <v>1253</v>
      </c>
      <c r="J6577" s="228" t="s">
        <v>41</v>
      </c>
      <c r="K6577" s="233"/>
      <c r="L6577" s="233">
        <f>K6576</f>
        <v>40395.30874115711</v>
      </c>
      <c r="M6577" s="120">
        <v>4039.5308741157114</v>
      </c>
    </row>
    <row r="6578" spans="1:15" ht="11.25" customHeight="1" x14ac:dyDescent="0.2">
      <c r="A6578" s="222">
        <v>2024</v>
      </c>
      <c r="B6578" s="222">
        <v>12</v>
      </c>
      <c r="C6578" s="222">
        <v>26</v>
      </c>
      <c r="D6578" s="223">
        <f t="shared" si="697"/>
        <v>45652</v>
      </c>
      <c r="E6578" s="240">
        <f t="shared" si="696"/>
        <v>45652</v>
      </c>
      <c r="F6578" s="511" t="s">
        <v>1248</v>
      </c>
      <c r="G6578" s="225" t="s">
        <v>1245</v>
      </c>
      <c r="H6578" s="226"/>
      <c r="I6578" s="226" t="s">
        <v>1253</v>
      </c>
      <c r="J6578" s="222" t="s">
        <v>80</v>
      </c>
      <c r="K6578" s="227">
        <f>M6577</f>
        <v>4039.5308741157114</v>
      </c>
      <c r="L6578" s="227"/>
    </row>
    <row r="6579" spans="1:15" ht="11.25" customHeight="1" x14ac:dyDescent="0.2">
      <c r="A6579" s="228">
        <v>2024</v>
      </c>
      <c r="B6579" s="228">
        <v>12</v>
      </c>
      <c r="C6579" s="228">
        <v>26</v>
      </c>
      <c r="D6579" s="229">
        <f t="shared" si="697"/>
        <v>45652</v>
      </c>
      <c r="E6579" s="241">
        <f t="shared" si="696"/>
        <v>45652</v>
      </c>
      <c r="F6579" s="512"/>
      <c r="G6579" s="231" t="s">
        <v>1245</v>
      </c>
      <c r="H6579" s="232"/>
      <c r="I6579" s="232" t="s">
        <v>1253</v>
      </c>
      <c r="J6579" s="228" t="s">
        <v>42</v>
      </c>
      <c r="K6579" s="233"/>
      <c r="L6579" s="233">
        <f>K6578</f>
        <v>4039.5308741157114</v>
      </c>
    </row>
    <row r="6580" spans="1:15" ht="11.25" customHeight="1" x14ac:dyDescent="0.2">
      <c r="A6580" s="197">
        <v>2024</v>
      </c>
      <c r="B6580" s="197">
        <v>12</v>
      </c>
      <c r="C6580" s="197">
        <v>29</v>
      </c>
      <c r="D6580" s="198">
        <f t="shared" si="697"/>
        <v>45655</v>
      </c>
      <c r="E6580" s="290">
        <f t="shared" si="696"/>
        <v>45655</v>
      </c>
      <c r="F6580" s="513" t="s">
        <v>1514</v>
      </c>
      <c r="G6580" s="200" t="s">
        <v>1209</v>
      </c>
      <c r="H6580" s="201"/>
      <c r="I6580" s="201"/>
      <c r="J6580" s="197" t="s">
        <v>54</v>
      </c>
      <c r="K6580" s="202">
        <v>575</v>
      </c>
      <c r="L6580" s="202"/>
      <c r="M6580" s="251"/>
      <c r="N6580" s="251"/>
      <c r="O6580" s="251"/>
    </row>
    <row r="6581" spans="1:15" ht="11.25" customHeight="1" x14ac:dyDescent="0.2">
      <c r="A6581" s="191">
        <v>2024</v>
      </c>
      <c r="B6581" s="191">
        <v>12</v>
      </c>
      <c r="C6581" s="191">
        <v>29</v>
      </c>
      <c r="D6581" s="192">
        <f t="shared" si="697"/>
        <v>45655</v>
      </c>
      <c r="E6581" s="291">
        <f t="shared" si="696"/>
        <v>45655</v>
      </c>
      <c r="F6581" s="514"/>
      <c r="G6581" s="194" t="s">
        <v>1209</v>
      </c>
      <c r="H6581" s="195"/>
      <c r="I6581" s="195"/>
      <c r="J6581" s="191" t="s">
        <v>46</v>
      </c>
      <c r="K6581" s="196"/>
      <c r="L6581" s="196">
        <v>575</v>
      </c>
      <c r="M6581" s="251"/>
      <c r="N6581" s="251"/>
      <c r="O6581" s="251"/>
    </row>
    <row r="6582" spans="1:15" ht="11.25" customHeight="1" x14ac:dyDescent="0.2">
      <c r="A6582" s="197">
        <v>2024</v>
      </c>
      <c r="B6582" s="197">
        <v>12</v>
      </c>
      <c r="C6582" s="197">
        <v>29</v>
      </c>
      <c r="D6582" s="198">
        <f t="shared" si="697"/>
        <v>45655</v>
      </c>
      <c r="E6582" s="290">
        <f t="shared" ref="E6582:E6583" si="698">DATE(A6582,B6582,C6582)</f>
        <v>45655</v>
      </c>
      <c r="F6582" s="513" t="s">
        <v>1514</v>
      </c>
      <c r="G6582" s="200" t="s">
        <v>1209</v>
      </c>
      <c r="H6582" s="201"/>
      <c r="I6582" s="201"/>
      <c r="J6582" s="197" t="s">
        <v>54</v>
      </c>
      <c r="K6582" s="202">
        <v>345</v>
      </c>
      <c r="L6582" s="202"/>
      <c r="M6582" s="251"/>
      <c r="N6582" s="251"/>
      <c r="O6582" s="251"/>
    </row>
    <row r="6583" spans="1:15" ht="11.25" customHeight="1" x14ac:dyDescent="0.2">
      <c r="A6583" s="191">
        <v>2024</v>
      </c>
      <c r="B6583" s="191">
        <v>12</v>
      </c>
      <c r="C6583" s="191">
        <v>29</v>
      </c>
      <c r="D6583" s="192">
        <f t="shared" si="697"/>
        <v>45655</v>
      </c>
      <c r="E6583" s="291">
        <f t="shared" si="698"/>
        <v>45655</v>
      </c>
      <c r="F6583" s="514"/>
      <c r="G6583" s="194" t="s">
        <v>1209</v>
      </c>
      <c r="H6583" s="195"/>
      <c r="I6583" s="195"/>
      <c r="J6583" s="191" t="s">
        <v>46</v>
      </c>
      <c r="K6583" s="196"/>
      <c r="L6583" s="196">
        <v>345</v>
      </c>
      <c r="M6583" s="251"/>
      <c r="N6583" s="251"/>
      <c r="O6583" s="251"/>
    </row>
    <row r="6584" spans="1:15" ht="11.25" customHeight="1" x14ac:dyDescent="0.2">
      <c r="A6584" s="197">
        <v>2024</v>
      </c>
      <c r="B6584" s="197">
        <v>12</v>
      </c>
      <c r="C6584" s="197">
        <v>29</v>
      </c>
      <c r="D6584" s="198">
        <f t="shared" si="697"/>
        <v>45655</v>
      </c>
      <c r="E6584" s="209">
        <f t="shared" si="696"/>
        <v>45655</v>
      </c>
      <c r="F6584" s="513" t="s">
        <v>1423</v>
      </c>
      <c r="G6584" s="200" t="s">
        <v>1209</v>
      </c>
      <c r="H6584" s="201"/>
      <c r="I6584" s="201"/>
      <c r="J6584" s="197" t="s">
        <v>16</v>
      </c>
      <c r="K6584" s="202">
        <v>23760</v>
      </c>
      <c r="L6584" s="202"/>
    </row>
    <row r="6585" spans="1:15" ht="11.25" customHeight="1" x14ac:dyDescent="0.2">
      <c r="A6585" s="120">
        <v>2024</v>
      </c>
      <c r="B6585" s="120">
        <v>12</v>
      </c>
      <c r="C6585" s="120">
        <v>29</v>
      </c>
      <c r="D6585" s="208">
        <f t="shared" si="697"/>
        <v>45655</v>
      </c>
      <c r="E6585" s="209">
        <f t="shared" si="696"/>
        <v>45655</v>
      </c>
      <c r="F6585" s="515"/>
      <c r="G6585" s="132" t="s">
        <v>1209</v>
      </c>
      <c r="J6585" s="120" t="s">
        <v>47</v>
      </c>
      <c r="K6585" s="207">
        <v>4280</v>
      </c>
      <c r="L6585" s="207"/>
    </row>
    <row r="6586" spans="1:15" ht="11.25" customHeight="1" x14ac:dyDescent="0.2">
      <c r="A6586" s="191">
        <v>2024</v>
      </c>
      <c r="B6586" s="191">
        <v>12</v>
      </c>
      <c r="C6586" s="191">
        <v>29</v>
      </c>
      <c r="D6586" s="192">
        <f t="shared" si="697"/>
        <v>45655</v>
      </c>
      <c r="E6586" s="193">
        <f t="shared" si="696"/>
        <v>45655</v>
      </c>
      <c r="F6586" s="514"/>
      <c r="G6586" s="194" t="s">
        <v>1209</v>
      </c>
      <c r="H6586" s="195"/>
      <c r="I6586" s="195"/>
      <c r="J6586" s="191" t="s">
        <v>46</v>
      </c>
      <c r="K6586" s="196"/>
      <c r="L6586" s="196">
        <v>28040</v>
      </c>
    </row>
    <row r="6587" spans="1:15" ht="11.25" customHeight="1" x14ac:dyDescent="0.2">
      <c r="A6587" s="197">
        <v>2024</v>
      </c>
      <c r="B6587" s="197">
        <v>12</v>
      </c>
      <c r="C6587" s="197">
        <v>29</v>
      </c>
      <c r="D6587" s="198">
        <f t="shared" si="697"/>
        <v>45655</v>
      </c>
      <c r="E6587" s="209">
        <f t="shared" si="696"/>
        <v>45655</v>
      </c>
      <c r="F6587" s="513" t="s">
        <v>1280</v>
      </c>
      <c r="G6587" s="200" t="s">
        <v>1209</v>
      </c>
      <c r="H6587" s="201"/>
      <c r="I6587" s="201" t="s">
        <v>481</v>
      </c>
      <c r="J6587" s="197" t="s">
        <v>16</v>
      </c>
      <c r="K6587" s="202">
        <v>93190</v>
      </c>
      <c r="L6587" s="202"/>
      <c r="M6587" s="130"/>
      <c r="N6587" s="130"/>
    </row>
    <row r="6588" spans="1:15" ht="11.25" customHeight="1" x14ac:dyDescent="0.2">
      <c r="A6588" s="120">
        <v>2024</v>
      </c>
      <c r="B6588" s="120">
        <v>12</v>
      </c>
      <c r="C6588" s="120">
        <v>29</v>
      </c>
      <c r="D6588" s="208">
        <f t="shared" si="697"/>
        <v>45655</v>
      </c>
      <c r="E6588" s="209">
        <f t="shared" si="696"/>
        <v>45655</v>
      </c>
      <c r="F6588" s="515"/>
      <c r="G6588" s="132" t="s">
        <v>1209</v>
      </c>
      <c r="I6588" s="128" t="s">
        <v>481</v>
      </c>
      <c r="J6588" s="120" t="s">
        <v>47</v>
      </c>
      <c r="K6588" s="207">
        <v>16810</v>
      </c>
      <c r="L6588" s="207"/>
      <c r="M6588" s="130"/>
      <c r="N6588" s="130"/>
    </row>
    <row r="6589" spans="1:15" ht="11.25" customHeight="1" x14ac:dyDescent="0.2">
      <c r="A6589" s="191">
        <v>2024</v>
      </c>
      <c r="B6589" s="191">
        <v>12</v>
      </c>
      <c r="C6589" s="191">
        <v>29</v>
      </c>
      <c r="D6589" s="192">
        <f t="shared" si="697"/>
        <v>45655</v>
      </c>
      <c r="E6589" s="193">
        <f t="shared" si="696"/>
        <v>45655</v>
      </c>
      <c r="F6589" s="514"/>
      <c r="G6589" s="194" t="s">
        <v>1209</v>
      </c>
      <c r="H6589" s="195"/>
      <c r="I6589" s="195" t="s">
        <v>481</v>
      </c>
      <c r="J6589" s="191" t="s">
        <v>46</v>
      </c>
      <c r="K6589" s="196"/>
      <c r="L6589" s="196">
        <v>110000</v>
      </c>
      <c r="M6589" s="130"/>
      <c r="N6589" s="130"/>
    </row>
    <row r="6590" spans="1:15" ht="11.25" customHeight="1" x14ac:dyDescent="0.2">
      <c r="A6590" s="197">
        <v>2024</v>
      </c>
      <c r="B6590" s="197">
        <v>12</v>
      </c>
      <c r="C6590" s="197">
        <v>29</v>
      </c>
      <c r="D6590" s="198">
        <f t="shared" si="697"/>
        <v>45655</v>
      </c>
      <c r="E6590" s="209">
        <f t="shared" ref="E6590:E6594" si="699">DATE(A6590,B6590,C6590)</f>
        <v>45655</v>
      </c>
      <c r="F6590" s="513" t="s">
        <v>1280</v>
      </c>
      <c r="G6590" s="200" t="s">
        <v>1209</v>
      </c>
      <c r="H6590" s="201"/>
      <c r="I6590" s="201" t="s">
        <v>913</v>
      </c>
      <c r="J6590" s="197" t="s">
        <v>16</v>
      </c>
      <c r="K6590" s="202">
        <v>288960</v>
      </c>
      <c r="L6590" s="202"/>
      <c r="M6590" s="130"/>
      <c r="N6590" s="130"/>
    </row>
    <row r="6591" spans="1:15" ht="11.25" customHeight="1" x14ac:dyDescent="0.2">
      <c r="A6591" s="120">
        <v>2024</v>
      </c>
      <c r="B6591" s="120">
        <v>12</v>
      </c>
      <c r="C6591" s="120">
        <v>29</v>
      </c>
      <c r="D6591" s="208">
        <f t="shared" si="697"/>
        <v>45655</v>
      </c>
      <c r="E6591" s="209">
        <f t="shared" si="699"/>
        <v>45655</v>
      </c>
      <c r="F6591" s="515"/>
      <c r="G6591" s="132" t="s">
        <v>1209</v>
      </c>
      <c r="I6591" s="128" t="s">
        <v>913</v>
      </c>
      <c r="J6591" s="120" t="s">
        <v>47</v>
      </c>
      <c r="K6591" s="207">
        <v>52128.380000000005</v>
      </c>
      <c r="L6591" s="207"/>
      <c r="M6591" s="130"/>
      <c r="N6591" s="130"/>
    </row>
    <row r="6592" spans="1:15" ht="11.25" customHeight="1" x14ac:dyDescent="0.2">
      <c r="A6592" s="191">
        <v>2024</v>
      </c>
      <c r="B6592" s="191">
        <v>12</v>
      </c>
      <c r="C6592" s="191">
        <v>29</v>
      </c>
      <c r="D6592" s="192">
        <f t="shared" si="697"/>
        <v>45655</v>
      </c>
      <c r="E6592" s="193">
        <f t="shared" si="699"/>
        <v>45655</v>
      </c>
      <c r="F6592" s="514"/>
      <c r="G6592" s="194" t="s">
        <v>1209</v>
      </c>
      <c r="H6592" s="195"/>
      <c r="I6592" s="195" t="s">
        <v>913</v>
      </c>
      <c r="J6592" s="191" t="s">
        <v>46</v>
      </c>
      <c r="K6592" s="196"/>
      <c r="L6592" s="196">
        <v>341088.38</v>
      </c>
      <c r="M6592" s="130"/>
      <c r="N6592" s="130"/>
    </row>
    <row r="6593" spans="1:15" ht="11.25" customHeight="1" x14ac:dyDescent="0.2">
      <c r="A6593" s="197">
        <v>2024</v>
      </c>
      <c r="B6593" s="197">
        <v>12</v>
      </c>
      <c r="C6593" s="197">
        <v>29</v>
      </c>
      <c r="D6593" s="198">
        <f t="shared" si="697"/>
        <v>45655</v>
      </c>
      <c r="E6593" s="290">
        <f t="shared" si="699"/>
        <v>45655</v>
      </c>
      <c r="F6593" s="513" t="s">
        <v>1954</v>
      </c>
      <c r="G6593" s="200" t="s">
        <v>1209</v>
      </c>
      <c r="H6593" s="201"/>
      <c r="I6593" s="201" t="s">
        <v>1253</v>
      </c>
      <c r="J6593" s="197" t="s">
        <v>46</v>
      </c>
      <c r="K6593" s="202">
        <v>833625</v>
      </c>
      <c r="L6593" s="202"/>
    </row>
    <row r="6594" spans="1:15" ht="11.25" customHeight="1" x14ac:dyDescent="0.2">
      <c r="A6594" s="191">
        <v>2024</v>
      </c>
      <c r="B6594" s="191">
        <v>12</v>
      </c>
      <c r="C6594" s="191">
        <v>29</v>
      </c>
      <c r="D6594" s="192">
        <f t="shared" si="697"/>
        <v>45655</v>
      </c>
      <c r="E6594" s="290">
        <f t="shared" si="699"/>
        <v>45655</v>
      </c>
      <c r="F6594" s="514"/>
      <c r="G6594" s="194" t="s">
        <v>1209</v>
      </c>
      <c r="H6594" s="195"/>
      <c r="I6594" s="195"/>
      <c r="J6594" s="191" t="s">
        <v>1845</v>
      </c>
      <c r="K6594" s="196"/>
      <c r="L6594" s="196">
        <v>833625</v>
      </c>
    </row>
    <row r="6595" spans="1:15" ht="11.25" customHeight="1" x14ac:dyDescent="0.2">
      <c r="A6595" s="197">
        <v>2024</v>
      </c>
      <c r="B6595" s="197">
        <v>12</v>
      </c>
      <c r="C6595" s="197">
        <v>29</v>
      </c>
      <c r="D6595" s="198">
        <f t="shared" si="697"/>
        <v>45655</v>
      </c>
      <c r="E6595" s="290">
        <f t="shared" ref="E6595:E6596" si="700">DATE(A6595,B6595,C6595)</f>
        <v>45655</v>
      </c>
      <c r="F6595" s="513" t="s">
        <v>1843</v>
      </c>
      <c r="G6595" s="200" t="s">
        <v>1209</v>
      </c>
      <c r="H6595" s="201"/>
      <c r="I6595" s="201"/>
      <c r="J6595" s="197" t="s">
        <v>46</v>
      </c>
      <c r="K6595" s="202">
        <v>13417.95</v>
      </c>
      <c r="L6595" s="202"/>
      <c r="M6595" s="251"/>
      <c r="N6595" s="251"/>
      <c r="O6595" s="251"/>
    </row>
    <row r="6596" spans="1:15" ht="11.25" customHeight="1" x14ac:dyDescent="0.2">
      <c r="A6596" s="191">
        <v>2024</v>
      </c>
      <c r="B6596" s="191">
        <v>12</v>
      </c>
      <c r="C6596" s="191">
        <v>29</v>
      </c>
      <c r="D6596" s="192">
        <f t="shared" si="697"/>
        <v>45655</v>
      </c>
      <c r="E6596" s="291">
        <f t="shared" si="700"/>
        <v>45655</v>
      </c>
      <c r="F6596" s="514"/>
      <c r="G6596" s="194" t="s">
        <v>1209</v>
      </c>
      <c r="H6596" s="195"/>
      <c r="I6596" s="195"/>
      <c r="J6596" s="191" t="s">
        <v>1529</v>
      </c>
      <c r="K6596" s="196"/>
      <c r="L6596" s="196">
        <v>13417.95</v>
      </c>
      <c r="M6596" s="251"/>
      <c r="N6596" s="251"/>
      <c r="O6596" s="251"/>
    </row>
    <row r="6597" spans="1:15" ht="11.25" customHeight="1" x14ac:dyDescent="0.2">
      <c r="A6597" s="197">
        <v>2024</v>
      </c>
      <c r="B6597" s="197">
        <v>12</v>
      </c>
      <c r="C6597" s="197">
        <v>30</v>
      </c>
      <c r="D6597" s="198">
        <f t="shared" si="697"/>
        <v>45656</v>
      </c>
      <c r="E6597" s="209">
        <f t="shared" ref="E6597:E6602" si="701">DATE(A6597,B6597,C6597)</f>
        <v>45656</v>
      </c>
      <c r="F6597" s="513" t="s">
        <v>1280</v>
      </c>
      <c r="G6597" s="200" t="s">
        <v>1209</v>
      </c>
      <c r="H6597" s="201"/>
      <c r="I6597" s="201" t="s">
        <v>1214</v>
      </c>
      <c r="J6597" s="197" t="s">
        <v>16</v>
      </c>
      <c r="K6597" s="202">
        <v>423590</v>
      </c>
      <c r="L6597" s="202"/>
      <c r="M6597" s="130"/>
      <c r="N6597" s="130"/>
    </row>
    <row r="6598" spans="1:15" ht="11.25" customHeight="1" x14ac:dyDescent="0.2">
      <c r="A6598" s="120">
        <v>2024</v>
      </c>
      <c r="B6598" s="120">
        <v>12</v>
      </c>
      <c r="C6598" s="120">
        <v>30</v>
      </c>
      <c r="D6598" s="208">
        <f t="shared" si="697"/>
        <v>45656</v>
      </c>
      <c r="E6598" s="209">
        <f t="shared" si="701"/>
        <v>45656</v>
      </c>
      <c r="F6598" s="515"/>
      <c r="G6598" s="132" t="s">
        <v>1209</v>
      </c>
      <c r="I6598" s="128" t="s">
        <v>1214</v>
      </c>
      <c r="J6598" s="120" t="s">
        <v>47</v>
      </c>
      <c r="K6598" s="207">
        <v>76410</v>
      </c>
      <c r="L6598" s="207"/>
      <c r="M6598" s="130"/>
      <c r="N6598" s="130"/>
    </row>
    <row r="6599" spans="1:15" ht="11.25" customHeight="1" x14ac:dyDescent="0.2">
      <c r="A6599" s="191">
        <v>2024</v>
      </c>
      <c r="B6599" s="191">
        <v>12</v>
      </c>
      <c r="C6599" s="191">
        <v>30</v>
      </c>
      <c r="D6599" s="192">
        <f t="shared" si="697"/>
        <v>45656</v>
      </c>
      <c r="E6599" s="193">
        <f t="shared" si="701"/>
        <v>45656</v>
      </c>
      <c r="F6599" s="514"/>
      <c r="G6599" s="194" t="s">
        <v>1209</v>
      </c>
      <c r="H6599" s="195"/>
      <c r="I6599" s="195" t="s">
        <v>1214</v>
      </c>
      <c r="J6599" s="191" t="s">
        <v>46</v>
      </c>
      <c r="K6599" s="196"/>
      <c r="L6599" s="196">
        <v>500000</v>
      </c>
      <c r="M6599" s="130"/>
      <c r="N6599" s="130"/>
    </row>
    <row r="6600" spans="1:15" ht="11.25" customHeight="1" x14ac:dyDescent="0.2">
      <c r="A6600" s="197">
        <v>2024</v>
      </c>
      <c r="B6600" s="197">
        <v>12</v>
      </c>
      <c r="C6600" s="197">
        <v>30</v>
      </c>
      <c r="D6600" s="198">
        <f t="shared" si="697"/>
        <v>45656</v>
      </c>
      <c r="E6600" s="209">
        <f t="shared" si="701"/>
        <v>45656</v>
      </c>
      <c r="F6600" s="513" t="s">
        <v>1210</v>
      </c>
      <c r="G6600" s="200" t="s">
        <v>1209</v>
      </c>
      <c r="H6600" s="201"/>
      <c r="I6600" s="201" t="s">
        <v>1218</v>
      </c>
      <c r="J6600" s="197" t="s">
        <v>46</v>
      </c>
      <c r="K6600" s="202">
        <v>15000000</v>
      </c>
      <c r="L6600" s="202"/>
    </row>
    <row r="6601" spans="1:15" ht="11.25" customHeight="1" x14ac:dyDescent="0.2">
      <c r="A6601" s="120">
        <v>2024</v>
      </c>
      <c r="B6601" s="120">
        <v>12</v>
      </c>
      <c r="C6601" s="120">
        <v>30</v>
      </c>
      <c r="D6601" s="208">
        <f t="shared" si="697"/>
        <v>45656</v>
      </c>
      <c r="E6601" s="209">
        <f t="shared" si="701"/>
        <v>45656</v>
      </c>
      <c r="F6601" s="515"/>
      <c r="G6601" s="132" t="s">
        <v>1209</v>
      </c>
      <c r="I6601" s="128" t="s">
        <v>1218</v>
      </c>
      <c r="J6601" s="120" t="s">
        <v>16</v>
      </c>
      <c r="K6601" s="207"/>
      <c r="L6601" s="207">
        <v>12707560</v>
      </c>
    </row>
    <row r="6602" spans="1:15" ht="11.25" customHeight="1" x14ac:dyDescent="0.2">
      <c r="A6602" s="191">
        <v>2024</v>
      </c>
      <c r="B6602" s="191">
        <v>12</v>
      </c>
      <c r="C6602" s="191">
        <v>30</v>
      </c>
      <c r="D6602" s="192">
        <f t="shared" si="697"/>
        <v>45656</v>
      </c>
      <c r="E6602" s="193">
        <f t="shared" si="701"/>
        <v>45656</v>
      </c>
      <c r="F6602" s="514"/>
      <c r="G6602" s="194" t="s">
        <v>1209</v>
      </c>
      <c r="H6602" s="195"/>
      <c r="I6602" s="195" t="s">
        <v>1218</v>
      </c>
      <c r="J6602" s="191" t="s">
        <v>47</v>
      </c>
      <c r="K6602" s="196"/>
      <c r="L6602" s="196">
        <v>2292440</v>
      </c>
    </row>
    <row r="6603" spans="1:15" ht="11.25" customHeight="1" x14ac:dyDescent="0.2">
      <c r="A6603" s="197">
        <v>2024</v>
      </c>
      <c r="B6603" s="197">
        <v>12</v>
      </c>
      <c r="C6603" s="197">
        <v>30</v>
      </c>
      <c r="D6603" s="198">
        <f t="shared" si="697"/>
        <v>45656</v>
      </c>
      <c r="E6603" s="209">
        <f t="shared" ref="E6603:E6614" si="702">DATE(A6603,B6603,C6603)</f>
        <v>45656</v>
      </c>
      <c r="F6603" s="513" t="s">
        <v>1210</v>
      </c>
      <c r="G6603" s="200" t="s">
        <v>1209</v>
      </c>
      <c r="H6603" s="201"/>
      <c r="I6603" s="201" t="s">
        <v>1941</v>
      </c>
      <c r="J6603" s="197" t="s">
        <v>46</v>
      </c>
      <c r="K6603" s="202">
        <v>100000</v>
      </c>
      <c r="L6603" s="202"/>
    </row>
    <row r="6604" spans="1:15" ht="11.25" customHeight="1" x14ac:dyDescent="0.2">
      <c r="A6604" s="120">
        <v>2024</v>
      </c>
      <c r="B6604" s="120">
        <v>12</v>
      </c>
      <c r="C6604" s="120">
        <v>30</v>
      </c>
      <c r="D6604" s="208">
        <f t="shared" si="697"/>
        <v>45656</v>
      </c>
      <c r="E6604" s="209">
        <f t="shared" si="702"/>
        <v>45656</v>
      </c>
      <c r="F6604" s="515"/>
      <c r="G6604" s="132" t="s">
        <v>1209</v>
      </c>
      <c r="I6604" s="128" t="s">
        <v>1941</v>
      </c>
      <c r="J6604" s="120" t="s">
        <v>16</v>
      </c>
      <c r="K6604" s="207"/>
      <c r="L6604" s="207">
        <v>84720</v>
      </c>
    </row>
    <row r="6605" spans="1:15" ht="11.25" customHeight="1" x14ac:dyDescent="0.2">
      <c r="A6605" s="191">
        <v>2024</v>
      </c>
      <c r="B6605" s="191">
        <v>12</v>
      </c>
      <c r="C6605" s="191">
        <v>30</v>
      </c>
      <c r="D6605" s="192">
        <f t="shared" si="697"/>
        <v>45656</v>
      </c>
      <c r="E6605" s="193">
        <f t="shared" si="702"/>
        <v>45656</v>
      </c>
      <c r="F6605" s="514"/>
      <c r="G6605" s="194" t="s">
        <v>1209</v>
      </c>
      <c r="H6605" s="195"/>
      <c r="I6605" s="195" t="s">
        <v>1941</v>
      </c>
      <c r="J6605" s="191" t="s">
        <v>47</v>
      </c>
      <c r="K6605" s="196"/>
      <c r="L6605" s="196">
        <v>15280</v>
      </c>
    </row>
    <row r="6606" spans="1:15" ht="11.25" customHeight="1" x14ac:dyDescent="0.2">
      <c r="A6606" s="197">
        <v>2024</v>
      </c>
      <c r="B6606" s="197">
        <v>12</v>
      </c>
      <c r="C6606" s="197">
        <v>30</v>
      </c>
      <c r="D6606" s="198">
        <f t="shared" si="697"/>
        <v>45656</v>
      </c>
      <c r="E6606" s="290">
        <f t="shared" si="702"/>
        <v>45656</v>
      </c>
      <c r="F6606" s="513" t="s">
        <v>1514</v>
      </c>
      <c r="G6606" s="200" t="s">
        <v>1209</v>
      </c>
      <c r="H6606" s="201"/>
      <c r="I6606" s="201"/>
      <c r="J6606" s="197" t="s">
        <v>54</v>
      </c>
      <c r="K6606" s="202">
        <v>118</v>
      </c>
      <c r="L6606" s="202"/>
      <c r="M6606" s="251"/>
      <c r="N6606" s="251"/>
      <c r="O6606" s="251"/>
    </row>
    <row r="6607" spans="1:15" ht="11.25" customHeight="1" x14ac:dyDescent="0.2">
      <c r="A6607" s="191">
        <v>2024</v>
      </c>
      <c r="B6607" s="191">
        <v>12</v>
      </c>
      <c r="C6607" s="191">
        <v>30</v>
      </c>
      <c r="D6607" s="192">
        <f t="shared" si="697"/>
        <v>45656</v>
      </c>
      <c r="E6607" s="291">
        <f t="shared" si="702"/>
        <v>45656</v>
      </c>
      <c r="F6607" s="514"/>
      <c r="G6607" s="194" t="s">
        <v>1209</v>
      </c>
      <c r="H6607" s="195"/>
      <c r="I6607" s="195"/>
      <c r="J6607" s="191" t="s">
        <v>46</v>
      </c>
      <c r="K6607" s="207"/>
      <c r="L6607" s="196">
        <v>118</v>
      </c>
      <c r="M6607" s="251"/>
      <c r="N6607" s="251"/>
      <c r="O6607" s="251"/>
    </row>
    <row r="6608" spans="1:15" ht="11.25" customHeight="1" x14ac:dyDescent="0.2">
      <c r="A6608" s="197">
        <v>2024</v>
      </c>
      <c r="B6608" s="197">
        <v>12</v>
      </c>
      <c r="C6608" s="197">
        <v>30</v>
      </c>
      <c r="D6608" s="198">
        <f t="shared" si="697"/>
        <v>45656</v>
      </c>
      <c r="E6608" s="290">
        <f t="shared" ref="E6608:E6609" si="703">DATE(A6608,B6608,C6608)</f>
        <v>45656</v>
      </c>
      <c r="F6608" s="513" t="s">
        <v>1514</v>
      </c>
      <c r="G6608" s="200" t="s">
        <v>1209</v>
      </c>
      <c r="H6608" s="201"/>
      <c r="I6608" s="201"/>
      <c r="J6608" s="197" t="s">
        <v>54</v>
      </c>
      <c r="K6608" s="202">
        <v>50000</v>
      </c>
      <c r="L6608" s="202"/>
      <c r="M6608" s="251"/>
      <c r="N6608" s="251"/>
      <c r="O6608" s="251"/>
    </row>
    <row r="6609" spans="1:15" ht="11.25" customHeight="1" x14ac:dyDescent="0.2">
      <c r="A6609" s="191">
        <v>2024</v>
      </c>
      <c r="B6609" s="191">
        <v>12</v>
      </c>
      <c r="C6609" s="191">
        <v>30</v>
      </c>
      <c r="D6609" s="192">
        <f t="shared" si="697"/>
        <v>45656</v>
      </c>
      <c r="E6609" s="291">
        <f t="shared" si="703"/>
        <v>45656</v>
      </c>
      <c r="F6609" s="514"/>
      <c r="G6609" s="194" t="s">
        <v>1209</v>
      </c>
      <c r="H6609" s="195"/>
      <c r="I6609" s="195"/>
      <c r="J6609" s="191" t="s">
        <v>46</v>
      </c>
      <c r="K6609" s="207"/>
      <c r="L6609" s="196">
        <v>50000</v>
      </c>
      <c r="M6609" s="251"/>
      <c r="N6609" s="251"/>
      <c r="O6609" s="251"/>
    </row>
    <row r="6610" spans="1:15" ht="11.25" customHeight="1" x14ac:dyDescent="0.2">
      <c r="A6610" s="197">
        <v>2024</v>
      </c>
      <c r="B6610" s="197">
        <v>12</v>
      </c>
      <c r="C6610" s="197">
        <v>30</v>
      </c>
      <c r="D6610" s="198">
        <f t="shared" si="697"/>
        <v>45656</v>
      </c>
      <c r="E6610" s="290">
        <f t="shared" ref="E6610:E6611" si="704">DATE(A6610,B6610,C6610)</f>
        <v>45656</v>
      </c>
      <c r="F6610" s="513" t="s">
        <v>1514</v>
      </c>
      <c r="G6610" s="200" t="s">
        <v>1209</v>
      </c>
      <c r="H6610" s="201"/>
      <c r="I6610" s="201"/>
      <c r="J6610" s="197" t="s">
        <v>54</v>
      </c>
      <c r="K6610" s="202">
        <v>50000</v>
      </c>
      <c r="L6610" s="202"/>
      <c r="M6610" s="251"/>
      <c r="N6610" s="251"/>
      <c r="O6610" s="251"/>
    </row>
    <row r="6611" spans="1:15" ht="11.25" customHeight="1" x14ac:dyDescent="0.2">
      <c r="A6611" s="191">
        <v>2024</v>
      </c>
      <c r="B6611" s="191">
        <v>12</v>
      </c>
      <c r="C6611" s="191">
        <v>30</v>
      </c>
      <c r="D6611" s="192">
        <f t="shared" si="697"/>
        <v>45656</v>
      </c>
      <c r="E6611" s="291">
        <f t="shared" si="704"/>
        <v>45656</v>
      </c>
      <c r="F6611" s="514"/>
      <c r="G6611" s="194" t="s">
        <v>1209</v>
      </c>
      <c r="H6611" s="195"/>
      <c r="I6611" s="195"/>
      <c r="J6611" s="191" t="s">
        <v>46</v>
      </c>
      <c r="K6611" s="207"/>
      <c r="L6611" s="196">
        <v>50000</v>
      </c>
      <c r="M6611" s="251"/>
      <c r="N6611" s="251"/>
      <c r="O6611" s="251"/>
    </row>
    <row r="6612" spans="1:15" ht="11.25" customHeight="1" x14ac:dyDescent="0.2">
      <c r="A6612" s="197">
        <v>2024</v>
      </c>
      <c r="B6612" s="197">
        <v>12</v>
      </c>
      <c r="C6612" s="197">
        <v>30</v>
      </c>
      <c r="D6612" s="198">
        <f t="shared" si="697"/>
        <v>45656</v>
      </c>
      <c r="E6612" s="290">
        <f t="shared" si="702"/>
        <v>45656</v>
      </c>
      <c r="F6612" s="513" t="s">
        <v>1840</v>
      </c>
      <c r="G6612" s="200" t="s">
        <v>1209</v>
      </c>
      <c r="H6612" s="201"/>
      <c r="I6612" s="201" t="s">
        <v>1253</v>
      </c>
      <c r="J6612" s="197" t="s">
        <v>46</v>
      </c>
      <c r="K6612" s="202">
        <v>94179</v>
      </c>
      <c r="L6612" s="202"/>
    </row>
    <row r="6613" spans="1:15" ht="11.25" customHeight="1" x14ac:dyDescent="0.2">
      <c r="A6613" s="120">
        <v>2024</v>
      </c>
      <c r="B6613" s="120">
        <v>12</v>
      </c>
      <c r="C6613" s="120">
        <v>30</v>
      </c>
      <c r="D6613" s="208">
        <f t="shared" si="697"/>
        <v>45656</v>
      </c>
      <c r="E6613" s="293">
        <f t="shared" si="702"/>
        <v>45656</v>
      </c>
      <c r="F6613" s="515"/>
      <c r="G6613" s="132" t="s">
        <v>1209</v>
      </c>
      <c r="I6613" s="128" t="s">
        <v>1253</v>
      </c>
      <c r="J6613" s="120" t="s">
        <v>153</v>
      </c>
      <c r="K6613" s="207">
        <v>1224.8800000000001</v>
      </c>
      <c r="L6613" s="207"/>
    </row>
    <row r="6614" spans="1:15" ht="11.25" customHeight="1" x14ac:dyDescent="0.2">
      <c r="A6614" s="191">
        <v>2024</v>
      </c>
      <c r="B6614" s="191">
        <v>12</v>
      </c>
      <c r="C6614" s="191">
        <v>30</v>
      </c>
      <c r="D6614" s="192">
        <f t="shared" si="697"/>
        <v>45656</v>
      </c>
      <c r="E6614" s="291">
        <f t="shared" si="702"/>
        <v>45656</v>
      </c>
      <c r="F6614" s="514"/>
      <c r="G6614" s="194" t="s">
        <v>1209</v>
      </c>
      <c r="H6614" s="195"/>
      <c r="I6614" s="195" t="s">
        <v>1253</v>
      </c>
      <c r="J6614" s="191" t="s">
        <v>58</v>
      </c>
      <c r="K6614" s="196"/>
      <c r="L6614" s="196">
        <v>95403.87</v>
      </c>
    </row>
    <row r="6615" spans="1:15" ht="11.25" customHeight="1" x14ac:dyDescent="0.2">
      <c r="A6615" s="197">
        <v>2024</v>
      </c>
      <c r="B6615" s="197">
        <v>12</v>
      </c>
      <c r="C6615" s="197">
        <v>30</v>
      </c>
      <c r="D6615" s="198">
        <f t="shared" si="697"/>
        <v>45656</v>
      </c>
      <c r="E6615" s="290">
        <f t="shared" ref="E6615:E6619" si="705">DATE(A6615,B6615,C6615)</f>
        <v>45656</v>
      </c>
      <c r="F6615" s="513" t="s">
        <v>1840</v>
      </c>
      <c r="G6615" s="200" t="s">
        <v>1209</v>
      </c>
      <c r="H6615" s="201"/>
      <c r="I6615" s="201" t="s">
        <v>1253</v>
      </c>
      <c r="J6615" s="197" t="s">
        <v>46</v>
      </c>
      <c r="K6615" s="202">
        <v>288860</v>
      </c>
      <c r="L6615" s="202"/>
    </row>
    <row r="6616" spans="1:15" ht="11.25" customHeight="1" x14ac:dyDescent="0.2">
      <c r="A6616" s="120">
        <v>2024</v>
      </c>
      <c r="B6616" s="120">
        <v>12</v>
      </c>
      <c r="C6616" s="120">
        <v>30</v>
      </c>
      <c r="D6616" s="208">
        <f t="shared" si="697"/>
        <v>45656</v>
      </c>
      <c r="E6616" s="293">
        <f t="shared" si="705"/>
        <v>45656</v>
      </c>
      <c r="F6616" s="515"/>
      <c r="G6616" s="132" t="s">
        <v>1209</v>
      </c>
      <c r="I6616" s="128" t="s">
        <v>1253</v>
      </c>
      <c r="J6616" s="120" t="s">
        <v>153</v>
      </c>
      <c r="K6616" s="207">
        <v>2955.61</v>
      </c>
      <c r="L6616" s="207"/>
    </row>
    <row r="6617" spans="1:15" ht="11.25" customHeight="1" x14ac:dyDescent="0.2">
      <c r="A6617" s="191">
        <v>2024</v>
      </c>
      <c r="B6617" s="191">
        <v>12</v>
      </c>
      <c r="C6617" s="191">
        <v>30</v>
      </c>
      <c r="D6617" s="192">
        <f t="shared" si="697"/>
        <v>45656</v>
      </c>
      <c r="E6617" s="291">
        <f t="shared" si="705"/>
        <v>45656</v>
      </c>
      <c r="F6617" s="514"/>
      <c r="G6617" s="194" t="s">
        <v>1209</v>
      </c>
      <c r="H6617" s="195"/>
      <c r="I6617" s="195" t="s">
        <v>1253</v>
      </c>
      <c r="J6617" s="191" t="s">
        <v>58</v>
      </c>
      <c r="K6617" s="196"/>
      <c r="L6617" s="196">
        <v>291815.61</v>
      </c>
    </row>
    <row r="6618" spans="1:15" ht="11.25" customHeight="1" x14ac:dyDescent="0.2">
      <c r="A6618" s="197">
        <v>2024</v>
      </c>
      <c r="B6618" s="197">
        <v>12</v>
      </c>
      <c r="C6618" s="197">
        <v>30</v>
      </c>
      <c r="D6618" s="198">
        <f t="shared" si="697"/>
        <v>45656</v>
      </c>
      <c r="E6618" s="290">
        <f t="shared" si="705"/>
        <v>45656</v>
      </c>
      <c r="F6618" s="513" t="s">
        <v>1517</v>
      </c>
      <c r="G6618" s="200" t="s">
        <v>1209</v>
      </c>
      <c r="H6618" s="201"/>
      <c r="I6618" s="201"/>
      <c r="J6618" s="197" t="s">
        <v>54</v>
      </c>
      <c r="K6618" s="202">
        <v>345</v>
      </c>
      <c r="L6618" s="202"/>
      <c r="M6618" s="251"/>
      <c r="N6618" s="251"/>
      <c r="O6618" s="251"/>
    </row>
    <row r="6619" spans="1:15" ht="11.25" customHeight="1" x14ac:dyDescent="0.2">
      <c r="A6619" s="191">
        <v>2024</v>
      </c>
      <c r="B6619" s="191">
        <v>12</v>
      </c>
      <c r="C6619" s="191">
        <v>30</v>
      </c>
      <c r="D6619" s="192">
        <f t="shared" si="697"/>
        <v>45656</v>
      </c>
      <c r="E6619" s="291">
        <f t="shared" si="705"/>
        <v>45656</v>
      </c>
      <c r="F6619" s="514"/>
      <c r="G6619" s="194" t="s">
        <v>1209</v>
      </c>
      <c r="H6619" s="195"/>
      <c r="I6619" s="195"/>
      <c r="J6619" s="191" t="s">
        <v>46</v>
      </c>
      <c r="K6619" s="207"/>
      <c r="L6619" s="196">
        <v>345</v>
      </c>
      <c r="M6619" s="251"/>
      <c r="N6619" s="251"/>
      <c r="O6619" s="251"/>
    </row>
    <row r="6620" spans="1:15" ht="11.25" customHeight="1" x14ac:dyDescent="0.2">
      <c r="A6620" s="197">
        <v>2024</v>
      </c>
      <c r="B6620" s="197">
        <v>12</v>
      </c>
      <c r="C6620" s="197">
        <v>30</v>
      </c>
      <c r="D6620" s="198">
        <f t="shared" si="697"/>
        <v>45656</v>
      </c>
      <c r="E6620" s="290">
        <f t="shared" ref="E6620:E6625" si="706">DATE(A6620,B6620,C6620)</f>
        <v>45656</v>
      </c>
      <c r="F6620" s="513" t="s">
        <v>1517</v>
      </c>
      <c r="G6620" s="200" t="s">
        <v>1209</v>
      </c>
      <c r="H6620" s="201"/>
      <c r="I6620" s="201"/>
      <c r="J6620" s="197" t="s">
        <v>54</v>
      </c>
      <c r="K6620" s="202">
        <v>345</v>
      </c>
      <c r="L6620" s="202"/>
      <c r="M6620" s="251"/>
      <c r="N6620" s="251"/>
      <c r="O6620" s="251"/>
    </row>
    <row r="6621" spans="1:15" ht="11.25" customHeight="1" x14ac:dyDescent="0.2">
      <c r="A6621" s="191">
        <v>2024</v>
      </c>
      <c r="B6621" s="191">
        <v>12</v>
      </c>
      <c r="C6621" s="191">
        <v>30</v>
      </c>
      <c r="D6621" s="192">
        <f t="shared" si="697"/>
        <v>45656</v>
      </c>
      <c r="E6621" s="291">
        <f t="shared" si="706"/>
        <v>45656</v>
      </c>
      <c r="F6621" s="514"/>
      <c r="G6621" s="194" t="s">
        <v>1209</v>
      </c>
      <c r="H6621" s="195"/>
      <c r="I6621" s="195"/>
      <c r="J6621" s="191" t="s">
        <v>46</v>
      </c>
      <c r="K6621" s="207"/>
      <c r="L6621" s="196">
        <v>345</v>
      </c>
      <c r="M6621" s="251"/>
      <c r="N6621" s="251"/>
      <c r="O6621" s="251"/>
    </row>
    <row r="6622" spans="1:15" ht="11.25" customHeight="1" x14ac:dyDescent="0.2">
      <c r="A6622" s="197">
        <v>2024</v>
      </c>
      <c r="B6622" s="197">
        <v>12</v>
      </c>
      <c r="C6622" s="197">
        <v>30</v>
      </c>
      <c r="D6622" s="198">
        <f t="shared" si="697"/>
        <v>45656</v>
      </c>
      <c r="E6622" s="290">
        <f t="shared" si="706"/>
        <v>45656</v>
      </c>
      <c r="F6622" s="513" t="s">
        <v>1517</v>
      </c>
      <c r="G6622" s="200" t="s">
        <v>1209</v>
      </c>
      <c r="H6622" s="201"/>
      <c r="I6622" s="201"/>
      <c r="J6622" s="197" t="s">
        <v>54</v>
      </c>
      <c r="K6622" s="202">
        <v>4138.37</v>
      </c>
      <c r="L6622" s="202"/>
      <c r="M6622" s="251"/>
      <c r="N6622" s="251"/>
      <c r="O6622" s="251"/>
    </row>
    <row r="6623" spans="1:15" ht="11.25" customHeight="1" x14ac:dyDescent="0.2">
      <c r="A6623" s="191">
        <v>2024</v>
      </c>
      <c r="B6623" s="191">
        <v>12</v>
      </c>
      <c r="C6623" s="191">
        <v>30</v>
      </c>
      <c r="D6623" s="192">
        <f t="shared" si="697"/>
        <v>45656</v>
      </c>
      <c r="E6623" s="291">
        <f t="shared" si="706"/>
        <v>45656</v>
      </c>
      <c r="F6623" s="514"/>
      <c r="G6623" s="194" t="s">
        <v>1209</v>
      </c>
      <c r="H6623" s="195"/>
      <c r="I6623" s="195"/>
      <c r="J6623" s="191" t="s">
        <v>46</v>
      </c>
      <c r="K6623" s="207"/>
      <c r="L6623" s="196">
        <v>4138.37</v>
      </c>
      <c r="M6623" s="251"/>
      <c r="N6623" s="251"/>
      <c r="O6623" s="251"/>
    </row>
    <row r="6624" spans="1:15" ht="11.25" customHeight="1" x14ac:dyDescent="0.2">
      <c r="A6624" s="197">
        <v>2024</v>
      </c>
      <c r="B6624" s="197">
        <v>12</v>
      </c>
      <c r="C6624" s="197">
        <v>30</v>
      </c>
      <c r="D6624" s="198">
        <f t="shared" si="697"/>
        <v>45656</v>
      </c>
      <c r="E6624" s="290">
        <f t="shared" si="706"/>
        <v>45656</v>
      </c>
      <c r="F6624" s="513" t="s">
        <v>1563</v>
      </c>
      <c r="G6624" s="200" t="s">
        <v>1209</v>
      </c>
      <c r="H6624" s="201"/>
      <c r="I6624" s="201"/>
      <c r="J6624" s="197" t="s">
        <v>54</v>
      </c>
      <c r="K6624" s="202">
        <v>20000</v>
      </c>
      <c r="L6624" s="202"/>
      <c r="M6624" s="251"/>
      <c r="N6624" s="251"/>
      <c r="O6624" s="251"/>
    </row>
    <row r="6625" spans="1:15" ht="11.25" customHeight="1" x14ac:dyDescent="0.2">
      <c r="A6625" s="191">
        <v>2024</v>
      </c>
      <c r="B6625" s="191">
        <v>12</v>
      </c>
      <c r="C6625" s="191">
        <v>30</v>
      </c>
      <c r="D6625" s="192">
        <f t="shared" si="697"/>
        <v>45656</v>
      </c>
      <c r="E6625" s="291">
        <f t="shared" si="706"/>
        <v>45656</v>
      </c>
      <c r="F6625" s="514"/>
      <c r="G6625" s="194" t="s">
        <v>1209</v>
      </c>
      <c r="H6625" s="195"/>
      <c r="I6625" s="195"/>
      <c r="J6625" s="191" t="s">
        <v>46</v>
      </c>
      <c r="K6625" s="207"/>
      <c r="L6625" s="196">
        <f>K6624</f>
        <v>20000</v>
      </c>
      <c r="M6625" s="251"/>
      <c r="N6625" s="251"/>
      <c r="O6625" s="251"/>
    </row>
    <row r="6626" spans="1:15" ht="11.25" customHeight="1" x14ac:dyDescent="0.2">
      <c r="A6626" s="197">
        <v>2024</v>
      </c>
      <c r="B6626" s="197">
        <v>12</v>
      </c>
      <c r="C6626" s="197">
        <v>30</v>
      </c>
      <c r="D6626" s="198">
        <f t="shared" si="697"/>
        <v>45656</v>
      </c>
      <c r="E6626" s="290">
        <f t="shared" ref="E6626:E6635" si="707">DATE(A6626,B6626,C6626)</f>
        <v>45656</v>
      </c>
      <c r="F6626" s="513" t="s">
        <v>1563</v>
      </c>
      <c r="G6626" s="200" t="s">
        <v>1209</v>
      </c>
      <c r="H6626" s="201"/>
      <c r="I6626" s="201"/>
      <c r="J6626" s="197" t="s">
        <v>54</v>
      </c>
      <c r="K6626" s="202">
        <f>500+75+200+30</f>
        <v>805</v>
      </c>
      <c r="L6626" s="202"/>
      <c r="M6626" s="251"/>
      <c r="N6626" s="251"/>
      <c r="O6626" s="251"/>
    </row>
    <row r="6627" spans="1:15" ht="11.25" customHeight="1" x14ac:dyDescent="0.2">
      <c r="A6627" s="191">
        <v>2024</v>
      </c>
      <c r="B6627" s="191">
        <v>12</v>
      </c>
      <c r="C6627" s="191">
        <v>30</v>
      </c>
      <c r="D6627" s="192">
        <f t="shared" si="697"/>
        <v>45656</v>
      </c>
      <c r="E6627" s="291">
        <f t="shared" si="707"/>
        <v>45656</v>
      </c>
      <c r="F6627" s="514"/>
      <c r="G6627" s="194" t="s">
        <v>1209</v>
      </c>
      <c r="H6627" s="195"/>
      <c r="I6627" s="195"/>
      <c r="J6627" s="191" t="s">
        <v>46</v>
      </c>
      <c r="K6627" s="207"/>
      <c r="L6627" s="196">
        <f>K6626</f>
        <v>805</v>
      </c>
      <c r="M6627" s="251"/>
      <c r="N6627" s="251"/>
      <c r="O6627" s="251"/>
    </row>
    <row r="6628" spans="1:15" ht="11.25" customHeight="1" x14ac:dyDescent="0.2">
      <c r="A6628" s="197">
        <v>2024</v>
      </c>
      <c r="B6628" s="197">
        <v>12</v>
      </c>
      <c r="C6628" s="197">
        <v>30</v>
      </c>
      <c r="D6628" s="198">
        <f t="shared" si="697"/>
        <v>45656</v>
      </c>
      <c r="E6628" s="290">
        <f t="shared" si="707"/>
        <v>45656</v>
      </c>
      <c r="F6628" s="513" t="s">
        <v>1956</v>
      </c>
      <c r="G6628" s="200" t="s">
        <v>1209</v>
      </c>
      <c r="H6628" s="201"/>
      <c r="I6628" s="201" t="s">
        <v>1253</v>
      </c>
      <c r="J6628" s="197" t="s">
        <v>46</v>
      </c>
      <c r="K6628" s="202">
        <v>35.71</v>
      </c>
      <c r="L6628" s="202"/>
    </row>
    <row r="6629" spans="1:15" ht="11.25" customHeight="1" x14ac:dyDescent="0.2">
      <c r="A6629" s="120">
        <v>2024</v>
      </c>
      <c r="B6629" s="120">
        <v>12</v>
      </c>
      <c r="C6629" s="120">
        <v>30</v>
      </c>
      <c r="D6629" s="208">
        <f t="shared" si="697"/>
        <v>45656</v>
      </c>
      <c r="E6629" s="293">
        <f t="shared" si="707"/>
        <v>45656</v>
      </c>
      <c r="F6629" s="515"/>
      <c r="G6629" s="132" t="s">
        <v>1209</v>
      </c>
      <c r="I6629" s="128" t="s">
        <v>1253</v>
      </c>
      <c r="J6629" s="120" t="s">
        <v>153</v>
      </c>
      <c r="K6629" s="207"/>
      <c r="L6629" s="207">
        <v>35.71</v>
      </c>
    </row>
    <row r="6630" spans="1:15" ht="11.25" customHeight="1" x14ac:dyDescent="0.2">
      <c r="A6630" s="191">
        <v>2024</v>
      </c>
      <c r="B6630" s="191">
        <v>12</v>
      </c>
      <c r="C6630" s="191">
        <v>30</v>
      </c>
      <c r="D6630" s="192">
        <f t="shared" si="697"/>
        <v>45656</v>
      </c>
      <c r="E6630" s="291">
        <f t="shared" si="707"/>
        <v>45656</v>
      </c>
      <c r="F6630" s="514"/>
      <c r="G6630" s="194" t="s">
        <v>1209</v>
      </c>
      <c r="H6630" s="195"/>
      <c r="I6630" s="195" t="s">
        <v>1253</v>
      </c>
      <c r="J6630" s="191" t="s">
        <v>58</v>
      </c>
      <c r="K6630" s="196"/>
      <c r="L6630" s="196"/>
    </row>
    <row r="6631" spans="1:15" ht="11.25" customHeight="1" x14ac:dyDescent="0.2">
      <c r="A6631" s="197">
        <v>2024</v>
      </c>
      <c r="B6631" s="197">
        <v>12</v>
      </c>
      <c r="C6631" s="197">
        <v>30</v>
      </c>
      <c r="D6631" s="198">
        <f t="shared" si="697"/>
        <v>45656</v>
      </c>
      <c r="E6631" s="290">
        <f t="shared" ref="E6631:E6632" si="708">DATE(A6631,B6631,C6631)</f>
        <v>45656</v>
      </c>
      <c r="F6631" s="513" t="s">
        <v>1524</v>
      </c>
      <c r="G6631" s="200" t="s">
        <v>1209</v>
      </c>
      <c r="H6631" s="201"/>
      <c r="I6631" s="201"/>
      <c r="J6631" s="197" t="s">
        <v>54</v>
      </c>
      <c r="K6631" s="202">
        <v>5.36</v>
      </c>
      <c r="L6631" s="202"/>
      <c r="M6631" s="251"/>
      <c r="N6631" s="251"/>
      <c r="O6631" s="251"/>
    </row>
    <row r="6632" spans="1:15" ht="11.25" customHeight="1" x14ac:dyDescent="0.2">
      <c r="A6632" s="191">
        <v>2024</v>
      </c>
      <c r="B6632" s="191">
        <v>12</v>
      </c>
      <c r="C6632" s="191">
        <v>30</v>
      </c>
      <c r="D6632" s="192">
        <f t="shared" si="697"/>
        <v>45656</v>
      </c>
      <c r="E6632" s="291">
        <f t="shared" si="708"/>
        <v>45656</v>
      </c>
      <c r="F6632" s="514"/>
      <c r="G6632" s="194" t="s">
        <v>1209</v>
      </c>
      <c r="H6632" s="195"/>
      <c r="I6632" s="195"/>
      <c r="J6632" s="191" t="s">
        <v>46</v>
      </c>
      <c r="K6632" s="207"/>
      <c r="L6632" s="196">
        <f>K6631</f>
        <v>5.36</v>
      </c>
      <c r="M6632" s="251"/>
      <c r="N6632" s="251"/>
      <c r="O6632" s="251"/>
    </row>
    <row r="6633" spans="1:15" ht="11.25" customHeight="1" x14ac:dyDescent="0.2">
      <c r="A6633" s="197">
        <v>2024</v>
      </c>
      <c r="B6633" s="197">
        <v>12</v>
      </c>
      <c r="C6633" s="197">
        <v>31</v>
      </c>
      <c r="D6633" s="198">
        <f t="shared" si="697"/>
        <v>45657</v>
      </c>
      <c r="E6633" s="290">
        <f t="shared" si="707"/>
        <v>45657</v>
      </c>
      <c r="F6633" s="513" t="s">
        <v>1955</v>
      </c>
      <c r="G6633" s="200" t="s">
        <v>1209</v>
      </c>
      <c r="H6633" s="201"/>
      <c r="I6633" s="201" t="s">
        <v>1253</v>
      </c>
      <c r="J6633" s="197" t="s">
        <v>46</v>
      </c>
      <c r="K6633" s="202">
        <v>2217.41</v>
      </c>
      <c r="L6633" s="202"/>
    </row>
    <row r="6634" spans="1:15" ht="11.25" customHeight="1" x14ac:dyDescent="0.2">
      <c r="A6634" s="120">
        <v>2024</v>
      </c>
      <c r="B6634" s="120">
        <v>12</v>
      </c>
      <c r="C6634" s="120">
        <v>31</v>
      </c>
      <c r="D6634" s="208">
        <f t="shared" si="697"/>
        <v>45657</v>
      </c>
      <c r="E6634" s="293">
        <f t="shared" si="707"/>
        <v>45657</v>
      </c>
      <c r="F6634" s="515"/>
      <c r="G6634" s="132" t="s">
        <v>1209</v>
      </c>
      <c r="I6634" s="128" t="s">
        <v>1253</v>
      </c>
      <c r="J6634" s="120" t="s">
        <v>153</v>
      </c>
      <c r="K6634" s="207"/>
      <c r="L6634" s="207">
        <v>155.9</v>
      </c>
    </row>
    <row r="6635" spans="1:15" ht="11.25" customHeight="1" x14ac:dyDescent="0.2">
      <c r="A6635" s="191">
        <v>2024</v>
      </c>
      <c r="B6635" s="191">
        <v>12</v>
      </c>
      <c r="C6635" s="191">
        <v>31</v>
      </c>
      <c r="D6635" s="192">
        <f t="shared" si="697"/>
        <v>45657</v>
      </c>
      <c r="E6635" s="291">
        <f t="shared" si="707"/>
        <v>45657</v>
      </c>
      <c r="F6635" s="514"/>
      <c r="G6635" s="194" t="s">
        <v>1209</v>
      </c>
      <c r="H6635" s="195"/>
      <c r="I6635" s="195" t="s">
        <v>1253</v>
      </c>
      <c r="J6635" s="191" t="s">
        <v>58</v>
      </c>
      <c r="K6635" s="196"/>
      <c r="L6635" s="196">
        <v>2061.5100000000002</v>
      </c>
    </row>
    <row r="6636" spans="1:15" ht="11.25" customHeight="1" x14ac:dyDescent="0.2">
      <c r="A6636" s="197">
        <v>2024</v>
      </c>
      <c r="B6636" s="197">
        <v>12</v>
      </c>
      <c r="C6636" s="197">
        <v>31</v>
      </c>
      <c r="D6636" s="198">
        <f t="shared" ref="D6636:D6699" si="709">DATE(A6636,B6636,C6636)</f>
        <v>45657</v>
      </c>
      <c r="E6636" s="290">
        <f t="shared" ref="E6636:E6637" si="710">DATE(A6636,B6636,C6636)</f>
        <v>45657</v>
      </c>
      <c r="F6636" s="513" t="s">
        <v>1563</v>
      </c>
      <c r="G6636" s="200" t="s">
        <v>1209</v>
      </c>
      <c r="H6636" s="201"/>
      <c r="I6636" s="201"/>
      <c r="J6636" s="197" t="s">
        <v>54</v>
      </c>
      <c r="K6636" s="202">
        <v>665</v>
      </c>
      <c r="L6636" s="202"/>
      <c r="M6636" s="251"/>
      <c r="N6636" s="251"/>
      <c r="O6636" s="251"/>
    </row>
    <row r="6637" spans="1:15" ht="11.25" customHeight="1" x14ac:dyDescent="0.2">
      <c r="A6637" s="191">
        <v>2024</v>
      </c>
      <c r="B6637" s="191">
        <v>12</v>
      </c>
      <c r="C6637" s="191">
        <v>31</v>
      </c>
      <c r="D6637" s="192">
        <f t="shared" si="709"/>
        <v>45657</v>
      </c>
      <c r="E6637" s="291">
        <f t="shared" si="710"/>
        <v>45657</v>
      </c>
      <c r="F6637" s="514"/>
      <c r="G6637" s="194" t="s">
        <v>1209</v>
      </c>
      <c r="H6637" s="195"/>
      <c r="I6637" s="195"/>
      <c r="J6637" s="191" t="s">
        <v>46</v>
      </c>
      <c r="K6637" s="207"/>
      <c r="L6637" s="196">
        <f>K6636</f>
        <v>665</v>
      </c>
      <c r="M6637" s="251"/>
      <c r="N6637" s="251"/>
      <c r="O6637" s="251"/>
    </row>
    <row r="6638" spans="1:15" ht="11.25" customHeight="1" x14ac:dyDescent="0.2">
      <c r="A6638" s="197">
        <v>2024</v>
      </c>
      <c r="B6638" s="197">
        <v>12</v>
      </c>
      <c r="C6638" s="197">
        <v>31</v>
      </c>
      <c r="D6638" s="198">
        <f t="shared" si="709"/>
        <v>45657</v>
      </c>
      <c r="E6638" s="290">
        <f t="shared" ref="E6638:E6649" si="711">DATE(A6638,B6638,C6638)</f>
        <v>45657</v>
      </c>
      <c r="F6638" s="513" t="s">
        <v>1839</v>
      </c>
      <c r="G6638" s="200" t="s">
        <v>1209</v>
      </c>
      <c r="H6638" s="201"/>
      <c r="I6638" s="201" t="s">
        <v>1253</v>
      </c>
      <c r="J6638" s="197" t="s">
        <v>46</v>
      </c>
      <c r="K6638" s="202">
        <v>8514.8700000000008</v>
      </c>
      <c r="L6638" s="202"/>
    </row>
    <row r="6639" spans="1:15" ht="11.25" customHeight="1" x14ac:dyDescent="0.2">
      <c r="A6639" s="120">
        <v>2024</v>
      </c>
      <c r="B6639" s="120">
        <v>12</v>
      </c>
      <c r="C6639" s="120">
        <v>31</v>
      </c>
      <c r="D6639" s="208">
        <f t="shared" si="709"/>
        <v>45657</v>
      </c>
      <c r="E6639" s="293">
        <f t="shared" si="711"/>
        <v>45657</v>
      </c>
      <c r="F6639" s="515"/>
      <c r="G6639" s="132" t="s">
        <v>1209</v>
      </c>
      <c r="I6639" s="128" t="s">
        <v>1253</v>
      </c>
      <c r="J6639" s="120" t="s">
        <v>153</v>
      </c>
      <c r="K6639" s="207"/>
      <c r="L6639" s="207">
        <v>734.9</v>
      </c>
    </row>
    <row r="6640" spans="1:15" ht="11.25" customHeight="1" x14ac:dyDescent="0.2">
      <c r="A6640" s="191">
        <v>2024</v>
      </c>
      <c r="B6640" s="191">
        <v>12</v>
      </c>
      <c r="C6640" s="191">
        <v>31</v>
      </c>
      <c r="D6640" s="192">
        <f t="shared" si="709"/>
        <v>45657</v>
      </c>
      <c r="E6640" s="291">
        <f t="shared" si="711"/>
        <v>45657</v>
      </c>
      <c r="F6640" s="514"/>
      <c r="G6640" s="194" t="s">
        <v>1209</v>
      </c>
      <c r="H6640" s="195"/>
      <c r="I6640" s="195" t="s">
        <v>1253</v>
      </c>
      <c r="J6640" s="191" t="s">
        <v>58</v>
      </c>
      <c r="K6640" s="196"/>
      <c r="L6640" s="196">
        <v>7779.97</v>
      </c>
    </row>
    <row r="6641" spans="1:13" ht="11.25" customHeight="1" x14ac:dyDescent="0.2">
      <c r="A6641" s="424">
        <v>2024</v>
      </c>
      <c r="B6641" s="424">
        <v>12</v>
      </c>
      <c r="C6641" s="424">
        <v>31</v>
      </c>
      <c r="D6641" s="425">
        <f t="shared" si="709"/>
        <v>45657</v>
      </c>
      <c r="E6641" s="384">
        <f t="shared" si="711"/>
        <v>45657</v>
      </c>
      <c r="F6641" s="516" t="s">
        <v>1850</v>
      </c>
      <c r="G6641" s="426" t="s">
        <v>1209</v>
      </c>
      <c r="H6641" s="427"/>
      <c r="I6641" s="427"/>
      <c r="J6641" s="428" t="s">
        <v>81</v>
      </c>
      <c r="K6641" s="429">
        <v>4980.8893557422971</v>
      </c>
      <c r="L6641" s="429"/>
      <c r="M6641" s="120">
        <v>6973.2450980392159</v>
      </c>
    </row>
    <row r="6642" spans="1:13" ht="11.25" customHeight="1" x14ac:dyDescent="0.2">
      <c r="A6642" s="389">
        <v>2024</v>
      </c>
      <c r="B6642" s="389">
        <v>12</v>
      </c>
      <c r="C6642" s="389">
        <v>31</v>
      </c>
      <c r="D6642" s="390">
        <f t="shared" si="709"/>
        <v>45657</v>
      </c>
      <c r="E6642" s="391">
        <f t="shared" si="711"/>
        <v>45657</v>
      </c>
      <c r="F6642" s="517"/>
      <c r="G6642" s="392" t="s">
        <v>1209</v>
      </c>
      <c r="H6642" s="393"/>
      <c r="I6642" s="393"/>
      <c r="J6642" s="394" t="s">
        <v>1847</v>
      </c>
      <c r="K6642" s="423"/>
      <c r="L6642" s="423">
        <f>K6641</f>
        <v>4980.8893557422971</v>
      </c>
    </row>
    <row r="6643" spans="1:13" ht="11.25" customHeight="1" x14ac:dyDescent="0.2">
      <c r="A6643" s="382">
        <v>2024</v>
      </c>
      <c r="B6643" s="382">
        <v>12</v>
      </c>
      <c r="C6643" s="382">
        <v>31</v>
      </c>
      <c r="D6643" s="383">
        <f t="shared" si="709"/>
        <v>45657</v>
      </c>
      <c r="E6643" s="384">
        <f t="shared" si="711"/>
        <v>45657</v>
      </c>
      <c r="F6643" s="516" t="s">
        <v>1892</v>
      </c>
      <c r="G6643" s="385" t="s">
        <v>1209</v>
      </c>
      <c r="H6643" s="386"/>
      <c r="I6643" s="386"/>
      <c r="J6643" s="387" t="s">
        <v>173</v>
      </c>
      <c r="K6643" s="429">
        <v>3094.7782900669636</v>
      </c>
      <c r="L6643" s="388"/>
      <c r="M6643" s="120">
        <v>4332.6896060937488</v>
      </c>
    </row>
    <row r="6644" spans="1:13" ht="11.25" customHeight="1" x14ac:dyDescent="0.2">
      <c r="A6644" s="389">
        <v>2024</v>
      </c>
      <c r="B6644" s="389">
        <v>12</v>
      </c>
      <c r="C6644" s="389">
        <v>31</v>
      </c>
      <c r="D6644" s="390">
        <f t="shared" si="709"/>
        <v>45657</v>
      </c>
      <c r="E6644" s="391">
        <f t="shared" si="711"/>
        <v>45657</v>
      </c>
      <c r="F6644" s="517"/>
      <c r="G6644" s="392" t="s">
        <v>1209</v>
      </c>
      <c r="H6644" s="393"/>
      <c r="I6644" s="393"/>
      <c r="J6644" s="394" t="s">
        <v>43</v>
      </c>
      <c r="K6644" s="388"/>
      <c r="L6644" s="388">
        <f>K6643</f>
        <v>3094.7782900669636</v>
      </c>
    </row>
    <row r="6645" spans="1:13" ht="11.25" customHeight="1" x14ac:dyDescent="0.2">
      <c r="A6645" s="344">
        <v>2024</v>
      </c>
      <c r="B6645" s="344">
        <v>12</v>
      </c>
      <c r="C6645" s="344">
        <v>31</v>
      </c>
      <c r="D6645" s="345">
        <f t="shared" si="709"/>
        <v>45657</v>
      </c>
      <c r="E6645" s="346">
        <f t="shared" si="711"/>
        <v>45657</v>
      </c>
      <c r="F6645" s="518" t="s">
        <v>1621</v>
      </c>
      <c r="G6645" s="347" t="s">
        <v>1245</v>
      </c>
      <c r="H6645" s="348"/>
      <c r="I6645" s="348" t="s">
        <v>1253</v>
      </c>
      <c r="J6645" s="344" t="s">
        <v>113</v>
      </c>
      <c r="K6645" s="349">
        <v>28605.771428571428</v>
      </c>
      <c r="L6645" s="349"/>
      <c r="M6645" s="120">
        <v>40048.080000000002</v>
      </c>
    </row>
    <row r="6646" spans="1:13" ht="11.25" customHeight="1" x14ac:dyDescent="0.2">
      <c r="A6646" s="350">
        <v>2024</v>
      </c>
      <c r="B6646" s="350">
        <v>12</v>
      </c>
      <c r="C6646" s="350">
        <v>31</v>
      </c>
      <c r="D6646" s="351">
        <f t="shared" si="709"/>
        <v>45657</v>
      </c>
      <c r="E6646" s="352">
        <f t="shared" si="711"/>
        <v>45657</v>
      </c>
      <c r="F6646" s="519"/>
      <c r="G6646" s="353" t="s">
        <v>1245</v>
      </c>
      <c r="H6646" s="354"/>
      <c r="I6646" s="354" t="s">
        <v>1253</v>
      </c>
      <c r="J6646" s="350" t="s">
        <v>153</v>
      </c>
      <c r="K6646" s="355"/>
      <c r="L6646" s="355">
        <f>K6645</f>
        <v>28605.771428571428</v>
      </c>
    </row>
    <row r="6647" spans="1:13" ht="11.25" customHeight="1" x14ac:dyDescent="0.2">
      <c r="A6647" s="210">
        <v>2024</v>
      </c>
      <c r="B6647" s="210">
        <v>12</v>
      </c>
      <c r="C6647" s="210">
        <v>31</v>
      </c>
      <c r="D6647" s="211">
        <f t="shared" si="709"/>
        <v>45657</v>
      </c>
      <c r="E6647" s="238">
        <f t="shared" si="711"/>
        <v>45657</v>
      </c>
      <c r="F6647" s="520" t="s">
        <v>1278</v>
      </c>
      <c r="G6647" s="213" t="s">
        <v>1245</v>
      </c>
      <c r="H6647" s="214"/>
      <c r="I6647" s="214" t="s">
        <v>1253</v>
      </c>
      <c r="J6647" s="210" t="s">
        <v>1529</v>
      </c>
      <c r="K6647" s="215">
        <v>364.57417582417582</v>
      </c>
      <c r="L6647" s="215"/>
      <c r="M6647" s="120">
        <v>510.40384615384613</v>
      </c>
    </row>
    <row r="6648" spans="1:13" ht="11.25" customHeight="1" x14ac:dyDescent="0.2">
      <c r="A6648" s="216">
        <v>2024</v>
      </c>
      <c r="B6648" s="216">
        <v>12</v>
      </c>
      <c r="C6648" s="216">
        <v>31</v>
      </c>
      <c r="D6648" s="217">
        <f t="shared" si="709"/>
        <v>45657</v>
      </c>
      <c r="E6648" s="239">
        <f t="shared" si="711"/>
        <v>45657</v>
      </c>
      <c r="F6648" s="521"/>
      <c r="G6648" s="219" t="s">
        <v>1245</v>
      </c>
      <c r="H6648" s="220"/>
      <c r="I6648" s="220" t="s">
        <v>1253</v>
      </c>
      <c r="J6648" s="216" t="s">
        <v>1581</v>
      </c>
      <c r="K6648" s="221"/>
      <c r="L6648" s="247">
        <f>K6647</f>
        <v>364.57417582417582</v>
      </c>
    </row>
    <row r="6649" spans="1:13" ht="11.25" customHeight="1" x14ac:dyDescent="0.2">
      <c r="A6649" s="210">
        <v>2024</v>
      </c>
      <c r="B6649" s="210">
        <v>12</v>
      </c>
      <c r="C6649" s="210">
        <v>31</v>
      </c>
      <c r="D6649" s="211">
        <f t="shared" si="709"/>
        <v>45657</v>
      </c>
      <c r="E6649" s="238">
        <f t="shared" si="711"/>
        <v>45657</v>
      </c>
      <c r="F6649" s="520" t="s">
        <v>1857</v>
      </c>
      <c r="G6649" s="213" t="s">
        <v>1245</v>
      </c>
      <c r="H6649" s="214"/>
      <c r="I6649" s="214" t="s">
        <v>1253</v>
      </c>
      <c r="J6649" s="210" t="s">
        <v>1284</v>
      </c>
      <c r="K6649" s="215">
        <v>3992.7349733599804</v>
      </c>
      <c r="L6649" s="215"/>
      <c r="M6649" s="120">
        <v>5589.828962703973</v>
      </c>
    </row>
    <row r="6650" spans="1:13" ht="11.25" customHeight="1" x14ac:dyDescent="0.2">
      <c r="A6650" s="242">
        <v>2024</v>
      </c>
      <c r="B6650" s="242">
        <v>12</v>
      </c>
      <c r="C6650" s="242">
        <v>31</v>
      </c>
      <c r="D6650" s="243">
        <f t="shared" si="709"/>
        <v>45657</v>
      </c>
      <c r="E6650" s="244">
        <f>DATE(A6650,B6650,C6650)</f>
        <v>45657</v>
      </c>
      <c r="F6650" s="524"/>
      <c r="G6650" s="245" t="s">
        <v>1245</v>
      </c>
      <c r="H6650" s="246"/>
      <c r="I6650" s="246"/>
      <c r="J6650" s="242" t="s">
        <v>1582</v>
      </c>
      <c r="K6650" s="247"/>
      <c r="L6650" s="247">
        <f>K6649</f>
        <v>3992.7349733599804</v>
      </c>
    </row>
    <row r="6651" spans="1:13" ht="11.25" customHeight="1" x14ac:dyDescent="0.2">
      <c r="A6651" s="312">
        <v>2024</v>
      </c>
      <c r="B6651" s="312">
        <v>12</v>
      </c>
      <c r="C6651" s="312">
        <v>31</v>
      </c>
      <c r="D6651" s="313">
        <f t="shared" si="709"/>
        <v>45657</v>
      </c>
      <c r="E6651" s="314">
        <f t="shared" ref="E6651:E6673" si="712">DATE(A6651,B6651,C6651)</f>
        <v>45657</v>
      </c>
      <c r="F6651" s="522" t="s">
        <v>1477</v>
      </c>
      <c r="G6651" s="315" t="s">
        <v>1245</v>
      </c>
      <c r="H6651" s="316"/>
      <c r="I6651" s="316" t="s">
        <v>1253</v>
      </c>
      <c r="J6651" s="312" t="s">
        <v>1460</v>
      </c>
      <c r="K6651" s="317">
        <v>3527.9999999995343</v>
      </c>
      <c r="L6651" s="317"/>
      <c r="M6651" s="120">
        <f>BS!$I$11</f>
        <v>5.9604644775390625E-8</v>
      </c>
    </row>
    <row r="6652" spans="1:13" ht="11.25" customHeight="1" x14ac:dyDescent="0.2">
      <c r="A6652" s="318">
        <v>2024</v>
      </c>
      <c r="B6652" s="318">
        <v>12</v>
      </c>
      <c r="C6652" s="318">
        <v>31</v>
      </c>
      <c r="D6652" s="319">
        <f t="shared" si="709"/>
        <v>45657</v>
      </c>
      <c r="E6652" s="320">
        <f t="shared" si="712"/>
        <v>45657</v>
      </c>
      <c r="F6652" s="523"/>
      <c r="G6652" s="321" t="s">
        <v>1245</v>
      </c>
      <c r="H6652" s="322"/>
      <c r="I6652" s="322" t="s">
        <v>1253</v>
      </c>
      <c r="J6652" s="318" t="s">
        <v>1458</v>
      </c>
      <c r="K6652" s="323"/>
      <c r="L6652" s="323">
        <f>K6651</f>
        <v>3527.9999999995343</v>
      </c>
    </row>
    <row r="6653" spans="1:13" ht="11.25" customHeight="1" x14ac:dyDescent="0.2">
      <c r="A6653" s="312">
        <v>2024</v>
      </c>
      <c r="B6653" s="312">
        <v>12</v>
      </c>
      <c r="C6653" s="312">
        <v>31</v>
      </c>
      <c r="D6653" s="313">
        <f t="shared" si="709"/>
        <v>45657</v>
      </c>
      <c r="E6653" s="314">
        <f t="shared" si="712"/>
        <v>45657</v>
      </c>
      <c r="F6653" s="522" t="s">
        <v>1595</v>
      </c>
      <c r="G6653" s="315" t="s">
        <v>1245</v>
      </c>
      <c r="H6653" s="316"/>
      <c r="I6653" s="316" t="s">
        <v>1253</v>
      </c>
      <c r="J6653" s="312" t="s">
        <v>1459</v>
      </c>
      <c r="K6653" s="317">
        <v>735788.84500002861</v>
      </c>
      <c r="L6653" s="317"/>
      <c r="M6653" s="120">
        <f>BS!$I$14</f>
        <v>0</v>
      </c>
    </row>
    <row r="6654" spans="1:13" ht="11.25" customHeight="1" x14ac:dyDescent="0.2">
      <c r="A6654" s="318">
        <v>2024</v>
      </c>
      <c r="B6654" s="318">
        <v>12</v>
      </c>
      <c r="C6654" s="318">
        <v>31</v>
      </c>
      <c r="D6654" s="319">
        <f t="shared" si="709"/>
        <v>45657</v>
      </c>
      <c r="E6654" s="320">
        <f t="shared" si="712"/>
        <v>45657</v>
      </c>
      <c r="F6654" s="523"/>
      <c r="G6654" s="321" t="s">
        <v>1245</v>
      </c>
      <c r="H6654" s="322"/>
      <c r="I6654" s="322" t="s">
        <v>1253</v>
      </c>
      <c r="J6654" s="318" t="s">
        <v>1461</v>
      </c>
      <c r="K6654" s="323"/>
      <c r="L6654" s="323">
        <f>K6653</f>
        <v>735788.84500002861</v>
      </c>
    </row>
    <row r="6655" spans="1:13" ht="11.25" customHeight="1" x14ac:dyDescent="0.2">
      <c r="A6655" s="222">
        <v>2024</v>
      </c>
      <c r="B6655" s="222">
        <v>12</v>
      </c>
      <c r="C6655" s="222">
        <v>31</v>
      </c>
      <c r="D6655" s="223">
        <f t="shared" si="709"/>
        <v>45657</v>
      </c>
      <c r="E6655" s="240">
        <f t="shared" si="712"/>
        <v>45657</v>
      </c>
      <c r="F6655" s="511" t="s">
        <v>1244</v>
      </c>
      <c r="G6655" s="225" t="s">
        <v>1245</v>
      </c>
      <c r="H6655" s="226"/>
      <c r="I6655" s="226" t="s">
        <v>1253</v>
      </c>
      <c r="J6655" s="222" t="s">
        <v>72</v>
      </c>
      <c r="K6655" s="227">
        <v>86995.5</v>
      </c>
      <c r="L6655" s="227"/>
      <c r="M6655" s="120">
        <f>BS!$I$7</f>
        <v>0</v>
      </c>
    </row>
    <row r="6656" spans="1:13" ht="11.25" customHeight="1" x14ac:dyDescent="0.2">
      <c r="A6656" s="228">
        <v>2024</v>
      </c>
      <c r="B6656" s="228">
        <v>12</v>
      </c>
      <c r="C6656" s="228">
        <v>31</v>
      </c>
      <c r="D6656" s="229">
        <f t="shared" si="709"/>
        <v>45657</v>
      </c>
      <c r="E6656" s="241">
        <f t="shared" si="712"/>
        <v>45657</v>
      </c>
      <c r="F6656" s="512"/>
      <c r="G6656" s="231" t="s">
        <v>1245</v>
      </c>
      <c r="H6656" s="232"/>
      <c r="I6656" s="232" t="s">
        <v>1253</v>
      </c>
      <c r="J6656" s="228" t="s">
        <v>87</v>
      </c>
      <c r="K6656" s="233"/>
      <c r="L6656" s="233">
        <f>K6655</f>
        <v>86995.5</v>
      </c>
    </row>
    <row r="6657" spans="1:15" ht="11.25" customHeight="1" x14ac:dyDescent="0.2">
      <c r="A6657" s="222">
        <v>2024</v>
      </c>
      <c r="B6657" s="222">
        <v>12</v>
      </c>
      <c r="C6657" s="222">
        <v>31</v>
      </c>
      <c r="D6657" s="223">
        <f t="shared" si="709"/>
        <v>45657</v>
      </c>
      <c r="E6657" s="240">
        <f t="shared" si="712"/>
        <v>45657</v>
      </c>
      <c r="F6657" s="511" t="s">
        <v>1246</v>
      </c>
      <c r="G6657" s="225" t="s">
        <v>1245</v>
      </c>
      <c r="H6657" s="226"/>
      <c r="I6657" s="226" t="s">
        <v>1253</v>
      </c>
      <c r="J6657" s="222" t="s">
        <v>75</v>
      </c>
      <c r="K6657" s="227">
        <v>2587.9456043956043</v>
      </c>
      <c r="L6657" s="227"/>
      <c r="M6657" s="120">
        <v>3623.123846153846</v>
      </c>
    </row>
    <row r="6658" spans="1:15" ht="11.25" customHeight="1" x14ac:dyDescent="0.2">
      <c r="A6658" s="228">
        <v>2024</v>
      </c>
      <c r="B6658" s="228">
        <v>12</v>
      </c>
      <c r="C6658" s="228">
        <v>31</v>
      </c>
      <c r="D6658" s="229">
        <f t="shared" si="709"/>
        <v>45657</v>
      </c>
      <c r="E6658" s="241">
        <f t="shared" si="712"/>
        <v>45657</v>
      </c>
      <c r="F6658" s="512"/>
      <c r="G6658" s="231" t="s">
        <v>1245</v>
      </c>
      <c r="H6658" s="232"/>
      <c r="I6658" s="232" t="s">
        <v>1253</v>
      </c>
      <c r="J6658" s="228" t="s">
        <v>55</v>
      </c>
      <c r="K6658" s="233"/>
      <c r="L6658" s="233">
        <f>K6657</f>
        <v>2587.9456043956043</v>
      </c>
    </row>
    <row r="6659" spans="1:15" ht="11.25" customHeight="1" x14ac:dyDescent="0.2">
      <c r="A6659" s="222">
        <v>2024</v>
      </c>
      <c r="B6659" s="222">
        <v>12</v>
      </c>
      <c r="C6659" s="222">
        <v>31</v>
      </c>
      <c r="D6659" s="223">
        <f t="shared" si="709"/>
        <v>45657</v>
      </c>
      <c r="E6659" s="240">
        <f t="shared" si="712"/>
        <v>45657</v>
      </c>
      <c r="F6659" s="511" t="s">
        <v>1247</v>
      </c>
      <c r="G6659" s="225" t="s">
        <v>1245</v>
      </c>
      <c r="H6659" s="226"/>
      <c r="I6659" s="226" t="s">
        <v>1253</v>
      </c>
      <c r="J6659" s="222" t="s">
        <v>77</v>
      </c>
      <c r="K6659" s="227">
        <f>M6659</f>
        <v>29925.783778070043</v>
      </c>
      <c r="L6659" s="227"/>
      <c r="M6659" s="120">
        <v>29925.783778070043</v>
      </c>
    </row>
    <row r="6660" spans="1:15" ht="11.25" customHeight="1" x14ac:dyDescent="0.2">
      <c r="A6660" s="228">
        <v>2024</v>
      </c>
      <c r="B6660" s="228">
        <v>12</v>
      </c>
      <c r="C6660" s="228">
        <v>31</v>
      </c>
      <c r="D6660" s="229">
        <f t="shared" si="709"/>
        <v>45657</v>
      </c>
      <c r="E6660" s="241">
        <f t="shared" si="712"/>
        <v>45657</v>
      </c>
      <c r="F6660" s="512"/>
      <c r="G6660" s="231" t="s">
        <v>1245</v>
      </c>
      <c r="H6660" s="232"/>
      <c r="I6660" s="232" t="s">
        <v>1253</v>
      </c>
      <c r="J6660" s="228" t="s">
        <v>41</v>
      </c>
      <c r="K6660" s="233"/>
      <c r="L6660" s="233">
        <f>K6659</f>
        <v>29925.783778070043</v>
      </c>
      <c r="M6660" s="120">
        <v>2992.578377807004</v>
      </c>
    </row>
    <row r="6661" spans="1:15" ht="11.25" customHeight="1" x14ac:dyDescent="0.2">
      <c r="A6661" s="222">
        <v>2024</v>
      </c>
      <c r="B6661" s="222">
        <v>12</v>
      </c>
      <c r="C6661" s="222">
        <v>31</v>
      </c>
      <c r="D6661" s="223">
        <f t="shared" si="709"/>
        <v>45657</v>
      </c>
      <c r="E6661" s="240">
        <f t="shared" si="712"/>
        <v>45657</v>
      </c>
      <c r="F6661" s="511" t="s">
        <v>1248</v>
      </c>
      <c r="G6661" s="225" t="s">
        <v>1245</v>
      </c>
      <c r="H6661" s="226"/>
      <c r="I6661" s="226" t="s">
        <v>1253</v>
      </c>
      <c r="J6661" s="222" t="s">
        <v>80</v>
      </c>
      <c r="K6661" s="227">
        <f>M6660</f>
        <v>2992.578377807004</v>
      </c>
      <c r="L6661" s="227"/>
    </row>
    <row r="6662" spans="1:15" ht="11.25" customHeight="1" x14ac:dyDescent="0.2">
      <c r="A6662" s="228">
        <v>2024</v>
      </c>
      <c r="B6662" s="228">
        <v>12</v>
      </c>
      <c r="C6662" s="228">
        <v>31</v>
      </c>
      <c r="D6662" s="229">
        <f t="shared" si="709"/>
        <v>45657</v>
      </c>
      <c r="E6662" s="241">
        <f t="shared" si="712"/>
        <v>45657</v>
      </c>
      <c r="F6662" s="512"/>
      <c r="G6662" s="231" t="s">
        <v>1245</v>
      </c>
      <c r="H6662" s="232"/>
      <c r="I6662" s="232" t="s">
        <v>1253</v>
      </c>
      <c r="J6662" s="228" t="s">
        <v>42</v>
      </c>
      <c r="K6662" s="233"/>
      <c r="L6662" s="233">
        <f>K6661</f>
        <v>2992.578377807004</v>
      </c>
    </row>
    <row r="6663" spans="1:15" ht="11.25" customHeight="1" x14ac:dyDescent="0.2">
      <c r="A6663" s="197">
        <v>2025</v>
      </c>
      <c r="B6663" s="197">
        <v>1</v>
      </c>
      <c r="C6663" s="197">
        <v>1</v>
      </c>
      <c r="D6663" s="198">
        <f t="shared" si="709"/>
        <v>45658</v>
      </c>
      <c r="E6663" s="290">
        <f t="shared" si="712"/>
        <v>45658</v>
      </c>
      <c r="F6663" s="513" t="s">
        <v>1527</v>
      </c>
      <c r="G6663" s="200" t="s">
        <v>1209</v>
      </c>
      <c r="H6663" s="201"/>
      <c r="I6663" s="201"/>
      <c r="J6663" s="197" t="s">
        <v>54</v>
      </c>
      <c r="K6663" s="202">
        <v>5345</v>
      </c>
      <c r="L6663" s="202"/>
      <c r="M6663" s="251"/>
      <c r="N6663" s="251"/>
      <c r="O6663" s="251"/>
    </row>
    <row r="6664" spans="1:15" ht="11.25" customHeight="1" x14ac:dyDescent="0.2">
      <c r="A6664" s="191">
        <v>2025</v>
      </c>
      <c r="B6664" s="191">
        <v>1</v>
      </c>
      <c r="C6664" s="191">
        <v>1</v>
      </c>
      <c r="D6664" s="192">
        <f t="shared" si="709"/>
        <v>45658</v>
      </c>
      <c r="E6664" s="291">
        <f t="shared" si="712"/>
        <v>45658</v>
      </c>
      <c r="F6664" s="514"/>
      <c r="G6664" s="194" t="s">
        <v>1209</v>
      </c>
      <c r="H6664" s="195"/>
      <c r="I6664" s="195"/>
      <c r="J6664" s="191" t="s">
        <v>46</v>
      </c>
      <c r="K6664" s="196"/>
      <c r="L6664" s="196">
        <v>5345</v>
      </c>
      <c r="M6664" s="251"/>
      <c r="N6664" s="251"/>
      <c r="O6664" s="251"/>
    </row>
    <row r="6665" spans="1:15" ht="11.25" customHeight="1" x14ac:dyDescent="0.2">
      <c r="A6665" s="424">
        <v>2025</v>
      </c>
      <c r="B6665" s="424">
        <v>1</v>
      </c>
      <c r="C6665" s="424">
        <v>2</v>
      </c>
      <c r="D6665" s="425">
        <f t="shared" si="709"/>
        <v>45659</v>
      </c>
      <c r="E6665" s="384">
        <f t="shared" si="712"/>
        <v>45659</v>
      </c>
      <c r="F6665" s="516" t="s">
        <v>1850</v>
      </c>
      <c r="G6665" s="426" t="s">
        <v>1209</v>
      </c>
      <c r="H6665" s="427"/>
      <c r="I6665" s="427"/>
      <c r="J6665" s="428" t="s">
        <v>81</v>
      </c>
      <c r="K6665" s="429">
        <v>1992.3557422969188</v>
      </c>
      <c r="L6665" s="429"/>
      <c r="M6665" s="130"/>
    </row>
    <row r="6666" spans="1:15" ht="11.25" customHeight="1" x14ac:dyDescent="0.2">
      <c r="A6666" s="389">
        <v>2025</v>
      </c>
      <c r="B6666" s="389">
        <v>1</v>
      </c>
      <c r="C6666" s="389">
        <v>2</v>
      </c>
      <c r="D6666" s="390">
        <f t="shared" si="709"/>
        <v>45659</v>
      </c>
      <c r="E6666" s="391">
        <f t="shared" si="712"/>
        <v>45659</v>
      </c>
      <c r="F6666" s="517"/>
      <c r="G6666" s="392" t="s">
        <v>1209</v>
      </c>
      <c r="H6666" s="393"/>
      <c r="I6666" s="393"/>
      <c r="J6666" s="394" t="s">
        <v>1847</v>
      </c>
      <c r="K6666" s="423"/>
      <c r="L6666" s="423">
        <f>K6665</f>
        <v>1992.3557422969188</v>
      </c>
    </row>
    <row r="6667" spans="1:15" ht="11.25" customHeight="1" x14ac:dyDescent="0.2">
      <c r="A6667" s="382">
        <v>2025</v>
      </c>
      <c r="B6667" s="382">
        <v>1</v>
      </c>
      <c r="C6667" s="382">
        <v>2</v>
      </c>
      <c r="D6667" s="383">
        <f t="shared" si="709"/>
        <v>45659</v>
      </c>
      <c r="E6667" s="384">
        <f t="shared" si="712"/>
        <v>45659</v>
      </c>
      <c r="F6667" s="516" t="s">
        <v>1892</v>
      </c>
      <c r="G6667" s="385" t="s">
        <v>1209</v>
      </c>
      <c r="H6667" s="386"/>
      <c r="I6667" s="386"/>
      <c r="J6667" s="387" t="s">
        <v>173</v>
      </c>
      <c r="K6667" s="388">
        <v>1237.9113160267852</v>
      </c>
      <c r="L6667" s="388"/>
      <c r="M6667" s="130"/>
    </row>
    <row r="6668" spans="1:15" ht="11.25" customHeight="1" x14ac:dyDescent="0.2">
      <c r="A6668" s="389">
        <v>2025</v>
      </c>
      <c r="B6668" s="389">
        <v>1</v>
      </c>
      <c r="C6668" s="389">
        <v>2</v>
      </c>
      <c r="D6668" s="390">
        <f t="shared" si="709"/>
        <v>45659</v>
      </c>
      <c r="E6668" s="391">
        <f t="shared" si="712"/>
        <v>45659</v>
      </c>
      <c r="F6668" s="517"/>
      <c r="G6668" s="392" t="s">
        <v>1209</v>
      </c>
      <c r="H6668" s="393"/>
      <c r="I6668" s="393"/>
      <c r="J6668" s="394" t="s">
        <v>43</v>
      </c>
      <c r="K6668" s="388"/>
      <c r="L6668" s="423">
        <f>K6667</f>
        <v>1237.9113160267852</v>
      </c>
    </row>
    <row r="6669" spans="1:15" ht="11.25" customHeight="1" x14ac:dyDescent="0.2">
      <c r="A6669" s="344">
        <v>2025</v>
      </c>
      <c r="B6669" s="344">
        <v>1</v>
      </c>
      <c r="C6669" s="344">
        <v>2</v>
      </c>
      <c r="D6669" s="345">
        <f t="shared" si="709"/>
        <v>45659</v>
      </c>
      <c r="E6669" s="346">
        <f t="shared" si="712"/>
        <v>45659</v>
      </c>
      <c r="F6669" s="518" t="s">
        <v>1621</v>
      </c>
      <c r="G6669" s="347" t="s">
        <v>1245</v>
      </c>
      <c r="H6669" s="348"/>
      <c r="I6669" s="348" t="s">
        <v>1253</v>
      </c>
      <c r="J6669" s="344" t="s">
        <v>113</v>
      </c>
      <c r="K6669" s="349">
        <v>11442.308571428573</v>
      </c>
      <c r="L6669" s="349"/>
      <c r="M6669" s="130"/>
    </row>
    <row r="6670" spans="1:15" ht="11.25" customHeight="1" x14ac:dyDescent="0.2">
      <c r="A6670" s="350">
        <v>2025</v>
      </c>
      <c r="B6670" s="350">
        <v>1</v>
      </c>
      <c r="C6670" s="350">
        <v>2</v>
      </c>
      <c r="D6670" s="351">
        <f t="shared" si="709"/>
        <v>45659</v>
      </c>
      <c r="E6670" s="352">
        <f t="shared" si="712"/>
        <v>45659</v>
      </c>
      <c r="F6670" s="519"/>
      <c r="G6670" s="353" t="s">
        <v>1245</v>
      </c>
      <c r="H6670" s="354"/>
      <c r="I6670" s="354" t="s">
        <v>1253</v>
      </c>
      <c r="J6670" s="350" t="s">
        <v>153</v>
      </c>
      <c r="K6670" s="355"/>
      <c r="L6670" s="355">
        <f>K6669</f>
        <v>11442.308571428573</v>
      </c>
    </row>
    <row r="6671" spans="1:15" ht="11.25" customHeight="1" x14ac:dyDescent="0.2">
      <c r="A6671" s="210">
        <v>2025</v>
      </c>
      <c r="B6671" s="210">
        <v>1</v>
      </c>
      <c r="C6671" s="210">
        <v>2</v>
      </c>
      <c r="D6671" s="211">
        <f t="shared" si="709"/>
        <v>45659</v>
      </c>
      <c r="E6671" s="238">
        <f t="shared" si="712"/>
        <v>45659</v>
      </c>
      <c r="F6671" s="520" t="s">
        <v>1278</v>
      </c>
      <c r="G6671" s="213" t="s">
        <v>1245</v>
      </c>
      <c r="H6671" s="214"/>
      <c r="I6671" s="214" t="s">
        <v>1253</v>
      </c>
      <c r="J6671" s="210" t="s">
        <v>1529</v>
      </c>
      <c r="K6671" s="215">
        <v>145.82967032967031</v>
      </c>
      <c r="L6671" s="215"/>
      <c r="M6671" s="130"/>
    </row>
    <row r="6672" spans="1:15" ht="11.25" customHeight="1" x14ac:dyDescent="0.2">
      <c r="A6672" s="216">
        <v>2025</v>
      </c>
      <c r="B6672" s="216">
        <v>1</v>
      </c>
      <c r="C6672" s="216">
        <v>2</v>
      </c>
      <c r="D6672" s="217">
        <f t="shared" si="709"/>
        <v>45659</v>
      </c>
      <c r="E6672" s="239">
        <f t="shared" si="712"/>
        <v>45659</v>
      </c>
      <c r="F6672" s="521"/>
      <c r="G6672" s="219" t="s">
        <v>1245</v>
      </c>
      <c r="H6672" s="220"/>
      <c r="I6672" s="220" t="s">
        <v>1253</v>
      </c>
      <c r="J6672" s="216" t="s">
        <v>1581</v>
      </c>
      <c r="K6672" s="221"/>
      <c r="L6672" s="221">
        <f>K6671</f>
        <v>145.82967032967031</v>
      </c>
    </row>
    <row r="6673" spans="1:13" ht="11.25" customHeight="1" x14ac:dyDescent="0.2">
      <c r="A6673" s="210">
        <v>2025</v>
      </c>
      <c r="B6673" s="210">
        <v>1</v>
      </c>
      <c r="C6673" s="210">
        <v>2</v>
      </c>
      <c r="D6673" s="211">
        <f t="shared" si="709"/>
        <v>45659</v>
      </c>
      <c r="E6673" s="238">
        <f t="shared" si="712"/>
        <v>45659</v>
      </c>
      <c r="F6673" s="520" t="s">
        <v>1857</v>
      </c>
      <c r="G6673" s="213" t="s">
        <v>1245</v>
      </c>
      <c r="H6673" s="214"/>
      <c r="I6673" s="214" t="s">
        <v>1253</v>
      </c>
      <c r="J6673" s="210" t="s">
        <v>1284</v>
      </c>
      <c r="K6673" s="215">
        <v>1597.0939893439927</v>
      </c>
      <c r="L6673" s="215"/>
      <c r="M6673" s="130"/>
    </row>
    <row r="6674" spans="1:13" ht="11.25" customHeight="1" x14ac:dyDescent="0.2">
      <c r="A6674" s="242">
        <v>2025</v>
      </c>
      <c r="B6674" s="242">
        <v>1</v>
      </c>
      <c r="C6674" s="242">
        <v>2</v>
      </c>
      <c r="D6674" s="243">
        <f t="shared" si="709"/>
        <v>45659</v>
      </c>
      <c r="E6674" s="244">
        <f>DATE(A6674,B6674,C6674)</f>
        <v>45659</v>
      </c>
      <c r="F6674" s="524"/>
      <c r="G6674" s="245" t="s">
        <v>1245</v>
      </c>
      <c r="H6674" s="246"/>
      <c r="I6674" s="246"/>
      <c r="J6674" s="242" t="s">
        <v>1582</v>
      </c>
      <c r="K6674" s="247"/>
      <c r="L6674" s="247">
        <f>K6673</f>
        <v>1597.0939893439927</v>
      </c>
    </row>
    <row r="6675" spans="1:13" ht="11.25" customHeight="1" x14ac:dyDescent="0.2">
      <c r="A6675" s="210">
        <v>2025</v>
      </c>
      <c r="B6675" s="210">
        <v>1</v>
      </c>
      <c r="C6675" s="210">
        <v>2</v>
      </c>
      <c r="D6675" s="211">
        <f t="shared" si="709"/>
        <v>45659</v>
      </c>
      <c r="E6675" s="238">
        <f t="shared" ref="E6675:E6693" si="713">DATE(A6675,B6675,C6675)</f>
        <v>45659</v>
      </c>
      <c r="F6675" s="520" t="s">
        <v>2055</v>
      </c>
      <c r="G6675" s="213" t="s">
        <v>1245</v>
      </c>
      <c r="H6675" s="214"/>
      <c r="I6675" s="214" t="s">
        <v>1253</v>
      </c>
      <c r="J6675" s="210" t="s">
        <v>58</v>
      </c>
      <c r="K6675" s="215">
        <v>14731.16</v>
      </c>
      <c r="L6675" s="215"/>
    </row>
    <row r="6676" spans="1:13" ht="11.25" customHeight="1" x14ac:dyDescent="0.2">
      <c r="A6676" s="216">
        <v>2025</v>
      </c>
      <c r="B6676" s="216">
        <v>1</v>
      </c>
      <c r="C6676" s="216">
        <v>2</v>
      </c>
      <c r="D6676" s="217">
        <f t="shared" si="709"/>
        <v>45659</v>
      </c>
      <c r="E6676" s="239">
        <f t="shared" si="713"/>
        <v>45659</v>
      </c>
      <c r="F6676" s="521"/>
      <c r="G6676" s="219" t="s">
        <v>1245</v>
      </c>
      <c r="H6676" s="220"/>
      <c r="I6676" s="220" t="s">
        <v>1253</v>
      </c>
      <c r="J6676" s="216" t="s">
        <v>153</v>
      </c>
      <c r="K6676" s="221"/>
      <c r="L6676" s="221">
        <f>K6675</f>
        <v>14731.16</v>
      </c>
    </row>
    <row r="6677" spans="1:13" ht="11.25" customHeight="1" x14ac:dyDescent="0.2">
      <c r="A6677" s="312">
        <v>2025</v>
      </c>
      <c r="B6677" s="312">
        <v>1</v>
      </c>
      <c r="C6677" s="312">
        <v>2</v>
      </c>
      <c r="D6677" s="313">
        <f t="shared" si="709"/>
        <v>45659</v>
      </c>
      <c r="E6677" s="314">
        <f t="shared" si="713"/>
        <v>45659</v>
      </c>
      <c r="F6677" s="522" t="s">
        <v>1477</v>
      </c>
      <c r="G6677" s="315" t="s">
        <v>1245</v>
      </c>
      <c r="H6677" s="316"/>
      <c r="I6677" s="316" t="s">
        <v>1253</v>
      </c>
      <c r="J6677" s="312" t="s">
        <v>1460</v>
      </c>
      <c r="K6677" s="317"/>
      <c r="L6677" s="317"/>
    </row>
    <row r="6678" spans="1:13" ht="11.25" customHeight="1" x14ac:dyDescent="0.2">
      <c r="A6678" s="318">
        <v>2025</v>
      </c>
      <c r="B6678" s="318">
        <v>1</v>
      </c>
      <c r="C6678" s="318">
        <v>2</v>
      </c>
      <c r="D6678" s="319">
        <f t="shared" si="709"/>
        <v>45659</v>
      </c>
      <c r="E6678" s="320">
        <f t="shared" si="713"/>
        <v>45659</v>
      </c>
      <c r="F6678" s="523"/>
      <c r="G6678" s="321" t="s">
        <v>1245</v>
      </c>
      <c r="H6678" s="322"/>
      <c r="I6678" s="322" t="s">
        <v>1253</v>
      </c>
      <c r="J6678" s="318" t="s">
        <v>1458</v>
      </c>
      <c r="K6678" s="323"/>
      <c r="L6678" s="323">
        <f>K6677</f>
        <v>0</v>
      </c>
    </row>
    <row r="6679" spans="1:13" ht="11.25" customHeight="1" x14ac:dyDescent="0.2">
      <c r="A6679" s="312">
        <v>2025</v>
      </c>
      <c r="B6679" s="312">
        <v>1</v>
      </c>
      <c r="C6679" s="312">
        <v>2</v>
      </c>
      <c r="D6679" s="313">
        <f t="shared" si="709"/>
        <v>45659</v>
      </c>
      <c r="E6679" s="314">
        <f t="shared" si="713"/>
        <v>45659</v>
      </c>
      <c r="F6679" s="522" t="s">
        <v>1595</v>
      </c>
      <c r="G6679" s="315" t="s">
        <v>1245</v>
      </c>
      <c r="H6679" s="316"/>
      <c r="I6679" s="316" t="s">
        <v>1253</v>
      </c>
      <c r="J6679" s="312" t="s">
        <v>1461</v>
      </c>
      <c r="K6679" s="317"/>
      <c r="L6679" s="317"/>
    </row>
    <row r="6680" spans="1:13" ht="11.25" customHeight="1" x14ac:dyDescent="0.2">
      <c r="A6680" s="318">
        <v>2025</v>
      </c>
      <c r="B6680" s="318">
        <v>1</v>
      </c>
      <c r="C6680" s="318">
        <v>2</v>
      </c>
      <c r="D6680" s="319">
        <f t="shared" si="709"/>
        <v>45659</v>
      </c>
      <c r="E6680" s="320">
        <f t="shared" si="713"/>
        <v>45659</v>
      </c>
      <c r="F6680" s="523"/>
      <c r="G6680" s="321" t="s">
        <v>1245</v>
      </c>
      <c r="H6680" s="322"/>
      <c r="I6680" s="322" t="s">
        <v>1253</v>
      </c>
      <c r="J6680" s="318" t="s">
        <v>1459</v>
      </c>
      <c r="K6680" s="323"/>
      <c r="L6680" s="323">
        <f>K6679</f>
        <v>0</v>
      </c>
    </row>
    <row r="6681" spans="1:13" ht="11.25" customHeight="1" x14ac:dyDescent="0.2">
      <c r="A6681" s="222">
        <v>2025</v>
      </c>
      <c r="B6681" s="222">
        <v>1</v>
      </c>
      <c r="C6681" s="222">
        <v>2</v>
      </c>
      <c r="D6681" s="223">
        <f t="shared" si="709"/>
        <v>45659</v>
      </c>
      <c r="E6681" s="240">
        <f t="shared" si="713"/>
        <v>45659</v>
      </c>
      <c r="F6681" s="511" t="s">
        <v>1244</v>
      </c>
      <c r="G6681" s="225" t="s">
        <v>1245</v>
      </c>
      <c r="H6681" s="226"/>
      <c r="I6681" s="226" t="s">
        <v>1253</v>
      </c>
      <c r="J6681" s="222" t="s">
        <v>72</v>
      </c>
      <c r="K6681" s="227"/>
      <c r="L6681" s="227"/>
    </row>
    <row r="6682" spans="1:13" ht="11.25" customHeight="1" x14ac:dyDescent="0.2">
      <c r="A6682" s="228">
        <v>2025</v>
      </c>
      <c r="B6682" s="228">
        <v>1</v>
      </c>
      <c r="C6682" s="228">
        <v>2</v>
      </c>
      <c r="D6682" s="229">
        <f t="shared" si="709"/>
        <v>45659</v>
      </c>
      <c r="E6682" s="241">
        <f t="shared" si="713"/>
        <v>45659</v>
      </c>
      <c r="F6682" s="512"/>
      <c r="G6682" s="231" t="s">
        <v>1245</v>
      </c>
      <c r="H6682" s="232"/>
      <c r="I6682" s="232" t="s">
        <v>1253</v>
      </c>
      <c r="J6682" s="228" t="s">
        <v>87</v>
      </c>
      <c r="K6682" s="233"/>
      <c r="L6682" s="233">
        <f>K6681</f>
        <v>0</v>
      </c>
    </row>
    <row r="6683" spans="1:13" ht="11.25" customHeight="1" x14ac:dyDescent="0.2">
      <c r="A6683" s="222">
        <v>2025</v>
      </c>
      <c r="B6683" s="222">
        <v>1</v>
      </c>
      <c r="C6683" s="222">
        <v>2</v>
      </c>
      <c r="D6683" s="223">
        <f t="shared" si="709"/>
        <v>45659</v>
      </c>
      <c r="E6683" s="240">
        <f t="shared" si="713"/>
        <v>45659</v>
      </c>
      <c r="F6683" s="511" t="s">
        <v>1246</v>
      </c>
      <c r="G6683" s="225" t="s">
        <v>1245</v>
      </c>
      <c r="H6683" s="226"/>
      <c r="I6683" s="226" t="s">
        <v>1253</v>
      </c>
      <c r="J6683" s="222" t="s">
        <v>75</v>
      </c>
      <c r="K6683" s="227">
        <v>1035.1782417582417</v>
      </c>
      <c r="L6683" s="227"/>
      <c r="M6683" s="130">
        <f>K6683-K6657</f>
        <v>-1552.7673626373626</v>
      </c>
    </row>
    <row r="6684" spans="1:13" ht="11.25" customHeight="1" x14ac:dyDescent="0.2">
      <c r="A6684" s="228">
        <v>2025</v>
      </c>
      <c r="B6684" s="228">
        <v>1</v>
      </c>
      <c r="C6684" s="228">
        <v>2</v>
      </c>
      <c r="D6684" s="229">
        <f t="shared" si="709"/>
        <v>45659</v>
      </c>
      <c r="E6684" s="241">
        <f t="shared" si="713"/>
        <v>45659</v>
      </c>
      <c r="F6684" s="512"/>
      <c r="G6684" s="231" t="s">
        <v>1245</v>
      </c>
      <c r="H6684" s="232"/>
      <c r="I6684" s="232" t="s">
        <v>1253</v>
      </c>
      <c r="J6684" s="228" t="s">
        <v>55</v>
      </c>
      <c r="K6684" s="233"/>
      <c r="L6684" s="233">
        <v>1035.1782417582417</v>
      </c>
    </row>
    <row r="6685" spans="1:13" ht="11.25" customHeight="1" x14ac:dyDescent="0.2">
      <c r="A6685" s="222">
        <v>2025</v>
      </c>
      <c r="B6685" s="222">
        <v>1</v>
      </c>
      <c r="C6685" s="222">
        <v>2</v>
      </c>
      <c r="D6685" s="223">
        <f t="shared" si="709"/>
        <v>45659</v>
      </c>
      <c r="E6685" s="240">
        <f t="shared" si="713"/>
        <v>45659</v>
      </c>
      <c r="F6685" s="511" t="s">
        <v>1247</v>
      </c>
      <c r="G6685" s="225" t="s">
        <v>1245</v>
      </c>
      <c r="H6685" s="226"/>
      <c r="I6685" s="226" t="s">
        <v>1253</v>
      </c>
      <c r="J6685" s="222" t="s">
        <v>77</v>
      </c>
      <c r="K6685" s="227">
        <v>11922.911582628913</v>
      </c>
      <c r="L6685" s="227"/>
      <c r="M6685" s="130"/>
    </row>
    <row r="6686" spans="1:13" ht="11.25" customHeight="1" x14ac:dyDescent="0.2">
      <c r="A6686" s="228">
        <v>2025</v>
      </c>
      <c r="B6686" s="228">
        <v>1</v>
      </c>
      <c r="C6686" s="228">
        <v>2</v>
      </c>
      <c r="D6686" s="229">
        <f t="shared" si="709"/>
        <v>45659</v>
      </c>
      <c r="E6686" s="241">
        <f t="shared" si="713"/>
        <v>45659</v>
      </c>
      <c r="F6686" s="512"/>
      <c r="G6686" s="231" t="s">
        <v>1245</v>
      </c>
      <c r="H6686" s="232"/>
      <c r="I6686" s="232" t="s">
        <v>1253</v>
      </c>
      <c r="J6686" s="228" t="s">
        <v>41</v>
      </c>
      <c r="K6686" s="233"/>
      <c r="L6686" s="233">
        <f>K6685</f>
        <v>11922.911582628913</v>
      </c>
      <c r="M6686" s="130"/>
    </row>
    <row r="6687" spans="1:13" ht="11.25" customHeight="1" x14ac:dyDescent="0.2">
      <c r="A6687" s="222">
        <v>2025</v>
      </c>
      <c r="B6687" s="222">
        <v>1</v>
      </c>
      <c r="C6687" s="222">
        <v>2</v>
      </c>
      <c r="D6687" s="223">
        <f t="shared" si="709"/>
        <v>45659</v>
      </c>
      <c r="E6687" s="240">
        <f t="shared" si="713"/>
        <v>45659</v>
      </c>
      <c r="F6687" s="511" t="s">
        <v>1248</v>
      </c>
      <c r="G6687" s="225" t="s">
        <v>1245</v>
      </c>
      <c r="H6687" s="226"/>
      <c r="I6687" s="226" t="s">
        <v>1253</v>
      </c>
      <c r="J6687" s="222" t="s">
        <v>80</v>
      </c>
      <c r="K6687" s="227">
        <v>1192.2911582628908</v>
      </c>
      <c r="L6687" s="227"/>
    </row>
    <row r="6688" spans="1:13" ht="11.25" customHeight="1" x14ac:dyDescent="0.2">
      <c r="A6688" s="228">
        <v>2025</v>
      </c>
      <c r="B6688" s="228">
        <v>1</v>
      </c>
      <c r="C6688" s="228">
        <v>2</v>
      </c>
      <c r="D6688" s="229">
        <f t="shared" si="709"/>
        <v>45659</v>
      </c>
      <c r="E6688" s="241">
        <f t="shared" si="713"/>
        <v>45659</v>
      </c>
      <c r="F6688" s="512"/>
      <c r="G6688" s="231" t="s">
        <v>1245</v>
      </c>
      <c r="H6688" s="232"/>
      <c r="I6688" s="232" t="s">
        <v>1253</v>
      </c>
      <c r="J6688" s="228" t="s">
        <v>42</v>
      </c>
      <c r="K6688" s="233"/>
      <c r="L6688" s="233">
        <f>K6687</f>
        <v>1192.2911582628908</v>
      </c>
    </row>
    <row r="6689" spans="1:14" ht="11.25" customHeight="1" x14ac:dyDescent="0.2">
      <c r="A6689" s="197">
        <v>2025</v>
      </c>
      <c r="B6689" s="197">
        <v>1</v>
      </c>
      <c r="C6689" s="197">
        <v>5</v>
      </c>
      <c r="D6689" s="198">
        <f t="shared" si="709"/>
        <v>45662</v>
      </c>
      <c r="E6689" s="199">
        <f t="shared" si="713"/>
        <v>45662</v>
      </c>
      <c r="F6689" s="513" t="s">
        <v>1963</v>
      </c>
      <c r="G6689" s="200" t="s">
        <v>1245</v>
      </c>
      <c r="H6689" s="201"/>
      <c r="I6689" s="201"/>
      <c r="J6689" s="197" t="s">
        <v>178</v>
      </c>
      <c r="K6689" s="202">
        <v>1496250</v>
      </c>
      <c r="L6689" s="202"/>
    </row>
    <row r="6690" spans="1:14" ht="11.25" customHeight="1" x14ac:dyDescent="0.2">
      <c r="A6690" s="197">
        <v>2025</v>
      </c>
      <c r="B6690" s="197">
        <v>1</v>
      </c>
      <c r="C6690" s="197">
        <v>5</v>
      </c>
      <c r="D6690" s="198">
        <f t="shared" si="709"/>
        <v>45662</v>
      </c>
      <c r="E6690" s="199">
        <f t="shared" ref="E6690" si="714">DATE(A6690,B6690,C6690)</f>
        <v>45662</v>
      </c>
      <c r="F6690" s="515"/>
      <c r="G6690" s="132" t="s">
        <v>1245</v>
      </c>
      <c r="J6690" s="120" t="s">
        <v>179</v>
      </c>
      <c r="K6690" s="207">
        <v>179550</v>
      </c>
      <c r="L6690" s="207"/>
    </row>
    <row r="6691" spans="1:14" ht="11.25" customHeight="1" x14ac:dyDescent="0.2">
      <c r="A6691" s="191">
        <v>2025</v>
      </c>
      <c r="B6691" s="191">
        <v>1</v>
      </c>
      <c r="C6691" s="191">
        <v>5</v>
      </c>
      <c r="D6691" s="192">
        <f t="shared" si="709"/>
        <v>45662</v>
      </c>
      <c r="E6691" s="193">
        <f t="shared" si="713"/>
        <v>45662</v>
      </c>
      <c r="F6691" s="514"/>
      <c r="G6691" s="194" t="s">
        <v>1245</v>
      </c>
      <c r="H6691" s="195"/>
      <c r="I6691" s="195"/>
      <c r="J6691" s="191" t="s">
        <v>1579</v>
      </c>
      <c r="K6691" s="196"/>
      <c r="L6691" s="196">
        <v>1675800</v>
      </c>
    </row>
    <row r="6692" spans="1:14" ht="11.25" customHeight="1" x14ac:dyDescent="0.2">
      <c r="A6692" s="197">
        <v>2025</v>
      </c>
      <c r="B6692" s="197">
        <v>1</v>
      </c>
      <c r="C6692" s="197">
        <v>5</v>
      </c>
      <c r="D6692" s="198">
        <f t="shared" si="709"/>
        <v>45662</v>
      </c>
      <c r="E6692" s="290">
        <f t="shared" si="713"/>
        <v>45662</v>
      </c>
      <c r="F6692" s="513" t="s">
        <v>1957</v>
      </c>
      <c r="G6692" s="200" t="s">
        <v>1209</v>
      </c>
      <c r="H6692" s="201"/>
      <c r="I6692" s="201" t="s">
        <v>1253</v>
      </c>
      <c r="J6692" s="197" t="s">
        <v>46</v>
      </c>
      <c r="K6692" s="202">
        <v>29000</v>
      </c>
      <c r="L6692" s="202"/>
    </row>
    <row r="6693" spans="1:14" ht="11.25" customHeight="1" x14ac:dyDescent="0.2">
      <c r="A6693" s="191">
        <v>2025</v>
      </c>
      <c r="B6693" s="191">
        <v>1</v>
      </c>
      <c r="C6693" s="191">
        <v>5</v>
      </c>
      <c r="D6693" s="192">
        <f t="shared" si="709"/>
        <v>45662</v>
      </c>
      <c r="E6693" s="290">
        <f t="shared" si="713"/>
        <v>45662</v>
      </c>
      <c r="F6693" s="514"/>
      <c r="G6693" s="194" t="s">
        <v>1209</v>
      </c>
      <c r="H6693" s="195"/>
      <c r="I6693" s="195"/>
      <c r="J6693" s="191" t="s">
        <v>1845</v>
      </c>
      <c r="K6693" s="196"/>
      <c r="L6693" s="196">
        <v>29000</v>
      </c>
    </row>
    <row r="6694" spans="1:14" ht="11.25" customHeight="1" x14ac:dyDescent="0.2">
      <c r="A6694" s="197">
        <v>2025</v>
      </c>
      <c r="B6694" s="197">
        <v>1</v>
      </c>
      <c r="C6694" s="197">
        <v>5</v>
      </c>
      <c r="D6694" s="198">
        <f t="shared" si="709"/>
        <v>45662</v>
      </c>
      <c r="E6694" s="290">
        <f t="shared" ref="E6694:E6695" si="715">DATE(A6694,B6694,C6694)</f>
        <v>45662</v>
      </c>
      <c r="F6694" s="513" t="s">
        <v>1958</v>
      </c>
      <c r="G6694" s="200" t="s">
        <v>1209</v>
      </c>
      <c r="H6694" s="201"/>
      <c r="I6694" s="201" t="s">
        <v>1253</v>
      </c>
      <c r="J6694" s="197" t="s">
        <v>46</v>
      </c>
      <c r="K6694" s="202">
        <v>1334000</v>
      </c>
      <c r="L6694" s="202"/>
    </row>
    <row r="6695" spans="1:14" ht="11.25" customHeight="1" x14ac:dyDescent="0.2">
      <c r="A6695" s="191">
        <v>2025</v>
      </c>
      <c r="B6695" s="191">
        <v>1</v>
      </c>
      <c r="C6695" s="191">
        <v>5</v>
      </c>
      <c r="D6695" s="192">
        <f t="shared" si="709"/>
        <v>45662</v>
      </c>
      <c r="E6695" s="290">
        <f t="shared" si="715"/>
        <v>45662</v>
      </c>
      <c r="F6695" s="514"/>
      <c r="G6695" s="194" t="s">
        <v>1209</v>
      </c>
      <c r="H6695" s="195"/>
      <c r="I6695" s="195"/>
      <c r="J6695" s="191" t="s">
        <v>1845</v>
      </c>
      <c r="K6695" s="196"/>
      <c r="L6695" s="196">
        <v>1334000</v>
      </c>
    </row>
    <row r="6696" spans="1:14" ht="11.25" customHeight="1" x14ac:dyDescent="0.2">
      <c r="A6696" s="197">
        <v>2025</v>
      </c>
      <c r="B6696" s="197">
        <v>1</v>
      </c>
      <c r="C6696" s="197">
        <v>5</v>
      </c>
      <c r="D6696" s="198">
        <f t="shared" si="709"/>
        <v>45662</v>
      </c>
      <c r="E6696" s="209">
        <f t="shared" ref="E6696:E6704" si="716">DATE(A6696,B6696,C6696)</f>
        <v>45662</v>
      </c>
      <c r="F6696" s="513" t="s">
        <v>1296</v>
      </c>
      <c r="G6696" s="200" t="s">
        <v>1209</v>
      </c>
      <c r="H6696" s="201"/>
      <c r="I6696" s="201"/>
      <c r="J6696" s="197" t="s">
        <v>46</v>
      </c>
      <c r="K6696" s="202">
        <v>130000</v>
      </c>
      <c r="L6696" s="202"/>
    </row>
    <row r="6697" spans="1:14" ht="11.25" customHeight="1" x14ac:dyDescent="0.2">
      <c r="A6697" s="120">
        <v>2025</v>
      </c>
      <c r="B6697" s="120">
        <v>1</v>
      </c>
      <c r="C6697" s="120">
        <v>5</v>
      </c>
      <c r="D6697" s="208">
        <f t="shared" si="709"/>
        <v>45662</v>
      </c>
      <c r="E6697" s="209">
        <f t="shared" si="716"/>
        <v>45662</v>
      </c>
      <c r="F6697" s="515"/>
      <c r="G6697" s="132" t="s">
        <v>1209</v>
      </c>
      <c r="J6697" s="120" t="s">
        <v>16</v>
      </c>
      <c r="K6697" s="207"/>
      <c r="L6697" s="207">
        <v>109940</v>
      </c>
    </row>
    <row r="6698" spans="1:14" ht="11.25" customHeight="1" x14ac:dyDescent="0.2">
      <c r="A6698" s="191">
        <v>2025</v>
      </c>
      <c r="B6698" s="191">
        <v>1</v>
      </c>
      <c r="C6698" s="191">
        <v>5</v>
      </c>
      <c r="D6698" s="192">
        <f t="shared" si="709"/>
        <v>45662</v>
      </c>
      <c r="E6698" s="193">
        <f t="shared" si="716"/>
        <v>45662</v>
      </c>
      <c r="F6698" s="514"/>
      <c r="G6698" s="194" t="s">
        <v>1209</v>
      </c>
      <c r="H6698" s="195"/>
      <c r="I6698" s="195"/>
      <c r="J6698" s="191" t="s">
        <v>47</v>
      </c>
      <c r="K6698" s="196"/>
      <c r="L6698" s="196">
        <v>20060</v>
      </c>
    </row>
    <row r="6699" spans="1:14" ht="11.25" customHeight="1" x14ac:dyDescent="0.2">
      <c r="A6699" s="197">
        <v>2025</v>
      </c>
      <c r="B6699" s="197">
        <v>1</v>
      </c>
      <c r="C6699" s="197">
        <v>5</v>
      </c>
      <c r="D6699" s="198">
        <f t="shared" si="709"/>
        <v>45662</v>
      </c>
      <c r="E6699" s="209">
        <f t="shared" si="716"/>
        <v>45662</v>
      </c>
      <c r="F6699" s="513" t="s">
        <v>1280</v>
      </c>
      <c r="G6699" s="200" t="s">
        <v>1209</v>
      </c>
      <c r="H6699" s="201"/>
      <c r="I6699" s="201" t="s">
        <v>787</v>
      </c>
      <c r="J6699" s="197" t="s">
        <v>16</v>
      </c>
      <c r="K6699" s="202">
        <v>269620</v>
      </c>
      <c r="L6699" s="202"/>
      <c r="M6699" s="130"/>
      <c r="N6699" s="130"/>
    </row>
    <row r="6700" spans="1:14" ht="11.25" customHeight="1" x14ac:dyDescent="0.2">
      <c r="A6700" s="120">
        <v>2025</v>
      </c>
      <c r="B6700" s="120">
        <v>1</v>
      </c>
      <c r="C6700" s="120">
        <v>5</v>
      </c>
      <c r="D6700" s="208">
        <f t="shared" ref="D6700:D6763" si="717">DATE(A6700,B6700,C6700)</f>
        <v>45662</v>
      </c>
      <c r="E6700" s="209">
        <f t="shared" si="716"/>
        <v>45662</v>
      </c>
      <c r="F6700" s="515"/>
      <c r="G6700" s="132" t="s">
        <v>1209</v>
      </c>
      <c r="I6700" s="128" t="s">
        <v>787</v>
      </c>
      <c r="J6700" s="120" t="s">
        <v>47</v>
      </c>
      <c r="K6700" s="207">
        <v>49259.570000000007</v>
      </c>
      <c r="L6700" s="207"/>
      <c r="M6700" s="130"/>
      <c r="N6700" s="130"/>
    </row>
    <row r="6701" spans="1:14" ht="11.25" customHeight="1" x14ac:dyDescent="0.2">
      <c r="A6701" s="191">
        <v>2025</v>
      </c>
      <c r="B6701" s="191">
        <v>1</v>
      </c>
      <c r="C6701" s="191">
        <v>5</v>
      </c>
      <c r="D6701" s="192">
        <f t="shared" si="717"/>
        <v>45662</v>
      </c>
      <c r="E6701" s="193">
        <f t="shared" si="716"/>
        <v>45662</v>
      </c>
      <c r="F6701" s="514"/>
      <c r="G6701" s="194" t="s">
        <v>1209</v>
      </c>
      <c r="H6701" s="195"/>
      <c r="I6701" s="195" t="s">
        <v>787</v>
      </c>
      <c r="J6701" s="191" t="s">
        <v>46</v>
      </c>
      <c r="K6701" s="196"/>
      <c r="L6701" s="196">
        <v>318879.57</v>
      </c>
      <c r="M6701" s="130"/>
      <c r="N6701" s="130"/>
    </row>
    <row r="6702" spans="1:14" ht="11.25" customHeight="1" x14ac:dyDescent="0.2">
      <c r="A6702" s="197">
        <v>2025</v>
      </c>
      <c r="B6702" s="197">
        <v>1</v>
      </c>
      <c r="C6702" s="197">
        <v>5</v>
      </c>
      <c r="D6702" s="198">
        <f t="shared" si="717"/>
        <v>45662</v>
      </c>
      <c r="E6702" s="209">
        <f t="shared" si="716"/>
        <v>45662</v>
      </c>
      <c r="F6702" s="513" t="s">
        <v>1210</v>
      </c>
      <c r="G6702" s="200" t="s">
        <v>1209</v>
      </c>
      <c r="H6702" s="201"/>
      <c r="I6702" s="201" t="s">
        <v>355</v>
      </c>
      <c r="J6702" s="197" t="s">
        <v>46</v>
      </c>
      <c r="K6702" s="202">
        <v>13400</v>
      </c>
      <c r="L6702" s="202"/>
    </row>
    <row r="6703" spans="1:14" ht="11.25" customHeight="1" x14ac:dyDescent="0.2">
      <c r="A6703" s="120">
        <v>2025</v>
      </c>
      <c r="B6703" s="120">
        <v>1</v>
      </c>
      <c r="C6703" s="120">
        <v>5</v>
      </c>
      <c r="D6703" s="208">
        <f t="shared" si="717"/>
        <v>45662</v>
      </c>
      <c r="E6703" s="209">
        <f t="shared" si="716"/>
        <v>45662</v>
      </c>
      <c r="F6703" s="515"/>
      <c r="G6703" s="132" t="s">
        <v>1209</v>
      </c>
      <c r="I6703" s="128" t="s">
        <v>355</v>
      </c>
      <c r="J6703" s="120" t="s">
        <v>16</v>
      </c>
      <c r="K6703" s="207"/>
      <c r="L6703" s="207">
        <v>11330</v>
      </c>
    </row>
    <row r="6704" spans="1:14" ht="11.25" customHeight="1" x14ac:dyDescent="0.2">
      <c r="A6704" s="191">
        <v>2025</v>
      </c>
      <c r="B6704" s="191">
        <v>1</v>
      </c>
      <c r="C6704" s="191">
        <v>5</v>
      </c>
      <c r="D6704" s="192">
        <f t="shared" si="717"/>
        <v>45662</v>
      </c>
      <c r="E6704" s="193">
        <f t="shared" si="716"/>
        <v>45662</v>
      </c>
      <c r="F6704" s="514"/>
      <c r="G6704" s="194" t="s">
        <v>1209</v>
      </c>
      <c r="H6704" s="195"/>
      <c r="I6704" s="195" t="s">
        <v>355</v>
      </c>
      <c r="J6704" s="191" t="s">
        <v>47</v>
      </c>
      <c r="K6704" s="196"/>
      <c r="L6704" s="196">
        <v>2070</v>
      </c>
    </row>
    <row r="6705" spans="1:14" ht="11.25" customHeight="1" x14ac:dyDescent="0.2">
      <c r="A6705" s="197">
        <v>2025</v>
      </c>
      <c r="B6705" s="197">
        <v>1</v>
      </c>
      <c r="C6705" s="197">
        <v>7</v>
      </c>
      <c r="D6705" s="198">
        <f t="shared" si="717"/>
        <v>45664</v>
      </c>
      <c r="E6705" s="209">
        <f t="shared" ref="E6705:E6707" si="718">DATE(A6705,B6705,C6705)</f>
        <v>45664</v>
      </c>
      <c r="F6705" s="513" t="s">
        <v>1280</v>
      </c>
      <c r="G6705" s="200" t="s">
        <v>1209</v>
      </c>
      <c r="H6705" s="201"/>
      <c r="I6705" s="201" t="s">
        <v>1849</v>
      </c>
      <c r="J6705" s="197" t="s">
        <v>16</v>
      </c>
      <c r="K6705" s="202">
        <v>500170</v>
      </c>
      <c r="L6705" s="202"/>
      <c r="M6705" s="130"/>
      <c r="N6705" s="130"/>
    </row>
    <row r="6706" spans="1:14" ht="11.25" customHeight="1" x14ac:dyDescent="0.2">
      <c r="A6706" s="120">
        <v>2025</v>
      </c>
      <c r="B6706" s="120">
        <v>1</v>
      </c>
      <c r="C6706" s="120">
        <v>7</v>
      </c>
      <c r="D6706" s="208">
        <f t="shared" si="717"/>
        <v>45664</v>
      </c>
      <c r="E6706" s="209">
        <f t="shared" si="718"/>
        <v>45664</v>
      </c>
      <c r="F6706" s="515"/>
      <c r="G6706" s="132" t="s">
        <v>1209</v>
      </c>
      <c r="I6706" s="128" t="s">
        <v>1849</v>
      </c>
      <c r="J6706" s="120" t="s">
        <v>47</v>
      </c>
      <c r="K6706" s="207">
        <v>91381.060000000056</v>
      </c>
      <c r="L6706" s="207"/>
      <c r="M6706" s="130"/>
      <c r="N6706" s="130"/>
    </row>
    <row r="6707" spans="1:14" ht="11.25" customHeight="1" x14ac:dyDescent="0.2">
      <c r="A6707" s="191">
        <v>2025</v>
      </c>
      <c r="B6707" s="191">
        <v>1</v>
      </c>
      <c r="C6707" s="191">
        <v>7</v>
      </c>
      <c r="D6707" s="192">
        <f t="shared" si="717"/>
        <v>45664</v>
      </c>
      <c r="E6707" s="193">
        <f t="shared" si="718"/>
        <v>45664</v>
      </c>
      <c r="F6707" s="514"/>
      <c r="G6707" s="194" t="s">
        <v>1209</v>
      </c>
      <c r="H6707" s="195"/>
      <c r="I6707" s="195" t="s">
        <v>1849</v>
      </c>
      <c r="J6707" s="191" t="s">
        <v>46</v>
      </c>
      <c r="K6707" s="196"/>
      <c r="L6707" s="196">
        <v>591551.06000000006</v>
      </c>
      <c r="M6707" s="130"/>
      <c r="N6707" s="130"/>
    </row>
    <row r="6708" spans="1:14" ht="11.25" customHeight="1" x14ac:dyDescent="0.2">
      <c r="A6708" s="197">
        <v>2025</v>
      </c>
      <c r="B6708" s="197">
        <v>1</v>
      </c>
      <c r="C6708" s="197">
        <v>7</v>
      </c>
      <c r="D6708" s="198">
        <f t="shared" si="717"/>
        <v>45664</v>
      </c>
      <c r="E6708" s="209">
        <f t="shared" ref="E6708:E6710" si="719">DATE(A6708,B6708,C6708)</f>
        <v>45664</v>
      </c>
      <c r="F6708" s="513" t="s">
        <v>1280</v>
      </c>
      <c r="G6708" s="200" t="s">
        <v>1209</v>
      </c>
      <c r="H6708" s="201"/>
      <c r="I6708" s="201" t="s">
        <v>449</v>
      </c>
      <c r="J6708" s="197" t="s">
        <v>16</v>
      </c>
      <c r="K6708" s="202">
        <v>845520</v>
      </c>
      <c r="L6708" s="202"/>
      <c r="M6708" s="130"/>
      <c r="N6708" s="130"/>
    </row>
    <row r="6709" spans="1:14" ht="11.25" customHeight="1" x14ac:dyDescent="0.2">
      <c r="A6709" s="120">
        <v>2025</v>
      </c>
      <c r="B6709" s="120">
        <v>1</v>
      </c>
      <c r="C6709" s="120">
        <v>7</v>
      </c>
      <c r="D6709" s="208">
        <f t="shared" si="717"/>
        <v>45664</v>
      </c>
      <c r="E6709" s="209">
        <f t="shared" si="719"/>
        <v>45664</v>
      </c>
      <c r="F6709" s="515"/>
      <c r="G6709" s="132" t="s">
        <v>1209</v>
      </c>
      <c r="I6709" s="128" t="s">
        <v>449</v>
      </c>
      <c r="J6709" s="120" t="s">
        <v>47</v>
      </c>
      <c r="K6709" s="207">
        <v>154480</v>
      </c>
      <c r="L6709" s="207"/>
      <c r="M6709" s="130"/>
      <c r="N6709" s="130"/>
    </row>
    <row r="6710" spans="1:14" ht="11.25" customHeight="1" x14ac:dyDescent="0.2">
      <c r="A6710" s="191">
        <v>2025</v>
      </c>
      <c r="B6710" s="191">
        <v>1</v>
      </c>
      <c r="C6710" s="191">
        <v>7</v>
      </c>
      <c r="D6710" s="192">
        <f t="shared" si="717"/>
        <v>45664</v>
      </c>
      <c r="E6710" s="193">
        <f t="shared" si="719"/>
        <v>45664</v>
      </c>
      <c r="F6710" s="514"/>
      <c r="G6710" s="194" t="s">
        <v>1209</v>
      </c>
      <c r="H6710" s="195"/>
      <c r="I6710" s="195" t="s">
        <v>449</v>
      </c>
      <c r="J6710" s="191" t="s">
        <v>46</v>
      </c>
      <c r="K6710" s="196"/>
      <c r="L6710" s="196">
        <v>1000000</v>
      </c>
      <c r="M6710" s="130"/>
      <c r="N6710" s="130"/>
    </row>
    <row r="6711" spans="1:14" ht="11.25" customHeight="1" x14ac:dyDescent="0.2">
      <c r="A6711" s="197">
        <v>2025</v>
      </c>
      <c r="B6711" s="197">
        <v>1</v>
      </c>
      <c r="C6711" s="197">
        <v>7</v>
      </c>
      <c r="D6711" s="198">
        <f t="shared" si="717"/>
        <v>45664</v>
      </c>
      <c r="E6711" s="209">
        <f t="shared" ref="E6711:E6716" si="720">DATE(A6711,B6711,C6711)</f>
        <v>45664</v>
      </c>
      <c r="F6711" s="513" t="s">
        <v>1210</v>
      </c>
      <c r="G6711" s="200" t="s">
        <v>1209</v>
      </c>
      <c r="H6711" s="201"/>
      <c r="I6711" s="201" t="s">
        <v>648</v>
      </c>
      <c r="J6711" s="197" t="s">
        <v>46</v>
      </c>
      <c r="K6711" s="202">
        <v>295675</v>
      </c>
      <c r="L6711" s="202"/>
    </row>
    <row r="6712" spans="1:14" ht="11.25" customHeight="1" x14ac:dyDescent="0.2">
      <c r="A6712" s="120">
        <v>2025</v>
      </c>
      <c r="B6712" s="120">
        <v>1</v>
      </c>
      <c r="C6712" s="120">
        <v>7</v>
      </c>
      <c r="D6712" s="208">
        <f t="shared" si="717"/>
        <v>45664</v>
      </c>
      <c r="E6712" s="209">
        <f t="shared" si="720"/>
        <v>45664</v>
      </c>
      <c r="F6712" s="515"/>
      <c r="G6712" s="132" t="s">
        <v>1209</v>
      </c>
      <c r="I6712" s="128" t="s">
        <v>648</v>
      </c>
      <c r="J6712" s="120" t="s">
        <v>16</v>
      </c>
      <c r="K6712" s="207"/>
      <c r="L6712" s="207">
        <v>250000</v>
      </c>
    </row>
    <row r="6713" spans="1:14" ht="11.25" customHeight="1" x14ac:dyDescent="0.2">
      <c r="A6713" s="191">
        <v>2025</v>
      </c>
      <c r="B6713" s="191">
        <v>1</v>
      </c>
      <c r="C6713" s="191">
        <v>7</v>
      </c>
      <c r="D6713" s="192">
        <f t="shared" si="717"/>
        <v>45664</v>
      </c>
      <c r="E6713" s="193">
        <f t="shared" si="720"/>
        <v>45664</v>
      </c>
      <c r="F6713" s="514"/>
      <c r="G6713" s="194" t="s">
        <v>1209</v>
      </c>
      <c r="H6713" s="195"/>
      <c r="I6713" s="195" t="s">
        <v>648</v>
      </c>
      <c r="J6713" s="191" t="s">
        <v>47</v>
      </c>
      <c r="K6713" s="196"/>
      <c r="L6713" s="196">
        <v>45675</v>
      </c>
    </row>
    <row r="6714" spans="1:14" ht="11.25" customHeight="1" x14ac:dyDescent="0.2">
      <c r="A6714" s="197">
        <v>2025</v>
      </c>
      <c r="B6714" s="197">
        <v>1</v>
      </c>
      <c r="C6714" s="197">
        <v>7</v>
      </c>
      <c r="D6714" s="198">
        <f t="shared" si="717"/>
        <v>45664</v>
      </c>
      <c r="E6714" s="199">
        <f t="shared" si="720"/>
        <v>45664</v>
      </c>
      <c r="F6714" s="513" t="s">
        <v>1962</v>
      </c>
      <c r="G6714" s="200" t="s">
        <v>1245</v>
      </c>
      <c r="H6714" s="201"/>
      <c r="I6714" s="201"/>
      <c r="J6714" s="197" t="s">
        <v>1579</v>
      </c>
      <c r="K6714" s="202">
        <v>35513.5</v>
      </c>
      <c r="L6714" s="202"/>
    </row>
    <row r="6715" spans="1:14" ht="11.25" customHeight="1" x14ac:dyDescent="0.2">
      <c r="A6715" s="120">
        <v>2025</v>
      </c>
      <c r="B6715" s="120">
        <v>1</v>
      </c>
      <c r="C6715" s="120">
        <v>7</v>
      </c>
      <c r="D6715" s="208">
        <f t="shared" si="717"/>
        <v>45664</v>
      </c>
      <c r="E6715" s="209">
        <f t="shared" si="720"/>
        <v>45664</v>
      </c>
      <c r="F6715" s="515"/>
      <c r="G6715" s="132" t="s">
        <v>1245</v>
      </c>
      <c r="J6715" s="120" t="s">
        <v>1250</v>
      </c>
      <c r="K6715" s="207">
        <v>50</v>
      </c>
      <c r="L6715" s="207"/>
      <c r="M6715" s="130"/>
    </row>
    <row r="6716" spans="1:14" ht="11.25" customHeight="1" x14ac:dyDescent="0.2">
      <c r="A6716" s="191">
        <v>2025</v>
      </c>
      <c r="B6716" s="191">
        <v>1</v>
      </c>
      <c r="C6716" s="191">
        <v>7</v>
      </c>
      <c r="D6716" s="192">
        <f t="shared" si="717"/>
        <v>45664</v>
      </c>
      <c r="E6716" s="193">
        <f t="shared" si="720"/>
        <v>45664</v>
      </c>
      <c r="F6716" s="514"/>
      <c r="G6716" s="194" t="s">
        <v>1245</v>
      </c>
      <c r="H6716" s="195"/>
      <c r="I6716" s="195"/>
      <c r="J6716" s="378" t="s">
        <v>1251</v>
      </c>
      <c r="K6716" s="379"/>
      <c r="L6716" s="379">
        <v>35563.5</v>
      </c>
    </row>
    <row r="6717" spans="1:14" ht="11.25" customHeight="1" x14ac:dyDescent="0.2">
      <c r="A6717" s="197">
        <v>2025</v>
      </c>
      <c r="B6717" s="197">
        <v>1</v>
      </c>
      <c r="C6717" s="197">
        <v>8</v>
      </c>
      <c r="D6717" s="198">
        <f t="shared" si="717"/>
        <v>45665</v>
      </c>
      <c r="E6717" s="199">
        <f t="shared" ref="E6717:E6740" si="721">DATE(A6717,B6717,C6717)</f>
        <v>45665</v>
      </c>
      <c r="F6717" s="513" t="s">
        <v>1959</v>
      </c>
      <c r="G6717" s="200" t="s">
        <v>1209</v>
      </c>
      <c r="H6717" s="201"/>
      <c r="I6717" s="201" t="s">
        <v>1253</v>
      </c>
      <c r="J6717" s="197" t="s">
        <v>1837</v>
      </c>
      <c r="K6717" s="202">
        <v>10014680</v>
      </c>
      <c r="L6717" s="202"/>
    </row>
    <row r="6718" spans="1:14" ht="11.25" customHeight="1" x14ac:dyDescent="0.2">
      <c r="A6718" s="191">
        <v>2025</v>
      </c>
      <c r="B6718" s="191">
        <v>1</v>
      </c>
      <c r="C6718" s="191">
        <v>8</v>
      </c>
      <c r="D6718" s="192">
        <f t="shared" si="717"/>
        <v>45665</v>
      </c>
      <c r="E6718" s="193">
        <f t="shared" si="721"/>
        <v>45665</v>
      </c>
      <c r="F6718" s="514"/>
      <c r="G6718" s="194" t="s">
        <v>1209</v>
      </c>
      <c r="H6718" s="195"/>
      <c r="I6718" s="195" t="s">
        <v>1253</v>
      </c>
      <c r="J6718" s="191" t="s">
        <v>46</v>
      </c>
      <c r="K6718" s="196"/>
      <c r="L6718" s="196">
        <v>10014680</v>
      </c>
      <c r="N6718" s="130"/>
    </row>
    <row r="6719" spans="1:14" ht="11.25" customHeight="1" x14ac:dyDescent="0.2">
      <c r="A6719" s="197">
        <v>2025</v>
      </c>
      <c r="B6719" s="197">
        <v>1</v>
      </c>
      <c r="C6719" s="197">
        <v>8</v>
      </c>
      <c r="D6719" s="198">
        <f t="shared" si="717"/>
        <v>45665</v>
      </c>
      <c r="E6719" s="209">
        <f t="shared" si="721"/>
        <v>45665</v>
      </c>
      <c r="F6719" s="513" t="s">
        <v>1280</v>
      </c>
      <c r="G6719" s="200" t="s">
        <v>1209</v>
      </c>
      <c r="H6719" s="201"/>
      <c r="I6719" s="201" t="s">
        <v>349</v>
      </c>
      <c r="J6719" s="197" t="s">
        <v>16</v>
      </c>
      <c r="K6719" s="202">
        <v>591870</v>
      </c>
      <c r="L6719" s="202"/>
      <c r="M6719" s="130"/>
      <c r="N6719" s="130"/>
    </row>
    <row r="6720" spans="1:14" ht="11.25" customHeight="1" x14ac:dyDescent="0.2">
      <c r="A6720" s="120">
        <v>2025</v>
      </c>
      <c r="B6720" s="120">
        <v>1</v>
      </c>
      <c r="C6720" s="120">
        <v>8</v>
      </c>
      <c r="D6720" s="208">
        <f t="shared" si="717"/>
        <v>45665</v>
      </c>
      <c r="E6720" s="209">
        <f t="shared" si="721"/>
        <v>45665</v>
      </c>
      <c r="F6720" s="515"/>
      <c r="G6720" s="132" t="s">
        <v>1209</v>
      </c>
      <c r="I6720" s="128" t="s">
        <v>349</v>
      </c>
      <c r="J6720" s="120" t="s">
        <v>47</v>
      </c>
      <c r="K6720" s="207">
        <v>108130</v>
      </c>
      <c r="L6720" s="207"/>
      <c r="M6720" s="130"/>
      <c r="N6720" s="130"/>
    </row>
    <row r="6721" spans="1:15" ht="11.25" customHeight="1" x14ac:dyDescent="0.2">
      <c r="A6721" s="191">
        <v>2025</v>
      </c>
      <c r="B6721" s="191">
        <v>1</v>
      </c>
      <c r="C6721" s="191">
        <v>8</v>
      </c>
      <c r="D6721" s="192">
        <f t="shared" si="717"/>
        <v>45665</v>
      </c>
      <c r="E6721" s="193">
        <f t="shared" si="721"/>
        <v>45665</v>
      </c>
      <c r="F6721" s="514"/>
      <c r="G6721" s="194" t="s">
        <v>1209</v>
      </c>
      <c r="H6721" s="195"/>
      <c r="I6721" s="195" t="s">
        <v>349</v>
      </c>
      <c r="J6721" s="191" t="s">
        <v>46</v>
      </c>
      <c r="K6721" s="196"/>
      <c r="L6721" s="196">
        <v>700000</v>
      </c>
      <c r="M6721" s="130"/>
      <c r="N6721" s="130"/>
    </row>
    <row r="6722" spans="1:15" ht="11.25" customHeight="1" x14ac:dyDescent="0.2">
      <c r="A6722" s="197">
        <v>2025</v>
      </c>
      <c r="B6722" s="197">
        <v>1</v>
      </c>
      <c r="C6722" s="197">
        <v>8</v>
      </c>
      <c r="D6722" s="198">
        <f t="shared" si="717"/>
        <v>45665</v>
      </c>
      <c r="E6722" s="209">
        <f t="shared" si="721"/>
        <v>45665</v>
      </c>
      <c r="F6722" s="513" t="s">
        <v>1210</v>
      </c>
      <c r="G6722" s="200" t="s">
        <v>1209</v>
      </c>
      <c r="H6722" s="201"/>
      <c r="I6722" s="201" t="s">
        <v>1960</v>
      </c>
      <c r="J6722" s="197" t="s">
        <v>46</v>
      </c>
      <c r="K6722" s="202">
        <v>1200000</v>
      </c>
      <c r="L6722" s="202"/>
    </row>
    <row r="6723" spans="1:15" ht="11.25" customHeight="1" x14ac:dyDescent="0.2">
      <c r="A6723" s="120">
        <v>2025</v>
      </c>
      <c r="B6723" s="120">
        <v>1</v>
      </c>
      <c r="C6723" s="120">
        <v>8</v>
      </c>
      <c r="D6723" s="208">
        <f t="shared" si="717"/>
        <v>45665</v>
      </c>
      <c r="E6723" s="209">
        <f t="shared" si="721"/>
        <v>45665</v>
      </c>
      <c r="F6723" s="515"/>
      <c r="G6723" s="132" t="s">
        <v>1209</v>
      </c>
      <c r="I6723" s="128" t="s">
        <v>1960</v>
      </c>
      <c r="J6723" s="120" t="s">
        <v>16</v>
      </c>
      <c r="K6723" s="207"/>
      <c r="L6723" s="207">
        <v>1014630</v>
      </c>
    </row>
    <row r="6724" spans="1:15" ht="11.25" customHeight="1" x14ac:dyDescent="0.2">
      <c r="A6724" s="191">
        <v>2025</v>
      </c>
      <c r="B6724" s="191">
        <v>1</v>
      </c>
      <c r="C6724" s="191">
        <v>8</v>
      </c>
      <c r="D6724" s="192">
        <f t="shared" si="717"/>
        <v>45665</v>
      </c>
      <c r="E6724" s="193">
        <f t="shared" si="721"/>
        <v>45665</v>
      </c>
      <c r="F6724" s="514"/>
      <c r="G6724" s="194" t="s">
        <v>1209</v>
      </c>
      <c r="H6724" s="195"/>
      <c r="I6724" s="195" t="s">
        <v>1960</v>
      </c>
      <c r="J6724" s="191" t="s">
        <v>47</v>
      </c>
      <c r="K6724" s="196"/>
      <c r="L6724" s="196">
        <v>185370</v>
      </c>
    </row>
    <row r="6725" spans="1:15" ht="11.25" customHeight="1" x14ac:dyDescent="0.2">
      <c r="A6725" s="197">
        <v>2025</v>
      </c>
      <c r="B6725" s="197">
        <v>1</v>
      </c>
      <c r="C6725" s="197">
        <v>8</v>
      </c>
      <c r="D6725" s="198">
        <f t="shared" si="717"/>
        <v>45665</v>
      </c>
      <c r="E6725" s="290">
        <f t="shared" si="721"/>
        <v>45665</v>
      </c>
      <c r="F6725" s="513" t="s">
        <v>1514</v>
      </c>
      <c r="G6725" s="200" t="s">
        <v>1209</v>
      </c>
      <c r="H6725" s="201"/>
      <c r="I6725" s="201"/>
      <c r="J6725" s="197" t="s">
        <v>54</v>
      </c>
      <c r="K6725" s="202">
        <v>100</v>
      </c>
      <c r="L6725" s="202"/>
      <c r="M6725" s="251"/>
      <c r="N6725" s="251"/>
      <c r="O6725" s="251"/>
    </row>
    <row r="6726" spans="1:15" ht="11.25" customHeight="1" x14ac:dyDescent="0.2">
      <c r="A6726" s="191">
        <v>2025</v>
      </c>
      <c r="B6726" s="191">
        <v>1</v>
      </c>
      <c r="C6726" s="191">
        <v>8</v>
      </c>
      <c r="D6726" s="192">
        <f t="shared" si="717"/>
        <v>45665</v>
      </c>
      <c r="E6726" s="291">
        <f t="shared" si="721"/>
        <v>45665</v>
      </c>
      <c r="F6726" s="514"/>
      <c r="G6726" s="194" t="s">
        <v>1209</v>
      </c>
      <c r="H6726" s="195"/>
      <c r="I6726" s="195"/>
      <c r="J6726" s="191" t="s">
        <v>46</v>
      </c>
      <c r="K6726" s="196"/>
      <c r="L6726" s="196">
        <v>100</v>
      </c>
      <c r="M6726" s="251"/>
      <c r="N6726" s="251"/>
      <c r="O6726" s="251"/>
    </row>
    <row r="6727" spans="1:15" ht="11.25" customHeight="1" x14ac:dyDescent="0.2">
      <c r="A6727" s="197">
        <v>2025</v>
      </c>
      <c r="B6727" s="197">
        <v>1</v>
      </c>
      <c r="C6727" s="197">
        <v>9</v>
      </c>
      <c r="D6727" s="198">
        <f t="shared" si="717"/>
        <v>45666</v>
      </c>
      <c r="E6727" s="209">
        <f t="shared" ref="E6727:E6731" si="722">DATE(A6727,B6727,C6727)</f>
        <v>45666</v>
      </c>
      <c r="F6727" s="513" t="s">
        <v>1210</v>
      </c>
      <c r="G6727" s="200" t="s">
        <v>1209</v>
      </c>
      <c r="H6727" s="201"/>
      <c r="I6727" s="201" t="s">
        <v>648</v>
      </c>
      <c r="J6727" s="197" t="s">
        <v>46</v>
      </c>
      <c r="K6727" s="202">
        <v>1407413</v>
      </c>
      <c r="L6727" s="202"/>
    </row>
    <row r="6728" spans="1:15" ht="11.25" customHeight="1" x14ac:dyDescent="0.2">
      <c r="A6728" s="120">
        <v>2025</v>
      </c>
      <c r="B6728" s="120">
        <v>1</v>
      </c>
      <c r="C6728" s="120">
        <v>9</v>
      </c>
      <c r="D6728" s="208">
        <f t="shared" si="717"/>
        <v>45666</v>
      </c>
      <c r="E6728" s="209">
        <f t="shared" si="722"/>
        <v>45666</v>
      </c>
      <c r="F6728" s="515"/>
      <c r="G6728" s="132" t="s">
        <v>1209</v>
      </c>
      <c r="I6728" s="128" t="s">
        <v>648</v>
      </c>
      <c r="J6728" s="120" t="s">
        <v>16</v>
      </c>
      <c r="K6728" s="207"/>
      <c r="L6728" s="207">
        <v>1190000</v>
      </c>
    </row>
    <row r="6729" spans="1:15" ht="11.25" customHeight="1" x14ac:dyDescent="0.2">
      <c r="A6729" s="191">
        <v>2025</v>
      </c>
      <c r="B6729" s="191">
        <v>1</v>
      </c>
      <c r="C6729" s="191">
        <v>9</v>
      </c>
      <c r="D6729" s="192">
        <f t="shared" si="717"/>
        <v>45666</v>
      </c>
      <c r="E6729" s="193">
        <f t="shared" si="722"/>
        <v>45666</v>
      </c>
      <c r="F6729" s="514"/>
      <c r="G6729" s="194" t="s">
        <v>1209</v>
      </c>
      <c r="H6729" s="195"/>
      <c r="I6729" s="195" t="s">
        <v>648</v>
      </c>
      <c r="J6729" s="191" t="s">
        <v>47</v>
      </c>
      <c r="K6729" s="196"/>
      <c r="L6729" s="196">
        <v>217413</v>
      </c>
    </row>
    <row r="6730" spans="1:15" ht="11.25" customHeight="1" x14ac:dyDescent="0.2">
      <c r="A6730" s="197">
        <v>2025</v>
      </c>
      <c r="B6730" s="197">
        <v>1</v>
      </c>
      <c r="C6730" s="197">
        <v>9</v>
      </c>
      <c r="D6730" s="198">
        <f t="shared" si="717"/>
        <v>45666</v>
      </c>
      <c r="E6730" s="290">
        <f t="shared" si="722"/>
        <v>45666</v>
      </c>
      <c r="F6730" s="513" t="s">
        <v>1514</v>
      </c>
      <c r="G6730" s="200" t="s">
        <v>1209</v>
      </c>
      <c r="H6730" s="201"/>
      <c r="I6730" s="201"/>
      <c r="J6730" s="197" t="s">
        <v>54</v>
      </c>
      <c r="K6730" s="202">
        <v>60</v>
      </c>
      <c r="L6730" s="202"/>
      <c r="M6730" s="251"/>
      <c r="N6730" s="251"/>
      <c r="O6730" s="251"/>
    </row>
    <row r="6731" spans="1:15" ht="11.25" customHeight="1" x14ac:dyDescent="0.2">
      <c r="A6731" s="191">
        <v>2025</v>
      </c>
      <c r="B6731" s="191">
        <v>1</v>
      </c>
      <c r="C6731" s="191">
        <v>9</v>
      </c>
      <c r="D6731" s="192">
        <f t="shared" si="717"/>
        <v>45666</v>
      </c>
      <c r="E6731" s="291">
        <f t="shared" si="722"/>
        <v>45666</v>
      </c>
      <c r="F6731" s="514"/>
      <c r="G6731" s="194" t="s">
        <v>1209</v>
      </c>
      <c r="H6731" s="195"/>
      <c r="I6731" s="195"/>
      <c r="J6731" s="191" t="s">
        <v>46</v>
      </c>
      <c r="K6731" s="196"/>
      <c r="L6731" s="196">
        <v>60</v>
      </c>
      <c r="M6731" s="251"/>
      <c r="N6731" s="251"/>
      <c r="O6731" s="251"/>
    </row>
    <row r="6732" spans="1:15" ht="11.25" customHeight="1" x14ac:dyDescent="0.2">
      <c r="A6732" s="424">
        <v>2025</v>
      </c>
      <c r="B6732" s="424">
        <v>1</v>
      </c>
      <c r="C6732" s="424">
        <v>9</v>
      </c>
      <c r="D6732" s="425">
        <f t="shared" si="717"/>
        <v>45666</v>
      </c>
      <c r="E6732" s="384">
        <f t="shared" si="721"/>
        <v>45666</v>
      </c>
      <c r="F6732" s="516" t="s">
        <v>1850</v>
      </c>
      <c r="G6732" s="426" t="s">
        <v>1209</v>
      </c>
      <c r="H6732" s="427"/>
      <c r="I6732" s="427"/>
      <c r="J6732" s="428" t="s">
        <v>81</v>
      </c>
      <c r="K6732" s="429">
        <v>6973.2450980392159</v>
      </c>
      <c r="L6732" s="429"/>
      <c r="M6732" s="130"/>
    </row>
    <row r="6733" spans="1:15" ht="11.25" customHeight="1" x14ac:dyDescent="0.2">
      <c r="A6733" s="389">
        <v>2025</v>
      </c>
      <c r="B6733" s="389">
        <v>1</v>
      </c>
      <c r="C6733" s="389">
        <v>9</v>
      </c>
      <c r="D6733" s="390">
        <f t="shared" si="717"/>
        <v>45666</v>
      </c>
      <c r="E6733" s="391">
        <f t="shared" si="721"/>
        <v>45666</v>
      </c>
      <c r="F6733" s="517"/>
      <c r="G6733" s="392" t="s">
        <v>1209</v>
      </c>
      <c r="H6733" s="393"/>
      <c r="I6733" s="393"/>
      <c r="J6733" s="394" t="s">
        <v>1847</v>
      </c>
      <c r="K6733" s="423"/>
      <c r="L6733" s="423">
        <v>6973.2450980392159</v>
      </c>
    </row>
    <row r="6734" spans="1:15" ht="11.25" customHeight="1" x14ac:dyDescent="0.2">
      <c r="A6734" s="382">
        <v>2025</v>
      </c>
      <c r="B6734" s="382">
        <v>1</v>
      </c>
      <c r="C6734" s="382">
        <v>9</v>
      </c>
      <c r="D6734" s="383">
        <f t="shared" si="717"/>
        <v>45666</v>
      </c>
      <c r="E6734" s="384">
        <f t="shared" si="721"/>
        <v>45666</v>
      </c>
      <c r="F6734" s="516" t="s">
        <v>1892</v>
      </c>
      <c r="G6734" s="385" t="s">
        <v>1209</v>
      </c>
      <c r="H6734" s="386"/>
      <c r="I6734" s="386"/>
      <c r="J6734" s="387" t="s">
        <v>173</v>
      </c>
      <c r="K6734" s="388">
        <v>4428.4385191666652</v>
      </c>
      <c r="L6734" s="388"/>
      <c r="M6734" s="130"/>
    </row>
    <row r="6735" spans="1:15" ht="11.25" customHeight="1" x14ac:dyDescent="0.2">
      <c r="A6735" s="389">
        <v>2025</v>
      </c>
      <c r="B6735" s="389">
        <v>1</v>
      </c>
      <c r="C6735" s="389">
        <v>9</v>
      </c>
      <c r="D6735" s="390">
        <f t="shared" si="717"/>
        <v>45666</v>
      </c>
      <c r="E6735" s="391">
        <f t="shared" si="721"/>
        <v>45666</v>
      </c>
      <c r="F6735" s="517"/>
      <c r="G6735" s="392" t="s">
        <v>1209</v>
      </c>
      <c r="H6735" s="393"/>
      <c r="I6735" s="393"/>
      <c r="J6735" s="394" t="s">
        <v>43</v>
      </c>
      <c r="K6735" s="388"/>
      <c r="L6735" s="388">
        <f>K6734</f>
        <v>4428.4385191666652</v>
      </c>
    </row>
    <row r="6736" spans="1:15" ht="11.25" customHeight="1" x14ac:dyDescent="0.2">
      <c r="A6736" s="344">
        <v>2025</v>
      </c>
      <c r="B6736" s="344">
        <v>1</v>
      </c>
      <c r="C6736" s="344">
        <v>9</v>
      </c>
      <c r="D6736" s="345">
        <f t="shared" si="717"/>
        <v>45666</v>
      </c>
      <c r="E6736" s="346">
        <f t="shared" si="721"/>
        <v>45666</v>
      </c>
      <c r="F6736" s="518" t="s">
        <v>1621</v>
      </c>
      <c r="G6736" s="347" t="s">
        <v>1245</v>
      </c>
      <c r="H6736" s="348"/>
      <c r="I6736" s="348" t="s">
        <v>1253</v>
      </c>
      <c r="J6736" s="344" t="s">
        <v>113</v>
      </c>
      <c r="K6736" s="349">
        <v>40048.080000000002</v>
      </c>
      <c r="L6736" s="349"/>
      <c r="M6736" s="130"/>
    </row>
    <row r="6737" spans="1:13" ht="11.25" customHeight="1" x14ac:dyDescent="0.2">
      <c r="A6737" s="350">
        <v>2025</v>
      </c>
      <c r="B6737" s="350">
        <v>1</v>
      </c>
      <c r="C6737" s="350">
        <v>9</v>
      </c>
      <c r="D6737" s="351">
        <f t="shared" si="717"/>
        <v>45666</v>
      </c>
      <c r="E6737" s="352">
        <f t="shared" si="721"/>
        <v>45666</v>
      </c>
      <c r="F6737" s="519"/>
      <c r="G6737" s="353" t="s">
        <v>1245</v>
      </c>
      <c r="H6737" s="354"/>
      <c r="I6737" s="354" t="s">
        <v>1253</v>
      </c>
      <c r="J6737" s="350" t="s">
        <v>153</v>
      </c>
      <c r="K6737" s="355"/>
      <c r="L6737" s="355">
        <f>K6736</f>
        <v>40048.080000000002</v>
      </c>
    </row>
    <row r="6738" spans="1:13" ht="11.25" customHeight="1" x14ac:dyDescent="0.2">
      <c r="A6738" s="210">
        <v>2025</v>
      </c>
      <c r="B6738" s="210">
        <v>1</v>
      </c>
      <c r="C6738" s="210">
        <v>9</v>
      </c>
      <c r="D6738" s="211">
        <f t="shared" si="717"/>
        <v>45666</v>
      </c>
      <c r="E6738" s="238">
        <f t="shared" si="721"/>
        <v>45666</v>
      </c>
      <c r="F6738" s="520" t="s">
        <v>1278</v>
      </c>
      <c r="G6738" s="213" t="s">
        <v>1245</v>
      </c>
      <c r="H6738" s="214"/>
      <c r="I6738" s="214" t="s">
        <v>1253</v>
      </c>
      <c r="J6738" s="210" t="s">
        <v>1529</v>
      </c>
      <c r="K6738" s="215">
        <v>510.40384615384613</v>
      </c>
      <c r="L6738" s="215"/>
      <c r="M6738" s="130"/>
    </row>
    <row r="6739" spans="1:13" ht="11.25" customHeight="1" x14ac:dyDescent="0.2">
      <c r="A6739" s="216">
        <v>2025</v>
      </c>
      <c r="B6739" s="216">
        <v>1</v>
      </c>
      <c r="C6739" s="216">
        <v>9</v>
      </c>
      <c r="D6739" s="217">
        <f t="shared" si="717"/>
        <v>45666</v>
      </c>
      <c r="E6739" s="239">
        <f t="shared" si="721"/>
        <v>45666</v>
      </c>
      <c r="F6739" s="521"/>
      <c r="G6739" s="219" t="s">
        <v>1245</v>
      </c>
      <c r="H6739" s="220"/>
      <c r="I6739" s="220" t="s">
        <v>1253</v>
      </c>
      <c r="J6739" s="216" t="s">
        <v>1581</v>
      </c>
      <c r="K6739" s="221"/>
      <c r="L6739" s="221">
        <v>510.40384615384613</v>
      </c>
    </row>
    <row r="6740" spans="1:13" ht="11.25" customHeight="1" x14ac:dyDescent="0.2">
      <c r="A6740" s="210">
        <v>2025</v>
      </c>
      <c r="B6740" s="210">
        <v>1</v>
      </c>
      <c r="C6740" s="210">
        <v>9</v>
      </c>
      <c r="D6740" s="211">
        <f t="shared" si="717"/>
        <v>45666</v>
      </c>
      <c r="E6740" s="238">
        <f t="shared" si="721"/>
        <v>45666</v>
      </c>
      <c r="F6740" s="520" t="s">
        <v>1857</v>
      </c>
      <c r="G6740" s="213" t="s">
        <v>1245</v>
      </c>
      <c r="H6740" s="214"/>
      <c r="I6740" s="214" t="s">
        <v>1253</v>
      </c>
      <c r="J6740" s="210" t="s">
        <v>1284</v>
      </c>
      <c r="K6740" s="215">
        <v>2341.8114143920593</v>
      </c>
      <c r="L6740" s="215"/>
      <c r="M6740" s="130"/>
    </row>
    <row r="6741" spans="1:13" ht="11.25" customHeight="1" x14ac:dyDescent="0.2">
      <c r="A6741" s="242">
        <v>2025</v>
      </c>
      <c r="B6741" s="242">
        <v>1</v>
      </c>
      <c r="C6741" s="242">
        <v>9</v>
      </c>
      <c r="D6741" s="243">
        <f t="shared" si="717"/>
        <v>45666</v>
      </c>
      <c r="E6741" s="244">
        <f>DATE(A6741,B6741,C6741)</f>
        <v>45666</v>
      </c>
      <c r="F6741" s="524"/>
      <c r="G6741" s="245" t="s">
        <v>1245</v>
      </c>
      <c r="H6741" s="246"/>
      <c r="I6741" s="246"/>
      <c r="J6741" s="242" t="s">
        <v>1582</v>
      </c>
      <c r="K6741" s="247"/>
      <c r="L6741" s="247">
        <f>K6740</f>
        <v>2341.8114143920593</v>
      </c>
    </row>
    <row r="6742" spans="1:13" ht="11.25" customHeight="1" x14ac:dyDescent="0.2">
      <c r="A6742" s="210">
        <v>2025</v>
      </c>
      <c r="B6742" s="210">
        <v>1</v>
      </c>
      <c r="C6742" s="210">
        <v>9</v>
      </c>
      <c r="D6742" s="211">
        <f t="shared" si="717"/>
        <v>45666</v>
      </c>
      <c r="E6742" s="238">
        <f t="shared" ref="E6742:E6758" si="723">DATE(A6742,B6742,C6742)</f>
        <v>45666</v>
      </c>
      <c r="F6742" s="520" t="s">
        <v>2055</v>
      </c>
      <c r="G6742" s="213" t="s">
        <v>1245</v>
      </c>
      <c r="H6742" s="214"/>
      <c r="I6742" s="214" t="s">
        <v>1253</v>
      </c>
      <c r="J6742" s="210" t="s">
        <v>58</v>
      </c>
      <c r="K6742" s="215">
        <v>11952.7</v>
      </c>
      <c r="L6742" s="215"/>
    </row>
    <row r="6743" spans="1:13" ht="11.25" customHeight="1" x14ac:dyDescent="0.2">
      <c r="A6743" s="216">
        <v>2025</v>
      </c>
      <c r="B6743" s="216">
        <v>1</v>
      </c>
      <c r="C6743" s="216">
        <v>9</v>
      </c>
      <c r="D6743" s="217">
        <f t="shared" si="717"/>
        <v>45666</v>
      </c>
      <c r="E6743" s="239">
        <f t="shared" si="723"/>
        <v>45666</v>
      </c>
      <c r="F6743" s="521"/>
      <c r="G6743" s="219" t="s">
        <v>1245</v>
      </c>
      <c r="H6743" s="220"/>
      <c r="I6743" s="220" t="s">
        <v>1253</v>
      </c>
      <c r="J6743" s="216" t="s">
        <v>153</v>
      </c>
      <c r="K6743" s="221"/>
      <c r="L6743" s="221">
        <f>K6742</f>
        <v>11952.7</v>
      </c>
    </row>
    <row r="6744" spans="1:13" ht="11.25" customHeight="1" x14ac:dyDescent="0.2">
      <c r="A6744" s="312">
        <v>2025</v>
      </c>
      <c r="B6744" s="312">
        <v>1</v>
      </c>
      <c r="C6744" s="312">
        <v>9</v>
      </c>
      <c r="D6744" s="313">
        <f t="shared" si="717"/>
        <v>45666</v>
      </c>
      <c r="E6744" s="314">
        <f t="shared" si="723"/>
        <v>45666</v>
      </c>
      <c r="F6744" s="522" t="s">
        <v>1477</v>
      </c>
      <c r="G6744" s="315" t="s">
        <v>1245</v>
      </c>
      <c r="H6744" s="316"/>
      <c r="I6744" s="316" t="s">
        <v>1253</v>
      </c>
      <c r="J6744" s="312" t="s">
        <v>1460</v>
      </c>
      <c r="K6744" s="317">
        <v>12696.000000000466</v>
      </c>
      <c r="L6744" s="317"/>
      <c r="M6744" s="120">
        <f>BS!I11</f>
        <v>5.9604644775390625E-8</v>
      </c>
    </row>
    <row r="6745" spans="1:13" ht="11.25" customHeight="1" x14ac:dyDescent="0.2">
      <c r="A6745" s="318">
        <v>2025</v>
      </c>
      <c r="B6745" s="318">
        <v>1</v>
      </c>
      <c r="C6745" s="318">
        <v>9</v>
      </c>
      <c r="D6745" s="319">
        <f t="shared" si="717"/>
        <v>45666</v>
      </c>
      <c r="E6745" s="320">
        <f t="shared" si="723"/>
        <v>45666</v>
      </c>
      <c r="F6745" s="523"/>
      <c r="G6745" s="321" t="s">
        <v>1245</v>
      </c>
      <c r="H6745" s="322"/>
      <c r="I6745" s="322" t="s">
        <v>1253</v>
      </c>
      <c r="J6745" s="318" t="s">
        <v>1458</v>
      </c>
      <c r="K6745" s="323"/>
      <c r="L6745" s="323">
        <f>K6744</f>
        <v>12696.000000000466</v>
      </c>
    </row>
    <row r="6746" spans="1:13" ht="11.25" customHeight="1" x14ac:dyDescent="0.2">
      <c r="A6746" s="312">
        <v>2025</v>
      </c>
      <c r="B6746" s="312">
        <v>1</v>
      </c>
      <c r="C6746" s="312">
        <v>9</v>
      </c>
      <c r="D6746" s="313">
        <f t="shared" si="717"/>
        <v>45666</v>
      </c>
      <c r="E6746" s="314">
        <f t="shared" si="723"/>
        <v>45666</v>
      </c>
      <c r="F6746" s="522" t="s">
        <v>1595</v>
      </c>
      <c r="G6746" s="315" t="s">
        <v>1245</v>
      </c>
      <c r="H6746" s="316"/>
      <c r="I6746" s="316" t="s">
        <v>1253</v>
      </c>
      <c r="J6746" s="312" t="s">
        <v>1461</v>
      </c>
      <c r="K6746" s="317">
        <v>444943.27500009537</v>
      </c>
      <c r="L6746" s="317"/>
      <c r="M6746" s="120">
        <f>BS!I14</f>
        <v>0</v>
      </c>
    </row>
    <row r="6747" spans="1:13" ht="11.25" customHeight="1" x14ac:dyDescent="0.2">
      <c r="A6747" s="318">
        <v>2025</v>
      </c>
      <c r="B6747" s="318">
        <v>1</v>
      </c>
      <c r="C6747" s="318">
        <v>9</v>
      </c>
      <c r="D6747" s="319">
        <f t="shared" si="717"/>
        <v>45666</v>
      </c>
      <c r="E6747" s="320">
        <f t="shared" si="723"/>
        <v>45666</v>
      </c>
      <c r="F6747" s="523"/>
      <c r="G6747" s="321" t="s">
        <v>1245</v>
      </c>
      <c r="H6747" s="322"/>
      <c r="I6747" s="322" t="s">
        <v>1253</v>
      </c>
      <c r="J6747" s="318" t="s">
        <v>1459</v>
      </c>
      <c r="K6747" s="323"/>
      <c r="L6747" s="323">
        <f>K6746</f>
        <v>444943.27500009537</v>
      </c>
    </row>
    <row r="6748" spans="1:13" ht="11.25" customHeight="1" x14ac:dyDescent="0.2">
      <c r="A6748" s="222">
        <v>2025</v>
      </c>
      <c r="B6748" s="222">
        <v>1</v>
      </c>
      <c r="C6748" s="222">
        <v>9</v>
      </c>
      <c r="D6748" s="223">
        <f t="shared" si="717"/>
        <v>45666</v>
      </c>
      <c r="E6748" s="240">
        <f t="shared" si="723"/>
        <v>45666</v>
      </c>
      <c r="F6748" s="511" t="s">
        <v>1244</v>
      </c>
      <c r="G6748" s="225" t="s">
        <v>1245</v>
      </c>
      <c r="H6748" s="226"/>
      <c r="I6748" s="226" t="s">
        <v>1253</v>
      </c>
      <c r="J6748" s="222" t="s">
        <v>87</v>
      </c>
      <c r="K6748" s="227">
        <v>14722</v>
      </c>
      <c r="L6748" s="227"/>
      <c r="M6748" s="120">
        <f>BS!I7</f>
        <v>0</v>
      </c>
    </row>
    <row r="6749" spans="1:13" ht="11.25" customHeight="1" x14ac:dyDescent="0.2">
      <c r="A6749" s="228">
        <v>2025</v>
      </c>
      <c r="B6749" s="228">
        <v>1</v>
      </c>
      <c r="C6749" s="228">
        <v>9</v>
      </c>
      <c r="D6749" s="229">
        <f t="shared" si="717"/>
        <v>45666</v>
      </c>
      <c r="E6749" s="241">
        <f t="shared" si="723"/>
        <v>45666</v>
      </c>
      <c r="F6749" s="512"/>
      <c r="G6749" s="231" t="s">
        <v>1245</v>
      </c>
      <c r="H6749" s="232"/>
      <c r="I6749" s="232" t="s">
        <v>1253</v>
      </c>
      <c r="J6749" s="228" t="s">
        <v>72</v>
      </c>
      <c r="K6749" s="233"/>
      <c r="L6749" s="233">
        <f>K6748</f>
        <v>14722</v>
      </c>
    </row>
    <row r="6750" spans="1:13" ht="11.25" customHeight="1" x14ac:dyDescent="0.2">
      <c r="A6750" s="222">
        <v>2025</v>
      </c>
      <c r="B6750" s="222">
        <v>1</v>
      </c>
      <c r="C6750" s="222">
        <v>9</v>
      </c>
      <c r="D6750" s="223">
        <f t="shared" si="717"/>
        <v>45666</v>
      </c>
      <c r="E6750" s="240">
        <f t="shared" si="723"/>
        <v>45666</v>
      </c>
      <c r="F6750" s="511" t="s">
        <v>1246</v>
      </c>
      <c r="G6750" s="225" t="s">
        <v>1245</v>
      </c>
      <c r="H6750" s="226"/>
      <c r="I6750" s="226" t="s">
        <v>1253</v>
      </c>
      <c r="J6750" s="222" t="s">
        <v>75</v>
      </c>
      <c r="K6750" s="227">
        <v>3623.123846153846</v>
      </c>
      <c r="L6750" s="227"/>
      <c r="M6750" s="130"/>
    </row>
    <row r="6751" spans="1:13" ht="11.25" customHeight="1" x14ac:dyDescent="0.2">
      <c r="A6751" s="228">
        <v>2025</v>
      </c>
      <c r="B6751" s="228">
        <v>1</v>
      </c>
      <c r="C6751" s="228">
        <v>9</v>
      </c>
      <c r="D6751" s="229">
        <f t="shared" si="717"/>
        <v>45666</v>
      </c>
      <c r="E6751" s="241">
        <f t="shared" si="723"/>
        <v>45666</v>
      </c>
      <c r="F6751" s="512"/>
      <c r="G6751" s="231" t="s">
        <v>1245</v>
      </c>
      <c r="H6751" s="232"/>
      <c r="I6751" s="232" t="s">
        <v>1253</v>
      </c>
      <c r="J6751" s="228" t="s">
        <v>55</v>
      </c>
      <c r="K6751" s="233"/>
      <c r="L6751" s="233">
        <v>3623.123846153846</v>
      </c>
    </row>
    <row r="6752" spans="1:13" ht="11.25" customHeight="1" x14ac:dyDescent="0.2">
      <c r="A6752" s="222">
        <v>2025</v>
      </c>
      <c r="B6752" s="222">
        <v>1</v>
      </c>
      <c r="C6752" s="222">
        <v>9</v>
      </c>
      <c r="D6752" s="223">
        <f t="shared" si="717"/>
        <v>45666</v>
      </c>
      <c r="E6752" s="240">
        <f t="shared" si="723"/>
        <v>45666</v>
      </c>
      <c r="F6752" s="511" t="s">
        <v>1247</v>
      </c>
      <c r="G6752" s="225" t="s">
        <v>1245</v>
      </c>
      <c r="H6752" s="226"/>
      <c r="I6752" s="226" t="s">
        <v>1253</v>
      </c>
      <c r="J6752" s="222" t="s">
        <v>77</v>
      </c>
      <c r="K6752" s="227">
        <f>M6752</f>
        <v>41852.497343915165</v>
      </c>
      <c r="L6752" s="227"/>
      <c r="M6752" s="130">
        <v>41852.497343915165</v>
      </c>
    </row>
    <row r="6753" spans="1:15" ht="11.25" customHeight="1" x14ac:dyDescent="0.2">
      <c r="A6753" s="228">
        <v>2025</v>
      </c>
      <c r="B6753" s="228">
        <v>1</v>
      </c>
      <c r="C6753" s="228">
        <v>9</v>
      </c>
      <c r="D6753" s="229">
        <f t="shared" si="717"/>
        <v>45666</v>
      </c>
      <c r="E6753" s="241">
        <f t="shared" si="723"/>
        <v>45666</v>
      </c>
      <c r="F6753" s="512"/>
      <c r="G6753" s="231" t="s">
        <v>1245</v>
      </c>
      <c r="H6753" s="232"/>
      <c r="I6753" s="232" t="s">
        <v>1253</v>
      </c>
      <c r="J6753" s="228" t="s">
        <v>41</v>
      </c>
      <c r="K6753" s="233"/>
      <c r="L6753" s="233">
        <f>K6752</f>
        <v>41852.497343915165</v>
      </c>
      <c r="M6753" s="130">
        <v>4185.2497343915174</v>
      </c>
    </row>
    <row r="6754" spans="1:15" ht="11.25" customHeight="1" x14ac:dyDescent="0.2">
      <c r="A6754" s="222">
        <v>2025</v>
      </c>
      <c r="B6754" s="222">
        <v>1</v>
      </c>
      <c r="C6754" s="222">
        <v>9</v>
      </c>
      <c r="D6754" s="223">
        <f t="shared" si="717"/>
        <v>45666</v>
      </c>
      <c r="E6754" s="240">
        <f t="shared" si="723"/>
        <v>45666</v>
      </c>
      <c r="F6754" s="511" t="s">
        <v>1248</v>
      </c>
      <c r="G6754" s="225" t="s">
        <v>1245</v>
      </c>
      <c r="H6754" s="226"/>
      <c r="I6754" s="226" t="s">
        <v>1253</v>
      </c>
      <c r="J6754" s="222" t="s">
        <v>80</v>
      </c>
      <c r="K6754" s="227">
        <f>M6753</f>
        <v>4185.2497343915174</v>
      </c>
      <c r="L6754" s="227"/>
    </row>
    <row r="6755" spans="1:15" ht="11.25" customHeight="1" x14ac:dyDescent="0.2">
      <c r="A6755" s="228">
        <v>2025</v>
      </c>
      <c r="B6755" s="228">
        <v>1</v>
      </c>
      <c r="C6755" s="228">
        <v>9</v>
      </c>
      <c r="D6755" s="229">
        <f t="shared" si="717"/>
        <v>45666</v>
      </c>
      <c r="E6755" s="241">
        <f t="shared" si="723"/>
        <v>45666</v>
      </c>
      <c r="F6755" s="512"/>
      <c r="G6755" s="231" t="s">
        <v>1245</v>
      </c>
      <c r="H6755" s="232"/>
      <c r="I6755" s="232" t="s">
        <v>1253</v>
      </c>
      <c r="J6755" s="228" t="s">
        <v>42</v>
      </c>
      <c r="K6755" s="233"/>
      <c r="L6755" s="233">
        <f>K6754</f>
        <v>4185.2497343915174</v>
      </c>
    </row>
    <row r="6756" spans="1:15" ht="11.25" customHeight="1" x14ac:dyDescent="0.2">
      <c r="A6756" s="197">
        <v>2025</v>
      </c>
      <c r="B6756" s="197">
        <v>1</v>
      </c>
      <c r="C6756" s="197">
        <v>12</v>
      </c>
      <c r="D6756" s="198">
        <f t="shared" si="717"/>
        <v>45669</v>
      </c>
      <c r="E6756" s="209">
        <f t="shared" si="723"/>
        <v>45669</v>
      </c>
      <c r="F6756" s="513" t="s">
        <v>1280</v>
      </c>
      <c r="G6756" s="200" t="s">
        <v>1209</v>
      </c>
      <c r="H6756" s="201"/>
      <c r="I6756" s="201" t="s">
        <v>389</v>
      </c>
      <c r="J6756" s="197" t="s">
        <v>16</v>
      </c>
      <c r="K6756" s="202">
        <v>1012400</v>
      </c>
      <c r="L6756" s="202"/>
      <c r="M6756" s="130"/>
      <c r="N6756" s="130"/>
    </row>
    <row r="6757" spans="1:15" ht="11.25" customHeight="1" x14ac:dyDescent="0.2">
      <c r="A6757" s="120">
        <v>2025</v>
      </c>
      <c r="B6757" s="120">
        <v>1</v>
      </c>
      <c r="C6757" s="120">
        <v>12</v>
      </c>
      <c r="D6757" s="208">
        <f t="shared" si="717"/>
        <v>45669</v>
      </c>
      <c r="E6757" s="209">
        <f t="shared" si="723"/>
        <v>45669</v>
      </c>
      <c r="F6757" s="515"/>
      <c r="G6757" s="132" t="s">
        <v>1209</v>
      </c>
      <c r="I6757" s="128" t="s">
        <v>389</v>
      </c>
      <c r="J6757" s="120" t="s">
        <v>47</v>
      </c>
      <c r="K6757" s="207">
        <v>187600</v>
      </c>
      <c r="L6757" s="207"/>
      <c r="M6757" s="130"/>
      <c r="N6757" s="130"/>
    </row>
    <row r="6758" spans="1:15" ht="11.25" customHeight="1" x14ac:dyDescent="0.2">
      <c r="A6758" s="191">
        <v>2025</v>
      </c>
      <c r="B6758" s="191">
        <v>1</v>
      </c>
      <c r="C6758" s="191">
        <v>12</v>
      </c>
      <c r="D6758" s="192">
        <f t="shared" si="717"/>
        <v>45669</v>
      </c>
      <c r="E6758" s="193">
        <f t="shared" si="723"/>
        <v>45669</v>
      </c>
      <c r="F6758" s="514"/>
      <c r="G6758" s="194" t="s">
        <v>1209</v>
      </c>
      <c r="H6758" s="195"/>
      <c r="I6758" s="195" t="s">
        <v>389</v>
      </c>
      <c r="J6758" s="191" t="s">
        <v>46</v>
      </c>
      <c r="K6758" s="196"/>
      <c r="L6758" s="196">
        <v>1200000</v>
      </c>
      <c r="M6758" s="130"/>
      <c r="N6758" s="130"/>
    </row>
    <row r="6759" spans="1:15" ht="11.25" customHeight="1" x14ac:dyDescent="0.2">
      <c r="A6759" s="197">
        <v>2025</v>
      </c>
      <c r="B6759" s="197">
        <v>1</v>
      </c>
      <c r="C6759" s="197">
        <v>12</v>
      </c>
      <c r="D6759" s="198">
        <f t="shared" si="717"/>
        <v>45669</v>
      </c>
      <c r="E6759" s="209">
        <f t="shared" ref="E6759:E6766" si="724">DATE(A6759,B6759,C6759)</f>
        <v>45669</v>
      </c>
      <c r="F6759" s="513" t="s">
        <v>1280</v>
      </c>
      <c r="G6759" s="200" t="s">
        <v>1209</v>
      </c>
      <c r="H6759" s="201"/>
      <c r="I6759" s="201" t="s">
        <v>384</v>
      </c>
      <c r="J6759" s="197" t="s">
        <v>16</v>
      </c>
      <c r="K6759" s="202">
        <v>843670</v>
      </c>
      <c r="L6759" s="202"/>
      <c r="M6759" s="130"/>
      <c r="N6759" s="130"/>
    </row>
    <row r="6760" spans="1:15" ht="11.25" customHeight="1" x14ac:dyDescent="0.2">
      <c r="A6760" s="120">
        <v>2025</v>
      </c>
      <c r="B6760" s="120">
        <v>1</v>
      </c>
      <c r="C6760" s="120">
        <v>12</v>
      </c>
      <c r="D6760" s="208">
        <f t="shared" si="717"/>
        <v>45669</v>
      </c>
      <c r="E6760" s="209">
        <f t="shared" si="724"/>
        <v>45669</v>
      </c>
      <c r="F6760" s="515"/>
      <c r="G6760" s="132" t="s">
        <v>1209</v>
      </c>
      <c r="I6760" s="128" t="s">
        <v>384</v>
      </c>
      <c r="J6760" s="120" t="s">
        <v>47</v>
      </c>
      <c r="K6760" s="207">
        <v>156330</v>
      </c>
      <c r="L6760" s="207"/>
      <c r="M6760" s="130"/>
      <c r="N6760" s="130"/>
    </row>
    <row r="6761" spans="1:15" ht="11.25" customHeight="1" x14ac:dyDescent="0.2">
      <c r="A6761" s="191">
        <v>2025</v>
      </c>
      <c r="B6761" s="191">
        <v>1</v>
      </c>
      <c r="C6761" s="191">
        <v>12</v>
      </c>
      <c r="D6761" s="192">
        <f t="shared" si="717"/>
        <v>45669</v>
      </c>
      <c r="E6761" s="193">
        <f t="shared" si="724"/>
        <v>45669</v>
      </c>
      <c r="F6761" s="514"/>
      <c r="G6761" s="194" t="s">
        <v>1209</v>
      </c>
      <c r="H6761" s="195"/>
      <c r="I6761" s="195" t="s">
        <v>384</v>
      </c>
      <c r="J6761" s="191" t="s">
        <v>46</v>
      </c>
      <c r="K6761" s="196"/>
      <c r="L6761" s="196">
        <v>1000000</v>
      </c>
      <c r="M6761" s="130"/>
      <c r="N6761" s="130"/>
    </row>
    <row r="6762" spans="1:15" ht="11.25" customHeight="1" x14ac:dyDescent="0.2">
      <c r="A6762" s="197">
        <v>2025</v>
      </c>
      <c r="B6762" s="197">
        <v>1</v>
      </c>
      <c r="C6762" s="197">
        <v>12</v>
      </c>
      <c r="D6762" s="198">
        <f t="shared" si="717"/>
        <v>45669</v>
      </c>
      <c r="E6762" s="209">
        <f t="shared" si="724"/>
        <v>45669</v>
      </c>
      <c r="F6762" s="513" t="s">
        <v>1210</v>
      </c>
      <c r="G6762" s="200" t="s">
        <v>1209</v>
      </c>
      <c r="H6762" s="201"/>
      <c r="I6762" s="201" t="s">
        <v>1218</v>
      </c>
      <c r="J6762" s="197" t="s">
        <v>46</v>
      </c>
      <c r="K6762" s="202">
        <v>10000000</v>
      </c>
      <c r="L6762" s="202"/>
    </row>
    <row r="6763" spans="1:15" ht="11.25" customHeight="1" x14ac:dyDescent="0.2">
      <c r="A6763" s="120">
        <v>2025</v>
      </c>
      <c r="B6763" s="120">
        <v>1</v>
      </c>
      <c r="C6763" s="120">
        <v>12</v>
      </c>
      <c r="D6763" s="208">
        <f t="shared" si="717"/>
        <v>45669</v>
      </c>
      <c r="E6763" s="209">
        <f t="shared" si="724"/>
        <v>45669</v>
      </c>
      <c r="F6763" s="515"/>
      <c r="G6763" s="132" t="s">
        <v>1209</v>
      </c>
      <c r="I6763" s="128" t="s">
        <v>1218</v>
      </c>
      <c r="J6763" s="120" t="s">
        <v>16</v>
      </c>
      <c r="K6763" s="207"/>
      <c r="L6763" s="207">
        <v>8436680</v>
      </c>
    </row>
    <row r="6764" spans="1:15" ht="11.25" customHeight="1" x14ac:dyDescent="0.2">
      <c r="A6764" s="191">
        <v>2025</v>
      </c>
      <c r="B6764" s="191">
        <v>1</v>
      </c>
      <c r="C6764" s="191">
        <v>12</v>
      </c>
      <c r="D6764" s="192">
        <f t="shared" ref="D6764:D6827" si="725">DATE(A6764,B6764,C6764)</f>
        <v>45669</v>
      </c>
      <c r="E6764" s="193">
        <f t="shared" si="724"/>
        <v>45669</v>
      </c>
      <c r="F6764" s="514"/>
      <c r="G6764" s="194" t="s">
        <v>1209</v>
      </c>
      <c r="H6764" s="195"/>
      <c r="I6764" s="195" t="s">
        <v>1218</v>
      </c>
      <c r="J6764" s="191" t="s">
        <v>47</v>
      </c>
      <c r="K6764" s="196"/>
      <c r="L6764" s="196">
        <v>1563320</v>
      </c>
    </row>
    <row r="6765" spans="1:15" ht="11.25" customHeight="1" x14ac:dyDescent="0.2">
      <c r="A6765" s="197">
        <v>2025</v>
      </c>
      <c r="B6765" s="197">
        <v>1</v>
      </c>
      <c r="C6765" s="197">
        <v>12</v>
      </c>
      <c r="D6765" s="198">
        <f t="shared" si="725"/>
        <v>45669</v>
      </c>
      <c r="E6765" s="290">
        <f t="shared" si="724"/>
        <v>45669</v>
      </c>
      <c r="F6765" s="513" t="s">
        <v>1514</v>
      </c>
      <c r="G6765" s="200" t="s">
        <v>1209</v>
      </c>
      <c r="H6765" s="201"/>
      <c r="I6765" s="201"/>
      <c r="J6765" s="197" t="s">
        <v>54</v>
      </c>
      <c r="K6765" s="202">
        <v>60</v>
      </c>
      <c r="L6765" s="202"/>
      <c r="M6765" s="251"/>
      <c r="N6765" s="251"/>
      <c r="O6765" s="251"/>
    </row>
    <row r="6766" spans="1:15" ht="11.25" customHeight="1" x14ac:dyDescent="0.2">
      <c r="A6766" s="191">
        <v>2025</v>
      </c>
      <c r="B6766" s="191">
        <v>1</v>
      </c>
      <c r="C6766" s="191">
        <v>12</v>
      </c>
      <c r="D6766" s="192">
        <f t="shared" si="725"/>
        <v>45669</v>
      </c>
      <c r="E6766" s="291">
        <f t="shared" si="724"/>
        <v>45669</v>
      </c>
      <c r="F6766" s="514"/>
      <c r="G6766" s="194" t="s">
        <v>1209</v>
      </c>
      <c r="H6766" s="195"/>
      <c r="I6766" s="195"/>
      <c r="J6766" s="191" t="s">
        <v>46</v>
      </c>
      <c r="K6766" s="196"/>
      <c r="L6766" s="196">
        <v>60</v>
      </c>
      <c r="M6766" s="251"/>
      <c r="N6766" s="251"/>
      <c r="O6766" s="251"/>
    </row>
    <row r="6767" spans="1:15" ht="11.25" customHeight="1" x14ac:dyDescent="0.2">
      <c r="A6767" s="197">
        <v>2025</v>
      </c>
      <c r="B6767" s="197">
        <v>1</v>
      </c>
      <c r="C6767" s="197">
        <v>13</v>
      </c>
      <c r="D6767" s="198">
        <f t="shared" si="725"/>
        <v>45670</v>
      </c>
      <c r="E6767" s="209">
        <f t="shared" ref="E6767:E6776" si="726">DATE(A6767,B6767,C6767)</f>
        <v>45670</v>
      </c>
      <c r="F6767" s="513" t="s">
        <v>1280</v>
      </c>
      <c r="G6767" s="200" t="s">
        <v>1209</v>
      </c>
      <c r="H6767" s="201"/>
      <c r="I6767" s="201" t="s">
        <v>1597</v>
      </c>
      <c r="J6767" s="197" t="s">
        <v>16</v>
      </c>
      <c r="K6767" s="202">
        <v>421830</v>
      </c>
      <c r="L6767" s="202"/>
      <c r="M6767" s="130"/>
      <c r="N6767" s="130"/>
    </row>
    <row r="6768" spans="1:15" ht="11.25" customHeight="1" x14ac:dyDescent="0.2">
      <c r="A6768" s="120">
        <v>2025</v>
      </c>
      <c r="B6768" s="120">
        <v>1</v>
      </c>
      <c r="C6768" s="120">
        <v>13</v>
      </c>
      <c r="D6768" s="208">
        <f t="shared" si="725"/>
        <v>45670</v>
      </c>
      <c r="E6768" s="209">
        <f t="shared" si="726"/>
        <v>45670</v>
      </c>
      <c r="F6768" s="515"/>
      <c r="G6768" s="132" t="s">
        <v>1209</v>
      </c>
      <c r="I6768" s="128" t="s">
        <v>1597</v>
      </c>
      <c r="J6768" s="120" t="s">
        <v>47</v>
      </c>
      <c r="K6768" s="207">
        <v>78170</v>
      </c>
      <c r="L6768" s="207"/>
      <c r="M6768" s="130"/>
      <c r="N6768" s="130"/>
    </row>
    <row r="6769" spans="1:15" ht="11.25" customHeight="1" x14ac:dyDescent="0.2">
      <c r="A6769" s="191">
        <v>2025</v>
      </c>
      <c r="B6769" s="191">
        <v>1</v>
      </c>
      <c r="C6769" s="191">
        <v>13</v>
      </c>
      <c r="D6769" s="192">
        <f t="shared" si="725"/>
        <v>45670</v>
      </c>
      <c r="E6769" s="193">
        <f t="shared" si="726"/>
        <v>45670</v>
      </c>
      <c r="F6769" s="514"/>
      <c r="G6769" s="194" t="s">
        <v>1209</v>
      </c>
      <c r="H6769" s="195"/>
      <c r="I6769" s="195" t="s">
        <v>1597</v>
      </c>
      <c r="J6769" s="191" t="s">
        <v>46</v>
      </c>
      <c r="K6769" s="196"/>
      <c r="L6769" s="196">
        <v>500000</v>
      </c>
      <c r="M6769" s="130"/>
      <c r="N6769" s="130"/>
    </row>
    <row r="6770" spans="1:15" ht="11.25" customHeight="1" x14ac:dyDescent="0.2">
      <c r="A6770" s="120">
        <v>2025</v>
      </c>
      <c r="B6770" s="120">
        <v>1</v>
      </c>
      <c r="C6770" s="120">
        <v>13</v>
      </c>
      <c r="D6770" s="208">
        <f t="shared" si="725"/>
        <v>45670</v>
      </c>
      <c r="E6770" s="209">
        <f>DATE(A6770,B6770,C6770)</f>
        <v>45670</v>
      </c>
      <c r="F6770" s="515" t="s">
        <v>1922</v>
      </c>
      <c r="G6770" s="132" t="s">
        <v>1209</v>
      </c>
      <c r="H6770" s="132"/>
      <c r="J6770" s="120" t="s">
        <v>457</v>
      </c>
      <c r="K6770" s="202">
        <v>95782.78</v>
      </c>
      <c r="L6770" s="207"/>
    </row>
    <row r="6771" spans="1:15" ht="11.25" customHeight="1" x14ac:dyDescent="0.2">
      <c r="A6771" s="191">
        <v>2025</v>
      </c>
      <c r="B6771" s="191">
        <v>1</v>
      </c>
      <c r="C6771" s="191">
        <v>13</v>
      </c>
      <c r="D6771" s="192">
        <f t="shared" si="725"/>
        <v>45670</v>
      </c>
      <c r="E6771" s="291">
        <f t="shared" ref="E6771" si="727">DATE(A6771,B6771,C6771)</f>
        <v>45670</v>
      </c>
      <c r="F6771" s="514"/>
      <c r="G6771" s="194" t="s">
        <v>1209</v>
      </c>
      <c r="H6771" s="195"/>
      <c r="I6771" s="195" t="s">
        <v>1253</v>
      </c>
      <c r="J6771" s="191" t="s">
        <v>46</v>
      </c>
      <c r="K6771" s="196"/>
      <c r="L6771" s="196">
        <v>95782.78</v>
      </c>
    </row>
    <row r="6772" spans="1:15" ht="11.25" customHeight="1" x14ac:dyDescent="0.2">
      <c r="A6772" s="197">
        <v>2025</v>
      </c>
      <c r="B6772" s="197">
        <v>1</v>
      </c>
      <c r="C6772" s="197">
        <v>15</v>
      </c>
      <c r="D6772" s="198">
        <f t="shared" si="725"/>
        <v>45672</v>
      </c>
      <c r="E6772" s="209">
        <f t="shared" si="726"/>
        <v>45672</v>
      </c>
      <c r="F6772" s="513" t="s">
        <v>1296</v>
      </c>
      <c r="G6772" s="200" t="s">
        <v>1209</v>
      </c>
      <c r="H6772" s="201"/>
      <c r="I6772" s="201"/>
      <c r="J6772" s="197" t="s">
        <v>46</v>
      </c>
      <c r="K6772" s="202">
        <v>102000</v>
      </c>
      <c r="L6772" s="202"/>
    </row>
    <row r="6773" spans="1:15" ht="11.25" customHeight="1" x14ac:dyDescent="0.2">
      <c r="A6773" s="120">
        <v>2025</v>
      </c>
      <c r="B6773" s="120">
        <v>1</v>
      </c>
      <c r="C6773" s="120">
        <v>15</v>
      </c>
      <c r="D6773" s="208">
        <f t="shared" si="725"/>
        <v>45672</v>
      </c>
      <c r="E6773" s="209">
        <f t="shared" si="726"/>
        <v>45672</v>
      </c>
      <c r="F6773" s="515"/>
      <c r="G6773" s="132" t="s">
        <v>1209</v>
      </c>
      <c r="J6773" s="120" t="s">
        <v>16</v>
      </c>
      <c r="K6773" s="207"/>
      <c r="L6773" s="207">
        <v>86060</v>
      </c>
    </row>
    <row r="6774" spans="1:15" ht="11.25" customHeight="1" x14ac:dyDescent="0.2">
      <c r="A6774" s="191">
        <v>2025</v>
      </c>
      <c r="B6774" s="191">
        <v>1</v>
      </c>
      <c r="C6774" s="191">
        <v>15</v>
      </c>
      <c r="D6774" s="192">
        <f t="shared" si="725"/>
        <v>45672</v>
      </c>
      <c r="E6774" s="193">
        <f t="shared" si="726"/>
        <v>45672</v>
      </c>
      <c r="F6774" s="514"/>
      <c r="G6774" s="194" t="s">
        <v>1209</v>
      </c>
      <c r="H6774" s="195"/>
      <c r="I6774" s="195"/>
      <c r="J6774" s="191" t="s">
        <v>47</v>
      </c>
      <c r="K6774" s="196"/>
      <c r="L6774" s="196">
        <v>15940</v>
      </c>
    </row>
    <row r="6775" spans="1:15" ht="11.25" customHeight="1" x14ac:dyDescent="0.2">
      <c r="A6775" s="197">
        <v>2025</v>
      </c>
      <c r="B6775" s="197">
        <v>1</v>
      </c>
      <c r="C6775" s="197">
        <v>15</v>
      </c>
      <c r="D6775" s="198">
        <f t="shared" si="725"/>
        <v>45672</v>
      </c>
      <c r="E6775" s="199">
        <f t="shared" si="726"/>
        <v>45672</v>
      </c>
      <c r="F6775" s="513" t="s">
        <v>1961</v>
      </c>
      <c r="G6775" s="200" t="s">
        <v>1209</v>
      </c>
      <c r="H6775" s="201"/>
      <c r="I6775" s="201" t="s">
        <v>1253</v>
      </c>
      <c r="J6775" s="197" t="s">
        <v>1837</v>
      </c>
      <c r="K6775" s="202">
        <v>2559284.62</v>
      </c>
      <c r="L6775" s="202"/>
    </row>
    <row r="6776" spans="1:15" ht="11.25" customHeight="1" x14ac:dyDescent="0.2">
      <c r="A6776" s="191">
        <v>2025</v>
      </c>
      <c r="B6776" s="191">
        <v>1</v>
      </c>
      <c r="C6776" s="191">
        <v>15</v>
      </c>
      <c r="D6776" s="192">
        <f t="shared" si="725"/>
        <v>45672</v>
      </c>
      <c r="E6776" s="193">
        <f t="shared" si="726"/>
        <v>45672</v>
      </c>
      <c r="F6776" s="514"/>
      <c r="G6776" s="194" t="s">
        <v>1209</v>
      </c>
      <c r="H6776" s="195"/>
      <c r="I6776" s="195" t="s">
        <v>1253</v>
      </c>
      <c r="J6776" s="191" t="s">
        <v>46</v>
      </c>
      <c r="K6776" s="196"/>
      <c r="L6776" s="196">
        <v>2559284.62</v>
      </c>
      <c r="N6776" s="130"/>
    </row>
    <row r="6777" spans="1:15" ht="11.25" customHeight="1" x14ac:dyDescent="0.2">
      <c r="A6777" s="197">
        <v>2025</v>
      </c>
      <c r="B6777" s="197">
        <v>1</v>
      </c>
      <c r="C6777" s="197">
        <v>16</v>
      </c>
      <c r="D6777" s="198">
        <f t="shared" si="725"/>
        <v>45673</v>
      </c>
      <c r="E6777" s="209">
        <f t="shared" ref="E6777:E6800" si="728">DATE(A6777,B6777,C6777)</f>
        <v>45673</v>
      </c>
      <c r="F6777" s="513" t="s">
        <v>1280</v>
      </c>
      <c r="G6777" s="200" t="s">
        <v>1209</v>
      </c>
      <c r="H6777" s="201"/>
      <c r="I6777" s="201" t="s">
        <v>391</v>
      </c>
      <c r="J6777" s="197" t="s">
        <v>16</v>
      </c>
      <c r="K6777" s="202">
        <v>84370</v>
      </c>
      <c r="L6777" s="202"/>
      <c r="M6777" s="130"/>
      <c r="N6777" s="130"/>
    </row>
    <row r="6778" spans="1:15" ht="11.25" customHeight="1" x14ac:dyDescent="0.2">
      <c r="A6778" s="120">
        <v>2025</v>
      </c>
      <c r="B6778" s="120">
        <v>1</v>
      </c>
      <c r="C6778" s="120">
        <v>16</v>
      </c>
      <c r="D6778" s="208">
        <f t="shared" si="725"/>
        <v>45673</v>
      </c>
      <c r="E6778" s="209">
        <f t="shared" si="728"/>
        <v>45673</v>
      </c>
      <c r="F6778" s="515"/>
      <c r="G6778" s="132" t="s">
        <v>1209</v>
      </c>
      <c r="I6778" s="128" t="s">
        <v>391</v>
      </c>
      <c r="J6778" s="120" t="s">
        <v>47</v>
      </c>
      <c r="K6778" s="207">
        <v>15630</v>
      </c>
      <c r="L6778" s="207"/>
      <c r="M6778" s="130"/>
      <c r="N6778" s="130"/>
    </row>
    <row r="6779" spans="1:15" ht="11.25" customHeight="1" x14ac:dyDescent="0.2">
      <c r="A6779" s="191">
        <v>2025</v>
      </c>
      <c r="B6779" s="191">
        <v>1</v>
      </c>
      <c r="C6779" s="191">
        <v>16</v>
      </c>
      <c r="D6779" s="192">
        <f t="shared" si="725"/>
        <v>45673</v>
      </c>
      <c r="E6779" s="193">
        <f t="shared" si="728"/>
        <v>45673</v>
      </c>
      <c r="F6779" s="514"/>
      <c r="G6779" s="194" t="s">
        <v>1209</v>
      </c>
      <c r="H6779" s="195"/>
      <c r="I6779" s="195" t="s">
        <v>391</v>
      </c>
      <c r="J6779" s="191" t="s">
        <v>46</v>
      </c>
      <c r="K6779" s="196"/>
      <c r="L6779" s="196">
        <v>100000</v>
      </c>
      <c r="M6779" s="130"/>
      <c r="N6779" s="130"/>
    </row>
    <row r="6780" spans="1:15" ht="11.25" customHeight="1" x14ac:dyDescent="0.2">
      <c r="A6780" s="197">
        <v>2025</v>
      </c>
      <c r="B6780" s="197">
        <v>1</v>
      </c>
      <c r="C6780" s="197">
        <v>16</v>
      </c>
      <c r="D6780" s="198">
        <f t="shared" si="725"/>
        <v>45673</v>
      </c>
      <c r="E6780" s="290">
        <f t="shared" si="728"/>
        <v>45673</v>
      </c>
      <c r="F6780" s="513" t="s">
        <v>1514</v>
      </c>
      <c r="G6780" s="200" t="s">
        <v>1209</v>
      </c>
      <c r="H6780" s="201"/>
      <c r="I6780" s="201"/>
      <c r="J6780" s="197" t="s">
        <v>54</v>
      </c>
      <c r="K6780" s="202">
        <v>58</v>
      </c>
      <c r="L6780" s="202"/>
      <c r="M6780" s="251"/>
      <c r="N6780" s="251"/>
      <c r="O6780" s="251"/>
    </row>
    <row r="6781" spans="1:15" ht="11.25" customHeight="1" x14ac:dyDescent="0.2">
      <c r="A6781" s="191">
        <v>2025</v>
      </c>
      <c r="B6781" s="191">
        <v>1</v>
      </c>
      <c r="C6781" s="191">
        <v>16</v>
      </c>
      <c r="D6781" s="192">
        <f t="shared" si="725"/>
        <v>45673</v>
      </c>
      <c r="E6781" s="291">
        <f t="shared" si="728"/>
        <v>45673</v>
      </c>
      <c r="F6781" s="514"/>
      <c r="G6781" s="194" t="s">
        <v>1209</v>
      </c>
      <c r="H6781" s="195"/>
      <c r="I6781" s="195"/>
      <c r="J6781" s="191" t="s">
        <v>46</v>
      </c>
      <c r="K6781" s="196"/>
      <c r="L6781" s="196">
        <v>58</v>
      </c>
      <c r="M6781" s="251"/>
      <c r="N6781" s="251"/>
      <c r="O6781" s="251"/>
    </row>
    <row r="6782" spans="1:15" ht="11.25" customHeight="1" x14ac:dyDescent="0.2">
      <c r="A6782" s="197">
        <v>2025</v>
      </c>
      <c r="B6782" s="197">
        <v>1</v>
      </c>
      <c r="C6782" s="197">
        <v>16</v>
      </c>
      <c r="D6782" s="198">
        <f t="shared" si="725"/>
        <v>45673</v>
      </c>
      <c r="E6782" s="209">
        <f t="shared" si="728"/>
        <v>45673</v>
      </c>
      <c r="F6782" s="513" t="s">
        <v>1210</v>
      </c>
      <c r="G6782" s="200" t="s">
        <v>1209</v>
      </c>
      <c r="H6782" s="201"/>
      <c r="I6782" s="201" t="s">
        <v>1218</v>
      </c>
      <c r="J6782" s="197" t="s">
        <v>46</v>
      </c>
      <c r="K6782" s="202">
        <v>10000000</v>
      </c>
      <c r="L6782" s="202"/>
    </row>
    <row r="6783" spans="1:15" ht="11.25" customHeight="1" x14ac:dyDescent="0.2">
      <c r="A6783" s="120">
        <v>2025</v>
      </c>
      <c r="B6783" s="120">
        <v>1</v>
      </c>
      <c r="C6783" s="120">
        <v>16</v>
      </c>
      <c r="D6783" s="208">
        <f t="shared" si="725"/>
        <v>45673</v>
      </c>
      <c r="E6783" s="209">
        <f t="shared" si="728"/>
        <v>45673</v>
      </c>
      <c r="F6783" s="515"/>
      <c r="G6783" s="132" t="s">
        <v>1209</v>
      </c>
      <c r="I6783" s="128" t="s">
        <v>1218</v>
      </c>
      <c r="J6783" s="120" t="s">
        <v>16</v>
      </c>
      <c r="K6783" s="207"/>
      <c r="L6783" s="207">
        <v>8436680</v>
      </c>
    </row>
    <row r="6784" spans="1:15" ht="11.25" customHeight="1" x14ac:dyDescent="0.2">
      <c r="A6784" s="191">
        <v>2025</v>
      </c>
      <c r="B6784" s="191">
        <v>1</v>
      </c>
      <c r="C6784" s="191">
        <v>16</v>
      </c>
      <c r="D6784" s="192">
        <f t="shared" si="725"/>
        <v>45673</v>
      </c>
      <c r="E6784" s="193">
        <f t="shared" si="728"/>
        <v>45673</v>
      </c>
      <c r="F6784" s="514"/>
      <c r="G6784" s="194" t="s">
        <v>1209</v>
      </c>
      <c r="H6784" s="195"/>
      <c r="I6784" s="195" t="s">
        <v>1218</v>
      </c>
      <c r="J6784" s="191" t="s">
        <v>47</v>
      </c>
      <c r="K6784" s="196"/>
      <c r="L6784" s="196">
        <v>1563320</v>
      </c>
    </row>
    <row r="6785" spans="1:15" ht="11.25" customHeight="1" x14ac:dyDescent="0.2">
      <c r="A6785" s="197">
        <v>2025</v>
      </c>
      <c r="B6785" s="197">
        <v>1</v>
      </c>
      <c r="C6785" s="197">
        <v>16</v>
      </c>
      <c r="D6785" s="198">
        <f t="shared" si="725"/>
        <v>45673</v>
      </c>
      <c r="E6785" s="290">
        <f t="shared" ref="E6785:E6786" si="729">DATE(A6785,B6785,C6785)</f>
        <v>45673</v>
      </c>
      <c r="F6785" s="513" t="s">
        <v>1514</v>
      </c>
      <c r="G6785" s="200" t="s">
        <v>1209</v>
      </c>
      <c r="H6785" s="201"/>
      <c r="I6785" s="201"/>
      <c r="J6785" s="197" t="s">
        <v>54</v>
      </c>
      <c r="K6785" s="202">
        <v>60</v>
      </c>
      <c r="L6785" s="202"/>
      <c r="M6785" s="251"/>
      <c r="N6785" s="251"/>
      <c r="O6785" s="251"/>
    </row>
    <row r="6786" spans="1:15" ht="11.25" customHeight="1" x14ac:dyDescent="0.2">
      <c r="A6786" s="191">
        <v>2025</v>
      </c>
      <c r="B6786" s="191">
        <v>1</v>
      </c>
      <c r="C6786" s="191">
        <v>16</v>
      </c>
      <c r="D6786" s="192">
        <f t="shared" si="725"/>
        <v>45673</v>
      </c>
      <c r="E6786" s="291">
        <f t="shared" si="729"/>
        <v>45673</v>
      </c>
      <c r="F6786" s="514"/>
      <c r="G6786" s="194" t="s">
        <v>1209</v>
      </c>
      <c r="H6786" s="195"/>
      <c r="I6786" s="195"/>
      <c r="J6786" s="191" t="s">
        <v>46</v>
      </c>
      <c r="K6786" s="196"/>
      <c r="L6786" s="196">
        <v>60</v>
      </c>
      <c r="M6786" s="251"/>
      <c r="N6786" s="251"/>
      <c r="O6786" s="251"/>
    </row>
    <row r="6787" spans="1:15" ht="11.25" customHeight="1" x14ac:dyDescent="0.2">
      <c r="A6787" s="197">
        <v>2025</v>
      </c>
      <c r="B6787" s="197">
        <v>1</v>
      </c>
      <c r="C6787" s="197">
        <v>16</v>
      </c>
      <c r="D6787" s="198">
        <f t="shared" si="725"/>
        <v>45673</v>
      </c>
      <c r="E6787" s="209">
        <f t="shared" ref="E6787:E6791" si="730">DATE(A6787,B6787,C6787)</f>
        <v>45673</v>
      </c>
      <c r="F6787" s="513" t="s">
        <v>1210</v>
      </c>
      <c r="G6787" s="200" t="s">
        <v>1209</v>
      </c>
      <c r="H6787" s="201"/>
      <c r="I6787" s="201" t="s">
        <v>648</v>
      </c>
      <c r="J6787" s="197" t="s">
        <v>46</v>
      </c>
      <c r="K6787" s="202">
        <v>651915</v>
      </c>
      <c r="L6787" s="202"/>
    </row>
    <row r="6788" spans="1:15" ht="11.25" customHeight="1" x14ac:dyDescent="0.2">
      <c r="A6788" s="120">
        <v>2025</v>
      </c>
      <c r="B6788" s="120">
        <v>1</v>
      </c>
      <c r="C6788" s="120">
        <v>16</v>
      </c>
      <c r="D6788" s="208">
        <f t="shared" si="725"/>
        <v>45673</v>
      </c>
      <c r="E6788" s="209">
        <f t="shared" si="730"/>
        <v>45673</v>
      </c>
      <c r="F6788" s="515"/>
      <c r="G6788" s="132" t="s">
        <v>1209</v>
      </c>
      <c r="I6788" s="128" t="s">
        <v>648</v>
      </c>
      <c r="J6788" s="120" t="s">
        <v>16</v>
      </c>
      <c r="K6788" s="207"/>
      <c r="L6788" s="207">
        <v>550000</v>
      </c>
    </row>
    <row r="6789" spans="1:15" ht="11.25" customHeight="1" x14ac:dyDescent="0.2">
      <c r="A6789" s="191">
        <v>2025</v>
      </c>
      <c r="B6789" s="191">
        <v>1</v>
      </c>
      <c r="C6789" s="191">
        <v>16</v>
      </c>
      <c r="D6789" s="192">
        <f t="shared" si="725"/>
        <v>45673</v>
      </c>
      <c r="E6789" s="193">
        <f t="shared" si="730"/>
        <v>45673</v>
      </c>
      <c r="F6789" s="514"/>
      <c r="G6789" s="194" t="s">
        <v>1209</v>
      </c>
      <c r="H6789" s="195"/>
      <c r="I6789" s="195" t="s">
        <v>648</v>
      </c>
      <c r="J6789" s="191" t="s">
        <v>47</v>
      </c>
      <c r="K6789" s="196"/>
      <c r="L6789" s="196">
        <v>101915</v>
      </c>
    </row>
    <row r="6790" spans="1:15" ht="11.25" customHeight="1" x14ac:dyDescent="0.2">
      <c r="A6790" s="197">
        <v>2025</v>
      </c>
      <c r="B6790" s="197">
        <v>1</v>
      </c>
      <c r="C6790" s="197">
        <v>16</v>
      </c>
      <c r="D6790" s="198">
        <f t="shared" si="725"/>
        <v>45673</v>
      </c>
      <c r="E6790" s="290">
        <f t="shared" si="730"/>
        <v>45673</v>
      </c>
      <c r="F6790" s="513" t="s">
        <v>1527</v>
      </c>
      <c r="G6790" s="200" t="s">
        <v>1209</v>
      </c>
      <c r="H6790" s="201"/>
      <c r="I6790" s="201"/>
      <c r="J6790" s="197" t="s">
        <v>54</v>
      </c>
      <c r="K6790" s="202">
        <v>60</v>
      </c>
      <c r="L6790" s="202"/>
      <c r="M6790" s="251"/>
      <c r="N6790" s="251"/>
      <c r="O6790" s="251"/>
    </row>
    <row r="6791" spans="1:15" ht="11.25" customHeight="1" x14ac:dyDescent="0.2">
      <c r="A6791" s="191">
        <v>2025</v>
      </c>
      <c r="B6791" s="191">
        <v>1</v>
      </c>
      <c r="C6791" s="191">
        <v>16</v>
      </c>
      <c r="D6791" s="192">
        <f t="shared" si="725"/>
        <v>45673</v>
      </c>
      <c r="E6791" s="291">
        <f t="shared" si="730"/>
        <v>45673</v>
      </c>
      <c r="F6791" s="514"/>
      <c r="G6791" s="194" t="s">
        <v>1209</v>
      </c>
      <c r="H6791" s="195"/>
      <c r="I6791" s="195"/>
      <c r="J6791" s="191" t="s">
        <v>46</v>
      </c>
      <c r="K6791" s="196"/>
      <c r="L6791" s="196">
        <v>60</v>
      </c>
      <c r="M6791" s="251"/>
      <c r="N6791" s="251"/>
      <c r="O6791" s="251"/>
    </row>
    <row r="6792" spans="1:15" ht="11.25" customHeight="1" x14ac:dyDescent="0.2">
      <c r="A6792" s="424">
        <v>2025</v>
      </c>
      <c r="B6792" s="424">
        <v>1</v>
      </c>
      <c r="C6792" s="424">
        <v>16</v>
      </c>
      <c r="D6792" s="425">
        <f t="shared" si="725"/>
        <v>45673</v>
      </c>
      <c r="E6792" s="384">
        <f t="shared" si="728"/>
        <v>45673</v>
      </c>
      <c r="F6792" s="516" t="s">
        <v>1850</v>
      </c>
      <c r="G6792" s="426" t="s">
        <v>1209</v>
      </c>
      <c r="H6792" s="427"/>
      <c r="I6792" s="427"/>
      <c r="J6792" s="428" t="s">
        <v>81</v>
      </c>
      <c r="K6792" s="429">
        <v>6973.2450980392159</v>
      </c>
      <c r="L6792" s="429"/>
      <c r="M6792" s="130"/>
    </row>
    <row r="6793" spans="1:15" ht="11.25" customHeight="1" x14ac:dyDescent="0.2">
      <c r="A6793" s="389">
        <v>2025</v>
      </c>
      <c r="B6793" s="389">
        <v>1</v>
      </c>
      <c r="C6793" s="389">
        <v>16</v>
      </c>
      <c r="D6793" s="390">
        <f t="shared" si="725"/>
        <v>45673</v>
      </c>
      <c r="E6793" s="391">
        <f t="shared" si="728"/>
        <v>45673</v>
      </c>
      <c r="F6793" s="517"/>
      <c r="G6793" s="392" t="s">
        <v>1209</v>
      </c>
      <c r="H6793" s="393"/>
      <c r="I6793" s="393"/>
      <c r="J6793" s="394" t="s">
        <v>1847</v>
      </c>
      <c r="K6793" s="423"/>
      <c r="L6793" s="423">
        <v>6973.2450980392159</v>
      </c>
    </row>
    <row r="6794" spans="1:15" ht="11.25" customHeight="1" x14ac:dyDescent="0.2">
      <c r="A6794" s="382">
        <v>2025</v>
      </c>
      <c r="B6794" s="382">
        <v>1</v>
      </c>
      <c r="C6794" s="382">
        <v>16</v>
      </c>
      <c r="D6794" s="383">
        <f t="shared" si="725"/>
        <v>45673</v>
      </c>
      <c r="E6794" s="384">
        <f t="shared" si="728"/>
        <v>45673</v>
      </c>
      <c r="F6794" s="516" t="s">
        <v>1892</v>
      </c>
      <c r="G6794" s="385" t="s">
        <v>1209</v>
      </c>
      <c r="H6794" s="386"/>
      <c r="I6794" s="386"/>
      <c r="J6794" s="387" t="s">
        <v>173</v>
      </c>
      <c r="K6794" s="388">
        <v>4465.0440261458343</v>
      </c>
      <c r="L6794" s="388"/>
      <c r="M6794" s="130"/>
    </row>
    <row r="6795" spans="1:15" ht="11.25" customHeight="1" x14ac:dyDescent="0.2">
      <c r="A6795" s="389">
        <v>2025</v>
      </c>
      <c r="B6795" s="389">
        <v>1</v>
      </c>
      <c r="C6795" s="389">
        <v>16</v>
      </c>
      <c r="D6795" s="390">
        <f t="shared" si="725"/>
        <v>45673</v>
      </c>
      <c r="E6795" s="391">
        <f t="shared" si="728"/>
        <v>45673</v>
      </c>
      <c r="F6795" s="517"/>
      <c r="G6795" s="392" t="s">
        <v>1209</v>
      </c>
      <c r="H6795" s="393"/>
      <c r="I6795" s="393"/>
      <c r="J6795" s="394" t="s">
        <v>43</v>
      </c>
      <c r="K6795" s="388"/>
      <c r="L6795" s="388">
        <f>K6794</f>
        <v>4465.0440261458343</v>
      </c>
    </row>
    <row r="6796" spans="1:15" ht="11.25" customHeight="1" x14ac:dyDescent="0.2">
      <c r="A6796" s="344">
        <v>2025</v>
      </c>
      <c r="B6796" s="344">
        <v>1</v>
      </c>
      <c r="C6796" s="344">
        <v>16</v>
      </c>
      <c r="D6796" s="345">
        <f t="shared" si="725"/>
        <v>45673</v>
      </c>
      <c r="E6796" s="346">
        <f t="shared" si="728"/>
        <v>45673</v>
      </c>
      <c r="F6796" s="518" t="s">
        <v>1621</v>
      </c>
      <c r="G6796" s="347" t="s">
        <v>1245</v>
      </c>
      <c r="H6796" s="348"/>
      <c r="I6796" s="348" t="s">
        <v>1253</v>
      </c>
      <c r="J6796" s="344" t="s">
        <v>113</v>
      </c>
      <c r="K6796" s="349">
        <v>40048.080000000002</v>
      </c>
      <c r="L6796" s="349"/>
      <c r="M6796" s="130"/>
    </row>
    <row r="6797" spans="1:15" ht="11.25" customHeight="1" x14ac:dyDescent="0.2">
      <c r="A6797" s="350">
        <v>2025</v>
      </c>
      <c r="B6797" s="350">
        <v>1</v>
      </c>
      <c r="C6797" s="350">
        <v>16</v>
      </c>
      <c r="D6797" s="351">
        <f t="shared" si="725"/>
        <v>45673</v>
      </c>
      <c r="E6797" s="352">
        <f t="shared" si="728"/>
        <v>45673</v>
      </c>
      <c r="F6797" s="519"/>
      <c r="G6797" s="353" t="s">
        <v>1245</v>
      </c>
      <c r="H6797" s="354"/>
      <c r="I6797" s="354" t="s">
        <v>1253</v>
      </c>
      <c r="J6797" s="350" t="s">
        <v>153</v>
      </c>
      <c r="K6797" s="355"/>
      <c r="L6797" s="355">
        <f>K6796</f>
        <v>40048.080000000002</v>
      </c>
    </row>
    <row r="6798" spans="1:15" ht="11.25" customHeight="1" x14ac:dyDescent="0.2">
      <c r="A6798" s="210">
        <v>2025</v>
      </c>
      <c r="B6798" s="210">
        <v>1</v>
      </c>
      <c r="C6798" s="210">
        <v>16</v>
      </c>
      <c r="D6798" s="211">
        <f t="shared" si="725"/>
        <v>45673</v>
      </c>
      <c r="E6798" s="238">
        <f t="shared" si="728"/>
        <v>45673</v>
      </c>
      <c r="F6798" s="520" t="s">
        <v>1278</v>
      </c>
      <c r="G6798" s="213" t="s">
        <v>1245</v>
      </c>
      <c r="H6798" s="214"/>
      <c r="I6798" s="214" t="s">
        <v>1253</v>
      </c>
      <c r="J6798" s="210" t="s">
        <v>1529</v>
      </c>
      <c r="K6798" s="215">
        <v>510.40384615384613</v>
      </c>
      <c r="L6798" s="215"/>
      <c r="M6798" s="130"/>
    </row>
    <row r="6799" spans="1:15" ht="11.25" customHeight="1" x14ac:dyDescent="0.2">
      <c r="A6799" s="216">
        <v>2025</v>
      </c>
      <c r="B6799" s="216">
        <v>1</v>
      </c>
      <c r="C6799" s="216">
        <v>16</v>
      </c>
      <c r="D6799" s="217">
        <f t="shared" si="725"/>
        <v>45673</v>
      </c>
      <c r="E6799" s="239">
        <f t="shared" si="728"/>
        <v>45673</v>
      </c>
      <c r="F6799" s="521"/>
      <c r="G6799" s="219" t="s">
        <v>1245</v>
      </c>
      <c r="H6799" s="220"/>
      <c r="I6799" s="220" t="s">
        <v>1253</v>
      </c>
      <c r="J6799" s="216" t="s">
        <v>1581</v>
      </c>
      <c r="K6799" s="221"/>
      <c r="L6799" s="221">
        <v>510.40384615384613</v>
      </c>
    </row>
    <row r="6800" spans="1:15" ht="11.25" customHeight="1" x14ac:dyDescent="0.2">
      <c r="A6800" s="210">
        <v>2025</v>
      </c>
      <c r="B6800" s="210">
        <v>1</v>
      </c>
      <c r="C6800" s="210">
        <v>16</v>
      </c>
      <c r="D6800" s="211">
        <f t="shared" si="725"/>
        <v>45673</v>
      </c>
      <c r="E6800" s="238">
        <f t="shared" si="728"/>
        <v>45673</v>
      </c>
      <c r="F6800" s="520" t="s">
        <v>1857</v>
      </c>
      <c r="G6800" s="213" t="s">
        <v>1245</v>
      </c>
      <c r="H6800" s="214"/>
      <c r="I6800" s="214" t="s">
        <v>1253</v>
      </c>
      <c r="J6800" s="210" t="s">
        <v>1284</v>
      </c>
      <c r="K6800" s="215">
        <v>2341.8114143920593</v>
      </c>
      <c r="L6800" s="215"/>
      <c r="M6800" s="130"/>
    </row>
    <row r="6801" spans="1:13" ht="11.25" customHeight="1" x14ac:dyDescent="0.2">
      <c r="A6801" s="242">
        <v>2025</v>
      </c>
      <c r="B6801" s="242">
        <v>1</v>
      </c>
      <c r="C6801" s="242">
        <v>16</v>
      </c>
      <c r="D6801" s="243">
        <f t="shared" si="725"/>
        <v>45673</v>
      </c>
      <c r="E6801" s="244">
        <f>DATE(A6801,B6801,C6801)</f>
        <v>45673</v>
      </c>
      <c r="F6801" s="524"/>
      <c r="G6801" s="245" t="s">
        <v>1245</v>
      </c>
      <c r="H6801" s="246"/>
      <c r="I6801" s="246"/>
      <c r="J6801" s="242" t="s">
        <v>1582</v>
      </c>
      <c r="K6801" s="247"/>
      <c r="L6801" s="247">
        <f>K6800</f>
        <v>2341.8114143920593</v>
      </c>
    </row>
    <row r="6802" spans="1:13" ht="11.25" customHeight="1" x14ac:dyDescent="0.2">
      <c r="A6802" s="210">
        <v>2025</v>
      </c>
      <c r="B6802" s="210">
        <v>1</v>
      </c>
      <c r="C6802" s="210">
        <v>16</v>
      </c>
      <c r="D6802" s="211">
        <f t="shared" si="725"/>
        <v>45673</v>
      </c>
      <c r="E6802" s="238">
        <f t="shared" ref="E6802:E6823" si="731">DATE(A6802,B6802,C6802)</f>
        <v>45673</v>
      </c>
      <c r="F6802" s="520" t="s">
        <v>2055</v>
      </c>
      <c r="G6802" s="213" t="s">
        <v>1245</v>
      </c>
      <c r="H6802" s="214"/>
      <c r="I6802" s="214" t="s">
        <v>1253</v>
      </c>
      <c r="J6802" s="210" t="s">
        <v>58</v>
      </c>
      <c r="K6802" s="215">
        <v>28829.81</v>
      </c>
      <c r="L6802" s="215"/>
    </row>
    <row r="6803" spans="1:13" ht="11.25" customHeight="1" x14ac:dyDescent="0.2">
      <c r="A6803" s="216">
        <v>2025</v>
      </c>
      <c r="B6803" s="216">
        <v>1</v>
      </c>
      <c r="C6803" s="216">
        <v>16</v>
      </c>
      <c r="D6803" s="217">
        <f t="shared" si="725"/>
        <v>45673</v>
      </c>
      <c r="E6803" s="239">
        <f t="shared" si="731"/>
        <v>45673</v>
      </c>
      <c r="F6803" s="521"/>
      <c r="G6803" s="219" t="s">
        <v>1245</v>
      </c>
      <c r="H6803" s="220"/>
      <c r="I6803" s="220" t="s">
        <v>1253</v>
      </c>
      <c r="J6803" s="216" t="s">
        <v>153</v>
      </c>
      <c r="K6803" s="221"/>
      <c r="L6803" s="221">
        <f>K6802</f>
        <v>28829.81</v>
      </c>
    </row>
    <row r="6804" spans="1:13" ht="11.25" customHeight="1" x14ac:dyDescent="0.2">
      <c r="A6804" s="312">
        <v>2025</v>
      </c>
      <c r="B6804" s="312">
        <v>1</v>
      </c>
      <c r="C6804" s="312">
        <v>16</v>
      </c>
      <c r="D6804" s="313">
        <f t="shared" si="725"/>
        <v>45673</v>
      </c>
      <c r="E6804" s="314">
        <f t="shared" si="731"/>
        <v>45673</v>
      </c>
      <c r="F6804" s="522" t="s">
        <v>1477</v>
      </c>
      <c r="G6804" s="315" t="s">
        <v>1245</v>
      </c>
      <c r="H6804" s="316"/>
      <c r="I6804" s="316" t="s">
        <v>1253</v>
      </c>
      <c r="J6804" s="312" t="s">
        <v>1460</v>
      </c>
      <c r="K6804" s="317">
        <v>7872</v>
      </c>
      <c r="L6804" s="317"/>
      <c r="M6804" s="120">
        <f>BS!$I$11</f>
        <v>5.9604644775390625E-8</v>
      </c>
    </row>
    <row r="6805" spans="1:13" ht="11.25" customHeight="1" x14ac:dyDescent="0.2">
      <c r="A6805" s="318">
        <v>2025</v>
      </c>
      <c r="B6805" s="318">
        <v>1</v>
      </c>
      <c r="C6805" s="318">
        <v>16</v>
      </c>
      <c r="D6805" s="319">
        <f t="shared" si="725"/>
        <v>45673</v>
      </c>
      <c r="E6805" s="320">
        <f t="shared" si="731"/>
        <v>45673</v>
      </c>
      <c r="F6805" s="523"/>
      <c r="G6805" s="321" t="s">
        <v>1245</v>
      </c>
      <c r="H6805" s="322"/>
      <c r="I6805" s="322" t="s">
        <v>1253</v>
      </c>
      <c r="J6805" s="318" t="s">
        <v>1458</v>
      </c>
      <c r="K6805" s="323"/>
      <c r="L6805" s="323">
        <f>K6804</f>
        <v>7872</v>
      </c>
    </row>
    <row r="6806" spans="1:13" ht="11.25" customHeight="1" x14ac:dyDescent="0.2">
      <c r="A6806" s="312">
        <v>2025</v>
      </c>
      <c r="B6806" s="312">
        <v>1</v>
      </c>
      <c r="C6806" s="312">
        <v>16</v>
      </c>
      <c r="D6806" s="313">
        <f t="shared" si="725"/>
        <v>45673</v>
      </c>
      <c r="E6806" s="314">
        <f t="shared" si="731"/>
        <v>45673</v>
      </c>
      <c r="F6806" s="522" t="s">
        <v>1595</v>
      </c>
      <c r="G6806" s="315" t="s">
        <v>1245</v>
      </c>
      <c r="H6806" s="316"/>
      <c r="I6806" s="316" t="s">
        <v>1253</v>
      </c>
      <c r="J6806" s="312" t="s">
        <v>1461</v>
      </c>
      <c r="K6806" s="317">
        <v>933850.00700008869</v>
      </c>
      <c r="L6806" s="317"/>
      <c r="M6806" s="120">
        <f>BS!$I$14</f>
        <v>0</v>
      </c>
    </row>
    <row r="6807" spans="1:13" ht="11.25" customHeight="1" x14ac:dyDescent="0.2">
      <c r="A6807" s="318">
        <v>2025</v>
      </c>
      <c r="B6807" s="318">
        <v>1</v>
      </c>
      <c r="C6807" s="318">
        <v>16</v>
      </c>
      <c r="D6807" s="319">
        <f t="shared" si="725"/>
        <v>45673</v>
      </c>
      <c r="E6807" s="320">
        <f t="shared" si="731"/>
        <v>45673</v>
      </c>
      <c r="F6807" s="523"/>
      <c r="G6807" s="321" t="s">
        <v>1245</v>
      </c>
      <c r="H6807" s="322"/>
      <c r="I6807" s="322" t="s">
        <v>1253</v>
      </c>
      <c r="J6807" s="318" t="s">
        <v>1459</v>
      </c>
      <c r="K6807" s="323"/>
      <c r="L6807" s="323">
        <f>K6806</f>
        <v>933850.00700008869</v>
      </c>
    </row>
    <row r="6808" spans="1:13" ht="11.25" customHeight="1" x14ac:dyDescent="0.2">
      <c r="A6808" s="222">
        <v>2025</v>
      </c>
      <c r="B6808" s="222">
        <v>1</v>
      </c>
      <c r="C6808" s="222">
        <v>16</v>
      </c>
      <c r="D6808" s="223">
        <f t="shared" si="725"/>
        <v>45673</v>
      </c>
      <c r="E6808" s="240">
        <f t="shared" si="731"/>
        <v>45673</v>
      </c>
      <c r="F6808" s="511" t="s">
        <v>1244</v>
      </c>
      <c r="G6808" s="225" t="s">
        <v>1245</v>
      </c>
      <c r="H6808" s="226"/>
      <c r="I6808" s="226" t="s">
        <v>1253</v>
      </c>
      <c r="J6808" s="222" t="s">
        <v>72</v>
      </c>
      <c r="K6808" s="227">
        <v>5905</v>
      </c>
      <c r="L6808" s="227"/>
      <c r="M6808" s="120">
        <f>BS!$I$7</f>
        <v>0</v>
      </c>
    </row>
    <row r="6809" spans="1:13" ht="11.25" customHeight="1" x14ac:dyDescent="0.2">
      <c r="A6809" s="228">
        <v>2025</v>
      </c>
      <c r="B6809" s="228">
        <v>1</v>
      </c>
      <c r="C6809" s="228">
        <v>16</v>
      </c>
      <c r="D6809" s="229">
        <f t="shared" si="725"/>
        <v>45673</v>
      </c>
      <c r="E6809" s="241">
        <f t="shared" si="731"/>
        <v>45673</v>
      </c>
      <c r="F6809" s="512"/>
      <c r="G6809" s="231" t="s">
        <v>1245</v>
      </c>
      <c r="H6809" s="232"/>
      <c r="I6809" s="232" t="s">
        <v>1253</v>
      </c>
      <c r="J6809" s="228" t="s">
        <v>87</v>
      </c>
      <c r="K6809" s="233"/>
      <c r="L6809" s="233">
        <f>K6808</f>
        <v>5905</v>
      </c>
    </row>
    <row r="6810" spans="1:13" ht="11.25" customHeight="1" x14ac:dyDescent="0.2">
      <c r="A6810" s="222">
        <v>2025</v>
      </c>
      <c r="B6810" s="222">
        <v>1</v>
      </c>
      <c r="C6810" s="222">
        <v>16</v>
      </c>
      <c r="D6810" s="223">
        <f t="shared" si="725"/>
        <v>45673</v>
      </c>
      <c r="E6810" s="240">
        <f t="shared" si="731"/>
        <v>45673</v>
      </c>
      <c r="F6810" s="511" t="s">
        <v>1246</v>
      </c>
      <c r="G6810" s="225" t="s">
        <v>1245</v>
      </c>
      <c r="H6810" s="226"/>
      <c r="I6810" s="226" t="s">
        <v>1253</v>
      </c>
      <c r="J6810" s="222" t="s">
        <v>75</v>
      </c>
      <c r="K6810" s="227">
        <v>3623.123846153846</v>
      </c>
      <c r="L6810" s="227"/>
      <c r="M6810" s="130"/>
    </row>
    <row r="6811" spans="1:13" ht="11.25" customHeight="1" x14ac:dyDescent="0.2">
      <c r="A6811" s="228">
        <v>2025</v>
      </c>
      <c r="B6811" s="228">
        <v>1</v>
      </c>
      <c r="C6811" s="228">
        <v>16</v>
      </c>
      <c r="D6811" s="229">
        <f t="shared" si="725"/>
        <v>45673</v>
      </c>
      <c r="E6811" s="241">
        <f t="shared" si="731"/>
        <v>45673</v>
      </c>
      <c r="F6811" s="512"/>
      <c r="G6811" s="231" t="s">
        <v>1245</v>
      </c>
      <c r="H6811" s="232"/>
      <c r="I6811" s="232" t="s">
        <v>1253</v>
      </c>
      <c r="J6811" s="228" t="s">
        <v>55</v>
      </c>
      <c r="K6811" s="233"/>
      <c r="L6811" s="233">
        <v>3623.123846153846</v>
      </c>
    </row>
    <row r="6812" spans="1:13" ht="11.25" customHeight="1" x14ac:dyDescent="0.2">
      <c r="A6812" s="222">
        <v>2025</v>
      </c>
      <c r="B6812" s="222">
        <v>1</v>
      </c>
      <c r="C6812" s="222">
        <v>16</v>
      </c>
      <c r="D6812" s="223">
        <f t="shared" si="725"/>
        <v>45673</v>
      </c>
      <c r="E6812" s="240">
        <f t="shared" si="731"/>
        <v>45673</v>
      </c>
      <c r="F6812" s="511" t="s">
        <v>1247</v>
      </c>
      <c r="G6812" s="225" t="s">
        <v>1245</v>
      </c>
      <c r="H6812" s="226"/>
      <c r="I6812" s="226" t="s">
        <v>1253</v>
      </c>
      <c r="J6812" s="222" t="s">
        <v>77</v>
      </c>
      <c r="K6812" s="227">
        <f>M6812</f>
        <v>42780.532257411673</v>
      </c>
      <c r="L6812" s="227"/>
      <c r="M6812" s="130">
        <v>42780.532257411673</v>
      </c>
    </row>
    <row r="6813" spans="1:13" ht="11.25" customHeight="1" x14ac:dyDescent="0.2">
      <c r="A6813" s="228">
        <v>2025</v>
      </c>
      <c r="B6813" s="228">
        <v>1</v>
      </c>
      <c r="C6813" s="228">
        <v>16</v>
      </c>
      <c r="D6813" s="229">
        <f t="shared" si="725"/>
        <v>45673</v>
      </c>
      <c r="E6813" s="241">
        <f t="shared" si="731"/>
        <v>45673</v>
      </c>
      <c r="F6813" s="512"/>
      <c r="G6813" s="231" t="s">
        <v>1245</v>
      </c>
      <c r="H6813" s="232"/>
      <c r="I6813" s="232" t="s">
        <v>1253</v>
      </c>
      <c r="J6813" s="228" t="s">
        <v>41</v>
      </c>
      <c r="K6813" s="233"/>
      <c r="L6813" s="233">
        <f>K6812</f>
        <v>42780.532257411673</v>
      </c>
      <c r="M6813" s="130">
        <v>4278.0532257411678</v>
      </c>
    </row>
    <row r="6814" spans="1:13" ht="11.25" customHeight="1" x14ac:dyDescent="0.2">
      <c r="A6814" s="222">
        <v>2025</v>
      </c>
      <c r="B6814" s="222">
        <v>1</v>
      </c>
      <c r="C6814" s="222">
        <v>16</v>
      </c>
      <c r="D6814" s="223">
        <f t="shared" si="725"/>
        <v>45673</v>
      </c>
      <c r="E6814" s="240">
        <f t="shared" si="731"/>
        <v>45673</v>
      </c>
      <c r="F6814" s="511" t="s">
        <v>1248</v>
      </c>
      <c r="G6814" s="225" t="s">
        <v>1245</v>
      </c>
      <c r="H6814" s="226"/>
      <c r="I6814" s="226" t="s">
        <v>1253</v>
      </c>
      <c r="J6814" s="222" t="s">
        <v>80</v>
      </c>
      <c r="K6814" s="227">
        <f>M6813</f>
        <v>4278.0532257411678</v>
      </c>
      <c r="L6814" s="227"/>
    </row>
    <row r="6815" spans="1:13" ht="11.25" customHeight="1" x14ac:dyDescent="0.2">
      <c r="A6815" s="228">
        <v>2025</v>
      </c>
      <c r="B6815" s="228">
        <v>1</v>
      </c>
      <c r="C6815" s="228">
        <v>16</v>
      </c>
      <c r="D6815" s="229">
        <f t="shared" si="725"/>
        <v>45673</v>
      </c>
      <c r="E6815" s="241">
        <f t="shared" si="731"/>
        <v>45673</v>
      </c>
      <c r="F6815" s="512"/>
      <c r="G6815" s="231" t="s">
        <v>1245</v>
      </c>
      <c r="H6815" s="232"/>
      <c r="I6815" s="232" t="s">
        <v>1253</v>
      </c>
      <c r="J6815" s="228" t="s">
        <v>42</v>
      </c>
      <c r="K6815" s="233"/>
      <c r="L6815" s="233">
        <f>K6814</f>
        <v>4278.0532257411678</v>
      </c>
    </row>
    <row r="6816" spans="1:13" ht="11.25" customHeight="1" x14ac:dyDescent="0.2">
      <c r="A6816" s="120">
        <v>2025</v>
      </c>
      <c r="B6816" s="120">
        <v>1</v>
      </c>
      <c r="C6816" s="120">
        <v>19</v>
      </c>
      <c r="D6816" s="208">
        <f t="shared" si="725"/>
        <v>45676</v>
      </c>
      <c r="E6816" s="209">
        <f>DATE(A6816,B6816,C6816)</f>
        <v>45676</v>
      </c>
      <c r="F6816" s="515" t="s">
        <v>1922</v>
      </c>
      <c r="G6816" s="132" t="s">
        <v>1209</v>
      </c>
      <c r="H6816" s="132"/>
      <c r="J6816" s="120" t="s">
        <v>457</v>
      </c>
      <c r="K6816" s="202">
        <v>2.5</v>
      </c>
      <c r="L6816" s="207"/>
    </row>
    <row r="6817" spans="1:15" ht="11.25" customHeight="1" x14ac:dyDescent="0.2">
      <c r="A6817" s="191">
        <v>2025</v>
      </c>
      <c r="B6817" s="191">
        <v>1</v>
      </c>
      <c r="C6817" s="191">
        <v>19</v>
      </c>
      <c r="D6817" s="192">
        <f t="shared" si="725"/>
        <v>45676</v>
      </c>
      <c r="E6817" s="291">
        <f t="shared" ref="E6817" si="732">DATE(A6817,B6817,C6817)</f>
        <v>45676</v>
      </c>
      <c r="F6817" s="514"/>
      <c r="G6817" s="194" t="s">
        <v>1209</v>
      </c>
      <c r="H6817" s="195"/>
      <c r="I6817" s="195" t="s">
        <v>1253</v>
      </c>
      <c r="J6817" s="191" t="s">
        <v>46</v>
      </c>
      <c r="K6817" s="196"/>
      <c r="L6817" s="196">
        <v>2.5</v>
      </c>
    </row>
    <row r="6818" spans="1:15" ht="11.25" customHeight="1" x14ac:dyDescent="0.2">
      <c r="A6818" s="197">
        <v>2025</v>
      </c>
      <c r="B6818" s="197">
        <v>1</v>
      </c>
      <c r="C6818" s="197">
        <v>20</v>
      </c>
      <c r="D6818" s="198">
        <f t="shared" si="725"/>
        <v>45677</v>
      </c>
      <c r="E6818" s="209">
        <f t="shared" si="731"/>
        <v>45677</v>
      </c>
      <c r="F6818" s="513" t="s">
        <v>1210</v>
      </c>
      <c r="G6818" s="200" t="s">
        <v>1209</v>
      </c>
      <c r="H6818" s="201"/>
      <c r="I6818" s="201" t="s">
        <v>1218</v>
      </c>
      <c r="J6818" s="197" t="s">
        <v>46</v>
      </c>
      <c r="K6818" s="202">
        <v>10000000</v>
      </c>
      <c r="L6818" s="202"/>
    </row>
    <row r="6819" spans="1:15" ht="11.25" customHeight="1" x14ac:dyDescent="0.2">
      <c r="A6819" s="120">
        <v>2025</v>
      </c>
      <c r="B6819" s="120">
        <v>1</v>
      </c>
      <c r="C6819" s="120">
        <v>20</v>
      </c>
      <c r="D6819" s="208">
        <f t="shared" si="725"/>
        <v>45677</v>
      </c>
      <c r="E6819" s="209">
        <f t="shared" si="731"/>
        <v>45677</v>
      </c>
      <c r="F6819" s="515"/>
      <c r="G6819" s="132" t="s">
        <v>1209</v>
      </c>
      <c r="I6819" s="128" t="s">
        <v>1218</v>
      </c>
      <c r="J6819" s="120" t="s">
        <v>16</v>
      </c>
      <c r="K6819" s="207"/>
      <c r="L6819" s="207">
        <v>8418930</v>
      </c>
    </row>
    <row r="6820" spans="1:15" ht="11.25" customHeight="1" x14ac:dyDescent="0.2">
      <c r="A6820" s="191">
        <v>2025</v>
      </c>
      <c r="B6820" s="191">
        <v>1</v>
      </c>
      <c r="C6820" s="191">
        <v>20</v>
      </c>
      <c r="D6820" s="192">
        <f t="shared" si="725"/>
        <v>45677</v>
      </c>
      <c r="E6820" s="193">
        <f t="shared" si="731"/>
        <v>45677</v>
      </c>
      <c r="F6820" s="514"/>
      <c r="G6820" s="194" t="s">
        <v>1209</v>
      </c>
      <c r="H6820" s="195"/>
      <c r="I6820" s="195" t="s">
        <v>1218</v>
      </c>
      <c r="J6820" s="191" t="s">
        <v>47</v>
      </c>
      <c r="K6820" s="196"/>
      <c r="L6820" s="196">
        <v>1581070</v>
      </c>
    </row>
    <row r="6821" spans="1:15" ht="11.25" customHeight="1" x14ac:dyDescent="0.2">
      <c r="A6821" s="197">
        <v>2025</v>
      </c>
      <c r="B6821" s="197">
        <v>1</v>
      </c>
      <c r="C6821" s="197">
        <v>20</v>
      </c>
      <c r="D6821" s="198">
        <f t="shared" si="725"/>
        <v>45677</v>
      </c>
      <c r="E6821" s="209">
        <f t="shared" si="731"/>
        <v>45677</v>
      </c>
      <c r="F6821" s="513" t="s">
        <v>1280</v>
      </c>
      <c r="G6821" s="200" t="s">
        <v>1209</v>
      </c>
      <c r="H6821" s="201"/>
      <c r="I6821" s="201" t="s">
        <v>1960</v>
      </c>
      <c r="J6821" s="197" t="s">
        <v>16</v>
      </c>
      <c r="K6821" s="202">
        <v>84190</v>
      </c>
      <c r="L6821" s="202"/>
      <c r="M6821" s="130"/>
      <c r="N6821" s="130"/>
    </row>
    <row r="6822" spans="1:15" ht="11.25" customHeight="1" x14ac:dyDescent="0.2">
      <c r="A6822" s="120">
        <v>2025</v>
      </c>
      <c r="B6822" s="120">
        <v>1</v>
      </c>
      <c r="C6822" s="120">
        <v>20</v>
      </c>
      <c r="D6822" s="208">
        <f t="shared" si="725"/>
        <v>45677</v>
      </c>
      <c r="E6822" s="209">
        <f t="shared" si="731"/>
        <v>45677</v>
      </c>
      <c r="F6822" s="515"/>
      <c r="G6822" s="132" t="s">
        <v>1209</v>
      </c>
      <c r="I6822" s="128" t="s">
        <v>1960</v>
      </c>
      <c r="J6822" s="120" t="s">
        <v>47</v>
      </c>
      <c r="K6822" s="207">
        <v>15810</v>
      </c>
      <c r="L6822" s="207"/>
      <c r="M6822" s="130"/>
      <c r="N6822" s="130"/>
    </row>
    <row r="6823" spans="1:15" ht="11.25" customHeight="1" x14ac:dyDescent="0.2">
      <c r="A6823" s="191">
        <v>2025</v>
      </c>
      <c r="B6823" s="191">
        <v>1</v>
      </c>
      <c r="C6823" s="191">
        <v>20</v>
      </c>
      <c r="D6823" s="192">
        <f t="shared" si="725"/>
        <v>45677</v>
      </c>
      <c r="E6823" s="193">
        <f t="shared" si="731"/>
        <v>45677</v>
      </c>
      <c r="F6823" s="514"/>
      <c r="G6823" s="194" t="s">
        <v>1209</v>
      </c>
      <c r="H6823" s="195"/>
      <c r="I6823" s="195" t="s">
        <v>1960</v>
      </c>
      <c r="J6823" s="191" t="s">
        <v>46</v>
      </c>
      <c r="K6823" s="196"/>
      <c r="L6823" s="196">
        <v>100000</v>
      </c>
      <c r="M6823" s="130"/>
      <c r="N6823" s="130"/>
    </row>
    <row r="6824" spans="1:15" ht="11.25" customHeight="1" x14ac:dyDescent="0.2">
      <c r="A6824" s="197">
        <v>2025</v>
      </c>
      <c r="B6824" s="197">
        <v>1</v>
      </c>
      <c r="C6824" s="197">
        <v>20</v>
      </c>
      <c r="D6824" s="198">
        <f t="shared" si="725"/>
        <v>45677</v>
      </c>
      <c r="E6824" s="209">
        <f t="shared" ref="E6824:E6826" si="733">DATE(A6824,B6824,C6824)</f>
        <v>45677</v>
      </c>
      <c r="F6824" s="513" t="s">
        <v>1280</v>
      </c>
      <c r="G6824" s="200" t="s">
        <v>1209</v>
      </c>
      <c r="H6824" s="201"/>
      <c r="I6824" s="201" t="s">
        <v>1960</v>
      </c>
      <c r="J6824" s="197" t="s">
        <v>16</v>
      </c>
      <c r="K6824" s="202">
        <v>422760</v>
      </c>
      <c r="L6824" s="202"/>
      <c r="M6824" s="130"/>
      <c r="N6824" s="130"/>
    </row>
    <row r="6825" spans="1:15" ht="11.25" customHeight="1" x14ac:dyDescent="0.2">
      <c r="A6825" s="120">
        <v>2025</v>
      </c>
      <c r="B6825" s="120">
        <v>1</v>
      </c>
      <c r="C6825" s="120">
        <v>20</v>
      </c>
      <c r="D6825" s="208">
        <f t="shared" si="725"/>
        <v>45677</v>
      </c>
      <c r="E6825" s="209">
        <f t="shared" si="733"/>
        <v>45677</v>
      </c>
      <c r="F6825" s="515"/>
      <c r="G6825" s="132" t="s">
        <v>1209</v>
      </c>
      <c r="I6825" s="128" t="s">
        <v>1960</v>
      </c>
      <c r="J6825" s="120" t="s">
        <v>47</v>
      </c>
      <c r="K6825" s="207">
        <v>79394.330000000016</v>
      </c>
      <c r="L6825" s="207"/>
      <c r="M6825" s="130"/>
      <c r="N6825" s="130"/>
    </row>
    <row r="6826" spans="1:15" ht="11.25" customHeight="1" x14ac:dyDescent="0.2">
      <c r="A6826" s="191">
        <v>2025</v>
      </c>
      <c r="B6826" s="191">
        <v>1</v>
      </c>
      <c r="C6826" s="191">
        <v>20</v>
      </c>
      <c r="D6826" s="192">
        <f t="shared" si="725"/>
        <v>45677</v>
      </c>
      <c r="E6826" s="193">
        <f t="shared" si="733"/>
        <v>45677</v>
      </c>
      <c r="F6826" s="514"/>
      <c r="G6826" s="194" t="s">
        <v>1209</v>
      </c>
      <c r="H6826" s="195"/>
      <c r="I6826" s="195" t="s">
        <v>1960</v>
      </c>
      <c r="J6826" s="191" t="s">
        <v>46</v>
      </c>
      <c r="K6826" s="196"/>
      <c r="L6826" s="196">
        <v>502154.33</v>
      </c>
      <c r="M6826" s="130"/>
      <c r="N6826" s="130"/>
    </row>
    <row r="6827" spans="1:15" ht="11.25" customHeight="1" x14ac:dyDescent="0.2">
      <c r="A6827" s="197">
        <v>2025</v>
      </c>
      <c r="B6827" s="197">
        <v>1</v>
      </c>
      <c r="C6827" s="197">
        <v>20</v>
      </c>
      <c r="D6827" s="198">
        <f t="shared" si="725"/>
        <v>45677</v>
      </c>
      <c r="E6827" s="209">
        <f t="shared" ref="E6827:E6831" si="734">DATE(A6827,B6827,C6827)</f>
        <v>45677</v>
      </c>
      <c r="F6827" s="513" t="s">
        <v>1280</v>
      </c>
      <c r="G6827" s="200" t="s">
        <v>1209</v>
      </c>
      <c r="H6827" s="201"/>
      <c r="I6827" s="201" t="s">
        <v>1960</v>
      </c>
      <c r="J6827" s="197" t="s">
        <v>16</v>
      </c>
      <c r="K6827" s="202">
        <v>507680</v>
      </c>
      <c r="L6827" s="202"/>
      <c r="M6827" s="130"/>
      <c r="N6827" s="130"/>
    </row>
    <row r="6828" spans="1:15" ht="11.25" customHeight="1" x14ac:dyDescent="0.2">
      <c r="A6828" s="120">
        <v>2025</v>
      </c>
      <c r="B6828" s="120">
        <v>1</v>
      </c>
      <c r="C6828" s="120">
        <v>20</v>
      </c>
      <c r="D6828" s="208">
        <f t="shared" ref="D6828:D6891" si="735">DATE(A6828,B6828,C6828)</f>
        <v>45677</v>
      </c>
      <c r="E6828" s="209">
        <f t="shared" si="734"/>
        <v>45677</v>
      </c>
      <c r="F6828" s="515"/>
      <c r="G6828" s="132" t="s">
        <v>1209</v>
      </c>
      <c r="I6828" s="128" t="s">
        <v>1960</v>
      </c>
      <c r="J6828" s="120" t="s">
        <v>47</v>
      </c>
      <c r="K6828" s="207">
        <v>95343.180000000051</v>
      </c>
      <c r="L6828" s="207"/>
      <c r="M6828" s="130"/>
      <c r="N6828" s="130"/>
    </row>
    <row r="6829" spans="1:15" ht="11.25" customHeight="1" x14ac:dyDescent="0.2">
      <c r="A6829" s="191">
        <v>2025</v>
      </c>
      <c r="B6829" s="191">
        <v>1</v>
      </c>
      <c r="C6829" s="191">
        <v>20</v>
      </c>
      <c r="D6829" s="192">
        <f t="shared" si="735"/>
        <v>45677</v>
      </c>
      <c r="E6829" s="193">
        <f t="shared" si="734"/>
        <v>45677</v>
      </c>
      <c r="F6829" s="514"/>
      <c r="G6829" s="194" t="s">
        <v>1209</v>
      </c>
      <c r="H6829" s="195"/>
      <c r="I6829" s="195" t="s">
        <v>1960</v>
      </c>
      <c r="J6829" s="191" t="s">
        <v>46</v>
      </c>
      <c r="K6829" s="196"/>
      <c r="L6829" s="196">
        <v>603023.18000000005</v>
      </c>
      <c r="M6829" s="130"/>
      <c r="N6829" s="130"/>
    </row>
    <row r="6830" spans="1:15" ht="11.25" customHeight="1" x14ac:dyDescent="0.2">
      <c r="A6830" s="197">
        <v>2025</v>
      </c>
      <c r="B6830" s="197">
        <v>1</v>
      </c>
      <c r="C6830" s="197">
        <v>20</v>
      </c>
      <c r="D6830" s="198">
        <f t="shared" si="735"/>
        <v>45677</v>
      </c>
      <c r="E6830" s="290">
        <f t="shared" si="734"/>
        <v>45677</v>
      </c>
      <c r="F6830" s="513" t="s">
        <v>1527</v>
      </c>
      <c r="G6830" s="200" t="s">
        <v>1209</v>
      </c>
      <c r="H6830" s="201"/>
      <c r="I6830" s="201"/>
      <c r="J6830" s="197" t="s">
        <v>54</v>
      </c>
      <c r="K6830" s="202">
        <v>58</v>
      </c>
      <c r="L6830" s="202"/>
      <c r="M6830" s="251"/>
      <c r="N6830" s="251"/>
      <c r="O6830" s="251"/>
    </row>
    <row r="6831" spans="1:15" ht="11.25" customHeight="1" x14ac:dyDescent="0.2">
      <c r="A6831" s="191">
        <v>2025</v>
      </c>
      <c r="B6831" s="191">
        <v>1</v>
      </c>
      <c r="C6831" s="191">
        <v>20</v>
      </c>
      <c r="D6831" s="192">
        <f t="shared" si="735"/>
        <v>45677</v>
      </c>
      <c r="E6831" s="291">
        <f t="shared" si="734"/>
        <v>45677</v>
      </c>
      <c r="F6831" s="514"/>
      <c r="G6831" s="194" t="s">
        <v>1209</v>
      </c>
      <c r="H6831" s="195"/>
      <c r="I6831" s="195"/>
      <c r="J6831" s="191" t="s">
        <v>46</v>
      </c>
      <c r="K6831" s="196"/>
      <c r="L6831" s="196">
        <v>58</v>
      </c>
      <c r="M6831" s="251"/>
      <c r="N6831" s="251"/>
      <c r="O6831" s="251"/>
    </row>
    <row r="6832" spans="1:15" ht="11.25" customHeight="1" x14ac:dyDescent="0.2">
      <c r="A6832" s="197">
        <v>2025</v>
      </c>
      <c r="B6832" s="197">
        <v>1</v>
      </c>
      <c r="C6832" s="197">
        <v>20</v>
      </c>
      <c r="D6832" s="198">
        <f t="shared" si="735"/>
        <v>45677</v>
      </c>
      <c r="E6832" s="290">
        <f t="shared" ref="E6832:E6833" si="736">DATE(A6832,B6832,C6832)</f>
        <v>45677</v>
      </c>
      <c r="F6832" s="513" t="s">
        <v>1527</v>
      </c>
      <c r="G6832" s="200" t="s">
        <v>1209</v>
      </c>
      <c r="H6832" s="201"/>
      <c r="I6832" s="201"/>
      <c r="J6832" s="197" t="s">
        <v>54</v>
      </c>
      <c r="K6832" s="202">
        <v>60</v>
      </c>
      <c r="L6832" s="202"/>
      <c r="M6832" s="251"/>
      <c r="N6832" s="251"/>
      <c r="O6832" s="251"/>
    </row>
    <row r="6833" spans="1:15" ht="11.25" customHeight="1" x14ac:dyDescent="0.2">
      <c r="A6833" s="191">
        <v>2025</v>
      </c>
      <c r="B6833" s="191">
        <v>1</v>
      </c>
      <c r="C6833" s="191">
        <v>20</v>
      </c>
      <c r="D6833" s="192">
        <f t="shared" si="735"/>
        <v>45677</v>
      </c>
      <c r="E6833" s="291">
        <f t="shared" si="736"/>
        <v>45677</v>
      </c>
      <c r="F6833" s="514"/>
      <c r="G6833" s="194" t="s">
        <v>1209</v>
      </c>
      <c r="H6833" s="195"/>
      <c r="I6833" s="195"/>
      <c r="J6833" s="191" t="s">
        <v>46</v>
      </c>
      <c r="K6833" s="196"/>
      <c r="L6833" s="196">
        <v>60</v>
      </c>
      <c r="M6833" s="251"/>
      <c r="N6833" s="251"/>
      <c r="O6833" s="251"/>
    </row>
    <row r="6834" spans="1:15" ht="11.25" customHeight="1" x14ac:dyDescent="0.2">
      <c r="A6834" s="197">
        <v>2025</v>
      </c>
      <c r="B6834" s="197">
        <v>1</v>
      </c>
      <c r="C6834" s="197">
        <v>21</v>
      </c>
      <c r="D6834" s="198">
        <f t="shared" si="735"/>
        <v>45678</v>
      </c>
      <c r="E6834" s="209">
        <f t="shared" ref="E6834:E6844" si="737">DATE(A6834,B6834,C6834)</f>
        <v>45678</v>
      </c>
      <c r="F6834" s="513" t="s">
        <v>1280</v>
      </c>
      <c r="G6834" s="200" t="s">
        <v>1209</v>
      </c>
      <c r="H6834" s="201"/>
      <c r="I6834" s="201" t="s">
        <v>1333</v>
      </c>
      <c r="J6834" s="197" t="s">
        <v>16</v>
      </c>
      <c r="K6834" s="202">
        <v>336760</v>
      </c>
      <c r="L6834" s="202"/>
      <c r="M6834" s="130"/>
      <c r="N6834" s="130"/>
    </row>
    <row r="6835" spans="1:15" ht="11.25" customHeight="1" x14ac:dyDescent="0.2">
      <c r="A6835" s="120">
        <v>2025</v>
      </c>
      <c r="B6835" s="120">
        <v>1</v>
      </c>
      <c r="C6835" s="120">
        <v>21</v>
      </c>
      <c r="D6835" s="208">
        <f t="shared" si="735"/>
        <v>45678</v>
      </c>
      <c r="E6835" s="209">
        <f t="shared" si="737"/>
        <v>45678</v>
      </c>
      <c r="F6835" s="515"/>
      <c r="G6835" s="132" t="s">
        <v>1209</v>
      </c>
      <c r="I6835" s="128" t="s">
        <v>1333</v>
      </c>
      <c r="J6835" s="120" t="s">
        <v>47</v>
      </c>
      <c r="K6835" s="207">
        <v>63243.530000000028</v>
      </c>
      <c r="L6835" s="207"/>
      <c r="M6835" s="130"/>
      <c r="N6835" s="130"/>
    </row>
    <row r="6836" spans="1:15" ht="11.25" customHeight="1" x14ac:dyDescent="0.2">
      <c r="A6836" s="191">
        <v>2025</v>
      </c>
      <c r="B6836" s="191">
        <v>1</v>
      </c>
      <c r="C6836" s="191">
        <v>21</v>
      </c>
      <c r="D6836" s="192">
        <f t="shared" si="735"/>
        <v>45678</v>
      </c>
      <c r="E6836" s="193">
        <f t="shared" si="737"/>
        <v>45678</v>
      </c>
      <c r="F6836" s="514"/>
      <c r="G6836" s="194" t="s">
        <v>1209</v>
      </c>
      <c r="H6836" s="195"/>
      <c r="I6836" s="195" t="s">
        <v>1333</v>
      </c>
      <c r="J6836" s="191" t="s">
        <v>46</v>
      </c>
      <c r="K6836" s="196"/>
      <c r="L6836" s="196">
        <v>400003.53</v>
      </c>
      <c r="M6836" s="130"/>
      <c r="N6836" s="130"/>
    </row>
    <row r="6837" spans="1:15" ht="11.25" customHeight="1" x14ac:dyDescent="0.2">
      <c r="A6837" s="197">
        <v>2025</v>
      </c>
      <c r="B6837" s="197">
        <v>1</v>
      </c>
      <c r="C6837" s="197">
        <v>22</v>
      </c>
      <c r="D6837" s="198">
        <f t="shared" si="735"/>
        <v>45679</v>
      </c>
      <c r="E6837" s="209">
        <f t="shared" si="737"/>
        <v>45679</v>
      </c>
      <c r="F6837" s="513" t="s">
        <v>1210</v>
      </c>
      <c r="G6837" s="200" t="s">
        <v>1209</v>
      </c>
      <c r="H6837" s="201"/>
      <c r="I6837" s="201" t="s">
        <v>1493</v>
      </c>
      <c r="J6837" s="197" t="s">
        <v>46</v>
      </c>
      <c r="K6837" s="202">
        <v>35634</v>
      </c>
      <c r="L6837" s="202"/>
    </row>
    <row r="6838" spans="1:15" ht="11.25" customHeight="1" x14ac:dyDescent="0.2">
      <c r="A6838" s="120">
        <v>2025</v>
      </c>
      <c r="B6838" s="120">
        <v>1</v>
      </c>
      <c r="C6838" s="120">
        <v>22</v>
      </c>
      <c r="D6838" s="208">
        <f t="shared" si="735"/>
        <v>45679</v>
      </c>
      <c r="E6838" s="209">
        <f t="shared" si="737"/>
        <v>45679</v>
      </c>
      <c r="F6838" s="515"/>
      <c r="G6838" s="132" t="s">
        <v>1209</v>
      </c>
      <c r="I6838" s="128" t="s">
        <v>1493</v>
      </c>
      <c r="J6838" s="120" t="s">
        <v>16</v>
      </c>
      <c r="K6838" s="207"/>
      <c r="L6838" s="207">
        <v>30000</v>
      </c>
    </row>
    <row r="6839" spans="1:15" ht="11.25" customHeight="1" x14ac:dyDescent="0.2">
      <c r="A6839" s="191">
        <v>2025</v>
      </c>
      <c r="B6839" s="191">
        <v>1</v>
      </c>
      <c r="C6839" s="191">
        <v>22</v>
      </c>
      <c r="D6839" s="192">
        <f t="shared" si="735"/>
        <v>45679</v>
      </c>
      <c r="E6839" s="193">
        <f t="shared" si="737"/>
        <v>45679</v>
      </c>
      <c r="F6839" s="514"/>
      <c r="G6839" s="194" t="s">
        <v>1209</v>
      </c>
      <c r="H6839" s="195"/>
      <c r="I6839" s="195" t="s">
        <v>1493</v>
      </c>
      <c r="J6839" s="191" t="s">
        <v>47</v>
      </c>
      <c r="K6839" s="196"/>
      <c r="L6839" s="196">
        <v>5634</v>
      </c>
    </row>
    <row r="6840" spans="1:15" ht="11.25" customHeight="1" x14ac:dyDescent="0.2">
      <c r="A6840" s="197">
        <v>2025</v>
      </c>
      <c r="B6840" s="197">
        <v>1</v>
      </c>
      <c r="C6840" s="197">
        <v>22</v>
      </c>
      <c r="D6840" s="198">
        <f t="shared" si="735"/>
        <v>45679</v>
      </c>
      <c r="E6840" s="199">
        <f t="shared" si="737"/>
        <v>45679</v>
      </c>
      <c r="F6840" s="513" t="s">
        <v>1389</v>
      </c>
      <c r="G6840" s="200" t="s">
        <v>1209</v>
      </c>
      <c r="H6840" s="200"/>
      <c r="I6840" s="201" t="s">
        <v>1253</v>
      </c>
      <c r="J6840" s="248" t="s">
        <v>84</v>
      </c>
      <c r="K6840" s="202">
        <v>25</v>
      </c>
      <c r="L6840" s="202"/>
      <c r="M6840" s="251"/>
    </row>
    <row r="6841" spans="1:15" ht="11.25" customHeight="1" x14ac:dyDescent="0.2">
      <c r="A6841" s="120">
        <v>2025</v>
      </c>
      <c r="B6841" s="120">
        <v>1</v>
      </c>
      <c r="C6841" s="120">
        <v>22</v>
      </c>
      <c r="D6841" s="208">
        <f t="shared" si="735"/>
        <v>45679</v>
      </c>
      <c r="E6841" s="209">
        <f t="shared" si="737"/>
        <v>45679</v>
      </c>
      <c r="F6841" s="515"/>
      <c r="G6841" s="132" t="s">
        <v>1209</v>
      </c>
      <c r="H6841" s="132"/>
      <c r="J6841" s="129" t="s">
        <v>457</v>
      </c>
      <c r="K6841" s="207"/>
      <c r="L6841" s="207">
        <v>2.5</v>
      </c>
      <c r="M6841" s="251"/>
    </row>
    <row r="6842" spans="1:15" ht="11.25" customHeight="1" x14ac:dyDescent="0.2">
      <c r="A6842" s="191">
        <v>2025</v>
      </c>
      <c r="B6842" s="191">
        <v>1</v>
      </c>
      <c r="C6842" s="191">
        <v>22</v>
      </c>
      <c r="D6842" s="192">
        <f t="shared" si="735"/>
        <v>45679</v>
      </c>
      <c r="E6842" s="193">
        <f t="shared" si="737"/>
        <v>45679</v>
      </c>
      <c r="F6842" s="514"/>
      <c r="G6842" s="194" t="s">
        <v>1209</v>
      </c>
      <c r="H6842" s="194"/>
      <c r="I6842" s="195" t="s">
        <v>1253</v>
      </c>
      <c r="J6842" s="250" t="s">
        <v>46</v>
      </c>
      <c r="K6842" s="196"/>
      <c r="L6842" s="196">
        <v>22.5</v>
      </c>
      <c r="M6842" s="251"/>
    </row>
    <row r="6843" spans="1:15" ht="11.25" customHeight="1" x14ac:dyDescent="0.2">
      <c r="A6843" s="197">
        <v>2025</v>
      </c>
      <c r="B6843" s="197">
        <v>1</v>
      </c>
      <c r="C6843" s="197">
        <v>22</v>
      </c>
      <c r="D6843" s="198">
        <f t="shared" si="735"/>
        <v>45679</v>
      </c>
      <c r="E6843" s="199">
        <f t="shared" si="737"/>
        <v>45679</v>
      </c>
      <c r="F6843" s="513" t="s">
        <v>1965</v>
      </c>
      <c r="G6843" s="200" t="s">
        <v>1209</v>
      </c>
      <c r="H6843" s="201"/>
      <c r="I6843" s="201" t="s">
        <v>1253</v>
      </c>
      <c r="J6843" s="197" t="s">
        <v>1837</v>
      </c>
      <c r="K6843" s="202">
        <v>20022880</v>
      </c>
      <c r="L6843" s="202"/>
    </row>
    <row r="6844" spans="1:15" ht="11.25" customHeight="1" x14ac:dyDescent="0.2">
      <c r="A6844" s="191">
        <v>2025</v>
      </c>
      <c r="B6844" s="191">
        <v>1</v>
      </c>
      <c r="C6844" s="191">
        <v>22</v>
      </c>
      <c r="D6844" s="192">
        <f t="shared" si="735"/>
        <v>45679</v>
      </c>
      <c r="E6844" s="193">
        <f t="shared" si="737"/>
        <v>45679</v>
      </c>
      <c r="F6844" s="514"/>
      <c r="G6844" s="194" t="s">
        <v>1209</v>
      </c>
      <c r="H6844" s="195"/>
      <c r="I6844" s="195" t="s">
        <v>1253</v>
      </c>
      <c r="J6844" s="191" t="s">
        <v>46</v>
      </c>
      <c r="K6844" s="196"/>
      <c r="L6844" s="196">
        <v>20022880</v>
      </c>
      <c r="N6844" s="130"/>
    </row>
    <row r="6845" spans="1:15" ht="11.25" customHeight="1" x14ac:dyDescent="0.2">
      <c r="A6845" s="197">
        <v>2025</v>
      </c>
      <c r="B6845" s="197">
        <v>1</v>
      </c>
      <c r="C6845" s="197">
        <v>23</v>
      </c>
      <c r="D6845" s="198">
        <f t="shared" si="735"/>
        <v>45680</v>
      </c>
      <c r="E6845" s="209">
        <f t="shared" ref="E6845:E6850" si="738">DATE(A6845,B6845,C6845)</f>
        <v>45680</v>
      </c>
      <c r="F6845" s="513" t="s">
        <v>1280</v>
      </c>
      <c r="G6845" s="200" t="s">
        <v>1209</v>
      </c>
      <c r="H6845" s="201"/>
      <c r="I6845" s="201" t="s">
        <v>1819</v>
      </c>
      <c r="J6845" s="197" t="s">
        <v>16</v>
      </c>
      <c r="K6845" s="202">
        <v>448350</v>
      </c>
      <c r="L6845" s="202"/>
      <c r="M6845" s="130"/>
      <c r="N6845" s="130"/>
    </row>
    <row r="6846" spans="1:15" ht="11.25" customHeight="1" x14ac:dyDescent="0.2">
      <c r="A6846" s="120">
        <v>2025</v>
      </c>
      <c r="B6846" s="120">
        <v>1</v>
      </c>
      <c r="C6846" s="120">
        <v>23</v>
      </c>
      <c r="D6846" s="208">
        <f t="shared" si="735"/>
        <v>45680</v>
      </c>
      <c r="E6846" s="209">
        <f t="shared" si="738"/>
        <v>45680</v>
      </c>
      <c r="F6846" s="515"/>
      <c r="G6846" s="132" t="s">
        <v>1209</v>
      </c>
      <c r="I6846" s="128" t="s">
        <v>1819</v>
      </c>
      <c r="J6846" s="120" t="s">
        <v>47</v>
      </c>
      <c r="K6846" s="207">
        <v>84200.13</v>
      </c>
      <c r="L6846" s="207"/>
      <c r="M6846" s="130"/>
      <c r="N6846" s="130"/>
    </row>
    <row r="6847" spans="1:15" ht="11.25" customHeight="1" x14ac:dyDescent="0.2">
      <c r="A6847" s="191">
        <v>2025</v>
      </c>
      <c r="B6847" s="191">
        <v>1</v>
      </c>
      <c r="C6847" s="191">
        <v>23</v>
      </c>
      <c r="D6847" s="192">
        <f t="shared" si="735"/>
        <v>45680</v>
      </c>
      <c r="E6847" s="193">
        <f t="shared" si="738"/>
        <v>45680</v>
      </c>
      <c r="F6847" s="514"/>
      <c r="G6847" s="194" t="s">
        <v>1209</v>
      </c>
      <c r="H6847" s="195"/>
      <c r="I6847" s="195" t="s">
        <v>1819</v>
      </c>
      <c r="J6847" s="191" t="s">
        <v>46</v>
      </c>
      <c r="K6847" s="196"/>
      <c r="L6847" s="196">
        <v>532550.13</v>
      </c>
      <c r="M6847" s="130"/>
      <c r="N6847" s="130"/>
    </row>
    <row r="6848" spans="1:15" ht="11.25" customHeight="1" x14ac:dyDescent="0.2">
      <c r="A6848" s="197">
        <v>2025</v>
      </c>
      <c r="B6848" s="197">
        <v>1</v>
      </c>
      <c r="C6848" s="197">
        <v>23</v>
      </c>
      <c r="D6848" s="198">
        <f t="shared" si="735"/>
        <v>45680</v>
      </c>
      <c r="E6848" s="209">
        <f t="shared" si="738"/>
        <v>45680</v>
      </c>
      <c r="F6848" s="513" t="s">
        <v>1296</v>
      </c>
      <c r="G6848" s="200" t="s">
        <v>1209</v>
      </c>
      <c r="H6848" s="201"/>
      <c r="I6848" s="201" t="s">
        <v>389</v>
      </c>
      <c r="J6848" s="197" t="s">
        <v>46</v>
      </c>
      <c r="K6848" s="202">
        <v>50000</v>
      </c>
      <c r="L6848" s="202"/>
    </row>
    <row r="6849" spans="1:13" ht="11.25" customHeight="1" x14ac:dyDescent="0.2">
      <c r="A6849" s="120">
        <v>2025</v>
      </c>
      <c r="B6849" s="120">
        <v>1</v>
      </c>
      <c r="C6849" s="120">
        <v>23</v>
      </c>
      <c r="D6849" s="208">
        <f t="shared" si="735"/>
        <v>45680</v>
      </c>
      <c r="E6849" s="209">
        <f t="shared" si="738"/>
        <v>45680</v>
      </c>
      <c r="F6849" s="515"/>
      <c r="G6849" s="132" t="s">
        <v>1209</v>
      </c>
      <c r="I6849" s="128" t="s">
        <v>389</v>
      </c>
      <c r="J6849" s="120" t="s">
        <v>16</v>
      </c>
      <c r="K6849" s="207"/>
      <c r="L6849" s="207">
        <v>42090</v>
      </c>
    </row>
    <row r="6850" spans="1:13" ht="11.25" customHeight="1" x14ac:dyDescent="0.2">
      <c r="A6850" s="191">
        <v>2025</v>
      </c>
      <c r="B6850" s="191">
        <v>1</v>
      </c>
      <c r="C6850" s="191">
        <v>23</v>
      </c>
      <c r="D6850" s="192">
        <f t="shared" si="735"/>
        <v>45680</v>
      </c>
      <c r="E6850" s="193">
        <f t="shared" si="738"/>
        <v>45680</v>
      </c>
      <c r="F6850" s="514"/>
      <c r="G6850" s="194" t="s">
        <v>1209</v>
      </c>
      <c r="H6850" s="195"/>
      <c r="I6850" s="195" t="s">
        <v>389</v>
      </c>
      <c r="J6850" s="191" t="s">
        <v>47</v>
      </c>
      <c r="K6850" s="196"/>
      <c r="L6850" s="196">
        <v>7910</v>
      </c>
    </row>
    <row r="6851" spans="1:13" ht="11.25" customHeight="1" x14ac:dyDescent="0.2">
      <c r="A6851" s="197">
        <v>2025</v>
      </c>
      <c r="B6851" s="197">
        <v>1</v>
      </c>
      <c r="C6851" s="197">
        <v>23</v>
      </c>
      <c r="D6851" s="198">
        <f t="shared" si="735"/>
        <v>45680</v>
      </c>
      <c r="E6851" s="209">
        <f t="shared" ref="E6851:E6853" si="739">DATE(A6851,B6851,C6851)</f>
        <v>45680</v>
      </c>
      <c r="F6851" s="513" t="s">
        <v>1210</v>
      </c>
      <c r="G6851" s="200" t="s">
        <v>1209</v>
      </c>
      <c r="H6851" s="201"/>
      <c r="I6851" s="201" t="s">
        <v>349</v>
      </c>
      <c r="J6851" s="197" t="s">
        <v>46</v>
      </c>
      <c r="K6851" s="202">
        <v>680000</v>
      </c>
      <c r="L6851" s="202"/>
    </row>
    <row r="6852" spans="1:13" ht="11.25" customHeight="1" x14ac:dyDescent="0.2">
      <c r="A6852" s="120">
        <v>2025</v>
      </c>
      <c r="B6852" s="120">
        <v>1</v>
      </c>
      <c r="C6852" s="120">
        <v>23</v>
      </c>
      <c r="D6852" s="208">
        <f t="shared" si="735"/>
        <v>45680</v>
      </c>
      <c r="E6852" s="209">
        <f t="shared" si="739"/>
        <v>45680</v>
      </c>
      <c r="F6852" s="515"/>
      <c r="G6852" s="132" t="s">
        <v>1209</v>
      </c>
      <c r="I6852" s="128" t="s">
        <v>349</v>
      </c>
      <c r="J6852" s="120" t="s">
        <v>16</v>
      </c>
      <c r="K6852" s="207"/>
      <c r="L6852" s="207">
        <v>572490</v>
      </c>
    </row>
    <row r="6853" spans="1:13" ht="11.25" customHeight="1" x14ac:dyDescent="0.2">
      <c r="A6853" s="191">
        <v>2025</v>
      </c>
      <c r="B6853" s="191">
        <v>1</v>
      </c>
      <c r="C6853" s="191">
        <v>23</v>
      </c>
      <c r="D6853" s="192">
        <f t="shared" si="735"/>
        <v>45680</v>
      </c>
      <c r="E6853" s="193">
        <f t="shared" si="739"/>
        <v>45680</v>
      </c>
      <c r="F6853" s="514"/>
      <c r="G6853" s="194" t="s">
        <v>1209</v>
      </c>
      <c r="H6853" s="195"/>
      <c r="I6853" s="195" t="s">
        <v>349</v>
      </c>
      <c r="J6853" s="191" t="s">
        <v>47</v>
      </c>
      <c r="K6853" s="196"/>
      <c r="L6853" s="196">
        <v>107510</v>
      </c>
    </row>
    <row r="6854" spans="1:13" ht="11.25" customHeight="1" x14ac:dyDescent="0.2">
      <c r="A6854" s="197">
        <v>2025</v>
      </c>
      <c r="B6854" s="197">
        <v>1</v>
      </c>
      <c r="C6854" s="197">
        <v>23</v>
      </c>
      <c r="D6854" s="198">
        <f t="shared" si="735"/>
        <v>45680</v>
      </c>
      <c r="E6854" s="209">
        <f t="shared" ref="E6854:E6871" si="740">DATE(A6854,B6854,C6854)</f>
        <v>45680</v>
      </c>
      <c r="F6854" s="513" t="s">
        <v>1210</v>
      </c>
      <c r="G6854" s="200" t="s">
        <v>1209</v>
      </c>
      <c r="H6854" s="201"/>
      <c r="I6854" s="201" t="s">
        <v>355</v>
      </c>
      <c r="J6854" s="197" t="s">
        <v>46</v>
      </c>
      <c r="K6854" s="202">
        <v>12000</v>
      </c>
      <c r="L6854" s="202"/>
    </row>
    <row r="6855" spans="1:13" ht="11.25" customHeight="1" x14ac:dyDescent="0.2">
      <c r="A6855" s="120">
        <v>2025</v>
      </c>
      <c r="B6855" s="120">
        <v>1</v>
      </c>
      <c r="C6855" s="120">
        <v>23</v>
      </c>
      <c r="D6855" s="208">
        <f t="shared" si="735"/>
        <v>45680</v>
      </c>
      <c r="E6855" s="209">
        <f t="shared" si="740"/>
        <v>45680</v>
      </c>
      <c r="F6855" s="515"/>
      <c r="G6855" s="132" t="s">
        <v>1209</v>
      </c>
      <c r="I6855" s="128" t="s">
        <v>355</v>
      </c>
      <c r="J6855" s="120" t="s">
        <v>16</v>
      </c>
      <c r="K6855" s="207"/>
      <c r="L6855" s="207">
        <v>10100</v>
      </c>
    </row>
    <row r="6856" spans="1:13" ht="11.25" customHeight="1" x14ac:dyDescent="0.2">
      <c r="A6856" s="191">
        <v>2025</v>
      </c>
      <c r="B6856" s="191">
        <v>1</v>
      </c>
      <c r="C6856" s="191">
        <v>23</v>
      </c>
      <c r="D6856" s="192">
        <f t="shared" si="735"/>
        <v>45680</v>
      </c>
      <c r="E6856" s="193">
        <f t="shared" si="740"/>
        <v>45680</v>
      </c>
      <c r="F6856" s="514"/>
      <c r="G6856" s="194" t="s">
        <v>1209</v>
      </c>
      <c r="H6856" s="195"/>
      <c r="I6856" s="195" t="s">
        <v>355</v>
      </c>
      <c r="J6856" s="191" t="s">
        <v>47</v>
      </c>
      <c r="K6856" s="196"/>
      <c r="L6856" s="196">
        <v>1900</v>
      </c>
    </row>
    <row r="6857" spans="1:13" ht="11.25" customHeight="1" x14ac:dyDescent="0.2">
      <c r="A6857" s="197">
        <v>2025</v>
      </c>
      <c r="B6857" s="197">
        <v>1</v>
      </c>
      <c r="C6857" s="197">
        <v>23</v>
      </c>
      <c r="D6857" s="198">
        <f t="shared" si="735"/>
        <v>45680</v>
      </c>
      <c r="E6857" s="209">
        <f t="shared" ref="E6857:E6862" si="741">DATE(A6857,B6857,C6857)</f>
        <v>45680</v>
      </c>
      <c r="F6857" s="513" t="s">
        <v>1210</v>
      </c>
      <c r="G6857" s="200" t="s">
        <v>1209</v>
      </c>
      <c r="H6857" s="201"/>
      <c r="I6857" s="201" t="s">
        <v>1911</v>
      </c>
      <c r="J6857" s="197" t="s">
        <v>46</v>
      </c>
      <c r="K6857" s="202">
        <v>300000</v>
      </c>
      <c r="L6857" s="202"/>
    </row>
    <row r="6858" spans="1:13" ht="11.25" customHeight="1" x14ac:dyDescent="0.2">
      <c r="A6858" s="120">
        <v>2025</v>
      </c>
      <c r="B6858" s="120">
        <v>1</v>
      </c>
      <c r="C6858" s="120">
        <v>23</v>
      </c>
      <c r="D6858" s="208">
        <f t="shared" si="735"/>
        <v>45680</v>
      </c>
      <c r="E6858" s="209">
        <f t="shared" si="741"/>
        <v>45680</v>
      </c>
      <c r="F6858" s="515"/>
      <c r="G6858" s="132" t="s">
        <v>1209</v>
      </c>
      <c r="I6858" s="128" t="s">
        <v>1911</v>
      </c>
      <c r="J6858" s="120" t="s">
        <v>16</v>
      </c>
      <c r="K6858" s="207"/>
      <c r="L6858" s="207">
        <v>252570</v>
      </c>
    </row>
    <row r="6859" spans="1:13" ht="11.25" customHeight="1" x14ac:dyDescent="0.2">
      <c r="A6859" s="191">
        <v>2025</v>
      </c>
      <c r="B6859" s="191">
        <v>1</v>
      </c>
      <c r="C6859" s="191">
        <v>23</v>
      </c>
      <c r="D6859" s="192">
        <f t="shared" si="735"/>
        <v>45680</v>
      </c>
      <c r="E6859" s="193">
        <f t="shared" si="741"/>
        <v>45680</v>
      </c>
      <c r="F6859" s="514"/>
      <c r="G6859" s="194" t="s">
        <v>1209</v>
      </c>
      <c r="H6859" s="195"/>
      <c r="I6859" s="195" t="s">
        <v>1911</v>
      </c>
      <c r="J6859" s="191" t="s">
        <v>47</v>
      </c>
      <c r="K6859" s="196"/>
      <c r="L6859" s="196">
        <v>47430</v>
      </c>
    </row>
    <row r="6860" spans="1:13" ht="11.25" customHeight="1" x14ac:dyDescent="0.2">
      <c r="A6860" s="197">
        <v>2025</v>
      </c>
      <c r="B6860" s="197">
        <v>1</v>
      </c>
      <c r="C6860" s="197">
        <v>23</v>
      </c>
      <c r="D6860" s="198">
        <f t="shared" si="735"/>
        <v>45680</v>
      </c>
      <c r="E6860" s="199">
        <f t="shared" si="741"/>
        <v>45680</v>
      </c>
      <c r="F6860" s="513" t="s">
        <v>1968</v>
      </c>
      <c r="G6860" s="200" t="s">
        <v>1245</v>
      </c>
      <c r="H6860" s="201"/>
      <c r="I6860" s="201"/>
      <c r="J6860" s="197" t="s">
        <v>46</v>
      </c>
      <c r="K6860" s="202">
        <v>1731909.38</v>
      </c>
      <c r="L6860" s="202"/>
    </row>
    <row r="6861" spans="1:13" ht="11.25" customHeight="1" x14ac:dyDescent="0.2">
      <c r="A6861" s="120">
        <v>2025</v>
      </c>
      <c r="B6861" s="120">
        <v>1</v>
      </c>
      <c r="C6861" s="120">
        <v>23</v>
      </c>
      <c r="D6861" s="208">
        <f t="shared" si="735"/>
        <v>45680</v>
      </c>
      <c r="E6861" s="209">
        <f t="shared" si="741"/>
        <v>45680</v>
      </c>
      <c r="F6861" s="515"/>
      <c r="G6861" s="132" t="s">
        <v>1245</v>
      </c>
      <c r="J6861" s="120" t="s">
        <v>178</v>
      </c>
      <c r="K6861" s="207"/>
      <c r="L6861" s="207">
        <v>1496250</v>
      </c>
    </row>
    <row r="6862" spans="1:13" ht="11.25" customHeight="1" x14ac:dyDescent="0.2">
      <c r="A6862" s="191">
        <v>2025</v>
      </c>
      <c r="B6862" s="191">
        <v>1</v>
      </c>
      <c r="C6862" s="191">
        <v>23</v>
      </c>
      <c r="D6862" s="192">
        <f t="shared" si="735"/>
        <v>45680</v>
      </c>
      <c r="E6862" s="193">
        <f t="shared" si="741"/>
        <v>45680</v>
      </c>
      <c r="F6862" s="514"/>
      <c r="G6862" s="194" t="s">
        <v>1245</v>
      </c>
      <c r="H6862" s="195"/>
      <c r="I6862" s="195"/>
      <c r="J6862" s="191" t="s">
        <v>1284</v>
      </c>
      <c r="K6862" s="196"/>
      <c r="L6862" s="196">
        <v>235659.38</v>
      </c>
    </row>
    <row r="6863" spans="1:13" ht="11.25" customHeight="1" x14ac:dyDescent="0.2">
      <c r="A6863" s="424">
        <v>2025</v>
      </c>
      <c r="B6863" s="424">
        <v>1</v>
      </c>
      <c r="C6863" s="424">
        <v>23</v>
      </c>
      <c r="D6863" s="425">
        <f t="shared" si="735"/>
        <v>45680</v>
      </c>
      <c r="E6863" s="384">
        <f t="shared" si="740"/>
        <v>45680</v>
      </c>
      <c r="F6863" s="516" t="s">
        <v>1850</v>
      </c>
      <c r="G6863" s="426" t="s">
        <v>1209</v>
      </c>
      <c r="H6863" s="427"/>
      <c r="I6863" s="427"/>
      <c r="J6863" s="428" t="s">
        <v>81</v>
      </c>
      <c r="K6863" s="429">
        <v>6973.2450980392159</v>
      </c>
      <c r="L6863" s="429"/>
      <c r="M6863" s="130"/>
    </row>
    <row r="6864" spans="1:13" ht="11.25" customHeight="1" x14ac:dyDescent="0.2">
      <c r="A6864" s="389">
        <v>2025</v>
      </c>
      <c r="B6864" s="389">
        <v>1</v>
      </c>
      <c r="C6864" s="389">
        <v>23</v>
      </c>
      <c r="D6864" s="390">
        <f t="shared" si="735"/>
        <v>45680</v>
      </c>
      <c r="E6864" s="391">
        <f t="shared" si="740"/>
        <v>45680</v>
      </c>
      <c r="F6864" s="517"/>
      <c r="G6864" s="392" t="s">
        <v>1209</v>
      </c>
      <c r="H6864" s="393"/>
      <c r="I6864" s="393"/>
      <c r="J6864" s="394" t="s">
        <v>1847</v>
      </c>
      <c r="K6864" s="423"/>
      <c r="L6864" s="423">
        <v>6973.2450980392159</v>
      </c>
    </row>
    <row r="6865" spans="1:13" ht="11.25" customHeight="1" x14ac:dyDescent="0.2">
      <c r="A6865" s="382">
        <v>2025</v>
      </c>
      <c r="B6865" s="382">
        <v>1</v>
      </c>
      <c r="C6865" s="382">
        <v>23</v>
      </c>
      <c r="D6865" s="383">
        <f t="shared" si="735"/>
        <v>45680</v>
      </c>
      <c r="E6865" s="384">
        <f t="shared" si="740"/>
        <v>45680</v>
      </c>
      <c r="F6865" s="516" t="s">
        <v>1892</v>
      </c>
      <c r="G6865" s="385" t="s">
        <v>1209</v>
      </c>
      <c r="H6865" s="386"/>
      <c r="I6865" s="386"/>
      <c r="J6865" s="387" t="s">
        <v>173</v>
      </c>
      <c r="K6865" s="388">
        <v>4662.9076691875007</v>
      </c>
      <c r="L6865" s="388"/>
      <c r="M6865" s="130"/>
    </row>
    <row r="6866" spans="1:13" ht="11.25" customHeight="1" x14ac:dyDescent="0.2">
      <c r="A6866" s="389">
        <v>2025</v>
      </c>
      <c r="B6866" s="389">
        <v>1</v>
      </c>
      <c r="C6866" s="389">
        <v>23</v>
      </c>
      <c r="D6866" s="390">
        <f t="shared" si="735"/>
        <v>45680</v>
      </c>
      <c r="E6866" s="391">
        <f t="shared" si="740"/>
        <v>45680</v>
      </c>
      <c r="F6866" s="517"/>
      <c r="G6866" s="392" t="s">
        <v>1209</v>
      </c>
      <c r="H6866" s="393"/>
      <c r="I6866" s="393"/>
      <c r="J6866" s="394" t="s">
        <v>43</v>
      </c>
      <c r="K6866" s="388"/>
      <c r="L6866" s="388">
        <f>K6865</f>
        <v>4662.9076691875007</v>
      </c>
    </row>
    <row r="6867" spans="1:13" ht="11.25" customHeight="1" x14ac:dyDescent="0.2">
      <c r="A6867" s="344">
        <v>2025</v>
      </c>
      <c r="B6867" s="344">
        <v>1</v>
      </c>
      <c r="C6867" s="344">
        <v>23</v>
      </c>
      <c r="D6867" s="345">
        <f t="shared" si="735"/>
        <v>45680</v>
      </c>
      <c r="E6867" s="346">
        <f t="shared" si="740"/>
        <v>45680</v>
      </c>
      <c r="F6867" s="518" t="s">
        <v>1621</v>
      </c>
      <c r="G6867" s="347" t="s">
        <v>1245</v>
      </c>
      <c r="H6867" s="348"/>
      <c r="I6867" s="348" t="s">
        <v>1253</v>
      </c>
      <c r="J6867" s="344" t="s">
        <v>113</v>
      </c>
      <c r="K6867" s="349">
        <v>40048.080000000002</v>
      </c>
      <c r="L6867" s="349"/>
      <c r="M6867" s="130"/>
    </row>
    <row r="6868" spans="1:13" ht="11.25" customHeight="1" x14ac:dyDescent="0.2">
      <c r="A6868" s="350">
        <v>2025</v>
      </c>
      <c r="B6868" s="350">
        <v>1</v>
      </c>
      <c r="C6868" s="350">
        <v>23</v>
      </c>
      <c r="D6868" s="351">
        <f t="shared" si="735"/>
        <v>45680</v>
      </c>
      <c r="E6868" s="352">
        <f t="shared" si="740"/>
        <v>45680</v>
      </c>
      <c r="F6868" s="519"/>
      <c r="G6868" s="353" t="s">
        <v>1245</v>
      </c>
      <c r="H6868" s="354"/>
      <c r="I6868" s="354" t="s">
        <v>1253</v>
      </c>
      <c r="J6868" s="350" t="s">
        <v>153</v>
      </c>
      <c r="K6868" s="355"/>
      <c r="L6868" s="355">
        <f>K6867</f>
        <v>40048.080000000002</v>
      </c>
    </row>
    <row r="6869" spans="1:13" ht="11.25" customHeight="1" x14ac:dyDescent="0.2">
      <c r="A6869" s="210">
        <v>2025</v>
      </c>
      <c r="B6869" s="210">
        <v>1</v>
      </c>
      <c r="C6869" s="210">
        <v>23</v>
      </c>
      <c r="D6869" s="211">
        <f t="shared" si="735"/>
        <v>45680</v>
      </c>
      <c r="E6869" s="238">
        <f t="shared" si="740"/>
        <v>45680</v>
      </c>
      <c r="F6869" s="520" t="s">
        <v>1278</v>
      </c>
      <c r="G6869" s="213" t="s">
        <v>1245</v>
      </c>
      <c r="H6869" s="214"/>
      <c r="I6869" s="214" t="s">
        <v>1253</v>
      </c>
      <c r="J6869" s="210" t="s">
        <v>1529</v>
      </c>
      <c r="K6869" s="215">
        <v>510.40384615384613</v>
      </c>
      <c r="L6869" s="215"/>
      <c r="M6869" s="130"/>
    </row>
    <row r="6870" spans="1:13" ht="11.25" customHeight="1" x14ac:dyDescent="0.2">
      <c r="A6870" s="216">
        <v>2025</v>
      </c>
      <c r="B6870" s="216">
        <v>1</v>
      </c>
      <c r="C6870" s="216">
        <v>23</v>
      </c>
      <c r="D6870" s="217">
        <f t="shared" si="735"/>
        <v>45680</v>
      </c>
      <c r="E6870" s="239">
        <f t="shared" si="740"/>
        <v>45680</v>
      </c>
      <c r="F6870" s="521"/>
      <c r="G6870" s="219" t="s">
        <v>1245</v>
      </c>
      <c r="H6870" s="220"/>
      <c r="I6870" s="220" t="s">
        <v>1253</v>
      </c>
      <c r="J6870" s="216" t="s">
        <v>1581</v>
      </c>
      <c r="K6870" s="221"/>
      <c r="L6870" s="221">
        <v>510.40384615384613</v>
      </c>
    </row>
    <row r="6871" spans="1:13" ht="11.25" customHeight="1" x14ac:dyDescent="0.2">
      <c r="A6871" s="210">
        <v>2025</v>
      </c>
      <c r="B6871" s="210">
        <v>1</v>
      </c>
      <c r="C6871" s="210">
        <v>23</v>
      </c>
      <c r="D6871" s="211">
        <f t="shared" si="735"/>
        <v>45680</v>
      </c>
      <c r="E6871" s="238">
        <f t="shared" si="740"/>
        <v>45680</v>
      </c>
      <c r="F6871" s="520" t="s">
        <v>1857</v>
      </c>
      <c r="G6871" s="213" t="s">
        <v>1245</v>
      </c>
      <c r="H6871" s="214"/>
      <c r="I6871" s="214" t="s">
        <v>1253</v>
      </c>
      <c r="J6871" s="210" t="s">
        <v>1284</v>
      </c>
      <c r="K6871" s="215">
        <v>2341.8114143920593</v>
      </c>
      <c r="L6871" s="215"/>
      <c r="M6871" s="130"/>
    </row>
    <row r="6872" spans="1:13" ht="11.25" customHeight="1" x14ac:dyDescent="0.2">
      <c r="A6872" s="242">
        <v>2025</v>
      </c>
      <c r="B6872" s="242">
        <v>1</v>
      </c>
      <c r="C6872" s="242">
        <v>23</v>
      </c>
      <c r="D6872" s="243">
        <f t="shared" si="735"/>
        <v>45680</v>
      </c>
      <c r="E6872" s="244">
        <f>DATE(A6872,B6872,C6872)</f>
        <v>45680</v>
      </c>
      <c r="F6872" s="524"/>
      <c r="G6872" s="245" t="s">
        <v>1245</v>
      </c>
      <c r="H6872" s="246"/>
      <c r="I6872" s="246"/>
      <c r="J6872" s="242" t="s">
        <v>1582</v>
      </c>
      <c r="K6872" s="247"/>
      <c r="L6872" s="247">
        <f>K6871</f>
        <v>2341.8114143920593</v>
      </c>
    </row>
    <row r="6873" spans="1:13" ht="11.25" customHeight="1" x14ac:dyDescent="0.2">
      <c r="A6873" s="210">
        <v>2025</v>
      </c>
      <c r="B6873" s="210">
        <v>1</v>
      </c>
      <c r="C6873" s="210">
        <v>23</v>
      </c>
      <c r="D6873" s="211">
        <f t="shared" si="735"/>
        <v>45680</v>
      </c>
      <c r="E6873" s="238">
        <f t="shared" ref="E6873:E6886" si="742">DATE(A6873,B6873,C6873)</f>
        <v>45680</v>
      </c>
      <c r="F6873" s="520" t="s">
        <v>2055</v>
      </c>
      <c r="G6873" s="213" t="s">
        <v>1245</v>
      </c>
      <c r="H6873" s="214"/>
      <c r="I6873" s="214" t="s">
        <v>1253</v>
      </c>
      <c r="J6873" s="210" t="s">
        <v>58</v>
      </c>
      <c r="K6873" s="215">
        <v>28744.89</v>
      </c>
      <c r="L6873" s="215"/>
    </row>
    <row r="6874" spans="1:13" ht="11.25" customHeight="1" x14ac:dyDescent="0.2">
      <c r="A6874" s="216">
        <v>2025</v>
      </c>
      <c r="B6874" s="216">
        <v>1</v>
      </c>
      <c r="C6874" s="216">
        <v>23</v>
      </c>
      <c r="D6874" s="217">
        <f t="shared" si="735"/>
        <v>45680</v>
      </c>
      <c r="E6874" s="239">
        <f t="shared" si="742"/>
        <v>45680</v>
      </c>
      <c r="F6874" s="521"/>
      <c r="G6874" s="219" t="s">
        <v>1245</v>
      </c>
      <c r="H6874" s="220"/>
      <c r="I6874" s="220" t="s">
        <v>1253</v>
      </c>
      <c r="J6874" s="216" t="s">
        <v>153</v>
      </c>
      <c r="K6874" s="221"/>
      <c r="L6874" s="221">
        <f>K6873</f>
        <v>28744.89</v>
      </c>
    </row>
    <row r="6875" spans="1:13" ht="11.25" customHeight="1" x14ac:dyDescent="0.2">
      <c r="A6875" s="312">
        <v>2025</v>
      </c>
      <c r="B6875" s="312">
        <v>1</v>
      </c>
      <c r="C6875" s="312">
        <v>23</v>
      </c>
      <c r="D6875" s="313">
        <f t="shared" si="735"/>
        <v>45680</v>
      </c>
      <c r="E6875" s="314">
        <f t="shared" si="742"/>
        <v>45680</v>
      </c>
      <c r="F6875" s="522" t="s">
        <v>1477</v>
      </c>
      <c r="G6875" s="315" t="s">
        <v>1245</v>
      </c>
      <c r="H6875" s="316"/>
      <c r="I6875" s="316" t="s">
        <v>1253</v>
      </c>
      <c r="J6875" s="312" t="s">
        <v>1460</v>
      </c>
      <c r="K6875" s="317">
        <v>7492</v>
      </c>
      <c r="L6875" s="317"/>
      <c r="M6875" s="120">
        <f>BS!$I$11</f>
        <v>5.9604644775390625E-8</v>
      </c>
    </row>
    <row r="6876" spans="1:13" ht="11.25" customHeight="1" x14ac:dyDescent="0.2">
      <c r="A6876" s="318">
        <v>2025</v>
      </c>
      <c r="B6876" s="318">
        <v>1</v>
      </c>
      <c r="C6876" s="318">
        <v>23</v>
      </c>
      <c r="D6876" s="319">
        <f t="shared" si="735"/>
        <v>45680</v>
      </c>
      <c r="E6876" s="320">
        <f t="shared" si="742"/>
        <v>45680</v>
      </c>
      <c r="F6876" s="523"/>
      <c r="G6876" s="321" t="s">
        <v>1245</v>
      </c>
      <c r="H6876" s="322"/>
      <c r="I6876" s="322" t="s">
        <v>1253</v>
      </c>
      <c r="J6876" s="318" t="s">
        <v>1458</v>
      </c>
      <c r="K6876" s="323"/>
      <c r="L6876" s="323">
        <f>K6875</f>
        <v>7492</v>
      </c>
    </row>
    <row r="6877" spans="1:13" ht="11.25" customHeight="1" x14ac:dyDescent="0.2">
      <c r="A6877" s="312">
        <v>2025</v>
      </c>
      <c r="B6877" s="312">
        <v>1</v>
      </c>
      <c r="C6877" s="312">
        <v>23</v>
      </c>
      <c r="D6877" s="313">
        <f t="shared" si="735"/>
        <v>45680</v>
      </c>
      <c r="E6877" s="314">
        <f t="shared" si="742"/>
        <v>45680</v>
      </c>
      <c r="F6877" s="522" t="s">
        <v>1595</v>
      </c>
      <c r="G6877" s="315" t="s">
        <v>1245</v>
      </c>
      <c r="H6877" s="316"/>
      <c r="I6877" s="316" t="s">
        <v>1253</v>
      </c>
      <c r="J6877" s="312" t="s">
        <v>1461</v>
      </c>
      <c r="K6877" s="317">
        <v>894959.50199985504</v>
      </c>
      <c r="L6877" s="317"/>
      <c r="M6877" s="120">
        <f>BS!$I$14</f>
        <v>0</v>
      </c>
    </row>
    <row r="6878" spans="1:13" ht="11.25" customHeight="1" x14ac:dyDescent="0.2">
      <c r="A6878" s="318">
        <v>2025</v>
      </c>
      <c r="B6878" s="318">
        <v>1</v>
      </c>
      <c r="C6878" s="318">
        <v>23</v>
      </c>
      <c r="D6878" s="319">
        <f t="shared" si="735"/>
        <v>45680</v>
      </c>
      <c r="E6878" s="320">
        <f t="shared" si="742"/>
        <v>45680</v>
      </c>
      <c r="F6878" s="523"/>
      <c r="G6878" s="321" t="s">
        <v>1245</v>
      </c>
      <c r="H6878" s="322"/>
      <c r="I6878" s="322" t="s">
        <v>1253</v>
      </c>
      <c r="J6878" s="318" t="s">
        <v>1459</v>
      </c>
      <c r="K6878" s="323"/>
      <c r="L6878" s="323">
        <f>K6877</f>
        <v>894959.50199985504</v>
      </c>
    </row>
    <row r="6879" spans="1:13" ht="11.25" customHeight="1" x14ac:dyDescent="0.2">
      <c r="A6879" s="222">
        <v>2025</v>
      </c>
      <c r="B6879" s="222">
        <v>1</v>
      </c>
      <c r="C6879" s="222">
        <v>23</v>
      </c>
      <c r="D6879" s="223">
        <f t="shared" si="735"/>
        <v>45680</v>
      </c>
      <c r="E6879" s="240">
        <f t="shared" si="742"/>
        <v>45680</v>
      </c>
      <c r="F6879" s="511" t="s">
        <v>1244</v>
      </c>
      <c r="G6879" s="225" t="s">
        <v>1245</v>
      </c>
      <c r="H6879" s="226"/>
      <c r="I6879" s="226" t="s">
        <v>1253</v>
      </c>
      <c r="J6879" s="222" t="s">
        <v>87</v>
      </c>
      <c r="K6879" s="227">
        <v>192625</v>
      </c>
      <c r="L6879" s="227"/>
      <c r="M6879" s="120">
        <f>BS!$I$7</f>
        <v>0</v>
      </c>
    </row>
    <row r="6880" spans="1:13" ht="11.25" customHeight="1" x14ac:dyDescent="0.2">
      <c r="A6880" s="228">
        <v>2025</v>
      </c>
      <c r="B6880" s="228">
        <v>1</v>
      </c>
      <c r="C6880" s="228">
        <v>23</v>
      </c>
      <c r="D6880" s="229">
        <f t="shared" si="735"/>
        <v>45680</v>
      </c>
      <c r="E6880" s="241">
        <f t="shared" si="742"/>
        <v>45680</v>
      </c>
      <c r="F6880" s="512"/>
      <c r="G6880" s="231" t="s">
        <v>1245</v>
      </c>
      <c r="H6880" s="232"/>
      <c r="I6880" s="232" t="s">
        <v>1253</v>
      </c>
      <c r="J6880" s="228" t="s">
        <v>72</v>
      </c>
      <c r="K6880" s="233"/>
      <c r="L6880" s="233">
        <f>K6879</f>
        <v>192625</v>
      </c>
    </row>
    <row r="6881" spans="1:14" ht="11.25" customHeight="1" x14ac:dyDescent="0.2">
      <c r="A6881" s="222">
        <v>2025</v>
      </c>
      <c r="B6881" s="222">
        <v>1</v>
      </c>
      <c r="C6881" s="222">
        <v>23</v>
      </c>
      <c r="D6881" s="223">
        <f t="shared" si="735"/>
        <v>45680</v>
      </c>
      <c r="E6881" s="240">
        <f t="shared" si="742"/>
        <v>45680</v>
      </c>
      <c r="F6881" s="511" t="s">
        <v>1246</v>
      </c>
      <c r="G6881" s="225" t="s">
        <v>1245</v>
      </c>
      <c r="H6881" s="226"/>
      <c r="I6881" s="226" t="s">
        <v>1253</v>
      </c>
      <c r="J6881" s="222" t="s">
        <v>75</v>
      </c>
      <c r="K6881" s="227">
        <v>3623.123846153846</v>
      </c>
      <c r="L6881" s="227"/>
      <c r="M6881" s="130"/>
    </row>
    <row r="6882" spans="1:14" ht="11.25" customHeight="1" x14ac:dyDescent="0.2">
      <c r="A6882" s="228">
        <v>2025</v>
      </c>
      <c r="B6882" s="228">
        <v>1</v>
      </c>
      <c r="C6882" s="228">
        <v>23</v>
      </c>
      <c r="D6882" s="229">
        <f t="shared" si="735"/>
        <v>45680</v>
      </c>
      <c r="E6882" s="241">
        <f t="shared" si="742"/>
        <v>45680</v>
      </c>
      <c r="F6882" s="512"/>
      <c r="G6882" s="231" t="s">
        <v>1245</v>
      </c>
      <c r="H6882" s="232"/>
      <c r="I6882" s="232" t="s">
        <v>1253</v>
      </c>
      <c r="J6882" s="228" t="s">
        <v>55</v>
      </c>
      <c r="K6882" s="233"/>
      <c r="L6882" s="233">
        <v>3623.123846153846</v>
      </c>
    </row>
    <row r="6883" spans="1:14" ht="11.25" customHeight="1" x14ac:dyDescent="0.2">
      <c r="A6883" s="222">
        <v>2025</v>
      </c>
      <c r="B6883" s="222">
        <v>1</v>
      </c>
      <c r="C6883" s="222">
        <v>23</v>
      </c>
      <c r="D6883" s="223">
        <f t="shared" si="735"/>
        <v>45680</v>
      </c>
      <c r="E6883" s="240">
        <f t="shared" si="742"/>
        <v>45680</v>
      </c>
      <c r="F6883" s="511" t="s">
        <v>1247</v>
      </c>
      <c r="G6883" s="225" t="s">
        <v>1245</v>
      </c>
      <c r="H6883" s="226"/>
      <c r="I6883" s="226" t="s">
        <v>1253</v>
      </c>
      <c r="J6883" s="222" t="s">
        <v>77</v>
      </c>
      <c r="K6883" s="227">
        <f>M6883</f>
        <v>44725.042181946672</v>
      </c>
      <c r="L6883" s="227"/>
      <c r="M6883" s="130">
        <v>44725.042181946672</v>
      </c>
    </row>
    <row r="6884" spans="1:14" ht="11.25" customHeight="1" x14ac:dyDescent="0.2">
      <c r="A6884" s="228">
        <v>2025</v>
      </c>
      <c r="B6884" s="228">
        <v>1</v>
      </c>
      <c r="C6884" s="228">
        <v>23</v>
      </c>
      <c r="D6884" s="229">
        <f t="shared" si="735"/>
        <v>45680</v>
      </c>
      <c r="E6884" s="241">
        <f t="shared" si="742"/>
        <v>45680</v>
      </c>
      <c r="F6884" s="512"/>
      <c r="G6884" s="231" t="s">
        <v>1245</v>
      </c>
      <c r="H6884" s="232"/>
      <c r="I6884" s="232" t="s">
        <v>1253</v>
      </c>
      <c r="J6884" s="228" t="s">
        <v>41</v>
      </c>
      <c r="K6884" s="233"/>
      <c r="L6884" s="233">
        <f>K6883</f>
        <v>44725.042181946672</v>
      </c>
      <c r="M6884" s="130">
        <v>4472.5042181946665</v>
      </c>
    </row>
    <row r="6885" spans="1:14" ht="11.25" customHeight="1" x14ac:dyDescent="0.2">
      <c r="A6885" s="222">
        <v>2025</v>
      </c>
      <c r="B6885" s="222">
        <v>1</v>
      </c>
      <c r="C6885" s="222">
        <v>23</v>
      </c>
      <c r="D6885" s="223">
        <f t="shared" si="735"/>
        <v>45680</v>
      </c>
      <c r="E6885" s="240">
        <f t="shared" si="742"/>
        <v>45680</v>
      </c>
      <c r="F6885" s="511" t="s">
        <v>1248</v>
      </c>
      <c r="G6885" s="225" t="s">
        <v>1245</v>
      </c>
      <c r="H6885" s="226"/>
      <c r="I6885" s="226" t="s">
        <v>1253</v>
      </c>
      <c r="J6885" s="222" t="s">
        <v>80</v>
      </c>
      <c r="K6885" s="227">
        <f>M6884</f>
        <v>4472.5042181946665</v>
      </c>
      <c r="L6885" s="227"/>
    </row>
    <row r="6886" spans="1:14" ht="11.25" customHeight="1" x14ac:dyDescent="0.2">
      <c r="A6886" s="228">
        <v>2025</v>
      </c>
      <c r="B6886" s="228">
        <v>1</v>
      </c>
      <c r="C6886" s="228">
        <v>23</v>
      </c>
      <c r="D6886" s="229">
        <f t="shared" si="735"/>
        <v>45680</v>
      </c>
      <c r="E6886" s="241">
        <f t="shared" si="742"/>
        <v>45680</v>
      </c>
      <c r="F6886" s="512"/>
      <c r="G6886" s="231" t="s">
        <v>1245</v>
      </c>
      <c r="H6886" s="232"/>
      <c r="I6886" s="232" t="s">
        <v>1253</v>
      </c>
      <c r="J6886" s="228" t="s">
        <v>42</v>
      </c>
      <c r="K6886" s="233"/>
      <c r="L6886" s="233">
        <f>K6885</f>
        <v>4472.5042181946665</v>
      </c>
    </row>
    <row r="6887" spans="1:14" ht="11.25" customHeight="1" x14ac:dyDescent="0.2">
      <c r="A6887" s="197">
        <v>2025</v>
      </c>
      <c r="B6887" s="197">
        <v>1</v>
      </c>
      <c r="C6887" s="197">
        <v>26</v>
      </c>
      <c r="D6887" s="198">
        <f t="shared" si="735"/>
        <v>45683</v>
      </c>
      <c r="E6887" s="209">
        <f>DATE(A6887,B6887,C6887)</f>
        <v>45683</v>
      </c>
      <c r="F6887" s="513" t="s">
        <v>1280</v>
      </c>
      <c r="G6887" s="200" t="s">
        <v>1209</v>
      </c>
      <c r="H6887" s="201"/>
      <c r="I6887" s="201" t="s">
        <v>1631</v>
      </c>
      <c r="J6887" s="197" t="s">
        <v>16</v>
      </c>
      <c r="K6887" s="202">
        <v>200</v>
      </c>
      <c r="L6887" s="202"/>
      <c r="M6887" s="130"/>
      <c r="N6887" s="130"/>
    </row>
    <row r="6888" spans="1:14" ht="11.25" customHeight="1" x14ac:dyDescent="0.2">
      <c r="A6888" s="120">
        <v>2025</v>
      </c>
      <c r="B6888" s="120">
        <v>1</v>
      </c>
      <c r="C6888" s="120">
        <v>26</v>
      </c>
      <c r="D6888" s="208">
        <f t="shared" si="735"/>
        <v>45683</v>
      </c>
      <c r="E6888" s="209">
        <f>DATE(A6888,B6888,C6888)</f>
        <v>45683</v>
      </c>
      <c r="F6888" s="515"/>
      <c r="G6888" s="132" t="s">
        <v>1209</v>
      </c>
      <c r="I6888" s="128" t="s">
        <v>1631</v>
      </c>
      <c r="J6888" s="120" t="s">
        <v>47</v>
      </c>
      <c r="K6888" s="207">
        <v>37.56</v>
      </c>
      <c r="L6888" s="207"/>
      <c r="M6888" s="130"/>
      <c r="N6888" s="130"/>
    </row>
    <row r="6889" spans="1:14" ht="11.25" customHeight="1" x14ac:dyDescent="0.2">
      <c r="A6889" s="191">
        <v>2025</v>
      </c>
      <c r="B6889" s="191">
        <v>1</v>
      </c>
      <c r="C6889" s="191">
        <v>26</v>
      </c>
      <c r="D6889" s="192">
        <f t="shared" si="735"/>
        <v>45683</v>
      </c>
      <c r="E6889" s="193">
        <f>DATE(A6889,B6889,C6889)</f>
        <v>45683</v>
      </c>
      <c r="F6889" s="514"/>
      <c r="G6889" s="194" t="s">
        <v>1209</v>
      </c>
      <c r="H6889" s="195"/>
      <c r="I6889" s="195" t="s">
        <v>1631</v>
      </c>
      <c r="J6889" s="191" t="s">
        <v>46</v>
      </c>
      <c r="K6889" s="196"/>
      <c r="L6889" s="196">
        <v>237.56</v>
      </c>
      <c r="M6889" s="130"/>
      <c r="N6889" s="130"/>
    </row>
    <row r="6890" spans="1:14" ht="11.25" customHeight="1" x14ac:dyDescent="0.2">
      <c r="A6890" s="197">
        <v>2025</v>
      </c>
      <c r="B6890" s="197">
        <v>1</v>
      </c>
      <c r="C6890" s="197">
        <v>26</v>
      </c>
      <c r="D6890" s="198">
        <f t="shared" si="735"/>
        <v>45683</v>
      </c>
      <c r="E6890" s="209">
        <f t="shared" ref="E6890:E6895" si="743">DATE(A6890,B6890,C6890)</f>
        <v>45683</v>
      </c>
      <c r="F6890" s="513" t="s">
        <v>1296</v>
      </c>
      <c r="G6890" s="200" t="s">
        <v>1209</v>
      </c>
      <c r="H6890" s="201"/>
      <c r="I6890" s="201"/>
      <c r="J6890" s="197" t="s">
        <v>46</v>
      </c>
      <c r="K6890" s="202">
        <v>342500</v>
      </c>
      <c r="L6890" s="202"/>
    </row>
    <row r="6891" spans="1:14" ht="11.25" customHeight="1" x14ac:dyDescent="0.2">
      <c r="A6891" s="120">
        <v>2025</v>
      </c>
      <c r="B6891" s="120">
        <v>1</v>
      </c>
      <c r="C6891" s="120">
        <v>26</v>
      </c>
      <c r="D6891" s="208">
        <f t="shared" si="735"/>
        <v>45683</v>
      </c>
      <c r="E6891" s="209">
        <f t="shared" si="743"/>
        <v>45683</v>
      </c>
      <c r="F6891" s="515"/>
      <c r="G6891" s="132" t="s">
        <v>1209</v>
      </c>
      <c r="J6891" s="120" t="s">
        <v>16</v>
      </c>
      <c r="K6891" s="207"/>
      <c r="L6891" s="207">
        <v>287720</v>
      </c>
    </row>
    <row r="6892" spans="1:14" ht="11.25" customHeight="1" x14ac:dyDescent="0.2">
      <c r="A6892" s="191">
        <v>2025</v>
      </c>
      <c r="B6892" s="191">
        <v>1</v>
      </c>
      <c r="C6892" s="191">
        <v>26</v>
      </c>
      <c r="D6892" s="192">
        <f t="shared" ref="D6892:D6955" si="744">DATE(A6892,B6892,C6892)</f>
        <v>45683</v>
      </c>
      <c r="E6892" s="193">
        <f t="shared" si="743"/>
        <v>45683</v>
      </c>
      <c r="F6892" s="514"/>
      <c r="G6892" s="194" t="s">
        <v>1209</v>
      </c>
      <c r="H6892" s="195"/>
      <c r="I6892" s="195"/>
      <c r="J6892" s="191" t="s">
        <v>47</v>
      </c>
      <c r="K6892" s="196"/>
      <c r="L6892" s="196">
        <v>54780</v>
      </c>
    </row>
    <row r="6893" spans="1:14" ht="11.25" customHeight="1" x14ac:dyDescent="0.2">
      <c r="A6893" s="197">
        <v>2025</v>
      </c>
      <c r="B6893" s="197">
        <v>1</v>
      </c>
      <c r="C6893" s="197">
        <v>26</v>
      </c>
      <c r="D6893" s="198">
        <f t="shared" si="744"/>
        <v>45683</v>
      </c>
      <c r="E6893" s="209">
        <f t="shared" si="743"/>
        <v>45683</v>
      </c>
      <c r="F6893" s="513" t="s">
        <v>1280</v>
      </c>
      <c r="G6893" s="200" t="s">
        <v>1209</v>
      </c>
      <c r="H6893" s="201"/>
      <c r="I6893" s="201" t="s">
        <v>449</v>
      </c>
      <c r="J6893" s="197" t="s">
        <v>16</v>
      </c>
      <c r="K6893" s="202">
        <v>840120</v>
      </c>
      <c r="L6893" s="202"/>
      <c r="M6893" s="130"/>
      <c r="N6893" s="130"/>
    </row>
    <row r="6894" spans="1:14" ht="11.25" customHeight="1" x14ac:dyDescent="0.2">
      <c r="A6894" s="120">
        <v>2025</v>
      </c>
      <c r="B6894" s="120">
        <v>1</v>
      </c>
      <c r="C6894" s="120">
        <v>26</v>
      </c>
      <c r="D6894" s="208">
        <f t="shared" si="744"/>
        <v>45683</v>
      </c>
      <c r="E6894" s="209">
        <f t="shared" si="743"/>
        <v>45683</v>
      </c>
      <c r="F6894" s="515"/>
      <c r="G6894" s="132" t="s">
        <v>1209</v>
      </c>
      <c r="I6894" s="128" t="s">
        <v>449</v>
      </c>
      <c r="J6894" s="120" t="s">
        <v>47</v>
      </c>
      <c r="K6894" s="207">
        <v>159880</v>
      </c>
      <c r="L6894" s="207"/>
      <c r="M6894" s="130"/>
      <c r="N6894" s="130"/>
    </row>
    <row r="6895" spans="1:14" ht="11.25" customHeight="1" x14ac:dyDescent="0.2">
      <c r="A6895" s="191">
        <v>2025</v>
      </c>
      <c r="B6895" s="191">
        <v>1</v>
      </c>
      <c r="C6895" s="191">
        <v>26</v>
      </c>
      <c r="D6895" s="192">
        <f t="shared" si="744"/>
        <v>45683</v>
      </c>
      <c r="E6895" s="193">
        <f t="shared" si="743"/>
        <v>45683</v>
      </c>
      <c r="F6895" s="514"/>
      <c r="G6895" s="194" t="s">
        <v>1209</v>
      </c>
      <c r="H6895" s="195"/>
      <c r="I6895" s="195" t="s">
        <v>449</v>
      </c>
      <c r="J6895" s="191" t="s">
        <v>46</v>
      </c>
      <c r="K6895" s="196"/>
      <c r="L6895" s="196">
        <v>1000000</v>
      </c>
      <c r="M6895" s="130"/>
      <c r="N6895" s="130"/>
    </row>
    <row r="6896" spans="1:14" ht="11.25" customHeight="1" x14ac:dyDescent="0.2">
      <c r="A6896" s="197">
        <v>2025</v>
      </c>
      <c r="B6896" s="197">
        <v>1</v>
      </c>
      <c r="C6896" s="197">
        <v>26</v>
      </c>
      <c r="D6896" s="198">
        <f t="shared" si="744"/>
        <v>45683</v>
      </c>
      <c r="E6896" s="209">
        <f t="shared" ref="E6896:E6898" si="745">DATE(A6896,B6896,C6896)</f>
        <v>45683</v>
      </c>
      <c r="F6896" s="513" t="s">
        <v>1280</v>
      </c>
      <c r="G6896" s="200" t="s">
        <v>1209</v>
      </c>
      <c r="H6896" s="201"/>
      <c r="I6896" s="201" t="s">
        <v>1633</v>
      </c>
      <c r="J6896" s="197" t="s">
        <v>16</v>
      </c>
      <c r="K6896" s="202">
        <v>336050</v>
      </c>
      <c r="L6896" s="202"/>
      <c r="M6896" s="130"/>
      <c r="N6896" s="130"/>
    </row>
    <row r="6897" spans="1:15" ht="11.25" customHeight="1" x14ac:dyDescent="0.2">
      <c r="A6897" s="120">
        <v>2025</v>
      </c>
      <c r="B6897" s="120">
        <v>1</v>
      </c>
      <c r="C6897" s="120">
        <v>26</v>
      </c>
      <c r="D6897" s="208">
        <f t="shared" si="744"/>
        <v>45683</v>
      </c>
      <c r="E6897" s="209">
        <f t="shared" si="745"/>
        <v>45683</v>
      </c>
      <c r="F6897" s="515"/>
      <c r="G6897" s="132" t="s">
        <v>1209</v>
      </c>
      <c r="I6897" s="128" t="s">
        <v>1633</v>
      </c>
      <c r="J6897" s="120" t="s">
        <v>47</v>
      </c>
      <c r="K6897" s="207">
        <v>63950</v>
      </c>
      <c r="L6897" s="207"/>
      <c r="M6897" s="130"/>
      <c r="N6897" s="130"/>
    </row>
    <row r="6898" spans="1:15" ht="11.25" customHeight="1" x14ac:dyDescent="0.2">
      <c r="A6898" s="191">
        <v>2025</v>
      </c>
      <c r="B6898" s="191">
        <v>1</v>
      </c>
      <c r="C6898" s="191">
        <v>26</v>
      </c>
      <c r="D6898" s="192">
        <f t="shared" si="744"/>
        <v>45683</v>
      </c>
      <c r="E6898" s="193">
        <f t="shared" si="745"/>
        <v>45683</v>
      </c>
      <c r="F6898" s="514"/>
      <c r="G6898" s="194" t="s">
        <v>1209</v>
      </c>
      <c r="H6898" s="195"/>
      <c r="I6898" s="195" t="s">
        <v>1633</v>
      </c>
      <c r="J6898" s="191" t="s">
        <v>46</v>
      </c>
      <c r="K6898" s="196"/>
      <c r="L6898" s="196">
        <v>400000</v>
      </c>
      <c r="M6898" s="130"/>
      <c r="N6898" s="130"/>
    </row>
    <row r="6899" spans="1:15" ht="11.25" customHeight="1" x14ac:dyDescent="0.2">
      <c r="A6899" s="197">
        <v>2025</v>
      </c>
      <c r="B6899" s="197">
        <v>1</v>
      </c>
      <c r="C6899" s="197">
        <v>26</v>
      </c>
      <c r="D6899" s="198">
        <f t="shared" si="744"/>
        <v>45683</v>
      </c>
      <c r="E6899" s="209">
        <f t="shared" ref="E6899:E6904" si="746">DATE(A6899,B6899,C6899)</f>
        <v>45683</v>
      </c>
      <c r="F6899" s="513" t="s">
        <v>1210</v>
      </c>
      <c r="G6899" s="200" t="s">
        <v>1209</v>
      </c>
      <c r="H6899" s="201"/>
      <c r="I6899" s="201" t="s">
        <v>1647</v>
      </c>
      <c r="J6899" s="197" t="s">
        <v>46</v>
      </c>
      <c r="K6899" s="202">
        <v>50000</v>
      </c>
      <c r="L6899" s="202"/>
    </row>
    <row r="6900" spans="1:15" ht="11.25" customHeight="1" x14ac:dyDescent="0.2">
      <c r="A6900" s="120">
        <v>2025</v>
      </c>
      <c r="B6900" s="120">
        <v>1</v>
      </c>
      <c r="C6900" s="120">
        <v>26</v>
      </c>
      <c r="D6900" s="208">
        <f t="shared" si="744"/>
        <v>45683</v>
      </c>
      <c r="E6900" s="209">
        <f t="shared" si="746"/>
        <v>45683</v>
      </c>
      <c r="F6900" s="515"/>
      <c r="G6900" s="132" t="s">
        <v>1209</v>
      </c>
      <c r="I6900" s="128" t="s">
        <v>1647</v>
      </c>
      <c r="J6900" s="120" t="s">
        <v>16</v>
      </c>
      <c r="K6900" s="207"/>
      <c r="L6900" s="207">
        <v>42010</v>
      </c>
    </row>
    <row r="6901" spans="1:15" ht="11.25" customHeight="1" x14ac:dyDescent="0.2">
      <c r="A6901" s="191">
        <v>2025</v>
      </c>
      <c r="B6901" s="191">
        <v>1</v>
      </c>
      <c r="C6901" s="191">
        <v>26</v>
      </c>
      <c r="D6901" s="192">
        <f t="shared" si="744"/>
        <v>45683</v>
      </c>
      <c r="E6901" s="193">
        <f t="shared" si="746"/>
        <v>45683</v>
      </c>
      <c r="F6901" s="514"/>
      <c r="G6901" s="194" t="s">
        <v>1209</v>
      </c>
      <c r="H6901" s="195"/>
      <c r="I6901" s="195" t="s">
        <v>1647</v>
      </c>
      <c r="J6901" s="191" t="s">
        <v>47</v>
      </c>
      <c r="K6901" s="196"/>
      <c r="L6901" s="196">
        <v>7990</v>
      </c>
    </row>
    <row r="6902" spans="1:15" ht="11.25" customHeight="1" x14ac:dyDescent="0.2">
      <c r="A6902" s="197">
        <v>2025</v>
      </c>
      <c r="B6902" s="197">
        <v>1</v>
      </c>
      <c r="C6902" s="197">
        <v>26</v>
      </c>
      <c r="D6902" s="198">
        <f t="shared" si="744"/>
        <v>45683</v>
      </c>
      <c r="E6902" s="209">
        <f t="shared" si="746"/>
        <v>45683</v>
      </c>
      <c r="F6902" s="513" t="s">
        <v>1210</v>
      </c>
      <c r="G6902" s="200" t="s">
        <v>1209</v>
      </c>
      <c r="H6902" s="201"/>
      <c r="I6902" s="201" t="s">
        <v>1235</v>
      </c>
      <c r="J6902" s="197" t="s">
        <v>46</v>
      </c>
      <c r="K6902" s="202">
        <v>25000</v>
      </c>
      <c r="L6902" s="202"/>
    </row>
    <row r="6903" spans="1:15" ht="11.25" customHeight="1" x14ac:dyDescent="0.2">
      <c r="A6903" s="120">
        <v>2025</v>
      </c>
      <c r="B6903" s="120">
        <v>1</v>
      </c>
      <c r="C6903" s="120">
        <v>26</v>
      </c>
      <c r="D6903" s="208">
        <f t="shared" si="744"/>
        <v>45683</v>
      </c>
      <c r="E6903" s="209">
        <f t="shared" si="746"/>
        <v>45683</v>
      </c>
      <c r="F6903" s="515"/>
      <c r="G6903" s="132" t="s">
        <v>1209</v>
      </c>
      <c r="I6903" s="128" t="s">
        <v>1235</v>
      </c>
      <c r="J6903" s="120" t="s">
        <v>16</v>
      </c>
      <c r="K6903" s="207"/>
      <c r="L6903" s="207">
        <v>21000</v>
      </c>
    </row>
    <row r="6904" spans="1:15" ht="11.25" customHeight="1" x14ac:dyDescent="0.2">
      <c r="A6904" s="191">
        <v>2025</v>
      </c>
      <c r="B6904" s="191">
        <v>1</v>
      </c>
      <c r="C6904" s="191">
        <v>26</v>
      </c>
      <c r="D6904" s="192">
        <f t="shared" si="744"/>
        <v>45683</v>
      </c>
      <c r="E6904" s="193">
        <f t="shared" si="746"/>
        <v>45683</v>
      </c>
      <c r="F6904" s="514"/>
      <c r="G6904" s="194" t="s">
        <v>1209</v>
      </c>
      <c r="H6904" s="195"/>
      <c r="I6904" s="195" t="s">
        <v>1235</v>
      </c>
      <c r="J6904" s="191" t="s">
        <v>47</v>
      </c>
      <c r="K6904" s="196"/>
      <c r="L6904" s="196">
        <v>4000</v>
      </c>
    </row>
    <row r="6905" spans="1:15" ht="11.25" customHeight="1" x14ac:dyDescent="0.2">
      <c r="A6905" s="197">
        <v>2025</v>
      </c>
      <c r="B6905" s="197">
        <v>1</v>
      </c>
      <c r="C6905" s="197">
        <v>26</v>
      </c>
      <c r="D6905" s="198">
        <f t="shared" si="744"/>
        <v>45683</v>
      </c>
      <c r="E6905" s="290">
        <f t="shared" ref="E6905:E6906" si="747">DATE(A6905,B6905,C6905)</f>
        <v>45683</v>
      </c>
      <c r="F6905" s="513" t="s">
        <v>1514</v>
      </c>
      <c r="G6905" s="200" t="s">
        <v>1209</v>
      </c>
      <c r="H6905" s="201"/>
      <c r="I6905" s="201"/>
      <c r="J6905" s="197" t="s">
        <v>54</v>
      </c>
      <c r="K6905" s="202">
        <v>100</v>
      </c>
      <c r="L6905" s="202"/>
      <c r="M6905" s="251"/>
      <c r="N6905" s="251"/>
      <c r="O6905" s="251"/>
    </row>
    <row r="6906" spans="1:15" ht="11.25" customHeight="1" x14ac:dyDescent="0.2">
      <c r="A6906" s="191">
        <v>2025</v>
      </c>
      <c r="B6906" s="191">
        <v>1</v>
      </c>
      <c r="C6906" s="191">
        <v>26</v>
      </c>
      <c r="D6906" s="192">
        <f t="shared" si="744"/>
        <v>45683</v>
      </c>
      <c r="E6906" s="291">
        <f t="shared" si="747"/>
        <v>45683</v>
      </c>
      <c r="F6906" s="514"/>
      <c r="G6906" s="194" t="s">
        <v>1209</v>
      </c>
      <c r="H6906" s="195"/>
      <c r="I6906" s="195"/>
      <c r="J6906" s="191" t="s">
        <v>46</v>
      </c>
      <c r="K6906" s="196"/>
      <c r="L6906" s="196">
        <v>100</v>
      </c>
      <c r="M6906" s="251"/>
      <c r="N6906" s="251"/>
      <c r="O6906" s="251"/>
    </row>
    <row r="6907" spans="1:15" ht="11.25" customHeight="1" x14ac:dyDescent="0.2">
      <c r="A6907" s="197">
        <v>2025</v>
      </c>
      <c r="B6907" s="197">
        <v>1</v>
      </c>
      <c r="C6907" s="197">
        <v>27</v>
      </c>
      <c r="D6907" s="198">
        <f t="shared" si="744"/>
        <v>45684</v>
      </c>
      <c r="E6907" s="209">
        <f t="shared" ref="E6907:E6909" si="748">DATE(A6907,B6907,C6907)</f>
        <v>45684</v>
      </c>
      <c r="F6907" s="513" t="s">
        <v>1280</v>
      </c>
      <c r="G6907" s="200" t="s">
        <v>1209</v>
      </c>
      <c r="H6907" s="201"/>
      <c r="I6907" s="201" t="s">
        <v>1503</v>
      </c>
      <c r="J6907" s="197" t="s">
        <v>16</v>
      </c>
      <c r="K6907" s="202">
        <v>1512220</v>
      </c>
      <c r="L6907" s="202"/>
      <c r="M6907" s="130"/>
      <c r="N6907" s="130"/>
    </row>
    <row r="6908" spans="1:15" ht="11.25" customHeight="1" x14ac:dyDescent="0.2">
      <c r="A6908" s="120">
        <v>2025</v>
      </c>
      <c r="B6908" s="120">
        <v>1</v>
      </c>
      <c r="C6908" s="120">
        <v>27</v>
      </c>
      <c r="D6908" s="208">
        <f t="shared" si="744"/>
        <v>45684</v>
      </c>
      <c r="E6908" s="209">
        <f t="shared" si="748"/>
        <v>45684</v>
      </c>
      <c r="F6908" s="515"/>
      <c r="G6908" s="132" t="s">
        <v>1209</v>
      </c>
      <c r="I6908" s="128" t="s">
        <v>1503</v>
      </c>
      <c r="J6908" s="120" t="s">
        <v>47</v>
      </c>
      <c r="K6908" s="207">
        <v>287780</v>
      </c>
      <c r="L6908" s="207"/>
      <c r="M6908" s="130"/>
      <c r="N6908" s="130"/>
    </row>
    <row r="6909" spans="1:15" ht="11.25" customHeight="1" x14ac:dyDescent="0.2">
      <c r="A6909" s="191">
        <v>2025</v>
      </c>
      <c r="B6909" s="191">
        <v>1</v>
      </c>
      <c r="C6909" s="191">
        <v>27</v>
      </c>
      <c r="D6909" s="192">
        <f t="shared" si="744"/>
        <v>45684</v>
      </c>
      <c r="E6909" s="193">
        <f t="shared" si="748"/>
        <v>45684</v>
      </c>
      <c r="F6909" s="514"/>
      <c r="G6909" s="194" t="s">
        <v>1209</v>
      </c>
      <c r="H6909" s="195"/>
      <c r="I6909" s="195" t="s">
        <v>1503</v>
      </c>
      <c r="J6909" s="191" t="s">
        <v>46</v>
      </c>
      <c r="K6909" s="196"/>
      <c r="L6909" s="196">
        <v>1800000</v>
      </c>
      <c r="M6909" s="130"/>
      <c r="N6909" s="130"/>
    </row>
    <row r="6910" spans="1:15" ht="11.25" customHeight="1" x14ac:dyDescent="0.2">
      <c r="A6910" s="197">
        <v>2025</v>
      </c>
      <c r="B6910" s="197">
        <v>1</v>
      </c>
      <c r="C6910" s="197">
        <v>27</v>
      </c>
      <c r="D6910" s="198">
        <f t="shared" si="744"/>
        <v>45684</v>
      </c>
      <c r="E6910" s="209">
        <f t="shared" ref="E6910:E6915" si="749">DATE(A6910,B6910,C6910)</f>
        <v>45684</v>
      </c>
      <c r="F6910" s="513" t="s">
        <v>1280</v>
      </c>
      <c r="G6910" s="200" t="s">
        <v>1209</v>
      </c>
      <c r="H6910" s="201"/>
      <c r="I6910" s="201" t="s">
        <v>389</v>
      </c>
      <c r="J6910" s="197" t="s">
        <v>16</v>
      </c>
      <c r="K6910" s="202">
        <v>42010</v>
      </c>
      <c r="L6910" s="202"/>
      <c r="M6910" s="130"/>
      <c r="N6910" s="130"/>
    </row>
    <row r="6911" spans="1:15" ht="11.25" customHeight="1" x14ac:dyDescent="0.2">
      <c r="A6911" s="120">
        <v>2025</v>
      </c>
      <c r="B6911" s="120">
        <v>1</v>
      </c>
      <c r="C6911" s="120">
        <v>27</v>
      </c>
      <c r="D6911" s="208">
        <f t="shared" si="744"/>
        <v>45684</v>
      </c>
      <c r="E6911" s="209">
        <f t="shared" si="749"/>
        <v>45684</v>
      </c>
      <c r="F6911" s="515"/>
      <c r="G6911" s="132" t="s">
        <v>1209</v>
      </c>
      <c r="I6911" s="128" t="s">
        <v>389</v>
      </c>
      <c r="J6911" s="120" t="s">
        <v>47</v>
      </c>
      <c r="K6911" s="207">
        <v>7990</v>
      </c>
      <c r="L6911" s="207"/>
      <c r="M6911" s="130"/>
      <c r="N6911" s="130"/>
    </row>
    <row r="6912" spans="1:15" ht="11.25" customHeight="1" x14ac:dyDescent="0.2">
      <c r="A6912" s="191">
        <v>2025</v>
      </c>
      <c r="B6912" s="191">
        <v>1</v>
      </c>
      <c r="C6912" s="191">
        <v>27</v>
      </c>
      <c r="D6912" s="192">
        <f t="shared" si="744"/>
        <v>45684</v>
      </c>
      <c r="E6912" s="193">
        <f t="shared" si="749"/>
        <v>45684</v>
      </c>
      <c r="F6912" s="514"/>
      <c r="G6912" s="194" t="s">
        <v>1209</v>
      </c>
      <c r="H6912" s="195"/>
      <c r="I6912" s="195" t="s">
        <v>389</v>
      </c>
      <c r="J6912" s="191" t="s">
        <v>46</v>
      </c>
      <c r="K6912" s="196"/>
      <c r="L6912" s="196">
        <v>50000</v>
      </c>
      <c r="M6912" s="130"/>
      <c r="N6912" s="130"/>
    </row>
    <row r="6913" spans="1:15" ht="11.25" customHeight="1" x14ac:dyDescent="0.2">
      <c r="A6913" s="197">
        <v>2025</v>
      </c>
      <c r="B6913" s="197">
        <v>1</v>
      </c>
      <c r="C6913" s="197">
        <v>28</v>
      </c>
      <c r="D6913" s="198">
        <f t="shared" si="744"/>
        <v>45685</v>
      </c>
      <c r="E6913" s="209">
        <f t="shared" si="749"/>
        <v>45685</v>
      </c>
      <c r="F6913" s="513" t="s">
        <v>1280</v>
      </c>
      <c r="G6913" s="200" t="s">
        <v>1209</v>
      </c>
      <c r="H6913" s="201"/>
      <c r="I6913" s="201" t="s">
        <v>1597</v>
      </c>
      <c r="J6913" s="197" t="s">
        <v>16</v>
      </c>
      <c r="K6913" s="202">
        <v>420060</v>
      </c>
      <c r="L6913" s="202"/>
      <c r="M6913" s="130"/>
      <c r="N6913" s="130"/>
    </row>
    <row r="6914" spans="1:15" ht="11.25" customHeight="1" x14ac:dyDescent="0.2">
      <c r="A6914" s="120">
        <v>2025</v>
      </c>
      <c r="B6914" s="120">
        <v>1</v>
      </c>
      <c r="C6914" s="120">
        <v>28</v>
      </c>
      <c r="D6914" s="208">
        <f t="shared" si="744"/>
        <v>45685</v>
      </c>
      <c r="E6914" s="209">
        <f t="shared" si="749"/>
        <v>45685</v>
      </c>
      <c r="F6914" s="515"/>
      <c r="G6914" s="132" t="s">
        <v>1209</v>
      </c>
      <c r="I6914" s="128" t="s">
        <v>1597</v>
      </c>
      <c r="J6914" s="120" t="s">
        <v>47</v>
      </c>
      <c r="K6914" s="207">
        <v>79940</v>
      </c>
      <c r="L6914" s="207"/>
      <c r="M6914" s="130"/>
      <c r="N6914" s="130"/>
    </row>
    <row r="6915" spans="1:15" ht="11.25" customHeight="1" x14ac:dyDescent="0.2">
      <c r="A6915" s="191">
        <v>2025</v>
      </c>
      <c r="B6915" s="191">
        <v>1</v>
      </c>
      <c r="C6915" s="191">
        <v>28</v>
      </c>
      <c r="D6915" s="192">
        <f t="shared" si="744"/>
        <v>45685</v>
      </c>
      <c r="E6915" s="193">
        <f t="shared" si="749"/>
        <v>45685</v>
      </c>
      <c r="F6915" s="514"/>
      <c r="G6915" s="194" t="s">
        <v>1209</v>
      </c>
      <c r="H6915" s="195"/>
      <c r="I6915" s="195" t="s">
        <v>1597</v>
      </c>
      <c r="J6915" s="191" t="s">
        <v>46</v>
      </c>
      <c r="K6915" s="196"/>
      <c r="L6915" s="196">
        <v>500000</v>
      </c>
      <c r="M6915" s="130"/>
      <c r="N6915" s="130"/>
    </row>
    <row r="6916" spans="1:15" ht="11.25" customHeight="1" x14ac:dyDescent="0.2">
      <c r="A6916" s="197">
        <v>2025</v>
      </c>
      <c r="B6916" s="197">
        <v>1</v>
      </c>
      <c r="C6916" s="197">
        <v>28</v>
      </c>
      <c r="D6916" s="198">
        <f t="shared" si="744"/>
        <v>45685</v>
      </c>
      <c r="E6916" s="290">
        <f t="shared" ref="E6916:E6917" si="750">DATE(A6916,B6916,C6916)</f>
        <v>45685</v>
      </c>
      <c r="F6916" s="513" t="s">
        <v>1514</v>
      </c>
      <c r="G6916" s="200" t="s">
        <v>1209</v>
      </c>
      <c r="H6916" s="201"/>
      <c r="I6916" s="201"/>
      <c r="J6916" s="197" t="s">
        <v>54</v>
      </c>
      <c r="K6916" s="202">
        <v>58</v>
      </c>
      <c r="L6916" s="202"/>
      <c r="M6916" s="251"/>
      <c r="N6916" s="251"/>
      <c r="O6916" s="251"/>
    </row>
    <row r="6917" spans="1:15" ht="11.25" customHeight="1" x14ac:dyDescent="0.2">
      <c r="A6917" s="191">
        <v>2025</v>
      </c>
      <c r="B6917" s="191">
        <v>1</v>
      </c>
      <c r="C6917" s="191">
        <v>28</v>
      </c>
      <c r="D6917" s="192">
        <f t="shared" si="744"/>
        <v>45685</v>
      </c>
      <c r="E6917" s="291">
        <f t="shared" si="750"/>
        <v>45685</v>
      </c>
      <c r="F6917" s="514"/>
      <c r="G6917" s="194" t="s">
        <v>1209</v>
      </c>
      <c r="H6917" s="195"/>
      <c r="I6917" s="195"/>
      <c r="J6917" s="191" t="s">
        <v>46</v>
      </c>
      <c r="K6917" s="196"/>
      <c r="L6917" s="196">
        <v>58</v>
      </c>
      <c r="M6917" s="251"/>
      <c r="N6917" s="251"/>
      <c r="O6917" s="251"/>
    </row>
    <row r="6918" spans="1:15" ht="11.25" customHeight="1" x14ac:dyDescent="0.2">
      <c r="A6918" s="197">
        <v>2025</v>
      </c>
      <c r="B6918" s="197">
        <v>1</v>
      </c>
      <c r="C6918" s="197">
        <v>29</v>
      </c>
      <c r="D6918" s="198">
        <f t="shared" si="744"/>
        <v>45686</v>
      </c>
      <c r="E6918" s="209">
        <f t="shared" ref="E6918:E6929" si="751">DATE(A6918,B6918,C6918)</f>
        <v>45686</v>
      </c>
      <c r="F6918" s="513" t="s">
        <v>1280</v>
      </c>
      <c r="G6918" s="200" t="s">
        <v>1209</v>
      </c>
      <c r="H6918" s="201"/>
      <c r="I6918" s="201" t="s">
        <v>648</v>
      </c>
      <c r="J6918" s="197" t="s">
        <v>16</v>
      </c>
      <c r="K6918" s="202">
        <v>500000</v>
      </c>
      <c r="L6918" s="202"/>
      <c r="M6918" s="130"/>
      <c r="N6918" s="130"/>
    </row>
    <row r="6919" spans="1:15" ht="11.25" customHeight="1" x14ac:dyDescent="0.2">
      <c r="A6919" s="120">
        <v>2025</v>
      </c>
      <c r="B6919" s="120">
        <v>1</v>
      </c>
      <c r="C6919" s="120">
        <v>29</v>
      </c>
      <c r="D6919" s="208">
        <f t="shared" si="744"/>
        <v>45686</v>
      </c>
      <c r="E6919" s="209">
        <f t="shared" si="751"/>
        <v>45686</v>
      </c>
      <c r="F6919" s="515"/>
      <c r="G6919" s="132" t="s">
        <v>1209</v>
      </c>
      <c r="I6919" s="128" t="s">
        <v>648</v>
      </c>
      <c r="J6919" s="120" t="s">
        <v>47</v>
      </c>
      <c r="K6919" s="207">
        <v>95150</v>
      </c>
      <c r="L6919" s="207"/>
      <c r="M6919" s="130"/>
      <c r="N6919" s="130"/>
    </row>
    <row r="6920" spans="1:15" ht="11.25" customHeight="1" x14ac:dyDescent="0.2">
      <c r="A6920" s="191">
        <v>2025</v>
      </c>
      <c r="B6920" s="191">
        <v>1</v>
      </c>
      <c r="C6920" s="191">
        <v>29</v>
      </c>
      <c r="D6920" s="192">
        <f t="shared" si="744"/>
        <v>45686</v>
      </c>
      <c r="E6920" s="193">
        <f t="shared" si="751"/>
        <v>45686</v>
      </c>
      <c r="F6920" s="514"/>
      <c r="G6920" s="194" t="s">
        <v>1209</v>
      </c>
      <c r="H6920" s="195"/>
      <c r="I6920" s="195" t="s">
        <v>648</v>
      </c>
      <c r="J6920" s="191" t="s">
        <v>46</v>
      </c>
      <c r="K6920" s="196"/>
      <c r="L6920" s="196">
        <v>595150</v>
      </c>
      <c r="M6920" s="130"/>
      <c r="N6920" s="130"/>
    </row>
    <row r="6921" spans="1:15" ht="11.25" customHeight="1" x14ac:dyDescent="0.2">
      <c r="A6921" s="197">
        <v>2025</v>
      </c>
      <c r="B6921" s="197">
        <v>1</v>
      </c>
      <c r="C6921" s="197">
        <v>29</v>
      </c>
      <c r="D6921" s="198">
        <f t="shared" si="744"/>
        <v>45686</v>
      </c>
      <c r="E6921" s="209">
        <f t="shared" si="751"/>
        <v>45686</v>
      </c>
      <c r="F6921" s="513" t="s">
        <v>1280</v>
      </c>
      <c r="G6921" s="200" t="s">
        <v>1209</v>
      </c>
      <c r="H6921" s="201"/>
      <c r="I6921" s="201" t="s">
        <v>648</v>
      </c>
      <c r="J6921" s="197" t="s">
        <v>16</v>
      </c>
      <c r="K6921" s="202">
        <v>1500000</v>
      </c>
      <c r="L6921" s="202"/>
      <c r="M6921" s="130"/>
      <c r="N6921" s="130"/>
    </row>
    <row r="6922" spans="1:15" ht="11.25" customHeight="1" x14ac:dyDescent="0.2">
      <c r="A6922" s="120">
        <v>2025</v>
      </c>
      <c r="B6922" s="120">
        <v>1</v>
      </c>
      <c r="C6922" s="120">
        <v>29</v>
      </c>
      <c r="D6922" s="208">
        <f t="shared" si="744"/>
        <v>45686</v>
      </c>
      <c r="E6922" s="209">
        <f t="shared" si="751"/>
        <v>45686</v>
      </c>
      <c r="F6922" s="515"/>
      <c r="G6922" s="132" t="s">
        <v>1209</v>
      </c>
      <c r="I6922" s="128" t="s">
        <v>648</v>
      </c>
      <c r="J6922" s="120" t="s">
        <v>47</v>
      </c>
      <c r="K6922" s="207">
        <v>285450</v>
      </c>
      <c r="L6922" s="207"/>
      <c r="M6922" s="130"/>
      <c r="N6922" s="130"/>
    </row>
    <row r="6923" spans="1:15" ht="11.25" customHeight="1" x14ac:dyDescent="0.2">
      <c r="A6923" s="191">
        <v>2025</v>
      </c>
      <c r="B6923" s="191">
        <v>1</v>
      </c>
      <c r="C6923" s="191">
        <v>29</v>
      </c>
      <c r="D6923" s="192">
        <f t="shared" si="744"/>
        <v>45686</v>
      </c>
      <c r="E6923" s="193">
        <f t="shared" si="751"/>
        <v>45686</v>
      </c>
      <c r="F6923" s="514"/>
      <c r="G6923" s="194" t="s">
        <v>1209</v>
      </c>
      <c r="H6923" s="195"/>
      <c r="I6923" s="195" t="s">
        <v>648</v>
      </c>
      <c r="J6923" s="191" t="s">
        <v>46</v>
      </c>
      <c r="K6923" s="196"/>
      <c r="L6923" s="196">
        <v>1785450</v>
      </c>
      <c r="M6923" s="130"/>
      <c r="N6923" s="130"/>
    </row>
    <row r="6924" spans="1:15" ht="11.25" customHeight="1" x14ac:dyDescent="0.2">
      <c r="A6924" s="197">
        <v>2025</v>
      </c>
      <c r="B6924" s="197">
        <v>1</v>
      </c>
      <c r="C6924" s="197">
        <v>29</v>
      </c>
      <c r="D6924" s="198">
        <f t="shared" si="744"/>
        <v>45686</v>
      </c>
      <c r="E6924" s="209">
        <f t="shared" si="751"/>
        <v>45686</v>
      </c>
      <c r="F6924" s="513" t="s">
        <v>1210</v>
      </c>
      <c r="G6924" s="200" t="s">
        <v>1209</v>
      </c>
      <c r="H6924" s="201"/>
      <c r="I6924" s="201" t="s">
        <v>1243</v>
      </c>
      <c r="J6924" s="197" t="s">
        <v>46</v>
      </c>
      <c r="K6924" s="202">
        <v>100000</v>
      </c>
      <c r="L6924" s="202"/>
    </row>
    <row r="6925" spans="1:15" ht="11.25" customHeight="1" x14ac:dyDescent="0.2">
      <c r="A6925" s="120">
        <v>2025</v>
      </c>
      <c r="B6925" s="120">
        <v>1</v>
      </c>
      <c r="C6925" s="120">
        <v>29</v>
      </c>
      <c r="D6925" s="208">
        <f t="shared" si="744"/>
        <v>45686</v>
      </c>
      <c r="E6925" s="209">
        <f t="shared" si="751"/>
        <v>45686</v>
      </c>
      <c r="F6925" s="515"/>
      <c r="G6925" s="132" t="s">
        <v>1209</v>
      </c>
      <c r="I6925" s="128" t="s">
        <v>1243</v>
      </c>
      <c r="J6925" s="120" t="s">
        <v>16</v>
      </c>
      <c r="K6925" s="207"/>
      <c r="L6925" s="207">
        <v>84010</v>
      </c>
    </row>
    <row r="6926" spans="1:15" ht="11.25" customHeight="1" x14ac:dyDescent="0.2">
      <c r="A6926" s="191">
        <v>2025</v>
      </c>
      <c r="B6926" s="191">
        <v>1</v>
      </c>
      <c r="C6926" s="191">
        <v>29</v>
      </c>
      <c r="D6926" s="192">
        <f t="shared" si="744"/>
        <v>45686</v>
      </c>
      <c r="E6926" s="193">
        <f t="shared" si="751"/>
        <v>45686</v>
      </c>
      <c r="F6926" s="514"/>
      <c r="G6926" s="194" t="s">
        <v>1209</v>
      </c>
      <c r="H6926" s="195"/>
      <c r="I6926" s="195" t="s">
        <v>1243</v>
      </c>
      <c r="J6926" s="191" t="s">
        <v>47</v>
      </c>
      <c r="K6926" s="196"/>
      <c r="L6926" s="196">
        <v>15990</v>
      </c>
    </row>
    <row r="6927" spans="1:15" ht="11.25" customHeight="1" x14ac:dyDescent="0.2">
      <c r="A6927" s="197">
        <v>2025</v>
      </c>
      <c r="B6927" s="197">
        <v>1</v>
      </c>
      <c r="C6927" s="197">
        <v>27</v>
      </c>
      <c r="D6927" s="198">
        <f t="shared" si="744"/>
        <v>45684</v>
      </c>
      <c r="E6927" s="209">
        <f t="shared" si="751"/>
        <v>45684</v>
      </c>
      <c r="F6927" s="513" t="s">
        <v>1280</v>
      </c>
      <c r="G6927" s="200" t="s">
        <v>1209</v>
      </c>
      <c r="H6927" s="201"/>
      <c r="I6927" s="201" t="s">
        <v>1917</v>
      </c>
      <c r="J6927" s="197" t="s">
        <v>16</v>
      </c>
      <c r="K6927" s="202">
        <v>840</v>
      </c>
      <c r="L6927" s="202"/>
      <c r="M6927" s="130"/>
      <c r="N6927" s="130"/>
    </row>
    <row r="6928" spans="1:15" ht="11.25" customHeight="1" x14ac:dyDescent="0.2">
      <c r="A6928" s="120">
        <v>2025</v>
      </c>
      <c r="B6928" s="120">
        <v>1</v>
      </c>
      <c r="C6928" s="120">
        <v>27</v>
      </c>
      <c r="D6928" s="208">
        <f t="shared" si="744"/>
        <v>45684</v>
      </c>
      <c r="E6928" s="209">
        <f t="shared" si="751"/>
        <v>45684</v>
      </c>
      <c r="F6928" s="515"/>
      <c r="G6928" s="132" t="s">
        <v>1209</v>
      </c>
      <c r="I6928" s="128" t="s">
        <v>1917</v>
      </c>
      <c r="J6928" s="120" t="s">
        <v>47</v>
      </c>
      <c r="K6928" s="207">
        <v>160</v>
      </c>
      <c r="L6928" s="207"/>
      <c r="M6928" s="130"/>
      <c r="N6928" s="130"/>
    </row>
    <row r="6929" spans="1:15" ht="11.25" customHeight="1" x14ac:dyDescent="0.2">
      <c r="A6929" s="191">
        <v>2025</v>
      </c>
      <c r="B6929" s="191">
        <v>1</v>
      </c>
      <c r="C6929" s="191">
        <v>27</v>
      </c>
      <c r="D6929" s="192">
        <f t="shared" si="744"/>
        <v>45684</v>
      </c>
      <c r="E6929" s="193">
        <f t="shared" si="751"/>
        <v>45684</v>
      </c>
      <c r="F6929" s="514"/>
      <c r="G6929" s="194" t="s">
        <v>1209</v>
      </c>
      <c r="H6929" s="195"/>
      <c r="I6929" s="195" t="s">
        <v>1917</v>
      </c>
      <c r="J6929" s="191" t="s">
        <v>46</v>
      </c>
      <c r="K6929" s="196"/>
      <c r="L6929" s="196">
        <v>1000</v>
      </c>
      <c r="M6929" s="130"/>
      <c r="N6929" s="130"/>
    </row>
    <row r="6930" spans="1:15" ht="11.25" customHeight="1" x14ac:dyDescent="0.2">
      <c r="A6930" s="197">
        <v>2025</v>
      </c>
      <c r="B6930" s="197">
        <v>1</v>
      </c>
      <c r="C6930" s="197">
        <v>27</v>
      </c>
      <c r="D6930" s="198">
        <f t="shared" si="744"/>
        <v>45684</v>
      </c>
      <c r="E6930" s="199">
        <f t="shared" ref="E6930:E6934" si="752">DATE(A6930,B6930,C6930)</f>
        <v>45684</v>
      </c>
      <c r="F6930" s="513" t="s">
        <v>1966</v>
      </c>
      <c r="G6930" s="200" t="s">
        <v>1209</v>
      </c>
      <c r="H6930" s="201"/>
      <c r="I6930" s="201" t="s">
        <v>1253</v>
      </c>
      <c r="J6930" s="197" t="s">
        <v>46</v>
      </c>
      <c r="K6930" s="202">
        <v>4000000</v>
      </c>
      <c r="L6930" s="202"/>
    </row>
    <row r="6931" spans="1:15" ht="11.25" customHeight="1" x14ac:dyDescent="0.2">
      <c r="A6931" s="120">
        <v>2025</v>
      </c>
      <c r="B6931" s="120">
        <v>1</v>
      </c>
      <c r="C6931" s="120">
        <v>27</v>
      </c>
      <c r="D6931" s="208">
        <f t="shared" si="744"/>
        <v>45684</v>
      </c>
      <c r="E6931" s="209">
        <f t="shared" si="752"/>
        <v>45684</v>
      </c>
      <c r="F6931" s="515"/>
      <c r="G6931" s="132" t="s">
        <v>1209</v>
      </c>
      <c r="J6931" s="120" t="s">
        <v>1462</v>
      </c>
      <c r="K6931" s="328"/>
      <c r="L6931" s="207">
        <v>113668</v>
      </c>
    </row>
    <row r="6932" spans="1:15" ht="11.25" customHeight="1" x14ac:dyDescent="0.2">
      <c r="A6932" s="191">
        <v>2025</v>
      </c>
      <c r="B6932" s="191">
        <v>1</v>
      </c>
      <c r="C6932" s="191">
        <v>27</v>
      </c>
      <c r="D6932" s="192">
        <f t="shared" si="744"/>
        <v>45684</v>
      </c>
      <c r="E6932" s="193">
        <f t="shared" si="752"/>
        <v>45684</v>
      </c>
      <c r="F6932" s="514"/>
      <c r="G6932" s="194" t="s">
        <v>1209</v>
      </c>
      <c r="H6932" s="195"/>
      <c r="I6932" s="195" t="s">
        <v>1253</v>
      </c>
      <c r="J6932" s="191" t="s">
        <v>1455</v>
      </c>
      <c r="K6932" s="196"/>
      <c r="L6932" s="196">
        <v>3886332</v>
      </c>
      <c r="N6932" s="130"/>
    </row>
    <row r="6933" spans="1:15" ht="11.25" customHeight="1" x14ac:dyDescent="0.2">
      <c r="A6933" s="197">
        <v>2025</v>
      </c>
      <c r="B6933" s="197">
        <v>1</v>
      </c>
      <c r="C6933" s="197">
        <v>28</v>
      </c>
      <c r="D6933" s="198">
        <f t="shared" si="744"/>
        <v>45685</v>
      </c>
      <c r="E6933" s="290">
        <f t="shared" si="752"/>
        <v>45685</v>
      </c>
      <c r="F6933" s="513" t="s">
        <v>1967</v>
      </c>
      <c r="G6933" s="200" t="s">
        <v>1209</v>
      </c>
      <c r="H6933" s="201"/>
      <c r="I6933" s="201" t="s">
        <v>1253</v>
      </c>
      <c r="J6933" s="197" t="s">
        <v>46</v>
      </c>
      <c r="K6933" s="202">
        <v>1020000</v>
      </c>
      <c r="L6933" s="202"/>
    </row>
    <row r="6934" spans="1:15" ht="11.25" customHeight="1" x14ac:dyDescent="0.2">
      <c r="A6934" s="191">
        <v>2025</v>
      </c>
      <c r="B6934" s="191">
        <v>1</v>
      </c>
      <c r="C6934" s="191">
        <v>28</v>
      </c>
      <c r="D6934" s="192">
        <f t="shared" si="744"/>
        <v>45685</v>
      </c>
      <c r="E6934" s="290">
        <f t="shared" si="752"/>
        <v>45685</v>
      </c>
      <c r="F6934" s="514"/>
      <c r="G6934" s="194" t="s">
        <v>1209</v>
      </c>
      <c r="H6934" s="195"/>
      <c r="I6934" s="195"/>
      <c r="J6934" s="191" t="s">
        <v>1845</v>
      </c>
      <c r="K6934" s="196"/>
      <c r="L6934" s="196">
        <v>1020000</v>
      </c>
    </row>
    <row r="6935" spans="1:15" ht="11.25" customHeight="1" x14ac:dyDescent="0.2">
      <c r="A6935" s="197">
        <v>2025</v>
      </c>
      <c r="B6935" s="197">
        <v>1</v>
      </c>
      <c r="C6935" s="197">
        <v>29</v>
      </c>
      <c r="D6935" s="198">
        <f t="shared" si="744"/>
        <v>45686</v>
      </c>
      <c r="E6935" s="209">
        <f>DATE(A6935,B6935,C6935)</f>
        <v>45686</v>
      </c>
      <c r="F6935" s="513" t="s">
        <v>1280</v>
      </c>
      <c r="G6935" s="200" t="s">
        <v>1209</v>
      </c>
      <c r="H6935" s="201"/>
      <c r="I6935" s="201" t="s">
        <v>366</v>
      </c>
      <c r="J6935" s="197" t="s">
        <v>16</v>
      </c>
      <c r="K6935" s="202">
        <v>84010</v>
      </c>
      <c r="L6935" s="202"/>
      <c r="M6935" s="130"/>
      <c r="N6935" s="130"/>
    </row>
    <row r="6936" spans="1:15" ht="11.25" customHeight="1" x14ac:dyDescent="0.2">
      <c r="A6936" s="120">
        <v>2025</v>
      </c>
      <c r="B6936" s="120">
        <v>1</v>
      </c>
      <c r="C6936" s="120">
        <v>29</v>
      </c>
      <c r="D6936" s="208">
        <f t="shared" si="744"/>
        <v>45686</v>
      </c>
      <c r="E6936" s="209">
        <f>DATE(A6936,B6936,C6936)</f>
        <v>45686</v>
      </c>
      <c r="F6936" s="515"/>
      <c r="G6936" s="132" t="s">
        <v>1209</v>
      </c>
      <c r="I6936" s="128" t="s">
        <v>366</v>
      </c>
      <c r="J6936" s="120" t="s">
        <v>47</v>
      </c>
      <c r="K6936" s="207">
        <v>15990</v>
      </c>
      <c r="L6936" s="207"/>
      <c r="M6936" s="130"/>
      <c r="N6936" s="130"/>
    </row>
    <row r="6937" spans="1:15" ht="11.25" customHeight="1" x14ac:dyDescent="0.2">
      <c r="A6937" s="191">
        <v>2025</v>
      </c>
      <c r="B6937" s="191">
        <v>1</v>
      </c>
      <c r="C6937" s="191">
        <v>29</v>
      </c>
      <c r="D6937" s="192">
        <f t="shared" si="744"/>
        <v>45686</v>
      </c>
      <c r="E6937" s="193">
        <f>DATE(A6937,B6937,C6937)</f>
        <v>45686</v>
      </c>
      <c r="F6937" s="514"/>
      <c r="G6937" s="194" t="s">
        <v>1209</v>
      </c>
      <c r="H6937" s="195"/>
      <c r="I6937" s="195" t="s">
        <v>366</v>
      </c>
      <c r="J6937" s="191" t="s">
        <v>46</v>
      </c>
      <c r="K6937" s="196"/>
      <c r="L6937" s="196">
        <v>100000</v>
      </c>
      <c r="M6937" s="130"/>
      <c r="N6937" s="130"/>
    </row>
    <row r="6938" spans="1:15" ht="11.25" customHeight="1" x14ac:dyDescent="0.2">
      <c r="A6938" s="197">
        <v>2025</v>
      </c>
      <c r="B6938" s="197">
        <v>1</v>
      </c>
      <c r="C6938" s="197">
        <v>29</v>
      </c>
      <c r="D6938" s="198">
        <f t="shared" si="744"/>
        <v>45686</v>
      </c>
      <c r="E6938" s="199">
        <f t="shared" ref="E6938:E6939" si="753">DATE(A6938,B6938,C6938)</f>
        <v>45686</v>
      </c>
      <c r="F6938" s="513" t="s">
        <v>1896</v>
      </c>
      <c r="G6938" s="200" t="s">
        <v>1209</v>
      </c>
      <c r="H6938" s="201"/>
      <c r="I6938" s="201" t="s">
        <v>1253</v>
      </c>
      <c r="J6938" s="197" t="s">
        <v>1837</v>
      </c>
      <c r="K6938" s="202">
        <v>9512659.1199999992</v>
      </c>
      <c r="L6938" s="202"/>
    </row>
    <row r="6939" spans="1:15" ht="11.25" customHeight="1" x14ac:dyDescent="0.2">
      <c r="A6939" s="191">
        <v>2025</v>
      </c>
      <c r="B6939" s="191">
        <v>1</v>
      </c>
      <c r="C6939" s="191">
        <v>29</v>
      </c>
      <c r="D6939" s="192">
        <f t="shared" si="744"/>
        <v>45686</v>
      </c>
      <c r="E6939" s="193">
        <f t="shared" si="753"/>
        <v>45686</v>
      </c>
      <c r="F6939" s="514"/>
      <c r="G6939" s="194" t="s">
        <v>1209</v>
      </c>
      <c r="H6939" s="195"/>
      <c r="I6939" s="195" t="s">
        <v>1253</v>
      </c>
      <c r="J6939" s="191" t="s">
        <v>46</v>
      </c>
      <c r="K6939" s="196"/>
      <c r="L6939" s="196">
        <v>9512659.1199999992</v>
      </c>
      <c r="N6939" s="130"/>
    </row>
    <row r="6940" spans="1:15" ht="11.25" customHeight="1" x14ac:dyDescent="0.2">
      <c r="A6940" s="197">
        <v>2025</v>
      </c>
      <c r="B6940" s="197">
        <v>1</v>
      </c>
      <c r="C6940" s="197">
        <v>30</v>
      </c>
      <c r="D6940" s="198">
        <f t="shared" si="744"/>
        <v>45687</v>
      </c>
      <c r="E6940" s="290">
        <f t="shared" ref="E6940:E6956" si="754">DATE(A6940,B6940,C6940)</f>
        <v>45687</v>
      </c>
      <c r="F6940" s="513" t="s">
        <v>1514</v>
      </c>
      <c r="G6940" s="200" t="s">
        <v>1209</v>
      </c>
      <c r="H6940" s="201"/>
      <c r="I6940" s="201"/>
      <c r="J6940" s="197" t="s">
        <v>54</v>
      </c>
      <c r="K6940" s="202">
        <v>176</v>
      </c>
      <c r="L6940" s="202"/>
      <c r="M6940" s="251"/>
      <c r="N6940" s="251"/>
      <c r="O6940" s="251"/>
    </row>
    <row r="6941" spans="1:15" ht="11.25" customHeight="1" x14ac:dyDescent="0.2">
      <c r="A6941" s="191">
        <v>2025</v>
      </c>
      <c r="B6941" s="191">
        <v>1</v>
      </c>
      <c r="C6941" s="191">
        <v>30</v>
      </c>
      <c r="D6941" s="192">
        <f t="shared" si="744"/>
        <v>45687</v>
      </c>
      <c r="E6941" s="291">
        <f t="shared" si="754"/>
        <v>45687</v>
      </c>
      <c r="F6941" s="514"/>
      <c r="G6941" s="194" t="s">
        <v>1209</v>
      </c>
      <c r="H6941" s="195"/>
      <c r="I6941" s="195"/>
      <c r="J6941" s="191" t="s">
        <v>46</v>
      </c>
      <c r="K6941" s="196"/>
      <c r="L6941" s="196">
        <v>176</v>
      </c>
      <c r="M6941" s="251"/>
      <c r="N6941" s="251"/>
      <c r="O6941" s="251"/>
    </row>
    <row r="6942" spans="1:15" ht="11.25" customHeight="1" x14ac:dyDescent="0.2">
      <c r="A6942" s="197">
        <v>2025</v>
      </c>
      <c r="B6942" s="197">
        <v>1</v>
      </c>
      <c r="C6942" s="197">
        <v>30</v>
      </c>
      <c r="D6942" s="198">
        <f t="shared" si="744"/>
        <v>45687</v>
      </c>
      <c r="E6942" s="209">
        <f>DATE(A6942,B6942,C6942)</f>
        <v>45687</v>
      </c>
      <c r="F6942" s="513" t="s">
        <v>1210</v>
      </c>
      <c r="G6942" s="200" t="s">
        <v>1209</v>
      </c>
      <c r="H6942" s="201"/>
      <c r="I6942" s="201" t="s">
        <v>1334</v>
      </c>
      <c r="J6942" s="197" t="s">
        <v>46</v>
      </c>
      <c r="K6942" s="202">
        <v>3000000</v>
      </c>
      <c r="L6942" s="202"/>
    </row>
    <row r="6943" spans="1:15" ht="11.25" customHeight="1" x14ac:dyDescent="0.2">
      <c r="A6943" s="120">
        <v>2025</v>
      </c>
      <c r="B6943" s="120">
        <v>1</v>
      </c>
      <c r="C6943" s="120">
        <v>30</v>
      </c>
      <c r="D6943" s="208">
        <f t="shared" si="744"/>
        <v>45687</v>
      </c>
      <c r="E6943" s="209">
        <f>DATE(A6943,B6943,C6943)</f>
        <v>45687</v>
      </c>
      <c r="F6943" s="515"/>
      <c r="G6943" s="132" t="s">
        <v>1209</v>
      </c>
      <c r="I6943" s="128" t="s">
        <v>1334</v>
      </c>
      <c r="J6943" s="120" t="s">
        <v>16</v>
      </c>
      <c r="K6943" s="207"/>
      <c r="L6943" s="207">
        <v>2521350</v>
      </c>
    </row>
    <row r="6944" spans="1:15" ht="11.25" customHeight="1" x14ac:dyDescent="0.2">
      <c r="A6944" s="191">
        <v>2025</v>
      </c>
      <c r="B6944" s="191">
        <v>1</v>
      </c>
      <c r="C6944" s="191">
        <v>30</v>
      </c>
      <c r="D6944" s="192">
        <f t="shared" si="744"/>
        <v>45687</v>
      </c>
      <c r="E6944" s="193">
        <f>DATE(A6944,B6944,C6944)</f>
        <v>45687</v>
      </c>
      <c r="F6944" s="514"/>
      <c r="G6944" s="194" t="s">
        <v>1209</v>
      </c>
      <c r="H6944" s="195"/>
      <c r="I6944" s="195" t="s">
        <v>1334</v>
      </c>
      <c r="J6944" s="191" t="s">
        <v>47</v>
      </c>
      <c r="K6944" s="196"/>
      <c r="L6944" s="196">
        <v>478650</v>
      </c>
    </row>
    <row r="6945" spans="1:14" ht="11.25" customHeight="1" x14ac:dyDescent="0.2">
      <c r="A6945" s="197">
        <v>2025</v>
      </c>
      <c r="B6945" s="197">
        <v>1</v>
      </c>
      <c r="C6945" s="197">
        <v>30</v>
      </c>
      <c r="D6945" s="198">
        <f t="shared" si="744"/>
        <v>45687</v>
      </c>
      <c r="E6945" s="209">
        <f t="shared" ref="E6945:E6947" si="755">DATE(A6945,B6945,C6945)</f>
        <v>45687</v>
      </c>
      <c r="F6945" s="513" t="s">
        <v>1280</v>
      </c>
      <c r="G6945" s="200" t="s">
        <v>1209</v>
      </c>
      <c r="H6945" s="201"/>
      <c r="I6945" s="201" t="s">
        <v>1235</v>
      </c>
      <c r="J6945" s="197" t="s">
        <v>16</v>
      </c>
      <c r="K6945" s="202">
        <v>168020</v>
      </c>
      <c r="L6945" s="202"/>
      <c r="M6945" s="130"/>
      <c r="N6945" s="130"/>
    </row>
    <row r="6946" spans="1:14" ht="11.25" customHeight="1" x14ac:dyDescent="0.2">
      <c r="A6946" s="120">
        <v>2025</v>
      </c>
      <c r="B6946" s="120">
        <v>1</v>
      </c>
      <c r="C6946" s="120">
        <v>30</v>
      </c>
      <c r="D6946" s="208">
        <f t="shared" si="744"/>
        <v>45687</v>
      </c>
      <c r="E6946" s="209">
        <f t="shared" si="755"/>
        <v>45687</v>
      </c>
      <c r="F6946" s="515"/>
      <c r="G6946" s="132" t="s">
        <v>1209</v>
      </c>
      <c r="I6946" s="128" t="s">
        <v>1235</v>
      </c>
      <c r="J6946" s="120" t="s">
        <v>47</v>
      </c>
      <c r="K6946" s="207">
        <v>31980</v>
      </c>
      <c r="L6946" s="207"/>
      <c r="M6946" s="130"/>
      <c r="N6946" s="130"/>
    </row>
    <row r="6947" spans="1:14" ht="11.25" customHeight="1" x14ac:dyDescent="0.2">
      <c r="A6947" s="191">
        <v>2025</v>
      </c>
      <c r="B6947" s="191">
        <v>1</v>
      </c>
      <c r="C6947" s="191">
        <v>30</v>
      </c>
      <c r="D6947" s="192">
        <f t="shared" si="744"/>
        <v>45687</v>
      </c>
      <c r="E6947" s="193">
        <f t="shared" si="755"/>
        <v>45687</v>
      </c>
      <c r="F6947" s="514"/>
      <c r="G6947" s="194" t="s">
        <v>1209</v>
      </c>
      <c r="H6947" s="195"/>
      <c r="I6947" s="195" t="s">
        <v>1235</v>
      </c>
      <c r="J6947" s="191" t="s">
        <v>46</v>
      </c>
      <c r="K6947" s="196"/>
      <c r="L6947" s="196">
        <v>200000</v>
      </c>
      <c r="M6947" s="130"/>
      <c r="N6947" s="130"/>
    </row>
    <row r="6948" spans="1:14" ht="11.25" customHeight="1" x14ac:dyDescent="0.2">
      <c r="A6948" s="424">
        <v>2025</v>
      </c>
      <c r="B6948" s="424">
        <v>1</v>
      </c>
      <c r="C6948" s="424">
        <v>30</v>
      </c>
      <c r="D6948" s="425">
        <f t="shared" si="744"/>
        <v>45687</v>
      </c>
      <c r="E6948" s="384">
        <f t="shared" si="754"/>
        <v>45687</v>
      </c>
      <c r="F6948" s="516" t="s">
        <v>1850</v>
      </c>
      <c r="G6948" s="426" t="s">
        <v>1209</v>
      </c>
      <c r="H6948" s="427"/>
      <c r="I6948" s="427"/>
      <c r="J6948" s="428" t="s">
        <v>81</v>
      </c>
      <c r="K6948" s="429">
        <v>6973.2450980392159</v>
      </c>
      <c r="L6948" s="429"/>
      <c r="M6948" s="130"/>
    </row>
    <row r="6949" spans="1:14" ht="11.25" customHeight="1" x14ac:dyDescent="0.2">
      <c r="A6949" s="389">
        <v>2025</v>
      </c>
      <c r="B6949" s="389">
        <v>1</v>
      </c>
      <c r="C6949" s="389">
        <v>30</v>
      </c>
      <c r="D6949" s="390">
        <f t="shared" si="744"/>
        <v>45687</v>
      </c>
      <c r="E6949" s="391">
        <f t="shared" si="754"/>
        <v>45687</v>
      </c>
      <c r="F6949" s="517"/>
      <c r="G6949" s="392" t="s">
        <v>1209</v>
      </c>
      <c r="H6949" s="393"/>
      <c r="I6949" s="393"/>
      <c r="J6949" s="394" t="s">
        <v>1847</v>
      </c>
      <c r="K6949" s="423"/>
      <c r="L6949" s="423">
        <v>6973.2450980392159</v>
      </c>
    </row>
    <row r="6950" spans="1:14" ht="11.25" customHeight="1" x14ac:dyDescent="0.2">
      <c r="A6950" s="382">
        <v>2025</v>
      </c>
      <c r="B6950" s="382">
        <v>1</v>
      </c>
      <c r="C6950" s="382">
        <v>30</v>
      </c>
      <c r="D6950" s="383">
        <f t="shared" si="744"/>
        <v>45687</v>
      </c>
      <c r="E6950" s="384">
        <f t="shared" si="754"/>
        <v>45687</v>
      </c>
      <c r="F6950" s="516" t="s">
        <v>1892</v>
      </c>
      <c r="G6950" s="385" t="s">
        <v>1209</v>
      </c>
      <c r="H6950" s="386"/>
      <c r="I6950" s="386"/>
      <c r="J6950" s="387" t="s">
        <v>173</v>
      </c>
      <c r="K6950" s="388">
        <v>4730.9739360833328</v>
      </c>
      <c r="L6950" s="388"/>
      <c r="M6950" s="130"/>
    </row>
    <row r="6951" spans="1:14" ht="11.25" customHeight="1" x14ac:dyDescent="0.2">
      <c r="A6951" s="389">
        <v>2025</v>
      </c>
      <c r="B6951" s="389">
        <v>1</v>
      </c>
      <c r="C6951" s="389">
        <v>30</v>
      </c>
      <c r="D6951" s="390">
        <f t="shared" si="744"/>
        <v>45687</v>
      </c>
      <c r="E6951" s="391">
        <f t="shared" si="754"/>
        <v>45687</v>
      </c>
      <c r="F6951" s="517"/>
      <c r="G6951" s="392" t="s">
        <v>1209</v>
      </c>
      <c r="H6951" s="393"/>
      <c r="I6951" s="393"/>
      <c r="J6951" s="394" t="s">
        <v>43</v>
      </c>
      <c r="K6951" s="388"/>
      <c r="L6951" s="388">
        <f>K6950</f>
        <v>4730.9739360833328</v>
      </c>
    </row>
    <row r="6952" spans="1:14" ht="11.25" customHeight="1" x14ac:dyDescent="0.2">
      <c r="A6952" s="344">
        <v>2025</v>
      </c>
      <c r="B6952" s="344">
        <v>1</v>
      </c>
      <c r="C6952" s="344">
        <v>30</v>
      </c>
      <c r="D6952" s="345">
        <f t="shared" si="744"/>
        <v>45687</v>
      </c>
      <c r="E6952" s="346">
        <f t="shared" si="754"/>
        <v>45687</v>
      </c>
      <c r="F6952" s="518" t="s">
        <v>1621</v>
      </c>
      <c r="G6952" s="347" t="s">
        <v>1245</v>
      </c>
      <c r="H6952" s="348"/>
      <c r="I6952" s="348" t="s">
        <v>1253</v>
      </c>
      <c r="J6952" s="344" t="s">
        <v>113</v>
      </c>
      <c r="K6952" s="349">
        <v>40048.080000000002</v>
      </c>
      <c r="L6952" s="349"/>
      <c r="M6952" s="130"/>
    </row>
    <row r="6953" spans="1:14" ht="11.25" customHeight="1" x14ac:dyDescent="0.2">
      <c r="A6953" s="350">
        <v>2025</v>
      </c>
      <c r="B6953" s="350">
        <v>1</v>
      </c>
      <c r="C6953" s="350">
        <v>30</v>
      </c>
      <c r="D6953" s="351">
        <f t="shared" si="744"/>
        <v>45687</v>
      </c>
      <c r="E6953" s="352">
        <f t="shared" si="754"/>
        <v>45687</v>
      </c>
      <c r="F6953" s="519"/>
      <c r="G6953" s="353" t="s">
        <v>1245</v>
      </c>
      <c r="H6953" s="354"/>
      <c r="I6953" s="354" t="s">
        <v>1253</v>
      </c>
      <c r="J6953" s="350" t="s">
        <v>153</v>
      </c>
      <c r="K6953" s="355"/>
      <c r="L6953" s="355">
        <f>K6952</f>
        <v>40048.080000000002</v>
      </c>
    </row>
    <row r="6954" spans="1:14" ht="11.25" customHeight="1" x14ac:dyDescent="0.2">
      <c r="A6954" s="210">
        <v>2025</v>
      </c>
      <c r="B6954" s="210">
        <v>1</v>
      </c>
      <c r="C6954" s="210">
        <v>30</v>
      </c>
      <c r="D6954" s="211">
        <f t="shared" si="744"/>
        <v>45687</v>
      </c>
      <c r="E6954" s="238">
        <f t="shared" si="754"/>
        <v>45687</v>
      </c>
      <c r="F6954" s="520" t="s">
        <v>1278</v>
      </c>
      <c r="G6954" s="213" t="s">
        <v>1245</v>
      </c>
      <c r="H6954" s="214"/>
      <c r="I6954" s="214" t="s">
        <v>1253</v>
      </c>
      <c r="J6954" s="210" t="s">
        <v>1529</v>
      </c>
      <c r="K6954" s="215">
        <v>510.40384615384613</v>
      </c>
      <c r="L6954" s="215"/>
      <c r="M6954" s="130"/>
    </row>
    <row r="6955" spans="1:14" ht="11.25" customHeight="1" x14ac:dyDescent="0.2">
      <c r="A6955" s="216">
        <v>2025</v>
      </c>
      <c r="B6955" s="216">
        <v>1</v>
      </c>
      <c r="C6955" s="216">
        <v>30</v>
      </c>
      <c r="D6955" s="217">
        <f t="shared" si="744"/>
        <v>45687</v>
      </c>
      <c r="E6955" s="239">
        <f t="shared" si="754"/>
        <v>45687</v>
      </c>
      <c r="F6955" s="521"/>
      <c r="G6955" s="219" t="s">
        <v>1245</v>
      </c>
      <c r="H6955" s="220"/>
      <c r="I6955" s="220" t="s">
        <v>1253</v>
      </c>
      <c r="J6955" s="216" t="s">
        <v>1581</v>
      </c>
      <c r="K6955" s="221"/>
      <c r="L6955" s="221">
        <v>510.40384615384613</v>
      </c>
    </row>
    <row r="6956" spans="1:14" ht="11.25" customHeight="1" x14ac:dyDescent="0.2">
      <c r="A6956" s="210">
        <v>2025</v>
      </c>
      <c r="B6956" s="210">
        <v>1</v>
      </c>
      <c r="C6956" s="210">
        <v>30</v>
      </c>
      <c r="D6956" s="211">
        <f t="shared" ref="D6956:D7019" si="756">DATE(A6956,B6956,C6956)</f>
        <v>45687</v>
      </c>
      <c r="E6956" s="238">
        <f t="shared" si="754"/>
        <v>45687</v>
      </c>
      <c r="F6956" s="520" t="s">
        <v>1857</v>
      </c>
      <c r="G6956" s="213" t="s">
        <v>1245</v>
      </c>
      <c r="H6956" s="214"/>
      <c r="I6956" s="214" t="s">
        <v>1253</v>
      </c>
      <c r="J6956" s="210" t="s">
        <v>1284</v>
      </c>
      <c r="K6956" s="215">
        <v>2341.8114143920593</v>
      </c>
      <c r="L6956" s="215"/>
      <c r="M6956" s="130"/>
    </row>
    <row r="6957" spans="1:14" ht="11.25" customHeight="1" x14ac:dyDescent="0.2">
      <c r="A6957" s="242">
        <v>2025</v>
      </c>
      <c r="B6957" s="242">
        <v>1</v>
      </c>
      <c r="C6957" s="242">
        <v>30</v>
      </c>
      <c r="D6957" s="243">
        <f t="shared" si="756"/>
        <v>45687</v>
      </c>
      <c r="E6957" s="244">
        <f>DATE(A6957,B6957,C6957)</f>
        <v>45687</v>
      </c>
      <c r="F6957" s="524"/>
      <c r="G6957" s="245" t="s">
        <v>1245</v>
      </c>
      <c r="H6957" s="246"/>
      <c r="I6957" s="246"/>
      <c r="J6957" s="242" t="s">
        <v>1582</v>
      </c>
      <c r="K6957" s="247"/>
      <c r="L6957" s="247">
        <f>K6956</f>
        <v>2341.8114143920593</v>
      </c>
    </row>
    <row r="6958" spans="1:14" ht="11.25" customHeight="1" x14ac:dyDescent="0.2">
      <c r="A6958" s="210">
        <v>2025</v>
      </c>
      <c r="B6958" s="210">
        <v>1</v>
      </c>
      <c r="C6958" s="210">
        <v>30</v>
      </c>
      <c r="D6958" s="211">
        <f t="shared" si="756"/>
        <v>45687</v>
      </c>
      <c r="E6958" s="238">
        <f t="shared" ref="E6958:E6971" si="757">DATE(A6958,B6958,C6958)</f>
        <v>45687</v>
      </c>
      <c r="F6958" s="520" t="s">
        <v>2055</v>
      </c>
      <c r="G6958" s="213" t="s">
        <v>1245</v>
      </c>
      <c r="H6958" s="214"/>
      <c r="I6958" s="214" t="s">
        <v>1253</v>
      </c>
      <c r="J6958" s="210" t="s">
        <v>58</v>
      </c>
      <c r="K6958" s="215">
        <v>13935.94</v>
      </c>
      <c r="L6958" s="215"/>
    </row>
    <row r="6959" spans="1:14" ht="11.25" customHeight="1" x14ac:dyDescent="0.2">
      <c r="A6959" s="216">
        <v>2025</v>
      </c>
      <c r="B6959" s="216">
        <v>1</v>
      </c>
      <c r="C6959" s="216">
        <v>30</v>
      </c>
      <c r="D6959" s="217">
        <f t="shared" si="756"/>
        <v>45687</v>
      </c>
      <c r="E6959" s="239">
        <f t="shared" si="757"/>
        <v>45687</v>
      </c>
      <c r="F6959" s="521"/>
      <c r="G6959" s="219" t="s">
        <v>1245</v>
      </c>
      <c r="H6959" s="220"/>
      <c r="I6959" s="220" t="s">
        <v>1253</v>
      </c>
      <c r="J6959" s="216" t="s">
        <v>153</v>
      </c>
      <c r="K6959" s="221"/>
      <c r="L6959" s="221">
        <f>K6958</f>
        <v>13935.94</v>
      </c>
    </row>
    <row r="6960" spans="1:14" ht="11.25" customHeight="1" x14ac:dyDescent="0.2">
      <c r="A6960" s="312">
        <v>2025</v>
      </c>
      <c r="B6960" s="312">
        <v>1</v>
      </c>
      <c r="C6960" s="312">
        <v>30</v>
      </c>
      <c r="D6960" s="313">
        <f t="shared" si="756"/>
        <v>45687</v>
      </c>
      <c r="E6960" s="314">
        <f t="shared" si="757"/>
        <v>45687</v>
      </c>
      <c r="F6960" s="522" t="s">
        <v>1477</v>
      </c>
      <c r="G6960" s="315" t="s">
        <v>1245</v>
      </c>
      <c r="H6960" s="316"/>
      <c r="I6960" s="316" t="s">
        <v>1253</v>
      </c>
      <c r="J6960" s="312" t="s">
        <v>1458</v>
      </c>
      <c r="K6960" s="317">
        <v>111256</v>
      </c>
      <c r="L6960" s="317"/>
      <c r="M6960" s="120">
        <f>BS!$I$11</f>
        <v>5.9604644775390625E-8</v>
      </c>
    </row>
    <row r="6961" spans="1:13" ht="11.25" customHeight="1" x14ac:dyDescent="0.2">
      <c r="A6961" s="318">
        <v>2025</v>
      </c>
      <c r="B6961" s="318">
        <v>1</v>
      </c>
      <c r="C6961" s="318">
        <v>30</v>
      </c>
      <c r="D6961" s="319">
        <f t="shared" si="756"/>
        <v>45687</v>
      </c>
      <c r="E6961" s="320">
        <f t="shared" si="757"/>
        <v>45687</v>
      </c>
      <c r="F6961" s="523"/>
      <c r="G6961" s="321" t="s">
        <v>1245</v>
      </c>
      <c r="H6961" s="322"/>
      <c r="I6961" s="322" t="s">
        <v>1253</v>
      </c>
      <c r="J6961" s="318" t="s">
        <v>1460</v>
      </c>
      <c r="K6961" s="323"/>
      <c r="L6961" s="323">
        <f>K6960</f>
        <v>111256</v>
      </c>
    </row>
    <row r="6962" spans="1:13" ht="11.25" customHeight="1" x14ac:dyDescent="0.2">
      <c r="A6962" s="312">
        <v>2025</v>
      </c>
      <c r="B6962" s="312">
        <v>1</v>
      </c>
      <c r="C6962" s="312">
        <v>30</v>
      </c>
      <c r="D6962" s="313">
        <f t="shared" si="756"/>
        <v>45687</v>
      </c>
      <c r="E6962" s="314">
        <f t="shared" si="757"/>
        <v>45687</v>
      </c>
      <c r="F6962" s="522" t="s">
        <v>1595</v>
      </c>
      <c r="G6962" s="315" t="s">
        <v>1245</v>
      </c>
      <c r="H6962" s="316"/>
      <c r="I6962" s="316" t="s">
        <v>1253</v>
      </c>
      <c r="J6962" s="312" t="s">
        <v>1459</v>
      </c>
      <c r="K6962" s="317">
        <v>24664.022999942303</v>
      </c>
      <c r="L6962" s="317"/>
      <c r="M6962" s="120">
        <f>BS!$I$14</f>
        <v>0</v>
      </c>
    </row>
    <row r="6963" spans="1:13" ht="11.25" customHeight="1" x14ac:dyDescent="0.2">
      <c r="A6963" s="318">
        <v>2025</v>
      </c>
      <c r="B6963" s="318">
        <v>1</v>
      </c>
      <c r="C6963" s="318">
        <v>30</v>
      </c>
      <c r="D6963" s="319">
        <f t="shared" si="756"/>
        <v>45687</v>
      </c>
      <c r="E6963" s="320">
        <f t="shared" si="757"/>
        <v>45687</v>
      </c>
      <c r="F6963" s="523"/>
      <c r="G6963" s="321" t="s">
        <v>1245</v>
      </c>
      <c r="H6963" s="322"/>
      <c r="I6963" s="322" t="s">
        <v>1253</v>
      </c>
      <c r="J6963" s="318" t="s">
        <v>1461</v>
      </c>
      <c r="K6963" s="323"/>
      <c r="L6963" s="323">
        <f>K6962</f>
        <v>24664.022999942303</v>
      </c>
    </row>
    <row r="6964" spans="1:13" ht="11.25" customHeight="1" x14ac:dyDescent="0.2">
      <c r="A6964" s="222">
        <v>2025</v>
      </c>
      <c r="B6964" s="222">
        <v>1</v>
      </c>
      <c r="C6964" s="222">
        <v>30</v>
      </c>
      <c r="D6964" s="223">
        <f t="shared" si="756"/>
        <v>45687</v>
      </c>
      <c r="E6964" s="240">
        <f t="shared" si="757"/>
        <v>45687</v>
      </c>
      <c r="F6964" s="511" t="s">
        <v>1244</v>
      </c>
      <c r="G6964" s="225" t="s">
        <v>1245</v>
      </c>
      <c r="H6964" s="226"/>
      <c r="I6964" s="226" t="s">
        <v>1253</v>
      </c>
      <c r="J6964" s="222" t="s">
        <v>87</v>
      </c>
      <c r="K6964" s="227">
        <v>28765</v>
      </c>
      <c r="L6964" s="227"/>
      <c r="M6964" s="120">
        <f>BS!$I$7</f>
        <v>0</v>
      </c>
    </row>
    <row r="6965" spans="1:13" ht="11.25" customHeight="1" x14ac:dyDescent="0.2">
      <c r="A6965" s="228">
        <v>2025</v>
      </c>
      <c r="B6965" s="228">
        <v>1</v>
      </c>
      <c r="C6965" s="228">
        <v>30</v>
      </c>
      <c r="D6965" s="229">
        <f t="shared" si="756"/>
        <v>45687</v>
      </c>
      <c r="E6965" s="241">
        <f t="shared" si="757"/>
        <v>45687</v>
      </c>
      <c r="F6965" s="512"/>
      <c r="G6965" s="231" t="s">
        <v>1245</v>
      </c>
      <c r="H6965" s="232"/>
      <c r="I6965" s="232" t="s">
        <v>1253</v>
      </c>
      <c r="J6965" s="228" t="s">
        <v>72</v>
      </c>
      <c r="K6965" s="233"/>
      <c r="L6965" s="233">
        <f>K6964</f>
        <v>28765</v>
      </c>
    </row>
    <row r="6966" spans="1:13" ht="11.25" customHeight="1" x14ac:dyDescent="0.2">
      <c r="A6966" s="222">
        <v>2025</v>
      </c>
      <c r="B6966" s="222">
        <v>1</v>
      </c>
      <c r="C6966" s="222">
        <v>30</v>
      </c>
      <c r="D6966" s="223">
        <f t="shared" si="756"/>
        <v>45687</v>
      </c>
      <c r="E6966" s="240">
        <f t="shared" si="757"/>
        <v>45687</v>
      </c>
      <c r="F6966" s="511" t="s">
        <v>1246</v>
      </c>
      <c r="G6966" s="225" t="s">
        <v>1245</v>
      </c>
      <c r="H6966" s="226"/>
      <c r="I6966" s="226" t="s">
        <v>1253</v>
      </c>
      <c r="J6966" s="222" t="s">
        <v>75</v>
      </c>
      <c r="K6966" s="227">
        <v>3623.123846153846</v>
      </c>
      <c r="L6966" s="227"/>
      <c r="M6966" s="130"/>
    </row>
    <row r="6967" spans="1:13" ht="11.25" customHeight="1" x14ac:dyDescent="0.2">
      <c r="A6967" s="228">
        <v>2025</v>
      </c>
      <c r="B6967" s="228">
        <v>1</v>
      </c>
      <c r="C6967" s="228">
        <v>30</v>
      </c>
      <c r="D6967" s="229">
        <f t="shared" si="756"/>
        <v>45687</v>
      </c>
      <c r="E6967" s="241">
        <f t="shared" si="757"/>
        <v>45687</v>
      </c>
      <c r="F6967" s="512"/>
      <c r="G6967" s="231" t="s">
        <v>1245</v>
      </c>
      <c r="H6967" s="232"/>
      <c r="I6967" s="232" t="s">
        <v>1253</v>
      </c>
      <c r="J6967" s="228" t="s">
        <v>55</v>
      </c>
      <c r="K6967" s="233"/>
      <c r="L6967" s="233">
        <v>3623.123846153846</v>
      </c>
    </row>
    <row r="6968" spans="1:13" ht="11.25" customHeight="1" x14ac:dyDescent="0.2">
      <c r="A6968" s="222">
        <v>2025</v>
      </c>
      <c r="B6968" s="222">
        <v>1</v>
      </c>
      <c r="C6968" s="222">
        <v>30</v>
      </c>
      <c r="D6968" s="223">
        <f t="shared" si="756"/>
        <v>45687</v>
      </c>
      <c r="E6968" s="240">
        <f t="shared" si="757"/>
        <v>45687</v>
      </c>
      <c r="F6968" s="511" t="s">
        <v>1247</v>
      </c>
      <c r="G6968" s="225" t="s">
        <v>1245</v>
      </c>
      <c r="H6968" s="226"/>
      <c r="I6968" s="226" t="s">
        <v>1253</v>
      </c>
      <c r="J6968" s="222" t="s">
        <v>77</v>
      </c>
      <c r="K6968" s="227">
        <f>M6968</f>
        <v>44302.382337040915</v>
      </c>
      <c r="L6968" s="227"/>
      <c r="M6968" s="130">
        <v>44302.382337040915</v>
      </c>
    </row>
    <row r="6969" spans="1:13" ht="11.25" customHeight="1" x14ac:dyDescent="0.2">
      <c r="A6969" s="228">
        <v>2025</v>
      </c>
      <c r="B6969" s="228">
        <v>1</v>
      </c>
      <c r="C6969" s="228">
        <v>30</v>
      </c>
      <c r="D6969" s="229">
        <f t="shared" si="756"/>
        <v>45687</v>
      </c>
      <c r="E6969" s="241">
        <f t="shared" si="757"/>
        <v>45687</v>
      </c>
      <c r="F6969" s="512"/>
      <c r="G6969" s="231" t="s">
        <v>1245</v>
      </c>
      <c r="H6969" s="232"/>
      <c r="I6969" s="232" t="s">
        <v>1253</v>
      </c>
      <c r="J6969" s="228" t="s">
        <v>41</v>
      </c>
      <c r="K6969" s="233"/>
      <c r="L6969" s="233">
        <f>K6968</f>
        <v>44302.382337040915</v>
      </c>
      <c r="M6969" s="130">
        <v>4430.2382337040917</v>
      </c>
    </row>
    <row r="6970" spans="1:13" ht="11.25" customHeight="1" x14ac:dyDescent="0.2">
      <c r="A6970" s="222">
        <v>2025</v>
      </c>
      <c r="B6970" s="222">
        <v>1</v>
      </c>
      <c r="C6970" s="222">
        <v>30</v>
      </c>
      <c r="D6970" s="223">
        <f t="shared" si="756"/>
        <v>45687</v>
      </c>
      <c r="E6970" s="240">
        <f t="shared" si="757"/>
        <v>45687</v>
      </c>
      <c r="F6970" s="511" t="s">
        <v>1248</v>
      </c>
      <c r="G6970" s="225" t="s">
        <v>1245</v>
      </c>
      <c r="H6970" s="226"/>
      <c r="I6970" s="226" t="s">
        <v>1253</v>
      </c>
      <c r="J6970" s="222" t="s">
        <v>80</v>
      </c>
      <c r="K6970" s="227">
        <f>M6969</f>
        <v>4430.2382337040917</v>
      </c>
      <c r="L6970" s="227"/>
    </row>
    <row r="6971" spans="1:13" ht="11.25" customHeight="1" x14ac:dyDescent="0.2">
      <c r="A6971" s="228">
        <v>2025</v>
      </c>
      <c r="B6971" s="228">
        <v>1</v>
      </c>
      <c r="C6971" s="228">
        <v>30</v>
      </c>
      <c r="D6971" s="229">
        <f t="shared" si="756"/>
        <v>45687</v>
      </c>
      <c r="E6971" s="241">
        <f t="shared" si="757"/>
        <v>45687</v>
      </c>
      <c r="F6971" s="512"/>
      <c r="G6971" s="231" t="s">
        <v>1245</v>
      </c>
      <c r="H6971" s="232"/>
      <c r="I6971" s="232" t="s">
        <v>1253</v>
      </c>
      <c r="J6971" s="228" t="s">
        <v>42</v>
      </c>
      <c r="K6971" s="233"/>
      <c r="L6971" s="233">
        <f>K6970</f>
        <v>4430.2382337040917</v>
      </c>
    </row>
    <row r="6972" spans="1:13" ht="11.25" customHeight="1" x14ac:dyDescent="0.2">
      <c r="A6972" s="197">
        <v>2025</v>
      </c>
      <c r="B6972" s="197">
        <v>2</v>
      </c>
      <c r="C6972" s="197">
        <v>2</v>
      </c>
      <c r="D6972" s="198">
        <f t="shared" si="756"/>
        <v>45690</v>
      </c>
      <c r="E6972" s="209">
        <f t="shared" ref="E6972:E6980" si="758">DATE(A6972,B6972,C6972)</f>
        <v>45690</v>
      </c>
      <c r="F6972" s="513" t="s">
        <v>1210</v>
      </c>
      <c r="G6972" s="200" t="s">
        <v>1209</v>
      </c>
      <c r="H6972" s="201"/>
      <c r="I6972" s="201" t="s">
        <v>315</v>
      </c>
      <c r="J6972" s="197" t="s">
        <v>46</v>
      </c>
      <c r="K6972" s="202">
        <v>1000000</v>
      </c>
      <c r="L6972" s="202"/>
    </row>
    <row r="6973" spans="1:13" ht="11.25" customHeight="1" x14ac:dyDescent="0.2">
      <c r="A6973" s="120">
        <v>2025</v>
      </c>
      <c r="B6973" s="120">
        <v>2</v>
      </c>
      <c r="C6973" s="120">
        <v>2</v>
      </c>
      <c r="D6973" s="208">
        <f t="shared" si="756"/>
        <v>45690</v>
      </c>
      <c r="E6973" s="209">
        <f t="shared" si="758"/>
        <v>45690</v>
      </c>
      <c r="F6973" s="515"/>
      <c r="G6973" s="132" t="s">
        <v>1209</v>
      </c>
      <c r="I6973" s="128" t="s">
        <v>315</v>
      </c>
      <c r="J6973" s="120" t="s">
        <v>16</v>
      </c>
      <c r="K6973" s="207"/>
      <c r="L6973" s="207">
        <v>838290</v>
      </c>
    </row>
    <row r="6974" spans="1:13" ht="11.25" customHeight="1" x14ac:dyDescent="0.2">
      <c r="A6974" s="191">
        <v>2025</v>
      </c>
      <c r="B6974" s="191">
        <v>2</v>
      </c>
      <c r="C6974" s="191">
        <v>2</v>
      </c>
      <c r="D6974" s="192">
        <f t="shared" si="756"/>
        <v>45690</v>
      </c>
      <c r="E6974" s="193">
        <f t="shared" si="758"/>
        <v>45690</v>
      </c>
      <c r="F6974" s="514"/>
      <c r="G6974" s="194" t="s">
        <v>1209</v>
      </c>
      <c r="H6974" s="195"/>
      <c r="I6974" s="195" t="s">
        <v>315</v>
      </c>
      <c r="J6974" s="191" t="s">
        <v>47</v>
      </c>
      <c r="K6974" s="196"/>
      <c r="L6974" s="196">
        <v>161710</v>
      </c>
    </row>
    <row r="6975" spans="1:13" ht="11.25" customHeight="1" x14ac:dyDescent="0.2">
      <c r="A6975" s="197">
        <v>2025</v>
      </c>
      <c r="B6975" s="197">
        <v>2</v>
      </c>
      <c r="C6975" s="197">
        <v>3</v>
      </c>
      <c r="D6975" s="198">
        <f t="shared" si="756"/>
        <v>45691</v>
      </c>
      <c r="E6975" s="209">
        <f t="shared" si="758"/>
        <v>45691</v>
      </c>
      <c r="F6975" s="513" t="s">
        <v>1210</v>
      </c>
      <c r="G6975" s="200" t="s">
        <v>1209</v>
      </c>
      <c r="H6975" s="201"/>
      <c r="I6975" s="201" t="s">
        <v>1569</v>
      </c>
      <c r="J6975" s="197" t="s">
        <v>46</v>
      </c>
      <c r="K6975" s="202">
        <v>1103432.5</v>
      </c>
      <c r="L6975" s="202"/>
    </row>
    <row r="6976" spans="1:13" ht="11.25" customHeight="1" x14ac:dyDescent="0.2">
      <c r="A6976" s="120">
        <v>2025</v>
      </c>
      <c r="B6976" s="120">
        <v>2</v>
      </c>
      <c r="C6976" s="120">
        <v>3</v>
      </c>
      <c r="D6976" s="208">
        <f t="shared" si="756"/>
        <v>45691</v>
      </c>
      <c r="E6976" s="209">
        <f t="shared" si="758"/>
        <v>45691</v>
      </c>
      <c r="F6976" s="515"/>
      <c r="G6976" s="132" t="s">
        <v>1209</v>
      </c>
      <c r="I6976" s="128" t="s">
        <v>1569</v>
      </c>
      <c r="J6976" s="120" t="s">
        <v>16</v>
      </c>
      <c r="K6976" s="207"/>
      <c r="L6976" s="207">
        <v>925000</v>
      </c>
    </row>
    <row r="6977" spans="1:15" ht="11.25" customHeight="1" x14ac:dyDescent="0.2">
      <c r="A6977" s="191">
        <v>2025</v>
      </c>
      <c r="B6977" s="191">
        <v>2</v>
      </c>
      <c r="C6977" s="191">
        <v>3</v>
      </c>
      <c r="D6977" s="192">
        <f t="shared" si="756"/>
        <v>45691</v>
      </c>
      <c r="E6977" s="193">
        <f t="shared" si="758"/>
        <v>45691</v>
      </c>
      <c r="F6977" s="514"/>
      <c r="G6977" s="194" t="s">
        <v>1209</v>
      </c>
      <c r="H6977" s="195"/>
      <c r="I6977" s="195" t="s">
        <v>1569</v>
      </c>
      <c r="J6977" s="191" t="s">
        <v>47</v>
      </c>
      <c r="K6977" s="196"/>
      <c r="L6977" s="196">
        <v>178432.5</v>
      </c>
    </row>
    <row r="6978" spans="1:15" ht="11.25" customHeight="1" x14ac:dyDescent="0.2">
      <c r="A6978" s="197">
        <v>2025</v>
      </c>
      <c r="B6978" s="197">
        <v>2</v>
      </c>
      <c r="C6978" s="197">
        <v>3</v>
      </c>
      <c r="D6978" s="198">
        <f t="shared" si="756"/>
        <v>45691</v>
      </c>
      <c r="E6978" s="209">
        <f t="shared" si="758"/>
        <v>45691</v>
      </c>
      <c r="F6978" s="513" t="s">
        <v>1210</v>
      </c>
      <c r="G6978" s="200" t="s">
        <v>1209</v>
      </c>
      <c r="H6978" s="201"/>
      <c r="I6978" s="201" t="s">
        <v>453</v>
      </c>
      <c r="J6978" s="197" t="s">
        <v>46</v>
      </c>
      <c r="K6978" s="202">
        <v>3200000</v>
      </c>
      <c r="L6978" s="202"/>
    </row>
    <row r="6979" spans="1:15" ht="11.25" customHeight="1" x14ac:dyDescent="0.2">
      <c r="A6979" s="120">
        <v>2025</v>
      </c>
      <c r="B6979" s="120">
        <v>2</v>
      </c>
      <c r="C6979" s="120">
        <v>3</v>
      </c>
      <c r="D6979" s="208">
        <f t="shared" si="756"/>
        <v>45691</v>
      </c>
      <c r="E6979" s="209">
        <f t="shared" si="758"/>
        <v>45691</v>
      </c>
      <c r="F6979" s="515"/>
      <c r="G6979" s="132" t="s">
        <v>1209</v>
      </c>
      <c r="I6979" s="128" t="s">
        <v>453</v>
      </c>
      <c r="J6979" s="120" t="s">
        <v>16</v>
      </c>
      <c r="K6979" s="207"/>
      <c r="L6979" s="207">
        <v>2682540</v>
      </c>
    </row>
    <row r="6980" spans="1:15" ht="11.25" customHeight="1" x14ac:dyDescent="0.2">
      <c r="A6980" s="191">
        <v>2025</v>
      </c>
      <c r="B6980" s="191">
        <v>2</v>
      </c>
      <c r="C6980" s="191">
        <v>3</v>
      </c>
      <c r="D6980" s="192">
        <f t="shared" si="756"/>
        <v>45691</v>
      </c>
      <c r="E6980" s="193">
        <f t="shared" si="758"/>
        <v>45691</v>
      </c>
      <c r="F6980" s="514"/>
      <c r="G6980" s="194" t="s">
        <v>1209</v>
      </c>
      <c r="H6980" s="195"/>
      <c r="I6980" s="195" t="s">
        <v>453</v>
      </c>
      <c r="J6980" s="191" t="s">
        <v>47</v>
      </c>
      <c r="K6980" s="196"/>
      <c r="L6980" s="196">
        <v>517460</v>
      </c>
    </row>
    <row r="6981" spans="1:15" ht="11.25" customHeight="1" x14ac:dyDescent="0.2">
      <c r="A6981" s="197">
        <v>2025</v>
      </c>
      <c r="B6981" s="197">
        <v>2</v>
      </c>
      <c r="C6981" s="197">
        <v>3</v>
      </c>
      <c r="D6981" s="198">
        <f t="shared" si="756"/>
        <v>45691</v>
      </c>
      <c r="E6981" s="290">
        <f>DATE(A6981,B6981,C6981)</f>
        <v>45691</v>
      </c>
      <c r="F6981" s="513" t="s">
        <v>1514</v>
      </c>
      <c r="G6981" s="200" t="s">
        <v>1209</v>
      </c>
      <c r="H6981" s="201"/>
      <c r="I6981" s="201"/>
      <c r="J6981" s="197" t="s">
        <v>54</v>
      </c>
      <c r="K6981" s="202">
        <v>85</v>
      </c>
      <c r="L6981" s="202"/>
      <c r="M6981" s="251"/>
      <c r="N6981" s="251"/>
      <c r="O6981" s="251"/>
    </row>
    <row r="6982" spans="1:15" ht="11.25" customHeight="1" x14ac:dyDescent="0.2">
      <c r="A6982" s="191">
        <v>2025</v>
      </c>
      <c r="B6982" s="191">
        <v>2</v>
      </c>
      <c r="C6982" s="191">
        <v>3</v>
      </c>
      <c r="D6982" s="192">
        <f t="shared" si="756"/>
        <v>45691</v>
      </c>
      <c r="E6982" s="291">
        <f>DATE(A6982,B6982,C6982)</f>
        <v>45691</v>
      </c>
      <c r="F6982" s="514"/>
      <c r="G6982" s="194" t="s">
        <v>1209</v>
      </c>
      <c r="H6982" s="195"/>
      <c r="I6982" s="195"/>
      <c r="J6982" s="191" t="s">
        <v>46</v>
      </c>
      <c r="K6982" s="196"/>
      <c r="L6982" s="196">
        <v>85</v>
      </c>
      <c r="M6982" s="251"/>
      <c r="N6982" s="251"/>
      <c r="O6982" s="251"/>
    </row>
    <row r="6983" spans="1:15" ht="11.25" customHeight="1" x14ac:dyDescent="0.2">
      <c r="A6983" s="197">
        <v>2025</v>
      </c>
      <c r="B6983" s="197">
        <v>2</v>
      </c>
      <c r="C6983" s="197">
        <v>4</v>
      </c>
      <c r="D6983" s="198">
        <f t="shared" si="756"/>
        <v>45692</v>
      </c>
      <c r="E6983" s="209">
        <f t="shared" ref="E6983:E7027" si="759">DATE(A6983,B6983,C6983)</f>
        <v>45692</v>
      </c>
      <c r="F6983" s="513" t="s">
        <v>1210</v>
      </c>
      <c r="G6983" s="200" t="s">
        <v>1209</v>
      </c>
      <c r="H6983" s="201"/>
      <c r="I6983" s="201" t="s">
        <v>315</v>
      </c>
      <c r="J6983" s="197" t="s">
        <v>46</v>
      </c>
      <c r="K6983" s="202">
        <v>1000000</v>
      </c>
      <c r="L6983" s="202"/>
    </row>
    <row r="6984" spans="1:15" ht="11.25" customHeight="1" x14ac:dyDescent="0.2">
      <c r="A6984" s="120">
        <v>2025</v>
      </c>
      <c r="B6984" s="120">
        <v>2</v>
      </c>
      <c r="C6984" s="120">
        <v>4</v>
      </c>
      <c r="D6984" s="208">
        <f t="shared" si="756"/>
        <v>45692</v>
      </c>
      <c r="E6984" s="209">
        <f t="shared" si="759"/>
        <v>45692</v>
      </c>
      <c r="F6984" s="515"/>
      <c r="G6984" s="132" t="s">
        <v>1209</v>
      </c>
      <c r="I6984" s="128" t="s">
        <v>315</v>
      </c>
      <c r="J6984" s="120" t="s">
        <v>16</v>
      </c>
      <c r="K6984" s="207"/>
      <c r="L6984" s="207">
        <v>838290</v>
      </c>
    </row>
    <row r="6985" spans="1:15" ht="11.25" customHeight="1" x14ac:dyDescent="0.2">
      <c r="A6985" s="191">
        <v>2025</v>
      </c>
      <c r="B6985" s="191">
        <v>2</v>
      </c>
      <c r="C6985" s="191">
        <v>4</v>
      </c>
      <c r="D6985" s="192">
        <f t="shared" si="756"/>
        <v>45692</v>
      </c>
      <c r="E6985" s="193">
        <f t="shared" si="759"/>
        <v>45692</v>
      </c>
      <c r="F6985" s="514"/>
      <c r="G6985" s="194" t="s">
        <v>1209</v>
      </c>
      <c r="H6985" s="195"/>
      <c r="I6985" s="195" t="s">
        <v>315</v>
      </c>
      <c r="J6985" s="191" t="s">
        <v>47</v>
      </c>
      <c r="K6985" s="196"/>
      <c r="L6985" s="196">
        <v>161710</v>
      </c>
    </row>
    <row r="6986" spans="1:15" ht="11.25" customHeight="1" x14ac:dyDescent="0.2">
      <c r="A6986" s="197">
        <v>2025</v>
      </c>
      <c r="B6986" s="197">
        <v>2</v>
      </c>
      <c r="C6986" s="197">
        <v>4</v>
      </c>
      <c r="D6986" s="198">
        <f t="shared" si="756"/>
        <v>45692</v>
      </c>
      <c r="E6986" s="209">
        <f t="shared" ref="E6986:E6990" si="760">DATE(A6986,B6986,C6986)</f>
        <v>45692</v>
      </c>
      <c r="F6986" s="513" t="s">
        <v>1296</v>
      </c>
      <c r="G6986" s="200" t="s">
        <v>1209</v>
      </c>
      <c r="H6986" s="201"/>
      <c r="I6986" s="201" t="s">
        <v>1969</v>
      </c>
      <c r="J6986" s="197" t="s">
        <v>46</v>
      </c>
      <c r="K6986" s="202">
        <v>10000</v>
      </c>
      <c r="L6986" s="202"/>
    </row>
    <row r="6987" spans="1:15" ht="11.25" customHeight="1" x14ac:dyDescent="0.2">
      <c r="A6987" s="120">
        <v>2025</v>
      </c>
      <c r="B6987" s="120">
        <v>2</v>
      </c>
      <c r="C6987" s="120">
        <v>4</v>
      </c>
      <c r="D6987" s="208">
        <f t="shared" si="756"/>
        <v>45692</v>
      </c>
      <c r="E6987" s="209">
        <f t="shared" si="760"/>
        <v>45692</v>
      </c>
      <c r="F6987" s="515"/>
      <c r="G6987" s="132" t="s">
        <v>1209</v>
      </c>
      <c r="I6987" s="128" t="s">
        <v>1969</v>
      </c>
      <c r="J6987" s="120" t="s">
        <v>16</v>
      </c>
      <c r="K6987" s="207"/>
      <c r="L6987" s="207">
        <v>8380</v>
      </c>
    </row>
    <row r="6988" spans="1:15" ht="11.25" customHeight="1" x14ac:dyDescent="0.2">
      <c r="A6988" s="191">
        <v>2025</v>
      </c>
      <c r="B6988" s="191">
        <v>2</v>
      </c>
      <c r="C6988" s="191">
        <v>4</v>
      </c>
      <c r="D6988" s="192">
        <f t="shared" si="756"/>
        <v>45692</v>
      </c>
      <c r="E6988" s="193">
        <f t="shared" si="760"/>
        <v>45692</v>
      </c>
      <c r="F6988" s="514"/>
      <c r="G6988" s="194" t="s">
        <v>1209</v>
      </c>
      <c r="H6988" s="195"/>
      <c r="I6988" s="195" t="s">
        <v>1969</v>
      </c>
      <c r="J6988" s="191" t="s">
        <v>47</v>
      </c>
      <c r="K6988" s="196"/>
      <c r="L6988" s="196">
        <v>1620</v>
      </c>
    </row>
    <row r="6989" spans="1:15" ht="11.25" customHeight="1" x14ac:dyDescent="0.2">
      <c r="A6989" s="197">
        <v>2025</v>
      </c>
      <c r="B6989" s="197">
        <v>2</v>
      </c>
      <c r="C6989" s="197">
        <v>4</v>
      </c>
      <c r="D6989" s="198">
        <f t="shared" si="756"/>
        <v>45692</v>
      </c>
      <c r="E6989" s="199">
        <f t="shared" si="760"/>
        <v>45692</v>
      </c>
      <c r="F6989" s="513" t="s">
        <v>1279</v>
      </c>
      <c r="G6989" s="200" t="s">
        <v>1209</v>
      </c>
      <c r="H6989" s="201"/>
      <c r="I6989" s="201" t="s">
        <v>1253</v>
      </c>
      <c r="J6989" s="197" t="s">
        <v>76</v>
      </c>
      <c r="K6989" s="202">
        <v>14000000</v>
      </c>
      <c r="L6989" s="202"/>
    </row>
    <row r="6990" spans="1:15" ht="11.25" customHeight="1" x14ac:dyDescent="0.2">
      <c r="A6990" s="191">
        <v>2025</v>
      </c>
      <c r="B6990" s="191">
        <v>2</v>
      </c>
      <c r="C6990" s="191">
        <v>4</v>
      </c>
      <c r="D6990" s="192">
        <f t="shared" si="756"/>
        <v>45692</v>
      </c>
      <c r="E6990" s="193">
        <f t="shared" si="760"/>
        <v>45692</v>
      </c>
      <c r="F6990" s="514"/>
      <c r="G6990" s="194" t="s">
        <v>1209</v>
      </c>
      <c r="H6990" s="195"/>
      <c r="I6990" s="195" t="s">
        <v>1253</v>
      </c>
      <c r="J6990" s="191" t="s">
        <v>46</v>
      </c>
      <c r="K6990" s="196"/>
      <c r="L6990" s="196">
        <v>14000000</v>
      </c>
    </row>
    <row r="6991" spans="1:15" ht="11.25" customHeight="1" x14ac:dyDescent="0.2">
      <c r="A6991" s="197">
        <v>2025</v>
      </c>
      <c r="B6991" s="197">
        <v>2</v>
      </c>
      <c r="C6991" s="197">
        <v>4</v>
      </c>
      <c r="D6991" s="198">
        <f t="shared" si="756"/>
        <v>45692</v>
      </c>
      <c r="E6991" s="290">
        <f>DATE(A6991,B6991,C6991)</f>
        <v>45692</v>
      </c>
      <c r="F6991" s="513" t="s">
        <v>1514</v>
      </c>
      <c r="G6991" s="200" t="s">
        <v>1209</v>
      </c>
      <c r="H6991" s="201"/>
      <c r="I6991" s="201"/>
      <c r="J6991" s="197" t="s">
        <v>54</v>
      </c>
      <c r="K6991" s="202">
        <v>100</v>
      </c>
      <c r="L6991" s="202"/>
      <c r="M6991" s="251"/>
      <c r="N6991" s="251"/>
      <c r="O6991" s="251"/>
    </row>
    <row r="6992" spans="1:15" ht="11.25" customHeight="1" x14ac:dyDescent="0.2">
      <c r="A6992" s="191">
        <v>2025</v>
      </c>
      <c r="B6992" s="191">
        <v>2</v>
      </c>
      <c r="C6992" s="191">
        <v>4</v>
      </c>
      <c r="D6992" s="192">
        <f t="shared" si="756"/>
        <v>45692</v>
      </c>
      <c r="E6992" s="291">
        <f>DATE(A6992,B6992,C6992)</f>
        <v>45692</v>
      </c>
      <c r="F6992" s="514"/>
      <c r="G6992" s="194" t="s">
        <v>1209</v>
      </c>
      <c r="H6992" s="195"/>
      <c r="I6992" s="195"/>
      <c r="J6992" s="191" t="s">
        <v>46</v>
      </c>
      <c r="K6992" s="196"/>
      <c r="L6992" s="196">
        <v>100</v>
      </c>
      <c r="M6992" s="251"/>
      <c r="N6992" s="251"/>
      <c r="O6992" s="251"/>
    </row>
    <row r="6993" spans="1:15" ht="11.25" customHeight="1" x14ac:dyDescent="0.2">
      <c r="A6993" s="197">
        <v>2025</v>
      </c>
      <c r="B6993" s="197">
        <v>2</v>
      </c>
      <c r="C6993" s="197">
        <v>5</v>
      </c>
      <c r="D6993" s="198">
        <f t="shared" si="756"/>
        <v>45693</v>
      </c>
      <c r="E6993" s="290">
        <f>DATE(A6993,B6993,C6993)</f>
        <v>45693</v>
      </c>
      <c r="F6993" s="513" t="s">
        <v>1514</v>
      </c>
      <c r="G6993" s="200" t="s">
        <v>1209</v>
      </c>
      <c r="H6993" s="201"/>
      <c r="I6993" s="201"/>
      <c r="J6993" s="197" t="s">
        <v>54</v>
      </c>
      <c r="K6993" s="202">
        <v>100</v>
      </c>
      <c r="L6993" s="202"/>
      <c r="M6993" s="251"/>
      <c r="N6993" s="251"/>
      <c r="O6993" s="251"/>
    </row>
    <row r="6994" spans="1:15" ht="11.25" customHeight="1" x14ac:dyDescent="0.2">
      <c r="A6994" s="191">
        <v>2025</v>
      </c>
      <c r="B6994" s="191">
        <v>2</v>
      </c>
      <c r="C6994" s="191">
        <v>5</v>
      </c>
      <c r="D6994" s="192">
        <f t="shared" si="756"/>
        <v>45693</v>
      </c>
      <c r="E6994" s="291">
        <f>DATE(A6994,B6994,C6994)</f>
        <v>45693</v>
      </c>
      <c r="F6994" s="514"/>
      <c r="G6994" s="194" t="s">
        <v>1209</v>
      </c>
      <c r="H6994" s="195"/>
      <c r="I6994" s="195"/>
      <c r="J6994" s="191" t="s">
        <v>46</v>
      </c>
      <c r="K6994" s="196"/>
      <c r="L6994" s="196">
        <v>100</v>
      </c>
      <c r="M6994" s="251"/>
      <c r="N6994" s="251"/>
      <c r="O6994" s="251"/>
    </row>
    <row r="6995" spans="1:15" ht="11.25" customHeight="1" x14ac:dyDescent="0.2">
      <c r="A6995" s="197">
        <v>2025</v>
      </c>
      <c r="B6995" s="197">
        <v>2</v>
      </c>
      <c r="C6995" s="197">
        <v>5</v>
      </c>
      <c r="D6995" s="198">
        <f t="shared" si="756"/>
        <v>45693</v>
      </c>
      <c r="E6995" s="209">
        <f t="shared" si="759"/>
        <v>45693</v>
      </c>
      <c r="F6995" s="513" t="s">
        <v>1296</v>
      </c>
      <c r="G6995" s="200" t="s">
        <v>1209</v>
      </c>
      <c r="H6995" s="201"/>
      <c r="I6995" s="201"/>
      <c r="J6995" s="197" t="s">
        <v>46</v>
      </c>
      <c r="K6995" s="202">
        <v>232000</v>
      </c>
      <c r="L6995" s="202"/>
    </row>
    <row r="6996" spans="1:15" ht="11.25" customHeight="1" x14ac:dyDescent="0.2">
      <c r="A6996" s="120">
        <v>2025</v>
      </c>
      <c r="B6996" s="120">
        <v>2</v>
      </c>
      <c r="C6996" s="120">
        <v>5</v>
      </c>
      <c r="D6996" s="208">
        <f t="shared" si="756"/>
        <v>45693</v>
      </c>
      <c r="E6996" s="209">
        <f t="shared" si="759"/>
        <v>45693</v>
      </c>
      <c r="F6996" s="515"/>
      <c r="G6996" s="132" t="s">
        <v>1209</v>
      </c>
      <c r="J6996" s="120" t="s">
        <v>16</v>
      </c>
      <c r="K6996" s="207"/>
      <c r="L6996" s="207">
        <v>194480</v>
      </c>
    </row>
    <row r="6997" spans="1:15" ht="11.25" customHeight="1" x14ac:dyDescent="0.2">
      <c r="A6997" s="191">
        <v>2025</v>
      </c>
      <c r="B6997" s="191">
        <v>2</v>
      </c>
      <c r="C6997" s="191">
        <v>5</v>
      </c>
      <c r="D6997" s="192">
        <f t="shared" si="756"/>
        <v>45693</v>
      </c>
      <c r="E6997" s="193">
        <f t="shared" si="759"/>
        <v>45693</v>
      </c>
      <c r="F6997" s="514"/>
      <c r="G6997" s="194" t="s">
        <v>1209</v>
      </c>
      <c r="H6997" s="195"/>
      <c r="I6997" s="195"/>
      <c r="J6997" s="191" t="s">
        <v>47</v>
      </c>
      <c r="K6997" s="196"/>
      <c r="L6997" s="196">
        <v>37520</v>
      </c>
    </row>
    <row r="6998" spans="1:15" ht="11.25" customHeight="1" x14ac:dyDescent="0.2">
      <c r="A6998" s="197">
        <v>2025</v>
      </c>
      <c r="B6998" s="197">
        <v>2</v>
      </c>
      <c r="C6998" s="197">
        <v>5</v>
      </c>
      <c r="D6998" s="198">
        <f t="shared" si="756"/>
        <v>45693</v>
      </c>
      <c r="E6998" s="199">
        <f t="shared" si="759"/>
        <v>45693</v>
      </c>
      <c r="F6998" s="513" t="s">
        <v>2015</v>
      </c>
      <c r="G6998" s="200" t="s">
        <v>1209</v>
      </c>
      <c r="H6998" s="201"/>
      <c r="I6998" s="201" t="s">
        <v>1253</v>
      </c>
      <c r="J6998" s="197" t="s">
        <v>1837</v>
      </c>
      <c r="K6998" s="202">
        <v>520849.93</v>
      </c>
      <c r="L6998" s="202"/>
    </row>
    <row r="6999" spans="1:15" ht="11.25" customHeight="1" x14ac:dyDescent="0.2">
      <c r="A6999" s="120">
        <v>2025</v>
      </c>
      <c r="B6999" s="120">
        <v>2</v>
      </c>
      <c r="C6999" s="120">
        <v>5</v>
      </c>
      <c r="D6999" s="208">
        <f t="shared" si="756"/>
        <v>45693</v>
      </c>
      <c r="E6999" s="209">
        <f t="shared" ref="E6999" si="761">DATE(A6999,B6999,C6999)</f>
        <v>45693</v>
      </c>
      <c r="F6999" s="515"/>
      <c r="G6999" s="132" t="s">
        <v>1209</v>
      </c>
      <c r="J6999" s="120" t="s">
        <v>71</v>
      </c>
      <c r="K6999" s="207">
        <v>510.07</v>
      </c>
      <c r="L6999" s="207"/>
    </row>
    <row r="7000" spans="1:15" ht="11.25" customHeight="1" x14ac:dyDescent="0.2">
      <c r="A7000" s="191">
        <v>2025</v>
      </c>
      <c r="B7000" s="191">
        <v>2</v>
      </c>
      <c r="C7000" s="191">
        <v>5</v>
      </c>
      <c r="D7000" s="192">
        <f t="shared" si="756"/>
        <v>45693</v>
      </c>
      <c r="E7000" s="193">
        <f t="shared" si="759"/>
        <v>45693</v>
      </c>
      <c r="F7000" s="514"/>
      <c r="G7000" s="194" t="s">
        <v>1209</v>
      </c>
      <c r="H7000" s="195"/>
      <c r="I7000" s="195" t="s">
        <v>1253</v>
      </c>
      <c r="J7000" s="191" t="s">
        <v>46</v>
      </c>
      <c r="K7000" s="196"/>
      <c r="L7000" s="196">
        <v>521360</v>
      </c>
      <c r="N7000" s="130"/>
    </row>
    <row r="7001" spans="1:15" ht="11.25" customHeight="1" x14ac:dyDescent="0.2">
      <c r="A7001" s="197">
        <v>2025</v>
      </c>
      <c r="B7001" s="197">
        <v>2</v>
      </c>
      <c r="C7001" s="197">
        <v>6</v>
      </c>
      <c r="D7001" s="198">
        <f t="shared" si="756"/>
        <v>45694</v>
      </c>
      <c r="E7001" s="209">
        <f t="shared" si="759"/>
        <v>45694</v>
      </c>
      <c r="F7001" s="513" t="s">
        <v>1210</v>
      </c>
      <c r="G7001" s="200" t="s">
        <v>1209</v>
      </c>
      <c r="H7001" s="201"/>
      <c r="I7001" s="201" t="s">
        <v>1096</v>
      </c>
      <c r="J7001" s="197" t="s">
        <v>46</v>
      </c>
      <c r="K7001" s="202">
        <v>596450</v>
      </c>
      <c r="L7001" s="202"/>
    </row>
    <row r="7002" spans="1:15" ht="11.25" customHeight="1" x14ac:dyDescent="0.2">
      <c r="A7002" s="120">
        <v>2025</v>
      </c>
      <c r="B7002" s="120">
        <v>2</v>
      </c>
      <c r="C7002" s="120">
        <v>6</v>
      </c>
      <c r="D7002" s="208">
        <f t="shared" si="756"/>
        <v>45694</v>
      </c>
      <c r="E7002" s="209">
        <f t="shared" si="759"/>
        <v>45694</v>
      </c>
      <c r="F7002" s="515"/>
      <c r="G7002" s="132" t="s">
        <v>1209</v>
      </c>
      <c r="I7002" s="128" t="s">
        <v>1096</v>
      </c>
      <c r="J7002" s="120" t="s">
        <v>16</v>
      </c>
      <c r="K7002" s="207"/>
      <c r="L7002" s="207">
        <v>500000</v>
      </c>
    </row>
    <row r="7003" spans="1:15" ht="11.25" customHeight="1" x14ac:dyDescent="0.2">
      <c r="A7003" s="191">
        <v>2025</v>
      </c>
      <c r="B7003" s="191">
        <v>2</v>
      </c>
      <c r="C7003" s="191">
        <v>6</v>
      </c>
      <c r="D7003" s="192">
        <f t="shared" si="756"/>
        <v>45694</v>
      </c>
      <c r="E7003" s="193">
        <f t="shared" si="759"/>
        <v>45694</v>
      </c>
      <c r="F7003" s="514"/>
      <c r="G7003" s="194" t="s">
        <v>1209</v>
      </c>
      <c r="H7003" s="195"/>
      <c r="I7003" s="195" t="s">
        <v>1096</v>
      </c>
      <c r="J7003" s="191" t="s">
        <v>47</v>
      </c>
      <c r="K7003" s="196"/>
      <c r="L7003" s="196">
        <v>96450</v>
      </c>
    </row>
    <row r="7004" spans="1:15" ht="11.25" customHeight="1" x14ac:dyDescent="0.2">
      <c r="A7004" s="197">
        <v>2025</v>
      </c>
      <c r="B7004" s="197">
        <v>2</v>
      </c>
      <c r="C7004" s="197">
        <v>6</v>
      </c>
      <c r="D7004" s="198">
        <f t="shared" si="756"/>
        <v>45694</v>
      </c>
      <c r="E7004" s="290">
        <f>DATE(A7004,B7004,C7004)</f>
        <v>45694</v>
      </c>
      <c r="F7004" s="513" t="s">
        <v>1514</v>
      </c>
      <c r="G7004" s="200" t="s">
        <v>1209</v>
      </c>
      <c r="H7004" s="201"/>
      <c r="I7004" s="201"/>
      <c r="J7004" s="197" t="s">
        <v>54</v>
      </c>
      <c r="K7004" s="202">
        <v>25</v>
      </c>
      <c r="L7004" s="202"/>
      <c r="M7004" s="251"/>
      <c r="N7004" s="251"/>
      <c r="O7004" s="251"/>
    </row>
    <row r="7005" spans="1:15" ht="11.25" customHeight="1" x14ac:dyDescent="0.2">
      <c r="A7005" s="191">
        <v>2025</v>
      </c>
      <c r="B7005" s="191">
        <v>2</v>
      </c>
      <c r="C7005" s="191">
        <v>6</v>
      </c>
      <c r="D7005" s="192">
        <f t="shared" si="756"/>
        <v>45694</v>
      </c>
      <c r="E7005" s="291">
        <f>DATE(A7005,B7005,C7005)</f>
        <v>45694</v>
      </c>
      <c r="F7005" s="514"/>
      <c r="G7005" s="194" t="s">
        <v>1209</v>
      </c>
      <c r="H7005" s="195"/>
      <c r="I7005" s="195"/>
      <c r="J7005" s="191" t="s">
        <v>46</v>
      </c>
      <c r="K7005" s="196"/>
      <c r="L7005" s="196">
        <v>25</v>
      </c>
      <c r="M7005" s="251"/>
      <c r="N7005" s="251"/>
      <c r="O7005" s="251"/>
    </row>
    <row r="7006" spans="1:15" ht="11.25" customHeight="1" x14ac:dyDescent="0.2">
      <c r="A7006" s="197">
        <v>2025</v>
      </c>
      <c r="B7006" s="197">
        <v>2</v>
      </c>
      <c r="C7006" s="197">
        <v>6</v>
      </c>
      <c r="D7006" s="198">
        <f t="shared" si="756"/>
        <v>45694</v>
      </c>
      <c r="E7006" s="209">
        <f t="shared" ref="E7006:E7008" si="762">DATE(A7006,B7006,C7006)</f>
        <v>45694</v>
      </c>
      <c r="F7006" s="513" t="s">
        <v>1210</v>
      </c>
      <c r="G7006" s="200" t="s">
        <v>1209</v>
      </c>
      <c r="H7006" s="201"/>
      <c r="I7006" s="201" t="s">
        <v>1914</v>
      </c>
      <c r="J7006" s="197" t="s">
        <v>46</v>
      </c>
      <c r="K7006" s="202">
        <v>500000</v>
      </c>
      <c r="L7006" s="202"/>
    </row>
    <row r="7007" spans="1:15" ht="11.25" customHeight="1" x14ac:dyDescent="0.2">
      <c r="A7007" s="120">
        <v>2025</v>
      </c>
      <c r="B7007" s="120">
        <v>2</v>
      </c>
      <c r="C7007" s="120">
        <v>6</v>
      </c>
      <c r="D7007" s="208">
        <f t="shared" si="756"/>
        <v>45694</v>
      </c>
      <c r="E7007" s="209">
        <f t="shared" si="762"/>
        <v>45694</v>
      </c>
      <c r="F7007" s="515"/>
      <c r="G7007" s="132" t="s">
        <v>1209</v>
      </c>
      <c r="I7007" s="128" t="s">
        <v>1914</v>
      </c>
      <c r="J7007" s="120" t="s">
        <v>16</v>
      </c>
      <c r="K7007" s="207"/>
      <c r="L7007" s="207">
        <v>419150</v>
      </c>
    </row>
    <row r="7008" spans="1:15" ht="11.25" customHeight="1" x14ac:dyDescent="0.2">
      <c r="A7008" s="191">
        <v>2025</v>
      </c>
      <c r="B7008" s="191">
        <v>2</v>
      </c>
      <c r="C7008" s="191">
        <v>6</v>
      </c>
      <c r="D7008" s="192">
        <f t="shared" si="756"/>
        <v>45694</v>
      </c>
      <c r="E7008" s="193">
        <f t="shared" si="762"/>
        <v>45694</v>
      </c>
      <c r="F7008" s="514"/>
      <c r="G7008" s="194" t="s">
        <v>1209</v>
      </c>
      <c r="H7008" s="195"/>
      <c r="I7008" s="195" t="s">
        <v>1914</v>
      </c>
      <c r="J7008" s="191" t="s">
        <v>47</v>
      </c>
      <c r="K7008" s="196"/>
      <c r="L7008" s="196">
        <v>80850</v>
      </c>
    </row>
    <row r="7009" spans="1:15" ht="11.25" customHeight="1" x14ac:dyDescent="0.2">
      <c r="A7009" s="197">
        <v>2025</v>
      </c>
      <c r="B7009" s="197">
        <v>2</v>
      </c>
      <c r="C7009" s="197">
        <v>6</v>
      </c>
      <c r="D7009" s="198">
        <f t="shared" si="756"/>
        <v>45694</v>
      </c>
      <c r="E7009" s="209">
        <f t="shared" ref="E7009:E7011" si="763">DATE(A7009,B7009,C7009)</f>
        <v>45694</v>
      </c>
      <c r="F7009" s="513" t="s">
        <v>1210</v>
      </c>
      <c r="G7009" s="200" t="s">
        <v>1209</v>
      </c>
      <c r="H7009" s="201"/>
      <c r="I7009" s="201" t="s">
        <v>464</v>
      </c>
      <c r="J7009" s="197" t="s">
        <v>46</v>
      </c>
      <c r="K7009" s="202">
        <v>59645</v>
      </c>
      <c r="L7009" s="202"/>
    </row>
    <row r="7010" spans="1:15" ht="11.25" customHeight="1" x14ac:dyDescent="0.2">
      <c r="A7010" s="120">
        <v>2025</v>
      </c>
      <c r="B7010" s="120">
        <v>2</v>
      </c>
      <c r="C7010" s="120">
        <v>6</v>
      </c>
      <c r="D7010" s="208">
        <f t="shared" si="756"/>
        <v>45694</v>
      </c>
      <c r="E7010" s="209">
        <f t="shared" si="763"/>
        <v>45694</v>
      </c>
      <c r="F7010" s="515"/>
      <c r="G7010" s="132" t="s">
        <v>1209</v>
      </c>
      <c r="I7010" s="128" t="s">
        <v>464</v>
      </c>
      <c r="J7010" s="120" t="s">
        <v>16</v>
      </c>
      <c r="K7010" s="207"/>
      <c r="L7010" s="207">
        <v>50000</v>
      </c>
    </row>
    <row r="7011" spans="1:15" ht="11.25" customHeight="1" x14ac:dyDescent="0.2">
      <c r="A7011" s="191">
        <v>2025</v>
      </c>
      <c r="B7011" s="191">
        <v>2</v>
      </c>
      <c r="C7011" s="191">
        <v>6</v>
      </c>
      <c r="D7011" s="192">
        <f t="shared" si="756"/>
        <v>45694</v>
      </c>
      <c r="E7011" s="193">
        <f t="shared" si="763"/>
        <v>45694</v>
      </c>
      <c r="F7011" s="514"/>
      <c r="G7011" s="194" t="s">
        <v>1209</v>
      </c>
      <c r="H7011" s="195"/>
      <c r="I7011" s="195" t="s">
        <v>464</v>
      </c>
      <c r="J7011" s="191" t="s">
        <v>47</v>
      </c>
      <c r="K7011" s="196"/>
      <c r="L7011" s="196">
        <v>9645</v>
      </c>
    </row>
    <row r="7012" spans="1:15" ht="11.25" customHeight="1" x14ac:dyDescent="0.2">
      <c r="A7012" s="197">
        <v>2025</v>
      </c>
      <c r="B7012" s="197">
        <v>2</v>
      </c>
      <c r="C7012" s="197">
        <v>6</v>
      </c>
      <c r="D7012" s="198">
        <f t="shared" si="756"/>
        <v>45694</v>
      </c>
      <c r="E7012" s="290">
        <f>DATE(A7012,B7012,C7012)</f>
        <v>45694</v>
      </c>
      <c r="F7012" s="513" t="s">
        <v>1514</v>
      </c>
      <c r="G7012" s="200" t="s">
        <v>1209</v>
      </c>
      <c r="H7012" s="201"/>
      <c r="I7012" s="201"/>
      <c r="J7012" s="197" t="s">
        <v>54</v>
      </c>
      <c r="K7012" s="202">
        <v>190</v>
      </c>
      <c r="L7012" s="202"/>
      <c r="M7012" s="251"/>
      <c r="N7012" s="251"/>
      <c r="O7012" s="251"/>
    </row>
    <row r="7013" spans="1:15" ht="11.25" customHeight="1" x14ac:dyDescent="0.2">
      <c r="A7013" s="191">
        <v>2025</v>
      </c>
      <c r="B7013" s="191">
        <v>2</v>
      </c>
      <c r="C7013" s="191">
        <v>6</v>
      </c>
      <c r="D7013" s="192">
        <f t="shared" si="756"/>
        <v>45694</v>
      </c>
      <c r="E7013" s="291">
        <f>DATE(A7013,B7013,C7013)</f>
        <v>45694</v>
      </c>
      <c r="F7013" s="514"/>
      <c r="G7013" s="194" t="s">
        <v>1209</v>
      </c>
      <c r="H7013" s="195"/>
      <c r="I7013" s="195"/>
      <c r="J7013" s="191" t="s">
        <v>46</v>
      </c>
      <c r="K7013" s="196"/>
      <c r="L7013" s="196">
        <v>190</v>
      </c>
      <c r="M7013" s="251"/>
      <c r="N7013" s="251"/>
      <c r="O7013" s="251"/>
    </row>
    <row r="7014" spans="1:15" ht="11.25" customHeight="1" x14ac:dyDescent="0.2">
      <c r="A7014" s="197">
        <v>2025</v>
      </c>
      <c r="B7014" s="197">
        <v>2</v>
      </c>
      <c r="C7014" s="197">
        <v>6</v>
      </c>
      <c r="D7014" s="198">
        <f t="shared" si="756"/>
        <v>45694</v>
      </c>
      <c r="E7014" s="209">
        <f t="shared" ref="E7014:E7016" si="764">DATE(A7014,B7014,C7014)</f>
        <v>45694</v>
      </c>
      <c r="F7014" s="513" t="s">
        <v>1210</v>
      </c>
      <c r="G7014" s="200" t="s">
        <v>1209</v>
      </c>
      <c r="H7014" s="201"/>
      <c r="I7014" s="201"/>
      <c r="J7014" s="197" t="s">
        <v>46</v>
      </c>
      <c r="K7014" s="202">
        <v>800000</v>
      </c>
      <c r="L7014" s="202"/>
    </row>
    <row r="7015" spans="1:15" ht="11.25" customHeight="1" x14ac:dyDescent="0.2">
      <c r="A7015" s="120">
        <v>2025</v>
      </c>
      <c r="B7015" s="120">
        <v>2</v>
      </c>
      <c r="C7015" s="120">
        <v>6</v>
      </c>
      <c r="D7015" s="208">
        <f t="shared" si="756"/>
        <v>45694</v>
      </c>
      <c r="E7015" s="209">
        <f t="shared" si="764"/>
        <v>45694</v>
      </c>
      <c r="F7015" s="515"/>
      <c r="G7015" s="132" t="s">
        <v>1209</v>
      </c>
      <c r="J7015" s="120" t="s">
        <v>16</v>
      </c>
      <c r="K7015" s="207"/>
      <c r="L7015" s="207">
        <v>670630</v>
      </c>
    </row>
    <row r="7016" spans="1:15" ht="11.25" customHeight="1" x14ac:dyDescent="0.2">
      <c r="A7016" s="191">
        <v>2025</v>
      </c>
      <c r="B7016" s="191">
        <v>2</v>
      </c>
      <c r="C7016" s="191">
        <v>6</v>
      </c>
      <c r="D7016" s="192">
        <f t="shared" si="756"/>
        <v>45694</v>
      </c>
      <c r="E7016" s="193">
        <f t="shared" si="764"/>
        <v>45694</v>
      </c>
      <c r="F7016" s="514"/>
      <c r="G7016" s="194" t="s">
        <v>1209</v>
      </c>
      <c r="H7016" s="195"/>
      <c r="I7016" s="195"/>
      <c r="J7016" s="191" t="s">
        <v>47</v>
      </c>
      <c r="K7016" s="196"/>
      <c r="L7016" s="196">
        <v>129370</v>
      </c>
    </row>
    <row r="7017" spans="1:15" ht="11.25" customHeight="1" x14ac:dyDescent="0.2">
      <c r="A7017" s="424">
        <v>2025</v>
      </c>
      <c r="B7017" s="424">
        <v>2</v>
      </c>
      <c r="C7017" s="424">
        <v>6</v>
      </c>
      <c r="D7017" s="425">
        <f t="shared" si="756"/>
        <v>45694</v>
      </c>
      <c r="E7017" s="384">
        <f t="shared" si="759"/>
        <v>45694</v>
      </c>
      <c r="F7017" s="516" t="s">
        <v>1850</v>
      </c>
      <c r="G7017" s="426" t="s">
        <v>1209</v>
      </c>
      <c r="H7017" s="427"/>
      <c r="I7017" s="427"/>
      <c r="J7017" s="428" t="s">
        <v>81</v>
      </c>
      <c r="K7017" s="429">
        <v>6973.2450980392159</v>
      </c>
      <c r="L7017" s="429"/>
      <c r="M7017" s="130"/>
    </row>
    <row r="7018" spans="1:15" ht="11.25" customHeight="1" x14ac:dyDescent="0.2">
      <c r="A7018" s="389">
        <v>2025</v>
      </c>
      <c r="B7018" s="389">
        <v>2</v>
      </c>
      <c r="C7018" s="389">
        <v>6</v>
      </c>
      <c r="D7018" s="390">
        <f t="shared" si="756"/>
        <v>45694</v>
      </c>
      <c r="E7018" s="391">
        <f t="shared" si="759"/>
        <v>45694</v>
      </c>
      <c r="F7018" s="517"/>
      <c r="G7018" s="392" t="s">
        <v>1209</v>
      </c>
      <c r="H7018" s="393"/>
      <c r="I7018" s="393"/>
      <c r="J7018" s="394" t="s">
        <v>1847</v>
      </c>
      <c r="K7018" s="423"/>
      <c r="L7018" s="423">
        <v>6973.2450980392159</v>
      </c>
    </row>
    <row r="7019" spans="1:15" ht="11.25" customHeight="1" x14ac:dyDescent="0.2">
      <c r="A7019" s="382">
        <v>2025</v>
      </c>
      <c r="B7019" s="382">
        <v>2</v>
      </c>
      <c r="C7019" s="382">
        <v>6</v>
      </c>
      <c r="D7019" s="383">
        <f t="shared" si="756"/>
        <v>45694</v>
      </c>
      <c r="E7019" s="384">
        <f t="shared" si="759"/>
        <v>45694</v>
      </c>
      <c r="F7019" s="516" t="s">
        <v>1892</v>
      </c>
      <c r="G7019" s="385" t="s">
        <v>1209</v>
      </c>
      <c r="H7019" s="386"/>
      <c r="I7019" s="386"/>
      <c r="J7019" s="387" t="s">
        <v>173</v>
      </c>
      <c r="K7019" s="388">
        <v>4918.0636154479153</v>
      </c>
      <c r="L7019" s="388"/>
      <c r="M7019" s="130"/>
    </row>
    <row r="7020" spans="1:15" ht="11.25" customHeight="1" x14ac:dyDescent="0.2">
      <c r="A7020" s="389">
        <v>2025</v>
      </c>
      <c r="B7020" s="389">
        <v>2</v>
      </c>
      <c r="C7020" s="389">
        <v>6</v>
      </c>
      <c r="D7020" s="390">
        <f t="shared" ref="D7020:D7083" si="765">DATE(A7020,B7020,C7020)</f>
        <v>45694</v>
      </c>
      <c r="E7020" s="391">
        <f t="shared" si="759"/>
        <v>45694</v>
      </c>
      <c r="F7020" s="517"/>
      <c r="G7020" s="392" t="s">
        <v>1209</v>
      </c>
      <c r="H7020" s="393"/>
      <c r="I7020" s="393"/>
      <c r="J7020" s="394" t="s">
        <v>43</v>
      </c>
      <c r="K7020" s="388"/>
      <c r="L7020" s="388">
        <f>K7019</f>
        <v>4918.0636154479153</v>
      </c>
    </row>
    <row r="7021" spans="1:15" ht="11.25" customHeight="1" x14ac:dyDescent="0.2">
      <c r="A7021" s="344">
        <v>2025</v>
      </c>
      <c r="B7021" s="344">
        <v>2</v>
      </c>
      <c r="C7021" s="344">
        <v>6</v>
      </c>
      <c r="D7021" s="345">
        <f t="shared" si="765"/>
        <v>45694</v>
      </c>
      <c r="E7021" s="346">
        <f t="shared" si="759"/>
        <v>45694</v>
      </c>
      <c r="F7021" s="518" t="s">
        <v>1621</v>
      </c>
      <c r="G7021" s="347" t="s">
        <v>1245</v>
      </c>
      <c r="H7021" s="348"/>
      <c r="I7021" s="348" t="s">
        <v>1253</v>
      </c>
      <c r="J7021" s="344" t="s">
        <v>113</v>
      </c>
      <c r="K7021" s="349">
        <v>10461.521538456902</v>
      </c>
      <c r="L7021" s="349"/>
      <c r="M7021" s="130"/>
    </row>
    <row r="7022" spans="1:15" ht="11.25" customHeight="1" x14ac:dyDescent="0.2">
      <c r="A7022" s="350">
        <v>2025</v>
      </c>
      <c r="B7022" s="350">
        <v>2</v>
      </c>
      <c r="C7022" s="350">
        <v>6</v>
      </c>
      <c r="D7022" s="351">
        <f t="shared" si="765"/>
        <v>45694</v>
      </c>
      <c r="E7022" s="352">
        <f t="shared" si="759"/>
        <v>45694</v>
      </c>
      <c r="F7022" s="519"/>
      <c r="G7022" s="353" t="s">
        <v>1245</v>
      </c>
      <c r="H7022" s="354"/>
      <c r="I7022" s="354" t="s">
        <v>1253</v>
      </c>
      <c r="J7022" s="350" t="s">
        <v>153</v>
      </c>
      <c r="K7022" s="355"/>
      <c r="L7022" s="355">
        <f>K7021</f>
        <v>10461.521538456902</v>
      </c>
    </row>
    <row r="7023" spans="1:15" ht="11.25" customHeight="1" x14ac:dyDescent="0.2">
      <c r="A7023" s="344">
        <v>2025</v>
      </c>
      <c r="B7023" s="344">
        <v>2</v>
      </c>
      <c r="C7023" s="344">
        <v>6</v>
      </c>
      <c r="D7023" s="345">
        <f t="shared" si="765"/>
        <v>45694</v>
      </c>
      <c r="E7023" s="346">
        <f t="shared" ref="E7023:E7024" si="766">DATE(A7023,B7023,C7023)</f>
        <v>45694</v>
      </c>
      <c r="F7023" s="518" t="s">
        <v>1988</v>
      </c>
      <c r="G7023" s="347" t="s">
        <v>1245</v>
      </c>
      <c r="H7023" s="348"/>
      <c r="I7023" s="348" t="s">
        <v>1253</v>
      </c>
      <c r="J7023" s="344" t="s">
        <v>113</v>
      </c>
      <c r="K7023" s="349">
        <v>32846.15</v>
      </c>
      <c r="L7023" s="349"/>
      <c r="M7023" s="130"/>
    </row>
    <row r="7024" spans="1:15" ht="11.25" customHeight="1" x14ac:dyDescent="0.2">
      <c r="A7024" s="350">
        <v>2025</v>
      </c>
      <c r="B7024" s="350">
        <v>2</v>
      </c>
      <c r="C7024" s="350">
        <v>6</v>
      </c>
      <c r="D7024" s="351">
        <f t="shared" si="765"/>
        <v>45694</v>
      </c>
      <c r="E7024" s="352">
        <f t="shared" si="766"/>
        <v>45694</v>
      </c>
      <c r="F7024" s="519"/>
      <c r="G7024" s="353" t="s">
        <v>1245</v>
      </c>
      <c r="H7024" s="354"/>
      <c r="I7024" s="354" t="s">
        <v>1253</v>
      </c>
      <c r="J7024" s="350" t="s">
        <v>153</v>
      </c>
      <c r="K7024" s="355"/>
      <c r="L7024" s="355">
        <f>K7023</f>
        <v>32846.15</v>
      </c>
    </row>
    <row r="7025" spans="1:13" ht="11.25" customHeight="1" x14ac:dyDescent="0.2">
      <c r="A7025" s="210">
        <v>2025</v>
      </c>
      <c r="B7025" s="210">
        <v>2</v>
      </c>
      <c r="C7025" s="210">
        <v>6</v>
      </c>
      <c r="D7025" s="211">
        <f t="shared" si="765"/>
        <v>45694</v>
      </c>
      <c r="E7025" s="238">
        <f t="shared" si="759"/>
        <v>45694</v>
      </c>
      <c r="F7025" s="520" t="s">
        <v>1278</v>
      </c>
      <c r="G7025" s="213" t="s">
        <v>1245</v>
      </c>
      <c r="H7025" s="214"/>
      <c r="I7025" s="214" t="s">
        <v>1253</v>
      </c>
      <c r="J7025" s="210" t="s">
        <v>1529</v>
      </c>
      <c r="K7025" s="215">
        <v>510.40384615384613</v>
      </c>
      <c r="L7025" s="215"/>
      <c r="M7025" s="130"/>
    </row>
    <row r="7026" spans="1:13" ht="11.25" customHeight="1" x14ac:dyDescent="0.2">
      <c r="A7026" s="216">
        <v>2025</v>
      </c>
      <c r="B7026" s="216">
        <v>2</v>
      </c>
      <c r="C7026" s="216">
        <v>6</v>
      </c>
      <c r="D7026" s="217">
        <f t="shared" si="765"/>
        <v>45694</v>
      </c>
      <c r="E7026" s="239">
        <f t="shared" si="759"/>
        <v>45694</v>
      </c>
      <c r="F7026" s="521"/>
      <c r="G7026" s="219" t="s">
        <v>1245</v>
      </c>
      <c r="H7026" s="220"/>
      <c r="I7026" s="220" t="s">
        <v>1253</v>
      </c>
      <c r="J7026" s="216" t="s">
        <v>1581</v>
      </c>
      <c r="K7026" s="221"/>
      <c r="L7026" s="221">
        <v>510.40384615384613</v>
      </c>
    </row>
    <row r="7027" spans="1:13" ht="11.25" customHeight="1" x14ac:dyDescent="0.2">
      <c r="A7027" s="210">
        <v>2025</v>
      </c>
      <c r="B7027" s="210">
        <v>2</v>
      </c>
      <c r="C7027" s="210">
        <v>6</v>
      </c>
      <c r="D7027" s="211">
        <f t="shared" si="765"/>
        <v>45694</v>
      </c>
      <c r="E7027" s="238">
        <f t="shared" si="759"/>
        <v>45694</v>
      </c>
      <c r="F7027" s="520" t="s">
        <v>1857</v>
      </c>
      <c r="G7027" s="213" t="s">
        <v>1245</v>
      </c>
      <c r="H7027" s="214"/>
      <c r="I7027" s="214" t="s">
        <v>1253</v>
      </c>
      <c r="J7027" s="210" t="s">
        <v>1284</v>
      </c>
      <c r="K7027" s="215">
        <v>2341.8114143920593</v>
      </c>
      <c r="L7027" s="215"/>
      <c r="M7027" s="130"/>
    </row>
    <row r="7028" spans="1:13" ht="11.25" customHeight="1" x14ac:dyDescent="0.2">
      <c r="A7028" s="242">
        <v>2025</v>
      </c>
      <c r="B7028" s="242">
        <v>2</v>
      </c>
      <c r="C7028" s="242">
        <v>6</v>
      </c>
      <c r="D7028" s="243">
        <f t="shared" si="765"/>
        <v>45694</v>
      </c>
      <c r="E7028" s="244">
        <f>DATE(A7028,B7028,C7028)</f>
        <v>45694</v>
      </c>
      <c r="F7028" s="524"/>
      <c r="G7028" s="245" t="s">
        <v>1245</v>
      </c>
      <c r="H7028" s="246"/>
      <c r="I7028" s="246"/>
      <c r="J7028" s="242" t="s">
        <v>1582</v>
      </c>
      <c r="K7028" s="247"/>
      <c r="L7028" s="247">
        <f>K7027</f>
        <v>2341.8114143920593</v>
      </c>
    </row>
    <row r="7029" spans="1:13" ht="11.25" customHeight="1" x14ac:dyDescent="0.2">
      <c r="A7029" s="210">
        <v>2025</v>
      </c>
      <c r="B7029" s="210">
        <v>2</v>
      </c>
      <c r="C7029" s="210">
        <v>6</v>
      </c>
      <c r="D7029" s="211">
        <f t="shared" si="765"/>
        <v>45694</v>
      </c>
      <c r="E7029" s="238">
        <f t="shared" ref="E7029:E7045" si="767">DATE(A7029,B7029,C7029)</f>
        <v>45694</v>
      </c>
      <c r="F7029" s="520" t="s">
        <v>2055</v>
      </c>
      <c r="G7029" s="213" t="s">
        <v>1245</v>
      </c>
      <c r="H7029" s="214"/>
      <c r="I7029" s="214" t="s">
        <v>1253</v>
      </c>
      <c r="J7029" s="210" t="s">
        <v>58</v>
      </c>
      <c r="K7029" s="215">
        <v>6260.64</v>
      </c>
      <c r="L7029" s="215"/>
    </row>
    <row r="7030" spans="1:13" ht="11.25" customHeight="1" x14ac:dyDescent="0.2">
      <c r="A7030" s="216">
        <v>2025</v>
      </c>
      <c r="B7030" s="216">
        <v>2</v>
      </c>
      <c r="C7030" s="216">
        <v>6</v>
      </c>
      <c r="D7030" s="217">
        <f t="shared" si="765"/>
        <v>45694</v>
      </c>
      <c r="E7030" s="239">
        <f t="shared" si="767"/>
        <v>45694</v>
      </c>
      <c r="F7030" s="521"/>
      <c r="G7030" s="219" t="s">
        <v>1245</v>
      </c>
      <c r="H7030" s="220"/>
      <c r="I7030" s="220" t="s">
        <v>1253</v>
      </c>
      <c r="J7030" s="216" t="s">
        <v>153</v>
      </c>
      <c r="K7030" s="221"/>
      <c r="L7030" s="221">
        <f>K7029</f>
        <v>6260.64</v>
      </c>
    </row>
    <row r="7031" spans="1:13" ht="11.25" customHeight="1" x14ac:dyDescent="0.2">
      <c r="A7031" s="312">
        <v>2025</v>
      </c>
      <c r="B7031" s="312">
        <v>2</v>
      </c>
      <c r="C7031" s="312">
        <v>6</v>
      </c>
      <c r="D7031" s="313">
        <f t="shared" si="765"/>
        <v>45694</v>
      </c>
      <c r="E7031" s="314">
        <f t="shared" si="767"/>
        <v>45694</v>
      </c>
      <c r="F7031" s="522" t="s">
        <v>1477</v>
      </c>
      <c r="G7031" s="315" t="s">
        <v>1245</v>
      </c>
      <c r="H7031" s="316"/>
      <c r="I7031" s="316" t="s">
        <v>1253</v>
      </c>
      <c r="J7031" s="312" t="s">
        <v>1458</v>
      </c>
      <c r="K7031" s="317">
        <v>0</v>
      </c>
      <c r="L7031" s="317"/>
      <c r="M7031" s="120">
        <f>BS!$I$11</f>
        <v>5.9604644775390625E-8</v>
      </c>
    </row>
    <row r="7032" spans="1:13" ht="11.25" customHeight="1" x14ac:dyDescent="0.2">
      <c r="A7032" s="318">
        <v>2025</v>
      </c>
      <c r="B7032" s="318">
        <v>2</v>
      </c>
      <c r="C7032" s="318">
        <v>6</v>
      </c>
      <c r="D7032" s="319">
        <f t="shared" si="765"/>
        <v>45694</v>
      </c>
      <c r="E7032" s="320">
        <f t="shared" si="767"/>
        <v>45694</v>
      </c>
      <c r="F7032" s="523"/>
      <c r="G7032" s="321" t="s">
        <v>1245</v>
      </c>
      <c r="H7032" s="322"/>
      <c r="I7032" s="322" t="s">
        <v>1253</v>
      </c>
      <c r="J7032" s="318" t="s">
        <v>1460</v>
      </c>
      <c r="K7032" s="323"/>
      <c r="L7032" s="323">
        <f>K7031</f>
        <v>0</v>
      </c>
    </row>
    <row r="7033" spans="1:13" ht="11.25" customHeight="1" x14ac:dyDescent="0.2">
      <c r="A7033" s="312">
        <v>2025</v>
      </c>
      <c r="B7033" s="312">
        <v>2</v>
      </c>
      <c r="C7033" s="312">
        <v>6</v>
      </c>
      <c r="D7033" s="313">
        <f t="shared" si="765"/>
        <v>45694</v>
      </c>
      <c r="E7033" s="314">
        <f t="shared" si="767"/>
        <v>45694</v>
      </c>
      <c r="F7033" s="522" t="s">
        <v>1595</v>
      </c>
      <c r="G7033" s="315" t="s">
        <v>1245</v>
      </c>
      <c r="H7033" s="316"/>
      <c r="I7033" s="316" t="s">
        <v>1253</v>
      </c>
      <c r="J7033" s="312" t="s">
        <v>1461</v>
      </c>
      <c r="K7033" s="317">
        <v>3412123.311999917</v>
      </c>
      <c r="L7033" s="317"/>
      <c r="M7033" s="120">
        <f>BS!$I$14</f>
        <v>0</v>
      </c>
    </row>
    <row r="7034" spans="1:13" ht="11.25" customHeight="1" x14ac:dyDescent="0.2">
      <c r="A7034" s="318">
        <v>2025</v>
      </c>
      <c r="B7034" s="318">
        <v>2</v>
      </c>
      <c r="C7034" s="318">
        <v>6</v>
      </c>
      <c r="D7034" s="319">
        <f t="shared" si="765"/>
        <v>45694</v>
      </c>
      <c r="E7034" s="320">
        <f t="shared" si="767"/>
        <v>45694</v>
      </c>
      <c r="F7034" s="523"/>
      <c r="G7034" s="321" t="s">
        <v>1245</v>
      </c>
      <c r="H7034" s="322"/>
      <c r="I7034" s="322" t="s">
        <v>1253</v>
      </c>
      <c r="J7034" s="318" t="s">
        <v>1459</v>
      </c>
      <c r="K7034" s="323"/>
      <c r="L7034" s="323">
        <f>K7033</f>
        <v>3412123.311999917</v>
      </c>
    </row>
    <row r="7035" spans="1:13" ht="11.25" customHeight="1" x14ac:dyDescent="0.2">
      <c r="A7035" s="222">
        <v>2025</v>
      </c>
      <c r="B7035" s="222">
        <v>2</v>
      </c>
      <c r="C7035" s="222">
        <v>6</v>
      </c>
      <c r="D7035" s="223">
        <f t="shared" si="765"/>
        <v>45694</v>
      </c>
      <c r="E7035" s="240">
        <f t="shared" si="767"/>
        <v>45694</v>
      </c>
      <c r="F7035" s="511" t="s">
        <v>1244</v>
      </c>
      <c r="G7035" s="225" t="s">
        <v>1245</v>
      </c>
      <c r="H7035" s="226"/>
      <c r="I7035" s="226" t="s">
        <v>1253</v>
      </c>
      <c r="J7035" s="222" t="s">
        <v>87</v>
      </c>
      <c r="K7035" s="227">
        <v>23535</v>
      </c>
      <c r="L7035" s="227"/>
      <c r="M7035" s="120">
        <f>BS!$I$7</f>
        <v>0</v>
      </c>
    </row>
    <row r="7036" spans="1:13" ht="11.25" customHeight="1" x14ac:dyDescent="0.2">
      <c r="A7036" s="228">
        <v>2025</v>
      </c>
      <c r="B7036" s="228">
        <v>2</v>
      </c>
      <c r="C7036" s="228">
        <v>6</v>
      </c>
      <c r="D7036" s="229">
        <f t="shared" si="765"/>
        <v>45694</v>
      </c>
      <c r="E7036" s="241">
        <f t="shared" si="767"/>
        <v>45694</v>
      </c>
      <c r="F7036" s="512"/>
      <c r="G7036" s="231" t="s">
        <v>1245</v>
      </c>
      <c r="H7036" s="232"/>
      <c r="I7036" s="232" t="s">
        <v>1253</v>
      </c>
      <c r="J7036" s="228" t="s">
        <v>72</v>
      </c>
      <c r="K7036" s="233"/>
      <c r="L7036" s="233">
        <f>K7035</f>
        <v>23535</v>
      </c>
    </row>
    <row r="7037" spans="1:13" ht="11.25" customHeight="1" x14ac:dyDescent="0.2">
      <c r="A7037" s="222">
        <v>2025</v>
      </c>
      <c r="B7037" s="222">
        <v>2</v>
      </c>
      <c r="C7037" s="222">
        <v>6</v>
      </c>
      <c r="D7037" s="223">
        <f t="shared" si="765"/>
        <v>45694</v>
      </c>
      <c r="E7037" s="240">
        <f t="shared" si="767"/>
        <v>45694</v>
      </c>
      <c r="F7037" s="511" t="s">
        <v>1246</v>
      </c>
      <c r="G7037" s="225" t="s">
        <v>1245</v>
      </c>
      <c r="H7037" s="226"/>
      <c r="I7037" s="226" t="s">
        <v>1253</v>
      </c>
      <c r="J7037" s="222" t="s">
        <v>75</v>
      </c>
      <c r="K7037" s="227">
        <v>3623.123846153846</v>
      </c>
      <c r="L7037" s="227"/>
      <c r="M7037" s="130"/>
    </row>
    <row r="7038" spans="1:13" ht="11.25" customHeight="1" x14ac:dyDescent="0.2">
      <c r="A7038" s="228">
        <v>2025</v>
      </c>
      <c r="B7038" s="228">
        <v>2</v>
      </c>
      <c r="C7038" s="228">
        <v>6</v>
      </c>
      <c r="D7038" s="229">
        <f t="shared" si="765"/>
        <v>45694</v>
      </c>
      <c r="E7038" s="241">
        <f t="shared" si="767"/>
        <v>45694</v>
      </c>
      <c r="F7038" s="512"/>
      <c r="G7038" s="231" t="s">
        <v>1245</v>
      </c>
      <c r="H7038" s="232"/>
      <c r="I7038" s="232" t="s">
        <v>1253</v>
      </c>
      <c r="J7038" s="228" t="s">
        <v>55</v>
      </c>
      <c r="K7038" s="233"/>
      <c r="L7038" s="233">
        <v>3623.123846153846</v>
      </c>
    </row>
    <row r="7039" spans="1:13" ht="11.25" customHeight="1" x14ac:dyDescent="0.2">
      <c r="A7039" s="222">
        <v>2025</v>
      </c>
      <c r="B7039" s="222">
        <v>2</v>
      </c>
      <c r="C7039" s="222">
        <v>6</v>
      </c>
      <c r="D7039" s="223">
        <f t="shared" si="765"/>
        <v>45694</v>
      </c>
      <c r="E7039" s="240">
        <f t="shared" si="767"/>
        <v>45694</v>
      </c>
      <c r="F7039" s="511" t="s">
        <v>1247</v>
      </c>
      <c r="G7039" s="225" t="s">
        <v>1245</v>
      </c>
      <c r="H7039" s="226"/>
      <c r="I7039" s="226" t="s">
        <v>1253</v>
      </c>
      <c r="J7039" s="222" t="s">
        <v>77</v>
      </c>
      <c r="K7039" s="227">
        <f>M7039</f>
        <v>45590.243617467619</v>
      </c>
      <c r="L7039" s="227"/>
      <c r="M7039" s="130">
        <v>45590.243617467619</v>
      </c>
    </row>
    <row r="7040" spans="1:13" ht="11.25" customHeight="1" x14ac:dyDescent="0.2">
      <c r="A7040" s="228">
        <v>2025</v>
      </c>
      <c r="B7040" s="228">
        <v>2</v>
      </c>
      <c r="C7040" s="228">
        <v>6</v>
      </c>
      <c r="D7040" s="229">
        <f t="shared" si="765"/>
        <v>45694</v>
      </c>
      <c r="E7040" s="241">
        <f t="shared" si="767"/>
        <v>45694</v>
      </c>
      <c r="F7040" s="512"/>
      <c r="G7040" s="231" t="s">
        <v>1245</v>
      </c>
      <c r="H7040" s="232"/>
      <c r="I7040" s="232" t="s">
        <v>1253</v>
      </c>
      <c r="J7040" s="228" t="s">
        <v>41</v>
      </c>
      <c r="K7040" s="233"/>
      <c r="L7040" s="233">
        <f>K7039</f>
        <v>45590.243617467619</v>
      </c>
      <c r="M7040" s="130">
        <v>4559.0243617467622</v>
      </c>
    </row>
    <row r="7041" spans="1:14" ht="11.25" customHeight="1" x14ac:dyDescent="0.2">
      <c r="A7041" s="222">
        <v>2025</v>
      </c>
      <c r="B7041" s="222">
        <v>2</v>
      </c>
      <c r="C7041" s="222">
        <v>6</v>
      </c>
      <c r="D7041" s="223">
        <f t="shared" si="765"/>
        <v>45694</v>
      </c>
      <c r="E7041" s="240">
        <f t="shared" si="767"/>
        <v>45694</v>
      </c>
      <c r="F7041" s="511" t="s">
        <v>1248</v>
      </c>
      <c r="G7041" s="225" t="s">
        <v>1245</v>
      </c>
      <c r="H7041" s="226"/>
      <c r="I7041" s="226" t="s">
        <v>1253</v>
      </c>
      <c r="J7041" s="222" t="s">
        <v>80</v>
      </c>
      <c r="K7041" s="227">
        <f>M7040</f>
        <v>4559.0243617467622</v>
      </c>
      <c r="L7041" s="227"/>
    </row>
    <row r="7042" spans="1:14" ht="11.25" customHeight="1" x14ac:dyDescent="0.2">
      <c r="A7042" s="228">
        <v>2025</v>
      </c>
      <c r="B7042" s="228">
        <v>2</v>
      </c>
      <c r="C7042" s="228">
        <v>6</v>
      </c>
      <c r="D7042" s="229">
        <f t="shared" si="765"/>
        <v>45694</v>
      </c>
      <c r="E7042" s="241">
        <f t="shared" si="767"/>
        <v>45694</v>
      </c>
      <c r="F7042" s="512"/>
      <c r="G7042" s="231" t="s">
        <v>1245</v>
      </c>
      <c r="H7042" s="232"/>
      <c r="I7042" s="232" t="s">
        <v>1253</v>
      </c>
      <c r="J7042" s="228" t="s">
        <v>42</v>
      </c>
      <c r="K7042" s="233"/>
      <c r="L7042" s="233">
        <f>K7041</f>
        <v>4559.0243617467622</v>
      </c>
    </row>
    <row r="7043" spans="1:14" ht="11.25" customHeight="1" x14ac:dyDescent="0.2">
      <c r="A7043" s="197">
        <v>2025</v>
      </c>
      <c r="B7043" s="197">
        <v>2</v>
      </c>
      <c r="C7043" s="197">
        <v>9</v>
      </c>
      <c r="D7043" s="198">
        <f t="shared" si="765"/>
        <v>45697</v>
      </c>
      <c r="E7043" s="209">
        <f t="shared" si="767"/>
        <v>45697</v>
      </c>
      <c r="F7043" s="513" t="s">
        <v>1210</v>
      </c>
      <c r="G7043" s="200" t="s">
        <v>1209</v>
      </c>
      <c r="H7043" s="201"/>
      <c r="I7043" s="201"/>
      <c r="J7043" s="197" t="s">
        <v>46</v>
      </c>
      <c r="K7043" s="202">
        <v>500000</v>
      </c>
      <c r="L7043" s="202"/>
    </row>
    <row r="7044" spans="1:14" ht="11.25" customHeight="1" x14ac:dyDescent="0.2">
      <c r="A7044" s="120">
        <v>2025</v>
      </c>
      <c r="B7044" s="120">
        <v>2</v>
      </c>
      <c r="C7044" s="120">
        <v>9</v>
      </c>
      <c r="D7044" s="208">
        <f t="shared" si="765"/>
        <v>45697</v>
      </c>
      <c r="E7044" s="209">
        <f t="shared" si="767"/>
        <v>45697</v>
      </c>
      <c r="F7044" s="515"/>
      <c r="G7044" s="132" t="s">
        <v>1209</v>
      </c>
      <c r="J7044" s="120" t="s">
        <v>16</v>
      </c>
      <c r="K7044" s="207"/>
      <c r="L7044" s="207">
        <v>419150</v>
      </c>
    </row>
    <row r="7045" spans="1:14" ht="11.25" customHeight="1" x14ac:dyDescent="0.2">
      <c r="A7045" s="191">
        <v>2025</v>
      </c>
      <c r="B7045" s="191">
        <v>2</v>
      </c>
      <c r="C7045" s="191">
        <v>9</v>
      </c>
      <c r="D7045" s="192">
        <f t="shared" si="765"/>
        <v>45697</v>
      </c>
      <c r="E7045" s="193">
        <f t="shared" si="767"/>
        <v>45697</v>
      </c>
      <c r="F7045" s="514"/>
      <c r="G7045" s="194" t="s">
        <v>1209</v>
      </c>
      <c r="H7045" s="195"/>
      <c r="I7045" s="195"/>
      <c r="J7045" s="191" t="s">
        <v>47</v>
      </c>
      <c r="K7045" s="196"/>
      <c r="L7045" s="196">
        <v>80850</v>
      </c>
    </row>
    <row r="7046" spans="1:14" ht="11.25" customHeight="1" x14ac:dyDescent="0.2">
      <c r="A7046" s="197">
        <v>2025</v>
      </c>
      <c r="B7046" s="197">
        <v>2</v>
      </c>
      <c r="C7046" s="197">
        <v>9</v>
      </c>
      <c r="D7046" s="198">
        <f t="shared" si="765"/>
        <v>45697</v>
      </c>
      <c r="E7046" s="209">
        <f t="shared" ref="E7046:E7048" si="768">DATE(A7046,B7046,C7046)</f>
        <v>45697</v>
      </c>
      <c r="F7046" s="513" t="s">
        <v>1210</v>
      </c>
      <c r="G7046" s="200" t="s">
        <v>1209</v>
      </c>
      <c r="H7046" s="201"/>
      <c r="I7046" s="201"/>
      <c r="J7046" s="197" t="s">
        <v>46</v>
      </c>
      <c r="K7046" s="202">
        <v>28048948.800000001</v>
      </c>
      <c r="L7046" s="202"/>
    </row>
    <row r="7047" spans="1:14" ht="11.25" customHeight="1" x14ac:dyDescent="0.2">
      <c r="A7047" s="120">
        <v>2025</v>
      </c>
      <c r="B7047" s="120">
        <v>2</v>
      </c>
      <c r="C7047" s="120">
        <v>9</v>
      </c>
      <c r="D7047" s="208">
        <f t="shared" si="765"/>
        <v>45697</v>
      </c>
      <c r="E7047" s="209">
        <f t="shared" si="768"/>
        <v>45697</v>
      </c>
      <c r="F7047" s="515"/>
      <c r="G7047" s="132" t="s">
        <v>1209</v>
      </c>
      <c r="J7047" s="120" t="s">
        <v>16</v>
      </c>
      <c r="K7047" s="207"/>
      <c r="L7047" s="207">
        <v>23343000</v>
      </c>
    </row>
    <row r="7048" spans="1:14" ht="11.25" customHeight="1" x14ac:dyDescent="0.2">
      <c r="A7048" s="191">
        <v>2025</v>
      </c>
      <c r="B7048" s="191">
        <v>2</v>
      </c>
      <c r="C7048" s="191">
        <v>9</v>
      </c>
      <c r="D7048" s="192">
        <f t="shared" si="765"/>
        <v>45697</v>
      </c>
      <c r="E7048" s="193">
        <f t="shared" si="768"/>
        <v>45697</v>
      </c>
      <c r="F7048" s="514"/>
      <c r="G7048" s="194" t="s">
        <v>1209</v>
      </c>
      <c r="H7048" s="195"/>
      <c r="I7048" s="195"/>
      <c r="J7048" s="191" t="s">
        <v>47</v>
      </c>
      <c r="K7048" s="196"/>
      <c r="L7048" s="196">
        <v>4705948.8000000007</v>
      </c>
    </row>
    <row r="7049" spans="1:14" ht="11.25" customHeight="1" x14ac:dyDescent="0.2">
      <c r="A7049" s="197">
        <v>2025</v>
      </c>
      <c r="B7049" s="197">
        <v>2</v>
      </c>
      <c r="C7049" s="197">
        <v>9</v>
      </c>
      <c r="D7049" s="198">
        <f t="shared" si="765"/>
        <v>45697</v>
      </c>
      <c r="E7049" s="209">
        <f t="shared" ref="E7049:E7051" si="769">DATE(A7049,B7049,C7049)</f>
        <v>45697</v>
      </c>
      <c r="F7049" s="513" t="s">
        <v>1210</v>
      </c>
      <c r="G7049" s="200" t="s">
        <v>1209</v>
      </c>
      <c r="H7049" s="201"/>
      <c r="I7049" s="201"/>
      <c r="J7049" s="197" t="s">
        <v>46</v>
      </c>
      <c r="K7049" s="202">
        <v>2000000</v>
      </c>
      <c r="L7049" s="202"/>
    </row>
    <row r="7050" spans="1:14" ht="11.25" customHeight="1" x14ac:dyDescent="0.2">
      <c r="A7050" s="120">
        <v>2025</v>
      </c>
      <c r="B7050" s="120">
        <v>2</v>
      </c>
      <c r="C7050" s="120">
        <v>9</v>
      </c>
      <c r="D7050" s="208">
        <f t="shared" si="765"/>
        <v>45697</v>
      </c>
      <c r="E7050" s="209">
        <f t="shared" si="769"/>
        <v>45697</v>
      </c>
      <c r="F7050" s="515"/>
      <c r="G7050" s="132" t="s">
        <v>1209</v>
      </c>
      <c r="J7050" s="120" t="s">
        <v>16</v>
      </c>
      <c r="K7050" s="207"/>
      <c r="L7050" s="207">
        <v>1676590</v>
      </c>
    </row>
    <row r="7051" spans="1:14" ht="11.25" customHeight="1" x14ac:dyDescent="0.2">
      <c r="A7051" s="191">
        <v>2025</v>
      </c>
      <c r="B7051" s="191">
        <v>2</v>
      </c>
      <c r="C7051" s="191">
        <v>9</v>
      </c>
      <c r="D7051" s="192">
        <f t="shared" si="765"/>
        <v>45697</v>
      </c>
      <c r="E7051" s="193">
        <f t="shared" si="769"/>
        <v>45697</v>
      </c>
      <c r="F7051" s="514"/>
      <c r="G7051" s="194" t="s">
        <v>1209</v>
      </c>
      <c r="H7051" s="195"/>
      <c r="I7051" s="195"/>
      <c r="J7051" s="191" t="s">
        <v>47</v>
      </c>
      <c r="K7051" s="196"/>
      <c r="L7051" s="196">
        <v>323410</v>
      </c>
    </row>
    <row r="7052" spans="1:14" ht="11.25" customHeight="1" x14ac:dyDescent="0.2">
      <c r="A7052" s="197">
        <v>2025</v>
      </c>
      <c r="B7052" s="197">
        <v>2</v>
      </c>
      <c r="C7052" s="197">
        <v>9</v>
      </c>
      <c r="D7052" s="198">
        <f t="shared" si="765"/>
        <v>45697</v>
      </c>
      <c r="E7052" s="209">
        <f t="shared" ref="E7052:E7059" si="770">DATE(A7052,B7052,C7052)</f>
        <v>45697</v>
      </c>
      <c r="F7052" s="513" t="s">
        <v>1210</v>
      </c>
      <c r="G7052" s="200" t="s">
        <v>1209</v>
      </c>
      <c r="H7052" s="201"/>
      <c r="I7052" s="201"/>
      <c r="J7052" s="197" t="s">
        <v>46</v>
      </c>
      <c r="K7052" s="202">
        <v>10000000</v>
      </c>
      <c r="L7052" s="202"/>
    </row>
    <row r="7053" spans="1:14" ht="11.25" customHeight="1" x14ac:dyDescent="0.2">
      <c r="A7053" s="120">
        <v>2025</v>
      </c>
      <c r="B7053" s="120">
        <v>2</v>
      </c>
      <c r="C7053" s="120">
        <v>9</v>
      </c>
      <c r="D7053" s="208">
        <f t="shared" si="765"/>
        <v>45697</v>
      </c>
      <c r="E7053" s="209">
        <f t="shared" si="770"/>
        <v>45697</v>
      </c>
      <c r="F7053" s="515"/>
      <c r="G7053" s="132" t="s">
        <v>1209</v>
      </c>
      <c r="J7053" s="120" t="s">
        <v>16</v>
      </c>
      <c r="K7053" s="207"/>
      <c r="L7053" s="207">
        <v>8322240</v>
      </c>
    </row>
    <row r="7054" spans="1:14" ht="11.25" customHeight="1" x14ac:dyDescent="0.2">
      <c r="A7054" s="191">
        <v>2025</v>
      </c>
      <c r="B7054" s="191">
        <v>2</v>
      </c>
      <c r="C7054" s="191">
        <v>9</v>
      </c>
      <c r="D7054" s="192">
        <f t="shared" si="765"/>
        <v>45697</v>
      </c>
      <c r="E7054" s="193">
        <f t="shared" si="770"/>
        <v>45697</v>
      </c>
      <c r="F7054" s="514"/>
      <c r="G7054" s="194" t="s">
        <v>1209</v>
      </c>
      <c r="H7054" s="195"/>
      <c r="I7054" s="195"/>
      <c r="J7054" s="191" t="s">
        <v>47</v>
      </c>
      <c r="K7054" s="196"/>
      <c r="L7054" s="196">
        <v>1677760</v>
      </c>
    </row>
    <row r="7055" spans="1:14" ht="11.25" customHeight="1" x14ac:dyDescent="0.2">
      <c r="A7055" s="197">
        <v>2025</v>
      </c>
      <c r="B7055" s="197">
        <v>2</v>
      </c>
      <c r="C7055" s="197">
        <v>10</v>
      </c>
      <c r="D7055" s="198">
        <f t="shared" si="765"/>
        <v>45698</v>
      </c>
      <c r="E7055" s="209">
        <f t="shared" si="770"/>
        <v>45698</v>
      </c>
      <c r="F7055" s="513" t="s">
        <v>1280</v>
      </c>
      <c r="G7055" s="200" t="s">
        <v>1209</v>
      </c>
      <c r="H7055" s="201"/>
      <c r="I7055" s="201" t="s">
        <v>1218</v>
      </c>
      <c r="J7055" s="197" t="s">
        <v>16</v>
      </c>
      <c r="K7055" s="202">
        <v>24966710</v>
      </c>
      <c r="L7055" s="202"/>
      <c r="M7055" s="130"/>
      <c r="N7055" s="130"/>
    </row>
    <row r="7056" spans="1:14" ht="11.25" customHeight="1" x14ac:dyDescent="0.2">
      <c r="A7056" s="120">
        <v>2025</v>
      </c>
      <c r="B7056" s="120">
        <v>2</v>
      </c>
      <c r="C7056" s="120">
        <v>10</v>
      </c>
      <c r="D7056" s="208">
        <f t="shared" si="765"/>
        <v>45698</v>
      </c>
      <c r="E7056" s="209">
        <f t="shared" si="770"/>
        <v>45698</v>
      </c>
      <c r="F7056" s="515"/>
      <c r="G7056" s="132" t="s">
        <v>1209</v>
      </c>
      <c r="I7056" s="128" t="s">
        <v>1218</v>
      </c>
      <c r="J7056" s="120" t="s">
        <v>47</v>
      </c>
      <c r="K7056" s="207">
        <v>5033290</v>
      </c>
      <c r="L7056" s="207"/>
      <c r="M7056" s="130"/>
      <c r="N7056" s="130"/>
    </row>
    <row r="7057" spans="1:15" ht="11.25" customHeight="1" x14ac:dyDescent="0.2">
      <c r="A7057" s="191">
        <v>2025</v>
      </c>
      <c r="B7057" s="191">
        <v>2</v>
      </c>
      <c r="C7057" s="191">
        <v>10</v>
      </c>
      <c r="D7057" s="192">
        <f t="shared" si="765"/>
        <v>45698</v>
      </c>
      <c r="E7057" s="193">
        <f t="shared" si="770"/>
        <v>45698</v>
      </c>
      <c r="F7057" s="514"/>
      <c r="G7057" s="194" t="s">
        <v>1209</v>
      </c>
      <c r="H7057" s="195"/>
      <c r="I7057" s="195" t="s">
        <v>1218</v>
      </c>
      <c r="J7057" s="191" t="s">
        <v>46</v>
      </c>
      <c r="K7057" s="196"/>
      <c r="L7057" s="196">
        <v>30000000</v>
      </c>
      <c r="M7057" s="130"/>
      <c r="N7057" s="130"/>
    </row>
    <row r="7058" spans="1:15" ht="11.25" customHeight="1" x14ac:dyDescent="0.2">
      <c r="A7058" s="197">
        <v>2025</v>
      </c>
      <c r="B7058" s="197">
        <v>2</v>
      </c>
      <c r="C7058" s="197">
        <v>9</v>
      </c>
      <c r="D7058" s="198">
        <f t="shared" si="765"/>
        <v>45697</v>
      </c>
      <c r="E7058" s="199">
        <f t="shared" si="770"/>
        <v>45697</v>
      </c>
      <c r="F7058" s="513" t="s">
        <v>1279</v>
      </c>
      <c r="G7058" s="200" t="s">
        <v>1209</v>
      </c>
      <c r="H7058" s="201"/>
      <c r="I7058" s="201" t="s">
        <v>1253</v>
      </c>
      <c r="J7058" s="197" t="s">
        <v>76</v>
      </c>
      <c r="K7058" s="202">
        <v>10000000</v>
      </c>
      <c r="L7058" s="202"/>
    </row>
    <row r="7059" spans="1:15" ht="11.25" customHeight="1" x14ac:dyDescent="0.2">
      <c r="A7059" s="191">
        <v>2025</v>
      </c>
      <c r="B7059" s="191">
        <v>2</v>
      </c>
      <c r="C7059" s="191">
        <v>9</v>
      </c>
      <c r="D7059" s="192">
        <f t="shared" si="765"/>
        <v>45697</v>
      </c>
      <c r="E7059" s="193">
        <f t="shared" si="770"/>
        <v>45697</v>
      </c>
      <c r="F7059" s="514"/>
      <c r="G7059" s="194" t="s">
        <v>1209</v>
      </c>
      <c r="H7059" s="195"/>
      <c r="I7059" s="195" t="s">
        <v>1253</v>
      </c>
      <c r="J7059" s="191" t="s">
        <v>46</v>
      </c>
      <c r="K7059" s="196"/>
      <c r="L7059" s="196">
        <v>10000000</v>
      </c>
    </row>
    <row r="7060" spans="1:15" ht="11.25" customHeight="1" x14ac:dyDescent="0.2">
      <c r="A7060" s="197">
        <v>2025</v>
      </c>
      <c r="B7060" s="197">
        <v>2</v>
      </c>
      <c r="C7060" s="197">
        <v>9</v>
      </c>
      <c r="D7060" s="198">
        <f t="shared" si="765"/>
        <v>45697</v>
      </c>
      <c r="E7060" s="290">
        <f>DATE(A7060,B7060,C7060)</f>
        <v>45697</v>
      </c>
      <c r="F7060" s="513" t="s">
        <v>1514</v>
      </c>
      <c r="G7060" s="200" t="s">
        <v>1209</v>
      </c>
      <c r="H7060" s="201"/>
      <c r="I7060" s="201"/>
      <c r="J7060" s="197" t="s">
        <v>54</v>
      </c>
      <c r="K7060" s="202">
        <v>160</v>
      </c>
      <c r="L7060" s="202"/>
      <c r="M7060" s="251"/>
      <c r="N7060" s="251"/>
      <c r="O7060" s="251"/>
    </row>
    <row r="7061" spans="1:15" ht="11.25" customHeight="1" x14ac:dyDescent="0.2">
      <c r="A7061" s="191">
        <v>2025</v>
      </c>
      <c r="B7061" s="191">
        <v>2</v>
      </c>
      <c r="C7061" s="191">
        <v>9</v>
      </c>
      <c r="D7061" s="192">
        <f t="shared" si="765"/>
        <v>45697</v>
      </c>
      <c r="E7061" s="291">
        <f>DATE(A7061,B7061,C7061)</f>
        <v>45697</v>
      </c>
      <c r="F7061" s="514"/>
      <c r="G7061" s="194" t="s">
        <v>1209</v>
      </c>
      <c r="H7061" s="195"/>
      <c r="I7061" s="195"/>
      <c r="J7061" s="191" t="s">
        <v>46</v>
      </c>
      <c r="K7061" s="196"/>
      <c r="L7061" s="196">
        <v>160</v>
      </c>
      <c r="M7061" s="251"/>
      <c r="N7061" s="251"/>
      <c r="O7061" s="251"/>
    </row>
    <row r="7062" spans="1:15" ht="11.25" customHeight="1" x14ac:dyDescent="0.2">
      <c r="A7062" s="197">
        <v>2025</v>
      </c>
      <c r="B7062" s="197">
        <v>2</v>
      </c>
      <c r="C7062" s="197">
        <v>10</v>
      </c>
      <c r="D7062" s="198">
        <f t="shared" si="765"/>
        <v>45698</v>
      </c>
      <c r="E7062" s="209">
        <f t="shared" ref="E7062:E7064" si="771">DATE(A7062,B7062,C7062)</f>
        <v>45698</v>
      </c>
      <c r="F7062" s="513" t="s">
        <v>1280</v>
      </c>
      <c r="G7062" s="200" t="s">
        <v>1209</v>
      </c>
      <c r="H7062" s="201"/>
      <c r="I7062" s="201" t="s">
        <v>1597</v>
      </c>
      <c r="J7062" s="197" t="s">
        <v>16</v>
      </c>
      <c r="K7062" s="202">
        <v>832220</v>
      </c>
      <c r="L7062" s="202"/>
      <c r="M7062" s="130"/>
      <c r="N7062" s="130"/>
    </row>
    <row r="7063" spans="1:15" ht="11.25" customHeight="1" x14ac:dyDescent="0.2">
      <c r="A7063" s="120">
        <v>2025</v>
      </c>
      <c r="B7063" s="120">
        <v>2</v>
      </c>
      <c r="C7063" s="120">
        <v>10</v>
      </c>
      <c r="D7063" s="208">
        <f t="shared" si="765"/>
        <v>45698</v>
      </c>
      <c r="E7063" s="209">
        <f t="shared" si="771"/>
        <v>45698</v>
      </c>
      <c r="F7063" s="515"/>
      <c r="G7063" s="132" t="s">
        <v>1209</v>
      </c>
      <c r="I7063" s="128" t="s">
        <v>1597</v>
      </c>
      <c r="J7063" s="120" t="s">
        <v>47</v>
      </c>
      <c r="K7063" s="207">
        <v>167780</v>
      </c>
      <c r="L7063" s="207"/>
      <c r="M7063" s="130"/>
      <c r="N7063" s="130"/>
    </row>
    <row r="7064" spans="1:15" ht="11.25" customHeight="1" x14ac:dyDescent="0.2">
      <c r="A7064" s="191">
        <v>2025</v>
      </c>
      <c r="B7064" s="191">
        <v>2</v>
      </c>
      <c r="C7064" s="191">
        <v>10</v>
      </c>
      <c r="D7064" s="192">
        <f t="shared" si="765"/>
        <v>45698</v>
      </c>
      <c r="E7064" s="193">
        <f t="shared" si="771"/>
        <v>45698</v>
      </c>
      <c r="F7064" s="514"/>
      <c r="G7064" s="194" t="s">
        <v>1209</v>
      </c>
      <c r="H7064" s="195"/>
      <c r="I7064" s="195" t="s">
        <v>1597</v>
      </c>
      <c r="J7064" s="191" t="s">
        <v>46</v>
      </c>
      <c r="K7064" s="196"/>
      <c r="L7064" s="196">
        <v>1000000</v>
      </c>
      <c r="M7064" s="130"/>
      <c r="N7064" s="130"/>
    </row>
    <row r="7065" spans="1:15" ht="11.25" customHeight="1" x14ac:dyDescent="0.2">
      <c r="A7065" s="197">
        <v>2025</v>
      </c>
      <c r="B7065" s="197">
        <v>2</v>
      </c>
      <c r="C7065" s="197">
        <v>10</v>
      </c>
      <c r="D7065" s="198">
        <f t="shared" si="765"/>
        <v>45698</v>
      </c>
      <c r="E7065" s="209">
        <f t="shared" ref="E7065:E7067" si="772">DATE(A7065,B7065,C7065)</f>
        <v>45698</v>
      </c>
      <c r="F7065" s="513" t="s">
        <v>1280</v>
      </c>
      <c r="G7065" s="200" t="s">
        <v>1209</v>
      </c>
      <c r="H7065" s="201"/>
      <c r="I7065" s="201" t="s">
        <v>1594</v>
      </c>
      <c r="J7065" s="197" t="s">
        <v>16</v>
      </c>
      <c r="K7065" s="202">
        <v>324800</v>
      </c>
      <c r="L7065" s="202"/>
      <c r="M7065" s="130"/>
      <c r="N7065" s="130"/>
    </row>
    <row r="7066" spans="1:15" ht="11.25" customHeight="1" x14ac:dyDescent="0.2">
      <c r="A7066" s="120">
        <v>2025</v>
      </c>
      <c r="B7066" s="120">
        <v>2</v>
      </c>
      <c r="C7066" s="120">
        <v>10</v>
      </c>
      <c r="D7066" s="208">
        <f t="shared" si="765"/>
        <v>45698</v>
      </c>
      <c r="E7066" s="209">
        <f t="shared" si="772"/>
        <v>45698</v>
      </c>
      <c r="F7066" s="515"/>
      <c r="G7066" s="132" t="s">
        <v>1209</v>
      </c>
      <c r="I7066" s="128" t="s">
        <v>1594</v>
      </c>
      <c r="J7066" s="120" t="s">
        <v>47</v>
      </c>
      <c r="K7066" s="207">
        <v>65479.679999999993</v>
      </c>
      <c r="L7066" s="207"/>
      <c r="M7066" s="130"/>
      <c r="N7066" s="130"/>
    </row>
    <row r="7067" spans="1:15" ht="11.25" customHeight="1" x14ac:dyDescent="0.2">
      <c r="A7067" s="191">
        <v>2025</v>
      </c>
      <c r="B7067" s="191">
        <v>2</v>
      </c>
      <c r="C7067" s="191">
        <v>10</v>
      </c>
      <c r="D7067" s="192">
        <f t="shared" si="765"/>
        <v>45698</v>
      </c>
      <c r="E7067" s="193">
        <f t="shared" si="772"/>
        <v>45698</v>
      </c>
      <c r="F7067" s="514"/>
      <c r="G7067" s="194" t="s">
        <v>1209</v>
      </c>
      <c r="H7067" s="195"/>
      <c r="I7067" s="195" t="s">
        <v>1594</v>
      </c>
      <c r="J7067" s="191" t="s">
        <v>46</v>
      </c>
      <c r="K7067" s="196"/>
      <c r="L7067" s="196">
        <v>390279.67999999999</v>
      </c>
      <c r="M7067" s="130"/>
      <c r="N7067" s="130"/>
    </row>
    <row r="7068" spans="1:15" ht="11.25" customHeight="1" x14ac:dyDescent="0.2">
      <c r="A7068" s="197">
        <v>2025</v>
      </c>
      <c r="B7068" s="197">
        <v>2</v>
      </c>
      <c r="C7068" s="197">
        <v>10</v>
      </c>
      <c r="D7068" s="198">
        <f t="shared" si="765"/>
        <v>45698</v>
      </c>
      <c r="E7068" s="209">
        <f t="shared" ref="E7068:E7070" si="773">DATE(A7068,B7068,C7068)</f>
        <v>45698</v>
      </c>
      <c r="F7068" s="513" t="s">
        <v>1280</v>
      </c>
      <c r="G7068" s="200" t="s">
        <v>1209</v>
      </c>
      <c r="H7068" s="201"/>
      <c r="I7068" s="201" t="s">
        <v>1947</v>
      </c>
      <c r="J7068" s="197" t="s">
        <v>16</v>
      </c>
      <c r="K7068" s="202">
        <v>8410</v>
      </c>
      <c r="L7068" s="202"/>
      <c r="M7068" s="130"/>
      <c r="N7068" s="130"/>
    </row>
    <row r="7069" spans="1:15" ht="11.25" customHeight="1" x14ac:dyDescent="0.2">
      <c r="A7069" s="120">
        <v>2025</v>
      </c>
      <c r="B7069" s="120">
        <v>2</v>
      </c>
      <c r="C7069" s="120">
        <v>10</v>
      </c>
      <c r="D7069" s="208">
        <f t="shared" si="765"/>
        <v>45698</v>
      </c>
      <c r="E7069" s="209">
        <f t="shared" si="773"/>
        <v>45698</v>
      </c>
      <c r="F7069" s="515"/>
      <c r="G7069" s="132" t="s">
        <v>1209</v>
      </c>
      <c r="I7069" s="128" t="s">
        <v>1947</v>
      </c>
      <c r="J7069" s="120" t="s">
        <v>47</v>
      </c>
      <c r="K7069" s="207">
        <v>1693.2299999999996</v>
      </c>
      <c r="L7069" s="207"/>
      <c r="M7069" s="130"/>
      <c r="N7069" s="130"/>
    </row>
    <row r="7070" spans="1:15" ht="11.25" customHeight="1" x14ac:dyDescent="0.2">
      <c r="A7070" s="191">
        <v>2025</v>
      </c>
      <c r="B7070" s="191">
        <v>2</v>
      </c>
      <c r="C7070" s="191">
        <v>10</v>
      </c>
      <c r="D7070" s="192">
        <f t="shared" si="765"/>
        <v>45698</v>
      </c>
      <c r="E7070" s="193">
        <f t="shared" si="773"/>
        <v>45698</v>
      </c>
      <c r="F7070" s="514"/>
      <c r="G7070" s="194" t="s">
        <v>1209</v>
      </c>
      <c r="H7070" s="195"/>
      <c r="I7070" s="195" t="s">
        <v>1947</v>
      </c>
      <c r="J7070" s="191" t="s">
        <v>46</v>
      </c>
      <c r="K7070" s="196"/>
      <c r="L7070" s="196">
        <v>10103.23</v>
      </c>
      <c r="M7070" s="130"/>
      <c r="N7070" s="130"/>
    </row>
    <row r="7071" spans="1:15" ht="11.25" customHeight="1" x14ac:dyDescent="0.2">
      <c r="A7071" s="197">
        <v>2025</v>
      </c>
      <c r="B7071" s="197">
        <v>2</v>
      </c>
      <c r="C7071" s="197">
        <v>10</v>
      </c>
      <c r="D7071" s="198">
        <f t="shared" si="765"/>
        <v>45698</v>
      </c>
      <c r="E7071" s="290">
        <f>DATE(A7071,B7071,C7071)</f>
        <v>45698</v>
      </c>
      <c r="F7071" s="513" t="s">
        <v>1514</v>
      </c>
      <c r="G7071" s="200" t="s">
        <v>1209</v>
      </c>
      <c r="H7071" s="201"/>
      <c r="I7071" s="201"/>
      <c r="J7071" s="197" t="s">
        <v>54</v>
      </c>
      <c r="K7071" s="202">
        <v>258</v>
      </c>
      <c r="L7071" s="202"/>
      <c r="M7071" s="251"/>
      <c r="N7071" s="251"/>
      <c r="O7071" s="251"/>
    </row>
    <row r="7072" spans="1:15" ht="11.25" customHeight="1" x14ac:dyDescent="0.2">
      <c r="A7072" s="191">
        <v>2025</v>
      </c>
      <c r="B7072" s="191">
        <v>2</v>
      </c>
      <c r="C7072" s="191">
        <v>10</v>
      </c>
      <c r="D7072" s="192">
        <f t="shared" si="765"/>
        <v>45698</v>
      </c>
      <c r="E7072" s="291">
        <f>DATE(A7072,B7072,C7072)</f>
        <v>45698</v>
      </c>
      <c r="F7072" s="514"/>
      <c r="G7072" s="194" t="s">
        <v>1209</v>
      </c>
      <c r="H7072" s="195"/>
      <c r="I7072" s="195"/>
      <c r="J7072" s="191" t="s">
        <v>46</v>
      </c>
      <c r="K7072" s="196"/>
      <c r="L7072" s="196">
        <v>258</v>
      </c>
      <c r="M7072" s="251"/>
      <c r="N7072" s="251"/>
      <c r="O7072" s="251"/>
    </row>
    <row r="7073" spans="1:15" ht="11.25" customHeight="1" x14ac:dyDescent="0.2">
      <c r="A7073" s="197">
        <v>2025</v>
      </c>
      <c r="B7073" s="197">
        <v>2</v>
      </c>
      <c r="C7073" s="197">
        <v>10</v>
      </c>
      <c r="D7073" s="198">
        <f t="shared" si="765"/>
        <v>45698</v>
      </c>
      <c r="E7073" s="290">
        <f>DATE(A7073,B7073,C7073)</f>
        <v>45698</v>
      </c>
      <c r="F7073" s="513" t="s">
        <v>1514</v>
      </c>
      <c r="G7073" s="200" t="s">
        <v>1209</v>
      </c>
      <c r="H7073" s="201"/>
      <c r="I7073" s="201"/>
      <c r="J7073" s="197" t="s">
        <v>54</v>
      </c>
      <c r="K7073" s="202">
        <v>25</v>
      </c>
      <c r="L7073" s="202"/>
      <c r="M7073" s="251"/>
      <c r="N7073" s="251"/>
      <c r="O7073" s="251"/>
    </row>
    <row r="7074" spans="1:15" ht="11.25" customHeight="1" x14ac:dyDescent="0.2">
      <c r="A7074" s="191">
        <v>2025</v>
      </c>
      <c r="B7074" s="191">
        <v>2</v>
      </c>
      <c r="C7074" s="191">
        <v>10</v>
      </c>
      <c r="D7074" s="192">
        <f t="shared" si="765"/>
        <v>45698</v>
      </c>
      <c r="E7074" s="291">
        <f>DATE(A7074,B7074,C7074)</f>
        <v>45698</v>
      </c>
      <c r="F7074" s="514"/>
      <c r="G7074" s="194" t="s">
        <v>1209</v>
      </c>
      <c r="H7074" s="195"/>
      <c r="I7074" s="195"/>
      <c r="J7074" s="191" t="s">
        <v>46</v>
      </c>
      <c r="K7074" s="196"/>
      <c r="L7074" s="196">
        <v>25</v>
      </c>
      <c r="M7074" s="251"/>
      <c r="N7074" s="251"/>
      <c r="O7074" s="251"/>
    </row>
    <row r="7075" spans="1:15" ht="11.25" customHeight="1" x14ac:dyDescent="0.2">
      <c r="A7075" s="197">
        <v>2025</v>
      </c>
      <c r="B7075" s="197">
        <v>2</v>
      </c>
      <c r="C7075" s="197">
        <v>10</v>
      </c>
      <c r="D7075" s="198">
        <f t="shared" si="765"/>
        <v>45698</v>
      </c>
      <c r="E7075" s="209">
        <f t="shared" ref="E7075:E7080" si="774">DATE(A7075,B7075,C7075)</f>
        <v>45698</v>
      </c>
      <c r="F7075" s="513" t="s">
        <v>1210</v>
      </c>
      <c r="G7075" s="200" t="s">
        <v>1209</v>
      </c>
      <c r="H7075" s="201"/>
      <c r="I7075" s="201"/>
      <c r="J7075" s="197" t="s">
        <v>46</v>
      </c>
      <c r="K7075" s="202">
        <v>30000000</v>
      </c>
      <c r="L7075" s="202"/>
    </row>
    <row r="7076" spans="1:15" ht="11.25" customHeight="1" x14ac:dyDescent="0.2">
      <c r="A7076" s="120">
        <v>2025</v>
      </c>
      <c r="B7076" s="120">
        <v>2</v>
      </c>
      <c r="C7076" s="120">
        <v>10</v>
      </c>
      <c r="D7076" s="208">
        <f t="shared" si="765"/>
        <v>45698</v>
      </c>
      <c r="E7076" s="209">
        <f t="shared" si="774"/>
        <v>45698</v>
      </c>
      <c r="F7076" s="515"/>
      <c r="G7076" s="132" t="s">
        <v>1209</v>
      </c>
      <c r="J7076" s="120" t="s">
        <v>16</v>
      </c>
      <c r="K7076" s="207"/>
      <c r="L7076" s="207">
        <v>24966710</v>
      </c>
    </row>
    <row r="7077" spans="1:15" ht="11.25" customHeight="1" x14ac:dyDescent="0.2">
      <c r="A7077" s="191">
        <v>2025</v>
      </c>
      <c r="B7077" s="191">
        <v>2</v>
      </c>
      <c r="C7077" s="191">
        <v>10</v>
      </c>
      <c r="D7077" s="192">
        <f t="shared" si="765"/>
        <v>45698</v>
      </c>
      <c r="E7077" s="193">
        <f t="shared" si="774"/>
        <v>45698</v>
      </c>
      <c r="F7077" s="514"/>
      <c r="G7077" s="194" t="s">
        <v>1209</v>
      </c>
      <c r="H7077" s="195"/>
      <c r="I7077" s="195"/>
      <c r="J7077" s="191" t="s">
        <v>47</v>
      </c>
      <c r="K7077" s="196"/>
      <c r="L7077" s="196">
        <v>5033290</v>
      </c>
    </row>
    <row r="7078" spans="1:15" ht="11.25" customHeight="1" x14ac:dyDescent="0.2">
      <c r="A7078" s="197">
        <v>2025</v>
      </c>
      <c r="B7078" s="197">
        <v>2</v>
      </c>
      <c r="C7078" s="197">
        <v>11</v>
      </c>
      <c r="D7078" s="198">
        <f t="shared" si="765"/>
        <v>45699</v>
      </c>
      <c r="E7078" s="209">
        <f t="shared" si="774"/>
        <v>45699</v>
      </c>
      <c r="F7078" s="513" t="s">
        <v>1280</v>
      </c>
      <c r="G7078" s="200" t="s">
        <v>1209</v>
      </c>
      <c r="H7078" s="201"/>
      <c r="I7078" s="201" t="s">
        <v>366</v>
      </c>
      <c r="J7078" s="197" t="s">
        <v>16</v>
      </c>
      <c r="K7078" s="202">
        <v>83220</v>
      </c>
      <c r="L7078" s="202"/>
      <c r="M7078" s="130"/>
      <c r="N7078" s="130"/>
    </row>
    <row r="7079" spans="1:15" ht="11.25" customHeight="1" x14ac:dyDescent="0.2">
      <c r="A7079" s="120">
        <v>2025</v>
      </c>
      <c r="B7079" s="120">
        <v>2</v>
      </c>
      <c r="C7079" s="120">
        <v>11</v>
      </c>
      <c r="D7079" s="208">
        <f t="shared" si="765"/>
        <v>45699</v>
      </c>
      <c r="E7079" s="209">
        <f t="shared" si="774"/>
        <v>45699</v>
      </c>
      <c r="F7079" s="515"/>
      <c r="G7079" s="132" t="s">
        <v>1209</v>
      </c>
      <c r="I7079" s="128" t="s">
        <v>366</v>
      </c>
      <c r="J7079" s="120" t="s">
        <v>47</v>
      </c>
      <c r="K7079" s="207">
        <v>16780</v>
      </c>
      <c r="L7079" s="207"/>
      <c r="M7079" s="130"/>
      <c r="N7079" s="130"/>
    </row>
    <row r="7080" spans="1:15" ht="11.25" customHeight="1" x14ac:dyDescent="0.2">
      <c r="A7080" s="191">
        <v>2025</v>
      </c>
      <c r="B7080" s="191">
        <v>2</v>
      </c>
      <c r="C7080" s="191">
        <v>11</v>
      </c>
      <c r="D7080" s="192">
        <f t="shared" si="765"/>
        <v>45699</v>
      </c>
      <c r="E7080" s="193">
        <f t="shared" si="774"/>
        <v>45699</v>
      </c>
      <c r="F7080" s="514"/>
      <c r="G7080" s="194" t="s">
        <v>1209</v>
      </c>
      <c r="H7080" s="195"/>
      <c r="I7080" s="195" t="s">
        <v>366</v>
      </c>
      <c r="J7080" s="191" t="s">
        <v>46</v>
      </c>
      <c r="K7080" s="196"/>
      <c r="L7080" s="196">
        <v>100000</v>
      </c>
      <c r="M7080" s="130"/>
      <c r="N7080" s="130"/>
    </row>
    <row r="7081" spans="1:15" ht="11.25" customHeight="1" x14ac:dyDescent="0.2">
      <c r="A7081" s="197">
        <v>2025</v>
      </c>
      <c r="B7081" s="197">
        <v>2</v>
      </c>
      <c r="C7081" s="197">
        <v>11</v>
      </c>
      <c r="D7081" s="198">
        <f t="shared" si="765"/>
        <v>45699</v>
      </c>
      <c r="E7081" s="290">
        <f>DATE(A7081,B7081,C7081)</f>
        <v>45699</v>
      </c>
      <c r="F7081" s="513" t="s">
        <v>1514</v>
      </c>
      <c r="G7081" s="200" t="s">
        <v>1209</v>
      </c>
      <c r="H7081" s="201"/>
      <c r="I7081" s="201"/>
      <c r="J7081" s="197" t="s">
        <v>54</v>
      </c>
      <c r="K7081" s="202">
        <v>58</v>
      </c>
      <c r="L7081" s="202"/>
      <c r="M7081" s="251"/>
      <c r="N7081" s="251"/>
      <c r="O7081" s="251"/>
    </row>
    <row r="7082" spans="1:15" ht="11.25" customHeight="1" x14ac:dyDescent="0.2">
      <c r="A7082" s="191">
        <v>2025</v>
      </c>
      <c r="B7082" s="191">
        <v>2</v>
      </c>
      <c r="C7082" s="191">
        <v>11</v>
      </c>
      <c r="D7082" s="192">
        <f t="shared" si="765"/>
        <v>45699</v>
      </c>
      <c r="E7082" s="291">
        <f>DATE(A7082,B7082,C7082)</f>
        <v>45699</v>
      </c>
      <c r="F7082" s="514"/>
      <c r="G7082" s="194" t="s">
        <v>1209</v>
      </c>
      <c r="H7082" s="195"/>
      <c r="I7082" s="195"/>
      <c r="J7082" s="191" t="s">
        <v>46</v>
      </c>
      <c r="K7082" s="196"/>
      <c r="L7082" s="196">
        <v>58</v>
      </c>
      <c r="M7082" s="251"/>
      <c r="N7082" s="251"/>
      <c r="O7082" s="251"/>
    </row>
    <row r="7083" spans="1:15" ht="11.25" customHeight="1" x14ac:dyDescent="0.2">
      <c r="A7083" s="197">
        <v>2025</v>
      </c>
      <c r="B7083" s="197">
        <v>2</v>
      </c>
      <c r="C7083" s="197">
        <v>11</v>
      </c>
      <c r="D7083" s="198">
        <f t="shared" si="765"/>
        <v>45699</v>
      </c>
      <c r="E7083" s="199">
        <f t="shared" ref="E7083:E7084" si="775">DATE(A7083,B7083,C7083)</f>
        <v>45699</v>
      </c>
      <c r="F7083" s="513" t="s">
        <v>1279</v>
      </c>
      <c r="G7083" s="200" t="s">
        <v>1209</v>
      </c>
      <c r="H7083" s="201"/>
      <c r="I7083" s="201" t="s">
        <v>1253</v>
      </c>
      <c r="J7083" s="197" t="s">
        <v>76</v>
      </c>
      <c r="K7083" s="202">
        <v>30000000</v>
      </c>
      <c r="L7083" s="202"/>
    </row>
    <row r="7084" spans="1:15" ht="11.25" customHeight="1" x14ac:dyDescent="0.2">
      <c r="A7084" s="191">
        <v>2025</v>
      </c>
      <c r="B7084" s="191">
        <v>2</v>
      </c>
      <c r="C7084" s="191">
        <v>11</v>
      </c>
      <c r="D7084" s="192">
        <f t="shared" ref="D7084:D7147" si="776">DATE(A7084,B7084,C7084)</f>
        <v>45699</v>
      </c>
      <c r="E7084" s="193">
        <f t="shared" si="775"/>
        <v>45699</v>
      </c>
      <c r="F7084" s="514"/>
      <c r="G7084" s="194" t="s">
        <v>1209</v>
      </c>
      <c r="H7084" s="195"/>
      <c r="I7084" s="195" t="s">
        <v>1253</v>
      </c>
      <c r="J7084" s="191" t="s">
        <v>46</v>
      </c>
      <c r="K7084" s="196"/>
      <c r="L7084" s="196">
        <v>30000000</v>
      </c>
    </row>
    <row r="7085" spans="1:15" ht="11.25" customHeight="1" x14ac:dyDescent="0.2">
      <c r="A7085" s="197">
        <v>2025</v>
      </c>
      <c r="B7085" s="197">
        <v>2</v>
      </c>
      <c r="C7085" s="197">
        <v>11</v>
      </c>
      <c r="D7085" s="198">
        <f t="shared" si="776"/>
        <v>45699</v>
      </c>
      <c r="E7085" s="290">
        <f>DATE(A7085,B7085,C7085)</f>
        <v>45699</v>
      </c>
      <c r="F7085" s="513" t="s">
        <v>1514</v>
      </c>
      <c r="G7085" s="200" t="s">
        <v>1209</v>
      </c>
      <c r="H7085" s="201"/>
      <c r="I7085" s="201"/>
      <c r="J7085" s="197" t="s">
        <v>54</v>
      </c>
      <c r="K7085" s="202">
        <v>100</v>
      </c>
      <c r="L7085" s="202"/>
      <c r="M7085" s="251"/>
      <c r="N7085" s="251"/>
      <c r="O7085" s="251"/>
    </row>
    <row r="7086" spans="1:15" ht="11.25" customHeight="1" x14ac:dyDescent="0.2">
      <c r="A7086" s="191">
        <v>2025</v>
      </c>
      <c r="B7086" s="191">
        <v>2</v>
      </c>
      <c r="C7086" s="191">
        <v>11</v>
      </c>
      <c r="D7086" s="192">
        <f t="shared" si="776"/>
        <v>45699</v>
      </c>
      <c r="E7086" s="291">
        <f>DATE(A7086,B7086,C7086)</f>
        <v>45699</v>
      </c>
      <c r="F7086" s="514"/>
      <c r="G7086" s="194" t="s">
        <v>1209</v>
      </c>
      <c r="H7086" s="195"/>
      <c r="I7086" s="195"/>
      <c r="J7086" s="191" t="s">
        <v>46</v>
      </c>
      <c r="K7086" s="196"/>
      <c r="L7086" s="196">
        <v>100</v>
      </c>
      <c r="M7086" s="251"/>
      <c r="N7086" s="251"/>
      <c r="O7086" s="251"/>
    </row>
    <row r="7087" spans="1:15" ht="11.25" customHeight="1" x14ac:dyDescent="0.2">
      <c r="A7087" s="197">
        <v>2025</v>
      </c>
      <c r="B7087" s="197">
        <v>2</v>
      </c>
      <c r="C7087" s="197">
        <v>12</v>
      </c>
      <c r="D7087" s="198">
        <f t="shared" si="776"/>
        <v>45700</v>
      </c>
      <c r="E7087" s="209">
        <f t="shared" ref="E7087:E7089" si="777">DATE(A7087,B7087,C7087)</f>
        <v>45700</v>
      </c>
      <c r="F7087" s="513" t="s">
        <v>1210</v>
      </c>
      <c r="G7087" s="200" t="s">
        <v>1209</v>
      </c>
      <c r="H7087" s="201"/>
      <c r="I7087" s="201" t="s">
        <v>335</v>
      </c>
      <c r="J7087" s="197" t="s">
        <v>46</v>
      </c>
      <c r="K7087" s="202">
        <v>100000</v>
      </c>
      <c r="L7087" s="202"/>
    </row>
    <row r="7088" spans="1:15" ht="11.25" customHeight="1" x14ac:dyDescent="0.2">
      <c r="A7088" s="120">
        <v>2025</v>
      </c>
      <c r="B7088" s="120">
        <v>2</v>
      </c>
      <c r="C7088" s="120">
        <v>12</v>
      </c>
      <c r="D7088" s="208">
        <f t="shared" si="776"/>
        <v>45700</v>
      </c>
      <c r="E7088" s="209">
        <f t="shared" si="777"/>
        <v>45700</v>
      </c>
      <c r="F7088" s="515"/>
      <c r="G7088" s="132" t="s">
        <v>1209</v>
      </c>
      <c r="I7088" s="128" t="s">
        <v>335</v>
      </c>
      <c r="J7088" s="120" t="s">
        <v>16</v>
      </c>
      <c r="K7088" s="207"/>
      <c r="L7088" s="207">
        <v>83220</v>
      </c>
    </row>
    <row r="7089" spans="1:12" ht="11.25" customHeight="1" x14ac:dyDescent="0.2">
      <c r="A7089" s="191">
        <v>2025</v>
      </c>
      <c r="B7089" s="191">
        <v>2</v>
      </c>
      <c r="C7089" s="191">
        <v>12</v>
      </c>
      <c r="D7089" s="192">
        <f t="shared" si="776"/>
        <v>45700</v>
      </c>
      <c r="E7089" s="193">
        <f t="shared" si="777"/>
        <v>45700</v>
      </c>
      <c r="F7089" s="514"/>
      <c r="G7089" s="194" t="s">
        <v>1209</v>
      </c>
      <c r="H7089" s="195"/>
      <c r="I7089" s="195" t="s">
        <v>335</v>
      </c>
      <c r="J7089" s="191" t="s">
        <v>47</v>
      </c>
      <c r="K7089" s="196"/>
      <c r="L7089" s="196">
        <v>16780</v>
      </c>
    </row>
    <row r="7090" spans="1:12" ht="11.25" customHeight="1" x14ac:dyDescent="0.2">
      <c r="A7090" s="197">
        <v>2025</v>
      </c>
      <c r="B7090" s="197">
        <v>2</v>
      </c>
      <c r="C7090" s="197">
        <v>12</v>
      </c>
      <c r="D7090" s="198">
        <f t="shared" si="776"/>
        <v>45700</v>
      </c>
      <c r="E7090" s="209">
        <f t="shared" ref="E7090:E7092" si="778">DATE(A7090,B7090,C7090)</f>
        <v>45700</v>
      </c>
      <c r="F7090" s="513" t="s">
        <v>1210</v>
      </c>
      <c r="G7090" s="200" t="s">
        <v>1209</v>
      </c>
      <c r="H7090" s="201"/>
      <c r="I7090" s="201" t="s">
        <v>335</v>
      </c>
      <c r="J7090" s="197" t="s">
        <v>46</v>
      </c>
      <c r="K7090" s="202">
        <v>900000</v>
      </c>
      <c r="L7090" s="202"/>
    </row>
    <row r="7091" spans="1:12" ht="11.25" customHeight="1" x14ac:dyDescent="0.2">
      <c r="A7091" s="120">
        <v>2025</v>
      </c>
      <c r="B7091" s="120">
        <v>2</v>
      </c>
      <c r="C7091" s="120">
        <v>12</v>
      </c>
      <c r="D7091" s="208">
        <f t="shared" si="776"/>
        <v>45700</v>
      </c>
      <c r="E7091" s="209">
        <f t="shared" si="778"/>
        <v>45700</v>
      </c>
      <c r="F7091" s="515"/>
      <c r="G7091" s="132" t="s">
        <v>1209</v>
      </c>
      <c r="I7091" s="128" t="s">
        <v>335</v>
      </c>
      <c r="J7091" s="120" t="s">
        <v>16</v>
      </c>
      <c r="K7091" s="207"/>
      <c r="L7091" s="207">
        <v>749000</v>
      </c>
    </row>
    <row r="7092" spans="1:12" ht="11.25" customHeight="1" x14ac:dyDescent="0.2">
      <c r="A7092" s="191">
        <v>2025</v>
      </c>
      <c r="B7092" s="191">
        <v>2</v>
      </c>
      <c r="C7092" s="191">
        <v>12</v>
      </c>
      <c r="D7092" s="192">
        <f t="shared" si="776"/>
        <v>45700</v>
      </c>
      <c r="E7092" s="193">
        <f t="shared" si="778"/>
        <v>45700</v>
      </c>
      <c r="F7092" s="514"/>
      <c r="G7092" s="194" t="s">
        <v>1209</v>
      </c>
      <c r="H7092" s="195"/>
      <c r="I7092" s="195" t="s">
        <v>335</v>
      </c>
      <c r="J7092" s="191" t="s">
        <v>47</v>
      </c>
      <c r="K7092" s="196"/>
      <c r="L7092" s="196">
        <v>151000</v>
      </c>
    </row>
    <row r="7093" spans="1:12" ht="11.25" customHeight="1" x14ac:dyDescent="0.2">
      <c r="A7093" s="197">
        <v>2025</v>
      </c>
      <c r="B7093" s="197">
        <v>2</v>
      </c>
      <c r="C7093" s="197">
        <v>12</v>
      </c>
      <c r="D7093" s="198">
        <f t="shared" si="776"/>
        <v>45700</v>
      </c>
      <c r="E7093" s="209">
        <f t="shared" ref="E7093:E7095" si="779">DATE(A7093,B7093,C7093)</f>
        <v>45700</v>
      </c>
      <c r="F7093" s="513" t="s">
        <v>1210</v>
      </c>
      <c r="G7093" s="200" t="s">
        <v>1209</v>
      </c>
      <c r="H7093" s="201"/>
      <c r="I7093" s="201" t="s">
        <v>596</v>
      </c>
      <c r="J7093" s="197" t="s">
        <v>46</v>
      </c>
      <c r="K7093" s="202">
        <v>1100000</v>
      </c>
      <c r="L7093" s="202"/>
    </row>
    <row r="7094" spans="1:12" ht="11.25" customHeight="1" x14ac:dyDescent="0.2">
      <c r="A7094" s="120">
        <v>2025</v>
      </c>
      <c r="B7094" s="120">
        <v>2</v>
      </c>
      <c r="C7094" s="120">
        <v>12</v>
      </c>
      <c r="D7094" s="208">
        <f t="shared" si="776"/>
        <v>45700</v>
      </c>
      <c r="E7094" s="209">
        <f t="shared" si="779"/>
        <v>45700</v>
      </c>
      <c r="F7094" s="515"/>
      <c r="G7094" s="132" t="s">
        <v>1209</v>
      </c>
      <c r="I7094" s="128" t="s">
        <v>596</v>
      </c>
      <c r="J7094" s="120" t="s">
        <v>16</v>
      </c>
      <c r="K7094" s="207"/>
      <c r="L7094" s="207">
        <v>915450</v>
      </c>
    </row>
    <row r="7095" spans="1:12" ht="11.25" customHeight="1" x14ac:dyDescent="0.2">
      <c r="A7095" s="191">
        <v>2025</v>
      </c>
      <c r="B7095" s="191">
        <v>2</v>
      </c>
      <c r="C7095" s="191">
        <v>12</v>
      </c>
      <c r="D7095" s="192">
        <f t="shared" si="776"/>
        <v>45700</v>
      </c>
      <c r="E7095" s="193">
        <f t="shared" si="779"/>
        <v>45700</v>
      </c>
      <c r="F7095" s="514"/>
      <c r="G7095" s="194" t="s">
        <v>1209</v>
      </c>
      <c r="H7095" s="195"/>
      <c r="I7095" s="195" t="s">
        <v>596</v>
      </c>
      <c r="J7095" s="191" t="s">
        <v>47</v>
      </c>
      <c r="K7095" s="196"/>
      <c r="L7095" s="196">
        <v>184550</v>
      </c>
    </row>
    <row r="7096" spans="1:12" ht="11.25" customHeight="1" x14ac:dyDescent="0.2">
      <c r="A7096" s="197">
        <v>2025</v>
      </c>
      <c r="B7096" s="197">
        <v>2</v>
      </c>
      <c r="C7096" s="197">
        <v>12</v>
      </c>
      <c r="D7096" s="198">
        <f t="shared" si="776"/>
        <v>45700</v>
      </c>
      <c r="E7096" s="209">
        <f t="shared" ref="E7096:E7098" si="780">DATE(A7096,B7096,C7096)</f>
        <v>45700</v>
      </c>
      <c r="F7096" s="513" t="s">
        <v>1210</v>
      </c>
      <c r="G7096" s="200" t="s">
        <v>1209</v>
      </c>
      <c r="H7096" s="201"/>
      <c r="I7096" s="201" t="s">
        <v>1849</v>
      </c>
      <c r="J7096" s="197" t="s">
        <v>46</v>
      </c>
      <c r="K7096" s="202">
        <v>499000</v>
      </c>
      <c r="L7096" s="202"/>
    </row>
    <row r="7097" spans="1:12" ht="11.25" customHeight="1" x14ac:dyDescent="0.2">
      <c r="A7097" s="120">
        <v>2025</v>
      </c>
      <c r="B7097" s="120">
        <v>2</v>
      </c>
      <c r="C7097" s="120">
        <v>12</v>
      </c>
      <c r="D7097" s="208">
        <f t="shared" si="776"/>
        <v>45700</v>
      </c>
      <c r="E7097" s="209">
        <f t="shared" si="780"/>
        <v>45700</v>
      </c>
      <c r="F7097" s="515"/>
      <c r="G7097" s="132" t="s">
        <v>1209</v>
      </c>
      <c r="I7097" s="128" t="s">
        <v>1849</v>
      </c>
      <c r="J7097" s="120" t="s">
        <v>16</v>
      </c>
      <c r="K7097" s="207"/>
      <c r="L7097" s="207">
        <v>415270</v>
      </c>
    </row>
    <row r="7098" spans="1:12" ht="11.25" customHeight="1" x14ac:dyDescent="0.2">
      <c r="A7098" s="191">
        <v>2025</v>
      </c>
      <c r="B7098" s="191">
        <v>2</v>
      </c>
      <c r="C7098" s="191">
        <v>12</v>
      </c>
      <c r="D7098" s="192">
        <f t="shared" si="776"/>
        <v>45700</v>
      </c>
      <c r="E7098" s="193">
        <f t="shared" si="780"/>
        <v>45700</v>
      </c>
      <c r="F7098" s="514"/>
      <c r="G7098" s="194" t="s">
        <v>1209</v>
      </c>
      <c r="H7098" s="195"/>
      <c r="I7098" s="195" t="s">
        <v>1849</v>
      </c>
      <c r="J7098" s="191" t="s">
        <v>47</v>
      </c>
      <c r="K7098" s="196"/>
      <c r="L7098" s="196">
        <v>83730</v>
      </c>
    </row>
    <row r="7099" spans="1:12" ht="11.25" customHeight="1" x14ac:dyDescent="0.2">
      <c r="A7099" s="197">
        <v>2025</v>
      </c>
      <c r="B7099" s="197">
        <v>2</v>
      </c>
      <c r="C7099" s="197">
        <v>12</v>
      </c>
      <c r="D7099" s="198">
        <f t="shared" si="776"/>
        <v>45700</v>
      </c>
      <c r="E7099" s="209">
        <f t="shared" ref="E7099:E7101" si="781">DATE(A7099,B7099,C7099)</f>
        <v>45700</v>
      </c>
      <c r="F7099" s="513" t="s">
        <v>1210</v>
      </c>
      <c r="G7099" s="200" t="s">
        <v>1209</v>
      </c>
      <c r="H7099" s="201"/>
      <c r="I7099" s="201" t="s">
        <v>1969</v>
      </c>
      <c r="J7099" s="197" t="s">
        <v>46</v>
      </c>
      <c r="K7099" s="202">
        <v>10000</v>
      </c>
      <c r="L7099" s="202"/>
    </row>
    <row r="7100" spans="1:12" ht="11.25" customHeight="1" x14ac:dyDescent="0.2">
      <c r="A7100" s="120">
        <v>2025</v>
      </c>
      <c r="B7100" s="120">
        <v>2</v>
      </c>
      <c r="C7100" s="120">
        <v>12</v>
      </c>
      <c r="D7100" s="208">
        <f t="shared" si="776"/>
        <v>45700</v>
      </c>
      <c r="E7100" s="209">
        <f t="shared" si="781"/>
        <v>45700</v>
      </c>
      <c r="F7100" s="515"/>
      <c r="G7100" s="132" t="s">
        <v>1209</v>
      </c>
      <c r="I7100" s="128" t="s">
        <v>1969</v>
      </c>
      <c r="J7100" s="120" t="s">
        <v>16</v>
      </c>
      <c r="K7100" s="207"/>
      <c r="L7100" s="207">
        <v>8320</v>
      </c>
    </row>
    <row r="7101" spans="1:12" ht="11.25" customHeight="1" x14ac:dyDescent="0.2">
      <c r="A7101" s="191">
        <v>2025</v>
      </c>
      <c r="B7101" s="191">
        <v>2</v>
      </c>
      <c r="C7101" s="191">
        <v>12</v>
      </c>
      <c r="D7101" s="192">
        <f t="shared" si="776"/>
        <v>45700</v>
      </c>
      <c r="E7101" s="193">
        <f t="shared" si="781"/>
        <v>45700</v>
      </c>
      <c r="F7101" s="514"/>
      <c r="G7101" s="194" t="s">
        <v>1209</v>
      </c>
      <c r="H7101" s="195"/>
      <c r="I7101" s="195" t="s">
        <v>1969</v>
      </c>
      <c r="J7101" s="191" t="s">
        <v>47</v>
      </c>
      <c r="K7101" s="196"/>
      <c r="L7101" s="196">
        <v>1680</v>
      </c>
    </row>
    <row r="7102" spans="1:12" ht="11.25" customHeight="1" x14ac:dyDescent="0.2">
      <c r="A7102" s="197">
        <v>2025</v>
      </c>
      <c r="B7102" s="197">
        <v>2</v>
      </c>
      <c r="C7102" s="197">
        <v>13</v>
      </c>
      <c r="D7102" s="198">
        <f t="shared" si="776"/>
        <v>45701</v>
      </c>
      <c r="E7102" s="209">
        <f t="shared" ref="E7102:E7104" si="782">DATE(A7102,B7102,C7102)</f>
        <v>45701</v>
      </c>
      <c r="F7102" s="513" t="s">
        <v>1210</v>
      </c>
      <c r="G7102" s="200" t="s">
        <v>1209</v>
      </c>
      <c r="H7102" s="201"/>
      <c r="I7102" s="201" t="s">
        <v>616</v>
      </c>
      <c r="J7102" s="197" t="s">
        <v>46</v>
      </c>
      <c r="K7102" s="202">
        <v>100000</v>
      </c>
      <c r="L7102" s="202"/>
    </row>
    <row r="7103" spans="1:12" ht="11.25" customHeight="1" x14ac:dyDescent="0.2">
      <c r="A7103" s="120">
        <v>2025</v>
      </c>
      <c r="B7103" s="120">
        <v>2</v>
      </c>
      <c r="C7103" s="120">
        <v>13</v>
      </c>
      <c r="D7103" s="208">
        <f t="shared" si="776"/>
        <v>45701</v>
      </c>
      <c r="E7103" s="209">
        <f t="shared" si="782"/>
        <v>45701</v>
      </c>
      <c r="F7103" s="515"/>
      <c r="G7103" s="132" t="s">
        <v>1209</v>
      </c>
      <c r="I7103" s="128" t="s">
        <v>616</v>
      </c>
      <c r="J7103" s="120" t="s">
        <v>16</v>
      </c>
      <c r="K7103" s="207"/>
      <c r="L7103" s="207">
        <v>83220</v>
      </c>
    </row>
    <row r="7104" spans="1:12" ht="11.25" customHeight="1" x14ac:dyDescent="0.2">
      <c r="A7104" s="191">
        <v>2025</v>
      </c>
      <c r="B7104" s="191">
        <v>2</v>
      </c>
      <c r="C7104" s="191">
        <v>13</v>
      </c>
      <c r="D7104" s="192">
        <f t="shared" si="776"/>
        <v>45701</v>
      </c>
      <c r="E7104" s="193">
        <f t="shared" si="782"/>
        <v>45701</v>
      </c>
      <c r="F7104" s="514"/>
      <c r="G7104" s="194" t="s">
        <v>1209</v>
      </c>
      <c r="H7104" s="195"/>
      <c r="I7104" s="195" t="s">
        <v>616</v>
      </c>
      <c r="J7104" s="191" t="s">
        <v>47</v>
      </c>
      <c r="K7104" s="196"/>
      <c r="L7104" s="196">
        <v>16780</v>
      </c>
    </row>
    <row r="7105" spans="1:14" ht="11.25" customHeight="1" x14ac:dyDescent="0.2">
      <c r="A7105" s="197">
        <v>2025</v>
      </c>
      <c r="B7105" s="197">
        <v>2</v>
      </c>
      <c r="C7105" s="197">
        <v>13</v>
      </c>
      <c r="D7105" s="198">
        <f t="shared" si="776"/>
        <v>45701</v>
      </c>
      <c r="E7105" s="209">
        <f t="shared" ref="E7105:E7107" si="783">DATE(A7105,B7105,C7105)</f>
        <v>45701</v>
      </c>
      <c r="F7105" s="513" t="s">
        <v>1210</v>
      </c>
      <c r="G7105" s="200" t="s">
        <v>1209</v>
      </c>
      <c r="H7105" s="201"/>
      <c r="I7105" s="201" t="s">
        <v>1293</v>
      </c>
      <c r="J7105" s="197" t="s">
        <v>46</v>
      </c>
      <c r="K7105" s="202">
        <v>300000</v>
      </c>
      <c r="L7105" s="202"/>
    </row>
    <row r="7106" spans="1:14" ht="11.25" customHeight="1" x14ac:dyDescent="0.2">
      <c r="A7106" s="120">
        <v>2025</v>
      </c>
      <c r="B7106" s="120">
        <v>2</v>
      </c>
      <c r="C7106" s="120">
        <v>13</v>
      </c>
      <c r="D7106" s="208">
        <f t="shared" si="776"/>
        <v>45701</v>
      </c>
      <c r="E7106" s="209">
        <f t="shared" si="783"/>
        <v>45701</v>
      </c>
      <c r="F7106" s="515"/>
      <c r="G7106" s="132" t="s">
        <v>1209</v>
      </c>
      <c r="I7106" s="128" t="s">
        <v>1293</v>
      </c>
      <c r="J7106" s="120" t="s">
        <v>16</v>
      </c>
      <c r="K7106" s="207"/>
      <c r="L7106" s="207">
        <v>249670</v>
      </c>
    </row>
    <row r="7107" spans="1:14" ht="11.25" customHeight="1" x14ac:dyDescent="0.2">
      <c r="A7107" s="191">
        <v>2025</v>
      </c>
      <c r="B7107" s="191">
        <v>2</v>
      </c>
      <c r="C7107" s="191">
        <v>13</v>
      </c>
      <c r="D7107" s="192">
        <f t="shared" si="776"/>
        <v>45701</v>
      </c>
      <c r="E7107" s="193">
        <f t="shared" si="783"/>
        <v>45701</v>
      </c>
      <c r="F7107" s="514"/>
      <c r="G7107" s="194" t="s">
        <v>1209</v>
      </c>
      <c r="H7107" s="195"/>
      <c r="I7107" s="195" t="s">
        <v>1293</v>
      </c>
      <c r="J7107" s="191" t="s">
        <v>47</v>
      </c>
      <c r="K7107" s="196"/>
      <c r="L7107" s="196">
        <v>50330</v>
      </c>
    </row>
    <row r="7108" spans="1:14" ht="11.25" customHeight="1" x14ac:dyDescent="0.2">
      <c r="A7108" s="197">
        <v>2025</v>
      </c>
      <c r="B7108" s="197">
        <v>2</v>
      </c>
      <c r="C7108" s="197">
        <v>13</v>
      </c>
      <c r="D7108" s="198">
        <f t="shared" si="776"/>
        <v>45701</v>
      </c>
      <c r="E7108" s="209">
        <f t="shared" ref="E7108:E7110" si="784">DATE(A7108,B7108,C7108)</f>
        <v>45701</v>
      </c>
      <c r="F7108" s="513" t="s">
        <v>1210</v>
      </c>
      <c r="G7108" s="200" t="s">
        <v>1209</v>
      </c>
      <c r="H7108" s="201"/>
      <c r="I7108" s="201" t="s">
        <v>1911</v>
      </c>
      <c r="J7108" s="197" t="s">
        <v>46</v>
      </c>
      <c r="K7108" s="202">
        <v>300000</v>
      </c>
      <c r="L7108" s="202"/>
    </row>
    <row r="7109" spans="1:14" ht="11.25" customHeight="1" x14ac:dyDescent="0.2">
      <c r="A7109" s="120">
        <v>2025</v>
      </c>
      <c r="B7109" s="120">
        <v>2</v>
      </c>
      <c r="C7109" s="120">
        <v>13</v>
      </c>
      <c r="D7109" s="208">
        <f t="shared" si="776"/>
        <v>45701</v>
      </c>
      <c r="E7109" s="209">
        <f t="shared" si="784"/>
        <v>45701</v>
      </c>
      <c r="F7109" s="515"/>
      <c r="G7109" s="132" t="s">
        <v>1209</v>
      </c>
      <c r="I7109" s="128" t="s">
        <v>1911</v>
      </c>
      <c r="J7109" s="120" t="s">
        <v>16</v>
      </c>
      <c r="K7109" s="207"/>
      <c r="L7109" s="207">
        <v>249670</v>
      </c>
    </row>
    <row r="7110" spans="1:14" ht="11.25" customHeight="1" x14ac:dyDescent="0.2">
      <c r="A7110" s="191">
        <v>2025</v>
      </c>
      <c r="B7110" s="191">
        <v>2</v>
      </c>
      <c r="C7110" s="191">
        <v>13</v>
      </c>
      <c r="D7110" s="192">
        <f t="shared" si="776"/>
        <v>45701</v>
      </c>
      <c r="E7110" s="193">
        <f t="shared" si="784"/>
        <v>45701</v>
      </c>
      <c r="F7110" s="514"/>
      <c r="G7110" s="194" t="s">
        <v>1209</v>
      </c>
      <c r="H7110" s="195"/>
      <c r="I7110" s="195" t="s">
        <v>1911</v>
      </c>
      <c r="J7110" s="191" t="s">
        <v>47</v>
      </c>
      <c r="K7110" s="196"/>
      <c r="L7110" s="196">
        <v>50330</v>
      </c>
    </row>
    <row r="7111" spans="1:14" ht="11.25" customHeight="1" x14ac:dyDescent="0.2">
      <c r="A7111" s="197">
        <v>2025</v>
      </c>
      <c r="B7111" s="197">
        <v>2</v>
      </c>
      <c r="C7111" s="197">
        <v>13</v>
      </c>
      <c r="D7111" s="198">
        <f t="shared" si="776"/>
        <v>45701</v>
      </c>
      <c r="E7111" s="209">
        <f t="shared" ref="E7111:E7116" si="785">DATE(A7111,B7111,C7111)</f>
        <v>45701</v>
      </c>
      <c r="F7111" s="513" t="s">
        <v>1210</v>
      </c>
      <c r="G7111" s="200" t="s">
        <v>1209</v>
      </c>
      <c r="H7111" s="201"/>
      <c r="I7111" s="201" t="s">
        <v>1970</v>
      </c>
      <c r="J7111" s="197" t="s">
        <v>46</v>
      </c>
      <c r="K7111" s="202">
        <v>200000</v>
      </c>
      <c r="L7111" s="202"/>
    </row>
    <row r="7112" spans="1:14" ht="11.25" customHeight="1" x14ac:dyDescent="0.2">
      <c r="A7112" s="120">
        <v>2025</v>
      </c>
      <c r="B7112" s="120">
        <v>2</v>
      </c>
      <c r="C7112" s="120">
        <v>13</v>
      </c>
      <c r="D7112" s="208">
        <f t="shared" si="776"/>
        <v>45701</v>
      </c>
      <c r="E7112" s="209">
        <f t="shared" si="785"/>
        <v>45701</v>
      </c>
      <c r="F7112" s="515"/>
      <c r="G7112" s="132" t="s">
        <v>1209</v>
      </c>
      <c r="I7112" s="128" t="s">
        <v>1970</v>
      </c>
      <c r="J7112" s="120" t="s">
        <v>16</v>
      </c>
      <c r="K7112" s="207"/>
      <c r="L7112" s="207">
        <v>166440</v>
      </c>
    </row>
    <row r="7113" spans="1:14" ht="11.25" customHeight="1" x14ac:dyDescent="0.2">
      <c r="A7113" s="191">
        <v>2025</v>
      </c>
      <c r="B7113" s="191">
        <v>2</v>
      </c>
      <c r="C7113" s="191">
        <v>13</v>
      </c>
      <c r="D7113" s="192">
        <f t="shared" si="776"/>
        <v>45701</v>
      </c>
      <c r="E7113" s="193">
        <f t="shared" si="785"/>
        <v>45701</v>
      </c>
      <c r="F7113" s="514"/>
      <c r="G7113" s="194" t="s">
        <v>1209</v>
      </c>
      <c r="H7113" s="195"/>
      <c r="I7113" s="195" t="s">
        <v>1970</v>
      </c>
      <c r="J7113" s="191" t="s">
        <v>47</v>
      </c>
      <c r="K7113" s="196"/>
      <c r="L7113" s="196">
        <v>33560</v>
      </c>
    </row>
    <row r="7114" spans="1:14" ht="11.25" customHeight="1" x14ac:dyDescent="0.2">
      <c r="A7114" s="197">
        <v>2025</v>
      </c>
      <c r="B7114" s="197">
        <v>2</v>
      </c>
      <c r="C7114" s="197">
        <v>13</v>
      </c>
      <c r="D7114" s="198">
        <f t="shared" si="776"/>
        <v>45701</v>
      </c>
      <c r="E7114" s="199">
        <f t="shared" si="785"/>
        <v>45701</v>
      </c>
      <c r="F7114" s="513" t="s">
        <v>1971</v>
      </c>
      <c r="G7114" s="200" t="s">
        <v>1209</v>
      </c>
      <c r="H7114" s="201"/>
      <c r="I7114" s="201" t="s">
        <v>1253</v>
      </c>
      <c r="J7114" s="197" t="s">
        <v>46</v>
      </c>
      <c r="K7114" s="202">
        <v>20506282.43</v>
      </c>
      <c r="L7114" s="202"/>
    </row>
    <row r="7115" spans="1:14" ht="11.25" customHeight="1" x14ac:dyDescent="0.2">
      <c r="A7115" s="120">
        <v>2025</v>
      </c>
      <c r="B7115" s="120">
        <v>2</v>
      </c>
      <c r="C7115" s="120">
        <v>13</v>
      </c>
      <c r="D7115" s="208">
        <f t="shared" si="776"/>
        <v>45701</v>
      </c>
      <c r="E7115" s="209">
        <f t="shared" si="785"/>
        <v>45701</v>
      </c>
      <c r="F7115" s="515"/>
      <c r="G7115" s="132" t="s">
        <v>1209</v>
      </c>
      <c r="J7115" s="120" t="s">
        <v>1463</v>
      </c>
      <c r="K7115" s="328"/>
      <c r="L7115" s="207">
        <v>140006.82999999821</v>
      </c>
    </row>
    <row r="7116" spans="1:14" ht="11.25" customHeight="1" x14ac:dyDescent="0.2">
      <c r="A7116" s="191">
        <v>2025</v>
      </c>
      <c r="B7116" s="191">
        <v>2</v>
      </c>
      <c r="C7116" s="191">
        <v>13</v>
      </c>
      <c r="D7116" s="192">
        <f t="shared" si="776"/>
        <v>45701</v>
      </c>
      <c r="E7116" s="193">
        <f t="shared" si="785"/>
        <v>45701</v>
      </c>
      <c r="F7116" s="514"/>
      <c r="G7116" s="194" t="s">
        <v>1209</v>
      </c>
      <c r="H7116" s="195"/>
      <c r="I7116" s="195" t="s">
        <v>1253</v>
      </c>
      <c r="J7116" s="191" t="s">
        <v>1837</v>
      </c>
      <c r="K7116" s="196"/>
      <c r="L7116" s="196">
        <v>20366275.600000001</v>
      </c>
      <c r="N7116" s="130"/>
    </row>
    <row r="7117" spans="1:14" ht="11.25" customHeight="1" x14ac:dyDescent="0.2">
      <c r="A7117" s="197">
        <v>2025</v>
      </c>
      <c r="B7117" s="197">
        <v>2</v>
      </c>
      <c r="C7117" s="197">
        <v>13</v>
      </c>
      <c r="D7117" s="198">
        <f t="shared" si="776"/>
        <v>45701</v>
      </c>
      <c r="E7117" s="199">
        <f t="shared" ref="E7117:E7122" si="786">DATE(A7117,B7117,C7117)</f>
        <v>45701</v>
      </c>
      <c r="F7117" s="513" t="s">
        <v>1972</v>
      </c>
      <c r="G7117" s="200" t="s">
        <v>1209</v>
      </c>
      <c r="H7117" s="201"/>
      <c r="I7117" s="201" t="s">
        <v>1253</v>
      </c>
      <c r="J7117" s="197" t="s">
        <v>46</v>
      </c>
      <c r="K7117" s="202">
        <v>10634521.539999999</v>
      </c>
      <c r="L7117" s="202"/>
    </row>
    <row r="7118" spans="1:14" ht="11.25" customHeight="1" x14ac:dyDescent="0.2">
      <c r="A7118" s="120">
        <v>2025</v>
      </c>
      <c r="B7118" s="120">
        <v>2</v>
      </c>
      <c r="C7118" s="120">
        <v>13</v>
      </c>
      <c r="D7118" s="208">
        <f t="shared" si="776"/>
        <v>45701</v>
      </c>
      <c r="E7118" s="209">
        <f t="shared" si="786"/>
        <v>45701</v>
      </c>
      <c r="F7118" s="515"/>
      <c r="G7118" s="132" t="s">
        <v>1209</v>
      </c>
      <c r="J7118" s="120" t="s">
        <v>1463</v>
      </c>
      <c r="K7118" s="328"/>
      <c r="L7118" s="207">
        <v>634521.53999999911</v>
      </c>
    </row>
    <row r="7119" spans="1:14" ht="11.25" customHeight="1" x14ac:dyDescent="0.2">
      <c r="A7119" s="191">
        <v>2025</v>
      </c>
      <c r="B7119" s="191">
        <v>2</v>
      </c>
      <c r="C7119" s="191">
        <v>13</v>
      </c>
      <c r="D7119" s="192">
        <f t="shared" si="776"/>
        <v>45701</v>
      </c>
      <c r="E7119" s="193">
        <f t="shared" si="786"/>
        <v>45701</v>
      </c>
      <c r="F7119" s="514"/>
      <c r="G7119" s="194" t="s">
        <v>1209</v>
      </c>
      <c r="H7119" s="195"/>
      <c r="I7119" s="195" t="s">
        <v>1253</v>
      </c>
      <c r="J7119" s="191" t="s">
        <v>1837</v>
      </c>
      <c r="K7119" s="196"/>
      <c r="L7119" s="196">
        <v>10000000</v>
      </c>
      <c r="N7119" s="130"/>
    </row>
    <row r="7120" spans="1:14" ht="11.25" customHeight="1" x14ac:dyDescent="0.2">
      <c r="A7120" s="197">
        <v>2025</v>
      </c>
      <c r="B7120" s="197">
        <v>2</v>
      </c>
      <c r="C7120" s="197">
        <v>13</v>
      </c>
      <c r="D7120" s="198">
        <f t="shared" si="776"/>
        <v>45701</v>
      </c>
      <c r="E7120" s="209">
        <f t="shared" si="786"/>
        <v>45701</v>
      </c>
      <c r="F7120" s="513" t="s">
        <v>1210</v>
      </c>
      <c r="G7120" s="200" t="s">
        <v>1209</v>
      </c>
      <c r="H7120" s="201"/>
      <c r="I7120" s="201" t="s">
        <v>1619</v>
      </c>
      <c r="J7120" s="197" t="s">
        <v>46</v>
      </c>
      <c r="K7120" s="202">
        <v>1500000</v>
      </c>
      <c r="L7120" s="202"/>
    </row>
    <row r="7121" spans="1:15" ht="11.25" customHeight="1" x14ac:dyDescent="0.2">
      <c r="A7121" s="120">
        <v>2025</v>
      </c>
      <c r="B7121" s="120">
        <v>2</v>
      </c>
      <c r="C7121" s="120">
        <v>13</v>
      </c>
      <c r="D7121" s="208">
        <f t="shared" si="776"/>
        <v>45701</v>
      </c>
      <c r="E7121" s="209">
        <f t="shared" si="786"/>
        <v>45701</v>
      </c>
      <c r="F7121" s="515"/>
      <c r="G7121" s="132" t="s">
        <v>1209</v>
      </c>
      <c r="I7121" s="128" t="s">
        <v>1619</v>
      </c>
      <c r="J7121" s="120" t="s">
        <v>16</v>
      </c>
      <c r="K7121" s="207"/>
      <c r="L7121" s="207">
        <v>1248340</v>
      </c>
    </row>
    <row r="7122" spans="1:15" ht="11.25" customHeight="1" x14ac:dyDescent="0.2">
      <c r="A7122" s="191">
        <v>2025</v>
      </c>
      <c r="B7122" s="191">
        <v>2</v>
      </c>
      <c r="C7122" s="191">
        <v>13</v>
      </c>
      <c r="D7122" s="192">
        <f t="shared" si="776"/>
        <v>45701</v>
      </c>
      <c r="E7122" s="193">
        <f t="shared" si="786"/>
        <v>45701</v>
      </c>
      <c r="F7122" s="514"/>
      <c r="G7122" s="194" t="s">
        <v>1209</v>
      </c>
      <c r="H7122" s="195"/>
      <c r="I7122" s="195" t="s">
        <v>1619</v>
      </c>
      <c r="J7122" s="191" t="s">
        <v>47</v>
      </c>
      <c r="K7122" s="196"/>
      <c r="L7122" s="196">
        <v>251660</v>
      </c>
    </row>
    <row r="7123" spans="1:15" ht="11.25" customHeight="1" x14ac:dyDescent="0.2">
      <c r="A7123" s="197">
        <v>2025</v>
      </c>
      <c r="B7123" s="197">
        <v>2</v>
      </c>
      <c r="C7123" s="197">
        <v>13</v>
      </c>
      <c r="D7123" s="198">
        <f t="shared" si="776"/>
        <v>45701</v>
      </c>
      <c r="E7123" s="209">
        <f t="shared" ref="E7123:E7125" si="787">DATE(A7123,B7123,C7123)</f>
        <v>45701</v>
      </c>
      <c r="F7123" s="513" t="s">
        <v>1210</v>
      </c>
      <c r="G7123" s="200" t="s">
        <v>1209</v>
      </c>
      <c r="H7123" s="201"/>
      <c r="I7123" s="201" t="s">
        <v>380</v>
      </c>
      <c r="J7123" s="197" t="s">
        <v>46</v>
      </c>
      <c r="K7123" s="202">
        <v>200000</v>
      </c>
      <c r="L7123" s="202"/>
    </row>
    <row r="7124" spans="1:15" ht="11.25" customHeight="1" x14ac:dyDescent="0.2">
      <c r="A7124" s="120">
        <v>2025</v>
      </c>
      <c r="B7124" s="120">
        <v>2</v>
      </c>
      <c r="C7124" s="120">
        <v>13</v>
      </c>
      <c r="D7124" s="208">
        <f t="shared" si="776"/>
        <v>45701</v>
      </c>
      <c r="E7124" s="209">
        <f t="shared" si="787"/>
        <v>45701</v>
      </c>
      <c r="F7124" s="515"/>
      <c r="G7124" s="132" t="s">
        <v>1209</v>
      </c>
      <c r="I7124" s="128" t="s">
        <v>380</v>
      </c>
      <c r="J7124" s="120" t="s">
        <v>16</v>
      </c>
      <c r="K7124" s="207"/>
      <c r="L7124" s="207">
        <v>166440</v>
      </c>
    </row>
    <row r="7125" spans="1:15" ht="11.25" customHeight="1" x14ac:dyDescent="0.2">
      <c r="A7125" s="191">
        <v>2025</v>
      </c>
      <c r="B7125" s="191">
        <v>2</v>
      </c>
      <c r="C7125" s="191">
        <v>13</v>
      </c>
      <c r="D7125" s="192">
        <f t="shared" si="776"/>
        <v>45701</v>
      </c>
      <c r="E7125" s="193">
        <f t="shared" si="787"/>
        <v>45701</v>
      </c>
      <c r="F7125" s="514"/>
      <c r="G7125" s="194" t="s">
        <v>1209</v>
      </c>
      <c r="H7125" s="195"/>
      <c r="I7125" s="195" t="s">
        <v>380</v>
      </c>
      <c r="J7125" s="191" t="s">
        <v>47</v>
      </c>
      <c r="K7125" s="196"/>
      <c r="L7125" s="196">
        <v>33560</v>
      </c>
    </row>
    <row r="7126" spans="1:15" ht="11.25" customHeight="1" x14ac:dyDescent="0.2">
      <c r="A7126" s="197">
        <v>2025</v>
      </c>
      <c r="B7126" s="197">
        <v>2</v>
      </c>
      <c r="C7126" s="197">
        <v>13</v>
      </c>
      <c r="D7126" s="198">
        <f t="shared" si="776"/>
        <v>45701</v>
      </c>
      <c r="E7126" s="209">
        <f t="shared" ref="E7126:E7131" si="788">DATE(A7126,B7126,C7126)</f>
        <v>45701</v>
      </c>
      <c r="F7126" s="513" t="s">
        <v>1210</v>
      </c>
      <c r="G7126" s="200" t="s">
        <v>1209</v>
      </c>
      <c r="H7126" s="201"/>
      <c r="I7126" s="201" t="s">
        <v>1973</v>
      </c>
      <c r="J7126" s="197" t="s">
        <v>46</v>
      </c>
      <c r="K7126" s="202">
        <v>10000000</v>
      </c>
      <c r="L7126" s="202"/>
    </row>
    <row r="7127" spans="1:15" ht="11.25" customHeight="1" x14ac:dyDescent="0.2">
      <c r="A7127" s="120">
        <v>2025</v>
      </c>
      <c r="B7127" s="120">
        <v>2</v>
      </c>
      <c r="C7127" s="120">
        <v>13</v>
      </c>
      <c r="D7127" s="208">
        <f t="shared" si="776"/>
        <v>45701</v>
      </c>
      <c r="E7127" s="209">
        <f t="shared" si="788"/>
        <v>45701</v>
      </c>
      <c r="F7127" s="515"/>
      <c r="G7127" s="132" t="s">
        <v>1209</v>
      </c>
      <c r="I7127" s="128" t="s">
        <v>1973</v>
      </c>
      <c r="J7127" s="120" t="s">
        <v>16</v>
      </c>
      <c r="K7127" s="207"/>
      <c r="L7127" s="207">
        <v>8322240</v>
      </c>
    </row>
    <row r="7128" spans="1:15" ht="11.25" customHeight="1" x14ac:dyDescent="0.2">
      <c r="A7128" s="191">
        <v>2025</v>
      </c>
      <c r="B7128" s="191">
        <v>2</v>
      </c>
      <c r="C7128" s="191">
        <v>13</v>
      </c>
      <c r="D7128" s="192">
        <f t="shared" si="776"/>
        <v>45701</v>
      </c>
      <c r="E7128" s="193">
        <f t="shared" si="788"/>
        <v>45701</v>
      </c>
      <c r="F7128" s="514"/>
      <c r="G7128" s="194" t="s">
        <v>1209</v>
      </c>
      <c r="H7128" s="195"/>
      <c r="I7128" s="195" t="s">
        <v>1973</v>
      </c>
      <c r="J7128" s="191" t="s">
        <v>47</v>
      </c>
      <c r="K7128" s="196"/>
      <c r="L7128" s="196">
        <v>1677760</v>
      </c>
    </row>
    <row r="7129" spans="1:15" ht="11.25" customHeight="1" x14ac:dyDescent="0.2">
      <c r="A7129" s="197">
        <v>2025</v>
      </c>
      <c r="B7129" s="197">
        <v>2</v>
      </c>
      <c r="C7129" s="197">
        <v>13</v>
      </c>
      <c r="D7129" s="198">
        <f t="shared" si="776"/>
        <v>45701</v>
      </c>
      <c r="E7129" s="209">
        <f t="shared" si="788"/>
        <v>45701</v>
      </c>
      <c r="F7129" s="513" t="s">
        <v>1210</v>
      </c>
      <c r="G7129" s="200" t="s">
        <v>1209</v>
      </c>
      <c r="H7129" s="201"/>
      <c r="I7129" s="201" t="s">
        <v>1804</v>
      </c>
      <c r="J7129" s="197" t="s">
        <v>46</v>
      </c>
      <c r="K7129" s="202">
        <v>420000</v>
      </c>
      <c r="L7129" s="202"/>
    </row>
    <row r="7130" spans="1:15" ht="11.25" customHeight="1" x14ac:dyDescent="0.2">
      <c r="A7130" s="120">
        <v>2025</v>
      </c>
      <c r="B7130" s="120">
        <v>2</v>
      </c>
      <c r="C7130" s="120">
        <v>13</v>
      </c>
      <c r="D7130" s="208">
        <f t="shared" si="776"/>
        <v>45701</v>
      </c>
      <c r="E7130" s="209">
        <f t="shared" si="788"/>
        <v>45701</v>
      </c>
      <c r="F7130" s="515"/>
      <c r="G7130" s="132" t="s">
        <v>1209</v>
      </c>
      <c r="I7130" s="128" t="s">
        <v>1804</v>
      </c>
      <c r="J7130" s="120" t="s">
        <v>16</v>
      </c>
      <c r="K7130" s="207"/>
      <c r="L7130" s="207">
        <v>349530</v>
      </c>
    </row>
    <row r="7131" spans="1:15" ht="11.25" customHeight="1" x14ac:dyDescent="0.2">
      <c r="A7131" s="191">
        <v>2025</v>
      </c>
      <c r="B7131" s="191">
        <v>2</v>
      </c>
      <c r="C7131" s="191">
        <v>13</v>
      </c>
      <c r="D7131" s="192">
        <f t="shared" si="776"/>
        <v>45701</v>
      </c>
      <c r="E7131" s="193">
        <f t="shared" si="788"/>
        <v>45701</v>
      </c>
      <c r="F7131" s="514"/>
      <c r="G7131" s="194" t="s">
        <v>1209</v>
      </c>
      <c r="H7131" s="195"/>
      <c r="I7131" s="195" t="s">
        <v>1804</v>
      </c>
      <c r="J7131" s="191" t="s">
        <v>47</v>
      </c>
      <c r="K7131" s="196"/>
      <c r="L7131" s="196">
        <v>70470</v>
      </c>
    </row>
    <row r="7132" spans="1:15" ht="11.25" customHeight="1" x14ac:dyDescent="0.2">
      <c r="A7132" s="197">
        <v>2025</v>
      </c>
      <c r="B7132" s="197">
        <v>2</v>
      </c>
      <c r="C7132" s="197">
        <v>13</v>
      </c>
      <c r="D7132" s="198">
        <f t="shared" si="776"/>
        <v>45701</v>
      </c>
      <c r="E7132" s="290">
        <f>DATE(A7132,B7132,C7132)</f>
        <v>45701</v>
      </c>
      <c r="F7132" s="513" t="s">
        <v>1514</v>
      </c>
      <c r="G7132" s="200" t="s">
        <v>1209</v>
      </c>
      <c r="H7132" s="201"/>
      <c r="I7132" s="201"/>
      <c r="J7132" s="197" t="s">
        <v>54</v>
      </c>
      <c r="K7132" s="202">
        <v>130</v>
      </c>
      <c r="L7132" s="202"/>
      <c r="M7132" s="251"/>
      <c r="N7132" s="251"/>
      <c r="O7132" s="251"/>
    </row>
    <row r="7133" spans="1:15" ht="11.25" customHeight="1" x14ac:dyDescent="0.2">
      <c r="A7133" s="191">
        <v>2025</v>
      </c>
      <c r="B7133" s="191">
        <v>2</v>
      </c>
      <c r="C7133" s="191">
        <v>13</v>
      </c>
      <c r="D7133" s="192">
        <f t="shared" si="776"/>
        <v>45701</v>
      </c>
      <c r="E7133" s="291">
        <f>DATE(A7133,B7133,C7133)</f>
        <v>45701</v>
      </c>
      <c r="F7133" s="514"/>
      <c r="G7133" s="194" t="s">
        <v>1209</v>
      </c>
      <c r="H7133" s="195"/>
      <c r="I7133" s="195"/>
      <c r="J7133" s="191" t="s">
        <v>46</v>
      </c>
      <c r="K7133" s="196"/>
      <c r="L7133" s="196">
        <v>130</v>
      </c>
      <c r="M7133" s="251"/>
      <c r="N7133" s="251"/>
      <c r="O7133" s="251"/>
    </row>
    <row r="7134" spans="1:15" ht="11.25" customHeight="1" x14ac:dyDescent="0.2">
      <c r="A7134" s="424">
        <v>2025</v>
      </c>
      <c r="B7134" s="424">
        <v>2</v>
      </c>
      <c r="C7134" s="424">
        <v>13</v>
      </c>
      <c r="D7134" s="425">
        <f t="shared" si="776"/>
        <v>45701</v>
      </c>
      <c r="E7134" s="384">
        <f t="shared" ref="E7134:E7148" si="789">DATE(A7134,B7134,C7134)</f>
        <v>45701</v>
      </c>
      <c r="F7134" s="516" t="s">
        <v>1850</v>
      </c>
      <c r="G7134" s="426" t="s">
        <v>1209</v>
      </c>
      <c r="H7134" s="427"/>
      <c r="I7134" s="427"/>
      <c r="J7134" s="428" t="s">
        <v>81</v>
      </c>
      <c r="K7134" s="429">
        <v>6973.2450980392159</v>
      </c>
      <c r="L7134" s="429"/>
      <c r="M7134" s="130"/>
    </row>
    <row r="7135" spans="1:15" ht="11.25" customHeight="1" x14ac:dyDescent="0.2">
      <c r="A7135" s="389">
        <v>2025</v>
      </c>
      <c r="B7135" s="389">
        <v>2</v>
      </c>
      <c r="C7135" s="389">
        <v>13</v>
      </c>
      <c r="D7135" s="390">
        <f t="shared" si="776"/>
        <v>45701</v>
      </c>
      <c r="E7135" s="391">
        <f t="shared" si="789"/>
        <v>45701</v>
      </c>
      <c r="F7135" s="517"/>
      <c r="G7135" s="392" t="s">
        <v>1209</v>
      </c>
      <c r="H7135" s="393"/>
      <c r="I7135" s="393"/>
      <c r="J7135" s="394" t="s">
        <v>1847</v>
      </c>
      <c r="K7135" s="423"/>
      <c r="L7135" s="423">
        <v>6973.2450980392159</v>
      </c>
    </row>
    <row r="7136" spans="1:15" ht="11.25" customHeight="1" x14ac:dyDescent="0.2">
      <c r="A7136" s="382">
        <v>2025</v>
      </c>
      <c r="B7136" s="382">
        <v>2</v>
      </c>
      <c r="C7136" s="382">
        <v>13</v>
      </c>
      <c r="D7136" s="383">
        <f t="shared" si="776"/>
        <v>45701</v>
      </c>
      <c r="E7136" s="384">
        <f t="shared" si="789"/>
        <v>45701</v>
      </c>
      <c r="F7136" s="516" t="s">
        <v>1892</v>
      </c>
      <c r="G7136" s="385" t="s">
        <v>1209</v>
      </c>
      <c r="H7136" s="386"/>
      <c r="I7136" s="386"/>
      <c r="J7136" s="387" t="s">
        <v>173</v>
      </c>
      <c r="K7136" s="388">
        <v>5169.8315885937491</v>
      </c>
      <c r="L7136" s="388"/>
      <c r="M7136" s="130"/>
    </row>
    <row r="7137" spans="1:13" ht="11.25" customHeight="1" x14ac:dyDescent="0.2">
      <c r="A7137" s="389">
        <v>2025</v>
      </c>
      <c r="B7137" s="389">
        <v>2</v>
      </c>
      <c r="C7137" s="389">
        <v>13</v>
      </c>
      <c r="D7137" s="390">
        <f t="shared" si="776"/>
        <v>45701</v>
      </c>
      <c r="E7137" s="391">
        <f t="shared" si="789"/>
        <v>45701</v>
      </c>
      <c r="F7137" s="517"/>
      <c r="G7137" s="392" t="s">
        <v>1209</v>
      </c>
      <c r="H7137" s="393"/>
      <c r="I7137" s="393"/>
      <c r="J7137" s="394" t="s">
        <v>43</v>
      </c>
      <c r="K7137" s="388"/>
      <c r="L7137" s="388">
        <f>K7136</f>
        <v>5169.8315885937491</v>
      </c>
    </row>
    <row r="7138" spans="1:13" ht="11.25" customHeight="1" x14ac:dyDescent="0.2">
      <c r="A7138" s="344">
        <v>2025</v>
      </c>
      <c r="B7138" s="344">
        <v>2</v>
      </c>
      <c r="C7138" s="344">
        <v>13</v>
      </c>
      <c r="D7138" s="345">
        <f t="shared" si="776"/>
        <v>45701</v>
      </c>
      <c r="E7138" s="346">
        <f t="shared" si="789"/>
        <v>45701</v>
      </c>
      <c r="F7138" s="518" t="s">
        <v>1621</v>
      </c>
      <c r="G7138" s="347" t="s">
        <v>1245</v>
      </c>
      <c r="H7138" s="348"/>
      <c r="I7138" s="348" t="s">
        <v>1253</v>
      </c>
      <c r="J7138" s="344" t="s">
        <v>113</v>
      </c>
      <c r="K7138" s="349"/>
      <c r="L7138" s="349"/>
      <c r="M7138" s="130"/>
    </row>
    <row r="7139" spans="1:13" ht="11.25" customHeight="1" x14ac:dyDescent="0.2">
      <c r="A7139" s="350">
        <v>2025</v>
      </c>
      <c r="B7139" s="350">
        <v>2</v>
      </c>
      <c r="C7139" s="350">
        <v>13</v>
      </c>
      <c r="D7139" s="351">
        <f t="shared" si="776"/>
        <v>45701</v>
      </c>
      <c r="E7139" s="352">
        <f t="shared" si="789"/>
        <v>45701</v>
      </c>
      <c r="F7139" s="519"/>
      <c r="G7139" s="353" t="s">
        <v>1245</v>
      </c>
      <c r="H7139" s="354"/>
      <c r="I7139" s="354" t="s">
        <v>1253</v>
      </c>
      <c r="J7139" s="350" t="s">
        <v>153</v>
      </c>
      <c r="K7139" s="355"/>
      <c r="L7139" s="355">
        <f>K7138</f>
        <v>0</v>
      </c>
    </row>
    <row r="7140" spans="1:13" ht="11.25" customHeight="1" x14ac:dyDescent="0.2">
      <c r="A7140" s="344">
        <v>2025</v>
      </c>
      <c r="B7140" s="344">
        <v>2</v>
      </c>
      <c r="C7140" s="344">
        <v>13</v>
      </c>
      <c r="D7140" s="345">
        <f t="shared" si="776"/>
        <v>45701</v>
      </c>
      <c r="E7140" s="346">
        <f t="shared" si="789"/>
        <v>45701</v>
      </c>
      <c r="F7140" s="518" t="s">
        <v>1988</v>
      </c>
      <c r="G7140" s="347" t="s">
        <v>1245</v>
      </c>
      <c r="H7140" s="348"/>
      <c r="I7140" s="348" t="s">
        <v>1253</v>
      </c>
      <c r="J7140" s="344" t="s">
        <v>113</v>
      </c>
      <c r="K7140" s="349">
        <v>32846.15</v>
      </c>
      <c r="L7140" s="349"/>
      <c r="M7140" s="130"/>
    </row>
    <row r="7141" spans="1:13" ht="11.25" customHeight="1" x14ac:dyDescent="0.2">
      <c r="A7141" s="350">
        <v>2025</v>
      </c>
      <c r="B7141" s="350">
        <v>2</v>
      </c>
      <c r="C7141" s="350">
        <v>13</v>
      </c>
      <c r="D7141" s="351">
        <f t="shared" si="776"/>
        <v>45701</v>
      </c>
      <c r="E7141" s="352">
        <f t="shared" si="789"/>
        <v>45701</v>
      </c>
      <c r="F7141" s="519"/>
      <c r="G7141" s="353" t="s">
        <v>1245</v>
      </c>
      <c r="H7141" s="354"/>
      <c r="I7141" s="354" t="s">
        <v>1253</v>
      </c>
      <c r="J7141" s="350" t="s">
        <v>153</v>
      </c>
      <c r="K7141" s="355"/>
      <c r="L7141" s="355">
        <f>K7140</f>
        <v>32846.15</v>
      </c>
    </row>
    <row r="7142" spans="1:13" ht="11.25" customHeight="1" x14ac:dyDescent="0.2">
      <c r="A7142" s="344">
        <v>2025</v>
      </c>
      <c r="B7142" s="344">
        <v>2</v>
      </c>
      <c r="C7142" s="344">
        <v>13</v>
      </c>
      <c r="D7142" s="345">
        <f t="shared" si="776"/>
        <v>45701</v>
      </c>
      <c r="E7142" s="346">
        <f t="shared" si="789"/>
        <v>45701</v>
      </c>
      <c r="F7142" s="518" t="s">
        <v>1989</v>
      </c>
      <c r="G7142" s="347" t="s">
        <v>1245</v>
      </c>
      <c r="H7142" s="348"/>
      <c r="I7142" s="348" t="s">
        <v>1253</v>
      </c>
      <c r="J7142" s="344" t="s">
        <v>113</v>
      </c>
      <c r="K7142" s="349">
        <v>23461.538461538461</v>
      </c>
      <c r="L7142" s="349"/>
      <c r="M7142" s="130"/>
    </row>
    <row r="7143" spans="1:13" ht="11.25" customHeight="1" x14ac:dyDescent="0.2">
      <c r="A7143" s="350">
        <v>2025</v>
      </c>
      <c r="B7143" s="350">
        <v>2</v>
      </c>
      <c r="C7143" s="350">
        <v>13</v>
      </c>
      <c r="D7143" s="351">
        <f t="shared" si="776"/>
        <v>45701</v>
      </c>
      <c r="E7143" s="352">
        <f t="shared" si="789"/>
        <v>45701</v>
      </c>
      <c r="F7143" s="519"/>
      <c r="G7143" s="353" t="s">
        <v>1245</v>
      </c>
      <c r="H7143" s="354"/>
      <c r="I7143" s="354" t="s">
        <v>1253</v>
      </c>
      <c r="J7143" s="350" t="s">
        <v>153</v>
      </c>
      <c r="K7143" s="355"/>
      <c r="L7143" s="355">
        <f>K7142</f>
        <v>23461.538461538461</v>
      </c>
    </row>
    <row r="7144" spans="1:13" ht="11.25" customHeight="1" x14ac:dyDescent="0.2">
      <c r="A7144" s="344">
        <v>2025</v>
      </c>
      <c r="B7144" s="344">
        <v>2</v>
      </c>
      <c r="C7144" s="344">
        <v>13</v>
      </c>
      <c r="D7144" s="345">
        <f t="shared" si="776"/>
        <v>45701</v>
      </c>
      <c r="E7144" s="346">
        <f t="shared" ref="E7144:E7145" si="790">DATE(A7144,B7144,C7144)</f>
        <v>45701</v>
      </c>
      <c r="F7144" s="518" t="s">
        <v>1990</v>
      </c>
      <c r="G7144" s="347" t="s">
        <v>1245</v>
      </c>
      <c r="H7144" s="348"/>
      <c r="I7144" s="348" t="s">
        <v>1253</v>
      </c>
      <c r="J7144" s="344" t="s">
        <v>113</v>
      </c>
      <c r="K7144" s="349">
        <v>70384.61538461539</v>
      </c>
      <c r="L7144" s="349"/>
      <c r="M7144" s="130"/>
    </row>
    <row r="7145" spans="1:13" ht="11.25" customHeight="1" x14ac:dyDescent="0.2">
      <c r="A7145" s="350">
        <v>2025</v>
      </c>
      <c r="B7145" s="350">
        <v>2</v>
      </c>
      <c r="C7145" s="350">
        <v>13</v>
      </c>
      <c r="D7145" s="351">
        <f t="shared" si="776"/>
        <v>45701</v>
      </c>
      <c r="E7145" s="352">
        <f t="shared" si="790"/>
        <v>45701</v>
      </c>
      <c r="F7145" s="519"/>
      <c r="G7145" s="353" t="s">
        <v>1245</v>
      </c>
      <c r="H7145" s="354"/>
      <c r="I7145" s="354" t="s">
        <v>1253</v>
      </c>
      <c r="J7145" s="350" t="s">
        <v>153</v>
      </c>
      <c r="K7145" s="355"/>
      <c r="L7145" s="355">
        <f>K7144</f>
        <v>70384.61538461539</v>
      </c>
    </row>
    <row r="7146" spans="1:13" ht="11.25" customHeight="1" x14ac:dyDescent="0.2">
      <c r="A7146" s="210">
        <v>2025</v>
      </c>
      <c r="B7146" s="210">
        <v>2</v>
      </c>
      <c r="C7146" s="210">
        <v>13</v>
      </c>
      <c r="D7146" s="211">
        <f t="shared" si="776"/>
        <v>45701</v>
      </c>
      <c r="E7146" s="238">
        <f t="shared" si="789"/>
        <v>45701</v>
      </c>
      <c r="F7146" s="520" t="s">
        <v>1278</v>
      </c>
      <c r="G7146" s="213" t="s">
        <v>1245</v>
      </c>
      <c r="H7146" s="214"/>
      <c r="I7146" s="214" t="s">
        <v>1253</v>
      </c>
      <c r="J7146" s="210" t="s">
        <v>1529</v>
      </c>
      <c r="K7146" s="215">
        <v>510.40384615384613</v>
      </c>
      <c r="L7146" s="215"/>
      <c r="M7146" s="130"/>
    </row>
    <row r="7147" spans="1:13" ht="11.25" customHeight="1" x14ac:dyDescent="0.2">
      <c r="A7147" s="216">
        <v>2025</v>
      </c>
      <c r="B7147" s="216">
        <v>2</v>
      </c>
      <c r="C7147" s="216">
        <v>13</v>
      </c>
      <c r="D7147" s="217">
        <f t="shared" si="776"/>
        <v>45701</v>
      </c>
      <c r="E7147" s="239">
        <f t="shared" si="789"/>
        <v>45701</v>
      </c>
      <c r="F7147" s="521"/>
      <c r="G7147" s="219" t="s">
        <v>1245</v>
      </c>
      <c r="H7147" s="220"/>
      <c r="I7147" s="220" t="s">
        <v>1253</v>
      </c>
      <c r="J7147" s="216" t="s">
        <v>1581</v>
      </c>
      <c r="K7147" s="221"/>
      <c r="L7147" s="221">
        <v>510.40384615384613</v>
      </c>
    </row>
    <row r="7148" spans="1:13" ht="11.25" customHeight="1" x14ac:dyDescent="0.2">
      <c r="A7148" s="210">
        <v>2025</v>
      </c>
      <c r="B7148" s="210">
        <v>2</v>
      </c>
      <c r="C7148" s="210">
        <v>13</v>
      </c>
      <c r="D7148" s="211">
        <f t="shared" ref="D7148:D7211" si="791">DATE(A7148,B7148,C7148)</f>
        <v>45701</v>
      </c>
      <c r="E7148" s="238">
        <f t="shared" si="789"/>
        <v>45701</v>
      </c>
      <c r="F7148" s="520" t="s">
        <v>1857</v>
      </c>
      <c r="G7148" s="213" t="s">
        <v>1245</v>
      </c>
      <c r="H7148" s="214"/>
      <c r="I7148" s="214" t="s">
        <v>1253</v>
      </c>
      <c r="J7148" s="210" t="s">
        <v>1284</v>
      </c>
      <c r="K7148" s="215">
        <v>2341.8114143920593</v>
      </c>
      <c r="L7148" s="215"/>
      <c r="M7148" s="130"/>
    </row>
    <row r="7149" spans="1:13" ht="11.25" customHeight="1" x14ac:dyDescent="0.2">
      <c r="A7149" s="242">
        <v>2025</v>
      </c>
      <c r="B7149" s="242">
        <v>2</v>
      </c>
      <c r="C7149" s="242">
        <v>13</v>
      </c>
      <c r="D7149" s="243">
        <f t="shared" si="791"/>
        <v>45701</v>
      </c>
      <c r="E7149" s="244">
        <f>DATE(A7149,B7149,C7149)</f>
        <v>45701</v>
      </c>
      <c r="F7149" s="524"/>
      <c r="G7149" s="245" t="s">
        <v>1245</v>
      </c>
      <c r="H7149" s="246"/>
      <c r="I7149" s="246"/>
      <c r="J7149" s="242" t="s">
        <v>1582</v>
      </c>
      <c r="K7149" s="247"/>
      <c r="L7149" s="247">
        <f>K7148</f>
        <v>2341.8114143920593</v>
      </c>
    </row>
    <row r="7150" spans="1:13" ht="11.25" customHeight="1" x14ac:dyDescent="0.2">
      <c r="A7150" s="210">
        <v>2025</v>
      </c>
      <c r="B7150" s="210">
        <v>2</v>
      </c>
      <c r="C7150" s="210">
        <v>13</v>
      </c>
      <c r="D7150" s="211">
        <f t="shared" si="791"/>
        <v>45701</v>
      </c>
      <c r="E7150" s="238">
        <f t="shared" ref="E7150:E7196" si="792">DATE(A7150,B7150,C7150)</f>
        <v>45701</v>
      </c>
      <c r="F7150" s="520" t="s">
        <v>2055</v>
      </c>
      <c r="G7150" s="213" t="s">
        <v>1245</v>
      </c>
      <c r="H7150" s="214"/>
      <c r="I7150" s="214" t="s">
        <v>1253</v>
      </c>
      <c r="J7150" s="210" t="s">
        <v>58</v>
      </c>
      <c r="K7150" s="215">
        <v>37778.379999999997</v>
      </c>
      <c r="L7150" s="215"/>
    </row>
    <row r="7151" spans="1:13" ht="11.25" customHeight="1" x14ac:dyDescent="0.2">
      <c r="A7151" s="216">
        <v>2025</v>
      </c>
      <c r="B7151" s="216">
        <v>2</v>
      </c>
      <c r="C7151" s="216">
        <v>13</v>
      </c>
      <c r="D7151" s="217">
        <f t="shared" si="791"/>
        <v>45701</v>
      </c>
      <c r="E7151" s="239">
        <f t="shared" si="792"/>
        <v>45701</v>
      </c>
      <c r="F7151" s="521"/>
      <c r="G7151" s="219" t="s">
        <v>1245</v>
      </c>
      <c r="H7151" s="220"/>
      <c r="I7151" s="220" t="s">
        <v>1253</v>
      </c>
      <c r="J7151" s="216" t="s">
        <v>153</v>
      </c>
      <c r="K7151" s="221"/>
      <c r="L7151" s="221">
        <f>K7150</f>
        <v>37778.379999999997</v>
      </c>
    </row>
    <row r="7152" spans="1:13" ht="11.25" customHeight="1" x14ac:dyDescent="0.2">
      <c r="A7152" s="312">
        <v>2025</v>
      </c>
      <c r="B7152" s="312">
        <v>2</v>
      </c>
      <c r="C7152" s="312">
        <v>13</v>
      </c>
      <c r="D7152" s="313">
        <f t="shared" si="791"/>
        <v>45701</v>
      </c>
      <c r="E7152" s="314">
        <f t="shared" si="792"/>
        <v>45701</v>
      </c>
      <c r="F7152" s="522" t="s">
        <v>1477</v>
      </c>
      <c r="G7152" s="315" t="s">
        <v>1245</v>
      </c>
      <c r="H7152" s="316"/>
      <c r="I7152" s="316" t="s">
        <v>1253</v>
      </c>
      <c r="J7152" s="312" t="s">
        <v>1458</v>
      </c>
      <c r="K7152" s="317">
        <v>0</v>
      </c>
      <c r="L7152" s="317"/>
      <c r="M7152" s="120">
        <f>BS!$I$11</f>
        <v>5.9604644775390625E-8</v>
      </c>
    </row>
    <row r="7153" spans="1:13" ht="11.25" customHeight="1" x14ac:dyDescent="0.2">
      <c r="A7153" s="318">
        <v>2025</v>
      </c>
      <c r="B7153" s="318">
        <v>2</v>
      </c>
      <c r="C7153" s="318">
        <v>13</v>
      </c>
      <c r="D7153" s="319">
        <f t="shared" si="791"/>
        <v>45701</v>
      </c>
      <c r="E7153" s="320">
        <f t="shared" si="792"/>
        <v>45701</v>
      </c>
      <c r="F7153" s="523"/>
      <c r="G7153" s="321" t="s">
        <v>1245</v>
      </c>
      <c r="H7153" s="322"/>
      <c r="I7153" s="322" t="s">
        <v>1253</v>
      </c>
      <c r="J7153" s="318" t="s">
        <v>1460</v>
      </c>
      <c r="K7153" s="323"/>
      <c r="L7153" s="323">
        <f>K7152</f>
        <v>0</v>
      </c>
    </row>
    <row r="7154" spans="1:13" ht="11.25" customHeight="1" x14ac:dyDescent="0.2">
      <c r="A7154" s="312">
        <v>2025</v>
      </c>
      <c r="B7154" s="312">
        <v>2</v>
      </c>
      <c r="C7154" s="312">
        <v>13</v>
      </c>
      <c r="D7154" s="313">
        <f t="shared" si="791"/>
        <v>45701</v>
      </c>
      <c r="E7154" s="314">
        <f t="shared" si="792"/>
        <v>45701</v>
      </c>
      <c r="F7154" s="522" t="s">
        <v>1595</v>
      </c>
      <c r="G7154" s="315" t="s">
        <v>1245</v>
      </c>
      <c r="H7154" s="316"/>
      <c r="I7154" s="316" t="s">
        <v>1253</v>
      </c>
      <c r="J7154" s="312" t="s">
        <v>1461</v>
      </c>
      <c r="K7154" s="317">
        <v>14520311.022000074</v>
      </c>
      <c r="L7154" s="317"/>
      <c r="M7154" s="120">
        <f>BS!$I$14</f>
        <v>0</v>
      </c>
    </row>
    <row r="7155" spans="1:13" ht="11.25" customHeight="1" x14ac:dyDescent="0.2">
      <c r="A7155" s="318">
        <v>2025</v>
      </c>
      <c r="B7155" s="318">
        <v>2</v>
      </c>
      <c r="C7155" s="318">
        <v>13</v>
      </c>
      <c r="D7155" s="319">
        <f t="shared" si="791"/>
        <v>45701</v>
      </c>
      <c r="E7155" s="320">
        <f t="shared" si="792"/>
        <v>45701</v>
      </c>
      <c r="F7155" s="523"/>
      <c r="G7155" s="321" t="s">
        <v>1245</v>
      </c>
      <c r="H7155" s="322"/>
      <c r="I7155" s="322" t="s">
        <v>1253</v>
      </c>
      <c r="J7155" s="318" t="s">
        <v>1459</v>
      </c>
      <c r="K7155" s="323"/>
      <c r="L7155" s="323">
        <f>K7154</f>
        <v>14520311.022000074</v>
      </c>
    </row>
    <row r="7156" spans="1:13" ht="11.25" customHeight="1" x14ac:dyDescent="0.2">
      <c r="A7156" s="222">
        <v>2025</v>
      </c>
      <c r="B7156" s="222">
        <v>2</v>
      </c>
      <c r="C7156" s="222">
        <v>13</v>
      </c>
      <c r="D7156" s="223">
        <f t="shared" si="791"/>
        <v>45701</v>
      </c>
      <c r="E7156" s="240">
        <f t="shared" si="792"/>
        <v>45701</v>
      </c>
      <c r="F7156" s="511" t="s">
        <v>1244</v>
      </c>
      <c r="G7156" s="225" t="s">
        <v>1245</v>
      </c>
      <c r="H7156" s="226"/>
      <c r="I7156" s="226" t="s">
        <v>1253</v>
      </c>
      <c r="J7156" s="222" t="s">
        <v>87</v>
      </c>
      <c r="K7156" s="227">
        <v>15690</v>
      </c>
      <c r="L7156" s="227"/>
      <c r="M7156" s="120">
        <f>BS!$I$7</f>
        <v>0</v>
      </c>
    </row>
    <row r="7157" spans="1:13" ht="11.25" customHeight="1" x14ac:dyDescent="0.2">
      <c r="A7157" s="228">
        <v>2025</v>
      </c>
      <c r="B7157" s="228">
        <v>2</v>
      </c>
      <c r="C7157" s="228">
        <v>13</v>
      </c>
      <c r="D7157" s="229">
        <f t="shared" si="791"/>
        <v>45701</v>
      </c>
      <c r="E7157" s="241">
        <f t="shared" si="792"/>
        <v>45701</v>
      </c>
      <c r="F7157" s="512"/>
      <c r="G7157" s="231" t="s">
        <v>1245</v>
      </c>
      <c r="H7157" s="232"/>
      <c r="I7157" s="232" t="s">
        <v>1253</v>
      </c>
      <c r="J7157" s="228" t="s">
        <v>72</v>
      </c>
      <c r="K7157" s="233"/>
      <c r="L7157" s="233">
        <f>K7156</f>
        <v>15690</v>
      </c>
    </row>
    <row r="7158" spans="1:13" ht="11.25" customHeight="1" x14ac:dyDescent="0.2">
      <c r="A7158" s="222">
        <v>2025</v>
      </c>
      <c r="B7158" s="222">
        <v>2</v>
      </c>
      <c r="C7158" s="222">
        <v>13</v>
      </c>
      <c r="D7158" s="223">
        <f t="shared" si="791"/>
        <v>45701</v>
      </c>
      <c r="E7158" s="240">
        <f t="shared" si="792"/>
        <v>45701</v>
      </c>
      <c r="F7158" s="511" t="s">
        <v>1246</v>
      </c>
      <c r="G7158" s="225" t="s">
        <v>1245</v>
      </c>
      <c r="H7158" s="226"/>
      <c r="I7158" s="226" t="s">
        <v>1253</v>
      </c>
      <c r="J7158" s="222" t="s">
        <v>75</v>
      </c>
      <c r="K7158" s="227">
        <v>3623.123846153846</v>
      </c>
      <c r="L7158" s="227"/>
      <c r="M7158" s="130"/>
    </row>
    <row r="7159" spans="1:13" ht="11.25" customHeight="1" x14ac:dyDescent="0.2">
      <c r="A7159" s="228">
        <v>2025</v>
      </c>
      <c r="B7159" s="228">
        <v>2</v>
      </c>
      <c r="C7159" s="228">
        <v>13</v>
      </c>
      <c r="D7159" s="229">
        <f t="shared" si="791"/>
        <v>45701</v>
      </c>
      <c r="E7159" s="241">
        <f t="shared" si="792"/>
        <v>45701</v>
      </c>
      <c r="F7159" s="512"/>
      <c r="G7159" s="231" t="s">
        <v>1245</v>
      </c>
      <c r="H7159" s="232"/>
      <c r="I7159" s="232" t="s">
        <v>1253</v>
      </c>
      <c r="J7159" s="228" t="s">
        <v>55</v>
      </c>
      <c r="K7159" s="233"/>
      <c r="L7159" s="233">
        <v>3623.123846153846</v>
      </c>
    </row>
    <row r="7160" spans="1:13" ht="11.25" customHeight="1" x14ac:dyDescent="0.2">
      <c r="A7160" s="222">
        <v>2025</v>
      </c>
      <c r="B7160" s="222">
        <v>2</v>
      </c>
      <c r="C7160" s="222">
        <v>13</v>
      </c>
      <c r="D7160" s="223">
        <f t="shared" si="791"/>
        <v>45701</v>
      </c>
      <c r="E7160" s="240">
        <f t="shared" si="792"/>
        <v>45701</v>
      </c>
      <c r="F7160" s="511" t="s">
        <v>1247</v>
      </c>
      <c r="G7160" s="225" t="s">
        <v>1245</v>
      </c>
      <c r="H7160" s="226"/>
      <c r="I7160" s="226" t="s">
        <v>1253</v>
      </c>
      <c r="J7160" s="222" t="s">
        <v>77</v>
      </c>
      <c r="K7160" s="227">
        <f>M7160</f>
        <v>105181.9443838943</v>
      </c>
      <c r="L7160" s="227"/>
      <c r="M7160" s="130">
        <v>105181.9443838943</v>
      </c>
    </row>
    <row r="7161" spans="1:13" ht="11.25" customHeight="1" x14ac:dyDescent="0.2">
      <c r="A7161" s="228">
        <v>2025</v>
      </c>
      <c r="B7161" s="228">
        <v>2</v>
      </c>
      <c r="C7161" s="228">
        <v>13</v>
      </c>
      <c r="D7161" s="229">
        <f t="shared" si="791"/>
        <v>45701</v>
      </c>
      <c r="E7161" s="241">
        <f t="shared" si="792"/>
        <v>45701</v>
      </c>
      <c r="F7161" s="512"/>
      <c r="G7161" s="231" t="s">
        <v>1245</v>
      </c>
      <c r="H7161" s="232"/>
      <c r="I7161" s="232" t="s">
        <v>1253</v>
      </c>
      <c r="J7161" s="228" t="s">
        <v>41</v>
      </c>
      <c r="K7161" s="233"/>
      <c r="L7161" s="233">
        <f>K7160</f>
        <v>105181.9443838943</v>
      </c>
      <c r="M7161" s="130">
        <v>5259.0972191947158</v>
      </c>
    </row>
    <row r="7162" spans="1:13" ht="11.25" customHeight="1" x14ac:dyDescent="0.2">
      <c r="A7162" s="222">
        <v>2025</v>
      </c>
      <c r="B7162" s="222">
        <v>2</v>
      </c>
      <c r="C7162" s="222">
        <v>13</v>
      </c>
      <c r="D7162" s="223">
        <f t="shared" si="791"/>
        <v>45701</v>
      </c>
      <c r="E7162" s="240">
        <f t="shared" si="792"/>
        <v>45701</v>
      </c>
      <c r="F7162" s="511" t="s">
        <v>1248</v>
      </c>
      <c r="G7162" s="225" t="s">
        <v>1245</v>
      </c>
      <c r="H7162" s="226"/>
      <c r="I7162" s="226" t="s">
        <v>1253</v>
      </c>
      <c r="J7162" s="222" t="s">
        <v>80</v>
      </c>
      <c r="K7162" s="227">
        <f>M7161</f>
        <v>5259.0972191947158</v>
      </c>
      <c r="L7162" s="227"/>
    </row>
    <row r="7163" spans="1:13" ht="11.25" customHeight="1" x14ac:dyDescent="0.2">
      <c r="A7163" s="228">
        <v>2025</v>
      </c>
      <c r="B7163" s="228">
        <v>2</v>
      </c>
      <c r="C7163" s="228">
        <v>13</v>
      </c>
      <c r="D7163" s="229">
        <f t="shared" si="791"/>
        <v>45701</v>
      </c>
      <c r="E7163" s="241">
        <f t="shared" si="792"/>
        <v>45701</v>
      </c>
      <c r="F7163" s="512"/>
      <c r="G7163" s="231" t="s">
        <v>1245</v>
      </c>
      <c r="H7163" s="232"/>
      <c r="I7163" s="232" t="s">
        <v>1253</v>
      </c>
      <c r="J7163" s="228" t="s">
        <v>42</v>
      </c>
      <c r="K7163" s="233"/>
      <c r="L7163" s="233">
        <f>K7162</f>
        <v>5259.0972191947158</v>
      </c>
    </row>
    <row r="7164" spans="1:13" ht="11.25" customHeight="1" x14ac:dyDescent="0.2">
      <c r="A7164" s="197">
        <v>2025</v>
      </c>
      <c r="B7164" s="197">
        <v>2</v>
      </c>
      <c r="C7164" s="197">
        <v>15</v>
      </c>
      <c r="D7164" s="198">
        <f t="shared" si="791"/>
        <v>45703</v>
      </c>
      <c r="E7164" s="209">
        <f t="shared" si="792"/>
        <v>45703</v>
      </c>
      <c r="F7164" s="513" t="s">
        <v>1296</v>
      </c>
      <c r="G7164" s="200" t="s">
        <v>1209</v>
      </c>
      <c r="H7164" s="201"/>
      <c r="I7164" s="201"/>
      <c r="J7164" s="197" t="s">
        <v>46</v>
      </c>
      <c r="K7164" s="202">
        <v>5000</v>
      </c>
      <c r="L7164" s="202"/>
    </row>
    <row r="7165" spans="1:13" ht="11.25" customHeight="1" x14ac:dyDescent="0.2">
      <c r="A7165" s="120">
        <v>2025</v>
      </c>
      <c r="B7165" s="120">
        <v>2</v>
      </c>
      <c r="C7165" s="120">
        <v>15</v>
      </c>
      <c r="D7165" s="208">
        <f t="shared" si="791"/>
        <v>45703</v>
      </c>
      <c r="E7165" s="209">
        <f t="shared" si="792"/>
        <v>45703</v>
      </c>
      <c r="F7165" s="515"/>
      <c r="G7165" s="132" t="s">
        <v>1209</v>
      </c>
      <c r="J7165" s="120" t="s">
        <v>16</v>
      </c>
      <c r="K7165" s="207"/>
      <c r="L7165" s="207">
        <v>4040</v>
      </c>
    </row>
    <row r="7166" spans="1:13" ht="11.25" customHeight="1" x14ac:dyDescent="0.2">
      <c r="A7166" s="191">
        <v>2025</v>
      </c>
      <c r="B7166" s="191">
        <v>2</v>
      </c>
      <c r="C7166" s="191">
        <v>15</v>
      </c>
      <c r="D7166" s="192">
        <f t="shared" si="791"/>
        <v>45703</v>
      </c>
      <c r="E7166" s="193">
        <f t="shared" si="792"/>
        <v>45703</v>
      </c>
      <c r="F7166" s="514"/>
      <c r="G7166" s="194" t="s">
        <v>1209</v>
      </c>
      <c r="H7166" s="195"/>
      <c r="I7166" s="195"/>
      <c r="J7166" s="191" t="s">
        <v>47</v>
      </c>
      <c r="K7166" s="196"/>
      <c r="L7166" s="196">
        <v>960</v>
      </c>
    </row>
    <row r="7167" spans="1:13" ht="11.25" customHeight="1" x14ac:dyDescent="0.2">
      <c r="A7167" s="197">
        <v>2025</v>
      </c>
      <c r="B7167" s="197">
        <v>2</v>
      </c>
      <c r="C7167" s="197">
        <v>16</v>
      </c>
      <c r="D7167" s="198">
        <f t="shared" si="791"/>
        <v>45704</v>
      </c>
      <c r="E7167" s="209">
        <f t="shared" ref="E7167:E7169" si="793">DATE(A7167,B7167,C7167)</f>
        <v>45704</v>
      </c>
      <c r="F7167" s="513" t="s">
        <v>1296</v>
      </c>
      <c r="G7167" s="200" t="s">
        <v>1209</v>
      </c>
      <c r="H7167" s="201"/>
      <c r="I7167" s="201"/>
      <c r="J7167" s="197" t="s">
        <v>46</v>
      </c>
      <c r="K7167" s="202">
        <v>97000</v>
      </c>
      <c r="L7167" s="202"/>
    </row>
    <row r="7168" spans="1:13" ht="11.25" customHeight="1" x14ac:dyDescent="0.2">
      <c r="A7168" s="120">
        <v>2025</v>
      </c>
      <c r="B7168" s="120">
        <v>2</v>
      </c>
      <c r="C7168" s="120">
        <v>16</v>
      </c>
      <c r="D7168" s="208">
        <f t="shared" si="791"/>
        <v>45704</v>
      </c>
      <c r="E7168" s="209">
        <f t="shared" si="793"/>
        <v>45704</v>
      </c>
      <c r="F7168" s="515"/>
      <c r="G7168" s="132" t="s">
        <v>1209</v>
      </c>
      <c r="J7168" s="120" t="s">
        <v>16</v>
      </c>
      <c r="K7168" s="207"/>
      <c r="L7168" s="207">
        <v>78440</v>
      </c>
    </row>
    <row r="7169" spans="1:14" ht="11.25" customHeight="1" x14ac:dyDescent="0.2">
      <c r="A7169" s="191">
        <v>2025</v>
      </c>
      <c r="B7169" s="191">
        <v>2</v>
      </c>
      <c r="C7169" s="191">
        <v>16</v>
      </c>
      <c r="D7169" s="192">
        <f t="shared" si="791"/>
        <v>45704</v>
      </c>
      <c r="E7169" s="193">
        <f t="shared" si="793"/>
        <v>45704</v>
      </c>
      <c r="F7169" s="514"/>
      <c r="G7169" s="194" t="s">
        <v>1209</v>
      </c>
      <c r="H7169" s="195"/>
      <c r="I7169" s="195"/>
      <c r="J7169" s="191" t="s">
        <v>47</v>
      </c>
      <c r="K7169" s="196"/>
      <c r="L7169" s="196">
        <v>18560</v>
      </c>
    </row>
    <row r="7170" spans="1:14" ht="11.25" customHeight="1" x14ac:dyDescent="0.2">
      <c r="A7170" s="197">
        <v>2025</v>
      </c>
      <c r="B7170" s="197">
        <v>2</v>
      </c>
      <c r="C7170" s="197">
        <v>16</v>
      </c>
      <c r="D7170" s="198">
        <f t="shared" si="791"/>
        <v>45704</v>
      </c>
      <c r="E7170" s="199">
        <f>DATE(A7170,B7170,C7170)</f>
        <v>45704</v>
      </c>
      <c r="F7170" s="513" t="s">
        <v>1976</v>
      </c>
      <c r="G7170" s="200" t="s">
        <v>1209</v>
      </c>
      <c r="H7170" s="201"/>
      <c r="I7170" s="201" t="s">
        <v>1253</v>
      </c>
      <c r="J7170" s="197" t="s">
        <v>76</v>
      </c>
      <c r="K7170" s="202">
        <v>10000000</v>
      </c>
      <c r="L7170" s="202"/>
    </row>
    <row r="7171" spans="1:14" ht="11.25" customHeight="1" x14ac:dyDescent="0.2">
      <c r="A7171" s="191">
        <v>2025</v>
      </c>
      <c r="B7171" s="191">
        <v>2</v>
      </c>
      <c r="C7171" s="191">
        <v>16</v>
      </c>
      <c r="D7171" s="192">
        <f t="shared" si="791"/>
        <v>45704</v>
      </c>
      <c r="E7171" s="193">
        <f>DATE(A7171,B7171,C7171)</f>
        <v>45704</v>
      </c>
      <c r="F7171" s="514"/>
      <c r="G7171" s="194" t="s">
        <v>1209</v>
      </c>
      <c r="H7171" s="195"/>
      <c r="I7171" s="195" t="s">
        <v>1253</v>
      </c>
      <c r="J7171" s="191" t="s">
        <v>46</v>
      </c>
      <c r="K7171" s="196"/>
      <c r="L7171" s="196">
        <v>10000000</v>
      </c>
    </row>
    <row r="7172" spans="1:14" ht="11.25" customHeight="1" x14ac:dyDescent="0.2">
      <c r="A7172" s="197">
        <v>2025</v>
      </c>
      <c r="B7172" s="197">
        <v>2</v>
      </c>
      <c r="C7172" s="197">
        <v>16</v>
      </c>
      <c r="D7172" s="198">
        <f t="shared" si="791"/>
        <v>45704</v>
      </c>
      <c r="E7172" s="209">
        <f t="shared" si="792"/>
        <v>45704</v>
      </c>
      <c r="F7172" s="513" t="s">
        <v>1280</v>
      </c>
      <c r="G7172" s="200" t="s">
        <v>1209</v>
      </c>
      <c r="H7172" s="201"/>
      <c r="I7172" s="201" t="s">
        <v>1218</v>
      </c>
      <c r="J7172" s="197" t="s">
        <v>16</v>
      </c>
      <c r="K7172" s="202">
        <v>28303410</v>
      </c>
      <c r="L7172" s="202"/>
      <c r="M7172" s="130"/>
      <c r="N7172" s="130"/>
    </row>
    <row r="7173" spans="1:14" ht="11.25" customHeight="1" x14ac:dyDescent="0.2">
      <c r="A7173" s="120">
        <v>2025</v>
      </c>
      <c r="B7173" s="120">
        <v>2</v>
      </c>
      <c r="C7173" s="120">
        <v>16</v>
      </c>
      <c r="D7173" s="208">
        <f t="shared" si="791"/>
        <v>45704</v>
      </c>
      <c r="E7173" s="209">
        <f t="shared" si="792"/>
        <v>45704</v>
      </c>
      <c r="F7173" s="515"/>
      <c r="G7173" s="132" t="s">
        <v>1209</v>
      </c>
      <c r="I7173" s="128" t="s">
        <v>1218</v>
      </c>
      <c r="J7173" s="120" t="s">
        <v>47</v>
      </c>
      <c r="K7173" s="207">
        <v>6696590</v>
      </c>
      <c r="L7173" s="207"/>
      <c r="M7173" s="130"/>
      <c r="N7173" s="130"/>
    </row>
    <row r="7174" spans="1:14" ht="11.25" customHeight="1" x14ac:dyDescent="0.2">
      <c r="A7174" s="191">
        <v>2025</v>
      </c>
      <c r="B7174" s="191">
        <v>2</v>
      </c>
      <c r="C7174" s="191">
        <v>16</v>
      </c>
      <c r="D7174" s="192">
        <f t="shared" si="791"/>
        <v>45704</v>
      </c>
      <c r="E7174" s="193">
        <f t="shared" si="792"/>
        <v>45704</v>
      </c>
      <c r="F7174" s="514"/>
      <c r="G7174" s="194" t="s">
        <v>1209</v>
      </c>
      <c r="H7174" s="195"/>
      <c r="I7174" s="195" t="s">
        <v>1218</v>
      </c>
      <c r="J7174" s="191" t="s">
        <v>46</v>
      </c>
      <c r="K7174" s="196"/>
      <c r="L7174" s="196">
        <v>35000000</v>
      </c>
      <c r="M7174" s="130"/>
      <c r="N7174" s="130"/>
    </row>
    <row r="7175" spans="1:14" ht="11.25" customHeight="1" x14ac:dyDescent="0.2">
      <c r="A7175" s="197">
        <v>2025</v>
      </c>
      <c r="B7175" s="197">
        <v>2</v>
      </c>
      <c r="C7175" s="197">
        <v>16</v>
      </c>
      <c r="D7175" s="198">
        <f t="shared" si="791"/>
        <v>45704</v>
      </c>
      <c r="E7175" s="209">
        <f t="shared" si="792"/>
        <v>45704</v>
      </c>
      <c r="F7175" s="513" t="s">
        <v>1210</v>
      </c>
      <c r="G7175" s="200" t="s">
        <v>1209</v>
      </c>
      <c r="H7175" s="201"/>
      <c r="I7175" s="201" t="s">
        <v>1218</v>
      </c>
      <c r="J7175" s="197" t="s">
        <v>46</v>
      </c>
      <c r="K7175" s="202">
        <v>35000000</v>
      </c>
      <c r="L7175" s="202"/>
    </row>
    <row r="7176" spans="1:14" ht="11.25" customHeight="1" x14ac:dyDescent="0.2">
      <c r="A7176" s="120">
        <v>2025</v>
      </c>
      <c r="B7176" s="120">
        <v>2</v>
      </c>
      <c r="C7176" s="120">
        <v>16</v>
      </c>
      <c r="D7176" s="208">
        <f t="shared" si="791"/>
        <v>45704</v>
      </c>
      <c r="E7176" s="209">
        <f t="shared" si="792"/>
        <v>45704</v>
      </c>
      <c r="F7176" s="515"/>
      <c r="G7176" s="132" t="s">
        <v>1209</v>
      </c>
      <c r="I7176" s="128" t="s">
        <v>1218</v>
      </c>
      <c r="J7176" s="120" t="s">
        <v>16</v>
      </c>
      <c r="K7176" s="207"/>
      <c r="L7176" s="207">
        <v>28303410</v>
      </c>
    </row>
    <row r="7177" spans="1:14" ht="11.25" customHeight="1" x14ac:dyDescent="0.2">
      <c r="A7177" s="191">
        <v>2025</v>
      </c>
      <c r="B7177" s="191">
        <v>2</v>
      </c>
      <c r="C7177" s="191">
        <v>16</v>
      </c>
      <c r="D7177" s="192">
        <f t="shared" si="791"/>
        <v>45704</v>
      </c>
      <c r="E7177" s="193">
        <f t="shared" si="792"/>
        <v>45704</v>
      </c>
      <c r="F7177" s="514"/>
      <c r="G7177" s="194" t="s">
        <v>1209</v>
      </c>
      <c r="H7177" s="195"/>
      <c r="I7177" s="195" t="s">
        <v>1218</v>
      </c>
      <c r="J7177" s="191" t="s">
        <v>47</v>
      </c>
      <c r="K7177" s="196"/>
      <c r="L7177" s="196">
        <v>6696590</v>
      </c>
    </row>
    <row r="7178" spans="1:14" ht="11.25" customHeight="1" x14ac:dyDescent="0.2">
      <c r="A7178" s="197">
        <v>2025</v>
      </c>
      <c r="B7178" s="197">
        <v>2</v>
      </c>
      <c r="C7178" s="197">
        <v>16</v>
      </c>
      <c r="D7178" s="198">
        <f t="shared" si="791"/>
        <v>45704</v>
      </c>
      <c r="E7178" s="209">
        <f t="shared" ref="E7178:E7180" si="794">DATE(A7178,B7178,C7178)</f>
        <v>45704</v>
      </c>
      <c r="F7178" s="513" t="s">
        <v>1210</v>
      </c>
      <c r="G7178" s="200" t="s">
        <v>1209</v>
      </c>
      <c r="H7178" s="201"/>
      <c r="I7178" s="201" t="s">
        <v>1885</v>
      </c>
      <c r="J7178" s="197" t="s">
        <v>46</v>
      </c>
      <c r="K7178" s="202">
        <v>6000000</v>
      </c>
      <c r="L7178" s="202"/>
    </row>
    <row r="7179" spans="1:14" ht="11.25" customHeight="1" x14ac:dyDescent="0.2">
      <c r="A7179" s="120">
        <v>2025</v>
      </c>
      <c r="B7179" s="120">
        <v>2</v>
      </c>
      <c r="C7179" s="120">
        <v>16</v>
      </c>
      <c r="D7179" s="208">
        <f t="shared" si="791"/>
        <v>45704</v>
      </c>
      <c r="E7179" s="209">
        <f t="shared" si="794"/>
        <v>45704</v>
      </c>
      <c r="F7179" s="515"/>
      <c r="G7179" s="132" t="s">
        <v>1209</v>
      </c>
      <c r="I7179" s="128" t="s">
        <v>1885</v>
      </c>
      <c r="J7179" s="120" t="s">
        <v>16</v>
      </c>
      <c r="K7179" s="207"/>
      <c r="L7179" s="207">
        <v>4852010</v>
      </c>
    </row>
    <row r="7180" spans="1:14" ht="11.25" customHeight="1" x14ac:dyDescent="0.2">
      <c r="A7180" s="191">
        <v>2025</v>
      </c>
      <c r="B7180" s="191">
        <v>2</v>
      </c>
      <c r="C7180" s="191">
        <v>16</v>
      </c>
      <c r="D7180" s="192">
        <f t="shared" si="791"/>
        <v>45704</v>
      </c>
      <c r="E7180" s="193">
        <f t="shared" si="794"/>
        <v>45704</v>
      </c>
      <c r="F7180" s="514"/>
      <c r="G7180" s="194" t="s">
        <v>1209</v>
      </c>
      <c r="H7180" s="195"/>
      <c r="I7180" s="195" t="s">
        <v>1885</v>
      </c>
      <c r="J7180" s="191" t="s">
        <v>47</v>
      </c>
      <c r="K7180" s="196"/>
      <c r="L7180" s="196">
        <v>1147990</v>
      </c>
    </row>
    <row r="7181" spans="1:14" ht="11.25" customHeight="1" x14ac:dyDescent="0.2">
      <c r="A7181" s="197">
        <v>2025</v>
      </c>
      <c r="B7181" s="197">
        <v>2</v>
      </c>
      <c r="C7181" s="197">
        <v>16</v>
      </c>
      <c r="D7181" s="198">
        <f t="shared" si="791"/>
        <v>45704</v>
      </c>
      <c r="E7181" s="209">
        <f t="shared" ref="E7181:E7183" si="795">DATE(A7181,B7181,C7181)</f>
        <v>45704</v>
      </c>
      <c r="F7181" s="513" t="s">
        <v>1210</v>
      </c>
      <c r="G7181" s="200" t="s">
        <v>1209</v>
      </c>
      <c r="H7181" s="201"/>
      <c r="I7181" s="201" t="s">
        <v>1975</v>
      </c>
      <c r="J7181" s="197" t="s">
        <v>46</v>
      </c>
      <c r="K7181" s="202">
        <v>17950000</v>
      </c>
      <c r="L7181" s="202"/>
    </row>
    <row r="7182" spans="1:14" ht="11.25" customHeight="1" x14ac:dyDescent="0.2">
      <c r="A7182" s="120">
        <v>2025</v>
      </c>
      <c r="B7182" s="120">
        <v>2</v>
      </c>
      <c r="C7182" s="120">
        <v>16</v>
      </c>
      <c r="D7182" s="208">
        <f t="shared" si="791"/>
        <v>45704</v>
      </c>
      <c r="E7182" s="209">
        <f t="shared" si="795"/>
        <v>45704</v>
      </c>
      <c r="F7182" s="515"/>
      <c r="G7182" s="132" t="s">
        <v>1209</v>
      </c>
      <c r="I7182" s="128" t="s">
        <v>1975</v>
      </c>
      <c r="J7182" s="120" t="s">
        <v>16</v>
      </c>
      <c r="K7182" s="207"/>
      <c r="L7182" s="207">
        <v>14515610</v>
      </c>
    </row>
    <row r="7183" spans="1:14" ht="11.25" customHeight="1" x14ac:dyDescent="0.2">
      <c r="A7183" s="191">
        <v>2025</v>
      </c>
      <c r="B7183" s="191">
        <v>2</v>
      </c>
      <c r="C7183" s="191">
        <v>16</v>
      </c>
      <c r="D7183" s="192">
        <f t="shared" si="791"/>
        <v>45704</v>
      </c>
      <c r="E7183" s="193">
        <f t="shared" si="795"/>
        <v>45704</v>
      </c>
      <c r="F7183" s="514"/>
      <c r="G7183" s="194" t="s">
        <v>1209</v>
      </c>
      <c r="H7183" s="195"/>
      <c r="I7183" s="195" t="s">
        <v>1975</v>
      </c>
      <c r="J7183" s="191" t="s">
        <v>47</v>
      </c>
      <c r="K7183" s="196"/>
      <c r="L7183" s="196">
        <v>3434390</v>
      </c>
    </row>
    <row r="7184" spans="1:14" ht="11.25" customHeight="1" x14ac:dyDescent="0.2">
      <c r="A7184" s="197">
        <v>2025</v>
      </c>
      <c r="B7184" s="197">
        <v>2</v>
      </c>
      <c r="C7184" s="197">
        <v>16</v>
      </c>
      <c r="D7184" s="198">
        <f t="shared" si="791"/>
        <v>45704</v>
      </c>
      <c r="E7184" s="209">
        <f t="shared" ref="E7184:E7186" si="796">DATE(A7184,B7184,C7184)</f>
        <v>45704</v>
      </c>
      <c r="F7184" s="513" t="s">
        <v>1210</v>
      </c>
      <c r="G7184" s="200" t="s">
        <v>1209</v>
      </c>
      <c r="H7184" s="201"/>
      <c r="I7184" s="201" t="s">
        <v>1217</v>
      </c>
      <c r="J7184" s="197" t="s">
        <v>46</v>
      </c>
      <c r="K7184" s="202">
        <v>500000</v>
      </c>
      <c r="L7184" s="202"/>
    </row>
    <row r="7185" spans="1:15" ht="11.25" customHeight="1" x14ac:dyDescent="0.2">
      <c r="A7185" s="120">
        <v>2025</v>
      </c>
      <c r="B7185" s="120">
        <v>2</v>
      </c>
      <c r="C7185" s="120">
        <v>16</v>
      </c>
      <c r="D7185" s="208">
        <f t="shared" si="791"/>
        <v>45704</v>
      </c>
      <c r="E7185" s="209">
        <f t="shared" si="796"/>
        <v>45704</v>
      </c>
      <c r="F7185" s="515"/>
      <c r="G7185" s="132" t="s">
        <v>1209</v>
      </c>
      <c r="I7185" s="128" t="s">
        <v>1217</v>
      </c>
      <c r="J7185" s="120" t="s">
        <v>16</v>
      </c>
      <c r="K7185" s="207"/>
      <c r="L7185" s="207">
        <v>404330</v>
      </c>
    </row>
    <row r="7186" spans="1:15" ht="11.25" customHeight="1" x14ac:dyDescent="0.2">
      <c r="A7186" s="191">
        <v>2025</v>
      </c>
      <c r="B7186" s="191">
        <v>2</v>
      </c>
      <c r="C7186" s="191">
        <v>16</v>
      </c>
      <c r="D7186" s="192">
        <f t="shared" si="791"/>
        <v>45704</v>
      </c>
      <c r="E7186" s="193">
        <f t="shared" si="796"/>
        <v>45704</v>
      </c>
      <c r="F7186" s="514"/>
      <c r="G7186" s="194" t="s">
        <v>1209</v>
      </c>
      <c r="H7186" s="195"/>
      <c r="I7186" s="195" t="s">
        <v>1217</v>
      </c>
      <c r="J7186" s="191" t="s">
        <v>47</v>
      </c>
      <c r="K7186" s="196"/>
      <c r="L7186" s="196">
        <v>95670</v>
      </c>
    </row>
    <row r="7187" spans="1:15" ht="11.25" customHeight="1" x14ac:dyDescent="0.2">
      <c r="A7187" s="197">
        <v>2025</v>
      </c>
      <c r="B7187" s="197">
        <v>2</v>
      </c>
      <c r="C7187" s="197">
        <v>16</v>
      </c>
      <c r="D7187" s="198">
        <f t="shared" si="791"/>
        <v>45704</v>
      </c>
      <c r="E7187" s="290">
        <f>DATE(A7187,B7187,C7187)</f>
        <v>45704</v>
      </c>
      <c r="F7187" s="513" t="s">
        <v>1514</v>
      </c>
      <c r="G7187" s="200" t="s">
        <v>1209</v>
      </c>
      <c r="H7187" s="201"/>
      <c r="I7187" s="201"/>
      <c r="J7187" s="197" t="s">
        <v>54</v>
      </c>
      <c r="K7187" s="202">
        <v>160</v>
      </c>
      <c r="L7187" s="202"/>
      <c r="M7187" s="251"/>
      <c r="N7187" s="251"/>
      <c r="O7187" s="251"/>
    </row>
    <row r="7188" spans="1:15" ht="11.25" customHeight="1" x14ac:dyDescent="0.2">
      <c r="A7188" s="191">
        <v>2025</v>
      </c>
      <c r="B7188" s="191">
        <v>2</v>
      </c>
      <c r="C7188" s="191">
        <v>16</v>
      </c>
      <c r="D7188" s="192">
        <f t="shared" si="791"/>
        <v>45704</v>
      </c>
      <c r="E7188" s="291">
        <f>DATE(A7188,B7188,C7188)</f>
        <v>45704</v>
      </c>
      <c r="F7188" s="514"/>
      <c r="G7188" s="194" t="s">
        <v>1209</v>
      </c>
      <c r="H7188" s="195"/>
      <c r="I7188" s="195"/>
      <c r="J7188" s="191" t="s">
        <v>46</v>
      </c>
      <c r="K7188" s="196"/>
      <c r="L7188" s="196">
        <v>160</v>
      </c>
      <c r="M7188" s="251"/>
      <c r="N7188" s="251"/>
      <c r="O7188" s="251"/>
    </row>
    <row r="7189" spans="1:15" ht="11.25" customHeight="1" x14ac:dyDescent="0.2">
      <c r="A7189" s="197">
        <v>2025</v>
      </c>
      <c r="B7189" s="197">
        <v>2</v>
      </c>
      <c r="C7189" s="197">
        <v>16</v>
      </c>
      <c r="D7189" s="198">
        <f t="shared" si="791"/>
        <v>45704</v>
      </c>
      <c r="E7189" s="290">
        <f>DATE(A7189,B7189,C7189)</f>
        <v>45704</v>
      </c>
      <c r="F7189" s="513" t="s">
        <v>1527</v>
      </c>
      <c r="G7189" s="200" t="s">
        <v>1209</v>
      </c>
      <c r="H7189" s="201"/>
      <c r="I7189" s="201"/>
      <c r="J7189" s="197" t="s">
        <v>54</v>
      </c>
      <c r="K7189" s="202">
        <v>60</v>
      </c>
      <c r="L7189" s="202"/>
      <c r="M7189" s="251"/>
      <c r="N7189" s="251"/>
      <c r="O7189" s="251"/>
    </row>
    <row r="7190" spans="1:15" ht="11.25" customHeight="1" x14ac:dyDescent="0.2">
      <c r="A7190" s="191">
        <v>2025</v>
      </c>
      <c r="B7190" s="191">
        <v>2</v>
      </c>
      <c r="C7190" s="191">
        <v>16</v>
      </c>
      <c r="D7190" s="192">
        <f t="shared" si="791"/>
        <v>45704</v>
      </c>
      <c r="E7190" s="291">
        <f>DATE(A7190,B7190,C7190)</f>
        <v>45704</v>
      </c>
      <c r="F7190" s="514"/>
      <c r="G7190" s="194" t="s">
        <v>1209</v>
      </c>
      <c r="H7190" s="195"/>
      <c r="I7190" s="195"/>
      <c r="J7190" s="191" t="s">
        <v>46</v>
      </c>
      <c r="K7190" s="196"/>
      <c r="L7190" s="196">
        <v>60</v>
      </c>
      <c r="M7190" s="251"/>
      <c r="N7190" s="251"/>
      <c r="O7190" s="251"/>
    </row>
    <row r="7191" spans="1:15" ht="11.25" customHeight="1" x14ac:dyDescent="0.2">
      <c r="A7191" s="197">
        <v>2025</v>
      </c>
      <c r="B7191" s="197">
        <v>2</v>
      </c>
      <c r="C7191" s="197">
        <v>16</v>
      </c>
      <c r="D7191" s="198">
        <f t="shared" si="791"/>
        <v>45704</v>
      </c>
      <c r="E7191" s="290">
        <f t="shared" ref="E7191:E7192" si="797">DATE(A7191,B7191,C7191)</f>
        <v>45704</v>
      </c>
      <c r="F7191" s="513" t="s">
        <v>1980</v>
      </c>
      <c r="G7191" s="200" t="s">
        <v>1209</v>
      </c>
      <c r="H7191" s="201"/>
      <c r="I7191" s="201" t="s">
        <v>1253</v>
      </c>
      <c r="J7191" s="197" t="s">
        <v>46</v>
      </c>
      <c r="K7191" s="202">
        <v>1150000</v>
      </c>
      <c r="L7191" s="202"/>
    </row>
    <row r="7192" spans="1:15" ht="11.25" customHeight="1" x14ac:dyDescent="0.2">
      <c r="A7192" s="191">
        <v>2025</v>
      </c>
      <c r="B7192" s="191">
        <v>2</v>
      </c>
      <c r="C7192" s="191">
        <v>16</v>
      </c>
      <c r="D7192" s="192">
        <f t="shared" si="791"/>
        <v>45704</v>
      </c>
      <c r="E7192" s="290">
        <f t="shared" si="797"/>
        <v>45704</v>
      </c>
      <c r="F7192" s="514"/>
      <c r="G7192" s="194" t="s">
        <v>1209</v>
      </c>
      <c r="H7192" s="195"/>
      <c r="I7192" s="195"/>
      <c r="J7192" s="191" t="s">
        <v>1845</v>
      </c>
      <c r="K7192" s="196"/>
      <c r="L7192" s="196">
        <v>1150000</v>
      </c>
    </row>
    <row r="7193" spans="1:15" ht="11.25" customHeight="1" x14ac:dyDescent="0.2">
      <c r="A7193" s="197">
        <v>2025</v>
      </c>
      <c r="B7193" s="197">
        <v>2</v>
      </c>
      <c r="C7193" s="197">
        <v>17</v>
      </c>
      <c r="D7193" s="198">
        <f t="shared" si="791"/>
        <v>45705</v>
      </c>
      <c r="E7193" s="290">
        <f>DATE(A7193,B7193,C7193)</f>
        <v>45705</v>
      </c>
      <c r="F7193" s="513" t="s">
        <v>1514</v>
      </c>
      <c r="G7193" s="200" t="s">
        <v>1209</v>
      </c>
      <c r="H7193" s="201"/>
      <c r="I7193" s="201"/>
      <c r="J7193" s="197" t="s">
        <v>54</v>
      </c>
      <c r="K7193" s="202">
        <v>200</v>
      </c>
      <c r="L7193" s="202"/>
      <c r="M7193" s="251"/>
      <c r="N7193" s="251"/>
      <c r="O7193" s="251"/>
    </row>
    <row r="7194" spans="1:15" ht="11.25" customHeight="1" x14ac:dyDescent="0.2">
      <c r="A7194" s="191">
        <v>2025</v>
      </c>
      <c r="B7194" s="191">
        <v>2</v>
      </c>
      <c r="C7194" s="191">
        <v>17</v>
      </c>
      <c r="D7194" s="192">
        <f t="shared" si="791"/>
        <v>45705</v>
      </c>
      <c r="E7194" s="291">
        <f>DATE(A7194,B7194,C7194)</f>
        <v>45705</v>
      </c>
      <c r="F7194" s="514"/>
      <c r="G7194" s="194" t="s">
        <v>1209</v>
      </c>
      <c r="H7194" s="195"/>
      <c r="I7194" s="195"/>
      <c r="J7194" s="191" t="s">
        <v>46</v>
      </c>
      <c r="K7194" s="196"/>
      <c r="L7194" s="196">
        <v>200</v>
      </c>
      <c r="M7194" s="251"/>
      <c r="N7194" s="251"/>
      <c r="O7194" s="251"/>
    </row>
    <row r="7195" spans="1:15" ht="11.25" customHeight="1" x14ac:dyDescent="0.2">
      <c r="A7195" s="197">
        <v>2025</v>
      </c>
      <c r="B7195" s="197">
        <v>2</v>
      </c>
      <c r="C7195" s="197">
        <v>17</v>
      </c>
      <c r="D7195" s="198">
        <f t="shared" si="791"/>
        <v>45705</v>
      </c>
      <c r="E7195" s="199">
        <f t="shared" si="792"/>
        <v>45705</v>
      </c>
      <c r="F7195" s="513" t="s">
        <v>1977</v>
      </c>
      <c r="G7195" s="200" t="s">
        <v>1209</v>
      </c>
      <c r="H7195" s="201"/>
      <c r="I7195" s="201" t="s">
        <v>1253</v>
      </c>
      <c r="J7195" s="197" t="s">
        <v>1977</v>
      </c>
      <c r="K7195" s="202">
        <v>39000000</v>
      </c>
      <c r="L7195" s="202"/>
    </row>
    <row r="7196" spans="1:15" ht="11.25" customHeight="1" x14ac:dyDescent="0.2">
      <c r="A7196" s="191">
        <v>2025</v>
      </c>
      <c r="B7196" s="191">
        <v>2</v>
      </c>
      <c r="C7196" s="191">
        <v>17</v>
      </c>
      <c r="D7196" s="192">
        <f t="shared" si="791"/>
        <v>45705</v>
      </c>
      <c r="E7196" s="193">
        <f t="shared" si="792"/>
        <v>45705</v>
      </c>
      <c r="F7196" s="514"/>
      <c r="G7196" s="194" t="s">
        <v>1209</v>
      </c>
      <c r="H7196" s="195"/>
      <c r="I7196" s="195" t="s">
        <v>1253</v>
      </c>
      <c r="J7196" s="191" t="s">
        <v>46</v>
      </c>
      <c r="K7196" s="196"/>
      <c r="L7196" s="196">
        <v>39000000</v>
      </c>
      <c r="N7196" s="130"/>
    </row>
    <row r="7197" spans="1:15" ht="11.25" customHeight="1" x14ac:dyDescent="0.2">
      <c r="A7197" s="197">
        <v>2025</v>
      </c>
      <c r="B7197" s="197">
        <v>2</v>
      </c>
      <c r="C7197" s="197">
        <v>17</v>
      </c>
      <c r="D7197" s="198">
        <f t="shared" si="791"/>
        <v>45705</v>
      </c>
      <c r="E7197" s="199">
        <f t="shared" ref="E7197:E7198" si="798">DATE(A7197,B7197,C7197)</f>
        <v>45705</v>
      </c>
      <c r="F7197" s="513" t="s">
        <v>1977</v>
      </c>
      <c r="G7197" s="200" t="s">
        <v>1209</v>
      </c>
      <c r="H7197" s="201"/>
      <c r="I7197" s="201" t="s">
        <v>1253</v>
      </c>
      <c r="J7197" s="197" t="s">
        <v>1977</v>
      </c>
      <c r="K7197" s="202">
        <v>20000000</v>
      </c>
      <c r="L7197" s="202"/>
    </row>
    <row r="7198" spans="1:15" ht="11.25" customHeight="1" x14ac:dyDescent="0.2">
      <c r="A7198" s="191">
        <v>2025</v>
      </c>
      <c r="B7198" s="191">
        <v>2</v>
      </c>
      <c r="C7198" s="191">
        <v>17</v>
      </c>
      <c r="D7198" s="192">
        <f t="shared" si="791"/>
        <v>45705</v>
      </c>
      <c r="E7198" s="193">
        <f t="shared" si="798"/>
        <v>45705</v>
      </c>
      <c r="F7198" s="514"/>
      <c r="G7198" s="194" t="s">
        <v>1209</v>
      </c>
      <c r="H7198" s="195"/>
      <c r="I7198" s="195" t="s">
        <v>1253</v>
      </c>
      <c r="J7198" s="191" t="s">
        <v>46</v>
      </c>
      <c r="K7198" s="196"/>
      <c r="L7198" s="196">
        <v>20000000</v>
      </c>
      <c r="N7198" s="130"/>
    </row>
    <row r="7199" spans="1:15" ht="11.25" customHeight="1" x14ac:dyDescent="0.2">
      <c r="A7199" s="197">
        <v>2025</v>
      </c>
      <c r="B7199" s="197">
        <v>2</v>
      </c>
      <c r="C7199" s="197">
        <v>17</v>
      </c>
      <c r="D7199" s="198">
        <f t="shared" si="791"/>
        <v>45705</v>
      </c>
      <c r="E7199" s="199">
        <f>DATE(A7199,B7199,C7199)</f>
        <v>45705</v>
      </c>
      <c r="F7199" s="513" t="s">
        <v>1974</v>
      </c>
      <c r="G7199" s="200" t="s">
        <v>1209</v>
      </c>
      <c r="H7199" s="200"/>
      <c r="I7199" s="201" t="s">
        <v>1253</v>
      </c>
      <c r="J7199" s="248" t="s">
        <v>1392</v>
      </c>
      <c r="K7199" s="202">
        <v>942012.2</v>
      </c>
      <c r="L7199" s="202"/>
      <c r="M7199" s="251"/>
    </row>
    <row r="7200" spans="1:15" ht="11.25" customHeight="1" x14ac:dyDescent="0.2">
      <c r="A7200" s="120">
        <v>2025</v>
      </c>
      <c r="B7200" s="120">
        <v>2</v>
      </c>
      <c r="C7200" s="120">
        <v>17</v>
      </c>
      <c r="D7200" s="208">
        <f t="shared" si="791"/>
        <v>45705</v>
      </c>
      <c r="E7200" s="209">
        <f>DATE(A7200,B7200,C7200)</f>
        <v>45705</v>
      </c>
      <c r="F7200" s="515"/>
      <c r="G7200" s="132" t="s">
        <v>1209</v>
      </c>
      <c r="J7200" s="120" t="s">
        <v>457</v>
      </c>
      <c r="K7200" s="207"/>
      <c r="L7200" s="207">
        <v>141301.82999999999</v>
      </c>
    </row>
    <row r="7201" spans="1:15" ht="11.25" customHeight="1" x14ac:dyDescent="0.2">
      <c r="A7201" s="191">
        <v>2025</v>
      </c>
      <c r="B7201" s="191">
        <v>2</v>
      </c>
      <c r="C7201" s="191">
        <v>17</v>
      </c>
      <c r="D7201" s="192">
        <f t="shared" si="791"/>
        <v>45705</v>
      </c>
      <c r="E7201" s="193">
        <f>DATE(A7201,B7201,C7201)</f>
        <v>45705</v>
      </c>
      <c r="F7201" s="514"/>
      <c r="G7201" s="194" t="s">
        <v>1209</v>
      </c>
      <c r="H7201" s="194"/>
      <c r="I7201" s="195" t="s">
        <v>1253</v>
      </c>
      <c r="J7201" s="250" t="s">
        <v>46</v>
      </c>
      <c r="K7201" s="196"/>
      <c r="L7201" s="196">
        <v>800710.37</v>
      </c>
      <c r="M7201" s="251"/>
    </row>
    <row r="7202" spans="1:15" ht="11.25" customHeight="1" x14ac:dyDescent="0.2">
      <c r="A7202" s="197">
        <v>2025</v>
      </c>
      <c r="B7202" s="197">
        <v>2</v>
      </c>
      <c r="C7202" s="197">
        <v>17</v>
      </c>
      <c r="D7202" s="198">
        <f t="shared" si="791"/>
        <v>45705</v>
      </c>
      <c r="E7202" s="199">
        <f t="shared" ref="E7202:E7275" si="799">DATE(A7202,B7202,C7202)</f>
        <v>45705</v>
      </c>
      <c r="F7202" s="513" t="s">
        <v>1972</v>
      </c>
      <c r="G7202" s="200" t="s">
        <v>1209</v>
      </c>
      <c r="H7202" s="201"/>
      <c r="I7202" s="201" t="s">
        <v>1253</v>
      </c>
      <c r="J7202" s="197" t="s">
        <v>46</v>
      </c>
      <c r="K7202" s="202">
        <v>18098282.199999999</v>
      </c>
      <c r="L7202" s="202"/>
    </row>
    <row r="7203" spans="1:15" ht="11.25" customHeight="1" x14ac:dyDescent="0.2">
      <c r="A7203" s="120">
        <v>2025</v>
      </c>
      <c r="B7203" s="120">
        <v>2</v>
      </c>
      <c r="C7203" s="120">
        <v>17</v>
      </c>
      <c r="D7203" s="208">
        <f t="shared" si="791"/>
        <v>45705</v>
      </c>
      <c r="E7203" s="209">
        <f t="shared" si="799"/>
        <v>45705</v>
      </c>
      <c r="F7203" s="515"/>
      <c r="G7203" s="132" t="s">
        <v>1209</v>
      </c>
      <c r="J7203" s="120" t="s">
        <v>1463</v>
      </c>
      <c r="K7203" s="328"/>
      <c r="L7203" s="207">
        <v>1098282.2</v>
      </c>
    </row>
    <row r="7204" spans="1:15" ht="11.25" customHeight="1" x14ac:dyDescent="0.2">
      <c r="A7204" s="191">
        <v>2025</v>
      </c>
      <c r="B7204" s="191">
        <v>2</v>
      </c>
      <c r="C7204" s="191">
        <v>17</v>
      </c>
      <c r="D7204" s="192">
        <f t="shared" si="791"/>
        <v>45705</v>
      </c>
      <c r="E7204" s="193">
        <f t="shared" si="799"/>
        <v>45705</v>
      </c>
      <c r="F7204" s="514"/>
      <c r="G7204" s="194" t="s">
        <v>1209</v>
      </c>
      <c r="H7204" s="195"/>
      <c r="I7204" s="195" t="s">
        <v>1253</v>
      </c>
      <c r="J7204" s="191" t="s">
        <v>1837</v>
      </c>
      <c r="K7204" s="196"/>
      <c r="L7204" s="196">
        <v>17000000</v>
      </c>
      <c r="N7204" s="130"/>
    </row>
    <row r="7205" spans="1:15" ht="11.25" customHeight="1" x14ac:dyDescent="0.2">
      <c r="A7205" s="197">
        <v>2025</v>
      </c>
      <c r="B7205" s="197">
        <v>2</v>
      </c>
      <c r="C7205" s="197">
        <v>17</v>
      </c>
      <c r="D7205" s="198">
        <f t="shared" si="791"/>
        <v>45705</v>
      </c>
      <c r="E7205" s="290">
        <f>DATE(A7205,B7205,C7205)</f>
        <v>45705</v>
      </c>
      <c r="F7205" s="513" t="s">
        <v>1514</v>
      </c>
      <c r="G7205" s="200" t="s">
        <v>1209</v>
      </c>
      <c r="H7205" s="201"/>
      <c r="I7205" s="201"/>
      <c r="J7205" s="197" t="s">
        <v>54</v>
      </c>
      <c r="K7205" s="202">
        <v>25</v>
      </c>
      <c r="L7205" s="202"/>
      <c r="M7205" s="251"/>
      <c r="N7205" s="251"/>
      <c r="O7205" s="251"/>
    </row>
    <row r="7206" spans="1:15" ht="11.25" customHeight="1" x14ac:dyDescent="0.2">
      <c r="A7206" s="191">
        <v>2025</v>
      </c>
      <c r="B7206" s="191">
        <v>2</v>
      </c>
      <c r="C7206" s="191">
        <v>17</v>
      </c>
      <c r="D7206" s="192">
        <f t="shared" si="791"/>
        <v>45705</v>
      </c>
      <c r="E7206" s="291">
        <f>DATE(A7206,B7206,C7206)</f>
        <v>45705</v>
      </c>
      <c r="F7206" s="514"/>
      <c r="G7206" s="194" t="s">
        <v>1209</v>
      </c>
      <c r="H7206" s="195"/>
      <c r="I7206" s="195"/>
      <c r="J7206" s="191" t="s">
        <v>46</v>
      </c>
      <c r="K7206" s="196"/>
      <c r="L7206" s="196">
        <v>25</v>
      </c>
      <c r="M7206" s="251"/>
      <c r="N7206" s="251"/>
      <c r="O7206" s="251"/>
    </row>
    <row r="7207" spans="1:15" ht="11.25" customHeight="1" x14ac:dyDescent="0.2">
      <c r="A7207" s="197">
        <v>2025</v>
      </c>
      <c r="B7207" s="197">
        <v>2</v>
      </c>
      <c r="C7207" s="197">
        <v>18</v>
      </c>
      <c r="D7207" s="198">
        <f t="shared" si="791"/>
        <v>45706</v>
      </c>
      <c r="E7207" s="209">
        <f t="shared" si="799"/>
        <v>45706</v>
      </c>
      <c r="F7207" s="513" t="s">
        <v>1210</v>
      </c>
      <c r="G7207" s="200" t="s">
        <v>1209</v>
      </c>
      <c r="H7207" s="201"/>
      <c r="I7207" s="201" t="s">
        <v>1218</v>
      </c>
      <c r="J7207" s="197" t="s">
        <v>46</v>
      </c>
      <c r="K7207" s="202">
        <v>3000000</v>
      </c>
      <c r="L7207" s="202"/>
    </row>
    <row r="7208" spans="1:15" ht="11.25" customHeight="1" x14ac:dyDescent="0.2">
      <c r="A7208" s="120">
        <v>2025</v>
      </c>
      <c r="B7208" s="120">
        <v>2</v>
      </c>
      <c r="C7208" s="120">
        <v>18</v>
      </c>
      <c r="D7208" s="208">
        <f t="shared" si="791"/>
        <v>45706</v>
      </c>
      <c r="E7208" s="209">
        <f t="shared" si="799"/>
        <v>45706</v>
      </c>
      <c r="F7208" s="515"/>
      <c r="G7208" s="132" t="s">
        <v>1209</v>
      </c>
      <c r="I7208" s="128" t="s">
        <v>1218</v>
      </c>
      <c r="J7208" s="120" t="s">
        <v>16</v>
      </c>
      <c r="K7208" s="207"/>
      <c r="L7208" s="207">
        <v>2426010</v>
      </c>
    </row>
    <row r="7209" spans="1:15" ht="11.25" customHeight="1" x14ac:dyDescent="0.2">
      <c r="A7209" s="191">
        <v>2025</v>
      </c>
      <c r="B7209" s="191">
        <v>2</v>
      </c>
      <c r="C7209" s="191">
        <v>18</v>
      </c>
      <c r="D7209" s="192">
        <f t="shared" si="791"/>
        <v>45706</v>
      </c>
      <c r="E7209" s="193">
        <f t="shared" si="799"/>
        <v>45706</v>
      </c>
      <c r="F7209" s="514"/>
      <c r="G7209" s="194" t="s">
        <v>1209</v>
      </c>
      <c r="H7209" s="195"/>
      <c r="I7209" s="195" t="s">
        <v>1218</v>
      </c>
      <c r="J7209" s="191" t="s">
        <v>47</v>
      </c>
      <c r="K7209" s="196"/>
      <c r="L7209" s="196">
        <v>573990</v>
      </c>
    </row>
    <row r="7210" spans="1:15" ht="11.25" customHeight="1" x14ac:dyDescent="0.2">
      <c r="A7210" s="197">
        <v>2025</v>
      </c>
      <c r="B7210" s="197">
        <v>2</v>
      </c>
      <c r="C7210" s="197">
        <v>18</v>
      </c>
      <c r="D7210" s="198">
        <f t="shared" si="791"/>
        <v>45706</v>
      </c>
      <c r="E7210" s="209">
        <f t="shared" si="799"/>
        <v>45706</v>
      </c>
      <c r="F7210" s="513" t="s">
        <v>1280</v>
      </c>
      <c r="G7210" s="200" t="s">
        <v>1209</v>
      </c>
      <c r="H7210" s="201"/>
      <c r="I7210" s="201" t="s">
        <v>1597</v>
      </c>
      <c r="J7210" s="197" t="s">
        <v>16</v>
      </c>
      <c r="K7210" s="202">
        <v>2830340</v>
      </c>
      <c r="L7210" s="202"/>
      <c r="M7210" s="130"/>
      <c r="N7210" s="130"/>
    </row>
    <row r="7211" spans="1:15" ht="11.25" customHeight="1" x14ac:dyDescent="0.2">
      <c r="A7211" s="120">
        <v>2025</v>
      </c>
      <c r="B7211" s="120">
        <v>2</v>
      </c>
      <c r="C7211" s="120">
        <v>18</v>
      </c>
      <c r="D7211" s="208">
        <f t="shared" si="791"/>
        <v>45706</v>
      </c>
      <c r="E7211" s="209">
        <f t="shared" si="799"/>
        <v>45706</v>
      </c>
      <c r="F7211" s="515"/>
      <c r="G7211" s="132" t="s">
        <v>1209</v>
      </c>
      <c r="I7211" s="128" t="s">
        <v>1597</v>
      </c>
      <c r="J7211" s="120" t="s">
        <v>47</v>
      </c>
      <c r="K7211" s="207">
        <v>669660</v>
      </c>
      <c r="L7211" s="207"/>
      <c r="M7211" s="130"/>
      <c r="N7211" s="130"/>
    </row>
    <row r="7212" spans="1:15" ht="11.25" customHeight="1" x14ac:dyDescent="0.2">
      <c r="A7212" s="191">
        <v>2025</v>
      </c>
      <c r="B7212" s="191">
        <v>2</v>
      </c>
      <c r="C7212" s="191">
        <v>18</v>
      </c>
      <c r="D7212" s="192">
        <f t="shared" ref="D7212:D7275" si="800">DATE(A7212,B7212,C7212)</f>
        <v>45706</v>
      </c>
      <c r="E7212" s="193">
        <f t="shared" si="799"/>
        <v>45706</v>
      </c>
      <c r="F7212" s="514"/>
      <c r="G7212" s="194" t="s">
        <v>1209</v>
      </c>
      <c r="H7212" s="195"/>
      <c r="I7212" s="195" t="s">
        <v>1597</v>
      </c>
      <c r="J7212" s="191" t="s">
        <v>46</v>
      </c>
      <c r="K7212" s="196"/>
      <c r="L7212" s="196">
        <v>3500000</v>
      </c>
      <c r="M7212" s="130"/>
      <c r="N7212" s="130"/>
    </row>
    <row r="7213" spans="1:15" ht="11.25" customHeight="1" x14ac:dyDescent="0.2">
      <c r="A7213" s="197">
        <v>2025</v>
      </c>
      <c r="B7213" s="197">
        <v>2</v>
      </c>
      <c r="C7213" s="197">
        <v>18</v>
      </c>
      <c r="D7213" s="198">
        <f t="shared" si="800"/>
        <v>45706</v>
      </c>
      <c r="E7213" s="199">
        <f>DATE(A7213,B7213,C7213)</f>
        <v>45706</v>
      </c>
      <c r="F7213" s="513" t="s">
        <v>1976</v>
      </c>
      <c r="G7213" s="200" t="s">
        <v>1209</v>
      </c>
      <c r="H7213" s="201"/>
      <c r="I7213" s="201" t="s">
        <v>1253</v>
      </c>
      <c r="J7213" s="197" t="s">
        <v>76</v>
      </c>
      <c r="K7213" s="202">
        <v>10200000</v>
      </c>
      <c r="L7213" s="202"/>
    </row>
    <row r="7214" spans="1:15" ht="11.25" customHeight="1" x14ac:dyDescent="0.2">
      <c r="A7214" s="191">
        <v>2025</v>
      </c>
      <c r="B7214" s="191">
        <v>2</v>
      </c>
      <c r="C7214" s="191">
        <v>18</v>
      </c>
      <c r="D7214" s="192">
        <f t="shared" si="800"/>
        <v>45706</v>
      </c>
      <c r="E7214" s="193">
        <f>DATE(A7214,B7214,C7214)</f>
        <v>45706</v>
      </c>
      <c r="F7214" s="514"/>
      <c r="G7214" s="194" t="s">
        <v>1209</v>
      </c>
      <c r="H7214" s="195"/>
      <c r="I7214" s="195" t="s">
        <v>1253</v>
      </c>
      <c r="J7214" s="191" t="s">
        <v>46</v>
      </c>
      <c r="K7214" s="196"/>
      <c r="L7214" s="196">
        <v>10200000</v>
      </c>
    </row>
    <row r="7215" spans="1:15" ht="11.25" customHeight="1" x14ac:dyDescent="0.2">
      <c r="A7215" s="197">
        <v>2025</v>
      </c>
      <c r="B7215" s="197">
        <v>2</v>
      </c>
      <c r="C7215" s="197">
        <v>18</v>
      </c>
      <c r="D7215" s="198">
        <f t="shared" si="800"/>
        <v>45706</v>
      </c>
      <c r="E7215" s="290">
        <f>DATE(A7215,B7215,C7215)</f>
        <v>45706</v>
      </c>
      <c r="F7215" s="513" t="s">
        <v>1514</v>
      </c>
      <c r="G7215" s="200" t="s">
        <v>1209</v>
      </c>
      <c r="H7215" s="201"/>
      <c r="I7215" s="201"/>
      <c r="J7215" s="197" t="s">
        <v>54</v>
      </c>
      <c r="K7215" s="202">
        <v>160</v>
      </c>
      <c r="L7215" s="202"/>
      <c r="M7215" s="251"/>
      <c r="N7215" s="251"/>
      <c r="O7215" s="251"/>
    </row>
    <row r="7216" spans="1:15" ht="11.25" customHeight="1" x14ac:dyDescent="0.2">
      <c r="A7216" s="191">
        <v>2025</v>
      </c>
      <c r="B7216" s="191">
        <v>2</v>
      </c>
      <c r="C7216" s="191">
        <v>18</v>
      </c>
      <c r="D7216" s="192">
        <f t="shared" si="800"/>
        <v>45706</v>
      </c>
      <c r="E7216" s="291">
        <f>DATE(A7216,B7216,C7216)</f>
        <v>45706</v>
      </c>
      <c r="F7216" s="514"/>
      <c r="G7216" s="194" t="s">
        <v>1209</v>
      </c>
      <c r="H7216" s="195"/>
      <c r="I7216" s="195"/>
      <c r="J7216" s="191" t="s">
        <v>46</v>
      </c>
      <c r="K7216" s="196"/>
      <c r="L7216" s="196">
        <v>160</v>
      </c>
      <c r="M7216" s="251"/>
      <c r="N7216" s="251"/>
      <c r="O7216" s="251"/>
    </row>
    <row r="7217" spans="1:15" ht="11.25" customHeight="1" x14ac:dyDescent="0.2">
      <c r="A7217" s="197">
        <v>2025</v>
      </c>
      <c r="B7217" s="120">
        <v>2</v>
      </c>
      <c r="C7217" s="120">
        <v>19</v>
      </c>
      <c r="D7217" s="198">
        <f t="shared" si="800"/>
        <v>45707</v>
      </c>
      <c r="E7217" s="199">
        <f t="shared" ref="E7217:E7221" si="801">DATE(A7217,B7217,C7217)</f>
        <v>45707</v>
      </c>
      <c r="F7217" s="513" t="s">
        <v>1429</v>
      </c>
      <c r="G7217" s="200" t="s">
        <v>1209</v>
      </c>
      <c r="H7217" s="200"/>
      <c r="I7217" s="201" t="s">
        <v>1253</v>
      </c>
      <c r="J7217" s="197" t="s">
        <v>121</v>
      </c>
      <c r="K7217" s="202">
        <v>35563.5</v>
      </c>
      <c r="L7217" s="202"/>
    </row>
    <row r="7218" spans="1:15" ht="11.25" customHeight="1" x14ac:dyDescent="0.2">
      <c r="A7218" s="191">
        <v>2025</v>
      </c>
      <c r="B7218" s="191">
        <v>2</v>
      </c>
      <c r="C7218" s="191">
        <v>19</v>
      </c>
      <c r="D7218" s="192">
        <f t="shared" si="800"/>
        <v>45707</v>
      </c>
      <c r="E7218" s="193">
        <f t="shared" si="801"/>
        <v>45707</v>
      </c>
      <c r="F7218" s="514"/>
      <c r="G7218" s="194" t="s">
        <v>1209</v>
      </c>
      <c r="H7218" s="194"/>
      <c r="I7218" s="195"/>
      <c r="J7218" s="191" t="s">
        <v>46</v>
      </c>
      <c r="K7218" s="196"/>
      <c r="L7218" s="196">
        <v>35563.5</v>
      </c>
      <c r="M7218" s="251"/>
    </row>
    <row r="7219" spans="1:15" ht="11.25" customHeight="1" x14ac:dyDescent="0.2">
      <c r="A7219" s="197">
        <v>2025</v>
      </c>
      <c r="B7219" s="197">
        <v>2</v>
      </c>
      <c r="C7219" s="197">
        <v>19</v>
      </c>
      <c r="D7219" s="198">
        <f t="shared" si="800"/>
        <v>45707</v>
      </c>
      <c r="E7219" s="199">
        <f t="shared" si="801"/>
        <v>45707</v>
      </c>
      <c r="F7219" s="513" t="s">
        <v>1983</v>
      </c>
      <c r="G7219" s="200" t="s">
        <v>1209</v>
      </c>
      <c r="H7219" s="201"/>
      <c r="I7219" s="201" t="s">
        <v>1253</v>
      </c>
      <c r="J7219" s="197" t="s">
        <v>1837</v>
      </c>
      <c r="K7219" s="202">
        <v>932299.17</v>
      </c>
      <c r="L7219" s="202"/>
    </row>
    <row r="7220" spans="1:15" ht="11.25" customHeight="1" x14ac:dyDescent="0.2">
      <c r="A7220" s="120">
        <v>2025</v>
      </c>
      <c r="B7220" s="120">
        <v>2</v>
      </c>
      <c r="C7220" s="120">
        <v>19</v>
      </c>
      <c r="D7220" s="208">
        <f t="shared" si="800"/>
        <v>45707</v>
      </c>
      <c r="E7220" s="209">
        <f t="shared" si="801"/>
        <v>45707</v>
      </c>
      <c r="F7220" s="515"/>
      <c r="G7220" s="132" t="s">
        <v>1209</v>
      </c>
      <c r="J7220" s="120" t="s">
        <v>71</v>
      </c>
      <c r="K7220" s="207">
        <v>907.97</v>
      </c>
      <c r="L7220" s="207"/>
    </row>
    <row r="7221" spans="1:15" ht="11.25" customHeight="1" x14ac:dyDescent="0.2">
      <c r="A7221" s="191">
        <v>2025</v>
      </c>
      <c r="B7221" s="191">
        <v>2</v>
      </c>
      <c r="C7221" s="191">
        <v>19</v>
      </c>
      <c r="D7221" s="192">
        <f t="shared" si="800"/>
        <v>45707</v>
      </c>
      <c r="E7221" s="193">
        <f t="shared" si="801"/>
        <v>45707</v>
      </c>
      <c r="F7221" s="514"/>
      <c r="G7221" s="194" t="s">
        <v>1209</v>
      </c>
      <c r="H7221" s="195"/>
      <c r="I7221" s="195" t="s">
        <v>1253</v>
      </c>
      <c r="J7221" s="191" t="s">
        <v>46</v>
      </c>
      <c r="K7221" s="196"/>
      <c r="L7221" s="196">
        <v>933207.14</v>
      </c>
      <c r="N7221" s="130"/>
    </row>
    <row r="7222" spans="1:15" ht="11.25" customHeight="1" x14ac:dyDescent="0.2">
      <c r="A7222" s="197">
        <v>2025</v>
      </c>
      <c r="B7222" s="197">
        <v>2</v>
      </c>
      <c r="C7222" s="197">
        <v>19</v>
      </c>
      <c r="D7222" s="198">
        <f t="shared" si="800"/>
        <v>45707</v>
      </c>
      <c r="E7222" s="199">
        <f>DATE(A7222,B7222,C7222)</f>
        <v>45707</v>
      </c>
      <c r="F7222" s="513" t="s">
        <v>1279</v>
      </c>
      <c r="G7222" s="200" t="s">
        <v>1209</v>
      </c>
      <c r="H7222" s="201"/>
      <c r="I7222" s="201" t="s">
        <v>1253</v>
      </c>
      <c r="J7222" s="197" t="s">
        <v>76</v>
      </c>
      <c r="K7222" s="202">
        <v>4000000</v>
      </c>
      <c r="L7222" s="202"/>
    </row>
    <row r="7223" spans="1:15" ht="11.25" customHeight="1" x14ac:dyDescent="0.2">
      <c r="A7223" s="191">
        <v>2025</v>
      </c>
      <c r="B7223" s="191">
        <v>2</v>
      </c>
      <c r="C7223" s="191">
        <v>19</v>
      </c>
      <c r="D7223" s="192">
        <f t="shared" si="800"/>
        <v>45707</v>
      </c>
      <c r="E7223" s="193">
        <f>DATE(A7223,B7223,C7223)</f>
        <v>45707</v>
      </c>
      <c r="F7223" s="514"/>
      <c r="G7223" s="194" t="s">
        <v>1209</v>
      </c>
      <c r="H7223" s="195"/>
      <c r="I7223" s="195" t="s">
        <v>1253</v>
      </c>
      <c r="J7223" s="191" t="s">
        <v>46</v>
      </c>
      <c r="K7223" s="196"/>
      <c r="L7223" s="196">
        <v>4000000</v>
      </c>
    </row>
    <row r="7224" spans="1:15" ht="11.25" customHeight="1" x14ac:dyDescent="0.2">
      <c r="A7224" s="197">
        <v>2025</v>
      </c>
      <c r="B7224" s="197">
        <v>2</v>
      </c>
      <c r="C7224" s="197">
        <v>19</v>
      </c>
      <c r="D7224" s="198">
        <f t="shared" si="800"/>
        <v>45707</v>
      </c>
      <c r="E7224" s="290">
        <f>DATE(A7224,B7224,C7224)</f>
        <v>45707</v>
      </c>
      <c r="F7224" s="513" t="s">
        <v>1514</v>
      </c>
      <c r="G7224" s="200" t="s">
        <v>1209</v>
      </c>
      <c r="H7224" s="201"/>
      <c r="I7224" s="201"/>
      <c r="J7224" s="197" t="s">
        <v>54</v>
      </c>
      <c r="K7224" s="202">
        <v>200</v>
      </c>
      <c r="L7224" s="202"/>
      <c r="M7224" s="251"/>
      <c r="N7224" s="251"/>
      <c r="O7224" s="251"/>
    </row>
    <row r="7225" spans="1:15" ht="11.25" customHeight="1" x14ac:dyDescent="0.2">
      <c r="A7225" s="191">
        <v>2025</v>
      </c>
      <c r="B7225" s="191">
        <v>2</v>
      </c>
      <c r="C7225" s="191">
        <v>19</v>
      </c>
      <c r="D7225" s="192">
        <f t="shared" si="800"/>
        <v>45707</v>
      </c>
      <c r="E7225" s="291">
        <f>DATE(A7225,B7225,C7225)</f>
        <v>45707</v>
      </c>
      <c r="F7225" s="514"/>
      <c r="G7225" s="194" t="s">
        <v>1209</v>
      </c>
      <c r="H7225" s="195"/>
      <c r="I7225" s="195"/>
      <c r="J7225" s="191" t="s">
        <v>46</v>
      </c>
      <c r="K7225" s="196"/>
      <c r="L7225" s="196">
        <v>200</v>
      </c>
      <c r="M7225" s="251"/>
      <c r="N7225" s="251"/>
      <c r="O7225" s="251"/>
    </row>
    <row r="7226" spans="1:15" ht="11.25" customHeight="1" x14ac:dyDescent="0.2">
      <c r="A7226" s="197">
        <v>2025</v>
      </c>
      <c r="B7226" s="197">
        <v>2</v>
      </c>
      <c r="C7226" s="197">
        <v>19</v>
      </c>
      <c r="D7226" s="198">
        <f t="shared" si="800"/>
        <v>45707</v>
      </c>
      <c r="E7226" s="209">
        <f t="shared" ref="E7226:E7228" si="802">DATE(A7226,B7226,C7226)</f>
        <v>45707</v>
      </c>
      <c r="F7226" s="513" t="s">
        <v>1210</v>
      </c>
      <c r="G7226" s="200" t="s">
        <v>1209</v>
      </c>
      <c r="H7226" s="201"/>
      <c r="I7226" s="201"/>
      <c r="J7226" s="197" t="s">
        <v>46</v>
      </c>
      <c r="K7226" s="202">
        <v>300000</v>
      </c>
      <c r="L7226" s="202"/>
    </row>
    <row r="7227" spans="1:15" ht="11.25" customHeight="1" x14ac:dyDescent="0.2">
      <c r="A7227" s="120">
        <v>2025</v>
      </c>
      <c r="B7227" s="120">
        <v>2</v>
      </c>
      <c r="C7227" s="120">
        <v>19</v>
      </c>
      <c r="D7227" s="208">
        <f t="shared" si="800"/>
        <v>45707</v>
      </c>
      <c r="E7227" s="209">
        <f t="shared" si="802"/>
        <v>45707</v>
      </c>
      <c r="F7227" s="515"/>
      <c r="G7227" s="132" t="s">
        <v>1209</v>
      </c>
      <c r="J7227" s="120" t="s">
        <v>16</v>
      </c>
      <c r="K7227" s="207"/>
      <c r="L7227" s="207">
        <v>242600</v>
      </c>
    </row>
    <row r="7228" spans="1:15" ht="11.25" customHeight="1" x14ac:dyDescent="0.2">
      <c r="A7228" s="191">
        <v>2025</v>
      </c>
      <c r="B7228" s="191">
        <v>2</v>
      </c>
      <c r="C7228" s="191">
        <v>19</v>
      </c>
      <c r="D7228" s="192">
        <f t="shared" si="800"/>
        <v>45707</v>
      </c>
      <c r="E7228" s="193">
        <f t="shared" si="802"/>
        <v>45707</v>
      </c>
      <c r="F7228" s="514"/>
      <c r="G7228" s="194" t="s">
        <v>1209</v>
      </c>
      <c r="H7228" s="195"/>
      <c r="I7228" s="195"/>
      <c r="J7228" s="191" t="s">
        <v>47</v>
      </c>
      <c r="K7228" s="196"/>
      <c r="L7228" s="196">
        <v>57400</v>
      </c>
    </row>
    <row r="7229" spans="1:15" ht="11.25" customHeight="1" x14ac:dyDescent="0.2">
      <c r="A7229" s="120">
        <v>2025</v>
      </c>
      <c r="B7229" s="120">
        <v>2</v>
      </c>
      <c r="C7229" s="120">
        <v>19</v>
      </c>
      <c r="D7229" s="208">
        <f t="shared" si="800"/>
        <v>45707</v>
      </c>
      <c r="E7229" s="209">
        <f>DATE(A7229,B7229,C7229)</f>
        <v>45707</v>
      </c>
      <c r="F7229" s="515" t="s">
        <v>1922</v>
      </c>
      <c r="G7229" s="132" t="s">
        <v>1209</v>
      </c>
      <c r="H7229" s="132"/>
      <c r="J7229" s="120" t="s">
        <v>457</v>
      </c>
      <c r="K7229" s="202">
        <v>9914.7099999999991</v>
      </c>
      <c r="L7229" s="207"/>
    </row>
    <row r="7230" spans="1:15" ht="11.25" customHeight="1" x14ac:dyDescent="0.2">
      <c r="A7230" s="120">
        <v>2025</v>
      </c>
      <c r="B7230" s="120">
        <v>2</v>
      </c>
      <c r="C7230" s="120">
        <v>19</v>
      </c>
      <c r="D7230" s="208">
        <f t="shared" si="800"/>
        <v>45707</v>
      </c>
      <c r="E7230" s="293">
        <f t="shared" ref="E7230" si="803">DATE(A7230,B7230,C7230)</f>
        <v>45707</v>
      </c>
      <c r="F7230" s="515"/>
      <c r="G7230" s="132" t="s">
        <v>1209</v>
      </c>
      <c r="I7230" s="128" t="s">
        <v>1253</v>
      </c>
      <c r="J7230" s="120" t="s">
        <v>457</v>
      </c>
      <c r="K7230" s="207">
        <v>2.5</v>
      </c>
      <c r="L7230" s="207"/>
    </row>
    <row r="7231" spans="1:15" ht="11.25" customHeight="1" x14ac:dyDescent="0.2">
      <c r="A7231" s="191">
        <v>2025</v>
      </c>
      <c r="B7231" s="191">
        <v>2</v>
      </c>
      <c r="C7231" s="191">
        <v>19</v>
      </c>
      <c r="D7231" s="192">
        <f t="shared" si="800"/>
        <v>45707</v>
      </c>
      <c r="E7231" s="291">
        <f t="shared" ref="E7231:E7244" si="804">DATE(A7231,B7231,C7231)</f>
        <v>45707</v>
      </c>
      <c r="F7231" s="514"/>
      <c r="G7231" s="194" t="s">
        <v>1209</v>
      </c>
      <c r="H7231" s="195"/>
      <c r="I7231" s="195" t="s">
        <v>1253</v>
      </c>
      <c r="J7231" s="191" t="s">
        <v>46</v>
      </c>
      <c r="K7231" s="196"/>
      <c r="L7231" s="196">
        <v>9917.2099999999991</v>
      </c>
    </row>
    <row r="7232" spans="1:15" ht="11.25" customHeight="1" x14ac:dyDescent="0.2">
      <c r="A7232" s="197">
        <v>2025</v>
      </c>
      <c r="B7232" s="197">
        <v>2</v>
      </c>
      <c r="C7232" s="197">
        <v>19</v>
      </c>
      <c r="D7232" s="198">
        <f t="shared" si="800"/>
        <v>45707</v>
      </c>
      <c r="E7232" s="199">
        <f t="shared" ref="E7232:E7236" si="805">DATE(A7232,B7232,C7232)</f>
        <v>45707</v>
      </c>
      <c r="F7232" s="513" t="s">
        <v>1929</v>
      </c>
      <c r="G7232" s="200" t="s">
        <v>1209</v>
      </c>
      <c r="H7232" s="201"/>
      <c r="I7232" s="201" t="s">
        <v>1253</v>
      </c>
      <c r="J7232" s="197" t="s">
        <v>76</v>
      </c>
      <c r="K7232" s="202">
        <v>8500000</v>
      </c>
      <c r="L7232" s="202"/>
    </row>
    <row r="7233" spans="1:15" ht="11.25" customHeight="1" x14ac:dyDescent="0.2">
      <c r="A7233" s="120">
        <v>2025</v>
      </c>
      <c r="B7233" s="120">
        <v>2</v>
      </c>
      <c r="C7233" s="120">
        <v>19</v>
      </c>
      <c r="D7233" s="208">
        <f t="shared" si="800"/>
        <v>45707</v>
      </c>
      <c r="E7233" s="209">
        <f t="shared" si="805"/>
        <v>45707</v>
      </c>
      <c r="F7233" s="515"/>
      <c r="G7233" s="132" t="s">
        <v>1209</v>
      </c>
      <c r="J7233" s="120" t="s">
        <v>46</v>
      </c>
      <c r="K7233" s="207">
        <v>253187.5</v>
      </c>
      <c r="L7233" s="207"/>
    </row>
    <row r="7234" spans="1:15" ht="11.25" customHeight="1" x14ac:dyDescent="0.2">
      <c r="A7234" s="120">
        <v>2025</v>
      </c>
      <c r="B7234" s="120">
        <v>2</v>
      </c>
      <c r="C7234" s="120">
        <v>19</v>
      </c>
      <c r="D7234" s="208">
        <f t="shared" si="800"/>
        <v>45707</v>
      </c>
      <c r="E7234" s="209">
        <f t="shared" ref="E7234" si="806">DATE(A7234,B7234,C7234)</f>
        <v>45707</v>
      </c>
      <c r="F7234" s="515"/>
      <c r="G7234" s="132" t="s">
        <v>1209</v>
      </c>
      <c r="J7234" s="120" t="s">
        <v>54</v>
      </c>
      <c r="K7234" s="207">
        <v>5000</v>
      </c>
      <c r="L7234" s="207"/>
    </row>
    <row r="7235" spans="1:15" ht="11.25" customHeight="1" x14ac:dyDescent="0.2">
      <c r="A7235" s="120">
        <v>2025</v>
      </c>
      <c r="B7235" s="120">
        <v>2</v>
      </c>
      <c r="C7235" s="120">
        <v>19</v>
      </c>
      <c r="D7235" s="208">
        <f t="shared" si="800"/>
        <v>45707</v>
      </c>
      <c r="E7235" s="209">
        <f t="shared" si="805"/>
        <v>45707</v>
      </c>
      <c r="F7235" s="515"/>
      <c r="G7235" s="132" t="s">
        <v>1209</v>
      </c>
      <c r="J7235" s="120" t="s">
        <v>113</v>
      </c>
      <c r="K7235" s="207"/>
      <c r="L7235" s="207">
        <v>258187.5</v>
      </c>
      <c r="N7235" s="455"/>
    </row>
    <row r="7236" spans="1:15" ht="11.25" customHeight="1" x14ac:dyDescent="0.2">
      <c r="A7236" s="191">
        <v>2025</v>
      </c>
      <c r="B7236" s="191">
        <v>2</v>
      </c>
      <c r="C7236" s="191">
        <v>19</v>
      </c>
      <c r="D7236" s="192">
        <f t="shared" si="800"/>
        <v>45707</v>
      </c>
      <c r="E7236" s="193">
        <f t="shared" si="805"/>
        <v>45707</v>
      </c>
      <c r="F7236" s="514"/>
      <c r="G7236" s="194" t="s">
        <v>1209</v>
      </c>
      <c r="H7236" s="195"/>
      <c r="I7236" s="195" t="s">
        <v>1253</v>
      </c>
      <c r="J7236" s="191" t="s">
        <v>76</v>
      </c>
      <c r="K7236" s="196"/>
      <c r="L7236" s="196">
        <v>8500000</v>
      </c>
    </row>
    <row r="7237" spans="1:15" ht="11.25" customHeight="1" x14ac:dyDescent="0.2">
      <c r="A7237" s="197">
        <v>2025</v>
      </c>
      <c r="B7237" s="197">
        <v>2</v>
      </c>
      <c r="C7237" s="197">
        <v>19</v>
      </c>
      <c r="D7237" s="198">
        <f t="shared" si="800"/>
        <v>45707</v>
      </c>
      <c r="E7237" s="199">
        <f t="shared" si="804"/>
        <v>45707</v>
      </c>
      <c r="F7237" s="513" t="s">
        <v>1930</v>
      </c>
      <c r="G7237" s="200" t="s">
        <v>1209</v>
      </c>
      <c r="H7237" s="201"/>
      <c r="I7237" s="201" t="s">
        <v>1253</v>
      </c>
      <c r="J7237" s="197" t="s">
        <v>76</v>
      </c>
      <c r="K7237" s="202">
        <v>8500000</v>
      </c>
      <c r="L7237" s="202"/>
    </row>
    <row r="7238" spans="1:15" ht="11.25" customHeight="1" x14ac:dyDescent="0.2">
      <c r="A7238" s="120">
        <v>2025</v>
      </c>
      <c r="B7238" s="120">
        <v>2</v>
      </c>
      <c r="C7238" s="120">
        <v>19</v>
      </c>
      <c r="D7238" s="208">
        <f t="shared" si="800"/>
        <v>45707</v>
      </c>
      <c r="E7238" s="209">
        <f t="shared" si="804"/>
        <v>45707</v>
      </c>
      <c r="F7238" s="515"/>
      <c r="G7238" s="132" t="s">
        <v>1209</v>
      </c>
      <c r="J7238" s="120" t="s">
        <v>46</v>
      </c>
      <c r="K7238" s="207">
        <v>253187.5</v>
      </c>
      <c r="L7238" s="207"/>
    </row>
    <row r="7239" spans="1:15" ht="11.25" customHeight="1" x14ac:dyDescent="0.2">
      <c r="A7239" s="120">
        <v>2025</v>
      </c>
      <c r="B7239" s="120">
        <v>2</v>
      </c>
      <c r="C7239" s="120">
        <v>19</v>
      </c>
      <c r="D7239" s="208">
        <f t="shared" si="800"/>
        <v>45707</v>
      </c>
      <c r="E7239" s="209">
        <f t="shared" si="804"/>
        <v>45707</v>
      </c>
      <c r="F7239" s="515"/>
      <c r="G7239" s="132" t="s">
        <v>1209</v>
      </c>
      <c r="J7239" s="120" t="s">
        <v>54</v>
      </c>
      <c r="K7239" s="207">
        <v>5000</v>
      </c>
      <c r="L7239" s="207"/>
    </row>
    <row r="7240" spans="1:15" ht="11.25" customHeight="1" x14ac:dyDescent="0.2">
      <c r="A7240" s="120">
        <v>2025</v>
      </c>
      <c r="B7240" s="120">
        <v>2</v>
      </c>
      <c r="C7240" s="120">
        <v>19</v>
      </c>
      <c r="D7240" s="208">
        <f t="shared" si="800"/>
        <v>45707</v>
      </c>
      <c r="E7240" s="209">
        <f t="shared" si="804"/>
        <v>45707</v>
      </c>
      <c r="F7240" s="515"/>
      <c r="G7240" s="132" t="s">
        <v>1209</v>
      </c>
      <c r="J7240" s="120" t="s">
        <v>113</v>
      </c>
      <c r="K7240" s="207"/>
      <c r="L7240" s="207">
        <v>258187.5</v>
      </c>
      <c r="M7240" s="455"/>
      <c r="N7240" s="455"/>
      <c r="O7240" s="455"/>
    </row>
    <row r="7241" spans="1:15" ht="11.25" customHeight="1" x14ac:dyDescent="0.2">
      <c r="A7241" s="191">
        <v>2025</v>
      </c>
      <c r="B7241" s="191">
        <v>2</v>
      </c>
      <c r="C7241" s="191">
        <v>19</v>
      </c>
      <c r="D7241" s="192">
        <f t="shared" si="800"/>
        <v>45707</v>
      </c>
      <c r="E7241" s="193">
        <f t="shared" si="804"/>
        <v>45707</v>
      </c>
      <c r="F7241" s="514"/>
      <c r="G7241" s="194" t="s">
        <v>1209</v>
      </c>
      <c r="H7241" s="195"/>
      <c r="I7241" s="195" t="s">
        <v>1253</v>
      </c>
      <c r="J7241" s="191" t="s">
        <v>76</v>
      </c>
      <c r="K7241" s="196"/>
      <c r="L7241" s="196">
        <v>8500000</v>
      </c>
    </row>
    <row r="7242" spans="1:15" ht="11.25" customHeight="1" x14ac:dyDescent="0.2">
      <c r="A7242" s="197">
        <v>2025</v>
      </c>
      <c r="B7242" s="197">
        <v>2</v>
      </c>
      <c r="C7242" s="197">
        <v>19</v>
      </c>
      <c r="D7242" s="198">
        <f t="shared" si="800"/>
        <v>45707</v>
      </c>
      <c r="E7242" s="209">
        <f t="shared" si="804"/>
        <v>45707</v>
      </c>
      <c r="F7242" s="513" t="s">
        <v>1210</v>
      </c>
      <c r="G7242" s="200" t="s">
        <v>1209</v>
      </c>
      <c r="H7242" s="201"/>
      <c r="I7242" s="201"/>
      <c r="J7242" s="197" t="s">
        <v>46</v>
      </c>
      <c r="K7242" s="202">
        <v>250000</v>
      </c>
      <c r="L7242" s="202"/>
    </row>
    <row r="7243" spans="1:15" ht="11.25" customHeight="1" x14ac:dyDescent="0.2">
      <c r="A7243" s="120">
        <v>2025</v>
      </c>
      <c r="B7243" s="120">
        <v>2</v>
      </c>
      <c r="C7243" s="120">
        <v>19</v>
      </c>
      <c r="D7243" s="208">
        <f t="shared" si="800"/>
        <v>45707</v>
      </c>
      <c r="E7243" s="209">
        <f t="shared" si="804"/>
        <v>45707</v>
      </c>
      <c r="F7243" s="515"/>
      <c r="G7243" s="132" t="s">
        <v>1209</v>
      </c>
      <c r="J7243" s="120" t="s">
        <v>16</v>
      </c>
      <c r="K7243" s="207"/>
      <c r="L7243" s="207">
        <v>202170</v>
      </c>
    </row>
    <row r="7244" spans="1:15" ht="11.25" customHeight="1" x14ac:dyDescent="0.2">
      <c r="A7244" s="191">
        <v>2025</v>
      </c>
      <c r="B7244" s="191">
        <v>2</v>
      </c>
      <c r="C7244" s="191">
        <v>19</v>
      </c>
      <c r="D7244" s="192">
        <f t="shared" si="800"/>
        <v>45707</v>
      </c>
      <c r="E7244" s="193">
        <f t="shared" si="804"/>
        <v>45707</v>
      </c>
      <c r="F7244" s="514"/>
      <c r="G7244" s="194" t="s">
        <v>1209</v>
      </c>
      <c r="H7244" s="195"/>
      <c r="I7244" s="195"/>
      <c r="J7244" s="191" t="s">
        <v>47</v>
      </c>
      <c r="K7244" s="196"/>
      <c r="L7244" s="196">
        <v>47830</v>
      </c>
    </row>
    <row r="7245" spans="1:15" ht="11.25" customHeight="1" x14ac:dyDescent="0.2">
      <c r="A7245" s="197">
        <v>2025</v>
      </c>
      <c r="B7245" s="197">
        <v>2</v>
      </c>
      <c r="C7245" s="197">
        <v>19</v>
      </c>
      <c r="D7245" s="198">
        <f t="shared" si="800"/>
        <v>45707</v>
      </c>
      <c r="E7245" s="209">
        <f t="shared" ref="E7245:E7250" si="807">DATE(A7245,B7245,C7245)</f>
        <v>45707</v>
      </c>
      <c r="F7245" s="513" t="s">
        <v>1210</v>
      </c>
      <c r="G7245" s="200" t="s">
        <v>1209</v>
      </c>
      <c r="H7245" s="201"/>
      <c r="I7245" s="201" t="s">
        <v>1975</v>
      </c>
      <c r="J7245" s="197" t="s">
        <v>46</v>
      </c>
      <c r="K7245" s="202">
        <v>200000</v>
      </c>
      <c r="L7245" s="202"/>
    </row>
    <row r="7246" spans="1:15" ht="11.25" customHeight="1" x14ac:dyDescent="0.2">
      <c r="A7246" s="120">
        <v>2025</v>
      </c>
      <c r="B7246" s="120">
        <v>2</v>
      </c>
      <c r="C7246" s="120">
        <v>19</v>
      </c>
      <c r="D7246" s="208">
        <f t="shared" si="800"/>
        <v>45707</v>
      </c>
      <c r="E7246" s="209">
        <f t="shared" si="807"/>
        <v>45707</v>
      </c>
      <c r="F7246" s="515"/>
      <c r="G7246" s="132" t="s">
        <v>1209</v>
      </c>
      <c r="I7246" s="128" t="s">
        <v>1975</v>
      </c>
      <c r="J7246" s="120" t="s">
        <v>16</v>
      </c>
      <c r="K7246" s="207"/>
      <c r="L7246" s="207">
        <v>161730</v>
      </c>
    </row>
    <row r="7247" spans="1:15" ht="11.25" customHeight="1" x14ac:dyDescent="0.2">
      <c r="A7247" s="191">
        <v>2025</v>
      </c>
      <c r="B7247" s="191">
        <v>2</v>
      </c>
      <c r="C7247" s="191">
        <v>19</v>
      </c>
      <c r="D7247" s="192">
        <f t="shared" si="800"/>
        <v>45707</v>
      </c>
      <c r="E7247" s="193">
        <f t="shared" si="807"/>
        <v>45707</v>
      </c>
      <c r="F7247" s="514"/>
      <c r="G7247" s="194" t="s">
        <v>1209</v>
      </c>
      <c r="H7247" s="195"/>
      <c r="I7247" s="195" t="s">
        <v>1975</v>
      </c>
      <c r="J7247" s="191" t="s">
        <v>47</v>
      </c>
      <c r="K7247" s="196"/>
      <c r="L7247" s="196">
        <v>38270</v>
      </c>
    </row>
    <row r="7248" spans="1:15" ht="11.25" customHeight="1" x14ac:dyDescent="0.2">
      <c r="A7248" s="197">
        <v>2025</v>
      </c>
      <c r="B7248" s="197">
        <v>2</v>
      </c>
      <c r="C7248" s="197">
        <v>20</v>
      </c>
      <c r="D7248" s="198">
        <f t="shared" si="800"/>
        <v>45708</v>
      </c>
      <c r="E7248" s="209">
        <f t="shared" si="807"/>
        <v>45708</v>
      </c>
      <c r="F7248" s="513" t="s">
        <v>1210</v>
      </c>
      <c r="G7248" s="200" t="s">
        <v>1209</v>
      </c>
      <c r="H7248" s="201"/>
      <c r="I7248" s="201" t="s">
        <v>1973</v>
      </c>
      <c r="J7248" s="197" t="s">
        <v>46</v>
      </c>
      <c r="K7248" s="202">
        <v>10000000</v>
      </c>
      <c r="L7248" s="202"/>
    </row>
    <row r="7249" spans="1:15" ht="11.25" customHeight="1" x14ac:dyDescent="0.2">
      <c r="A7249" s="120">
        <v>2025</v>
      </c>
      <c r="B7249" s="120">
        <v>2</v>
      </c>
      <c r="C7249" s="120">
        <v>20</v>
      </c>
      <c r="D7249" s="208">
        <f t="shared" si="800"/>
        <v>45708</v>
      </c>
      <c r="E7249" s="209">
        <f t="shared" si="807"/>
        <v>45708</v>
      </c>
      <c r="F7249" s="515"/>
      <c r="G7249" s="132" t="s">
        <v>1209</v>
      </c>
      <c r="I7249" s="128" t="s">
        <v>1973</v>
      </c>
      <c r="J7249" s="120" t="s">
        <v>16</v>
      </c>
      <c r="K7249" s="207"/>
      <c r="L7249" s="207">
        <v>8086690</v>
      </c>
    </row>
    <row r="7250" spans="1:15" ht="11.25" customHeight="1" x14ac:dyDescent="0.2">
      <c r="A7250" s="191">
        <v>2025</v>
      </c>
      <c r="B7250" s="191">
        <v>2</v>
      </c>
      <c r="C7250" s="191">
        <v>20</v>
      </c>
      <c r="D7250" s="192">
        <f t="shared" si="800"/>
        <v>45708</v>
      </c>
      <c r="E7250" s="193">
        <f t="shared" si="807"/>
        <v>45708</v>
      </c>
      <c r="F7250" s="514"/>
      <c r="G7250" s="194" t="s">
        <v>1209</v>
      </c>
      <c r="H7250" s="195"/>
      <c r="I7250" s="195" t="s">
        <v>1973</v>
      </c>
      <c r="J7250" s="191" t="s">
        <v>47</v>
      </c>
      <c r="K7250" s="196"/>
      <c r="L7250" s="196">
        <v>1913310</v>
      </c>
    </row>
    <row r="7251" spans="1:15" ht="11.25" customHeight="1" x14ac:dyDescent="0.2">
      <c r="A7251" s="197">
        <v>2025</v>
      </c>
      <c r="B7251" s="197">
        <v>2</v>
      </c>
      <c r="C7251" s="197">
        <v>20</v>
      </c>
      <c r="D7251" s="198">
        <f t="shared" si="800"/>
        <v>45708</v>
      </c>
      <c r="E7251" s="290">
        <f>DATE(A7251,B7251,C7251)</f>
        <v>45708</v>
      </c>
      <c r="F7251" s="513" t="s">
        <v>1514</v>
      </c>
      <c r="G7251" s="200" t="s">
        <v>1209</v>
      </c>
      <c r="H7251" s="201"/>
      <c r="I7251" s="201"/>
      <c r="J7251" s="197" t="s">
        <v>54</v>
      </c>
      <c r="K7251" s="202">
        <v>60</v>
      </c>
      <c r="L7251" s="202"/>
      <c r="M7251" s="251"/>
      <c r="N7251" s="251"/>
      <c r="O7251" s="251"/>
    </row>
    <row r="7252" spans="1:15" ht="11.25" customHeight="1" x14ac:dyDescent="0.2">
      <c r="A7252" s="191">
        <v>2025</v>
      </c>
      <c r="B7252" s="191">
        <v>2</v>
      </c>
      <c r="C7252" s="191">
        <v>20</v>
      </c>
      <c r="D7252" s="192">
        <f t="shared" si="800"/>
        <v>45708</v>
      </c>
      <c r="E7252" s="291">
        <f>DATE(A7252,B7252,C7252)</f>
        <v>45708</v>
      </c>
      <c r="F7252" s="514"/>
      <c r="G7252" s="194" t="s">
        <v>1209</v>
      </c>
      <c r="H7252" s="195"/>
      <c r="I7252" s="195"/>
      <c r="J7252" s="191" t="s">
        <v>46</v>
      </c>
      <c r="K7252" s="196"/>
      <c r="L7252" s="196">
        <v>60</v>
      </c>
      <c r="M7252" s="251"/>
      <c r="N7252" s="251"/>
      <c r="O7252" s="251"/>
    </row>
    <row r="7253" spans="1:15" ht="11.25" customHeight="1" x14ac:dyDescent="0.2">
      <c r="A7253" s="424">
        <v>2025</v>
      </c>
      <c r="B7253" s="424">
        <v>2</v>
      </c>
      <c r="C7253" s="424">
        <v>20</v>
      </c>
      <c r="D7253" s="425">
        <f t="shared" si="800"/>
        <v>45708</v>
      </c>
      <c r="E7253" s="384">
        <f t="shared" si="799"/>
        <v>45708</v>
      </c>
      <c r="F7253" s="516" t="s">
        <v>1850</v>
      </c>
      <c r="G7253" s="426" t="s">
        <v>1209</v>
      </c>
      <c r="H7253" s="427"/>
      <c r="I7253" s="427"/>
      <c r="J7253" s="428" t="s">
        <v>81</v>
      </c>
      <c r="K7253" s="429">
        <v>6973.2450980392159</v>
      </c>
      <c r="L7253" s="429"/>
      <c r="M7253" s="130"/>
    </row>
    <row r="7254" spans="1:15" ht="11.25" customHeight="1" x14ac:dyDescent="0.2">
      <c r="A7254" s="389">
        <v>2025</v>
      </c>
      <c r="B7254" s="389">
        <v>2</v>
      </c>
      <c r="C7254" s="389">
        <v>20</v>
      </c>
      <c r="D7254" s="390">
        <f t="shared" si="800"/>
        <v>45708</v>
      </c>
      <c r="E7254" s="391">
        <f t="shared" si="799"/>
        <v>45708</v>
      </c>
      <c r="F7254" s="517"/>
      <c r="G7254" s="392" t="s">
        <v>1209</v>
      </c>
      <c r="H7254" s="393"/>
      <c r="I7254" s="393"/>
      <c r="J7254" s="394" t="s">
        <v>1847</v>
      </c>
      <c r="K7254" s="423"/>
      <c r="L7254" s="423">
        <v>6973.2450980392159</v>
      </c>
    </row>
    <row r="7255" spans="1:15" ht="11.25" customHeight="1" x14ac:dyDescent="0.2">
      <c r="A7255" s="382">
        <v>2025</v>
      </c>
      <c r="B7255" s="382">
        <v>2</v>
      </c>
      <c r="C7255" s="382">
        <v>20</v>
      </c>
      <c r="D7255" s="383">
        <f t="shared" si="800"/>
        <v>45708</v>
      </c>
      <c r="E7255" s="384">
        <f t="shared" si="799"/>
        <v>45708</v>
      </c>
      <c r="F7255" s="516" t="s">
        <v>1892</v>
      </c>
      <c r="G7255" s="385" t="s">
        <v>1209</v>
      </c>
      <c r="H7255" s="386"/>
      <c r="I7255" s="386"/>
      <c r="J7255" s="387" t="s">
        <v>173</v>
      </c>
      <c r="K7255" s="388">
        <v>5383.5447373229154</v>
      </c>
      <c r="L7255" s="388"/>
      <c r="M7255" s="130"/>
    </row>
    <row r="7256" spans="1:15" ht="11.25" customHeight="1" x14ac:dyDescent="0.2">
      <c r="A7256" s="389">
        <v>2025</v>
      </c>
      <c r="B7256" s="389">
        <v>2</v>
      </c>
      <c r="C7256" s="389">
        <v>20</v>
      </c>
      <c r="D7256" s="390">
        <f t="shared" si="800"/>
        <v>45708</v>
      </c>
      <c r="E7256" s="391">
        <f t="shared" si="799"/>
        <v>45708</v>
      </c>
      <c r="F7256" s="517"/>
      <c r="G7256" s="392" t="s">
        <v>1209</v>
      </c>
      <c r="H7256" s="393"/>
      <c r="I7256" s="393"/>
      <c r="J7256" s="394" t="s">
        <v>43</v>
      </c>
      <c r="K7256" s="388"/>
      <c r="L7256" s="388">
        <f>K7255</f>
        <v>5383.5447373229154</v>
      </c>
    </row>
    <row r="7257" spans="1:15" ht="11.25" customHeight="1" x14ac:dyDescent="0.2">
      <c r="A7257" s="344">
        <v>2025</v>
      </c>
      <c r="B7257" s="344">
        <v>2</v>
      </c>
      <c r="C7257" s="344">
        <v>20</v>
      </c>
      <c r="D7257" s="345">
        <f t="shared" si="800"/>
        <v>45708</v>
      </c>
      <c r="E7257" s="346">
        <f t="shared" si="799"/>
        <v>45708</v>
      </c>
      <c r="F7257" s="518" t="s">
        <v>1982</v>
      </c>
      <c r="G7257" s="347" t="s">
        <v>1245</v>
      </c>
      <c r="H7257" s="348"/>
      <c r="I7257" s="348" t="s">
        <v>1253</v>
      </c>
      <c r="J7257" s="344" t="s">
        <v>1978</v>
      </c>
      <c r="K7257" s="349">
        <v>145230.76923076922</v>
      </c>
      <c r="L7257" s="349"/>
      <c r="M7257" s="130"/>
    </row>
    <row r="7258" spans="1:15" ht="11.25" customHeight="1" x14ac:dyDescent="0.2">
      <c r="A7258" s="350">
        <v>2025</v>
      </c>
      <c r="B7258" s="350">
        <v>2</v>
      </c>
      <c r="C7258" s="350">
        <v>20</v>
      </c>
      <c r="D7258" s="351">
        <f t="shared" si="800"/>
        <v>45708</v>
      </c>
      <c r="E7258" s="352">
        <f t="shared" si="799"/>
        <v>45708</v>
      </c>
      <c r="F7258" s="519"/>
      <c r="G7258" s="353" t="s">
        <v>1245</v>
      </c>
      <c r="H7258" s="354"/>
      <c r="I7258" s="354" t="s">
        <v>1253</v>
      </c>
      <c r="J7258" s="350" t="s">
        <v>1979</v>
      </c>
      <c r="K7258" s="355"/>
      <c r="L7258" s="355">
        <f>K7257</f>
        <v>145230.76923076922</v>
      </c>
    </row>
    <row r="7259" spans="1:15" ht="11.25" customHeight="1" x14ac:dyDescent="0.2">
      <c r="A7259" s="344">
        <v>2025</v>
      </c>
      <c r="B7259" s="344">
        <v>2</v>
      </c>
      <c r="C7259" s="344">
        <v>20</v>
      </c>
      <c r="D7259" s="345">
        <f t="shared" si="800"/>
        <v>45708</v>
      </c>
      <c r="E7259" s="346">
        <f t="shared" si="799"/>
        <v>45708</v>
      </c>
      <c r="F7259" s="518" t="s">
        <v>1988</v>
      </c>
      <c r="G7259" s="347" t="s">
        <v>1245</v>
      </c>
      <c r="H7259" s="348"/>
      <c r="I7259" s="348" t="s">
        <v>1253</v>
      </c>
      <c r="J7259" s="344" t="s">
        <v>113</v>
      </c>
      <c r="K7259" s="349">
        <v>34238.129999999997</v>
      </c>
      <c r="L7259" s="349"/>
      <c r="M7259" s="130"/>
    </row>
    <row r="7260" spans="1:15" ht="11.25" customHeight="1" x14ac:dyDescent="0.2">
      <c r="A7260" s="350">
        <v>2025</v>
      </c>
      <c r="B7260" s="350">
        <v>2</v>
      </c>
      <c r="C7260" s="350">
        <v>20</v>
      </c>
      <c r="D7260" s="351">
        <f t="shared" si="800"/>
        <v>45708</v>
      </c>
      <c r="E7260" s="352">
        <f t="shared" si="799"/>
        <v>45708</v>
      </c>
      <c r="F7260" s="519"/>
      <c r="G7260" s="353" t="s">
        <v>1245</v>
      </c>
      <c r="H7260" s="354"/>
      <c r="I7260" s="354" t="s">
        <v>1253</v>
      </c>
      <c r="J7260" s="350" t="s">
        <v>153</v>
      </c>
      <c r="K7260" s="355"/>
      <c r="L7260" s="355">
        <f>K7259</f>
        <v>34238.129999999997</v>
      </c>
    </row>
    <row r="7261" spans="1:15" ht="11.25" customHeight="1" x14ac:dyDescent="0.2">
      <c r="A7261" s="344">
        <v>2025</v>
      </c>
      <c r="B7261" s="344">
        <v>2</v>
      </c>
      <c r="C7261" s="344">
        <v>20</v>
      </c>
      <c r="D7261" s="345">
        <f t="shared" si="800"/>
        <v>45708</v>
      </c>
      <c r="E7261" s="346">
        <f t="shared" si="799"/>
        <v>45708</v>
      </c>
      <c r="F7261" s="518" t="s">
        <v>1991</v>
      </c>
      <c r="G7261" s="347" t="s">
        <v>1245</v>
      </c>
      <c r="H7261" s="348"/>
      <c r="I7261" s="348" t="s">
        <v>1253</v>
      </c>
      <c r="J7261" s="344" t="s">
        <v>113</v>
      </c>
      <c r="K7261" s="349">
        <v>39884.620000000003</v>
      </c>
      <c r="L7261" s="349"/>
      <c r="M7261" s="130"/>
    </row>
    <row r="7262" spans="1:15" ht="11.25" customHeight="1" x14ac:dyDescent="0.2">
      <c r="A7262" s="350">
        <v>2025</v>
      </c>
      <c r="B7262" s="350">
        <v>2</v>
      </c>
      <c r="C7262" s="350">
        <v>20</v>
      </c>
      <c r="D7262" s="351">
        <f t="shared" si="800"/>
        <v>45708</v>
      </c>
      <c r="E7262" s="352">
        <f t="shared" si="799"/>
        <v>45708</v>
      </c>
      <c r="F7262" s="519"/>
      <c r="G7262" s="353" t="s">
        <v>1245</v>
      </c>
      <c r="H7262" s="354"/>
      <c r="I7262" s="354" t="s">
        <v>1253</v>
      </c>
      <c r="J7262" s="350" t="s">
        <v>153</v>
      </c>
      <c r="K7262" s="355"/>
      <c r="L7262" s="355">
        <f>K7261</f>
        <v>39884.620000000003</v>
      </c>
    </row>
    <row r="7263" spans="1:15" ht="11.25" customHeight="1" x14ac:dyDescent="0.2">
      <c r="A7263" s="344">
        <v>2025</v>
      </c>
      <c r="B7263" s="344">
        <v>2</v>
      </c>
      <c r="C7263" s="344">
        <v>20</v>
      </c>
      <c r="D7263" s="345">
        <f t="shared" si="800"/>
        <v>45708</v>
      </c>
      <c r="E7263" s="346">
        <f t="shared" si="799"/>
        <v>45708</v>
      </c>
      <c r="F7263" s="518" t="s">
        <v>1989</v>
      </c>
      <c r="G7263" s="347" t="s">
        <v>1245</v>
      </c>
      <c r="H7263" s="348"/>
      <c r="I7263" s="348" t="s">
        <v>1253</v>
      </c>
      <c r="J7263" s="344" t="s">
        <v>113</v>
      </c>
      <c r="K7263" s="349">
        <v>23461.538461538461</v>
      </c>
      <c r="L7263" s="349"/>
      <c r="M7263" s="130"/>
    </row>
    <row r="7264" spans="1:15" ht="11.25" customHeight="1" x14ac:dyDescent="0.2">
      <c r="A7264" s="350">
        <v>2025</v>
      </c>
      <c r="B7264" s="350">
        <v>2</v>
      </c>
      <c r="C7264" s="350">
        <v>20</v>
      </c>
      <c r="D7264" s="351">
        <f t="shared" si="800"/>
        <v>45708</v>
      </c>
      <c r="E7264" s="352">
        <f t="shared" si="799"/>
        <v>45708</v>
      </c>
      <c r="F7264" s="519"/>
      <c r="G7264" s="353" t="s">
        <v>1245</v>
      </c>
      <c r="H7264" s="354"/>
      <c r="I7264" s="354" t="s">
        <v>1253</v>
      </c>
      <c r="J7264" s="350" t="s">
        <v>153</v>
      </c>
      <c r="K7264" s="355"/>
      <c r="L7264" s="355">
        <f>K7263</f>
        <v>23461.538461538461</v>
      </c>
    </row>
    <row r="7265" spans="1:13" ht="11.25" customHeight="1" x14ac:dyDescent="0.2">
      <c r="A7265" s="344">
        <v>2025</v>
      </c>
      <c r="B7265" s="344">
        <v>2</v>
      </c>
      <c r="C7265" s="344">
        <v>20</v>
      </c>
      <c r="D7265" s="345">
        <f t="shared" si="800"/>
        <v>45708</v>
      </c>
      <c r="E7265" s="346">
        <f t="shared" si="799"/>
        <v>45708</v>
      </c>
      <c r="F7265" s="518" t="s">
        <v>1990</v>
      </c>
      <c r="G7265" s="347" t="s">
        <v>1245</v>
      </c>
      <c r="H7265" s="348"/>
      <c r="I7265" s="348" t="s">
        <v>1253</v>
      </c>
      <c r="J7265" s="344" t="s">
        <v>113</v>
      </c>
      <c r="K7265" s="349">
        <v>70384.61538461539</v>
      </c>
      <c r="L7265" s="349"/>
      <c r="M7265" s="130"/>
    </row>
    <row r="7266" spans="1:13" ht="11.25" customHeight="1" x14ac:dyDescent="0.2">
      <c r="A7266" s="350">
        <v>2025</v>
      </c>
      <c r="B7266" s="350">
        <v>2</v>
      </c>
      <c r="C7266" s="350">
        <v>20</v>
      </c>
      <c r="D7266" s="351">
        <f t="shared" si="800"/>
        <v>45708</v>
      </c>
      <c r="E7266" s="352">
        <f t="shared" si="799"/>
        <v>45708</v>
      </c>
      <c r="F7266" s="519"/>
      <c r="G7266" s="353" t="s">
        <v>1245</v>
      </c>
      <c r="H7266" s="354"/>
      <c r="I7266" s="354" t="s">
        <v>1253</v>
      </c>
      <c r="J7266" s="350" t="s">
        <v>153</v>
      </c>
      <c r="K7266" s="355"/>
      <c r="L7266" s="355">
        <f>K7265</f>
        <v>70384.61538461539</v>
      </c>
    </row>
    <row r="7267" spans="1:13" ht="11.25" customHeight="1" x14ac:dyDescent="0.2">
      <c r="A7267" s="344">
        <v>2025</v>
      </c>
      <c r="B7267" s="344">
        <v>2</v>
      </c>
      <c r="C7267" s="344">
        <v>20</v>
      </c>
      <c r="D7267" s="345">
        <f t="shared" si="800"/>
        <v>45708</v>
      </c>
      <c r="E7267" s="346">
        <f t="shared" ref="E7267:E7268" si="808">DATE(A7267,B7267,C7267)</f>
        <v>45708</v>
      </c>
      <c r="F7267" s="518" t="s">
        <v>2039</v>
      </c>
      <c r="G7267" s="347" t="s">
        <v>1245</v>
      </c>
      <c r="H7267" s="348"/>
      <c r="I7267" s="348" t="s">
        <v>1253</v>
      </c>
      <c r="J7267" s="344" t="s">
        <v>113</v>
      </c>
      <c r="K7267" s="349">
        <v>9384.6153846153848</v>
      </c>
      <c r="L7267" s="349"/>
      <c r="M7267" s="130"/>
    </row>
    <row r="7268" spans="1:13" ht="11.25" customHeight="1" x14ac:dyDescent="0.2">
      <c r="A7268" s="350">
        <v>2025</v>
      </c>
      <c r="B7268" s="350">
        <v>2</v>
      </c>
      <c r="C7268" s="350">
        <v>20</v>
      </c>
      <c r="D7268" s="351">
        <f t="shared" si="800"/>
        <v>45708</v>
      </c>
      <c r="E7268" s="352">
        <f t="shared" si="808"/>
        <v>45708</v>
      </c>
      <c r="F7268" s="519"/>
      <c r="G7268" s="353" t="s">
        <v>1245</v>
      </c>
      <c r="H7268" s="354"/>
      <c r="I7268" s="354" t="s">
        <v>1253</v>
      </c>
      <c r="J7268" s="350" t="s">
        <v>153</v>
      </c>
      <c r="K7268" s="355"/>
      <c r="L7268" s="355">
        <f>K7267</f>
        <v>9384.6153846153848</v>
      </c>
    </row>
    <row r="7269" spans="1:13" ht="11.25" customHeight="1" x14ac:dyDescent="0.2">
      <c r="A7269" s="344">
        <v>2025</v>
      </c>
      <c r="B7269" s="344">
        <v>2</v>
      </c>
      <c r="C7269" s="344">
        <v>20</v>
      </c>
      <c r="D7269" s="345">
        <f t="shared" si="800"/>
        <v>45708</v>
      </c>
      <c r="E7269" s="346">
        <f t="shared" ref="E7269:E7270" si="809">DATE(A7269,B7269,C7269)</f>
        <v>45708</v>
      </c>
      <c r="F7269" s="518" t="s">
        <v>1257</v>
      </c>
      <c r="G7269" s="347" t="s">
        <v>1245</v>
      </c>
      <c r="H7269" s="348"/>
      <c r="I7269" s="348" t="s">
        <v>1253</v>
      </c>
      <c r="J7269" s="344" t="s">
        <v>113</v>
      </c>
      <c r="K7269" s="349">
        <v>15995.43</v>
      </c>
      <c r="L7269" s="349"/>
      <c r="M7269" s="130"/>
    </row>
    <row r="7270" spans="1:13" ht="11.25" customHeight="1" x14ac:dyDescent="0.2">
      <c r="A7270" s="350">
        <v>2025</v>
      </c>
      <c r="B7270" s="350">
        <v>2</v>
      </c>
      <c r="C7270" s="350">
        <v>20</v>
      </c>
      <c r="D7270" s="351">
        <f t="shared" si="800"/>
        <v>45708</v>
      </c>
      <c r="E7270" s="352">
        <f t="shared" si="809"/>
        <v>45708</v>
      </c>
      <c r="F7270" s="519"/>
      <c r="G7270" s="353" t="s">
        <v>1245</v>
      </c>
      <c r="H7270" s="354"/>
      <c r="I7270" s="354" t="s">
        <v>1253</v>
      </c>
      <c r="J7270" s="350" t="s">
        <v>153</v>
      </c>
      <c r="K7270" s="355"/>
      <c r="L7270" s="355">
        <f>K7269</f>
        <v>15995.43</v>
      </c>
    </row>
    <row r="7271" spans="1:13" ht="11.25" customHeight="1" x14ac:dyDescent="0.2">
      <c r="A7271" s="344">
        <v>2025</v>
      </c>
      <c r="B7271" s="344">
        <v>2</v>
      </c>
      <c r="C7271" s="344">
        <v>20</v>
      </c>
      <c r="D7271" s="345">
        <f t="shared" si="800"/>
        <v>45708</v>
      </c>
      <c r="E7271" s="346">
        <f t="shared" ref="E7271:E7272" si="810">DATE(A7271,B7271,C7271)</f>
        <v>45708</v>
      </c>
      <c r="F7271" s="518" t="s">
        <v>1257</v>
      </c>
      <c r="G7271" s="347" t="s">
        <v>1245</v>
      </c>
      <c r="H7271" s="348"/>
      <c r="I7271" s="348" t="s">
        <v>1253</v>
      </c>
      <c r="J7271" s="344" t="s">
        <v>113</v>
      </c>
      <c r="K7271" s="349">
        <v>16315.34</v>
      </c>
      <c r="L7271" s="349"/>
      <c r="M7271" s="130"/>
    </row>
    <row r="7272" spans="1:13" ht="11.25" customHeight="1" x14ac:dyDescent="0.2">
      <c r="A7272" s="350">
        <v>2025</v>
      </c>
      <c r="B7272" s="350">
        <v>2</v>
      </c>
      <c r="C7272" s="350">
        <v>20</v>
      </c>
      <c r="D7272" s="351">
        <f t="shared" si="800"/>
        <v>45708</v>
      </c>
      <c r="E7272" s="352">
        <f t="shared" si="810"/>
        <v>45708</v>
      </c>
      <c r="F7272" s="519"/>
      <c r="G7272" s="353" t="s">
        <v>1245</v>
      </c>
      <c r="H7272" s="354"/>
      <c r="I7272" s="354" t="s">
        <v>1253</v>
      </c>
      <c r="J7272" s="350" t="s">
        <v>153</v>
      </c>
      <c r="K7272" s="355"/>
      <c r="L7272" s="355">
        <f>K7271</f>
        <v>16315.34</v>
      </c>
    </row>
    <row r="7273" spans="1:13" ht="11.25" customHeight="1" x14ac:dyDescent="0.2">
      <c r="A7273" s="210">
        <v>2025</v>
      </c>
      <c r="B7273" s="210">
        <v>2</v>
      </c>
      <c r="C7273" s="210">
        <v>20</v>
      </c>
      <c r="D7273" s="211">
        <f t="shared" si="800"/>
        <v>45708</v>
      </c>
      <c r="E7273" s="238">
        <f t="shared" si="799"/>
        <v>45708</v>
      </c>
      <c r="F7273" s="520" t="s">
        <v>1278</v>
      </c>
      <c r="G7273" s="213" t="s">
        <v>1245</v>
      </c>
      <c r="H7273" s="214"/>
      <c r="I7273" s="214" t="s">
        <v>1253</v>
      </c>
      <c r="J7273" s="210" t="s">
        <v>1529</v>
      </c>
      <c r="K7273" s="215">
        <v>510.40384615384613</v>
      </c>
      <c r="L7273" s="215"/>
      <c r="M7273" s="130"/>
    </row>
    <row r="7274" spans="1:13" ht="11.25" customHeight="1" x14ac:dyDescent="0.2">
      <c r="A7274" s="216">
        <v>2025</v>
      </c>
      <c r="B7274" s="216">
        <v>2</v>
      </c>
      <c r="C7274" s="216">
        <v>20</v>
      </c>
      <c r="D7274" s="217">
        <f t="shared" si="800"/>
        <v>45708</v>
      </c>
      <c r="E7274" s="239">
        <f t="shared" si="799"/>
        <v>45708</v>
      </c>
      <c r="F7274" s="521"/>
      <c r="G7274" s="219" t="s">
        <v>1245</v>
      </c>
      <c r="H7274" s="220"/>
      <c r="I7274" s="220" t="s">
        <v>1253</v>
      </c>
      <c r="J7274" s="216" t="s">
        <v>1581</v>
      </c>
      <c r="K7274" s="221"/>
      <c r="L7274" s="221">
        <v>510.40384615384613</v>
      </c>
    </row>
    <row r="7275" spans="1:13" ht="11.25" customHeight="1" x14ac:dyDescent="0.2">
      <c r="A7275" s="210">
        <v>2025</v>
      </c>
      <c r="B7275" s="210">
        <v>2</v>
      </c>
      <c r="C7275" s="210">
        <v>20</v>
      </c>
      <c r="D7275" s="211">
        <f t="shared" si="800"/>
        <v>45708</v>
      </c>
      <c r="E7275" s="238">
        <f t="shared" si="799"/>
        <v>45708</v>
      </c>
      <c r="F7275" s="520" t="s">
        <v>1857</v>
      </c>
      <c r="G7275" s="213" t="s">
        <v>1245</v>
      </c>
      <c r="H7275" s="214"/>
      <c r="I7275" s="214" t="s">
        <v>1253</v>
      </c>
      <c r="J7275" s="210" t="s">
        <v>1284</v>
      </c>
      <c r="K7275" s="215">
        <v>2341.8114143920593</v>
      </c>
      <c r="L7275" s="215"/>
      <c r="M7275" s="130"/>
    </row>
    <row r="7276" spans="1:13" ht="11.25" customHeight="1" x14ac:dyDescent="0.2">
      <c r="A7276" s="242">
        <v>2025</v>
      </c>
      <c r="B7276" s="242">
        <v>2</v>
      </c>
      <c r="C7276" s="242">
        <v>20</v>
      </c>
      <c r="D7276" s="243">
        <f t="shared" ref="D7276:D7339" si="811">DATE(A7276,B7276,C7276)</f>
        <v>45708</v>
      </c>
      <c r="E7276" s="244">
        <f>DATE(A7276,B7276,C7276)</f>
        <v>45708</v>
      </c>
      <c r="F7276" s="524"/>
      <c r="G7276" s="245" t="s">
        <v>1245</v>
      </c>
      <c r="H7276" s="246"/>
      <c r="I7276" s="246"/>
      <c r="J7276" s="242" t="s">
        <v>1582</v>
      </c>
      <c r="K7276" s="247"/>
      <c r="L7276" s="247">
        <f>K7275</f>
        <v>2341.8114143920593</v>
      </c>
    </row>
    <row r="7277" spans="1:13" ht="11.25" customHeight="1" x14ac:dyDescent="0.2">
      <c r="A7277" s="210">
        <v>2025</v>
      </c>
      <c r="B7277" s="210">
        <v>2</v>
      </c>
      <c r="C7277" s="210">
        <v>20</v>
      </c>
      <c r="D7277" s="211">
        <f t="shared" si="811"/>
        <v>45708</v>
      </c>
      <c r="E7277" s="238">
        <f t="shared" ref="E7277:E7293" si="812">DATE(A7277,B7277,C7277)</f>
        <v>45708</v>
      </c>
      <c r="F7277" s="520" t="s">
        <v>2055</v>
      </c>
      <c r="G7277" s="213" t="s">
        <v>1245</v>
      </c>
      <c r="H7277" s="214"/>
      <c r="I7277" s="214" t="s">
        <v>1253</v>
      </c>
      <c r="J7277" s="210" t="s">
        <v>58</v>
      </c>
      <c r="K7277" s="215">
        <v>28633.73</v>
      </c>
      <c r="L7277" s="215"/>
    </row>
    <row r="7278" spans="1:13" ht="11.25" customHeight="1" x14ac:dyDescent="0.2">
      <c r="A7278" s="216">
        <v>2025</v>
      </c>
      <c r="B7278" s="216">
        <v>2</v>
      </c>
      <c r="C7278" s="216">
        <v>20</v>
      </c>
      <c r="D7278" s="217">
        <f t="shared" si="811"/>
        <v>45708</v>
      </c>
      <c r="E7278" s="239">
        <f t="shared" si="812"/>
        <v>45708</v>
      </c>
      <c r="F7278" s="521"/>
      <c r="G7278" s="219" t="s">
        <v>1245</v>
      </c>
      <c r="H7278" s="220"/>
      <c r="I7278" s="220" t="s">
        <v>1253</v>
      </c>
      <c r="J7278" s="216" t="s">
        <v>153</v>
      </c>
      <c r="K7278" s="221"/>
      <c r="L7278" s="221">
        <f>K7277</f>
        <v>28633.73</v>
      </c>
    </row>
    <row r="7279" spans="1:13" ht="11.25" customHeight="1" x14ac:dyDescent="0.2">
      <c r="A7279" s="312">
        <v>2025</v>
      </c>
      <c r="B7279" s="312">
        <v>2</v>
      </c>
      <c r="C7279" s="312">
        <v>20</v>
      </c>
      <c r="D7279" s="313">
        <f t="shared" si="811"/>
        <v>45708</v>
      </c>
      <c r="E7279" s="314">
        <f t="shared" si="812"/>
        <v>45708</v>
      </c>
      <c r="F7279" s="522" t="s">
        <v>1477</v>
      </c>
      <c r="G7279" s="315" t="s">
        <v>1245</v>
      </c>
      <c r="H7279" s="316"/>
      <c r="I7279" s="316" t="s">
        <v>1253</v>
      </c>
      <c r="J7279" s="312" t="s">
        <v>1458</v>
      </c>
      <c r="K7279" s="317">
        <v>0</v>
      </c>
      <c r="L7279" s="317"/>
      <c r="M7279" s="120">
        <f>BS!$I$11</f>
        <v>5.9604644775390625E-8</v>
      </c>
    </row>
    <row r="7280" spans="1:13" ht="11.25" customHeight="1" x14ac:dyDescent="0.2">
      <c r="A7280" s="318">
        <v>2025</v>
      </c>
      <c r="B7280" s="318">
        <v>2</v>
      </c>
      <c r="C7280" s="318">
        <v>20</v>
      </c>
      <c r="D7280" s="319">
        <f t="shared" si="811"/>
        <v>45708</v>
      </c>
      <c r="E7280" s="320">
        <f t="shared" si="812"/>
        <v>45708</v>
      </c>
      <c r="F7280" s="523"/>
      <c r="G7280" s="321" t="s">
        <v>1245</v>
      </c>
      <c r="H7280" s="322"/>
      <c r="I7280" s="322" t="s">
        <v>1253</v>
      </c>
      <c r="J7280" s="318" t="s">
        <v>1460</v>
      </c>
      <c r="K7280" s="323"/>
      <c r="L7280" s="323">
        <f>K7279</f>
        <v>0</v>
      </c>
    </row>
    <row r="7281" spans="1:14" ht="11.25" customHeight="1" x14ac:dyDescent="0.2">
      <c r="A7281" s="312">
        <v>2025</v>
      </c>
      <c r="B7281" s="312">
        <v>2</v>
      </c>
      <c r="C7281" s="312">
        <v>20</v>
      </c>
      <c r="D7281" s="313">
        <f t="shared" si="811"/>
        <v>45708</v>
      </c>
      <c r="E7281" s="314">
        <f t="shared" si="812"/>
        <v>45708</v>
      </c>
      <c r="F7281" s="522" t="s">
        <v>1595</v>
      </c>
      <c r="G7281" s="315" t="s">
        <v>1245</v>
      </c>
      <c r="H7281" s="316"/>
      <c r="I7281" s="316" t="s">
        <v>1253</v>
      </c>
      <c r="J7281" s="312" t="s">
        <v>1461</v>
      </c>
      <c r="K7281" s="317">
        <v>12227263.107999921</v>
      </c>
      <c r="L7281" s="317"/>
      <c r="M7281" s="120">
        <f>BS!$I$14</f>
        <v>0</v>
      </c>
    </row>
    <row r="7282" spans="1:14" ht="11.25" customHeight="1" x14ac:dyDescent="0.2">
      <c r="A7282" s="318">
        <v>2025</v>
      </c>
      <c r="B7282" s="318">
        <v>2</v>
      </c>
      <c r="C7282" s="318">
        <v>20</v>
      </c>
      <c r="D7282" s="319">
        <f t="shared" si="811"/>
        <v>45708</v>
      </c>
      <c r="E7282" s="320">
        <f t="shared" si="812"/>
        <v>45708</v>
      </c>
      <c r="F7282" s="523"/>
      <c r="G7282" s="321" t="s">
        <v>1245</v>
      </c>
      <c r="H7282" s="322"/>
      <c r="I7282" s="322" t="s">
        <v>1253</v>
      </c>
      <c r="J7282" s="318" t="s">
        <v>1459</v>
      </c>
      <c r="K7282" s="323"/>
      <c r="L7282" s="323">
        <f>K7281</f>
        <v>12227263.107999921</v>
      </c>
    </row>
    <row r="7283" spans="1:14" ht="11.25" customHeight="1" x14ac:dyDescent="0.2">
      <c r="A7283" s="222">
        <v>2025</v>
      </c>
      <c r="B7283" s="222">
        <v>2</v>
      </c>
      <c r="C7283" s="222">
        <v>20</v>
      </c>
      <c r="D7283" s="223">
        <f t="shared" si="811"/>
        <v>45708</v>
      </c>
      <c r="E7283" s="240">
        <f t="shared" si="812"/>
        <v>45708</v>
      </c>
      <c r="F7283" s="511" t="s">
        <v>1244</v>
      </c>
      <c r="G7283" s="225" t="s">
        <v>1245</v>
      </c>
      <c r="H7283" s="226"/>
      <c r="I7283" s="226" t="s">
        <v>1253</v>
      </c>
      <c r="J7283" s="222" t="s">
        <v>87</v>
      </c>
      <c r="K7283" s="227">
        <v>156900</v>
      </c>
      <c r="L7283" s="227"/>
      <c r="M7283" s="120">
        <f>BS!$I$7</f>
        <v>0</v>
      </c>
    </row>
    <row r="7284" spans="1:14" ht="11.25" customHeight="1" x14ac:dyDescent="0.2">
      <c r="A7284" s="228">
        <v>2025</v>
      </c>
      <c r="B7284" s="228">
        <v>2</v>
      </c>
      <c r="C7284" s="228">
        <v>20</v>
      </c>
      <c r="D7284" s="229">
        <f t="shared" si="811"/>
        <v>45708</v>
      </c>
      <c r="E7284" s="241">
        <f t="shared" si="812"/>
        <v>45708</v>
      </c>
      <c r="F7284" s="512"/>
      <c r="G7284" s="231" t="s">
        <v>1245</v>
      </c>
      <c r="H7284" s="232"/>
      <c r="I7284" s="232" t="s">
        <v>1253</v>
      </c>
      <c r="J7284" s="228" t="s">
        <v>72</v>
      </c>
      <c r="K7284" s="233"/>
      <c r="L7284" s="233">
        <f>K7283</f>
        <v>156900</v>
      </c>
    </row>
    <row r="7285" spans="1:14" ht="11.25" customHeight="1" x14ac:dyDescent="0.2">
      <c r="A7285" s="222">
        <v>2025</v>
      </c>
      <c r="B7285" s="222">
        <v>2</v>
      </c>
      <c r="C7285" s="222">
        <v>20</v>
      </c>
      <c r="D7285" s="223">
        <f t="shared" si="811"/>
        <v>45708</v>
      </c>
      <c r="E7285" s="240">
        <f t="shared" si="812"/>
        <v>45708</v>
      </c>
      <c r="F7285" s="511" t="s">
        <v>1246</v>
      </c>
      <c r="G7285" s="225" t="s">
        <v>1245</v>
      </c>
      <c r="H7285" s="226"/>
      <c r="I7285" s="226" t="s">
        <v>1253</v>
      </c>
      <c r="J7285" s="222" t="s">
        <v>75</v>
      </c>
      <c r="K7285" s="227">
        <v>3623.123846153846</v>
      </c>
      <c r="L7285" s="227"/>
      <c r="M7285" s="130"/>
    </row>
    <row r="7286" spans="1:14" ht="11.25" customHeight="1" x14ac:dyDescent="0.2">
      <c r="A7286" s="228">
        <v>2025</v>
      </c>
      <c r="B7286" s="228">
        <v>2</v>
      </c>
      <c r="C7286" s="228">
        <v>20</v>
      </c>
      <c r="D7286" s="229">
        <f t="shared" si="811"/>
        <v>45708</v>
      </c>
      <c r="E7286" s="241">
        <f t="shared" si="812"/>
        <v>45708</v>
      </c>
      <c r="F7286" s="512"/>
      <c r="G7286" s="231" t="s">
        <v>1245</v>
      </c>
      <c r="H7286" s="232"/>
      <c r="I7286" s="232" t="s">
        <v>1253</v>
      </c>
      <c r="J7286" s="228" t="s">
        <v>55</v>
      </c>
      <c r="K7286" s="233"/>
      <c r="L7286" s="233">
        <v>3623.123846153846</v>
      </c>
    </row>
    <row r="7287" spans="1:14" ht="11.25" customHeight="1" x14ac:dyDescent="0.2">
      <c r="A7287" s="222">
        <v>2025</v>
      </c>
      <c r="B7287" s="222">
        <v>2</v>
      </c>
      <c r="C7287" s="222">
        <v>20</v>
      </c>
      <c r="D7287" s="223">
        <f t="shared" si="811"/>
        <v>45708</v>
      </c>
      <c r="E7287" s="240">
        <f t="shared" si="812"/>
        <v>45708</v>
      </c>
      <c r="F7287" s="511" t="s">
        <v>1247</v>
      </c>
      <c r="G7287" s="225" t="s">
        <v>1245</v>
      </c>
      <c r="H7287" s="226"/>
      <c r="I7287" s="226" t="s">
        <v>1253</v>
      </c>
      <c r="J7287" s="222" t="s">
        <v>77</v>
      </c>
      <c r="K7287" s="227">
        <f>M7287</f>
        <v>114525.33565925791</v>
      </c>
      <c r="L7287" s="227"/>
      <c r="M7287" s="130">
        <v>114525.33565925791</v>
      </c>
    </row>
    <row r="7288" spans="1:14" ht="11.25" customHeight="1" x14ac:dyDescent="0.2">
      <c r="A7288" s="228">
        <v>2025</v>
      </c>
      <c r="B7288" s="228">
        <v>2</v>
      </c>
      <c r="C7288" s="228">
        <v>20</v>
      </c>
      <c r="D7288" s="229">
        <f t="shared" si="811"/>
        <v>45708</v>
      </c>
      <c r="E7288" s="241">
        <f t="shared" si="812"/>
        <v>45708</v>
      </c>
      <c r="F7288" s="512"/>
      <c r="G7288" s="231" t="s">
        <v>1245</v>
      </c>
      <c r="H7288" s="232"/>
      <c r="I7288" s="232" t="s">
        <v>1253</v>
      </c>
      <c r="J7288" s="228" t="s">
        <v>41</v>
      </c>
      <c r="K7288" s="233"/>
      <c r="L7288" s="233">
        <f>K7287</f>
        <v>114525.33565925791</v>
      </c>
      <c r="M7288" s="130">
        <v>5726.2667829628954</v>
      </c>
    </row>
    <row r="7289" spans="1:14" ht="11.25" customHeight="1" x14ac:dyDescent="0.2">
      <c r="A7289" s="222">
        <v>2025</v>
      </c>
      <c r="B7289" s="222">
        <v>2</v>
      </c>
      <c r="C7289" s="222">
        <v>20</v>
      </c>
      <c r="D7289" s="223">
        <f t="shared" si="811"/>
        <v>45708</v>
      </c>
      <c r="E7289" s="240">
        <f t="shared" si="812"/>
        <v>45708</v>
      </c>
      <c r="F7289" s="511" t="s">
        <v>1248</v>
      </c>
      <c r="G7289" s="225" t="s">
        <v>1245</v>
      </c>
      <c r="H7289" s="226"/>
      <c r="I7289" s="226" t="s">
        <v>1253</v>
      </c>
      <c r="J7289" s="222" t="s">
        <v>80</v>
      </c>
      <c r="K7289" s="227">
        <f>M7288</f>
        <v>5726.2667829628954</v>
      </c>
      <c r="L7289" s="227"/>
    </row>
    <row r="7290" spans="1:14" ht="11.25" customHeight="1" x14ac:dyDescent="0.2">
      <c r="A7290" s="228">
        <v>2025</v>
      </c>
      <c r="B7290" s="228">
        <v>2</v>
      </c>
      <c r="C7290" s="228">
        <v>20</v>
      </c>
      <c r="D7290" s="229">
        <f t="shared" si="811"/>
        <v>45708</v>
      </c>
      <c r="E7290" s="241">
        <f t="shared" si="812"/>
        <v>45708</v>
      </c>
      <c r="F7290" s="512"/>
      <c r="G7290" s="231" t="s">
        <v>1245</v>
      </c>
      <c r="H7290" s="232"/>
      <c r="I7290" s="232" t="s">
        <v>1253</v>
      </c>
      <c r="J7290" s="228" t="s">
        <v>42</v>
      </c>
      <c r="K7290" s="233"/>
      <c r="L7290" s="233">
        <f>K7289</f>
        <v>5726.2667829628954</v>
      </c>
    </row>
    <row r="7291" spans="1:14" ht="11.25" customHeight="1" x14ac:dyDescent="0.2">
      <c r="A7291" s="197">
        <v>2025</v>
      </c>
      <c r="B7291" s="197">
        <v>2</v>
      </c>
      <c r="C7291" s="197">
        <v>23</v>
      </c>
      <c r="D7291" s="198">
        <f t="shared" si="811"/>
        <v>45711</v>
      </c>
      <c r="E7291" s="209">
        <f t="shared" si="812"/>
        <v>45711</v>
      </c>
      <c r="F7291" s="513" t="s">
        <v>1280</v>
      </c>
      <c r="G7291" s="200" t="s">
        <v>1209</v>
      </c>
      <c r="H7291" s="201"/>
      <c r="I7291" s="201" t="s">
        <v>1590</v>
      </c>
      <c r="J7291" s="197" t="s">
        <v>16</v>
      </c>
      <c r="K7291" s="202">
        <v>4609570</v>
      </c>
      <c r="L7291" s="202"/>
      <c r="M7291" s="130"/>
      <c r="N7291" s="130"/>
    </row>
    <row r="7292" spans="1:14" ht="11.25" customHeight="1" x14ac:dyDescent="0.2">
      <c r="A7292" s="120">
        <v>2025</v>
      </c>
      <c r="B7292" s="120">
        <v>2</v>
      </c>
      <c r="C7292" s="120">
        <v>23</v>
      </c>
      <c r="D7292" s="208">
        <f t="shared" si="811"/>
        <v>45711</v>
      </c>
      <c r="E7292" s="209">
        <f t="shared" si="812"/>
        <v>45711</v>
      </c>
      <c r="F7292" s="515"/>
      <c r="G7292" s="132" t="s">
        <v>1209</v>
      </c>
      <c r="I7292" s="128" t="s">
        <v>1590</v>
      </c>
      <c r="J7292" s="120" t="s">
        <v>47</v>
      </c>
      <c r="K7292" s="207">
        <v>1236286.67</v>
      </c>
      <c r="L7292" s="207"/>
      <c r="M7292" s="130"/>
      <c r="N7292" s="130"/>
    </row>
    <row r="7293" spans="1:14" ht="11.25" customHeight="1" x14ac:dyDescent="0.2">
      <c r="A7293" s="191">
        <v>2025</v>
      </c>
      <c r="B7293" s="191">
        <v>2</v>
      </c>
      <c r="C7293" s="191">
        <v>23</v>
      </c>
      <c r="D7293" s="192">
        <f t="shared" si="811"/>
        <v>45711</v>
      </c>
      <c r="E7293" s="193">
        <f t="shared" si="812"/>
        <v>45711</v>
      </c>
      <c r="F7293" s="514"/>
      <c r="G7293" s="194" t="s">
        <v>1209</v>
      </c>
      <c r="H7293" s="195"/>
      <c r="I7293" s="195" t="s">
        <v>1590</v>
      </c>
      <c r="J7293" s="191" t="s">
        <v>46</v>
      </c>
      <c r="K7293" s="196"/>
      <c r="L7293" s="196">
        <v>5845856.6699999999</v>
      </c>
      <c r="M7293" s="130"/>
      <c r="N7293" s="130"/>
    </row>
    <row r="7294" spans="1:14" ht="11.25" customHeight="1" x14ac:dyDescent="0.2">
      <c r="A7294" s="197">
        <v>2025</v>
      </c>
      <c r="B7294" s="197">
        <v>2</v>
      </c>
      <c r="C7294" s="197">
        <v>23</v>
      </c>
      <c r="D7294" s="198">
        <f t="shared" si="811"/>
        <v>45711</v>
      </c>
      <c r="E7294" s="209">
        <f t="shared" ref="E7294:E7299" si="813">DATE(A7294,B7294,C7294)</f>
        <v>45711</v>
      </c>
      <c r="F7294" s="513" t="s">
        <v>1280</v>
      </c>
      <c r="G7294" s="200" t="s">
        <v>1209</v>
      </c>
      <c r="H7294" s="201"/>
      <c r="I7294" s="201" t="s">
        <v>386</v>
      </c>
      <c r="J7294" s="197" t="s">
        <v>16</v>
      </c>
      <c r="K7294" s="202">
        <v>106530</v>
      </c>
      <c r="L7294" s="202"/>
      <c r="M7294" s="130"/>
      <c r="N7294" s="130"/>
    </row>
    <row r="7295" spans="1:14" ht="11.25" customHeight="1" x14ac:dyDescent="0.2">
      <c r="A7295" s="120">
        <v>2025</v>
      </c>
      <c r="B7295" s="120">
        <v>2</v>
      </c>
      <c r="C7295" s="120">
        <v>23</v>
      </c>
      <c r="D7295" s="208">
        <f t="shared" si="811"/>
        <v>45711</v>
      </c>
      <c r="E7295" s="209">
        <f t="shared" si="813"/>
        <v>45711</v>
      </c>
      <c r="F7295" s="515"/>
      <c r="G7295" s="132" t="s">
        <v>1209</v>
      </c>
      <c r="I7295" s="128" t="s">
        <v>386</v>
      </c>
      <c r="J7295" s="120" t="s">
        <v>47</v>
      </c>
      <c r="K7295" s="207">
        <v>28571.350000000006</v>
      </c>
      <c r="L7295" s="207"/>
      <c r="M7295" s="130"/>
      <c r="N7295" s="130"/>
    </row>
    <row r="7296" spans="1:14" ht="11.25" customHeight="1" x14ac:dyDescent="0.2">
      <c r="A7296" s="191">
        <v>2025</v>
      </c>
      <c r="B7296" s="191">
        <v>2</v>
      </c>
      <c r="C7296" s="191">
        <v>23</v>
      </c>
      <c r="D7296" s="192">
        <f t="shared" si="811"/>
        <v>45711</v>
      </c>
      <c r="E7296" s="193">
        <f t="shared" si="813"/>
        <v>45711</v>
      </c>
      <c r="F7296" s="514"/>
      <c r="G7296" s="194" t="s">
        <v>1209</v>
      </c>
      <c r="H7296" s="195"/>
      <c r="I7296" s="195" t="s">
        <v>386</v>
      </c>
      <c r="J7296" s="191" t="s">
        <v>46</v>
      </c>
      <c r="K7296" s="196"/>
      <c r="L7296" s="196">
        <v>135101.35</v>
      </c>
      <c r="M7296" s="130"/>
      <c r="N7296" s="130"/>
    </row>
    <row r="7297" spans="1:15" ht="11.25" customHeight="1" x14ac:dyDescent="0.2">
      <c r="A7297" s="197">
        <v>2025</v>
      </c>
      <c r="B7297" s="197">
        <v>2</v>
      </c>
      <c r="C7297" s="197">
        <v>23</v>
      </c>
      <c r="D7297" s="198">
        <f t="shared" si="811"/>
        <v>45711</v>
      </c>
      <c r="E7297" s="209">
        <f t="shared" si="813"/>
        <v>45711</v>
      </c>
      <c r="F7297" s="513" t="s">
        <v>1210</v>
      </c>
      <c r="G7297" s="200" t="s">
        <v>1209</v>
      </c>
      <c r="H7297" s="201"/>
      <c r="I7297" s="201"/>
      <c r="J7297" s="197" t="s">
        <v>46</v>
      </c>
      <c r="K7297" s="202">
        <v>2500000</v>
      </c>
      <c r="L7297" s="202"/>
    </row>
    <row r="7298" spans="1:15" ht="11.25" customHeight="1" x14ac:dyDescent="0.2">
      <c r="A7298" s="120">
        <v>2025</v>
      </c>
      <c r="B7298" s="120">
        <v>2</v>
      </c>
      <c r="C7298" s="120">
        <v>23</v>
      </c>
      <c r="D7298" s="208">
        <f t="shared" si="811"/>
        <v>45711</v>
      </c>
      <c r="E7298" s="209">
        <f t="shared" si="813"/>
        <v>45711</v>
      </c>
      <c r="F7298" s="515"/>
      <c r="G7298" s="132" t="s">
        <v>1209</v>
      </c>
      <c r="J7298" s="120" t="s">
        <v>16</v>
      </c>
      <c r="K7298" s="207"/>
      <c r="L7298" s="207">
        <v>1971300</v>
      </c>
    </row>
    <row r="7299" spans="1:15" ht="11.25" customHeight="1" x14ac:dyDescent="0.2">
      <c r="A7299" s="191">
        <v>2025</v>
      </c>
      <c r="B7299" s="191">
        <v>2</v>
      </c>
      <c r="C7299" s="191">
        <v>23</v>
      </c>
      <c r="D7299" s="192">
        <f t="shared" si="811"/>
        <v>45711</v>
      </c>
      <c r="E7299" s="193">
        <f t="shared" si="813"/>
        <v>45711</v>
      </c>
      <c r="F7299" s="514"/>
      <c r="G7299" s="194" t="s">
        <v>1209</v>
      </c>
      <c r="H7299" s="195"/>
      <c r="I7299" s="195"/>
      <c r="J7299" s="191" t="s">
        <v>47</v>
      </c>
      <c r="K7299" s="196"/>
      <c r="L7299" s="196">
        <v>528700</v>
      </c>
    </row>
    <row r="7300" spans="1:15" ht="11.25" customHeight="1" x14ac:dyDescent="0.2">
      <c r="A7300" s="197">
        <v>2025</v>
      </c>
      <c r="B7300" s="197">
        <v>2</v>
      </c>
      <c r="C7300" s="197">
        <v>23</v>
      </c>
      <c r="D7300" s="198">
        <f t="shared" si="811"/>
        <v>45711</v>
      </c>
      <c r="E7300" s="290">
        <f>DATE(A7300,B7300,C7300)</f>
        <v>45711</v>
      </c>
      <c r="F7300" s="513" t="s">
        <v>1514</v>
      </c>
      <c r="G7300" s="200" t="s">
        <v>1209</v>
      </c>
      <c r="H7300" s="201"/>
      <c r="I7300" s="201"/>
      <c r="J7300" s="197" t="s">
        <v>54</v>
      </c>
      <c r="K7300" s="202">
        <v>160</v>
      </c>
      <c r="L7300" s="202"/>
      <c r="M7300" s="251"/>
      <c r="N7300" s="251"/>
      <c r="O7300" s="251"/>
    </row>
    <row r="7301" spans="1:15" ht="11.25" customHeight="1" x14ac:dyDescent="0.2">
      <c r="A7301" s="191">
        <v>2025</v>
      </c>
      <c r="B7301" s="191">
        <v>2</v>
      </c>
      <c r="C7301" s="191">
        <v>23</v>
      </c>
      <c r="D7301" s="192">
        <f t="shared" si="811"/>
        <v>45711</v>
      </c>
      <c r="E7301" s="291">
        <f>DATE(A7301,B7301,C7301)</f>
        <v>45711</v>
      </c>
      <c r="F7301" s="514"/>
      <c r="G7301" s="194" t="s">
        <v>1209</v>
      </c>
      <c r="H7301" s="195"/>
      <c r="I7301" s="195"/>
      <c r="J7301" s="191" t="s">
        <v>46</v>
      </c>
      <c r="K7301" s="196"/>
      <c r="L7301" s="196">
        <v>160</v>
      </c>
      <c r="M7301" s="251"/>
      <c r="N7301" s="251"/>
      <c r="O7301" s="251"/>
    </row>
    <row r="7302" spans="1:15" ht="11.25" customHeight="1" x14ac:dyDescent="0.2">
      <c r="A7302" s="197">
        <v>2025</v>
      </c>
      <c r="B7302" s="197">
        <v>2</v>
      </c>
      <c r="C7302" s="197">
        <v>23</v>
      </c>
      <c r="D7302" s="198">
        <f t="shared" si="811"/>
        <v>45711</v>
      </c>
      <c r="E7302" s="290">
        <f t="shared" ref="E7302:E7303" si="814">DATE(A7302,B7302,C7302)</f>
        <v>45711</v>
      </c>
      <c r="F7302" s="513" t="s">
        <v>1984</v>
      </c>
      <c r="G7302" s="200" t="s">
        <v>1209</v>
      </c>
      <c r="H7302" s="201"/>
      <c r="I7302" s="201" t="s">
        <v>1253</v>
      </c>
      <c r="J7302" s="197" t="s">
        <v>46</v>
      </c>
      <c r="K7302" s="202">
        <v>168700</v>
      </c>
      <c r="L7302" s="202"/>
    </row>
    <row r="7303" spans="1:15" ht="11.25" customHeight="1" x14ac:dyDescent="0.2">
      <c r="A7303" s="191">
        <v>2025</v>
      </c>
      <c r="B7303" s="191">
        <v>2</v>
      </c>
      <c r="C7303" s="191">
        <v>23</v>
      </c>
      <c r="D7303" s="192">
        <f t="shared" si="811"/>
        <v>45711</v>
      </c>
      <c r="E7303" s="290">
        <f t="shared" si="814"/>
        <v>45711</v>
      </c>
      <c r="F7303" s="514"/>
      <c r="G7303" s="194" t="s">
        <v>1209</v>
      </c>
      <c r="H7303" s="195"/>
      <c r="I7303" s="195"/>
      <c r="J7303" s="191" t="s">
        <v>1845</v>
      </c>
      <c r="K7303" s="196"/>
      <c r="L7303" s="196">
        <v>168700</v>
      </c>
    </row>
    <row r="7304" spans="1:15" ht="11.25" customHeight="1" x14ac:dyDescent="0.2">
      <c r="A7304" s="197">
        <v>2025</v>
      </c>
      <c r="B7304" s="197">
        <v>2</v>
      </c>
      <c r="C7304" s="197">
        <v>25</v>
      </c>
      <c r="D7304" s="198">
        <f t="shared" si="811"/>
        <v>45713</v>
      </c>
      <c r="E7304" s="209">
        <f t="shared" ref="E7304:E7364" si="815">DATE(A7304,B7304,C7304)</f>
        <v>45713</v>
      </c>
      <c r="F7304" s="513" t="s">
        <v>1210</v>
      </c>
      <c r="G7304" s="200" t="s">
        <v>1209</v>
      </c>
      <c r="H7304" s="201"/>
      <c r="I7304" s="201"/>
      <c r="J7304" s="197" t="s">
        <v>46</v>
      </c>
      <c r="K7304" s="202">
        <v>45000</v>
      </c>
      <c r="L7304" s="202"/>
    </row>
    <row r="7305" spans="1:15" ht="11.25" customHeight="1" x14ac:dyDescent="0.2">
      <c r="A7305" s="120">
        <v>2025</v>
      </c>
      <c r="B7305" s="120">
        <v>2</v>
      </c>
      <c r="C7305" s="120">
        <v>25</v>
      </c>
      <c r="D7305" s="208">
        <f t="shared" si="811"/>
        <v>45713</v>
      </c>
      <c r="E7305" s="209">
        <f t="shared" si="815"/>
        <v>45713</v>
      </c>
      <c r="F7305" s="515"/>
      <c r="G7305" s="132" t="s">
        <v>1209</v>
      </c>
      <c r="J7305" s="120" t="s">
        <v>16</v>
      </c>
      <c r="K7305" s="207"/>
      <c r="L7305" s="207">
        <v>35480</v>
      </c>
    </row>
    <row r="7306" spans="1:15" ht="11.25" customHeight="1" x14ac:dyDescent="0.2">
      <c r="A7306" s="191">
        <v>2025</v>
      </c>
      <c r="B7306" s="191">
        <v>2</v>
      </c>
      <c r="C7306" s="191">
        <v>25</v>
      </c>
      <c r="D7306" s="192">
        <f t="shared" si="811"/>
        <v>45713</v>
      </c>
      <c r="E7306" s="193">
        <f t="shared" si="815"/>
        <v>45713</v>
      </c>
      <c r="F7306" s="514"/>
      <c r="G7306" s="194" t="s">
        <v>1209</v>
      </c>
      <c r="H7306" s="195"/>
      <c r="I7306" s="195"/>
      <c r="J7306" s="191" t="s">
        <v>47</v>
      </c>
      <c r="K7306" s="196"/>
      <c r="L7306" s="196">
        <v>9520</v>
      </c>
    </row>
    <row r="7307" spans="1:15" ht="11.25" customHeight="1" x14ac:dyDescent="0.2">
      <c r="A7307" s="197">
        <v>2025</v>
      </c>
      <c r="B7307" s="197">
        <v>2</v>
      </c>
      <c r="C7307" s="197">
        <v>26</v>
      </c>
      <c r="D7307" s="198">
        <f t="shared" si="811"/>
        <v>45714</v>
      </c>
      <c r="E7307" s="209">
        <f t="shared" si="815"/>
        <v>45714</v>
      </c>
      <c r="F7307" s="513" t="s">
        <v>1296</v>
      </c>
      <c r="G7307" s="200" t="s">
        <v>1209</v>
      </c>
      <c r="H7307" s="201"/>
      <c r="I7307" s="201"/>
      <c r="J7307" s="197" t="s">
        <v>46</v>
      </c>
      <c r="K7307" s="202">
        <v>366540</v>
      </c>
      <c r="L7307" s="202"/>
    </row>
    <row r="7308" spans="1:15" ht="11.25" customHeight="1" x14ac:dyDescent="0.2">
      <c r="A7308" s="120">
        <v>2025</v>
      </c>
      <c r="B7308" s="120">
        <v>2</v>
      </c>
      <c r="C7308" s="120">
        <v>26</v>
      </c>
      <c r="D7308" s="208">
        <f t="shared" si="811"/>
        <v>45714</v>
      </c>
      <c r="E7308" s="209">
        <f t="shared" si="815"/>
        <v>45714</v>
      </c>
      <c r="F7308" s="515"/>
      <c r="G7308" s="132" t="s">
        <v>1209</v>
      </c>
      <c r="J7308" s="120" t="s">
        <v>16</v>
      </c>
      <c r="K7308" s="207"/>
      <c r="L7308" s="207">
        <v>289040</v>
      </c>
    </row>
    <row r="7309" spans="1:15" ht="11.25" customHeight="1" x14ac:dyDescent="0.2">
      <c r="A7309" s="191">
        <v>2025</v>
      </c>
      <c r="B7309" s="191">
        <v>2</v>
      </c>
      <c r="C7309" s="191">
        <v>26</v>
      </c>
      <c r="D7309" s="192">
        <f t="shared" si="811"/>
        <v>45714</v>
      </c>
      <c r="E7309" s="193">
        <f t="shared" si="815"/>
        <v>45714</v>
      </c>
      <c r="F7309" s="514"/>
      <c r="G7309" s="194" t="s">
        <v>1209</v>
      </c>
      <c r="H7309" s="195"/>
      <c r="I7309" s="195"/>
      <c r="J7309" s="191" t="s">
        <v>47</v>
      </c>
      <c r="K7309" s="196"/>
      <c r="L7309" s="196">
        <v>77500</v>
      </c>
    </row>
    <row r="7310" spans="1:15" ht="11.25" customHeight="1" x14ac:dyDescent="0.2">
      <c r="A7310" s="197">
        <v>2025</v>
      </c>
      <c r="B7310" s="197">
        <v>2</v>
      </c>
      <c r="C7310" s="197">
        <v>26</v>
      </c>
      <c r="D7310" s="198">
        <f t="shared" si="811"/>
        <v>45714</v>
      </c>
      <c r="E7310" s="209">
        <f t="shared" si="815"/>
        <v>45714</v>
      </c>
      <c r="F7310" s="513" t="s">
        <v>1280</v>
      </c>
      <c r="G7310" s="200" t="s">
        <v>1209</v>
      </c>
      <c r="H7310" s="201"/>
      <c r="I7310" s="201" t="s">
        <v>386</v>
      </c>
      <c r="J7310" s="197" t="s">
        <v>16</v>
      </c>
      <c r="K7310" s="202">
        <v>11827790</v>
      </c>
      <c r="L7310" s="202"/>
      <c r="M7310" s="130"/>
      <c r="N7310" s="130"/>
    </row>
    <row r="7311" spans="1:15" ht="11.25" customHeight="1" x14ac:dyDescent="0.2">
      <c r="A7311" s="120">
        <v>2025</v>
      </c>
      <c r="B7311" s="120">
        <v>2</v>
      </c>
      <c r="C7311" s="120">
        <v>26</v>
      </c>
      <c r="D7311" s="208">
        <f t="shared" si="811"/>
        <v>45714</v>
      </c>
      <c r="E7311" s="209">
        <f t="shared" si="815"/>
        <v>45714</v>
      </c>
      <c r="F7311" s="515"/>
      <c r="G7311" s="132" t="s">
        <v>1209</v>
      </c>
      <c r="I7311" s="128" t="s">
        <v>386</v>
      </c>
      <c r="J7311" s="120" t="s">
        <v>47</v>
      </c>
      <c r="K7311" s="207">
        <v>3172210</v>
      </c>
      <c r="L7311" s="207"/>
      <c r="M7311" s="130"/>
      <c r="N7311" s="130"/>
    </row>
    <row r="7312" spans="1:15" ht="11.25" customHeight="1" x14ac:dyDescent="0.2">
      <c r="A7312" s="191">
        <v>2025</v>
      </c>
      <c r="B7312" s="191">
        <v>2</v>
      </c>
      <c r="C7312" s="191">
        <v>26</v>
      </c>
      <c r="D7312" s="192">
        <f t="shared" si="811"/>
        <v>45714</v>
      </c>
      <c r="E7312" s="193">
        <f t="shared" si="815"/>
        <v>45714</v>
      </c>
      <c r="F7312" s="514"/>
      <c r="G7312" s="194" t="s">
        <v>1209</v>
      </c>
      <c r="H7312" s="195"/>
      <c r="I7312" s="195" t="s">
        <v>386</v>
      </c>
      <c r="J7312" s="191" t="s">
        <v>46</v>
      </c>
      <c r="K7312" s="196"/>
      <c r="L7312" s="196">
        <v>15000000</v>
      </c>
      <c r="M7312" s="130"/>
      <c r="N7312" s="130"/>
    </row>
    <row r="7313" spans="1:15" ht="11.25" customHeight="1" x14ac:dyDescent="0.2">
      <c r="A7313" s="197">
        <v>2025</v>
      </c>
      <c r="B7313" s="197">
        <v>2</v>
      </c>
      <c r="C7313" s="197">
        <v>26</v>
      </c>
      <c r="D7313" s="198">
        <f t="shared" si="811"/>
        <v>45714</v>
      </c>
      <c r="E7313" s="209">
        <f t="shared" ref="E7313:E7315" si="816">DATE(A7313,B7313,C7313)</f>
        <v>45714</v>
      </c>
      <c r="F7313" s="513" t="s">
        <v>1210</v>
      </c>
      <c r="G7313" s="200" t="s">
        <v>1209</v>
      </c>
      <c r="H7313" s="201"/>
      <c r="I7313" s="201"/>
      <c r="J7313" s="197" t="s">
        <v>46</v>
      </c>
      <c r="K7313" s="202">
        <v>10000000</v>
      </c>
      <c r="L7313" s="202"/>
    </row>
    <row r="7314" spans="1:15" ht="11.25" customHeight="1" x14ac:dyDescent="0.2">
      <c r="A7314" s="120">
        <v>2025</v>
      </c>
      <c r="B7314" s="120">
        <v>2</v>
      </c>
      <c r="C7314" s="120">
        <v>26</v>
      </c>
      <c r="D7314" s="208">
        <f t="shared" si="811"/>
        <v>45714</v>
      </c>
      <c r="E7314" s="209">
        <f t="shared" si="816"/>
        <v>45714</v>
      </c>
      <c r="F7314" s="515"/>
      <c r="G7314" s="132" t="s">
        <v>1209</v>
      </c>
      <c r="J7314" s="120" t="s">
        <v>16</v>
      </c>
      <c r="K7314" s="207"/>
      <c r="L7314" s="207">
        <v>7885190</v>
      </c>
    </row>
    <row r="7315" spans="1:15" ht="11.25" customHeight="1" x14ac:dyDescent="0.2">
      <c r="A7315" s="191">
        <v>2025</v>
      </c>
      <c r="B7315" s="191">
        <v>2</v>
      </c>
      <c r="C7315" s="191">
        <v>26</v>
      </c>
      <c r="D7315" s="192">
        <f t="shared" si="811"/>
        <v>45714</v>
      </c>
      <c r="E7315" s="193">
        <f t="shared" si="816"/>
        <v>45714</v>
      </c>
      <c r="F7315" s="514"/>
      <c r="G7315" s="194" t="s">
        <v>1209</v>
      </c>
      <c r="H7315" s="195"/>
      <c r="I7315" s="195"/>
      <c r="J7315" s="191" t="s">
        <v>47</v>
      </c>
      <c r="K7315" s="196"/>
      <c r="L7315" s="196">
        <v>2114810</v>
      </c>
    </row>
    <row r="7316" spans="1:15" ht="11.25" customHeight="1" x14ac:dyDescent="0.2">
      <c r="A7316" s="197">
        <v>2025</v>
      </c>
      <c r="B7316" s="197">
        <v>2</v>
      </c>
      <c r="C7316" s="197">
        <v>26</v>
      </c>
      <c r="D7316" s="198">
        <f t="shared" si="811"/>
        <v>45714</v>
      </c>
      <c r="E7316" s="290">
        <f>DATE(A7316,B7316,C7316)</f>
        <v>45714</v>
      </c>
      <c r="F7316" s="513" t="s">
        <v>1514</v>
      </c>
      <c r="G7316" s="200" t="s">
        <v>1209</v>
      </c>
      <c r="H7316" s="201"/>
      <c r="I7316" s="201"/>
      <c r="J7316" s="197" t="s">
        <v>54</v>
      </c>
      <c r="K7316" s="202">
        <v>150</v>
      </c>
      <c r="L7316" s="202"/>
      <c r="M7316" s="251"/>
      <c r="N7316" s="251"/>
      <c r="O7316" s="251"/>
    </row>
    <row r="7317" spans="1:15" ht="11.25" customHeight="1" x14ac:dyDescent="0.2">
      <c r="A7317" s="191">
        <v>2025</v>
      </c>
      <c r="B7317" s="191">
        <v>2</v>
      </c>
      <c r="C7317" s="191">
        <v>26</v>
      </c>
      <c r="D7317" s="192">
        <f t="shared" si="811"/>
        <v>45714</v>
      </c>
      <c r="E7317" s="291">
        <f>DATE(A7317,B7317,C7317)</f>
        <v>45714</v>
      </c>
      <c r="F7317" s="514"/>
      <c r="G7317" s="194" t="s">
        <v>1209</v>
      </c>
      <c r="H7317" s="195"/>
      <c r="I7317" s="195"/>
      <c r="J7317" s="191" t="s">
        <v>46</v>
      </c>
      <c r="K7317" s="196"/>
      <c r="L7317" s="196">
        <v>150</v>
      </c>
      <c r="M7317" s="251"/>
      <c r="N7317" s="251"/>
      <c r="O7317" s="251"/>
    </row>
    <row r="7318" spans="1:15" ht="11.25" customHeight="1" x14ac:dyDescent="0.2">
      <c r="A7318" s="197">
        <v>2025</v>
      </c>
      <c r="B7318" s="197">
        <v>2</v>
      </c>
      <c r="C7318" s="197">
        <v>26</v>
      </c>
      <c r="D7318" s="198">
        <f t="shared" si="811"/>
        <v>45714</v>
      </c>
      <c r="E7318" s="199">
        <f t="shared" ref="E7318:E7331" si="817">DATE(A7318,B7318,C7318)</f>
        <v>45714</v>
      </c>
      <c r="F7318" s="513" t="s">
        <v>1985</v>
      </c>
      <c r="G7318" s="200" t="s">
        <v>1209</v>
      </c>
      <c r="H7318" s="201"/>
      <c r="I7318" s="201"/>
      <c r="J7318" s="197" t="s">
        <v>43</v>
      </c>
      <c r="K7318" s="202">
        <v>66951.698778622478</v>
      </c>
      <c r="L7318" s="202"/>
    </row>
    <row r="7319" spans="1:15" ht="11.25" customHeight="1" x14ac:dyDescent="0.2">
      <c r="A7319" s="120">
        <v>2025</v>
      </c>
      <c r="B7319" s="120">
        <v>2</v>
      </c>
      <c r="C7319" s="120">
        <v>26</v>
      </c>
      <c r="D7319" s="208">
        <f t="shared" si="811"/>
        <v>45714</v>
      </c>
      <c r="E7319" s="209">
        <f t="shared" ref="E7319:E7320" si="818">DATE(A7319,B7319,C7319)</f>
        <v>45714</v>
      </c>
      <c r="F7319" s="515"/>
      <c r="G7319" s="132" t="s">
        <v>1209</v>
      </c>
      <c r="J7319" s="120" t="s">
        <v>173</v>
      </c>
      <c r="K7319" s="207">
        <v>32195.38</v>
      </c>
      <c r="L7319" s="207"/>
    </row>
    <row r="7320" spans="1:15" ht="11.25" customHeight="1" x14ac:dyDescent="0.2">
      <c r="A7320" s="120">
        <v>2025</v>
      </c>
      <c r="B7320" s="120">
        <v>2</v>
      </c>
      <c r="C7320" s="120">
        <v>26</v>
      </c>
      <c r="D7320" s="208">
        <f t="shared" si="811"/>
        <v>45714</v>
      </c>
      <c r="E7320" s="209">
        <f t="shared" si="818"/>
        <v>45714</v>
      </c>
      <c r="F7320" s="515"/>
      <c r="G7320" s="132" t="s">
        <v>1209</v>
      </c>
      <c r="J7320" s="120" t="s">
        <v>173</v>
      </c>
      <c r="K7320" s="207">
        <v>14872.06</v>
      </c>
      <c r="L7320" s="207"/>
    </row>
    <row r="7321" spans="1:15" ht="11.25" customHeight="1" x14ac:dyDescent="0.2">
      <c r="A7321" s="120">
        <v>2025</v>
      </c>
      <c r="B7321" s="120">
        <v>2</v>
      </c>
      <c r="C7321" s="120">
        <v>26</v>
      </c>
      <c r="D7321" s="208">
        <f t="shared" si="811"/>
        <v>45714</v>
      </c>
      <c r="E7321" s="209">
        <f t="shared" ref="E7321" si="819">DATE(A7321,B7321,C7321)</f>
        <v>45714</v>
      </c>
      <c r="F7321" s="515"/>
      <c r="G7321" s="132" t="s">
        <v>1209</v>
      </c>
      <c r="J7321" s="120" t="s">
        <v>43</v>
      </c>
      <c r="K7321" s="207"/>
      <c r="L7321" s="207">
        <v>14872.06</v>
      </c>
    </row>
    <row r="7322" spans="1:15" ht="11.25" customHeight="1" x14ac:dyDescent="0.2">
      <c r="A7322" s="120">
        <v>2025</v>
      </c>
      <c r="B7322" s="120">
        <v>2</v>
      </c>
      <c r="C7322" s="120">
        <v>26</v>
      </c>
      <c r="D7322" s="208">
        <f t="shared" si="811"/>
        <v>45714</v>
      </c>
      <c r="E7322" s="209">
        <f t="shared" si="817"/>
        <v>45714</v>
      </c>
      <c r="F7322" s="515"/>
      <c r="G7322" s="132" t="s">
        <v>1209</v>
      </c>
      <c r="J7322" s="120" t="s">
        <v>457</v>
      </c>
      <c r="K7322" s="207"/>
      <c r="L7322" s="207">
        <v>9914.7099999999991</v>
      </c>
    </row>
    <row r="7323" spans="1:15" ht="11.25" customHeight="1" x14ac:dyDescent="0.2">
      <c r="A7323" s="191">
        <v>2025</v>
      </c>
      <c r="B7323" s="191">
        <v>2</v>
      </c>
      <c r="C7323" s="191">
        <v>26</v>
      </c>
      <c r="D7323" s="192">
        <f t="shared" si="811"/>
        <v>45714</v>
      </c>
      <c r="E7323" s="193">
        <f t="shared" si="817"/>
        <v>45714</v>
      </c>
      <c r="F7323" s="514"/>
      <c r="G7323" s="194" t="s">
        <v>1209</v>
      </c>
      <c r="H7323" s="195"/>
      <c r="I7323" s="195"/>
      <c r="J7323" s="191" t="s">
        <v>46</v>
      </c>
      <c r="K7323" s="196"/>
      <c r="L7323" s="196">
        <v>89232.37</v>
      </c>
    </row>
    <row r="7324" spans="1:15" ht="11.25" customHeight="1" x14ac:dyDescent="0.2">
      <c r="A7324" s="197">
        <v>2025</v>
      </c>
      <c r="B7324" s="197">
        <v>2</v>
      </c>
      <c r="C7324" s="197">
        <v>26</v>
      </c>
      <c r="D7324" s="198">
        <f t="shared" si="811"/>
        <v>45714</v>
      </c>
      <c r="E7324" s="199">
        <f t="shared" si="817"/>
        <v>45714</v>
      </c>
      <c r="F7324" s="513" t="s">
        <v>1389</v>
      </c>
      <c r="G7324" s="200" t="s">
        <v>1209</v>
      </c>
      <c r="H7324" s="200"/>
      <c r="I7324" s="201" t="s">
        <v>1253</v>
      </c>
      <c r="J7324" s="248" t="s">
        <v>84</v>
      </c>
      <c r="K7324" s="202">
        <v>25</v>
      </c>
      <c r="L7324" s="202"/>
      <c r="M7324" s="251"/>
    </row>
    <row r="7325" spans="1:15" ht="11.25" customHeight="1" x14ac:dyDescent="0.2">
      <c r="A7325" s="120">
        <v>2025</v>
      </c>
      <c r="B7325" s="120">
        <v>2</v>
      </c>
      <c r="C7325" s="120">
        <v>26</v>
      </c>
      <c r="D7325" s="208">
        <f t="shared" si="811"/>
        <v>45714</v>
      </c>
      <c r="E7325" s="209">
        <f t="shared" si="817"/>
        <v>45714</v>
      </c>
      <c r="F7325" s="515"/>
      <c r="G7325" s="132" t="s">
        <v>1209</v>
      </c>
      <c r="H7325" s="132"/>
      <c r="J7325" s="129" t="s">
        <v>457</v>
      </c>
      <c r="K7325" s="207"/>
      <c r="L7325" s="207">
        <v>2.5</v>
      </c>
      <c r="M7325" s="251"/>
    </row>
    <row r="7326" spans="1:15" ht="11.25" customHeight="1" x14ac:dyDescent="0.2">
      <c r="A7326" s="191">
        <v>2025</v>
      </c>
      <c r="B7326" s="191">
        <v>2</v>
      </c>
      <c r="C7326" s="191">
        <v>26</v>
      </c>
      <c r="D7326" s="192">
        <f t="shared" si="811"/>
        <v>45714</v>
      </c>
      <c r="E7326" s="193">
        <f t="shared" si="817"/>
        <v>45714</v>
      </c>
      <c r="F7326" s="514"/>
      <c r="G7326" s="194" t="s">
        <v>1209</v>
      </c>
      <c r="H7326" s="194"/>
      <c r="I7326" s="195" t="s">
        <v>1253</v>
      </c>
      <c r="J7326" s="250" t="s">
        <v>46</v>
      </c>
      <c r="K7326" s="196"/>
      <c r="L7326" s="196">
        <v>22.5</v>
      </c>
      <c r="M7326" s="251"/>
    </row>
    <row r="7327" spans="1:15" ht="11.25" customHeight="1" x14ac:dyDescent="0.2">
      <c r="A7327" s="197">
        <v>2025</v>
      </c>
      <c r="B7327" s="197">
        <v>2</v>
      </c>
      <c r="C7327" s="197">
        <v>27</v>
      </c>
      <c r="D7327" s="198">
        <f t="shared" si="811"/>
        <v>45715</v>
      </c>
      <c r="E7327" s="290">
        <f t="shared" si="817"/>
        <v>45715</v>
      </c>
      <c r="F7327" s="513" t="s">
        <v>1986</v>
      </c>
      <c r="G7327" s="200" t="s">
        <v>1209</v>
      </c>
      <c r="H7327" s="201"/>
      <c r="I7327" s="201" t="s">
        <v>1253</v>
      </c>
      <c r="J7327" s="197" t="s">
        <v>46</v>
      </c>
      <c r="K7327" s="202">
        <v>77955</v>
      </c>
      <c r="L7327" s="202"/>
    </row>
    <row r="7328" spans="1:15" ht="11.25" customHeight="1" x14ac:dyDescent="0.2">
      <c r="A7328" s="191">
        <v>2025</v>
      </c>
      <c r="B7328" s="191">
        <v>2</v>
      </c>
      <c r="C7328" s="191">
        <v>27</v>
      </c>
      <c r="D7328" s="192">
        <f t="shared" si="811"/>
        <v>45715</v>
      </c>
      <c r="E7328" s="291">
        <f t="shared" si="817"/>
        <v>45715</v>
      </c>
      <c r="F7328" s="514"/>
      <c r="G7328" s="194" t="s">
        <v>1209</v>
      </c>
      <c r="H7328" s="195"/>
      <c r="I7328" s="195" t="s">
        <v>1253</v>
      </c>
      <c r="J7328" s="191" t="s">
        <v>113</v>
      </c>
      <c r="K7328" s="196"/>
      <c r="L7328" s="196">
        <v>77955</v>
      </c>
    </row>
    <row r="7329" spans="1:15" ht="11.25" customHeight="1" x14ac:dyDescent="0.2">
      <c r="A7329" s="197">
        <v>2025</v>
      </c>
      <c r="B7329" s="197">
        <v>2</v>
      </c>
      <c r="C7329" s="197">
        <v>27</v>
      </c>
      <c r="D7329" s="198">
        <f t="shared" si="811"/>
        <v>45715</v>
      </c>
      <c r="E7329" s="209">
        <f t="shared" si="817"/>
        <v>45715</v>
      </c>
      <c r="F7329" s="513" t="s">
        <v>1210</v>
      </c>
      <c r="G7329" s="200" t="s">
        <v>1209</v>
      </c>
      <c r="H7329" s="201"/>
      <c r="I7329" s="201"/>
      <c r="J7329" s="197" t="s">
        <v>46</v>
      </c>
      <c r="K7329" s="202">
        <v>2500000</v>
      </c>
      <c r="L7329" s="202"/>
    </row>
    <row r="7330" spans="1:15" ht="11.25" customHeight="1" x14ac:dyDescent="0.2">
      <c r="A7330" s="120">
        <v>2025</v>
      </c>
      <c r="B7330" s="120">
        <v>2</v>
      </c>
      <c r="C7330" s="120">
        <v>27</v>
      </c>
      <c r="D7330" s="208">
        <f t="shared" si="811"/>
        <v>45715</v>
      </c>
      <c r="E7330" s="209">
        <f t="shared" si="817"/>
        <v>45715</v>
      </c>
      <c r="F7330" s="515"/>
      <c r="G7330" s="132" t="s">
        <v>1209</v>
      </c>
      <c r="J7330" s="120" t="s">
        <v>16</v>
      </c>
      <c r="K7330" s="207"/>
      <c r="L7330" s="207">
        <v>1971300</v>
      </c>
    </row>
    <row r="7331" spans="1:15" ht="11.25" customHeight="1" x14ac:dyDescent="0.2">
      <c r="A7331" s="191">
        <v>2025</v>
      </c>
      <c r="B7331" s="191">
        <v>2</v>
      </c>
      <c r="C7331" s="191">
        <v>27</v>
      </c>
      <c r="D7331" s="192">
        <f t="shared" si="811"/>
        <v>45715</v>
      </c>
      <c r="E7331" s="193">
        <f t="shared" si="817"/>
        <v>45715</v>
      </c>
      <c r="F7331" s="514"/>
      <c r="G7331" s="194" t="s">
        <v>1209</v>
      </c>
      <c r="H7331" s="195"/>
      <c r="I7331" s="195"/>
      <c r="J7331" s="191" t="s">
        <v>47</v>
      </c>
      <c r="K7331" s="196"/>
      <c r="L7331" s="196">
        <v>528700</v>
      </c>
    </row>
    <row r="7332" spans="1:15" ht="11.25" customHeight="1" x14ac:dyDescent="0.2">
      <c r="A7332" s="197">
        <v>2025</v>
      </c>
      <c r="B7332" s="197">
        <v>2</v>
      </c>
      <c r="C7332" s="197">
        <v>27</v>
      </c>
      <c r="D7332" s="198">
        <f t="shared" si="811"/>
        <v>45715</v>
      </c>
      <c r="E7332" s="290">
        <f>DATE(A7332,B7332,C7332)</f>
        <v>45715</v>
      </c>
      <c r="F7332" s="513" t="s">
        <v>1514</v>
      </c>
      <c r="G7332" s="200" t="s">
        <v>1209</v>
      </c>
      <c r="H7332" s="201"/>
      <c r="I7332" s="201"/>
      <c r="J7332" s="197" t="s">
        <v>54</v>
      </c>
      <c r="K7332" s="202">
        <v>60</v>
      </c>
      <c r="L7332" s="202"/>
      <c r="M7332" s="251"/>
      <c r="N7332" s="251"/>
      <c r="O7332" s="251"/>
    </row>
    <row r="7333" spans="1:15" ht="11.25" customHeight="1" x14ac:dyDescent="0.2">
      <c r="A7333" s="191">
        <v>2025</v>
      </c>
      <c r="B7333" s="191">
        <v>2</v>
      </c>
      <c r="C7333" s="191">
        <v>27</v>
      </c>
      <c r="D7333" s="192">
        <f t="shared" si="811"/>
        <v>45715</v>
      </c>
      <c r="E7333" s="291">
        <f>DATE(A7333,B7333,C7333)</f>
        <v>45715</v>
      </c>
      <c r="F7333" s="514"/>
      <c r="G7333" s="194" t="s">
        <v>1209</v>
      </c>
      <c r="H7333" s="195"/>
      <c r="I7333" s="195"/>
      <c r="J7333" s="191" t="s">
        <v>46</v>
      </c>
      <c r="K7333" s="196"/>
      <c r="L7333" s="196">
        <v>60</v>
      </c>
      <c r="M7333" s="251"/>
      <c r="N7333" s="251"/>
      <c r="O7333" s="251"/>
    </row>
    <row r="7334" spans="1:15" ht="11.25" customHeight="1" x14ac:dyDescent="0.2">
      <c r="A7334" s="197">
        <v>2025</v>
      </c>
      <c r="B7334" s="197">
        <v>2</v>
      </c>
      <c r="C7334" s="197">
        <v>27</v>
      </c>
      <c r="D7334" s="198">
        <f t="shared" si="811"/>
        <v>45715</v>
      </c>
      <c r="E7334" s="209">
        <f t="shared" ref="E7334:E7339" si="820">DATE(A7334,B7334,C7334)</f>
        <v>45715</v>
      </c>
      <c r="F7334" s="513" t="s">
        <v>1210</v>
      </c>
      <c r="G7334" s="200" t="s">
        <v>1209</v>
      </c>
      <c r="H7334" s="201"/>
      <c r="I7334" s="201" t="s">
        <v>384</v>
      </c>
      <c r="J7334" s="197" t="s">
        <v>46</v>
      </c>
      <c r="K7334" s="202">
        <v>700000</v>
      </c>
      <c r="L7334" s="202"/>
    </row>
    <row r="7335" spans="1:15" ht="11.25" customHeight="1" x14ac:dyDescent="0.2">
      <c r="A7335" s="120">
        <v>2025</v>
      </c>
      <c r="B7335" s="120">
        <v>2</v>
      </c>
      <c r="C7335" s="120">
        <v>27</v>
      </c>
      <c r="D7335" s="208">
        <f t="shared" si="811"/>
        <v>45715</v>
      </c>
      <c r="E7335" s="209">
        <f t="shared" si="820"/>
        <v>45715</v>
      </c>
      <c r="F7335" s="515"/>
      <c r="G7335" s="132" t="s">
        <v>1209</v>
      </c>
      <c r="I7335" s="128" t="s">
        <v>384</v>
      </c>
      <c r="J7335" s="120" t="s">
        <v>16</v>
      </c>
      <c r="K7335" s="207"/>
      <c r="L7335" s="207">
        <v>551960</v>
      </c>
    </row>
    <row r="7336" spans="1:15" ht="11.25" customHeight="1" x14ac:dyDescent="0.2">
      <c r="A7336" s="191">
        <v>2025</v>
      </c>
      <c r="B7336" s="191">
        <v>2</v>
      </c>
      <c r="C7336" s="191">
        <v>27</v>
      </c>
      <c r="D7336" s="192">
        <f t="shared" si="811"/>
        <v>45715</v>
      </c>
      <c r="E7336" s="193">
        <f t="shared" si="820"/>
        <v>45715</v>
      </c>
      <c r="F7336" s="514"/>
      <c r="G7336" s="194" t="s">
        <v>1209</v>
      </c>
      <c r="H7336" s="195"/>
      <c r="I7336" s="195" t="s">
        <v>384</v>
      </c>
      <c r="J7336" s="191" t="s">
        <v>47</v>
      </c>
      <c r="K7336" s="196"/>
      <c r="L7336" s="196">
        <v>148040</v>
      </c>
    </row>
    <row r="7337" spans="1:15" ht="11.25" customHeight="1" x14ac:dyDescent="0.2">
      <c r="A7337" s="197">
        <v>2025</v>
      </c>
      <c r="B7337" s="197">
        <v>2</v>
      </c>
      <c r="C7337" s="197">
        <v>27</v>
      </c>
      <c r="D7337" s="198">
        <f t="shared" si="811"/>
        <v>45715</v>
      </c>
      <c r="E7337" s="209">
        <f t="shared" si="820"/>
        <v>45715</v>
      </c>
      <c r="F7337" s="513" t="s">
        <v>1280</v>
      </c>
      <c r="G7337" s="200" t="s">
        <v>1209</v>
      </c>
      <c r="H7337" s="201"/>
      <c r="I7337" s="201"/>
      <c r="J7337" s="197" t="s">
        <v>16</v>
      </c>
      <c r="K7337" s="202">
        <v>14580</v>
      </c>
      <c r="L7337" s="202"/>
    </row>
    <row r="7338" spans="1:15" ht="11.25" customHeight="1" x14ac:dyDescent="0.2">
      <c r="A7338" s="120">
        <v>2025</v>
      </c>
      <c r="B7338" s="120">
        <v>2</v>
      </c>
      <c r="C7338" s="120">
        <v>27</v>
      </c>
      <c r="D7338" s="208">
        <f t="shared" si="811"/>
        <v>45715</v>
      </c>
      <c r="E7338" s="209">
        <f t="shared" si="820"/>
        <v>45715</v>
      </c>
      <c r="F7338" s="515"/>
      <c r="G7338" s="132" t="s">
        <v>1209</v>
      </c>
      <c r="J7338" s="120" t="s">
        <v>47</v>
      </c>
      <c r="K7338" s="207">
        <v>3920</v>
      </c>
      <c r="L7338" s="207"/>
    </row>
    <row r="7339" spans="1:15" ht="11.25" customHeight="1" x14ac:dyDescent="0.2">
      <c r="A7339" s="191">
        <v>2025</v>
      </c>
      <c r="B7339" s="191">
        <v>2</v>
      </c>
      <c r="C7339" s="191">
        <v>27</v>
      </c>
      <c r="D7339" s="192">
        <f t="shared" si="811"/>
        <v>45715</v>
      </c>
      <c r="E7339" s="193">
        <f t="shared" si="820"/>
        <v>45715</v>
      </c>
      <c r="F7339" s="514"/>
      <c r="G7339" s="194" t="s">
        <v>1209</v>
      </c>
      <c r="H7339" s="195"/>
      <c r="I7339" s="195"/>
      <c r="J7339" s="191" t="s">
        <v>46</v>
      </c>
      <c r="K7339" s="196"/>
      <c r="L7339" s="196">
        <v>18500</v>
      </c>
    </row>
    <row r="7340" spans="1:15" ht="11.25" customHeight="1" x14ac:dyDescent="0.2">
      <c r="A7340" s="197">
        <v>2025</v>
      </c>
      <c r="B7340" s="197">
        <v>2</v>
      </c>
      <c r="C7340" s="197">
        <v>27</v>
      </c>
      <c r="D7340" s="198">
        <f t="shared" ref="D7340:D7403" si="821">DATE(A7340,B7340,C7340)</f>
        <v>45715</v>
      </c>
      <c r="E7340" s="290">
        <f>DATE(A7340,B7340,C7340)</f>
        <v>45715</v>
      </c>
      <c r="F7340" s="513" t="s">
        <v>1527</v>
      </c>
      <c r="G7340" s="200" t="s">
        <v>1209</v>
      </c>
      <c r="H7340" s="201"/>
      <c r="I7340" s="201"/>
      <c r="J7340" s="197" t="s">
        <v>54</v>
      </c>
      <c r="K7340" s="202">
        <v>60</v>
      </c>
      <c r="L7340" s="202"/>
      <c r="M7340" s="251"/>
      <c r="N7340" s="251"/>
      <c r="O7340" s="251"/>
    </row>
    <row r="7341" spans="1:15" ht="11.25" customHeight="1" x14ac:dyDescent="0.2">
      <c r="A7341" s="191">
        <v>2025</v>
      </c>
      <c r="B7341" s="191">
        <v>2</v>
      </c>
      <c r="C7341" s="191">
        <v>27</v>
      </c>
      <c r="D7341" s="192">
        <f t="shared" si="821"/>
        <v>45715</v>
      </c>
      <c r="E7341" s="291">
        <f>DATE(A7341,B7341,C7341)</f>
        <v>45715</v>
      </c>
      <c r="F7341" s="514"/>
      <c r="G7341" s="194" t="s">
        <v>1209</v>
      </c>
      <c r="H7341" s="195"/>
      <c r="I7341" s="195"/>
      <c r="J7341" s="191" t="s">
        <v>46</v>
      </c>
      <c r="K7341" s="196"/>
      <c r="L7341" s="196">
        <v>60</v>
      </c>
      <c r="M7341" s="251"/>
      <c r="N7341" s="251"/>
      <c r="O7341" s="251"/>
    </row>
    <row r="7342" spans="1:15" ht="11.25" customHeight="1" x14ac:dyDescent="0.2">
      <c r="A7342" s="424">
        <v>2025</v>
      </c>
      <c r="B7342" s="424">
        <v>2</v>
      </c>
      <c r="C7342" s="424">
        <v>27</v>
      </c>
      <c r="D7342" s="425">
        <f t="shared" si="821"/>
        <v>45715</v>
      </c>
      <c r="E7342" s="384">
        <f t="shared" si="815"/>
        <v>45715</v>
      </c>
      <c r="F7342" s="516" t="s">
        <v>1850</v>
      </c>
      <c r="G7342" s="426" t="s">
        <v>1209</v>
      </c>
      <c r="H7342" s="427"/>
      <c r="I7342" s="427"/>
      <c r="J7342" s="428" t="s">
        <v>81</v>
      </c>
      <c r="K7342" s="429">
        <v>6973.2450980392159</v>
      </c>
      <c r="L7342" s="429"/>
      <c r="M7342" s="130"/>
    </row>
    <row r="7343" spans="1:15" ht="11.25" customHeight="1" x14ac:dyDescent="0.2">
      <c r="A7343" s="389">
        <v>2025</v>
      </c>
      <c r="B7343" s="389">
        <v>2</v>
      </c>
      <c r="C7343" s="389">
        <v>27</v>
      </c>
      <c r="D7343" s="390">
        <f t="shared" si="821"/>
        <v>45715</v>
      </c>
      <c r="E7343" s="391">
        <f t="shared" si="815"/>
        <v>45715</v>
      </c>
      <c r="F7343" s="517"/>
      <c r="G7343" s="392" t="s">
        <v>1209</v>
      </c>
      <c r="H7343" s="393"/>
      <c r="I7343" s="393"/>
      <c r="J7343" s="394" t="s">
        <v>1847</v>
      </c>
      <c r="K7343" s="423"/>
      <c r="L7343" s="423">
        <v>6973.2450980392159</v>
      </c>
    </row>
    <row r="7344" spans="1:15" ht="11.25" customHeight="1" x14ac:dyDescent="0.2">
      <c r="A7344" s="382">
        <v>2025</v>
      </c>
      <c r="B7344" s="382">
        <v>2</v>
      </c>
      <c r="C7344" s="382">
        <v>27</v>
      </c>
      <c r="D7344" s="383">
        <f t="shared" si="821"/>
        <v>45715</v>
      </c>
      <c r="E7344" s="384">
        <f t="shared" si="815"/>
        <v>45715</v>
      </c>
      <c r="F7344" s="516" t="s">
        <v>1892</v>
      </c>
      <c r="G7344" s="385" t="s">
        <v>1209</v>
      </c>
      <c r="H7344" s="386"/>
      <c r="I7344" s="386"/>
      <c r="J7344" s="387" t="s">
        <v>173</v>
      </c>
      <c r="K7344" s="388">
        <v>5387.6630274791651</v>
      </c>
      <c r="L7344" s="388"/>
      <c r="M7344" s="130"/>
    </row>
    <row r="7345" spans="1:13" ht="11.25" customHeight="1" x14ac:dyDescent="0.2">
      <c r="A7345" s="389">
        <v>2025</v>
      </c>
      <c r="B7345" s="389">
        <v>2</v>
      </c>
      <c r="C7345" s="389">
        <v>27</v>
      </c>
      <c r="D7345" s="390">
        <f t="shared" si="821"/>
        <v>45715</v>
      </c>
      <c r="E7345" s="391">
        <f t="shared" si="815"/>
        <v>45715</v>
      </c>
      <c r="F7345" s="517"/>
      <c r="G7345" s="392" t="s">
        <v>1209</v>
      </c>
      <c r="H7345" s="393"/>
      <c r="I7345" s="393"/>
      <c r="J7345" s="394" t="s">
        <v>43</v>
      </c>
      <c r="K7345" s="388"/>
      <c r="L7345" s="388">
        <f>K7344</f>
        <v>5387.6630274791651</v>
      </c>
    </row>
    <row r="7346" spans="1:13" ht="11.25" customHeight="1" x14ac:dyDescent="0.2">
      <c r="A7346" s="344">
        <v>2025</v>
      </c>
      <c r="B7346" s="344">
        <v>2</v>
      </c>
      <c r="C7346" s="344">
        <v>27</v>
      </c>
      <c r="D7346" s="345">
        <f t="shared" si="821"/>
        <v>45715</v>
      </c>
      <c r="E7346" s="346">
        <f t="shared" si="815"/>
        <v>45715</v>
      </c>
      <c r="F7346" s="518" t="s">
        <v>1982</v>
      </c>
      <c r="G7346" s="347" t="s">
        <v>1245</v>
      </c>
      <c r="H7346" s="348"/>
      <c r="I7346" s="348" t="s">
        <v>1253</v>
      </c>
      <c r="J7346" s="344" t="s">
        <v>1978</v>
      </c>
      <c r="K7346" s="349">
        <v>145230.76923076922</v>
      </c>
      <c r="L7346" s="349"/>
      <c r="M7346" s="130"/>
    </row>
    <row r="7347" spans="1:13" ht="11.25" customHeight="1" x14ac:dyDescent="0.2">
      <c r="A7347" s="350">
        <v>2025</v>
      </c>
      <c r="B7347" s="350">
        <v>2</v>
      </c>
      <c r="C7347" s="350">
        <v>27</v>
      </c>
      <c r="D7347" s="351">
        <f t="shared" si="821"/>
        <v>45715</v>
      </c>
      <c r="E7347" s="352">
        <f t="shared" si="815"/>
        <v>45715</v>
      </c>
      <c r="F7347" s="519"/>
      <c r="G7347" s="353" t="s">
        <v>1245</v>
      </c>
      <c r="H7347" s="354"/>
      <c r="I7347" s="354" t="s">
        <v>1253</v>
      </c>
      <c r="J7347" s="350" t="s">
        <v>1979</v>
      </c>
      <c r="K7347" s="355"/>
      <c r="L7347" s="355">
        <f>K7346</f>
        <v>145230.76923076922</v>
      </c>
    </row>
    <row r="7348" spans="1:13" ht="11.25" customHeight="1" x14ac:dyDescent="0.2">
      <c r="A7348" s="344">
        <v>2025</v>
      </c>
      <c r="B7348" s="344">
        <v>2</v>
      </c>
      <c r="C7348" s="344">
        <v>27</v>
      </c>
      <c r="D7348" s="345">
        <f t="shared" si="821"/>
        <v>45715</v>
      </c>
      <c r="E7348" s="346">
        <f>DATE(A7348,B7348,C7348)</f>
        <v>45715</v>
      </c>
      <c r="F7348" s="518" t="s">
        <v>1988</v>
      </c>
      <c r="G7348" s="347" t="s">
        <v>1245</v>
      </c>
      <c r="H7348" s="348"/>
      <c r="I7348" s="348" t="s">
        <v>1253</v>
      </c>
      <c r="J7348" s="344" t="s">
        <v>113</v>
      </c>
      <c r="K7348" s="349">
        <v>32846.15</v>
      </c>
      <c r="L7348" s="349"/>
      <c r="M7348" s="130"/>
    </row>
    <row r="7349" spans="1:13" ht="11.25" customHeight="1" x14ac:dyDescent="0.2">
      <c r="A7349" s="350">
        <v>2025</v>
      </c>
      <c r="B7349" s="350">
        <v>2</v>
      </c>
      <c r="C7349" s="350">
        <v>27</v>
      </c>
      <c r="D7349" s="351">
        <f t="shared" si="821"/>
        <v>45715</v>
      </c>
      <c r="E7349" s="352">
        <f>DATE(A7349,B7349,C7349)</f>
        <v>45715</v>
      </c>
      <c r="F7349" s="519"/>
      <c r="G7349" s="353" t="s">
        <v>1245</v>
      </c>
      <c r="H7349" s="354"/>
      <c r="I7349" s="354" t="s">
        <v>1253</v>
      </c>
      <c r="J7349" s="350" t="s">
        <v>153</v>
      </c>
      <c r="K7349" s="355"/>
      <c r="L7349" s="355">
        <f>K7348</f>
        <v>32846.15</v>
      </c>
    </row>
    <row r="7350" spans="1:13" ht="11.25" customHeight="1" x14ac:dyDescent="0.2">
      <c r="A7350" s="344">
        <v>2025</v>
      </c>
      <c r="B7350" s="344">
        <v>2</v>
      </c>
      <c r="C7350" s="344">
        <v>27</v>
      </c>
      <c r="D7350" s="345">
        <f t="shared" si="821"/>
        <v>45715</v>
      </c>
      <c r="E7350" s="346">
        <f t="shared" si="815"/>
        <v>45715</v>
      </c>
      <c r="F7350" s="518" t="s">
        <v>1989</v>
      </c>
      <c r="G7350" s="347" t="s">
        <v>1245</v>
      </c>
      <c r="H7350" s="348"/>
      <c r="I7350" s="348" t="s">
        <v>1253</v>
      </c>
      <c r="J7350" s="344" t="s">
        <v>113</v>
      </c>
      <c r="K7350" s="349">
        <v>31282.06</v>
      </c>
      <c r="L7350" s="349"/>
      <c r="M7350" s="130"/>
    </row>
    <row r="7351" spans="1:13" ht="11.25" customHeight="1" x14ac:dyDescent="0.2">
      <c r="A7351" s="350">
        <v>2025</v>
      </c>
      <c r="B7351" s="350">
        <v>2</v>
      </c>
      <c r="C7351" s="350">
        <v>27</v>
      </c>
      <c r="D7351" s="351">
        <f t="shared" si="821"/>
        <v>45715</v>
      </c>
      <c r="E7351" s="352">
        <f t="shared" si="815"/>
        <v>45715</v>
      </c>
      <c r="F7351" s="519"/>
      <c r="G7351" s="353" t="s">
        <v>1245</v>
      </c>
      <c r="H7351" s="354"/>
      <c r="I7351" s="354" t="s">
        <v>1253</v>
      </c>
      <c r="J7351" s="350" t="s">
        <v>153</v>
      </c>
      <c r="K7351" s="355"/>
      <c r="L7351" s="355">
        <f>K7350</f>
        <v>31282.06</v>
      </c>
    </row>
    <row r="7352" spans="1:13" ht="11.25" customHeight="1" x14ac:dyDescent="0.2">
      <c r="A7352" s="344">
        <v>2025</v>
      </c>
      <c r="B7352" s="344">
        <v>2</v>
      </c>
      <c r="C7352" s="344">
        <v>27</v>
      </c>
      <c r="D7352" s="345">
        <f t="shared" si="821"/>
        <v>45715</v>
      </c>
      <c r="E7352" s="346">
        <f t="shared" si="815"/>
        <v>45715</v>
      </c>
      <c r="F7352" s="518" t="s">
        <v>1990</v>
      </c>
      <c r="G7352" s="347" t="s">
        <v>1245</v>
      </c>
      <c r="H7352" s="348"/>
      <c r="I7352" s="348" t="s">
        <v>1253</v>
      </c>
      <c r="J7352" s="344" t="s">
        <v>113</v>
      </c>
      <c r="K7352" s="349">
        <v>93846.16</v>
      </c>
      <c r="L7352" s="349"/>
      <c r="M7352" s="130"/>
    </row>
    <row r="7353" spans="1:13" ht="11.25" customHeight="1" x14ac:dyDescent="0.2">
      <c r="A7353" s="350">
        <v>2025</v>
      </c>
      <c r="B7353" s="350">
        <v>2</v>
      </c>
      <c r="C7353" s="350">
        <v>27</v>
      </c>
      <c r="D7353" s="351">
        <f t="shared" si="821"/>
        <v>45715</v>
      </c>
      <c r="E7353" s="352">
        <f t="shared" si="815"/>
        <v>45715</v>
      </c>
      <c r="F7353" s="519"/>
      <c r="G7353" s="353" t="s">
        <v>1245</v>
      </c>
      <c r="H7353" s="354"/>
      <c r="I7353" s="354" t="s">
        <v>1253</v>
      </c>
      <c r="J7353" s="350" t="s">
        <v>153</v>
      </c>
      <c r="K7353" s="355"/>
      <c r="L7353" s="355">
        <f>K7352</f>
        <v>93846.16</v>
      </c>
    </row>
    <row r="7354" spans="1:13" ht="11.25" customHeight="1" x14ac:dyDescent="0.2">
      <c r="A7354" s="344">
        <v>2025</v>
      </c>
      <c r="B7354" s="344">
        <v>2</v>
      </c>
      <c r="C7354" s="344">
        <v>27</v>
      </c>
      <c r="D7354" s="345">
        <f t="shared" si="821"/>
        <v>45715</v>
      </c>
      <c r="E7354" s="346">
        <f t="shared" si="815"/>
        <v>45715</v>
      </c>
      <c r="F7354" s="518" t="s">
        <v>2039</v>
      </c>
      <c r="G7354" s="347" t="s">
        <v>1245</v>
      </c>
      <c r="H7354" s="348"/>
      <c r="I7354" s="348" t="s">
        <v>1253</v>
      </c>
      <c r="J7354" s="344" t="s">
        <v>113</v>
      </c>
      <c r="K7354" s="349">
        <v>9384.6153846153848</v>
      </c>
      <c r="L7354" s="349"/>
      <c r="M7354" s="130"/>
    </row>
    <row r="7355" spans="1:13" ht="11.25" customHeight="1" x14ac:dyDescent="0.2">
      <c r="A7355" s="350">
        <v>2025</v>
      </c>
      <c r="B7355" s="350">
        <v>2</v>
      </c>
      <c r="C7355" s="350">
        <v>27</v>
      </c>
      <c r="D7355" s="351">
        <f t="shared" si="821"/>
        <v>45715</v>
      </c>
      <c r="E7355" s="352">
        <f t="shared" si="815"/>
        <v>45715</v>
      </c>
      <c r="F7355" s="519"/>
      <c r="G7355" s="353" t="s">
        <v>1245</v>
      </c>
      <c r="H7355" s="354"/>
      <c r="I7355" s="354" t="s">
        <v>1253</v>
      </c>
      <c r="J7355" s="350" t="s">
        <v>153</v>
      </c>
      <c r="K7355" s="355"/>
      <c r="L7355" s="355">
        <f>K7354</f>
        <v>9384.6153846153848</v>
      </c>
    </row>
    <row r="7356" spans="1:13" ht="11.25" customHeight="1" x14ac:dyDescent="0.2">
      <c r="A7356" s="344">
        <v>2025</v>
      </c>
      <c r="B7356" s="344">
        <v>2</v>
      </c>
      <c r="C7356" s="344">
        <v>27</v>
      </c>
      <c r="D7356" s="345">
        <f t="shared" si="821"/>
        <v>45715</v>
      </c>
      <c r="E7356" s="346">
        <f>DATE(A7356,B7356,C7356)</f>
        <v>45715</v>
      </c>
      <c r="F7356" s="518" t="s">
        <v>1991</v>
      </c>
      <c r="G7356" s="347" t="s">
        <v>1245</v>
      </c>
      <c r="H7356" s="348"/>
      <c r="I7356" s="348" t="s">
        <v>1253</v>
      </c>
      <c r="J7356" s="344" t="s">
        <v>113</v>
      </c>
      <c r="K7356" s="349">
        <v>39884.620000000003</v>
      </c>
      <c r="L7356" s="349"/>
      <c r="M7356" s="130"/>
    </row>
    <row r="7357" spans="1:13" ht="11.25" customHeight="1" x14ac:dyDescent="0.2">
      <c r="A7357" s="350">
        <v>2025</v>
      </c>
      <c r="B7357" s="350">
        <v>2</v>
      </c>
      <c r="C7357" s="350">
        <v>27</v>
      </c>
      <c r="D7357" s="351">
        <f t="shared" si="821"/>
        <v>45715</v>
      </c>
      <c r="E7357" s="352">
        <f>DATE(A7357,B7357,C7357)</f>
        <v>45715</v>
      </c>
      <c r="F7357" s="519"/>
      <c r="G7357" s="353" t="s">
        <v>1245</v>
      </c>
      <c r="H7357" s="354"/>
      <c r="I7357" s="354" t="s">
        <v>1253</v>
      </c>
      <c r="J7357" s="350" t="s">
        <v>153</v>
      </c>
      <c r="K7357" s="355"/>
      <c r="L7357" s="355">
        <f>K7356</f>
        <v>39884.620000000003</v>
      </c>
    </row>
    <row r="7358" spans="1:13" ht="11.25" customHeight="1" x14ac:dyDescent="0.2">
      <c r="A7358" s="344">
        <v>2025</v>
      </c>
      <c r="B7358" s="344">
        <v>2</v>
      </c>
      <c r="C7358" s="344">
        <v>27</v>
      </c>
      <c r="D7358" s="345">
        <f t="shared" si="821"/>
        <v>45715</v>
      </c>
      <c r="E7358" s="346">
        <f t="shared" si="815"/>
        <v>45715</v>
      </c>
      <c r="F7358" s="518" t="s">
        <v>1992</v>
      </c>
      <c r="G7358" s="347" t="s">
        <v>1245</v>
      </c>
      <c r="H7358" s="348"/>
      <c r="I7358" s="348" t="s">
        <v>1253</v>
      </c>
      <c r="J7358" s="344" t="s">
        <v>113</v>
      </c>
      <c r="K7358" s="349">
        <v>22596.15</v>
      </c>
      <c r="L7358" s="349"/>
      <c r="M7358" s="130"/>
    </row>
    <row r="7359" spans="1:13" ht="11.25" customHeight="1" x14ac:dyDescent="0.2">
      <c r="A7359" s="350">
        <v>2025</v>
      </c>
      <c r="B7359" s="350">
        <v>2</v>
      </c>
      <c r="C7359" s="350">
        <v>27</v>
      </c>
      <c r="D7359" s="351">
        <f t="shared" si="821"/>
        <v>45715</v>
      </c>
      <c r="E7359" s="352">
        <f t="shared" si="815"/>
        <v>45715</v>
      </c>
      <c r="F7359" s="519"/>
      <c r="G7359" s="353" t="s">
        <v>1245</v>
      </c>
      <c r="H7359" s="354"/>
      <c r="I7359" s="354" t="s">
        <v>1253</v>
      </c>
      <c r="J7359" s="350" t="s">
        <v>153</v>
      </c>
      <c r="K7359" s="355"/>
      <c r="L7359" s="355">
        <f>K7358</f>
        <v>22596.15</v>
      </c>
    </row>
    <row r="7360" spans="1:13" ht="11.25" customHeight="1" x14ac:dyDescent="0.2">
      <c r="A7360" s="344">
        <v>2025</v>
      </c>
      <c r="B7360" s="344">
        <v>2</v>
      </c>
      <c r="C7360" s="344">
        <v>27</v>
      </c>
      <c r="D7360" s="345">
        <f t="shared" si="821"/>
        <v>45715</v>
      </c>
      <c r="E7360" s="346">
        <f t="shared" si="815"/>
        <v>45715</v>
      </c>
      <c r="F7360" s="518" t="s">
        <v>1993</v>
      </c>
      <c r="G7360" s="347" t="s">
        <v>1245</v>
      </c>
      <c r="H7360" s="348"/>
      <c r="I7360" s="348" t="s">
        <v>1253</v>
      </c>
      <c r="J7360" s="344" t="s">
        <v>113</v>
      </c>
      <c r="K7360" s="349">
        <v>23048.080000000002</v>
      </c>
      <c r="L7360" s="349"/>
      <c r="M7360" s="130"/>
    </row>
    <row r="7361" spans="1:13" ht="11.25" customHeight="1" x14ac:dyDescent="0.2">
      <c r="A7361" s="350">
        <v>2025</v>
      </c>
      <c r="B7361" s="350">
        <v>2</v>
      </c>
      <c r="C7361" s="350">
        <v>27</v>
      </c>
      <c r="D7361" s="351">
        <f t="shared" si="821"/>
        <v>45715</v>
      </c>
      <c r="E7361" s="352">
        <f t="shared" si="815"/>
        <v>45715</v>
      </c>
      <c r="F7361" s="519"/>
      <c r="G7361" s="353" t="s">
        <v>1245</v>
      </c>
      <c r="H7361" s="354"/>
      <c r="I7361" s="354" t="s">
        <v>1253</v>
      </c>
      <c r="J7361" s="350" t="s">
        <v>153</v>
      </c>
      <c r="K7361" s="355"/>
      <c r="L7361" s="355">
        <f>K7360</f>
        <v>23048.080000000002</v>
      </c>
    </row>
    <row r="7362" spans="1:13" ht="11.25" customHeight="1" x14ac:dyDescent="0.2">
      <c r="A7362" s="210">
        <v>2025</v>
      </c>
      <c r="B7362" s="210">
        <v>2</v>
      </c>
      <c r="C7362" s="210">
        <v>27</v>
      </c>
      <c r="D7362" s="211">
        <f t="shared" si="821"/>
        <v>45715</v>
      </c>
      <c r="E7362" s="238">
        <f t="shared" si="815"/>
        <v>45715</v>
      </c>
      <c r="F7362" s="520" t="s">
        <v>1278</v>
      </c>
      <c r="G7362" s="213" t="s">
        <v>1245</v>
      </c>
      <c r="H7362" s="214"/>
      <c r="I7362" s="214" t="s">
        <v>1253</v>
      </c>
      <c r="J7362" s="210" t="s">
        <v>1529</v>
      </c>
      <c r="K7362" s="215">
        <v>510.40384615384613</v>
      </c>
      <c r="L7362" s="215"/>
      <c r="M7362" s="130"/>
    </row>
    <row r="7363" spans="1:13" ht="11.25" customHeight="1" x14ac:dyDescent="0.2">
      <c r="A7363" s="216">
        <v>2025</v>
      </c>
      <c r="B7363" s="216">
        <v>2</v>
      </c>
      <c r="C7363" s="216">
        <v>27</v>
      </c>
      <c r="D7363" s="217">
        <f t="shared" si="821"/>
        <v>45715</v>
      </c>
      <c r="E7363" s="239">
        <f t="shared" si="815"/>
        <v>45715</v>
      </c>
      <c r="F7363" s="521"/>
      <c r="G7363" s="219" t="s">
        <v>1245</v>
      </c>
      <c r="H7363" s="220"/>
      <c r="I7363" s="220" t="s">
        <v>1253</v>
      </c>
      <c r="J7363" s="216" t="s">
        <v>1581</v>
      </c>
      <c r="K7363" s="221"/>
      <c r="L7363" s="221">
        <v>510.40384615384613</v>
      </c>
    </row>
    <row r="7364" spans="1:13" ht="11.25" customHeight="1" x14ac:dyDescent="0.2">
      <c r="A7364" s="210">
        <v>2025</v>
      </c>
      <c r="B7364" s="210">
        <v>2</v>
      </c>
      <c r="C7364" s="210">
        <v>27</v>
      </c>
      <c r="D7364" s="211">
        <f t="shared" si="821"/>
        <v>45715</v>
      </c>
      <c r="E7364" s="238">
        <f t="shared" si="815"/>
        <v>45715</v>
      </c>
      <c r="F7364" s="520" t="s">
        <v>1857</v>
      </c>
      <c r="G7364" s="213" t="s">
        <v>1245</v>
      </c>
      <c r="H7364" s="214"/>
      <c r="I7364" s="214" t="s">
        <v>1253</v>
      </c>
      <c r="J7364" s="210" t="s">
        <v>1284</v>
      </c>
      <c r="K7364" s="215">
        <v>2341.8114143920593</v>
      </c>
      <c r="L7364" s="215"/>
      <c r="M7364" s="130"/>
    </row>
    <row r="7365" spans="1:13" ht="11.25" customHeight="1" x14ac:dyDescent="0.2">
      <c r="A7365" s="242">
        <v>2025</v>
      </c>
      <c r="B7365" s="242">
        <v>2</v>
      </c>
      <c r="C7365" s="242">
        <v>27</v>
      </c>
      <c r="D7365" s="243">
        <f t="shared" si="821"/>
        <v>45715</v>
      </c>
      <c r="E7365" s="244">
        <f>DATE(A7365,B7365,C7365)</f>
        <v>45715</v>
      </c>
      <c r="F7365" s="524"/>
      <c r="G7365" s="245" t="s">
        <v>1245</v>
      </c>
      <c r="H7365" s="246"/>
      <c r="I7365" s="246"/>
      <c r="J7365" s="242" t="s">
        <v>1582</v>
      </c>
      <c r="K7365" s="247"/>
      <c r="L7365" s="247">
        <f>K7364</f>
        <v>2341.8114143920593</v>
      </c>
    </row>
    <row r="7366" spans="1:13" ht="11.25" customHeight="1" x14ac:dyDescent="0.2">
      <c r="A7366" s="210">
        <v>2025</v>
      </c>
      <c r="B7366" s="210">
        <v>2</v>
      </c>
      <c r="C7366" s="210">
        <v>27</v>
      </c>
      <c r="D7366" s="211">
        <f t="shared" si="821"/>
        <v>45715</v>
      </c>
      <c r="E7366" s="238">
        <f t="shared" ref="E7366:E7380" si="822">DATE(A7366,B7366,C7366)</f>
        <v>45715</v>
      </c>
      <c r="F7366" s="520" t="s">
        <v>2055</v>
      </c>
      <c r="G7366" s="213" t="s">
        <v>1245</v>
      </c>
      <c r="H7366" s="214"/>
      <c r="I7366" s="214" t="s">
        <v>1253</v>
      </c>
      <c r="J7366" s="210" t="s">
        <v>58</v>
      </c>
      <c r="K7366" s="215">
        <v>26641.08</v>
      </c>
      <c r="L7366" s="215"/>
    </row>
    <row r="7367" spans="1:13" ht="11.25" customHeight="1" x14ac:dyDescent="0.2">
      <c r="A7367" s="216">
        <v>2025</v>
      </c>
      <c r="B7367" s="216">
        <v>2</v>
      </c>
      <c r="C7367" s="216">
        <v>27</v>
      </c>
      <c r="D7367" s="217">
        <f t="shared" si="821"/>
        <v>45715</v>
      </c>
      <c r="E7367" s="239">
        <f t="shared" si="822"/>
        <v>45715</v>
      </c>
      <c r="F7367" s="521"/>
      <c r="G7367" s="219" t="s">
        <v>1245</v>
      </c>
      <c r="H7367" s="220"/>
      <c r="I7367" s="220" t="s">
        <v>1253</v>
      </c>
      <c r="J7367" s="216" t="s">
        <v>153</v>
      </c>
      <c r="K7367" s="221"/>
      <c r="L7367" s="221">
        <f>K7366</f>
        <v>26641.08</v>
      </c>
    </row>
    <row r="7368" spans="1:13" ht="11.25" customHeight="1" x14ac:dyDescent="0.2">
      <c r="A7368" s="312">
        <v>2025</v>
      </c>
      <c r="B7368" s="312">
        <v>2</v>
      </c>
      <c r="C7368" s="312">
        <v>27</v>
      </c>
      <c r="D7368" s="313">
        <f t="shared" si="821"/>
        <v>45715</v>
      </c>
      <c r="E7368" s="314">
        <f t="shared" si="822"/>
        <v>45715</v>
      </c>
      <c r="F7368" s="522" t="s">
        <v>1477</v>
      </c>
      <c r="G7368" s="315" t="s">
        <v>1245</v>
      </c>
      <c r="H7368" s="316"/>
      <c r="I7368" s="316" t="s">
        <v>1253</v>
      </c>
      <c r="J7368" s="312" t="s">
        <v>1458</v>
      </c>
      <c r="K7368" s="317">
        <v>0</v>
      </c>
      <c r="L7368" s="317"/>
      <c r="M7368" s="120">
        <f>BS!$I$11</f>
        <v>5.9604644775390625E-8</v>
      </c>
    </row>
    <row r="7369" spans="1:13" ht="11.25" customHeight="1" x14ac:dyDescent="0.2">
      <c r="A7369" s="318">
        <v>2025</v>
      </c>
      <c r="B7369" s="318">
        <v>2</v>
      </c>
      <c r="C7369" s="318">
        <v>27</v>
      </c>
      <c r="D7369" s="319">
        <f t="shared" si="821"/>
        <v>45715</v>
      </c>
      <c r="E7369" s="320">
        <f t="shared" si="822"/>
        <v>45715</v>
      </c>
      <c r="F7369" s="523"/>
      <c r="G7369" s="321" t="s">
        <v>1245</v>
      </c>
      <c r="H7369" s="322"/>
      <c r="I7369" s="322" t="s">
        <v>1253</v>
      </c>
      <c r="J7369" s="318" t="s">
        <v>1460</v>
      </c>
      <c r="K7369" s="323"/>
      <c r="L7369" s="323">
        <f>K7368</f>
        <v>0</v>
      </c>
    </row>
    <row r="7370" spans="1:13" ht="11.25" customHeight="1" x14ac:dyDescent="0.2">
      <c r="A7370" s="312">
        <v>2025</v>
      </c>
      <c r="B7370" s="312">
        <v>2</v>
      </c>
      <c r="C7370" s="312">
        <v>27</v>
      </c>
      <c r="D7370" s="313">
        <f t="shared" si="821"/>
        <v>45715</v>
      </c>
      <c r="E7370" s="314">
        <f t="shared" si="822"/>
        <v>45715</v>
      </c>
      <c r="F7370" s="522" t="s">
        <v>1595</v>
      </c>
      <c r="G7370" s="315" t="s">
        <v>1245</v>
      </c>
      <c r="H7370" s="316"/>
      <c r="I7370" s="316" t="s">
        <v>1253</v>
      </c>
      <c r="J7370" s="312" t="s">
        <v>1461</v>
      </c>
      <c r="K7370" s="317">
        <v>384895.85500001907</v>
      </c>
      <c r="L7370" s="317"/>
      <c r="M7370" s="120">
        <f>BS!$I$14</f>
        <v>0</v>
      </c>
    </row>
    <row r="7371" spans="1:13" ht="11.25" customHeight="1" x14ac:dyDescent="0.2">
      <c r="A7371" s="318">
        <v>2025</v>
      </c>
      <c r="B7371" s="318">
        <v>2</v>
      </c>
      <c r="C7371" s="318">
        <v>27</v>
      </c>
      <c r="D7371" s="319">
        <f t="shared" si="821"/>
        <v>45715</v>
      </c>
      <c r="E7371" s="320">
        <f t="shared" si="822"/>
        <v>45715</v>
      </c>
      <c r="F7371" s="523"/>
      <c r="G7371" s="321" t="s">
        <v>1245</v>
      </c>
      <c r="H7371" s="322"/>
      <c r="I7371" s="322" t="s">
        <v>1253</v>
      </c>
      <c r="J7371" s="318" t="s">
        <v>1459</v>
      </c>
      <c r="K7371" s="323"/>
      <c r="L7371" s="323">
        <f>K7370</f>
        <v>384895.85500001907</v>
      </c>
    </row>
    <row r="7372" spans="1:13" ht="11.25" customHeight="1" x14ac:dyDescent="0.2">
      <c r="A7372" s="222">
        <v>2025</v>
      </c>
      <c r="B7372" s="222">
        <v>2</v>
      </c>
      <c r="C7372" s="222">
        <v>27</v>
      </c>
      <c r="D7372" s="223">
        <f t="shared" si="821"/>
        <v>45715</v>
      </c>
      <c r="E7372" s="240">
        <f t="shared" si="822"/>
        <v>45715</v>
      </c>
      <c r="F7372" s="511" t="s">
        <v>1244</v>
      </c>
      <c r="G7372" s="225" t="s">
        <v>1245</v>
      </c>
      <c r="H7372" s="226"/>
      <c r="I7372" s="226" t="s">
        <v>1253</v>
      </c>
      <c r="J7372" s="222" t="s">
        <v>87</v>
      </c>
      <c r="K7372" s="227">
        <v>10460</v>
      </c>
      <c r="L7372" s="227"/>
      <c r="M7372" s="120">
        <f>BS!$I$7</f>
        <v>0</v>
      </c>
    </row>
    <row r="7373" spans="1:13" ht="11.25" customHeight="1" x14ac:dyDescent="0.2">
      <c r="A7373" s="228">
        <v>2025</v>
      </c>
      <c r="B7373" s="228">
        <v>2</v>
      </c>
      <c r="C7373" s="228">
        <v>27</v>
      </c>
      <c r="D7373" s="229">
        <f t="shared" si="821"/>
        <v>45715</v>
      </c>
      <c r="E7373" s="241">
        <f t="shared" si="822"/>
        <v>45715</v>
      </c>
      <c r="F7373" s="512"/>
      <c r="G7373" s="231" t="s">
        <v>1245</v>
      </c>
      <c r="H7373" s="232"/>
      <c r="I7373" s="232" t="s">
        <v>1253</v>
      </c>
      <c r="J7373" s="228" t="s">
        <v>72</v>
      </c>
      <c r="K7373" s="233"/>
      <c r="L7373" s="233">
        <f>K7372</f>
        <v>10460</v>
      </c>
    </row>
    <row r="7374" spans="1:13" ht="11.25" customHeight="1" x14ac:dyDescent="0.2">
      <c r="A7374" s="222">
        <v>2025</v>
      </c>
      <c r="B7374" s="222">
        <v>2</v>
      </c>
      <c r="C7374" s="222">
        <v>27</v>
      </c>
      <c r="D7374" s="223">
        <f t="shared" si="821"/>
        <v>45715</v>
      </c>
      <c r="E7374" s="240">
        <f t="shared" si="822"/>
        <v>45715</v>
      </c>
      <c r="F7374" s="511" t="s">
        <v>1246</v>
      </c>
      <c r="G7374" s="225" t="s">
        <v>1245</v>
      </c>
      <c r="H7374" s="226"/>
      <c r="I7374" s="226" t="s">
        <v>1253</v>
      </c>
      <c r="J7374" s="222" t="s">
        <v>75</v>
      </c>
      <c r="K7374" s="227">
        <v>3623.123846153846</v>
      </c>
      <c r="L7374" s="227"/>
      <c r="M7374" s="130"/>
    </row>
    <row r="7375" spans="1:13" ht="11.25" customHeight="1" x14ac:dyDescent="0.2">
      <c r="A7375" s="228">
        <v>2025</v>
      </c>
      <c r="B7375" s="228">
        <v>2</v>
      </c>
      <c r="C7375" s="228">
        <v>27</v>
      </c>
      <c r="D7375" s="229">
        <f t="shared" si="821"/>
        <v>45715</v>
      </c>
      <c r="E7375" s="241">
        <f t="shared" si="822"/>
        <v>45715</v>
      </c>
      <c r="F7375" s="512"/>
      <c r="G7375" s="231" t="s">
        <v>1245</v>
      </c>
      <c r="H7375" s="232"/>
      <c r="I7375" s="232" t="s">
        <v>1253</v>
      </c>
      <c r="J7375" s="228" t="s">
        <v>55</v>
      </c>
      <c r="K7375" s="233"/>
      <c r="L7375" s="233">
        <v>3623.123846153846</v>
      </c>
    </row>
    <row r="7376" spans="1:13" ht="11.25" customHeight="1" x14ac:dyDescent="0.2">
      <c r="A7376" s="222">
        <v>2025</v>
      </c>
      <c r="B7376" s="222">
        <v>2</v>
      </c>
      <c r="C7376" s="222">
        <v>27</v>
      </c>
      <c r="D7376" s="223">
        <f t="shared" si="821"/>
        <v>45715</v>
      </c>
      <c r="E7376" s="240">
        <f t="shared" si="822"/>
        <v>45715</v>
      </c>
      <c r="F7376" s="511" t="s">
        <v>1247</v>
      </c>
      <c r="G7376" s="225" t="s">
        <v>1245</v>
      </c>
      <c r="H7376" s="226"/>
      <c r="I7376" s="226" t="s">
        <v>1253</v>
      </c>
      <c r="J7376" s="222" t="s">
        <v>77</v>
      </c>
      <c r="K7376" s="227">
        <f>M7376</f>
        <v>113552.05193398832</v>
      </c>
      <c r="L7376" s="227"/>
      <c r="M7376" s="130">
        <v>113552.05193398832</v>
      </c>
    </row>
    <row r="7377" spans="1:14" ht="11.25" customHeight="1" x14ac:dyDescent="0.2">
      <c r="A7377" s="228">
        <v>2025</v>
      </c>
      <c r="B7377" s="228">
        <v>2</v>
      </c>
      <c r="C7377" s="228">
        <v>27</v>
      </c>
      <c r="D7377" s="229">
        <f t="shared" si="821"/>
        <v>45715</v>
      </c>
      <c r="E7377" s="241">
        <f t="shared" si="822"/>
        <v>45715</v>
      </c>
      <c r="F7377" s="512"/>
      <c r="G7377" s="231" t="s">
        <v>1245</v>
      </c>
      <c r="H7377" s="232"/>
      <c r="I7377" s="232" t="s">
        <v>1253</v>
      </c>
      <c r="J7377" s="228" t="s">
        <v>41</v>
      </c>
      <c r="K7377" s="233"/>
      <c r="L7377" s="233">
        <f>K7376</f>
        <v>113552.05193398832</v>
      </c>
      <c r="M7377" s="130">
        <v>5677.6025966994157</v>
      </c>
    </row>
    <row r="7378" spans="1:14" ht="11.25" customHeight="1" x14ac:dyDescent="0.2">
      <c r="A7378" s="222">
        <v>2025</v>
      </c>
      <c r="B7378" s="222">
        <v>2</v>
      </c>
      <c r="C7378" s="222">
        <v>27</v>
      </c>
      <c r="D7378" s="223">
        <f t="shared" si="821"/>
        <v>45715</v>
      </c>
      <c r="E7378" s="240">
        <f t="shared" si="822"/>
        <v>45715</v>
      </c>
      <c r="F7378" s="511" t="s">
        <v>1248</v>
      </c>
      <c r="G7378" s="225" t="s">
        <v>1245</v>
      </c>
      <c r="H7378" s="226"/>
      <c r="I7378" s="226" t="s">
        <v>1253</v>
      </c>
      <c r="J7378" s="222" t="s">
        <v>80</v>
      </c>
      <c r="K7378" s="227">
        <f>M7377</f>
        <v>5677.6025966994157</v>
      </c>
      <c r="L7378" s="227"/>
    </row>
    <row r="7379" spans="1:14" ht="11.25" customHeight="1" x14ac:dyDescent="0.2">
      <c r="A7379" s="228">
        <v>2025</v>
      </c>
      <c r="B7379" s="228">
        <v>2</v>
      </c>
      <c r="C7379" s="228">
        <v>27</v>
      </c>
      <c r="D7379" s="229">
        <f t="shared" si="821"/>
        <v>45715</v>
      </c>
      <c r="E7379" s="241">
        <f t="shared" si="822"/>
        <v>45715</v>
      </c>
      <c r="F7379" s="512"/>
      <c r="G7379" s="231" t="s">
        <v>1245</v>
      </c>
      <c r="H7379" s="232"/>
      <c r="I7379" s="232" t="s">
        <v>1253</v>
      </c>
      <c r="J7379" s="228" t="s">
        <v>42</v>
      </c>
      <c r="K7379" s="233"/>
      <c r="L7379" s="233">
        <f>K7378</f>
        <v>5677.6025966994157</v>
      </c>
    </row>
    <row r="7380" spans="1:14" ht="11.25" customHeight="1" x14ac:dyDescent="0.2">
      <c r="A7380" s="197">
        <v>2025</v>
      </c>
      <c r="B7380" s="197">
        <v>3</v>
      </c>
      <c r="C7380" s="197">
        <v>2</v>
      </c>
      <c r="D7380" s="198">
        <f t="shared" si="821"/>
        <v>45718</v>
      </c>
      <c r="E7380" s="290">
        <f t="shared" si="822"/>
        <v>45718</v>
      </c>
      <c r="F7380" s="513" t="s">
        <v>1987</v>
      </c>
      <c r="G7380" s="200" t="s">
        <v>1209</v>
      </c>
      <c r="H7380" s="201"/>
      <c r="I7380" s="201" t="s">
        <v>1253</v>
      </c>
      <c r="J7380" s="197" t="s">
        <v>41</v>
      </c>
      <c r="K7380" s="202">
        <v>435734.57647058828</v>
      </c>
      <c r="L7380" s="202"/>
      <c r="M7380" s="130"/>
      <c r="N7380" s="130"/>
    </row>
    <row r="7381" spans="1:14" ht="11.25" customHeight="1" x14ac:dyDescent="0.2">
      <c r="A7381" s="120">
        <v>2025</v>
      </c>
      <c r="B7381" s="120">
        <v>3</v>
      </c>
      <c r="C7381" s="120">
        <v>2</v>
      </c>
      <c r="D7381" s="208">
        <f t="shared" si="821"/>
        <v>45718</v>
      </c>
      <c r="E7381" s="209">
        <f>DATE(A7381,B7381,C7381)</f>
        <v>45718</v>
      </c>
      <c r="F7381" s="515"/>
      <c r="G7381" s="132" t="s">
        <v>1209</v>
      </c>
      <c r="H7381" s="132"/>
      <c r="J7381" s="120" t="s">
        <v>457</v>
      </c>
      <c r="K7381" s="120"/>
      <c r="L7381" s="207">
        <v>65360.19</v>
      </c>
    </row>
    <row r="7382" spans="1:14" ht="11.25" customHeight="1" x14ac:dyDescent="0.2">
      <c r="A7382" s="191">
        <v>2025</v>
      </c>
      <c r="B7382" s="191">
        <v>3</v>
      </c>
      <c r="C7382" s="191">
        <v>2</v>
      </c>
      <c r="D7382" s="192">
        <f t="shared" si="821"/>
        <v>45718</v>
      </c>
      <c r="E7382" s="291">
        <f t="shared" ref="E7382:E7388" si="823">DATE(A7382,B7382,C7382)</f>
        <v>45718</v>
      </c>
      <c r="F7382" s="514"/>
      <c r="G7382" s="194" t="s">
        <v>1209</v>
      </c>
      <c r="H7382" s="195"/>
      <c r="I7382" s="195" t="s">
        <v>1253</v>
      </c>
      <c r="J7382" s="191" t="s">
        <v>46</v>
      </c>
      <c r="K7382" s="196"/>
      <c r="L7382" s="196">
        <v>370374.39</v>
      </c>
    </row>
    <row r="7383" spans="1:14" ht="11.25" customHeight="1" x14ac:dyDescent="0.2">
      <c r="A7383" s="197">
        <v>2025</v>
      </c>
      <c r="B7383" s="197">
        <v>3</v>
      </c>
      <c r="C7383" s="197">
        <v>2</v>
      </c>
      <c r="D7383" s="198">
        <f t="shared" si="821"/>
        <v>45718</v>
      </c>
      <c r="E7383" s="209">
        <f t="shared" si="823"/>
        <v>45718</v>
      </c>
      <c r="F7383" s="513" t="s">
        <v>1280</v>
      </c>
      <c r="G7383" s="200" t="s">
        <v>1209</v>
      </c>
      <c r="H7383" s="201"/>
      <c r="I7383" s="201" t="s">
        <v>355</v>
      </c>
      <c r="J7383" s="197" t="s">
        <v>16</v>
      </c>
      <c r="K7383" s="202">
        <v>300000</v>
      </c>
      <c r="L7383" s="202"/>
      <c r="M7383" s="130"/>
      <c r="N7383" s="130"/>
    </row>
    <row r="7384" spans="1:14" ht="11.25" customHeight="1" x14ac:dyDescent="0.2">
      <c r="A7384" s="120">
        <v>2025</v>
      </c>
      <c r="B7384" s="120">
        <v>3</v>
      </c>
      <c r="C7384" s="120">
        <v>2</v>
      </c>
      <c r="D7384" s="208">
        <f t="shared" si="821"/>
        <v>45718</v>
      </c>
      <c r="E7384" s="209">
        <f t="shared" si="823"/>
        <v>45718</v>
      </c>
      <c r="F7384" s="515"/>
      <c r="G7384" s="132" t="s">
        <v>1209</v>
      </c>
      <c r="I7384" s="128" t="s">
        <v>355</v>
      </c>
      <c r="J7384" s="120" t="s">
        <v>47</v>
      </c>
      <c r="K7384" s="207">
        <v>81000</v>
      </c>
      <c r="L7384" s="207"/>
      <c r="M7384" s="130"/>
      <c r="N7384" s="130"/>
    </row>
    <row r="7385" spans="1:14" ht="11.25" customHeight="1" x14ac:dyDescent="0.2">
      <c r="A7385" s="191">
        <v>2025</v>
      </c>
      <c r="B7385" s="191">
        <v>3</v>
      </c>
      <c r="C7385" s="191">
        <v>2</v>
      </c>
      <c r="D7385" s="192">
        <f t="shared" si="821"/>
        <v>45718</v>
      </c>
      <c r="E7385" s="193">
        <f t="shared" si="823"/>
        <v>45718</v>
      </c>
      <c r="F7385" s="514"/>
      <c r="G7385" s="194" t="s">
        <v>1209</v>
      </c>
      <c r="H7385" s="195"/>
      <c r="I7385" s="195" t="s">
        <v>355</v>
      </c>
      <c r="J7385" s="191" t="s">
        <v>46</v>
      </c>
      <c r="K7385" s="196"/>
      <c r="L7385" s="196">
        <v>381000</v>
      </c>
      <c r="M7385" s="130"/>
      <c r="N7385" s="130"/>
    </row>
    <row r="7386" spans="1:14" ht="11.25" customHeight="1" x14ac:dyDescent="0.2">
      <c r="A7386" s="197">
        <v>2025</v>
      </c>
      <c r="B7386" s="197">
        <v>3</v>
      </c>
      <c r="C7386" s="197">
        <v>2</v>
      </c>
      <c r="D7386" s="198">
        <f t="shared" si="821"/>
        <v>45718</v>
      </c>
      <c r="E7386" s="209">
        <f t="shared" si="823"/>
        <v>45718</v>
      </c>
      <c r="F7386" s="513" t="s">
        <v>1210</v>
      </c>
      <c r="G7386" s="200" t="s">
        <v>1209</v>
      </c>
      <c r="H7386" s="201"/>
      <c r="I7386" s="201" t="s">
        <v>1590</v>
      </c>
      <c r="J7386" s="197" t="s">
        <v>46</v>
      </c>
      <c r="K7386" s="202">
        <v>5000000</v>
      </c>
      <c r="L7386" s="202"/>
    </row>
    <row r="7387" spans="1:14" ht="11.25" customHeight="1" x14ac:dyDescent="0.2">
      <c r="A7387" s="120">
        <v>2025</v>
      </c>
      <c r="B7387" s="120">
        <v>3</v>
      </c>
      <c r="C7387" s="120">
        <v>2</v>
      </c>
      <c r="D7387" s="208">
        <f t="shared" si="821"/>
        <v>45718</v>
      </c>
      <c r="E7387" s="209">
        <f t="shared" si="823"/>
        <v>45718</v>
      </c>
      <c r="F7387" s="515"/>
      <c r="G7387" s="132" t="s">
        <v>1209</v>
      </c>
      <c r="I7387" s="128" t="s">
        <v>1590</v>
      </c>
      <c r="J7387" s="120" t="s">
        <v>16</v>
      </c>
      <c r="K7387" s="207"/>
      <c r="L7387" s="207">
        <v>3937010</v>
      </c>
    </row>
    <row r="7388" spans="1:14" ht="11.25" customHeight="1" x14ac:dyDescent="0.2">
      <c r="A7388" s="191">
        <v>2025</v>
      </c>
      <c r="B7388" s="191">
        <v>3</v>
      </c>
      <c r="C7388" s="191">
        <v>2</v>
      </c>
      <c r="D7388" s="192">
        <f t="shared" si="821"/>
        <v>45718</v>
      </c>
      <c r="E7388" s="193">
        <f t="shared" si="823"/>
        <v>45718</v>
      </c>
      <c r="F7388" s="514"/>
      <c r="G7388" s="194" t="s">
        <v>1209</v>
      </c>
      <c r="H7388" s="195"/>
      <c r="I7388" s="195" t="s">
        <v>1590</v>
      </c>
      <c r="J7388" s="191" t="s">
        <v>47</v>
      </c>
      <c r="K7388" s="196"/>
      <c r="L7388" s="196">
        <v>1062990</v>
      </c>
    </row>
    <row r="7389" spans="1:14" ht="11.25" customHeight="1" x14ac:dyDescent="0.2">
      <c r="A7389" s="197">
        <v>2025</v>
      </c>
      <c r="B7389" s="197">
        <v>3</v>
      </c>
      <c r="C7389" s="197">
        <v>2</v>
      </c>
      <c r="D7389" s="198">
        <f t="shared" si="821"/>
        <v>45718</v>
      </c>
      <c r="E7389" s="209">
        <f t="shared" ref="E7389:E7396" si="824">DATE(A7389,B7389,C7389)</f>
        <v>45718</v>
      </c>
      <c r="F7389" s="513" t="s">
        <v>1210</v>
      </c>
      <c r="G7389" s="200" t="s">
        <v>1209</v>
      </c>
      <c r="H7389" s="201"/>
      <c r="I7389" s="201"/>
      <c r="J7389" s="197" t="s">
        <v>46</v>
      </c>
      <c r="K7389" s="202">
        <v>18140</v>
      </c>
      <c r="L7389" s="202"/>
    </row>
    <row r="7390" spans="1:14" ht="11.25" customHeight="1" x14ac:dyDescent="0.2">
      <c r="A7390" s="120">
        <v>2025</v>
      </c>
      <c r="B7390" s="120">
        <v>3</v>
      </c>
      <c r="C7390" s="120">
        <v>2</v>
      </c>
      <c r="D7390" s="208">
        <f t="shared" si="821"/>
        <v>45718</v>
      </c>
      <c r="E7390" s="209">
        <f t="shared" si="824"/>
        <v>45718</v>
      </c>
      <c r="F7390" s="515"/>
      <c r="G7390" s="132" t="s">
        <v>1209</v>
      </c>
      <c r="J7390" s="120" t="s">
        <v>16</v>
      </c>
      <c r="K7390" s="207"/>
      <c r="L7390" s="207">
        <v>14280</v>
      </c>
    </row>
    <row r="7391" spans="1:14" ht="11.25" customHeight="1" x14ac:dyDescent="0.2">
      <c r="A7391" s="191">
        <v>2025</v>
      </c>
      <c r="B7391" s="191">
        <v>3</v>
      </c>
      <c r="C7391" s="191">
        <v>2</v>
      </c>
      <c r="D7391" s="192">
        <f t="shared" si="821"/>
        <v>45718</v>
      </c>
      <c r="E7391" s="193">
        <f t="shared" si="824"/>
        <v>45718</v>
      </c>
      <c r="F7391" s="514"/>
      <c r="G7391" s="194" t="s">
        <v>1209</v>
      </c>
      <c r="H7391" s="195"/>
      <c r="I7391" s="195"/>
      <c r="J7391" s="191" t="s">
        <v>47</v>
      </c>
      <c r="K7391" s="196"/>
      <c r="L7391" s="196">
        <v>3860</v>
      </c>
    </row>
    <row r="7392" spans="1:14" ht="11.25" customHeight="1" x14ac:dyDescent="0.2">
      <c r="A7392" s="197">
        <v>2025</v>
      </c>
      <c r="B7392" s="197">
        <v>3</v>
      </c>
      <c r="C7392" s="197">
        <v>4</v>
      </c>
      <c r="D7392" s="198">
        <f t="shared" si="821"/>
        <v>45720</v>
      </c>
      <c r="E7392" s="290">
        <f t="shared" si="824"/>
        <v>45720</v>
      </c>
      <c r="F7392" s="513" t="s">
        <v>1994</v>
      </c>
      <c r="G7392" s="200" t="s">
        <v>1209</v>
      </c>
      <c r="H7392" s="201"/>
      <c r="I7392" s="201" t="s">
        <v>1253</v>
      </c>
      <c r="J7392" s="197" t="s">
        <v>46</v>
      </c>
      <c r="K7392" s="202">
        <v>132776.57999999999</v>
      </c>
      <c r="L7392" s="202"/>
    </row>
    <row r="7393" spans="1:14" ht="11.25" customHeight="1" x14ac:dyDescent="0.2">
      <c r="A7393" s="191">
        <v>2025</v>
      </c>
      <c r="B7393" s="191">
        <v>3</v>
      </c>
      <c r="C7393" s="191">
        <v>4</v>
      </c>
      <c r="D7393" s="192">
        <f t="shared" si="821"/>
        <v>45720</v>
      </c>
      <c r="E7393" s="291">
        <f t="shared" si="824"/>
        <v>45720</v>
      </c>
      <c r="F7393" s="513"/>
      <c r="G7393" s="194" t="s">
        <v>1209</v>
      </c>
      <c r="H7393" s="195"/>
      <c r="I7393" s="195" t="s">
        <v>1253</v>
      </c>
      <c r="J7393" s="191" t="s">
        <v>113</v>
      </c>
      <c r="K7393" s="196"/>
      <c r="L7393" s="379">
        <v>132776.57999999999</v>
      </c>
      <c r="M7393" s="251"/>
      <c r="N7393" s="130"/>
    </row>
    <row r="7394" spans="1:14" ht="11.25" customHeight="1" x14ac:dyDescent="0.2">
      <c r="A7394" s="197">
        <v>2025</v>
      </c>
      <c r="B7394" s="197">
        <v>3</v>
      </c>
      <c r="C7394" s="197">
        <v>4</v>
      </c>
      <c r="D7394" s="198">
        <f t="shared" si="821"/>
        <v>45720</v>
      </c>
      <c r="E7394" s="209">
        <f t="shared" si="824"/>
        <v>45720</v>
      </c>
      <c r="F7394" s="513" t="s">
        <v>1280</v>
      </c>
      <c r="G7394" s="200" t="s">
        <v>1209</v>
      </c>
      <c r="H7394" s="201"/>
      <c r="I7394" s="201" t="s">
        <v>335</v>
      </c>
      <c r="J7394" s="197" t="s">
        <v>16</v>
      </c>
      <c r="K7394" s="202">
        <v>970000</v>
      </c>
      <c r="L7394" s="202"/>
      <c r="M7394" s="130"/>
      <c r="N7394" s="130"/>
    </row>
    <row r="7395" spans="1:14" ht="11.25" customHeight="1" x14ac:dyDescent="0.2">
      <c r="A7395" s="120">
        <v>2025</v>
      </c>
      <c r="B7395" s="120">
        <v>3</v>
      </c>
      <c r="C7395" s="120">
        <v>4</v>
      </c>
      <c r="D7395" s="208">
        <f t="shared" si="821"/>
        <v>45720</v>
      </c>
      <c r="E7395" s="209">
        <f t="shared" si="824"/>
        <v>45720</v>
      </c>
      <c r="F7395" s="515"/>
      <c r="G7395" s="132" t="s">
        <v>1209</v>
      </c>
      <c r="I7395" s="128" t="s">
        <v>335</v>
      </c>
      <c r="J7395" s="120" t="s">
        <v>47</v>
      </c>
      <c r="K7395" s="207">
        <v>261900</v>
      </c>
      <c r="L7395" s="207"/>
      <c r="M7395" s="130"/>
      <c r="N7395" s="130"/>
    </row>
    <row r="7396" spans="1:14" ht="11.25" customHeight="1" x14ac:dyDescent="0.2">
      <c r="A7396" s="191">
        <v>2025</v>
      </c>
      <c r="B7396" s="191">
        <v>3</v>
      </c>
      <c r="C7396" s="191">
        <v>4</v>
      </c>
      <c r="D7396" s="192">
        <f t="shared" si="821"/>
        <v>45720</v>
      </c>
      <c r="E7396" s="193">
        <f t="shared" si="824"/>
        <v>45720</v>
      </c>
      <c r="F7396" s="514"/>
      <c r="G7396" s="194" t="s">
        <v>1209</v>
      </c>
      <c r="H7396" s="195"/>
      <c r="I7396" s="195" t="s">
        <v>335</v>
      </c>
      <c r="J7396" s="191" t="s">
        <v>46</v>
      </c>
      <c r="K7396" s="196"/>
      <c r="L7396" s="196">
        <v>1231900</v>
      </c>
      <c r="M7396" s="130"/>
      <c r="N7396" s="130"/>
    </row>
    <row r="7397" spans="1:14" ht="11.25" customHeight="1" x14ac:dyDescent="0.2">
      <c r="A7397" s="197">
        <v>2025</v>
      </c>
      <c r="B7397" s="197">
        <v>3</v>
      </c>
      <c r="C7397" s="197">
        <v>4</v>
      </c>
      <c r="D7397" s="198">
        <f t="shared" si="821"/>
        <v>45720</v>
      </c>
      <c r="E7397" s="209">
        <f t="shared" ref="E7397:E7399" si="825">DATE(A7397,B7397,C7397)</f>
        <v>45720</v>
      </c>
      <c r="F7397" s="513" t="s">
        <v>1280</v>
      </c>
      <c r="G7397" s="200" t="s">
        <v>1209</v>
      </c>
      <c r="H7397" s="201"/>
      <c r="I7397" s="201" t="s">
        <v>1631</v>
      </c>
      <c r="J7397" s="197" t="s">
        <v>16</v>
      </c>
      <c r="K7397" s="202">
        <v>5795900</v>
      </c>
      <c r="L7397" s="202"/>
      <c r="M7397" s="130"/>
      <c r="N7397" s="130"/>
    </row>
    <row r="7398" spans="1:14" ht="11.25" customHeight="1" x14ac:dyDescent="0.2">
      <c r="A7398" s="120">
        <v>2025</v>
      </c>
      <c r="B7398" s="120">
        <v>3</v>
      </c>
      <c r="C7398" s="120">
        <v>4</v>
      </c>
      <c r="D7398" s="208">
        <f t="shared" si="821"/>
        <v>45720</v>
      </c>
      <c r="E7398" s="209">
        <f t="shared" si="825"/>
        <v>45720</v>
      </c>
      <c r="F7398" s="515"/>
      <c r="G7398" s="132" t="s">
        <v>1209</v>
      </c>
      <c r="I7398" s="128" t="s">
        <v>1631</v>
      </c>
      <c r="J7398" s="120" t="s">
        <v>47</v>
      </c>
      <c r="K7398" s="207">
        <v>1564893</v>
      </c>
      <c r="L7398" s="207"/>
      <c r="M7398" s="130"/>
      <c r="N7398" s="130"/>
    </row>
    <row r="7399" spans="1:14" ht="11.25" customHeight="1" x14ac:dyDescent="0.2">
      <c r="A7399" s="191">
        <v>2025</v>
      </c>
      <c r="B7399" s="191">
        <v>3</v>
      </c>
      <c r="C7399" s="191">
        <v>4</v>
      </c>
      <c r="D7399" s="192">
        <f t="shared" si="821"/>
        <v>45720</v>
      </c>
      <c r="E7399" s="193">
        <f t="shared" si="825"/>
        <v>45720</v>
      </c>
      <c r="F7399" s="514"/>
      <c r="G7399" s="194" t="s">
        <v>1209</v>
      </c>
      <c r="H7399" s="195"/>
      <c r="I7399" s="195" t="s">
        <v>1631</v>
      </c>
      <c r="J7399" s="191" t="s">
        <v>46</v>
      </c>
      <c r="K7399" s="196"/>
      <c r="L7399" s="196">
        <v>7360793</v>
      </c>
      <c r="M7399" s="130"/>
      <c r="N7399" s="130"/>
    </row>
    <row r="7400" spans="1:14" ht="11.25" customHeight="1" x14ac:dyDescent="0.2">
      <c r="A7400" s="197">
        <v>2025</v>
      </c>
      <c r="B7400" s="197">
        <v>3</v>
      </c>
      <c r="C7400" s="197">
        <v>4</v>
      </c>
      <c r="D7400" s="198">
        <f t="shared" si="821"/>
        <v>45720</v>
      </c>
      <c r="E7400" s="209">
        <f t="shared" ref="E7400:E7405" si="826">DATE(A7400,B7400,C7400)</f>
        <v>45720</v>
      </c>
      <c r="F7400" s="513" t="s">
        <v>1280</v>
      </c>
      <c r="G7400" s="200" t="s">
        <v>1209</v>
      </c>
      <c r="H7400" s="201"/>
      <c r="I7400" s="201" t="s">
        <v>1654</v>
      </c>
      <c r="J7400" s="197" t="s">
        <v>16</v>
      </c>
      <c r="K7400" s="202">
        <v>2701490</v>
      </c>
      <c r="L7400" s="202"/>
      <c r="M7400" s="130"/>
      <c r="N7400" s="130"/>
    </row>
    <row r="7401" spans="1:14" ht="11.25" customHeight="1" x14ac:dyDescent="0.2">
      <c r="A7401" s="120">
        <v>2025</v>
      </c>
      <c r="B7401" s="120">
        <v>3</v>
      </c>
      <c r="C7401" s="120">
        <v>4</v>
      </c>
      <c r="D7401" s="208">
        <f t="shared" si="821"/>
        <v>45720</v>
      </c>
      <c r="E7401" s="209">
        <f t="shared" si="826"/>
        <v>45720</v>
      </c>
      <c r="F7401" s="515"/>
      <c r="G7401" s="132" t="s">
        <v>1209</v>
      </c>
      <c r="I7401" s="128" t="s">
        <v>1654</v>
      </c>
      <c r="J7401" s="120" t="s">
        <v>47</v>
      </c>
      <c r="K7401" s="207">
        <v>729402.29999999981</v>
      </c>
      <c r="L7401" s="207"/>
      <c r="M7401" s="130"/>
      <c r="N7401" s="130"/>
    </row>
    <row r="7402" spans="1:14" ht="11.25" customHeight="1" x14ac:dyDescent="0.2">
      <c r="A7402" s="191">
        <v>2025</v>
      </c>
      <c r="B7402" s="191">
        <v>3</v>
      </c>
      <c r="C7402" s="191">
        <v>4</v>
      </c>
      <c r="D7402" s="192">
        <f t="shared" si="821"/>
        <v>45720</v>
      </c>
      <c r="E7402" s="193">
        <f t="shared" si="826"/>
        <v>45720</v>
      </c>
      <c r="F7402" s="514"/>
      <c r="G7402" s="194" t="s">
        <v>1209</v>
      </c>
      <c r="H7402" s="195"/>
      <c r="I7402" s="195" t="s">
        <v>1654</v>
      </c>
      <c r="J7402" s="191" t="s">
        <v>46</v>
      </c>
      <c r="K7402" s="196"/>
      <c r="L7402" s="196">
        <v>3430892.3</v>
      </c>
      <c r="M7402" s="130"/>
      <c r="N7402" s="130"/>
    </row>
    <row r="7403" spans="1:14" ht="11.25" customHeight="1" x14ac:dyDescent="0.2">
      <c r="A7403" s="197">
        <v>2025</v>
      </c>
      <c r="B7403" s="197">
        <v>3</v>
      </c>
      <c r="C7403" s="197">
        <v>4</v>
      </c>
      <c r="D7403" s="198">
        <f t="shared" si="821"/>
        <v>45720</v>
      </c>
      <c r="E7403" s="209">
        <f t="shared" si="826"/>
        <v>45720</v>
      </c>
      <c r="F7403" s="513" t="s">
        <v>1210</v>
      </c>
      <c r="G7403" s="200" t="s">
        <v>1209</v>
      </c>
      <c r="H7403" s="201"/>
      <c r="I7403" s="201"/>
      <c r="J7403" s="197" t="s">
        <v>46</v>
      </c>
      <c r="K7403" s="202">
        <v>100000</v>
      </c>
      <c r="L7403" s="202"/>
    </row>
    <row r="7404" spans="1:14" ht="11.25" customHeight="1" x14ac:dyDescent="0.2">
      <c r="A7404" s="120">
        <v>2025</v>
      </c>
      <c r="B7404" s="120">
        <v>3</v>
      </c>
      <c r="C7404" s="120">
        <v>4</v>
      </c>
      <c r="D7404" s="208">
        <f t="shared" ref="D7404:D7467" si="827">DATE(A7404,B7404,C7404)</f>
        <v>45720</v>
      </c>
      <c r="E7404" s="209">
        <f t="shared" si="826"/>
        <v>45720</v>
      </c>
      <c r="F7404" s="515"/>
      <c r="G7404" s="132" t="s">
        <v>1209</v>
      </c>
      <c r="J7404" s="120" t="s">
        <v>16</v>
      </c>
      <c r="K7404" s="207"/>
      <c r="L7404" s="207">
        <v>78740</v>
      </c>
    </row>
    <row r="7405" spans="1:14" ht="11.25" customHeight="1" x14ac:dyDescent="0.2">
      <c r="A7405" s="191">
        <v>2025</v>
      </c>
      <c r="B7405" s="191">
        <v>3</v>
      </c>
      <c r="C7405" s="191">
        <v>4</v>
      </c>
      <c r="D7405" s="192">
        <f t="shared" si="827"/>
        <v>45720</v>
      </c>
      <c r="E7405" s="193">
        <f t="shared" si="826"/>
        <v>45720</v>
      </c>
      <c r="F7405" s="514"/>
      <c r="G7405" s="194" t="s">
        <v>1209</v>
      </c>
      <c r="H7405" s="195"/>
      <c r="I7405" s="195"/>
      <c r="J7405" s="191" t="s">
        <v>47</v>
      </c>
      <c r="K7405" s="196"/>
      <c r="L7405" s="196">
        <v>21260</v>
      </c>
    </row>
    <row r="7406" spans="1:14" ht="11.25" customHeight="1" x14ac:dyDescent="0.2">
      <c r="A7406" s="197">
        <v>2025</v>
      </c>
      <c r="B7406" s="197">
        <v>3</v>
      </c>
      <c r="C7406" s="197">
        <v>4</v>
      </c>
      <c r="D7406" s="198">
        <f t="shared" si="827"/>
        <v>45720</v>
      </c>
      <c r="E7406" s="209">
        <f t="shared" ref="E7406:E7411" si="828">DATE(A7406,B7406,C7406)</f>
        <v>45720</v>
      </c>
      <c r="F7406" s="513" t="s">
        <v>1210</v>
      </c>
      <c r="G7406" s="200" t="s">
        <v>1209</v>
      </c>
      <c r="H7406" s="201"/>
      <c r="I7406" s="201"/>
      <c r="J7406" s="197" t="s">
        <v>46</v>
      </c>
      <c r="K7406" s="202">
        <v>100000</v>
      </c>
      <c r="L7406" s="202"/>
    </row>
    <row r="7407" spans="1:14" ht="11.25" customHeight="1" x14ac:dyDescent="0.2">
      <c r="A7407" s="120">
        <v>2025</v>
      </c>
      <c r="B7407" s="120">
        <v>3</v>
      </c>
      <c r="C7407" s="120">
        <v>4</v>
      </c>
      <c r="D7407" s="208">
        <f t="shared" si="827"/>
        <v>45720</v>
      </c>
      <c r="E7407" s="209">
        <f t="shared" si="828"/>
        <v>45720</v>
      </c>
      <c r="F7407" s="515"/>
      <c r="G7407" s="132" t="s">
        <v>1209</v>
      </c>
      <c r="J7407" s="120" t="s">
        <v>16</v>
      </c>
      <c r="K7407" s="207"/>
      <c r="L7407" s="207">
        <v>78740</v>
      </c>
    </row>
    <row r="7408" spans="1:14" ht="11.25" customHeight="1" x14ac:dyDescent="0.2">
      <c r="A7408" s="191">
        <v>2025</v>
      </c>
      <c r="B7408" s="191">
        <v>3</v>
      </c>
      <c r="C7408" s="191">
        <v>4</v>
      </c>
      <c r="D7408" s="192">
        <f t="shared" si="827"/>
        <v>45720</v>
      </c>
      <c r="E7408" s="193">
        <f t="shared" si="828"/>
        <v>45720</v>
      </c>
      <c r="F7408" s="514"/>
      <c r="G7408" s="194" t="s">
        <v>1209</v>
      </c>
      <c r="H7408" s="195"/>
      <c r="I7408" s="195"/>
      <c r="J7408" s="191" t="s">
        <v>47</v>
      </c>
      <c r="K7408" s="196"/>
      <c r="L7408" s="196">
        <v>21260</v>
      </c>
    </row>
    <row r="7409" spans="1:15" ht="11.25" customHeight="1" x14ac:dyDescent="0.2">
      <c r="A7409" s="197">
        <v>2025</v>
      </c>
      <c r="B7409" s="197">
        <v>3</v>
      </c>
      <c r="C7409" s="197">
        <v>4</v>
      </c>
      <c r="D7409" s="198">
        <f t="shared" si="827"/>
        <v>45720</v>
      </c>
      <c r="E7409" s="209">
        <f t="shared" si="828"/>
        <v>45720</v>
      </c>
      <c r="F7409" s="513" t="s">
        <v>1280</v>
      </c>
      <c r="G7409" s="200" t="s">
        <v>1209</v>
      </c>
      <c r="H7409" s="201"/>
      <c r="I7409" s="201" t="s">
        <v>1790</v>
      </c>
      <c r="J7409" s="197" t="s">
        <v>16</v>
      </c>
      <c r="K7409" s="202">
        <v>7870</v>
      </c>
      <c r="L7409" s="202"/>
      <c r="M7409" s="130"/>
      <c r="N7409" s="130"/>
    </row>
    <row r="7410" spans="1:15" ht="11.25" customHeight="1" x14ac:dyDescent="0.2">
      <c r="A7410" s="120">
        <v>2025</v>
      </c>
      <c r="B7410" s="120">
        <v>3</v>
      </c>
      <c r="C7410" s="120">
        <v>4</v>
      </c>
      <c r="D7410" s="208">
        <f t="shared" si="827"/>
        <v>45720</v>
      </c>
      <c r="E7410" s="209">
        <f t="shared" si="828"/>
        <v>45720</v>
      </c>
      <c r="F7410" s="515"/>
      <c r="G7410" s="132" t="s">
        <v>1209</v>
      </c>
      <c r="I7410" s="128" t="s">
        <v>1790</v>
      </c>
      <c r="J7410" s="120" t="s">
        <v>47</v>
      </c>
      <c r="K7410" s="207">
        <v>2130</v>
      </c>
      <c r="L7410" s="207"/>
      <c r="M7410" s="130"/>
      <c r="N7410" s="130"/>
    </row>
    <row r="7411" spans="1:15" ht="11.25" customHeight="1" x14ac:dyDescent="0.2">
      <c r="A7411" s="191">
        <v>2025</v>
      </c>
      <c r="B7411" s="191">
        <v>3</v>
      </c>
      <c r="C7411" s="191">
        <v>4</v>
      </c>
      <c r="D7411" s="192">
        <f t="shared" si="827"/>
        <v>45720</v>
      </c>
      <c r="E7411" s="193">
        <f t="shared" si="828"/>
        <v>45720</v>
      </c>
      <c r="F7411" s="514"/>
      <c r="G7411" s="194" t="s">
        <v>1209</v>
      </c>
      <c r="H7411" s="195"/>
      <c r="I7411" s="195" t="s">
        <v>1790</v>
      </c>
      <c r="J7411" s="191" t="s">
        <v>46</v>
      </c>
      <c r="K7411" s="196"/>
      <c r="L7411" s="196">
        <v>10000</v>
      </c>
      <c r="M7411" s="130"/>
      <c r="N7411" s="130"/>
    </row>
    <row r="7412" spans="1:15" ht="11.25" customHeight="1" x14ac:dyDescent="0.2">
      <c r="A7412" s="197">
        <v>2025</v>
      </c>
      <c r="B7412" s="197">
        <v>3</v>
      </c>
      <c r="C7412" s="197">
        <v>4</v>
      </c>
      <c r="D7412" s="198">
        <f t="shared" si="827"/>
        <v>45720</v>
      </c>
      <c r="E7412" s="290">
        <f>DATE(A7412,B7412,C7412)</f>
        <v>45720</v>
      </c>
      <c r="F7412" s="513" t="s">
        <v>1514</v>
      </c>
      <c r="G7412" s="200" t="s">
        <v>1209</v>
      </c>
      <c r="H7412" s="201"/>
      <c r="I7412" s="201"/>
      <c r="J7412" s="197" t="s">
        <v>54</v>
      </c>
      <c r="K7412" s="202">
        <v>200</v>
      </c>
      <c r="L7412" s="202"/>
      <c r="M7412" s="251"/>
      <c r="N7412" s="251"/>
      <c r="O7412" s="251"/>
    </row>
    <row r="7413" spans="1:15" ht="11.25" customHeight="1" x14ac:dyDescent="0.2">
      <c r="A7413" s="191">
        <v>2025</v>
      </c>
      <c r="B7413" s="191">
        <v>3</v>
      </c>
      <c r="C7413" s="191">
        <v>4</v>
      </c>
      <c r="D7413" s="192">
        <f t="shared" si="827"/>
        <v>45720</v>
      </c>
      <c r="E7413" s="291">
        <f>DATE(A7413,B7413,C7413)</f>
        <v>45720</v>
      </c>
      <c r="F7413" s="514"/>
      <c r="G7413" s="194" t="s">
        <v>1209</v>
      </c>
      <c r="H7413" s="195"/>
      <c r="I7413" s="195"/>
      <c r="J7413" s="191" t="s">
        <v>46</v>
      </c>
      <c r="K7413" s="196"/>
      <c r="L7413" s="196">
        <v>200</v>
      </c>
      <c r="M7413" s="251"/>
      <c r="N7413" s="251"/>
      <c r="O7413" s="251"/>
    </row>
    <row r="7414" spans="1:15" ht="11.25" customHeight="1" x14ac:dyDescent="0.2">
      <c r="A7414" s="197">
        <v>2025</v>
      </c>
      <c r="B7414" s="197">
        <v>3</v>
      </c>
      <c r="C7414" s="197">
        <v>4</v>
      </c>
      <c r="D7414" s="198">
        <f t="shared" si="827"/>
        <v>45720</v>
      </c>
      <c r="E7414" s="290">
        <f t="shared" ref="E7414:E7415" si="829">DATE(A7414,B7414,C7414)</f>
        <v>45720</v>
      </c>
      <c r="F7414" s="513" t="s">
        <v>2007</v>
      </c>
      <c r="G7414" s="200" t="s">
        <v>1209</v>
      </c>
      <c r="H7414" s="201"/>
      <c r="I7414" s="201" t="s">
        <v>1253</v>
      </c>
      <c r="J7414" s="197" t="s">
        <v>46</v>
      </c>
      <c r="K7414" s="202">
        <v>1785596.25</v>
      </c>
      <c r="L7414" s="202"/>
    </row>
    <row r="7415" spans="1:15" ht="11.25" customHeight="1" x14ac:dyDescent="0.2">
      <c r="A7415" s="191">
        <v>2025</v>
      </c>
      <c r="B7415" s="191">
        <v>3</v>
      </c>
      <c r="C7415" s="191">
        <v>4</v>
      </c>
      <c r="D7415" s="192">
        <f t="shared" si="827"/>
        <v>45720</v>
      </c>
      <c r="E7415" s="291">
        <f t="shared" si="829"/>
        <v>45720</v>
      </c>
      <c r="F7415" s="514"/>
      <c r="G7415" s="194" t="s">
        <v>1209</v>
      </c>
      <c r="H7415" s="195"/>
      <c r="I7415" s="195"/>
      <c r="J7415" s="191" t="s">
        <v>1845</v>
      </c>
      <c r="K7415" s="196"/>
      <c r="L7415" s="196">
        <v>1785596.25</v>
      </c>
    </row>
    <row r="7416" spans="1:15" ht="11.25" customHeight="1" x14ac:dyDescent="0.2">
      <c r="A7416" s="197">
        <v>2025</v>
      </c>
      <c r="B7416" s="197">
        <v>3</v>
      </c>
      <c r="C7416" s="197">
        <v>5</v>
      </c>
      <c r="D7416" s="198">
        <f t="shared" si="827"/>
        <v>45721</v>
      </c>
      <c r="E7416" s="209">
        <f t="shared" ref="E7416:E7418" si="830">DATE(A7416,B7416,C7416)</f>
        <v>45721</v>
      </c>
      <c r="F7416" s="513" t="s">
        <v>1280</v>
      </c>
      <c r="G7416" s="200" t="s">
        <v>1209</v>
      </c>
      <c r="H7416" s="201"/>
      <c r="I7416" s="201" t="s">
        <v>1941</v>
      </c>
      <c r="J7416" s="197" t="s">
        <v>16</v>
      </c>
      <c r="K7416" s="202">
        <v>625750</v>
      </c>
      <c r="L7416" s="202"/>
      <c r="M7416" s="130"/>
      <c r="N7416" s="130"/>
    </row>
    <row r="7417" spans="1:15" ht="11.25" customHeight="1" x14ac:dyDescent="0.2">
      <c r="A7417" s="120">
        <v>2025</v>
      </c>
      <c r="B7417" s="120">
        <v>3</v>
      </c>
      <c r="C7417" s="120">
        <v>5</v>
      </c>
      <c r="D7417" s="208">
        <f t="shared" si="827"/>
        <v>45721</v>
      </c>
      <c r="E7417" s="209">
        <f t="shared" si="830"/>
        <v>45721</v>
      </c>
      <c r="F7417" s="515"/>
      <c r="G7417" s="132" t="s">
        <v>1209</v>
      </c>
      <c r="I7417" s="128" t="s">
        <v>1941</v>
      </c>
      <c r="J7417" s="120" t="s">
        <v>47</v>
      </c>
      <c r="K7417" s="207">
        <v>168952.5</v>
      </c>
      <c r="L7417" s="207"/>
      <c r="M7417" s="130"/>
      <c r="N7417" s="130"/>
    </row>
    <row r="7418" spans="1:15" ht="11.25" customHeight="1" x14ac:dyDescent="0.2">
      <c r="A7418" s="191">
        <v>2025</v>
      </c>
      <c r="B7418" s="191">
        <v>3</v>
      </c>
      <c r="C7418" s="191">
        <v>5</v>
      </c>
      <c r="D7418" s="192">
        <f t="shared" si="827"/>
        <v>45721</v>
      </c>
      <c r="E7418" s="193">
        <f t="shared" si="830"/>
        <v>45721</v>
      </c>
      <c r="F7418" s="514"/>
      <c r="G7418" s="194" t="s">
        <v>1209</v>
      </c>
      <c r="H7418" s="195"/>
      <c r="I7418" s="195" t="s">
        <v>1941</v>
      </c>
      <c r="J7418" s="191" t="s">
        <v>46</v>
      </c>
      <c r="K7418" s="196"/>
      <c r="L7418" s="196">
        <v>794702.5</v>
      </c>
      <c r="M7418" s="130"/>
      <c r="N7418" s="130"/>
    </row>
    <row r="7419" spans="1:15" ht="11.25" customHeight="1" x14ac:dyDescent="0.2">
      <c r="A7419" s="197">
        <v>2025</v>
      </c>
      <c r="B7419" s="197">
        <v>3</v>
      </c>
      <c r="C7419" s="197">
        <v>5</v>
      </c>
      <c r="D7419" s="198">
        <f t="shared" si="827"/>
        <v>45721</v>
      </c>
      <c r="E7419" s="209">
        <f t="shared" ref="E7419:E7421" si="831">DATE(A7419,B7419,C7419)</f>
        <v>45721</v>
      </c>
      <c r="F7419" s="513" t="s">
        <v>1280</v>
      </c>
      <c r="G7419" s="200" t="s">
        <v>1209</v>
      </c>
      <c r="H7419" s="201"/>
      <c r="I7419" s="201" t="s">
        <v>596</v>
      </c>
      <c r="J7419" s="197" t="s">
        <v>16</v>
      </c>
      <c r="K7419" s="202">
        <v>2203320</v>
      </c>
      <c r="L7419" s="202"/>
      <c r="M7419" s="130"/>
      <c r="N7419" s="130"/>
    </row>
    <row r="7420" spans="1:15" ht="11.25" customHeight="1" x14ac:dyDescent="0.2">
      <c r="A7420" s="120">
        <v>2025</v>
      </c>
      <c r="B7420" s="120">
        <v>3</v>
      </c>
      <c r="C7420" s="120">
        <v>5</v>
      </c>
      <c r="D7420" s="208">
        <f t="shared" si="827"/>
        <v>45721</v>
      </c>
      <c r="E7420" s="209">
        <f t="shared" si="831"/>
        <v>45721</v>
      </c>
      <c r="F7420" s="515"/>
      <c r="G7420" s="132" t="s">
        <v>1209</v>
      </c>
      <c r="I7420" s="128" t="s">
        <v>596</v>
      </c>
      <c r="J7420" s="120" t="s">
        <v>47</v>
      </c>
      <c r="K7420" s="207">
        <v>594896.39999999991</v>
      </c>
      <c r="L7420" s="207"/>
      <c r="M7420" s="130"/>
      <c r="N7420" s="130"/>
    </row>
    <row r="7421" spans="1:15" ht="11.25" customHeight="1" x14ac:dyDescent="0.2">
      <c r="A7421" s="191">
        <v>2025</v>
      </c>
      <c r="B7421" s="191">
        <v>3</v>
      </c>
      <c r="C7421" s="191">
        <v>5</v>
      </c>
      <c r="D7421" s="192">
        <f t="shared" si="827"/>
        <v>45721</v>
      </c>
      <c r="E7421" s="193">
        <f t="shared" si="831"/>
        <v>45721</v>
      </c>
      <c r="F7421" s="514"/>
      <c r="G7421" s="194" t="s">
        <v>1209</v>
      </c>
      <c r="H7421" s="195"/>
      <c r="I7421" s="195" t="s">
        <v>596</v>
      </c>
      <c r="J7421" s="191" t="s">
        <v>46</v>
      </c>
      <c r="K7421" s="196"/>
      <c r="L7421" s="196">
        <v>2798216.4</v>
      </c>
      <c r="M7421" s="130"/>
      <c r="N7421" s="130"/>
    </row>
    <row r="7422" spans="1:15" ht="11.25" customHeight="1" x14ac:dyDescent="0.2">
      <c r="A7422" s="197">
        <v>2025</v>
      </c>
      <c r="B7422" s="197">
        <v>3</v>
      </c>
      <c r="C7422" s="197">
        <v>5</v>
      </c>
      <c r="D7422" s="198">
        <f t="shared" si="827"/>
        <v>45721</v>
      </c>
      <c r="E7422" s="209">
        <f t="shared" ref="E7422:E7424" si="832">DATE(A7422,B7422,C7422)</f>
        <v>45721</v>
      </c>
      <c r="F7422" s="513" t="s">
        <v>1280</v>
      </c>
      <c r="G7422" s="200" t="s">
        <v>1209</v>
      </c>
      <c r="H7422" s="201"/>
      <c r="I7422" s="201" t="s">
        <v>1589</v>
      </c>
      <c r="J7422" s="197" t="s">
        <v>16</v>
      </c>
      <c r="K7422" s="202">
        <v>787400</v>
      </c>
      <c r="L7422" s="202"/>
      <c r="M7422" s="130"/>
      <c r="N7422" s="130"/>
    </row>
    <row r="7423" spans="1:15" ht="11.25" customHeight="1" x14ac:dyDescent="0.2">
      <c r="A7423" s="120">
        <v>2025</v>
      </c>
      <c r="B7423" s="120">
        <v>3</v>
      </c>
      <c r="C7423" s="120">
        <v>5</v>
      </c>
      <c r="D7423" s="208">
        <f t="shared" si="827"/>
        <v>45721</v>
      </c>
      <c r="E7423" s="209">
        <f t="shared" si="832"/>
        <v>45721</v>
      </c>
      <c r="F7423" s="515"/>
      <c r="G7423" s="132" t="s">
        <v>1209</v>
      </c>
      <c r="I7423" s="128" t="s">
        <v>1589</v>
      </c>
      <c r="J7423" s="120" t="s">
        <v>47</v>
      </c>
      <c r="K7423" s="207">
        <v>212600</v>
      </c>
      <c r="L7423" s="207"/>
      <c r="M7423" s="130"/>
      <c r="N7423" s="130"/>
    </row>
    <row r="7424" spans="1:15" ht="11.25" customHeight="1" x14ac:dyDescent="0.2">
      <c r="A7424" s="191">
        <v>2025</v>
      </c>
      <c r="B7424" s="191">
        <v>3</v>
      </c>
      <c r="C7424" s="191">
        <v>5</v>
      </c>
      <c r="D7424" s="192">
        <f t="shared" si="827"/>
        <v>45721</v>
      </c>
      <c r="E7424" s="193">
        <f t="shared" si="832"/>
        <v>45721</v>
      </c>
      <c r="F7424" s="514"/>
      <c r="G7424" s="194" t="s">
        <v>1209</v>
      </c>
      <c r="H7424" s="195"/>
      <c r="I7424" s="195" t="s">
        <v>1589</v>
      </c>
      <c r="J7424" s="191" t="s">
        <v>46</v>
      </c>
      <c r="K7424" s="196"/>
      <c r="L7424" s="196">
        <v>1000000</v>
      </c>
      <c r="M7424" s="130"/>
      <c r="N7424" s="130"/>
    </row>
    <row r="7425" spans="1:15" ht="11.25" customHeight="1" x14ac:dyDescent="0.2">
      <c r="A7425" s="197">
        <v>2025</v>
      </c>
      <c r="B7425" s="197">
        <v>3</v>
      </c>
      <c r="C7425" s="197">
        <v>5</v>
      </c>
      <c r="D7425" s="198">
        <f t="shared" si="827"/>
        <v>45721</v>
      </c>
      <c r="E7425" s="209">
        <f t="shared" ref="E7425:E7427" si="833">DATE(A7425,B7425,C7425)</f>
        <v>45721</v>
      </c>
      <c r="F7425" s="513" t="s">
        <v>1280</v>
      </c>
      <c r="G7425" s="200" t="s">
        <v>1209</v>
      </c>
      <c r="H7425" s="201"/>
      <c r="I7425" s="201" t="s">
        <v>524</v>
      </c>
      <c r="J7425" s="197" t="s">
        <v>16</v>
      </c>
      <c r="K7425" s="202">
        <v>787400</v>
      </c>
      <c r="L7425" s="202"/>
      <c r="M7425" s="130"/>
      <c r="N7425" s="130"/>
    </row>
    <row r="7426" spans="1:15" ht="11.25" customHeight="1" x14ac:dyDescent="0.2">
      <c r="A7426" s="120">
        <v>2025</v>
      </c>
      <c r="B7426" s="120">
        <v>3</v>
      </c>
      <c r="C7426" s="120">
        <v>5</v>
      </c>
      <c r="D7426" s="208">
        <f t="shared" si="827"/>
        <v>45721</v>
      </c>
      <c r="E7426" s="209">
        <f t="shared" si="833"/>
        <v>45721</v>
      </c>
      <c r="F7426" s="515"/>
      <c r="G7426" s="132" t="s">
        <v>1209</v>
      </c>
      <c r="I7426" s="128" t="s">
        <v>524</v>
      </c>
      <c r="J7426" s="120" t="s">
        <v>47</v>
      </c>
      <c r="K7426" s="207">
        <v>212600</v>
      </c>
      <c r="L7426" s="207"/>
      <c r="M7426" s="130"/>
      <c r="N7426" s="130"/>
    </row>
    <row r="7427" spans="1:15" ht="11.25" customHeight="1" x14ac:dyDescent="0.2">
      <c r="A7427" s="191">
        <v>2025</v>
      </c>
      <c r="B7427" s="191">
        <v>3</v>
      </c>
      <c r="C7427" s="191">
        <v>5</v>
      </c>
      <c r="D7427" s="192">
        <f t="shared" si="827"/>
        <v>45721</v>
      </c>
      <c r="E7427" s="193">
        <f t="shared" si="833"/>
        <v>45721</v>
      </c>
      <c r="F7427" s="514"/>
      <c r="G7427" s="194" t="s">
        <v>1209</v>
      </c>
      <c r="H7427" s="195"/>
      <c r="I7427" s="195" t="s">
        <v>524</v>
      </c>
      <c r="J7427" s="191" t="s">
        <v>46</v>
      </c>
      <c r="K7427" s="196"/>
      <c r="L7427" s="196">
        <v>1000000</v>
      </c>
      <c r="M7427" s="130"/>
      <c r="N7427" s="130"/>
    </row>
    <row r="7428" spans="1:15" ht="11.25" customHeight="1" x14ac:dyDescent="0.2">
      <c r="A7428" s="197">
        <v>2025</v>
      </c>
      <c r="B7428" s="197">
        <v>3</v>
      </c>
      <c r="C7428" s="197">
        <v>5</v>
      </c>
      <c r="D7428" s="198">
        <f t="shared" si="827"/>
        <v>45721</v>
      </c>
      <c r="E7428" s="290">
        <f>DATE(A7428,B7428,C7428)</f>
        <v>45721</v>
      </c>
      <c r="F7428" s="513" t="s">
        <v>1514</v>
      </c>
      <c r="G7428" s="200" t="s">
        <v>1209</v>
      </c>
      <c r="H7428" s="201"/>
      <c r="I7428" s="201"/>
      <c r="J7428" s="197" t="s">
        <v>54</v>
      </c>
      <c r="K7428" s="202">
        <v>460</v>
      </c>
      <c r="L7428" s="202"/>
      <c r="M7428" s="251"/>
      <c r="N7428" s="251"/>
      <c r="O7428" s="251"/>
    </row>
    <row r="7429" spans="1:15" ht="11.25" customHeight="1" x14ac:dyDescent="0.2">
      <c r="A7429" s="191">
        <v>2025</v>
      </c>
      <c r="B7429" s="191">
        <v>3</v>
      </c>
      <c r="C7429" s="191">
        <v>5</v>
      </c>
      <c r="D7429" s="192">
        <f t="shared" si="827"/>
        <v>45721</v>
      </c>
      <c r="E7429" s="291">
        <f>DATE(A7429,B7429,C7429)</f>
        <v>45721</v>
      </c>
      <c r="F7429" s="514"/>
      <c r="G7429" s="194" t="s">
        <v>1209</v>
      </c>
      <c r="H7429" s="195"/>
      <c r="I7429" s="195"/>
      <c r="J7429" s="191" t="s">
        <v>46</v>
      </c>
      <c r="K7429" s="196"/>
      <c r="L7429" s="196">
        <v>460</v>
      </c>
      <c r="M7429" s="251"/>
      <c r="N7429" s="251"/>
      <c r="O7429" s="251"/>
    </row>
    <row r="7430" spans="1:15" ht="11.25" customHeight="1" x14ac:dyDescent="0.2">
      <c r="A7430" s="197">
        <v>2025</v>
      </c>
      <c r="B7430" s="197">
        <v>3</v>
      </c>
      <c r="C7430" s="197">
        <v>5</v>
      </c>
      <c r="D7430" s="198">
        <f t="shared" si="827"/>
        <v>45721</v>
      </c>
      <c r="E7430" s="290">
        <f t="shared" ref="E7430:E7434" si="834">DATE(A7430,B7430,C7430)</f>
        <v>45721</v>
      </c>
      <c r="F7430" s="513" t="s">
        <v>1994</v>
      </c>
      <c r="G7430" s="200" t="s">
        <v>1209</v>
      </c>
      <c r="H7430" s="201"/>
      <c r="I7430" s="201" t="s">
        <v>1253</v>
      </c>
      <c r="J7430" s="197" t="s">
        <v>46</v>
      </c>
      <c r="K7430" s="202">
        <v>9556.66</v>
      </c>
      <c r="L7430" s="202"/>
    </row>
    <row r="7431" spans="1:15" ht="11.25" customHeight="1" x14ac:dyDescent="0.2">
      <c r="A7431" s="191">
        <v>2025</v>
      </c>
      <c r="B7431" s="191">
        <v>3</v>
      </c>
      <c r="C7431" s="191">
        <v>5</v>
      </c>
      <c r="D7431" s="192">
        <f t="shared" si="827"/>
        <v>45721</v>
      </c>
      <c r="E7431" s="291">
        <f t="shared" si="834"/>
        <v>45721</v>
      </c>
      <c r="F7431" s="513"/>
      <c r="G7431" s="194" t="s">
        <v>1209</v>
      </c>
      <c r="H7431" s="195"/>
      <c r="I7431" s="195" t="s">
        <v>1253</v>
      </c>
      <c r="J7431" s="191" t="s">
        <v>113</v>
      </c>
      <c r="K7431" s="196"/>
      <c r="L7431" s="379">
        <v>9556.66</v>
      </c>
    </row>
    <row r="7432" spans="1:15" ht="11.25" customHeight="1" x14ac:dyDescent="0.2">
      <c r="A7432" s="197">
        <v>2025</v>
      </c>
      <c r="B7432" s="197">
        <v>3</v>
      </c>
      <c r="C7432" s="197">
        <v>5</v>
      </c>
      <c r="D7432" s="198">
        <f t="shared" si="827"/>
        <v>45721</v>
      </c>
      <c r="E7432" s="209">
        <f t="shared" si="834"/>
        <v>45721</v>
      </c>
      <c r="F7432" s="513" t="s">
        <v>1210</v>
      </c>
      <c r="G7432" s="200" t="s">
        <v>1209</v>
      </c>
      <c r="H7432" s="201"/>
      <c r="I7432" s="201" t="s">
        <v>384</v>
      </c>
      <c r="J7432" s="197" t="s">
        <v>46</v>
      </c>
      <c r="K7432" s="202">
        <v>200000</v>
      </c>
      <c r="L7432" s="202"/>
    </row>
    <row r="7433" spans="1:15" ht="11.25" customHeight="1" x14ac:dyDescent="0.2">
      <c r="A7433" s="120">
        <v>2025</v>
      </c>
      <c r="B7433" s="120">
        <v>3</v>
      </c>
      <c r="C7433" s="120">
        <v>5</v>
      </c>
      <c r="D7433" s="208">
        <f t="shared" si="827"/>
        <v>45721</v>
      </c>
      <c r="E7433" s="209">
        <f t="shared" si="834"/>
        <v>45721</v>
      </c>
      <c r="F7433" s="515"/>
      <c r="G7433" s="132" t="s">
        <v>1209</v>
      </c>
      <c r="I7433" s="128" t="s">
        <v>384</v>
      </c>
      <c r="J7433" s="120" t="s">
        <v>16</v>
      </c>
      <c r="K7433" s="207"/>
      <c r="L7433" s="207">
        <v>157480</v>
      </c>
    </row>
    <row r="7434" spans="1:15" ht="11.25" customHeight="1" x14ac:dyDescent="0.2">
      <c r="A7434" s="191">
        <v>2025</v>
      </c>
      <c r="B7434" s="191">
        <v>3</v>
      </c>
      <c r="C7434" s="191">
        <v>5</v>
      </c>
      <c r="D7434" s="192">
        <f t="shared" si="827"/>
        <v>45721</v>
      </c>
      <c r="E7434" s="193">
        <f t="shared" si="834"/>
        <v>45721</v>
      </c>
      <c r="F7434" s="514"/>
      <c r="G7434" s="194" t="s">
        <v>1209</v>
      </c>
      <c r="H7434" s="195"/>
      <c r="I7434" s="195" t="s">
        <v>384</v>
      </c>
      <c r="J7434" s="191" t="s">
        <v>47</v>
      </c>
      <c r="K7434" s="196"/>
      <c r="L7434" s="196">
        <v>42520</v>
      </c>
    </row>
    <row r="7435" spans="1:15" ht="11.25" customHeight="1" x14ac:dyDescent="0.2">
      <c r="A7435" s="197">
        <v>2025</v>
      </c>
      <c r="B7435" s="197">
        <v>3</v>
      </c>
      <c r="C7435" s="197">
        <v>5</v>
      </c>
      <c r="D7435" s="198">
        <f t="shared" si="827"/>
        <v>45721</v>
      </c>
      <c r="E7435" s="209">
        <f t="shared" ref="E7435:E7437" si="835">DATE(A7435,B7435,C7435)</f>
        <v>45721</v>
      </c>
      <c r="F7435" s="513" t="s">
        <v>1296</v>
      </c>
      <c r="G7435" s="200" t="s">
        <v>1209</v>
      </c>
      <c r="H7435" s="201"/>
      <c r="I7435" s="201"/>
      <c r="J7435" s="197" t="s">
        <v>46</v>
      </c>
      <c r="K7435" s="202">
        <v>232000</v>
      </c>
      <c r="L7435" s="202"/>
    </row>
    <row r="7436" spans="1:15" ht="11.25" customHeight="1" x14ac:dyDescent="0.2">
      <c r="A7436" s="120">
        <v>2025</v>
      </c>
      <c r="B7436" s="120">
        <v>3</v>
      </c>
      <c r="C7436" s="120">
        <v>5</v>
      </c>
      <c r="D7436" s="208">
        <f t="shared" si="827"/>
        <v>45721</v>
      </c>
      <c r="E7436" s="209">
        <f t="shared" si="835"/>
        <v>45721</v>
      </c>
      <c r="F7436" s="515"/>
      <c r="G7436" s="132" t="s">
        <v>1209</v>
      </c>
      <c r="J7436" s="120" t="s">
        <v>16</v>
      </c>
      <c r="K7436" s="207"/>
      <c r="L7436" s="207">
        <v>182670</v>
      </c>
    </row>
    <row r="7437" spans="1:15" ht="11.25" customHeight="1" x14ac:dyDescent="0.2">
      <c r="A7437" s="191">
        <v>2025</v>
      </c>
      <c r="B7437" s="191">
        <v>3</v>
      </c>
      <c r="C7437" s="191">
        <v>5</v>
      </c>
      <c r="D7437" s="192">
        <f t="shared" si="827"/>
        <v>45721</v>
      </c>
      <c r="E7437" s="193">
        <f t="shared" si="835"/>
        <v>45721</v>
      </c>
      <c r="F7437" s="514"/>
      <c r="G7437" s="194" t="s">
        <v>1209</v>
      </c>
      <c r="H7437" s="195"/>
      <c r="I7437" s="195"/>
      <c r="J7437" s="191" t="s">
        <v>47</v>
      </c>
      <c r="K7437" s="196"/>
      <c r="L7437" s="196">
        <v>49330</v>
      </c>
    </row>
    <row r="7438" spans="1:15" ht="11.25" customHeight="1" x14ac:dyDescent="0.2">
      <c r="A7438" s="197">
        <v>2025</v>
      </c>
      <c r="B7438" s="197">
        <v>3</v>
      </c>
      <c r="C7438" s="197">
        <v>5</v>
      </c>
      <c r="D7438" s="198">
        <f t="shared" si="827"/>
        <v>45721</v>
      </c>
      <c r="E7438" s="290">
        <f>DATE(A7438,B7438,C7438)</f>
        <v>45721</v>
      </c>
      <c r="F7438" s="513" t="s">
        <v>1527</v>
      </c>
      <c r="G7438" s="200" t="s">
        <v>1209</v>
      </c>
      <c r="H7438" s="201"/>
      <c r="I7438" s="201"/>
      <c r="J7438" s="197" t="s">
        <v>54</v>
      </c>
      <c r="K7438" s="202">
        <v>10</v>
      </c>
      <c r="L7438" s="202"/>
      <c r="M7438" s="251"/>
      <c r="N7438" s="251"/>
      <c r="O7438" s="251"/>
    </row>
    <row r="7439" spans="1:15" ht="11.25" customHeight="1" x14ac:dyDescent="0.2">
      <c r="A7439" s="191">
        <v>2025</v>
      </c>
      <c r="B7439" s="191">
        <v>3</v>
      </c>
      <c r="C7439" s="191">
        <v>5</v>
      </c>
      <c r="D7439" s="192">
        <f t="shared" si="827"/>
        <v>45721</v>
      </c>
      <c r="E7439" s="291">
        <f>DATE(A7439,B7439,C7439)</f>
        <v>45721</v>
      </c>
      <c r="F7439" s="514"/>
      <c r="G7439" s="194" t="s">
        <v>1209</v>
      </c>
      <c r="H7439" s="195"/>
      <c r="I7439" s="195"/>
      <c r="J7439" s="191" t="s">
        <v>46</v>
      </c>
      <c r="K7439" s="196"/>
      <c r="L7439" s="196">
        <v>10</v>
      </c>
      <c r="M7439" s="251"/>
      <c r="N7439" s="251"/>
      <c r="O7439" s="251"/>
    </row>
    <row r="7440" spans="1:15" ht="11.25" customHeight="1" x14ac:dyDescent="0.2">
      <c r="A7440" s="197">
        <v>2025</v>
      </c>
      <c r="B7440" s="197">
        <v>3</v>
      </c>
      <c r="C7440" s="197">
        <v>6</v>
      </c>
      <c r="D7440" s="198">
        <f t="shared" si="827"/>
        <v>45722</v>
      </c>
      <c r="E7440" s="209">
        <f t="shared" ref="E7440:E7445" si="836">DATE(A7440,B7440,C7440)</f>
        <v>45722</v>
      </c>
      <c r="F7440" s="513" t="s">
        <v>1280</v>
      </c>
      <c r="G7440" s="200" t="s">
        <v>1209</v>
      </c>
      <c r="H7440" s="201"/>
      <c r="I7440" s="201" t="s">
        <v>362</v>
      </c>
      <c r="J7440" s="197" t="s">
        <v>16</v>
      </c>
      <c r="K7440" s="202">
        <v>460280</v>
      </c>
      <c r="L7440" s="202"/>
      <c r="M7440" s="130"/>
      <c r="N7440" s="130"/>
    </row>
    <row r="7441" spans="1:15" ht="11.25" customHeight="1" x14ac:dyDescent="0.2">
      <c r="A7441" s="120">
        <v>2025</v>
      </c>
      <c r="B7441" s="120">
        <v>3</v>
      </c>
      <c r="C7441" s="120">
        <v>6</v>
      </c>
      <c r="D7441" s="208">
        <f t="shared" si="827"/>
        <v>45722</v>
      </c>
      <c r="E7441" s="209">
        <f t="shared" si="836"/>
        <v>45722</v>
      </c>
      <c r="F7441" s="515"/>
      <c r="G7441" s="132" t="s">
        <v>1209</v>
      </c>
      <c r="I7441" s="128" t="s">
        <v>362</v>
      </c>
      <c r="J7441" s="120" t="s">
        <v>47</v>
      </c>
      <c r="K7441" s="207">
        <v>124275.59999999998</v>
      </c>
      <c r="L7441" s="207"/>
      <c r="M7441" s="130"/>
      <c r="N7441" s="130"/>
    </row>
    <row r="7442" spans="1:15" ht="11.25" customHeight="1" x14ac:dyDescent="0.2">
      <c r="A7442" s="191">
        <v>2025</v>
      </c>
      <c r="B7442" s="191">
        <v>3</v>
      </c>
      <c r="C7442" s="191">
        <v>6</v>
      </c>
      <c r="D7442" s="192">
        <f t="shared" si="827"/>
        <v>45722</v>
      </c>
      <c r="E7442" s="193">
        <f t="shared" si="836"/>
        <v>45722</v>
      </c>
      <c r="F7442" s="514"/>
      <c r="G7442" s="194" t="s">
        <v>1209</v>
      </c>
      <c r="H7442" s="195"/>
      <c r="I7442" s="195" t="s">
        <v>362</v>
      </c>
      <c r="J7442" s="191" t="s">
        <v>46</v>
      </c>
      <c r="K7442" s="196"/>
      <c r="L7442" s="196">
        <v>584555.6</v>
      </c>
      <c r="M7442" s="130"/>
      <c r="N7442" s="130"/>
    </row>
    <row r="7443" spans="1:15" ht="11.25" customHeight="1" x14ac:dyDescent="0.2">
      <c r="A7443" s="197">
        <v>2025</v>
      </c>
      <c r="B7443" s="197">
        <v>3</v>
      </c>
      <c r="C7443" s="197">
        <v>6</v>
      </c>
      <c r="D7443" s="198">
        <f t="shared" si="827"/>
        <v>45722</v>
      </c>
      <c r="E7443" s="209">
        <f t="shared" si="836"/>
        <v>45722</v>
      </c>
      <c r="F7443" s="513" t="s">
        <v>1210</v>
      </c>
      <c r="G7443" s="200" t="s">
        <v>1209</v>
      </c>
      <c r="H7443" s="201"/>
      <c r="I7443" s="201" t="s">
        <v>1995</v>
      </c>
      <c r="J7443" s="197" t="s">
        <v>46</v>
      </c>
      <c r="K7443" s="202">
        <v>2500000</v>
      </c>
      <c r="L7443" s="202"/>
    </row>
    <row r="7444" spans="1:15" ht="11.25" customHeight="1" x14ac:dyDescent="0.2">
      <c r="A7444" s="120">
        <v>2025</v>
      </c>
      <c r="B7444" s="120">
        <v>3</v>
      </c>
      <c r="C7444" s="120">
        <v>6</v>
      </c>
      <c r="D7444" s="208">
        <f t="shared" si="827"/>
        <v>45722</v>
      </c>
      <c r="E7444" s="209">
        <f t="shared" si="836"/>
        <v>45722</v>
      </c>
      <c r="F7444" s="515"/>
      <c r="G7444" s="132" t="s">
        <v>1209</v>
      </c>
      <c r="I7444" s="128" t="s">
        <v>1995</v>
      </c>
      <c r="J7444" s="120" t="s">
        <v>16</v>
      </c>
      <c r="K7444" s="207"/>
      <c r="L7444" s="207">
        <v>2021670</v>
      </c>
    </row>
    <row r="7445" spans="1:15" ht="11.25" customHeight="1" x14ac:dyDescent="0.2">
      <c r="A7445" s="191">
        <v>2025</v>
      </c>
      <c r="B7445" s="191">
        <v>3</v>
      </c>
      <c r="C7445" s="191">
        <v>6</v>
      </c>
      <c r="D7445" s="192">
        <f t="shared" si="827"/>
        <v>45722</v>
      </c>
      <c r="E7445" s="193">
        <f t="shared" si="836"/>
        <v>45722</v>
      </c>
      <c r="F7445" s="514"/>
      <c r="G7445" s="194" t="s">
        <v>1209</v>
      </c>
      <c r="H7445" s="195"/>
      <c r="I7445" s="195" t="s">
        <v>1995</v>
      </c>
      <c r="J7445" s="191" t="s">
        <v>47</v>
      </c>
      <c r="K7445" s="196"/>
      <c r="L7445" s="196">
        <v>478330</v>
      </c>
    </row>
    <row r="7446" spans="1:15" ht="11.25" customHeight="1" x14ac:dyDescent="0.2">
      <c r="A7446" s="197">
        <v>2025</v>
      </c>
      <c r="B7446" s="197">
        <v>3</v>
      </c>
      <c r="C7446" s="197">
        <v>6</v>
      </c>
      <c r="D7446" s="198">
        <f t="shared" si="827"/>
        <v>45722</v>
      </c>
      <c r="E7446" s="209">
        <f t="shared" ref="E7446:E7448" si="837">DATE(A7446,B7446,C7446)</f>
        <v>45722</v>
      </c>
      <c r="F7446" s="513" t="s">
        <v>1210</v>
      </c>
      <c r="G7446" s="200" t="s">
        <v>1209</v>
      </c>
      <c r="H7446" s="201"/>
      <c r="I7446" s="201" t="s">
        <v>1235</v>
      </c>
      <c r="J7446" s="197" t="s">
        <v>46</v>
      </c>
      <c r="K7446" s="202">
        <v>25000</v>
      </c>
      <c r="L7446" s="202"/>
    </row>
    <row r="7447" spans="1:15" ht="11.25" customHeight="1" x14ac:dyDescent="0.2">
      <c r="A7447" s="120">
        <v>2025</v>
      </c>
      <c r="B7447" s="120">
        <v>3</v>
      </c>
      <c r="C7447" s="120">
        <v>6</v>
      </c>
      <c r="D7447" s="208">
        <f t="shared" si="827"/>
        <v>45722</v>
      </c>
      <c r="E7447" s="209">
        <f t="shared" si="837"/>
        <v>45722</v>
      </c>
      <c r="F7447" s="515"/>
      <c r="G7447" s="132" t="s">
        <v>1209</v>
      </c>
      <c r="I7447" s="128" t="s">
        <v>1235</v>
      </c>
      <c r="J7447" s="120" t="s">
        <v>16</v>
      </c>
      <c r="K7447" s="207"/>
      <c r="L7447" s="207">
        <v>19690</v>
      </c>
    </row>
    <row r="7448" spans="1:15" ht="11.25" customHeight="1" x14ac:dyDescent="0.2">
      <c r="A7448" s="191">
        <v>2025</v>
      </c>
      <c r="B7448" s="191">
        <v>3</v>
      </c>
      <c r="C7448" s="191">
        <v>6</v>
      </c>
      <c r="D7448" s="192">
        <f t="shared" si="827"/>
        <v>45722</v>
      </c>
      <c r="E7448" s="193">
        <f t="shared" si="837"/>
        <v>45722</v>
      </c>
      <c r="F7448" s="514"/>
      <c r="G7448" s="194" t="s">
        <v>1209</v>
      </c>
      <c r="H7448" s="195"/>
      <c r="I7448" s="195" t="s">
        <v>1235</v>
      </c>
      <c r="J7448" s="191" t="s">
        <v>47</v>
      </c>
      <c r="K7448" s="196"/>
      <c r="L7448" s="196">
        <v>5310</v>
      </c>
    </row>
    <row r="7449" spans="1:15" ht="11.25" customHeight="1" x14ac:dyDescent="0.2">
      <c r="A7449" s="197">
        <v>2025</v>
      </c>
      <c r="B7449" s="197">
        <v>3</v>
      </c>
      <c r="C7449" s="197">
        <v>6</v>
      </c>
      <c r="D7449" s="198">
        <f t="shared" si="827"/>
        <v>45722</v>
      </c>
      <c r="E7449" s="290">
        <f>DATE(A7449,B7449,C7449)</f>
        <v>45722</v>
      </c>
      <c r="F7449" s="513" t="s">
        <v>1514</v>
      </c>
      <c r="G7449" s="200" t="s">
        <v>1209</v>
      </c>
      <c r="H7449" s="201"/>
      <c r="I7449" s="201"/>
      <c r="J7449" s="197" t="s">
        <v>54</v>
      </c>
      <c r="K7449" s="202">
        <v>60</v>
      </c>
      <c r="L7449" s="202"/>
      <c r="M7449" s="251"/>
      <c r="N7449" s="251"/>
      <c r="O7449" s="251"/>
    </row>
    <row r="7450" spans="1:15" ht="11.25" customHeight="1" x14ac:dyDescent="0.2">
      <c r="A7450" s="191">
        <v>2025</v>
      </c>
      <c r="B7450" s="191">
        <v>3</v>
      </c>
      <c r="C7450" s="191">
        <v>6</v>
      </c>
      <c r="D7450" s="192">
        <f t="shared" si="827"/>
        <v>45722</v>
      </c>
      <c r="E7450" s="291">
        <f>DATE(A7450,B7450,C7450)</f>
        <v>45722</v>
      </c>
      <c r="F7450" s="514"/>
      <c r="G7450" s="194" t="s">
        <v>1209</v>
      </c>
      <c r="H7450" s="195"/>
      <c r="I7450" s="195"/>
      <c r="J7450" s="191" t="s">
        <v>46</v>
      </c>
      <c r="K7450" s="196"/>
      <c r="L7450" s="196">
        <v>60</v>
      </c>
      <c r="M7450" s="251"/>
      <c r="N7450" s="251"/>
      <c r="O7450" s="251"/>
    </row>
    <row r="7451" spans="1:15" ht="11.25" customHeight="1" x14ac:dyDescent="0.2">
      <c r="A7451" s="424">
        <v>2025</v>
      </c>
      <c r="B7451" s="424">
        <v>3</v>
      </c>
      <c r="C7451" s="424">
        <v>6</v>
      </c>
      <c r="D7451" s="425">
        <f t="shared" si="827"/>
        <v>45722</v>
      </c>
      <c r="E7451" s="384">
        <f t="shared" ref="E7451:E7456" si="838">DATE(A7451,B7451,C7451)</f>
        <v>45722</v>
      </c>
      <c r="F7451" s="516" t="s">
        <v>1850</v>
      </c>
      <c r="G7451" s="426" t="s">
        <v>1209</v>
      </c>
      <c r="H7451" s="427"/>
      <c r="I7451" s="427"/>
      <c r="J7451" s="428" t="s">
        <v>81</v>
      </c>
      <c r="K7451" s="429">
        <v>6973.2450980392159</v>
      </c>
      <c r="L7451" s="429"/>
      <c r="M7451" s="130"/>
    </row>
    <row r="7452" spans="1:15" ht="11.25" customHeight="1" x14ac:dyDescent="0.2">
      <c r="A7452" s="389">
        <v>2025</v>
      </c>
      <c r="B7452" s="389">
        <v>3</v>
      </c>
      <c r="C7452" s="389">
        <v>6</v>
      </c>
      <c r="D7452" s="390">
        <f t="shared" si="827"/>
        <v>45722</v>
      </c>
      <c r="E7452" s="391">
        <f t="shared" si="838"/>
        <v>45722</v>
      </c>
      <c r="F7452" s="517"/>
      <c r="G7452" s="392" t="s">
        <v>1209</v>
      </c>
      <c r="H7452" s="393"/>
      <c r="I7452" s="393"/>
      <c r="J7452" s="394" t="s">
        <v>1847</v>
      </c>
      <c r="K7452" s="423"/>
      <c r="L7452" s="423">
        <v>6973.2450980392159</v>
      </c>
    </row>
    <row r="7453" spans="1:15" ht="11.25" customHeight="1" x14ac:dyDescent="0.2">
      <c r="A7453" s="382">
        <v>2025</v>
      </c>
      <c r="B7453" s="382">
        <v>3</v>
      </c>
      <c r="C7453" s="382">
        <v>6</v>
      </c>
      <c r="D7453" s="383">
        <f t="shared" si="827"/>
        <v>45722</v>
      </c>
      <c r="E7453" s="384">
        <f t="shared" si="838"/>
        <v>45722</v>
      </c>
      <c r="F7453" s="516" t="s">
        <v>1892</v>
      </c>
      <c r="G7453" s="385" t="s">
        <v>1209</v>
      </c>
      <c r="H7453" s="386"/>
      <c r="I7453" s="386"/>
      <c r="J7453" s="387" t="s">
        <v>173</v>
      </c>
      <c r="K7453" s="388">
        <v>5373.5748882187509</v>
      </c>
      <c r="L7453" s="388"/>
      <c r="M7453" s="130"/>
    </row>
    <row r="7454" spans="1:15" ht="11.25" customHeight="1" x14ac:dyDescent="0.2">
      <c r="A7454" s="389">
        <v>2025</v>
      </c>
      <c r="B7454" s="389">
        <v>3</v>
      </c>
      <c r="C7454" s="389">
        <v>6</v>
      </c>
      <c r="D7454" s="390">
        <f t="shared" si="827"/>
        <v>45722</v>
      </c>
      <c r="E7454" s="391">
        <f t="shared" si="838"/>
        <v>45722</v>
      </c>
      <c r="F7454" s="517"/>
      <c r="G7454" s="392" t="s">
        <v>1209</v>
      </c>
      <c r="H7454" s="393"/>
      <c r="I7454" s="393"/>
      <c r="J7454" s="394" t="s">
        <v>43</v>
      </c>
      <c r="K7454" s="388"/>
      <c r="L7454" s="388">
        <f>K7453</f>
        <v>5373.5748882187509</v>
      </c>
    </row>
    <row r="7455" spans="1:15" ht="11.25" customHeight="1" x14ac:dyDescent="0.2">
      <c r="A7455" s="344">
        <v>2025</v>
      </c>
      <c r="B7455" s="344">
        <v>3</v>
      </c>
      <c r="C7455" s="344">
        <v>6</v>
      </c>
      <c r="D7455" s="345">
        <f t="shared" si="827"/>
        <v>45722</v>
      </c>
      <c r="E7455" s="346">
        <f t="shared" si="838"/>
        <v>45722</v>
      </c>
      <c r="F7455" s="518" t="s">
        <v>1982</v>
      </c>
      <c r="G7455" s="347" t="s">
        <v>1245</v>
      </c>
      <c r="H7455" s="348"/>
      <c r="I7455" s="348" t="s">
        <v>1253</v>
      </c>
      <c r="J7455" s="344" t="s">
        <v>1978</v>
      </c>
      <c r="K7455" s="349">
        <v>145230.76923076922</v>
      </c>
      <c r="L7455" s="349"/>
      <c r="M7455" s="130"/>
    </row>
    <row r="7456" spans="1:15" ht="11.25" customHeight="1" x14ac:dyDescent="0.2">
      <c r="A7456" s="350">
        <v>2025</v>
      </c>
      <c r="B7456" s="350">
        <v>3</v>
      </c>
      <c r="C7456" s="350">
        <v>6</v>
      </c>
      <c r="D7456" s="351">
        <f t="shared" si="827"/>
        <v>45722</v>
      </c>
      <c r="E7456" s="352">
        <f t="shared" si="838"/>
        <v>45722</v>
      </c>
      <c r="F7456" s="519"/>
      <c r="G7456" s="353" t="s">
        <v>1245</v>
      </c>
      <c r="H7456" s="354"/>
      <c r="I7456" s="354" t="s">
        <v>1253</v>
      </c>
      <c r="J7456" s="350" t="s">
        <v>1979</v>
      </c>
      <c r="K7456" s="355"/>
      <c r="L7456" s="355">
        <f>K7455</f>
        <v>145230.76923076922</v>
      </c>
    </row>
    <row r="7457" spans="1:13" ht="11.25" customHeight="1" x14ac:dyDescent="0.2">
      <c r="A7457" s="344">
        <v>2025</v>
      </c>
      <c r="B7457" s="344">
        <v>3</v>
      </c>
      <c r="C7457" s="344">
        <v>6</v>
      </c>
      <c r="D7457" s="345">
        <f t="shared" si="827"/>
        <v>45722</v>
      </c>
      <c r="E7457" s="346">
        <f>DATE(A7457,B7457,C7457)</f>
        <v>45722</v>
      </c>
      <c r="F7457" s="518" t="s">
        <v>1988</v>
      </c>
      <c r="G7457" s="347" t="s">
        <v>1245</v>
      </c>
      <c r="H7457" s="348"/>
      <c r="I7457" s="348" t="s">
        <v>1253</v>
      </c>
      <c r="J7457" s="344" t="s">
        <v>113</v>
      </c>
      <c r="K7457" s="349">
        <v>32846.15</v>
      </c>
      <c r="L7457" s="349"/>
      <c r="M7457" s="130"/>
    </row>
    <row r="7458" spans="1:13" ht="11.25" customHeight="1" x14ac:dyDescent="0.2">
      <c r="A7458" s="350">
        <v>2025</v>
      </c>
      <c r="B7458" s="350">
        <v>3</v>
      </c>
      <c r="C7458" s="350">
        <v>6</v>
      </c>
      <c r="D7458" s="351">
        <f t="shared" si="827"/>
        <v>45722</v>
      </c>
      <c r="E7458" s="352">
        <f>DATE(A7458,B7458,C7458)</f>
        <v>45722</v>
      </c>
      <c r="F7458" s="519"/>
      <c r="G7458" s="353" t="s">
        <v>1245</v>
      </c>
      <c r="H7458" s="354"/>
      <c r="I7458" s="354" t="s">
        <v>1253</v>
      </c>
      <c r="J7458" s="350" t="s">
        <v>153</v>
      </c>
      <c r="K7458" s="355"/>
      <c r="L7458" s="355">
        <f>K7457</f>
        <v>32846.15</v>
      </c>
    </row>
    <row r="7459" spans="1:13" ht="11.25" customHeight="1" x14ac:dyDescent="0.2">
      <c r="A7459" s="344">
        <v>2025</v>
      </c>
      <c r="B7459" s="344">
        <v>3</v>
      </c>
      <c r="C7459" s="344">
        <v>6</v>
      </c>
      <c r="D7459" s="345">
        <f t="shared" si="827"/>
        <v>45722</v>
      </c>
      <c r="E7459" s="346">
        <f t="shared" ref="E7459:E7464" si="839">DATE(A7459,B7459,C7459)</f>
        <v>45722</v>
      </c>
      <c r="F7459" s="518" t="s">
        <v>1989</v>
      </c>
      <c r="G7459" s="347" t="s">
        <v>1245</v>
      </c>
      <c r="H7459" s="348"/>
      <c r="I7459" s="348" t="s">
        <v>1253</v>
      </c>
      <c r="J7459" s="344" t="s">
        <v>113</v>
      </c>
      <c r="K7459" s="349">
        <v>23461.538461538461</v>
      </c>
      <c r="L7459" s="349"/>
      <c r="M7459" s="130"/>
    </row>
    <row r="7460" spans="1:13" ht="11.25" customHeight="1" x14ac:dyDescent="0.2">
      <c r="A7460" s="350">
        <v>2025</v>
      </c>
      <c r="B7460" s="350">
        <v>3</v>
      </c>
      <c r="C7460" s="350">
        <v>6</v>
      </c>
      <c r="D7460" s="351">
        <f t="shared" si="827"/>
        <v>45722</v>
      </c>
      <c r="E7460" s="352">
        <f t="shared" si="839"/>
        <v>45722</v>
      </c>
      <c r="F7460" s="519"/>
      <c r="G7460" s="353" t="s">
        <v>1245</v>
      </c>
      <c r="H7460" s="354"/>
      <c r="I7460" s="354" t="s">
        <v>1253</v>
      </c>
      <c r="J7460" s="350" t="s">
        <v>153</v>
      </c>
      <c r="K7460" s="355"/>
      <c r="L7460" s="355">
        <f>K7459</f>
        <v>23461.538461538461</v>
      </c>
    </row>
    <row r="7461" spans="1:13" ht="11.25" customHeight="1" x14ac:dyDescent="0.2">
      <c r="A7461" s="344">
        <v>2025</v>
      </c>
      <c r="B7461" s="344">
        <v>3</v>
      </c>
      <c r="C7461" s="344">
        <v>6</v>
      </c>
      <c r="D7461" s="345">
        <f t="shared" si="827"/>
        <v>45722</v>
      </c>
      <c r="E7461" s="346">
        <f t="shared" si="839"/>
        <v>45722</v>
      </c>
      <c r="F7461" s="518" t="s">
        <v>1990</v>
      </c>
      <c r="G7461" s="347" t="s">
        <v>1245</v>
      </c>
      <c r="H7461" s="348"/>
      <c r="I7461" s="348" t="s">
        <v>1253</v>
      </c>
      <c r="J7461" s="344" t="s">
        <v>113</v>
      </c>
      <c r="K7461" s="349">
        <v>70384.61538461539</v>
      </c>
      <c r="L7461" s="349"/>
      <c r="M7461" s="130"/>
    </row>
    <row r="7462" spans="1:13" ht="11.25" customHeight="1" x14ac:dyDescent="0.2">
      <c r="A7462" s="350">
        <v>2025</v>
      </c>
      <c r="B7462" s="350">
        <v>3</v>
      </c>
      <c r="C7462" s="350">
        <v>6</v>
      </c>
      <c r="D7462" s="351">
        <f t="shared" si="827"/>
        <v>45722</v>
      </c>
      <c r="E7462" s="352">
        <f t="shared" si="839"/>
        <v>45722</v>
      </c>
      <c r="F7462" s="519"/>
      <c r="G7462" s="353" t="s">
        <v>1245</v>
      </c>
      <c r="H7462" s="354"/>
      <c r="I7462" s="354" t="s">
        <v>1253</v>
      </c>
      <c r="J7462" s="350" t="s">
        <v>153</v>
      </c>
      <c r="K7462" s="355"/>
      <c r="L7462" s="355">
        <f>K7461</f>
        <v>70384.61538461539</v>
      </c>
    </row>
    <row r="7463" spans="1:13" ht="11.25" customHeight="1" x14ac:dyDescent="0.2">
      <c r="A7463" s="344">
        <v>2025</v>
      </c>
      <c r="B7463" s="344">
        <v>3</v>
      </c>
      <c r="C7463" s="344">
        <v>6</v>
      </c>
      <c r="D7463" s="345">
        <f t="shared" si="827"/>
        <v>45722</v>
      </c>
      <c r="E7463" s="346">
        <f t="shared" si="839"/>
        <v>45722</v>
      </c>
      <c r="F7463" s="518" t="s">
        <v>2039</v>
      </c>
      <c r="G7463" s="347" t="s">
        <v>1245</v>
      </c>
      <c r="H7463" s="348"/>
      <c r="I7463" s="348" t="s">
        <v>1253</v>
      </c>
      <c r="J7463" s="344" t="s">
        <v>113</v>
      </c>
      <c r="K7463" s="349">
        <v>9384.6153846153848</v>
      </c>
      <c r="L7463" s="349"/>
      <c r="M7463" s="130"/>
    </row>
    <row r="7464" spans="1:13" ht="11.25" customHeight="1" x14ac:dyDescent="0.2">
      <c r="A7464" s="350">
        <v>2025</v>
      </c>
      <c r="B7464" s="350">
        <v>3</v>
      </c>
      <c r="C7464" s="350">
        <v>6</v>
      </c>
      <c r="D7464" s="351">
        <f t="shared" si="827"/>
        <v>45722</v>
      </c>
      <c r="E7464" s="352">
        <f t="shared" si="839"/>
        <v>45722</v>
      </c>
      <c r="F7464" s="519"/>
      <c r="G7464" s="353" t="s">
        <v>1245</v>
      </c>
      <c r="H7464" s="354"/>
      <c r="I7464" s="354" t="s">
        <v>1253</v>
      </c>
      <c r="J7464" s="350" t="s">
        <v>153</v>
      </c>
      <c r="K7464" s="355"/>
      <c r="L7464" s="355">
        <f>K7463</f>
        <v>9384.6153846153848</v>
      </c>
    </row>
    <row r="7465" spans="1:13" ht="11.25" customHeight="1" x14ac:dyDescent="0.2">
      <c r="A7465" s="344">
        <v>2025</v>
      </c>
      <c r="B7465" s="344">
        <v>3</v>
      </c>
      <c r="C7465" s="344">
        <v>6</v>
      </c>
      <c r="D7465" s="345">
        <f t="shared" si="827"/>
        <v>45722</v>
      </c>
      <c r="E7465" s="346">
        <f>DATE(A7465,B7465,C7465)</f>
        <v>45722</v>
      </c>
      <c r="F7465" s="518" t="s">
        <v>1991</v>
      </c>
      <c r="G7465" s="347" t="s">
        <v>1245</v>
      </c>
      <c r="H7465" s="348"/>
      <c r="I7465" s="348" t="s">
        <v>1253</v>
      </c>
      <c r="J7465" s="344" t="s">
        <v>113</v>
      </c>
      <c r="K7465" s="349">
        <v>39884.620000000003</v>
      </c>
      <c r="L7465" s="349"/>
      <c r="M7465" s="130"/>
    </row>
    <row r="7466" spans="1:13" ht="11.25" customHeight="1" x14ac:dyDescent="0.2">
      <c r="A7466" s="350">
        <v>2025</v>
      </c>
      <c r="B7466" s="350">
        <v>3</v>
      </c>
      <c r="C7466" s="350">
        <v>6</v>
      </c>
      <c r="D7466" s="351">
        <f t="shared" si="827"/>
        <v>45722</v>
      </c>
      <c r="E7466" s="352">
        <f>DATE(A7466,B7466,C7466)</f>
        <v>45722</v>
      </c>
      <c r="F7466" s="519"/>
      <c r="G7466" s="353" t="s">
        <v>1245</v>
      </c>
      <c r="H7466" s="354"/>
      <c r="I7466" s="354" t="s">
        <v>1253</v>
      </c>
      <c r="J7466" s="350" t="s">
        <v>153</v>
      </c>
      <c r="K7466" s="355"/>
      <c r="L7466" s="355">
        <f>K7465</f>
        <v>39884.620000000003</v>
      </c>
    </row>
    <row r="7467" spans="1:13" ht="11.25" customHeight="1" x14ac:dyDescent="0.2">
      <c r="A7467" s="344">
        <v>2025</v>
      </c>
      <c r="B7467" s="344">
        <v>3</v>
      </c>
      <c r="C7467" s="344">
        <v>6</v>
      </c>
      <c r="D7467" s="345">
        <f t="shared" si="827"/>
        <v>45722</v>
      </c>
      <c r="E7467" s="346">
        <f t="shared" ref="E7467:E7473" si="840">DATE(A7467,B7467,C7467)</f>
        <v>45722</v>
      </c>
      <c r="F7467" s="518" t="s">
        <v>1992</v>
      </c>
      <c r="G7467" s="347" t="s">
        <v>1245</v>
      </c>
      <c r="H7467" s="348"/>
      <c r="I7467" s="348" t="s">
        <v>1253</v>
      </c>
      <c r="J7467" s="344" t="s">
        <v>113</v>
      </c>
      <c r="K7467" s="349">
        <v>22596.15</v>
      </c>
      <c r="L7467" s="349"/>
      <c r="M7467" s="130"/>
    </row>
    <row r="7468" spans="1:13" ht="11.25" customHeight="1" x14ac:dyDescent="0.2">
      <c r="A7468" s="350">
        <v>2025</v>
      </c>
      <c r="B7468" s="350">
        <v>3</v>
      </c>
      <c r="C7468" s="350">
        <v>6</v>
      </c>
      <c r="D7468" s="351">
        <f t="shared" ref="D7468:D7531" si="841">DATE(A7468,B7468,C7468)</f>
        <v>45722</v>
      </c>
      <c r="E7468" s="352">
        <f t="shared" si="840"/>
        <v>45722</v>
      </c>
      <c r="F7468" s="519"/>
      <c r="G7468" s="353" t="s">
        <v>1245</v>
      </c>
      <c r="H7468" s="354"/>
      <c r="I7468" s="354" t="s">
        <v>1253</v>
      </c>
      <c r="J7468" s="350" t="s">
        <v>153</v>
      </c>
      <c r="K7468" s="355"/>
      <c r="L7468" s="355">
        <f>K7467</f>
        <v>22596.15</v>
      </c>
    </row>
    <row r="7469" spans="1:13" ht="11.25" customHeight="1" x14ac:dyDescent="0.2">
      <c r="A7469" s="344">
        <v>2025</v>
      </c>
      <c r="B7469" s="344">
        <v>3</v>
      </c>
      <c r="C7469" s="344">
        <v>6</v>
      </c>
      <c r="D7469" s="345">
        <f t="shared" si="841"/>
        <v>45722</v>
      </c>
      <c r="E7469" s="346">
        <f t="shared" si="840"/>
        <v>45722</v>
      </c>
      <c r="F7469" s="518" t="s">
        <v>1993</v>
      </c>
      <c r="G7469" s="347" t="s">
        <v>1245</v>
      </c>
      <c r="H7469" s="348"/>
      <c r="I7469" s="348" t="s">
        <v>1253</v>
      </c>
      <c r="J7469" s="344" t="s">
        <v>113</v>
      </c>
      <c r="K7469" s="349">
        <v>23048.080000000002</v>
      </c>
      <c r="L7469" s="349"/>
      <c r="M7469" s="130"/>
    </row>
    <row r="7470" spans="1:13" ht="11.25" customHeight="1" x14ac:dyDescent="0.2">
      <c r="A7470" s="350">
        <v>2025</v>
      </c>
      <c r="B7470" s="350">
        <v>3</v>
      </c>
      <c r="C7470" s="350">
        <v>6</v>
      </c>
      <c r="D7470" s="351">
        <f t="shared" si="841"/>
        <v>45722</v>
      </c>
      <c r="E7470" s="352">
        <f t="shared" si="840"/>
        <v>45722</v>
      </c>
      <c r="F7470" s="519"/>
      <c r="G7470" s="353" t="s">
        <v>1245</v>
      </c>
      <c r="H7470" s="354"/>
      <c r="I7470" s="354" t="s">
        <v>1253</v>
      </c>
      <c r="J7470" s="350" t="s">
        <v>153</v>
      </c>
      <c r="K7470" s="355"/>
      <c r="L7470" s="355">
        <f>K7469</f>
        <v>23048.080000000002</v>
      </c>
    </row>
    <row r="7471" spans="1:13" ht="11.25" customHeight="1" x14ac:dyDescent="0.2">
      <c r="A7471" s="210">
        <v>2025</v>
      </c>
      <c r="B7471" s="210">
        <v>3</v>
      </c>
      <c r="C7471" s="210">
        <v>6</v>
      </c>
      <c r="D7471" s="211">
        <f t="shared" si="841"/>
        <v>45722</v>
      </c>
      <c r="E7471" s="238">
        <f t="shared" si="840"/>
        <v>45722</v>
      </c>
      <c r="F7471" s="520" t="s">
        <v>1278</v>
      </c>
      <c r="G7471" s="213" t="s">
        <v>1245</v>
      </c>
      <c r="H7471" s="214"/>
      <c r="I7471" s="214" t="s">
        <v>1253</v>
      </c>
      <c r="J7471" s="210" t="s">
        <v>1529</v>
      </c>
      <c r="K7471" s="215">
        <v>510.40384615384613</v>
      </c>
      <c r="L7471" s="215"/>
      <c r="M7471" s="130"/>
    </row>
    <row r="7472" spans="1:13" ht="11.25" customHeight="1" x14ac:dyDescent="0.2">
      <c r="A7472" s="216">
        <v>2025</v>
      </c>
      <c r="B7472" s="216">
        <v>3</v>
      </c>
      <c r="C7472" s="216">
        <v>6</v>
      </c>
      <c r="D7472" s="217">
        <f t="shared" si="841"/>
        <v>45722</v>
      </c>
      <c r="E7472" s="239">
        <f t="shared" si="840"/>
        <v>45722</v>
      </c>
      <c r="F7472" s="521"/>
      <c r="G7472" s="219" t="s">
        <v>1245</v>
      </c>
      <c r="H7472" s="220"/>
      <c r="I7472" s="220" t="s">
        <v>1253</v>
      </c>
      <c r="J7472" s="216" t="s">
        <v>1581</v>
      </c>
      <c r="K7472" s="221"/>
      <c r="L7472" s="221">
        <v>510.40384615384613</v>
      </c>
    </row>
    <row r="7473" spans="1:13" ht="11.25" customHeight="1" x14ac:dyDescent="0.2">
      <c r="A7473" s="210">
        <v>2025</v>
      </c>
      <c r="B7473" s="210">
        <v>3</v>
      </c>
      <c r="C7473" s="210">
        <v>6</v>
      </c>
      <c r="D7473" s="211">
        <f t="shared" si="841"/>
        <v>45722</v>
      </c>
      <c r="E7473" s="238">
        <f t="shared" si="840"/>
        <v>45722</v>
      </c>
      <c r="F7473" s="520" t="s">
        <v>1857</v>
      </c>
      <c r="G7473" s="213" t="s">
        <v>1245</v>
      </c>
      <c r="H7473" s="214"/>
      <c r="I7473" s="214" t="s">
        <v>1253</v>
      </c>
      <c r="J7473" s="210" t="s">
        <v>1284</v>
      </c>
      <c r="K7473" s="215">
        <v>2341.8114143920593</v>
      </c>
      <c r="L7473" s="215"/>
      <c r="M7473" s="130"/>
    </row>
    <row r="7474" spans="1:13" ht="11.25" customHeight="1" x14ac:dyDescent="0.2">
      <c r="A7474" s="242">
        <v>2025</v>
      </c>
      <c r="B7474" s="242">
        <v>3</v>
      </c>
      <c r="C7474" s="242">
        <v>6</v>
      </c>
      <c r="D7474" s="243">
        <f t="shared" si="841"/>
        <v>45722</v>
      </c>
      <c r="E7474" s="244">
        <f>DATE(A7474,B7474,C7474)</f>
        <v>45722</v>
      </c>
      <c r="F7474" s="524"/>
      <c r="G7474" s="245" t="s">
        <v>1245</v>
      </c>
      <c r="H7474" s="246"/>
      <c r="I7474" s="246"/>
      <c r="J7474" s="242" t="s">
        <v>1582</v>
      </c>
      <c r="K7474" s="247"/>
      <c r="L7474" s="247">
        <f>K7473</f>
        <v>2341.8114143920593</v>
      </c>
    </row>
    <row r="7475" spans="1:13" ht="11.25" customHeight="1" x14ac:dyDescent="0.2">
      <c r="A7475" s="210">
        <v>2025</v>
      </c>
      <c r="B7475" s="210">
        <v>3</v>
      </c>
      <c r="C7475" s="210">
        <v>6</v>
      </c>
      <c r="D7475" s="211">
        <f t="shared" si="841"/>
        <v>45722</v>
      </c>
      <c r="E7475" s="238">
        <f t="shared" ref="E7475:E7506" si="842">DATE(A7475,B7475,C7475)</f>
        <v>45722</v>
      </c>
      <c r="F7475" s="520" t="s">
        <v>2055</v>
      </c>
      <c r="G7475" s="213" t="s">
        <v>1245</v>
      </c>
      <c r="H7475" s="214"/>
      <c r="I7475" s="214" t="s">
        <v>1253</v>
      </c>
      <c r="J7475" s="210" t="s">
        <v>58</v>
      </c>
      <c r="K7475" s="215">
        <v>12251.56</v>
      </c>
      <c r="L7475" s="215"/>
    </row>
    <row r="7476" spans="1:13" ht="11.25" customHeight="1" x14ac:dyDescent="0.2">
      <c r="A7476" s="216">
        <v>2025</v>
      </c>
      <c r="B7476" s="216">
        <v>3</v>
      </c>
      <c r="C7476" s="216">
        <v>6</v>
      </c>
      <c r="D7476" s="217">
        <f t="shared" si="841"/>
        <v>45722</v>
      </c>
      <c r="E7476" s="239">
        <f t="shared" si="842"/>
        <v>45722</v>
      </c>
      <c r="F7476" s="521"/>
      <c r="G7476" s="219" t="s">
        <v>1245</v>
      </c>
      <c r="H7476" s="220"/>
      <c r="I7476" s="220" t="s">
        <v>1253</v>
      </c>
      <c r="J7476" s="216" t="s">
        <v>153</v>
      </c>
      <c r="K7476" s="221"/>
      <c r="L7476" s="221">
        <f>K7475</f>
        <v>12251.56</v>
      </c>
    </row>
    <row r="7477" spans="1:13" ht="11.25" customHeight="1" x14ac:dyDescent="0.2">
      <c r="A7477" s="312">
        <v>2025</v>
      </c>
      <c r="B7477" s="312">
        <v>3</v>
      </c>
      <c r="C7477" s="312">
        <v>6</v>
      </c>
      <c r="D7477" s="313">
        <f t="shared" si="841"/>
        <v>45722</v>
      </c>
      <c r="E7477" s="314">
        <f t="shared" si="842"/>
        <v>45722</v>
      </c>
      <c r="F7477" s="522" t="s">
        <v>1477</v>
      </c>
      <c r="G7477" s="315" t="s">
        <v>1245</v>
      </c>
      <c r="H7477" s="316"/>
      <c r="I7477" s="316" t="s">
        <v>1253</v>
      </c>
      <c r="J7477" s="312" t="s">
        <v>1458</v>
      </c>
      <c r="K7477" s="317">
        <v>0</v>
      </c>
      <c r="L7477" s="317"/>
      <c r="M7477" s="120">
        <f>BS!$I$11</f>
        <v>5.9604644775390625E-8</v>
      </c>
    </row>
    <row r="7478" spans="1:13" ht="11.25" customHeight="1" x14ac:dyDescent="0.2">
      <c r="A7478" s="318">
        <v>2025</v>
      </c>
      <c r="B7478" s="318">
        <v>3</v>
      </c>
      <c r="C7478" s="318">
        <v>6</v>
      </c>
      <c r="D7478" s="319">
        <f t="shared" si="841"/>
        <v>45722</v>
      </c>
      <c r="E7478" s="320">
        <f t="shared" si="842"/>
        <v>45722</v>
      </c>
      <c r="F7478" s="523"/>
      <c r="G7478" s="321" t="s">
        <v>1245</v>
      </c>
      <c r="H7478" s="322"/>
      <c r="I7478" s="322" t="s">
        <v>1253</v>
      </c>
      <c r="J7478" s="318" t="s">
        <v>1460</v>
      </c>
      <c r="K7478" s="323"/>
      <c r="L7478" s="323">
        <f>K7477</f>
        <v>0</v>
      </c>
    </row>
    <row r="7479" spans="1:13" ht="11.25" customHeight="1" x14ac:dyDescent="0.2">
      <c r="A7479" s="312">
        <v>2025</v>
      </c>
      <c r="B7479" s="312">
        <v>3</v>
      </c>
      <c r="C7479" s="312">
        <v>6</v>
      </c>
      <c r="D7479" s="313">
        <f t="shared" si="841"/>
        <v>45722</v>
      </c>
      <c r="E7479" s="314">
        <f t="shared" si="842"/>
        <v>45722</v>
      </c>
      <c r="F7479" s="522" t="s">
        <v>1595</v>
      </c>
      <c r="G7479" s="315" t="s">
        <v>1245</v>
      </c>
      <c r="H7479" s="316"/>
      <c r="I7479" s="316" t="s">
        <v>1253</v>
      </c>
      <c r="J7479" s="312" t="s">
        <v>1459</v>
      </c>
      <c r="K7479" s="317">
        <v>1362921.3689998388</v>
      </c>
      <c r="L7479" s="317"/>
      <c r="M7479" s="120">
        <f>BS!$I$14</f>
        <v>0</v>
      </c>
    </row>
    <row r="7480" spans="1:13" ht="11.25" customHeight="1" x14ac:dyDescent="0.2">
      <c r="A7480" s="318">
        <v>2025</v>
      </c>
      <c r="B7480" s="318">
        <v>3</v>
      </c>
      <c r="C7480" s="318">
        <v>6</v>
      </c>
      <c r="D7480" s="319">
        <f t="shared" si="841"/>
        <v>45722</v>
      </c>
      <c r="E7480" s="320">
        <f t="shared" si="842"/>
        <v>45722</v>
      </c>
      <c r="F7480" s="523"/>
      <c r="G7480" s="321" t="s">
        <v>1245</v>
      </c>
      <c r="H7480" s="322"/>
      <c r="I7480" s="322" t="s">
        <v>1253</v>
      </c>
      <c r="J7480" s="318" t="s">
        <v>1461</v>
      </c>
      <c r="K7480" s="323"/>
      <c r="L7480" s="323">
        <f>K7479</f>
        <v>1362921.3689998388</v>
      </c>
    </row>
    <row r="7481" spans="1:13" ht="11.25" customHeight="1" x14ac:dyDescent="0.2">
      <c r="A7481" s="222">
        <v>2025</v>
      </c>
      <c r="B7481" s="222">
        <v>3</v>
      </c>
      <c r="C7481" s="222">
        <v>6</v>
      </c>
      <c r="D7481" s="223">
        <f t="shared" si="841"/>
        <v>45722</v>
      </c>
      <c r="E7481" s="240">
        <f t="shared" si="842"/>
        <v>45722</v>
      </c>
      <c r="F7481" s="511" t="s">
        <v>1244</v>
      </c>
      <c r="G7481" s="225" t="s">
        <v>1245</v>
      </c>
      <c r="H7481" s="226"/>
      <c r="I7481" s="226" t="s">
        <v>1253</v>
      </c>
      <c r="J7481" s="222" t="s">
        <v>87</v>
      </c>
      <c r="K7481" s="227">
        <v>10460</v>
      </c>
      <c r="L7481" s="227"/>
      <c r="M7481" s="120">
        <f>BS!$I$7</f>
        <v>0</v>
      </c>
    </row>
    <row r="7482" spans="1:13" ht="11.25" customHeight="1" x14ac:dyDescent="0.2">
      <c r="A7482" s="228">
        <v>2025</v>
      </c>
      <c r="B7482" s="228">
        <v>3</v>
      </c>
      <c r="C7482" s="228">
        <v>6</v>
      </c>
      <c r="D7482" s="229">
        <f t="shared" si="841"/>
        <v>45722</v>
      </c>
      <c r="E7482" s="241">
        <f t="shared" si="842"/>
        <v>45722</v>
      </c>
      <c r="F7482" s="512"/>
      <c r="G7482" s="231" t="s">
        <v>1245</v>
      </c>
      <c r="H7482" s="232"/>
      <c r="I7482" s="232" t="s">
        <v>1253</v>
      </c>
      <c r="J7482" s="228" t="s">
        <v>72</v>
      </c>
      <c r="K7482" s="233"/>
      <c r="L7482" s="233">
        <f>K7481</f>
        <v>10460</v>
      </c>
    </row>
    <row r="7483" spans="1:13" ht="11.25" customHeight="1" x14ac:dyDescent="0.2">
      <c r="A7483" s="222">
        <v>2025</v>
      </c>
      <c r="B7483" s="222">
        <v>3</v>
      </c>
      <c r="C7483" s="222">
        <v>6</v>
      </c>
      <c r="D7483" s="223">
        <f t="shared" si="841"/>
        <v>45722</v>
      </c>
      <c r="E7483" s="240">
        <f t="shared" si="842"/>
        <v>45722</v>
      </c>
      <c r="F7483" s="511" t="s">
        <v>1246</v>
      </c>
      <c r="G7483" s="225" t="s">
        <v>1245</v>
      </c>
      <c r="H7483" s="226"/>
      <c r="I7483" s="226" t="s">
        <v>1253</v>
      </c>
      <c r="J7483" s="222" t="s">
        <v>75</v>
      </c>
      <c r="K7483" s="227">
        <v>3623.123846153846</v>
      </c>
      <c r="L7483" s="227"/>
      <c r="M7483" s="130"/>
    </row>
    <row r="7484" spans="1:13" ht="11.25" customHeight="1" x14ac:dyDescent="0.2">
      <c r="A7484" s="228">
        <v>2025</v>
      </c>
      <c r="B7484" s="228">
        <v>3</v>
      </c>
      <c r="C7484" s="228">
        <v>6</v>
      </c>
      <c r="D7484" s="229">
        <f t="shared" si="841"/>
        <v>45722</v>
      </c>
      <c r="E7484" s="241">
        <f t="shared" si="842"/>
        <v>45722</v>
      </c>
      <c r="F7484" s="512"/>
      <c r="G7484" s="231" t="s">
        <v>1245</v>
      </c>
      <c r="H7484" s="232"/>
      <c r="I7484" s="232" t="s">
        <v>1253</v>
      </c>
      <c r="J7484" s="228" t="s">
        <v>55</v>
      </c>
      <c r="K7484" s="233"/>
      <c r="L7484" s="233">
        <v>3623.123846153846</v>
      </c>
    </row>
    <row r="7485" spans="1:13" ht="11.25" customHeight="1" x14ac:dyDescent="0.2">
      <c r="A7485" s="222">
        <v>2025</v>
      </c>
      <c r="B7485" s="222">
        <v>3</v>
      </c>
      <c r="C7485" s="222">
        <v>6</v>
      </c>
      <c r="D7485" s="223">
        <f t="shared" si="841"/>
        <v>45722</v>
      </c>
      <c r="E7485" s="240">
        <f t="shared" si="842"/>
        <v>45722</v>
      </c>
      <c r="F7485" s="511" t="s">
        <v>1247</v>
      </c>
      <c r="G7485" s="225" t="s">
        <v>1245</v>
      </c>
      <c r="H7485" s="226"/>
      <c r="I7485" s="226" t="s">
        <v>1253</v>
      </c>
      <c r="J7485" s="222" t="s">
        <v>77</v>
      </c>
      <c r="K7485" s="227">
        <f>M7485</f>
        <v>55669.125469553364</v>
      </c>
      <c r="L7485" s="227"/>
      <c r="M7485" s="130">
        <v>55669.125469553364</v>
      </c>
    </row>
    <row r="7486" spans="1:13" ht="11.25" customHeight="1" x14ac:dyDescent="0.2">
      <c r="A7486" s="228">
        <v>2025</v>
      </c>
      <c r="B7486" s="228">
        <v>3</v>
      </c>
      <c r="C7486" s="228">
        <v>6</v>
      </c>
      <c r="D7486" s="229">
        <f t="shared" si="841"/>
        <v>45722</v>
      </c>
      <c r="E7486" s="241">
        <f t="shared" si="842"/>
        <v>45722</v>
      </c>
      <c r="F7486" s="512"/>
      <c r="G7486" s="231" t="s">
        <v>1245</v>
      </c>
      <c r="H7486" s="232"/>
      <c r="I7486" s="232" t="s">
        <v>1253</v>
      </c>
      <c r="J7486" s="228" t="s">
        <v>41</v>
      </c>
      <c r="K7486" s="233"/>
      <c r="L7486" s="233">
        <f>K7485</f>
        <v>55669.125469553364</v>
      </c>
      <c r="M7486" s="130">
        <v>5566.9125469553364</v>
      </c>
    </row>
    <row r="7487" spans="1:13" ht="11.25" customHeight="1" x14ac:dyDescent="0.2">
      <c r="A7487" s="222">
        <v>2025</v>
      </c>
      <c r="B7487" s="222">
        <v>3</v>
      </c>
      <c r="C7487" s="222">
        <v>6</v>
      </c>
      <c r="D7487" s="223">
        <f t="shared" si="841"/>
        <v>45722</v>
      </c>
      <c r="E7487" s="240">
        <f t="shared" si="842"/>
        <v>45722</v>
      </c>
      <c r="F7487" s="511" t="s">
        <v>1248</v>
      </c>
      <c r="G7487" s="225" t="s">
        <v>1245</v>
      </c>
      <c r="H7487" s="226"/>
      <c r="I7487" s="226" t="s">
        <v>1253</v>
      </c>
      <c r="J7487" s="222" t="s">
        <v>80</v>
      </c>
      <c r="K7487" s="227">
        <f>M7486</f>
        <v>5566.9125469553364</v>
      </c>
      <c r="L7487" s="227"/>
    </row>
    <row r="7488" spans="1:13" ht="11.25" customHeight="1" x14ac:dyDescent="0.2">
      <c r="A7488" s="228">
        <v>2025</v>
      </c>
      <c r="B7488" s="228">
        <v>3</v>
      </c>
      <c r="C7488" s="228">
        <v>6</v>
      </c>
      <c r="D7488" s="229">
        <f t="shared" si="841"/>
        <v>45722</v>
      </c>
      <c r="E7488" s="241">
        <f t="shared" si="842"/>
        <v>45722</v>
      </c>
      <c r="F7488" s="512"/>
      <c r="G7488" s="231" t="s">
        <v>1245</v>
      </c>
      <c r="H7488" s="232"/>
      <c r="I7488" s="232" t="s">
        <v>1253</v>
      </c>
      <c r="J7488" s="228" t="s">
        <v>42</v>
      </c>
      <c r="K7488" s="233"/>
      <c r="L7488" s="233">
        <f>K7487</f>
        <v>5566.9125469553364</v>
      </c>
    </row>
    <row r="7489" spans="1:14" ht="11.25" customHeight="1" x14ac:dyDescent="0.2">
      <c r="A7489" s="197">
        <v>2025</v>
      </c>
      <c r="B7489" s="197">
        <v>3</v>
      </c>
      <c r="C7489" s="197">
        <v>9</v>
      </c>
      <c r="D7489" s="198">
        <f t="shared" si="841"/>
        <v>45725</v>
      </c>
      <c r="E7489" s="209">
        <f t="shared" ref="E7489:E7492" si="843">DATE(A7489,B7489,C7489)</f>
        <v>45725</v>
      </c>
      <c r="F7489" s="513" t="s">
        <v>1280</v>
      </c>
      <c r="G7489" s="200" t="s">
        <v>1209</v>
      </c>
      <c r="H7489" s="201"/>
      <c r="I7489" s="201" t="s">
        <v>355</v>
      </c>
      <c r="J7489" s="197" t="s">
        <v>16</v>
      </c>
      <c r="K7489" s="202">
        <v>300000</v>
      </c>
      <c r="L7489" s="202"/>
      <c r="M7489" s="130"/>
      <c r="N7489" s="130"/>
    </row>
    <row r="7490" spans="1:14" ht="11.25" customHeight="1" x14ac:dyDescent="0.2">
      <c r="A7490" s="120">
        <v>2025</v>
      </c>
      <c r="B7490" s="120">
        <v>3</v>
      </c>
      <c r="C7490" s="120">
        <v>9</v>
      </c>
      <c r="D7490" s="208">
        <f t="shared" si="841"/>
        <v>45725</v>
      </c>
      <c r="E7490" s="209">
        <f t="shared" si="843"/>
        <v>45725</v>
      </c>
      <c r="F7490" s="515"/>
      <c r="G7490" s="132" t="s">
        <v>1209</v>
      </c>
      <c r="I7490" s="128" t="s">
        <v>355</v>
      </c>
      <c r="J7490" s="120" t="s">
        <v>47</v>
      </c>
      <c r="K7490" s="207">
        <v>81120</v>
      </c>
      <c r="L7490" s="207"/>
      <c r="M7490" s="130"/>
      <c r="N7490" s="130"/>
    </row>
    <row r="7491" spans="1:14" ht="11.25" customHeight="1" x14ac:dyDescent="0.2">
      <c r="A7491" s="191">
        <v>2025</v>
      </c>
      <c r="B7491" s="191">
        <v>3</v>
      </c>
      <c r="C7491" s="191">
        <v>9</v>
      </c>
      <c r="D7491" s="192">
        <f t="shared" si="841"/>
        <v>45725</v>
      </c>
      <c r="E7491" s="193">
        <f t="shared" si="843"/>
        <v>45725</v>
      </c>
      <c r="F7491" s="514"/>
      <c r="G7491" s="194" t="s">
        <v>1209</v>
      </c>
      <c r="H7491" s="195"/>
      <c r="I7491" s="195" t="s">
        <v>355</v>
      </c>
      <c r="J7491" s="191" t="s">
        <v>46</v>
      </c>
      <c r="K7491" s="196"/>
      <c r="L7491" s="196">
        <v>381120</v>
      </c>
      <c r="M7491" s="130"/>
      <c r="N7491" s="130"/>
    </row>
    <row r="7492" spans="1:14" ht="11.25" customHeight="1" x14ac:dyDescent="0.2">
      <c r="A7492" s="197">
        <v>2025</v>
      </c>
      <c r="B7492" s="197">
        <v>3</v>
      </c>
      <c r="C7492" s="197">
        <v>9</v>
      </c>
      <c r="D7492" s="198">
        <f t="shared" si="841"/>
        <v>45725</v>
      </c>
      <c r="E7492" s="290">
        <f t="shared" si="843"/>
        <v>45725</v>
      </c>
      <c r="F7492" s="513" t="s">
        <v>1987</v>
      </c>
      <c r="G7492" s="200" t="s">
        <v>1209</v>
      </c>
      <c r="H7492" s="201"/>
      <c r="I7492" s="201" t="s">
        <v>1253</v>
      </c>
      <c r="J7492" s="197" t="s">
        <v>41</v>
      </c>
      <c r="K7492" s="202">
        <v>322389.96489912178</v>
      </c>
      <c r="L7492" s="202"/>
      <c r="M7492" s="130"/>
      <c r="N7492" s="130"/>
    </row>
    <row r="7493" spans="1:14" ht="11.25" customHeight="1" x14ac:dyDescent="0.2">
      <c r="A7493" s="120">
        <v>2025</v>
      </c>
      <c r="B7493" s="120">
        <v>3</v>
      </c>
      <c r="C7493" s="120">
        <v>9</v>
      </c>
      <c r="D7493" s="208">
        <f t="shared" si="841"/>
        <v>45725</v>
      </c>
      <c r="E7493" s="209">
        <f>DATE(A7493,B7493,C7493)</f>
        <v>45725</v>
      </c>
      <c r="F7493" s="515"/>
      <c r="G7493" s="132" t="s">
        <v>1209</v>
      </c>
      <c r="H7493" s="132"/>
      <c r="J7493" s="120" t="s">
        <v>457</v>
      </c>
      <c r="K7493" s="120"/>
      <c r="L7493" s="207">
        <v>48358.494734868269</v>
      </c>
    </row>
    <row r="7494" spans="1:14" ht="11.25" customHeight="1" x14ac:dyDescent="0.2">
      <c r="A7494" s="191">
        <v>2025</v>
      </c>
      <c r="B7494" s="191">
        <v>3</v>
      </c>
      <c r="C7494" s="191">
        <v>9</v>
      </c>
      <c r="D7494" s="192">
        <f t="shared" si="841"/>
        <v>45725</v>
      </c>
      <c r="E7494" s="291">
        <f t="shared" ref="E7494" si="844">DATE(A7494,B7494,C7494)</f>
        <v>45725</v>
      </c>
      <c r="F7494" s="514"/>
      <c r="G7494" s="194" t="s">
        <v>1209</v>
      </c>
      <c r="H7494" s="195"/>
      <c r="I7494" s="195" t="s">
        <v>1253</v>
      </c>
      <c r="J7494" s="191" t="s">
        <v>46</v>
      </c>
      <c r="K7494" s="196"/>
      <c r="L7494" s="196">
        <v>274031.46999999997</v>
      </c>
    </row>
    <row r="7495" spans="1:14" ht="11.25" customHeight="1" x14ac:dyDescent="0.2">
      <c r="A7495" s="120">
        <v>2025</v>
      </c>
      <c r="B7495" s="197">
        <v>3</v>
      </c>
      <c r="C7495" s="197">
        <v>10</v>
      </c>
      <c r="D7495" s="208">
        <f t="shared" si="841"/>
        <v>45726</v>
      </c>
      <c r="E7495" s="209">
        <f>DATE(A7495,B7495,C7495)</f>
        <v>45726</v>
      </c>
      <c r="F7495" s="515" t="s">
        <v>1922</v>
      </c>
      <c r="G7495" s="132" t="s">
        <v>1209</v>
      </c>
      <c r="H7495" s="132"/>
      <c r="J7495" s="120" t="s">
        <v>457</v>
      </c>
      <c r="K7495" s="202">
        <v>141301.82999999999</v>
      </c>
      <c r="L7495" s="207"/>
    </row>
    <row r="7496" spans="1:14" ht="11.25" customHeight="1" x14ac:dyDescent="0.2">
      <c r="A7496" s="191">
        <v>2025</v>
      </c>
      <c r="B7496" s="191">
        <v>3</v>
      </c>
      <c r="C7496" s="191">
        <v>10</v>
      </c>
      <c r="D7496" s="192">
        <f t="shared" si="841"/>
        <v>45726</v>
      </c>
      <c r="E7496" s="291">
        <f t="shared" ref="E7496:E7498" si="845">DATE(A7496,B7496,C7496)</f>
        <v>45726</v>
      </c>
      <c r="F7496" s="514"/>
      <c r="G7496" s="194" t="s">
        <v>1209</v>
      </c>
      <c r="H7496" s="195"/>
      <c r="I7496" s="195" t="s">
        <v>1253</v>
      </c>
      <c r="J7496" s="191" t="s">
        <v>46</v>
      </c>
      <c r="K7496" s="196"/>
      <c r="L7496" s="196">
        <v>141301.82999999999</v>
      </c>
    </row>
    <row r="7497" spans="1:14" ht="11.25" customHeight="1" x14ac:dyDescent="0.2">
      <c r="A7497" s="197">
        <v>2025</v>
      </c>
      <c r="B7497" s="197">
        <v>3</v>
      </c>
      <c r="C7497" s="197">
        <v>10</v>
      </c>
      <c r="D7497" s="198">
        <f t="shared" si="841"/>
        <v>45726</v>
      </c>
      <c r="E7497" s="290">
        <f t="shared" si="845"/>
        <v>45726</v>
      </c>
      <c r="F7497" s="513" t="s">
        <v>1996</v>
      </c>
      <c r="G7497" s="200" t="s">
        <v>1209</v>
      </c>
      <c r="H7497" s="201"/>
      <c r="I7497" s="201" t="s">
        <v>1253</v>
      </c>
      <c r="J7497" s="197" t="s">
        <v>46</v>
      </c>
      <c r="K7497" s="202">
        <v>101666.67</v>
      </c>
      <c r="L7497" s="202"/>
    </row>
    <row r="7498" spans="1:14" ht="11.25" customHeight="1" x14ac:dyDescent="0.2">
      <c r="A7498" s="191">
        <v>2025</v>
      </c>
      <c r="B7498" s="191">
        <v>3</v>
      </c>
      <c r="C7498" s="191">
        <v>10</v>
      </c>
      <c r="D7498" s="192">
        <f t="shared" si="841"/>
        <v>45726</v>
      </c>
      <c r="E7498" s="291">
        <f t="shared" si="845"/>
        <v>45726</v>
      </c>
      <c r="F7498" s="513"/>
      <c r="G7498" s="194" t="s">
        <v>1209</v>
      </c>
      <c r="H7498" s="195"/>
      <c r="I7498" s="195" t="s">
        <v>1253</v>
      </c>
      <c r="J7498" s="191" t="s">
        <v>113</v>
      </c>
      <c r="K7498" s="196"/>
      <c r="L7498" s="379">
        <v>101666.67</v>
      </c>
    </row>
    <row r="7499" spans="1:14" ht="11.25" customHeight="1" x14ac:dyDescent="0.2">
      <c r="A7499" s="197">
        <v>2025</v>
      </c>
      <c r="B7499" s="197">
        <v>3</v>
      </c>
      <c r="C7499" s="197">
        <v>11</v>
      </c>
      <c r="D7499" s="198">
        <f t="shared" si="841"/>
        <v>45727</v>
      </c>
      <c r="E7499" s="290">
        <f t="shared" ref="E7499:E7500" si="846">DATE(A7499,B7499,C7499)</f>
        <v>45727</v>
      </c>
      <c r="F7499" s="513" t="s">
        <v>1997</v>
      </c>
      <c r="G7499" s="200" t="s">
        <v>1209</v>
      </c>
      <c r="H7499" s="201"/>
      <c r="I7499" s="201" t="s">
        <v>1253</v>
      </c>
      <c r="J7499" s="197" t="s">
        <v>46</v>
      </c>
      <c r="K7499" s="202">
        <v>91500</v>
      </c>
      <c r="L7499" s="202"/>
    </row>
    <row r="7500" spans="1:14" ht="11.25" customHeight="1" x14ac:dyDescent="0.2">
      <c r="A7500" s="191">
        <v>2025</v>
      </c>
      <c r="B7500" s="191">
        <v>3</v>
      </c>
      <c r="C7500" s="191">
        <v>11</v>
      </c>
      <c r="D7500" s="192">
        <f t="shared" si="841"/>
        <v>45727</v>
      </c>
      <c r="E7500" s="291">
        <f t="shared" si="846"/>
        <v>45727</v>
      </c>
      <c r="F7500" s="513"/>
      <c r="G7500" s="194" t="s">
        <v>1209</v>
      </c>
      <c r="H7500" s="195"/>
      <c r="I7500" s="195" t="s">
        <v>1253</v>
      </c>
      <c r="J7500" s="191" t="s">
        <v>113</v>
      </c>
      <c r="K7500" s="196"/>
      <c r="L7500" s="379">
        <v>91500</v>
      </c>
    </row>
    <row r="7501" spans="1:14" ht="11.25" customHeight="1" x14ac:dyDescent="0.2">
      <c r="A7501" s="197">
        <v>2025</v>
      </c>
      <c r="B7501" s="197">
        <v>3</v>
      </c>
      <c r="C7501" s="197">
        <v>11</v>
      </c>
      <c r="D7501" s="198">
        <f t="shared" si="841"/>
        <v>45727</v>
      </c>
      <c r="E7501" s="209">
        <f t="shared" si="842"/>
        <v>45727</v>
      </c>
      <c r="F7501" s="513" t="s">
        <v>1423</v>
      </c>
      <c r="G7501" s="200" t="s">
        <v>1209</v>
      </c>
      <c r="H7501" s="201"/>
      <c r="I7501" s="201" t="s">
        <v>1704</v>
      </c>
      <c r="J7501" s="197" t="s">
        <v>16</v>
      </c>
      <c r="K7501" s="202">
        <v>199870</v>
      </c>
      <c r="L7501" s="202"/>
      <c r="M7501" s="130"/>
      <c r="N7501" s="130"/>
    </row>
    <row r="7502" spans="1:14" ht="11.25" customHeight="1" x14ac:dyDescent="0.2">
      <c r="A7502" s="120">
        <v>2025</v>
      </c>
      <c r="B7502" s="120">
        <v>3</v>
      </c>
      <c r="C7502" s="120">
        <v>11</v>
      </c>
      <c r="D7502" s="208">
        <f t="shared" si="841"/>
        <v>45727</v>
      </c>
      <c r="E7502" s="209">
        <f t="shared" si="842"/>
        <v>45727</v>
      </c>
      <c r="F7502" s="515"/>
      <c r="G7502" s="132" t="s">
        <v>1209</v>
      </c>
      <c r="I7502" s="128" t="s">
        <v>1704</v>
      </c>
      <c r="J7502" s="120" t="s">
        <v>47</v>
      </c>
      <c r="K7502" s="207">
        <v>54044.850000000006</v>
      </c>
      <c r="L7502" s="207"/>
      <c r="M7502" s="130"/>
      <c r="N7502" s="130"/>
    </row>
    <row r="7503" spans="1:14" ht="11.25" customHeight="1" x14ac:dyDescent="0.2">
      <c r="A7503" s="191">
        <v>2025</v>
      </c>
      <c r="B7503" s="191">
        <v>3</v>
      </c>
      <c r="C7503" s="191">
        <v>11</v>
      </c>
      <c r="D7503" s="192">
        <f t="shared" si="841"/>
        <v>45727</v>
      </c>
      <c r="E7503" s="193">
        <f t="shared" si="842"/>
        <v>45727</v>
      </c>
      <c r="F7503" s="514"/>
      <c r="G7503" s="194" t="s">
        <v>1209</v>
      </c>
      <c r="H7503" s="195"/>
      <c r="I7503" s="195" t="s">
        <v>1704</v>
      </c>
      <c r="J7503" s="191" t="s">
        <v>46</v>
      </c>
      <c r="K7503" s="196"/>
      <c r="L7503" s="196">
        <v>253914.85</v>
      </c>
      <c r="M7503" s="130"/>
      <c r="N7503" s="130"/>
    </row>
    <row r="7504" spans="1:14" ht="11.25" customHeight="1" x14ac:dyDescent="0.2">
      <c r="A7504" s="197">
        <v>2025</v>
      </c>
      <c r="B7504" s="197">
        <v>3</v>
      </c>
      <c r="C7504" s="197">
        <v>11</v>
      </c>
      <c r="D7504" s="198">
        <f t="shared" si="841"/>
        <v>45727</v>
      </c>
      <c r="E7504" s="209">
        <f t="shared" si="842"/>
        <v>45727</v>
      </c>
      <c r="F7504" s="513" t="s">
        <v>1280</v>
      </c>
      <c r="G7504" s="200" t="s">
        <v>1209</v>
      </c>
      <c r="H7504" s="201"/>
      <c r="I7504" s="201" t="s">
        <v>1333</v>
      </c>
      <c r="J7504" s="197" t="s">
        <v>16</v>
      </c>
      <c r="K7504" s="202">
        <v>347550</v>
      </c>
      <c r="L7504" s="202"/>
      <c r="M7504" s="130"/>
      <c r="N7504" s="130"/>
    </row>
    <row r="7505" spans="1:14" ht="11.25" customHeight="1" x14ac:dyDescent="0.2">
      <c r="A7505" s="120">
        <v>2025</v>
      </c>
      <c r="B7505" s="120">
        <v>3</v>
      </c>
      <c r="C7505" s="120">
        <v>11</v>
      </c>
      <c r="D7505" s="208">
        <f t="shared" si="841"/>
        <v>45727</v>
      </c>
      <c r="E7505" s="209">
        <f t="shared" si="842"/>
        <v>45727</v>
      </c>
      <c r="F7505" s="515"/>
      <c r="G7505" s="132" t="s">
        <v>1209</v>
      </c>
      <c r="I7505" s="128" t="s">
        <v>1333</v>
      </c>
      <c r="J7505" s="120" t="s">
        <v>47</v>
      </c>
      <c r="K7505" s="207">
        <v>93977.520000000019</v>
      </c>
      <c r="L7505" s="207"/>
      <c r="M7505" s="130"/>
      <c r="N7505" s="130"/>
    </row>
    <row r="7506" spans="1:14" ht="11.25" customHeight="1" x14ac:dyDescent="0.2">
      <c r="A7506" s="191">
        <v>2025</v>
      </c>
      <c r="B7506" s="191">
        <v>3</v>
      </c>
      <c r="C7506" s="191">
        <v>11</v>
      </c>
      <c r="D7506" s="192">
        <f t="shared" si="841"/>
        <v>45727</v>
      </c>
      <c r="E7506" s="193">
        <f t="shared" si="842"/>
        <v>45727</v>
      </c>
      <c r="F7506" s="514"/>
      <c r="G7506" s="194" t="s">
        <v>1209</v>
      </c>
      <c r="H7506" s="195"/>
      <c r="I7506" s="195" t="s">
        <v>1333</v>
      </c>
      <c r="J7506" s="191" t="s">
        <v>46</v>
      </c>
      <c r="K7506" s="196"/>
      <c r="L7506" s="196">
        <v>441527.52</v>
      </c>
      <c r="M7506" s="130"/>
      <c r="N7506" s="130"/>
    </row>
    <row r="7507" spans="1:14" ht="11.25" customHeight="1" x14ac:dyDescent="0.2">
      <c r="A7507" s="197">
        <v>2025</v>
      </c>
      <c r="B7507" s="197">
        <v>3</v>
      </c>
      <c r="C7507" s="197">
        <v>12</v>
      </c>
      <c r="D7507" s="198">
        <f t="shared" si="841"/>
        <v>45728</v>
      </c>
      <c r="E7507" s="290">
        <f t="shared" ref="E7507:E7508" si="847">DATE(A7507,B7507,C7507)</f>
        <v>45728</v>
      </c>
      <c r="F7507" s="513" t="s">
        <v>1998</v>
      </c>
      <c r="G7507" s="200" t="s">
        <v>1209</v>
      </c>
      <c r="H7507" s="201"/>
      <c r="I7507" s="201" t="s">
        <v>1253</v>
      </c>
      <c r="J7507" s="197" t="s">
        <v>46</v>
      </c>
      <c r="K7507" s="202">
        <v>213500</v>
      </c>
      <c r="L7507" s="202"/>
    </row>
    <row r="7508" spans="1:14" ht="11.25" customHeight="1" x14ac:dyDescent="0.2">
      <c r="A7508" s="191">
        <v>2025</v>
      </c>
      <c r="B7508" s="191">
        <v>3</v>
      </c>
      <c r="C7508" s="191">
        <v>12</v>
      </c>
      <c r="D7508" s="192">
        <f t="shared" si="841"/>
        <v>45728</v>
      </c>
      <c r="E7508" s="291">
        <f t="shared" si="847"/>
        <v>45728</v>
      </c>
      <c r="F7508" s="513"/>
      <c r="G7508" s="194" t="s">
        <v>1209</v>
      </c>
      <c r="H7508" s="195"/>
      <c r="I7508" s="195" t="s">
        <v>1253</v>
      </c>
      <c r="J7508" s="191" t="s">
        <v>113</v>
      </c>
      <c r="K7508" s="196"/>
      <c r="L7508" s="379">
        <v>213500</v>
      </c>
    </row>
    <row r="7509" spans="1:14" ht="11.25" customHeight="1" x14ac:dyDescent="0.2">
      <c r="A7509" s="197">
        <v>2025</v>
      </c>
      <c r="B7509" s="197">
        <v>3</v>
      </c>
      <c r="C7509" s="197">
        <v>12</v>
      </c>
      <c r="D7509" s="198">
        <f t="shared" si="841"/>
        <v>45728</v>
      </c>
      <c r="E7509" s="209">
        <f t="shared" ref="E7509:E7520" si="848">DATE(A7509,B7509,C7509)</f>
        <v>45728</v>
      </c>
      <c r="F7509" s="513" t="s">
        <v>1280</v>
      </c>
      <c r="G7509" s="200" t="s">
        <v>1209</v>
      </c>
      <c r="H7509" s="201"/>
      <c r="I7509" s="201" t="s">
        <v>1947</v>
      </c>
      <c r="J7509" s="197" t="s">
        <v>16</v>
      </c>
      <c r="K7509" s="202">
        <v>3940</v>
      </c>
      <c r="L7509" s="202"/>
      <c r="M7509" s="130"/>
      <c r="N7509" s="130"/>
    </row>
    <row r="7510" spans="1:14" ht="11.25" customHeight="1" x14ac:dyDescent="0.2">
      <c r="A7510" s="120">
        <v>2025</v>
      </c>
      <c r="B7510" s="120">
        <v>3</v>
      </c>
      <c r="C7510" s="120">
        <v>12</v>
      </c>
      <c r="D7510" s="208">
        <f t="shared" si="841"/>
        <v>45728</v>
      </c>
      <c r="E7510" s="209">
        <f t="shared" si="848"/>
        <v>45728</v>
      </c>
      <c r="F7510" s="515"/>
      <c r="G7510" s="132" t="s">
        <v>1209</v>
      </c>
      <c r="I7510" s="128" t="s">
        <v>1947</v>
      </c>
      <c r="J7510" s="120" t="s">
        <v>47</v>
      </c>
      <c r="K7510" s="207">
        <v>1060</v>
      </c>
      <c r="L7510" s="207"/>
      <c r="M7510" s="130"/>
      <c r="N7510" s="130"/>
    </row>
    <row r="7511" spans="1:14" ht="11.25" customHeight="1" x14ac:dyDescent="0.2">
      <c r="A7511" s="191">
        <v>2025</v>
      </c>
      <c r="B7511" s="191">
        <v>3</v>
      </c>
      <c r="C7511" s="191">
        <v>12</v>
      </c>
      <c r="D7511" s="192">
        <f t="shared" si="841"/>
        <v>45728</v>
      </c>
      <c r="E7511" s="193">
        <f t="shared" si="848"/>
        <v>45728</v>
      </c>
      <c r="F7511" s="514"/>
      <c r="G7511" s="194" t="s">
        <v>1209</v>
      </c>
      <c r="H7511" s="195"/>
      <c r="I7511" s="195" t="s">
        <v>1947</v>
      </c>
      <c r="J7511" s="191" t="s">
        <v>46</v>
      </c>
      <c r="K7511" s="196"/>
      <c r="L7511" s="196">
        <v>5000</v>
      </c>
      <c r="M7511" s="130"/>
      <c r="N7511" s="130"/>
    </row>
    <row r="7512" spans="1:14" ht="11.25" customHeight="1" x14ac:dyDescent="0.2">
      <c r="A7512" s="197">
        <v>2025</v>
      </c>
      <c r="B7512" s="197">
        <v>3</v>
      </c>
      <c r="C7512" s="197">
        <v>13</v>
      </c>
      <c r="D7512" s="198">
        <f t="shared" si="841"/>
        <v>45729</v>
      </c>
      <c r="E7512" s="209">
        <f t="shared" si="848"/>
        <v>45729</v>
      </c>
      <c r="F7512" s="513" t="s">
        <v>1280</v>
      </c>
      <c r="G7512" s="200" t="s">
        <v>1209</v>
      </c>
      <c r="H7512" s="201"/>
      <c r="I7512" s="201" t="s">
        <v>397</v>
      </c>
      <c r="J7512" s="197" t="s">
        <v>16</v>
      </c>
      <c r="K7512" s="202">
        <v>138430</v>
      </c>
      <c r="L7512" s="202"/>
      <c r="M7512" s="130"/>
      <c r="N7512" s="130"/>
    </row>
    <row r="7513" spans="1:14" ht="11.25" customHeight="1" x14ac:dyDescent="0.2">
      <c r="A7513" s="120">
        <v>2025</v>
      </c>
      <c r="B7513" s="120">
        <v>3</v>
      </c>
      <c r="C7513" s="120">
        <v>13</v>
      </c>
      <c r="D7513" s="208">
        <f t="shared" si="841"/>
        <v>45729</v>
      </c>
      <c r="E7513" s="209">
        <f t="shared" si="848"/>
        <v>45729</v>
      </c>
      <c r="F7513" s="515"/>
      <c r="G7513" s="132" t="s">
        <v>1209</v>
      </c>
      <c r="I7513" s="128" t="s">
        <v>397</v>
      </c>
      <c r="J7513" s="120" t="s">
        <v>47</v>
      </c>
      <c r="K7513" s="207">
        <v>37431.47</v>
      </c>
      <c r="L7513" s="207"/>
      <c r="M7513" s="130"/>
      <c r="N7513" s="130"/>
    </row>
    <row r="7514" spans="1:14" ht="11.25" customHeight="1" x14ac:dyDescent="0.2">
      <c r="A7514" s="191">
        <v>2025</v>
      </c>
      <c r="B7514" s="191">
        <v>3</v>
      </c>
      <c r="C7514" s="191">
        <v>13</v>
      </c>
      <c r="D7514" s="192">
        <f t="shared" si="841"/>
        <v>45729</v>
      </c>
      <c r="E7514" s="193">
        <f t="shared" si="848"/>
        <v>45729</v>
      </c>
      <c r="F7514" s="514"/>
      <c r="G7514" s="194" t="s">
        <v>1209</v>
      </c>
      <c r="H7514" s="195"/>
      <c r="I7514" s="195" t="s">
        <v>397</v>
      </c>
      <c r="J7514" s="191" t="s">
        <v>46</v>
      </c>
      <c r="K7514" s="196"/>
      <c r="L7514" s="196">
        <v>175861.47</v>
      </c>
      <c r="M7514" s="130"/>
      <c r="N7514" s="130"/>
    </row>
    <row r="7515" spans="1:14" ht="11.25" customHeight="1" x14ac:dyDescent="0.2">
      <c r="A7515" s="424">
        <v>2025</v>
      </c>
      <c r="B7515" s="424">
        <v>3</v>
      </c>
      <c r="C7515" s="424">
        <v>13</v>
      </c>
      <c r="D7515" s="425">
        <f t="shared" si="841"/>
        <v>45729</v>
      </c>
      <c r="E7515" s="384">
        <f t="shared" si="848"/>
        <v>45729</v>
      </c>
      <c r="F7515" s="516" t="s">
        <v>1850</v>
      </c>
      <c r="G7515" s="426" t="s">
        <v>1209</v>
      </c>
      <c r="H7515" s="427"/>
      <c r="I7515" s="427"/>
      <c r="J7515" s="428" t="s">
        <v>81</v>
      </c>
      <c r="K7515" s="429">
        <v>6973.2450980392159</v>
      </c>
      <c r="L7515" s="429"/>
      <c r="M7515" s="130"/>
    </row>
    <row r="7516" spans="1:14" ht="11.25" customHeight="1" x14ac:dyDescent="0.2">
      <c r="A7516" s="389">
        <v>2025</v>
      </c>
      <c r="B7516" s="389">
        <v>3</v>
      </c>
      <c r="C7516" s="389">
        <v>13</v>
      </c>
      <c r="D7516" s="390">
        <f t="shared" si="841"/>
        <v>45729</v>
      </c>
      <c r="E7516" s="391">
        <f t="shared" si="848"/>
        <v>45729</v>
      </c>
      <c r="F7516" s="517"/>
      <c r="G7516" s="392" t="s">
        <v>1209</v>
      </c>
      <c r="H7516" s="393"/>
      <c r="I7516" s="393"/>
      <c r="J7516" s="394" t="s">
        <v>1847</v>
      </c>
      <c r="K7516" s="423"/>
      <c r="L7516" s="423">
        <v>6973.2450980392159</v>
      </c>
    </row>
    <row r="7517" spans="1:14" ht="11.25" customHeight="1" x14ac:dyDescent="0.2">
      <c r="A7517" s="382">
        <v>2025</v>
      </c>
      <c r="B7517" s="382">
        <v>3</v>
      </c>
      <c r="C7517" s="382">
        <v>13</v>
      </c>
      <c r="D7517" s="383">
        <f t="shared" si="841"/>
        <v>45729</v>
      </c>
      <c r="E7517" s="384">
        <f t="shared" si="848"/>
        <v>45729</v>
      </c>
      <c r="F7517" s="516" t="s">
        <v>1892</v>
      </c>
      <c r="G7517" s="385" t="s">
        <v>1209</v>
      </c>
      <c r="H7517" s="386"/>
      <c r="I7517" s="386"/>
      <c r="J7517" s="387" t="s">
        <v>173</v>
      </c>
      <c r="K7517" s="388">
        <v>5339.4975297812498</v>
      </c>
      <c r="L7517" s="388"/>
      <c r="M7517" s="130"/>
    </row>
    <row r="7518" spans="1:14" ht="11.25" customHeight="1" x14ac:dyDescent="0.2">
      <c r="A7518" s="389">
        <v>2025</v>
      </c>
      <c r="B7518" s="389">
        <v>3</v>
      </c>
      <c r="C7518" s="389">
        <v>13</v>
      </c>
      <c r="D7518" s="390">
        <f t="shared" si="841"/>
        <v>45729</v>
      </c>
      <c r="E7518" s="391">
        <f t="shared" si="848"/>
        <v>45729</v>
      </c>
      <c r="F7518" s="517"/>
      <c r="G7518" s="392" t="s">
        <v>1209</v>
      </c>
      <c r="H7518" s="393"/>
      <c r="I7518" s="393"/>
      <c r="J7518" s="394" t="s">
        <v>43</v>
      </c>
      <c r="K7518" s="388"/>
      <c r="L7518" s="388">
        <f>K7517</f>
        <v>5339.4975297812498</v>
      </c>
    </row>
    <row r="7519" spans="1:14" ht="11.25" customHeight="1" x14ac:dyDescent="0.2">
      <c r="A7519" s="344">
        <v>2025</v>
      </c>
      <c r="B7519" s="344">
        <v>3</v>
      </c>
      <c r="C7519" s="344">
        <v>13</v>
      </c>
      <c r="D7519" s="345">
        <f t="shared" si="841"/>
        <v>45729</v>
      </c>
      <c r="E7519" s="346">
        <f t="shared" si="848"/>
        <v>45729</v>
      </c>
      <c r="F7519" s="518" t="s">
        <v>1982</v>
      </c>
      <c r="G7519" s="347" t="s">
        <v>1245</v>
      </c>
      <c r="H7519" s="348"/>
      <c r="I7519" s="348" t="s">
        <v>1253</v>
      </c>
      <c r="J7519" s="344" t="s">
        <v>1978</v>
      </c>
      <c r="K7519" s="349">
        <v>145230.76923076922</v>
      </c>
      <c r="L7519" s="349"/>
      <c r="M7519" s="130"/>
    </row>
    <row r="7520" spans="1:14" ht="11.25" customHeight="1" x14ac:dyDescent="0.2">
      <c r="A7520" s="350">
        <v>2025</v>
      </c>
      <c r="B7520" s="350">
        <v>3</v>
      </c>
      <c r="C7520" s="350">
        <v>13</v>
      </c>
      <c r="D7520" s="351">
        <f t="shared" si="841"/>
        <v>45729</v>
      </c>
      <c r="E7520" s="352">
        <f t="shared" si="848"/>
        <v>45729</v>
      </c>
      <c r="F7520" s="519"/>
      <c r="G7520" s="353" t="s">
        <v>1245</v>
      </c>
      <c r="H7520" s="354"/>
      <c r="I7520" s="354" t="s">
        <v>1253</v>
      </c>
      <c r="J7520" s="350" t="s">
        <v>1979</v>
      </c>
      <c r="K7520" s="355"/>
      <c r="L7520" s="355">
        <f>K7519</f>
        <v>145230.76923076922</v>
      </c>
    </row>
    <row r="7521" spans="1:13" ht="11.25" customHeight="1" x14ac:dyDescent="0.2">
      <c r="A7521" s="344">
        <v>2025</v>
      </c>
      <c r="B7521" s="344">
        <v>3</v>
      </c>
      <c r="C7521" s="344">
        <v>13</v>
      </c>
      <c r="D7521" s="345">
        <f t="shared" si="841"/>
        <v>45729</v>
      </c>
      <c r="E7521" s="346">
        <f>DATE(A7521,B7521,C7521)</f>
        <v>45729</v>
      </c>
      <c r="F7521" s="518" t="s">
        <v>1988</v>
      </c>
      <c r="G7521" s="347" t="s">
        <v>1245</v>
      </c>
      <c r="H7521" s="348"/>
      <c r="I7521" s="348" t="s">
        <v>1253</v>
      </c>
      <c r="J7521" s="344" t="s">
        <v>113</v>
      </c>
      <c r="K7521" s="349">
        <v>32846.15</v>
      </c>
      <c r="L7521" s="349"/>
      <c r="M7521" s="130"/>
    </row>
    <row r="7522" spans="1:13" ht="11.25" customHeight="1" x14ac:dyDescent="0.2">
      <c r="A7522" s="350">
        <v>2025</v>
      </c>
      <c r="B7522" s="350">
        <v>3</v>
      </c>
      <c r="C7522" s="350">
        <v>13</v>
      </c>
      <c r="D7522" s="351">
        <f t="shared" si="841"/>
        <v>45729</v>
      </c>
      <c r="E7522" s="352">
        <f>DATE(A7522,B7522,C7522)</f>
        <v>45729</v>
      </c>
      <c r="F7522" s="519"/>
      <c r="G7522" s="353" t="s">
        <v>1245</v>
      </c>
      <c r="H7522" s="354"/>
      <c r="I7522" s="354" t="s">
        <v>1253</v>
      </c>
      <c r="J7522" s="350" t="s">
        <v>153</v>
      </c>
      <c r="K7522" s="355"/>
      <c r="L7522" s="355">
        <f>K7521</f>
        <v>32846.15</v>
      </c>
    </row>
    <row r="7523" spans="1:13" ht="11.25" customHeight="1" x14ac:dyDescent="0.2">
      <c r="A7523" s="344">
        <v>2025</v>
      </c>
      <c r="B7523" s="344">
        <v>3</v>
      </c>
      <c r="C7523" s="344">
        <v>13</v>
      </c>
      <c r="D7523" s="345">
        <f t="shared" si="841"/>
        <v>45729</v>
      </c>
      <c r="E7523" s="346">
        <f t="shared" ref="E7523:E7528" si="849">DATE(A7523,B7523,C7523)</f>
        <v>45729</v>
      </c>
      <c r="F7523" s="518" t="s">
        <v>1989</v>
      </c>
      <c r="G7523" s="347" t="s">
        <v>1245</v>
      </c>
      <c r="H7523" s="348"/>
      <c r="I7523" s="348" t="s">
        <v>1253</v>
      </c>
      <c r="J7523" s="344" t="s">
        <v>113</v>
      </c>
      <c r="K7523" s="349">
        <v>23461.538461538461</v>
      </c>
      <c r="L7523" s="349"/>
      <c r="M7523" s="130"/>
    </row>
    <row r="7524" spans="1:13" ht="11.25" customHeight="1" x14ac:dyDescent="0.2">
      <c r="A7524" s="350">
        <v>2025</v>
      </c>
      <c r="B7524" s="350">
        <v>3</v>
      </c>
      <c r="C7524" s="350">
        <v>13</v>
      </c>
      <c r="D7524" s="351">
        <f t="shared" si="841"/>
        <v>45729</v>
      </c>
      <c r="E7524" s="352">
        <f t="shared" si="849"/>
        <v>45729</v>
      </c>
      <c r="F7524" s="519"/>
      <c r="G7524" s="353" t="s">
        <v>1245</v>
      </c>
      <c r="H7524" s="354"/>
      <c r="I7524" s="354" t="s">
        <v>1253</v>
      </c>
      <c r="J7524" s="350" t="s">
        <v>153</v>
      </c>
      <c r="K7524" s="355"/>
      <c r="L7524" s="355">
        <f>K7523</f>
        <v>23461.538461538461</v>
      </c>
    </row>
    <row r="7525" spans="1:13" ht="11.25" customHeight="1" x14ac:dyDescent="0.2">
      <c r="A7525" s="344">
        <v>2025</v>
      </c>
      <c r="B7525" s="344">
        <v>3</v>
      </c>
      <c r="C7525" s="344">
        <v>13</v>
      </c>
      <c r="D7525" s="345">
        <f t="shared" si="841"/>
        <v>45729</v>
      </c>
      <c r="E7525" s="346">
        <f t="shared" si="849"/>
        <v>45729</v>
      </c>
      <c r="F7525" s="518" t="s">
        <v>1990</v>
      </c>
      <c r="G7525" s="347" t="s">
        <v>1245</v>
      </c>
      <c r="H7525" s="348"/>
      <c r="I7525" s="348" t="s">
        <v>1253</v>
      </c>
      <c r="J7525" s="344" t="s">
        <v>113</v>
      </c>
      <c r="K7525" s="349">
        <v>70384.61538461539</v>
      </c>
      <c r="L7525" s="349"/>
      <c r="M7525" s="130"/>
    </row>
    <row r="7526" spans="1:13" ht="11.25" customHeight="1" x14ac:dyDescent="0.2">
      <c r="A7526" s="350">
        <v>2025</v>
      </c>
      <c r="B7526" s="350">
        <v>3</v>
      </c>
      <c r="C7526" s="350">
        <v>13</v>
      </c>
      <c r="D7526" s="351">
        <f t="shared" si="841"/>
        <v>45729</v>
      </c>
      <c r="E7526" s="352">
        <f t="shared" si="849"/>
        <v>45729</v>
      </c>
      <c r="F7526" s="519"/>
      <c r="G7526" s="353" t="s">
        <v>1245</v>
      </c>
      <c r="H7526" s="354"/>
      <c r="I7526" s="354" t="s">
        <v>1253</v>
      </c>
      <c r="J7526" s="350" t="s">
        <v>153</v>
      </c>
      <c r="K7526" s="355"/>
      <c r="L7526" s="355">
        <f>K7525</f>
        <v>70384.61538461539</v>
      </c>
    </row>
    <row r="7527" spans="1:13" ht="11.25" customHeight="1" x14ac:dyDescent="0.2">
      <c r="A7527" s="344">
        <v>2025</v>
      </c>
      <c r="B7527" s="344">
        <v>3</v>
      </c>
      <c r="C7527" s="344">
        <v>13</v>
      </c>
      <c r="D7527" s="345">
        <f t="shared" si="841"/>
        <v>45729</v>
      </c>
      <c r="E7527" s="346">
        <f t="shared" si="849"/>
        <v>45729</v>
      </c>
      <c r="F7527" s="518" t="s">
        <v>2039</v>
      </c>
      <c r="G7527" s="347" t="s">
        <v>1245</v>
      </c>
      <c r="H7527" s="348"/>
      <c r="I7527" s="348" t="s">
        <v>1253</v>
      </c>
      <c r="J7527" s="344" t="s">
        <v>113</v>
      </c>
      <c r="K7527" s="349">
        <v>9384.6153846153848</v>
      </c>
      <c r="L7527" s="349"/>
      <c r="M7527" s="130"/>
    </row>
    <row r="7528" spans="1:13" ht="11.25" customHeight="1" x14ac:dyDescent="0.2">
      <c r="A7528" s="350">
        <v>2025</v>
      </c>
      <c r="B7528" s="350">
        <v>3</v>
      </c>
      <c r="C7528" s="350">
        <v>13</v>
      </c>
      <c r="D7528" s="351">
        <f t="shared" si="841"/>
        <v>45729</v>
      </c>
      <c r="E7528" s="352">
        <f t="shared" si="849"/>
        <v>45729</v>
      </c>
      <c r="F7528" s="519"/>
      <c r="G7528" s="353" t="s">
        <v>1245</v>
      </c>
      <c r="H7528" s="354"/>
      <c r="I7528" s="354" t="s">
        <v>1253</v>
      </c>
      <c r="J7528" s="350" t="s">
        <v>153</v>
      </c>
      <c r="K7528" s="355"/>
      <c r="L7528" s="355">
        <f>K7527</f>
        <v>9384.6153846153848</v>
      </c>
    </row>
    <row r="7529" spans="1:13" ht="11.25" customHeight="1" x14ac:dyDescent="0.2">
      <c r="A7529" s="344">
        <v>2025</v>
      </c>
      <c r="B7529" s="344">
        <v>3</v>
      </c>
      <c r="C7529" s="344">
        <v>13</v>
      </c>
      <c r="D7529" s="345">
        <f t="shared" si="841"/>
        <v>45729</v>
      </c>
      <c r="E7529" s="346">
        <f>DATE(A7529,B7529,C7529)</f>
        <v>45729</v>
      </c>
      <c r="F7529" s="518" t="s">
        <v>1991</v>
      </c>
      <c r="G7529" s="347" t="s">
        <v>1245</v>
      </c>
      <c r="H7529" s="348"/>
      <c r="I7529" s="348" t="s">
        <v>1253</v>
      </c>
      <c r="J7529" s="344" t="s">
        <v>113</v>
      </c>
      <c r="K7529" s="349">
        <v>39884.620000000003</v>
      </c>
      <c r="L7529" s="349"/>
      <c r="M7529" s="130"/>
    </row>
    <row r="7530" spans="1:13" ht="11.25" customHeight="1" x14ac:dyDescent="0.2">
      <c r="A7530" s="350">
        <v>2025</v>
      </c>
      <c r="B7530" s="350">
        <v>3</v>
      </c>
      <c r="C7530" s="350">
        <v>13</v>
      </c>
      <c r="D7530" s="351">
        <f t="shared" si="841"/>
        <v>45729</v>
      </c>
      <c r="E7530" s="352">
        <f>DATE(A7530,B7530,C7530)</f>
        <v>45729</v>
      </c>
      <c r="F7530" s="519"/>
      <c r="G7530" s="353" t="s">
        <v>1245</v>
      </c>
      <c r="H7530" s="354"/>
      <c r="I7530" s="354" t="s">
        <v>1253</v>
      </c>
      <c r="J7530" s="350" t="s">
        <v>153</v>
      </c>
      <c r="K7530" s="355"/>
      <c r="L7530" s="355">
        <f>K7529</f>
        <v>39884.620000000003</v>
      </c>
    </row>
    <row r="7531" spans="1:13" ht="11.25" customHeight="1" x14ac:dyDescent="0.2">
      <c r="A7531" s="344">
        <v>2025</v>
      </c>
      <c r="B7531" s="344">
        <v>3</v>
      </c>
      <c r="C7531" s="344">
        <v>13</v>
      </c>
      <c r="D7531" s="345">
        <f t="shared" si="841"/>
        <v>45729</v>
      </c>
      <c r="E7531" s="346">
        <f t="shared" ref="E7531:E7537" si="850">DATE(A7531,B7531,C7531)</f>
        <v>45729</v>
      </c>
      <c r="F7531" s="518" t="s">
        <v>1992</v>
      </c>
      <c r="G7531" s="347" t="s">
        <v>1245</v>
      </c>
      <c r="H7531" s="348"/>
      <c r="I7531" s="348" t="s">
        <v>1253</v>
      </c>
      <c r="J7531" s="344" t="s">
        <v>113</v>
      </c>
      <c r="K7531" s="349">
        <v>37813.230000000003</v>
      </c>
      <c r="L7531" s="349"/>
      <c r="M7531" s="130"/>
    </row>
    <row r="7532" spans="1:13" ht="11.25" customHeight="1" x14ac:dyDescent="0.2">
      <c r="A7532" s="350">
        <v>2025</v>
      </c>
      <c r="B7532" s="350">
        <v>3</v>
      </c>
      <c r="C7532" s="350">
        <v>13</v>
      </c>
      <c r="D7532" s="351">
        <f t="shared" ref="D7532:D7595" si="851">DATE(A7532,B7532,C7532)</f>
        <v>45729</v>
      </c>
      <c r="E7532" s="352">
        <f t="shared" si="850"/>
        <v>45729</v>
      </c>
      <c r="F7532" s="519"/>
      <c r="G7532" s="353" t="s">
        <v>1245</v>
      </c>
      <c r="H7532" s="354"/>
      <c r="I7532" s="354" t="s">
        <v>1253</v>
      </c>
      <c r="J7532" s="350" t="s">
        <v>153</v>
      </c>
      <c r="K7532" s="355"/>
      <c r="L7532" s="355">
        <f>K7531</f>
        <v>37813.230000000003</v>
      </c>
    </row>
    <row r="7533" spans="1:13" ht="11.25" customHeight="1" x14ac:dyDescent="0.2">
      <c r="A7533" s="344">
        <v>2025</v>
      </c>
      <c r="B7533" s="344">
        <v>3</v>
      </c>
      <c r="C7533" s="344">
        <v>13</v>
      </c>
      <c r="D7533" s="345">
        <f t="shared" si="851"/>
        <v>45729</v>
      </c>
      <c r="E7533" s="346">
        <f t="shared" si="850"/>
        <v>45729</v>
      </c>
      <c r="F7533" s="518" t="s">
        <v>1993</v>
      </c>
      <c r="G7533" s="347" t="s">
        <v>1245</v>
      </c>
      <c r="H7533" s="348"/>
      <c r="I7533" s="348" t="s">
        <v>1253</v>
      </c>
      <c r="J7533" s="344" t="s">
        <v>113</v>
      </c>
      <c r="K7533" s="349">
        <v>36381.54</v>
      </c>
      <c r="L7533" s="349"/>
      <c r="M7533" s="130"/>
    </row>
    <row r="7534" spans="1:13" ht="11.25" customHeight="1" x14ac:dyDescent="0.2">
      <c r="A7534" s="350">
        <v>2025</v>
      </c>
      <c r="B7534" s="350">
        <v>3</v>
      </c>
      <c r="C7534" s="350">
        <v>13</v>
      </c>
      <c r="D7534" s="351">
        <f t="shared" si="851"/>
        <v>45729</v>
      </c>
      <c r="E7534" s="352">
        <f t="shared" si="850"/>
        <v>45729</v>
      </c>
      <c r="F7534" s="519"/>
      <c r="G7534" s="353" t="s">
        <v>1245</v>
      </c>
      <c r="H7534" s="354"/>
      <c r="I7534" s="354" t="s">
        <v>1253</v>
      </c>
      <c r="J7534" s="350" t="s">
        <v>153</v>
      </c>
      <c r="K7534" s="355"/>
      <c r="L7534" s="355">
        <f>K7533</f>
        <v>36381.54</v>
      </c>
    </row>
    <row r="7535" spans="1:13" ht="11.25" customHeight="1" x14ac:dyDescent="0.2">
      <c r="A7535" s="210">
        <v>2025</v>
      </c>
      <c r="B7535" s="210">
        <v>3</v>
      </c>
      <c r="C7535" s="210">
        <v>13</v>
      </c>
      <c r="D7535" s="211">
        <f t="shared" si="851"/>
        <v>45729</v>
      </c>
      <c r="E7535" s="238">
        <f t="shared" si="850"/>
        <v>45729</v>
      </c>
      <c r="F7535" s="520" t="s">
        <v>1278</v>
      </c>
      <c r="G7535" s="213" t="s">
        <v>1245</v>
      </c>
      <c r="H7535" s="214"/>
      <c r="I7535" s="214" t="s">
        <v>1253</v>
      </c>
      <c r="J7535" s="210" t="s">
        <v>1529</v>
      </c>
      <c r="K7535" s="215">
        <v>510.40384615384613</v>
      </c>
      <c r="L7535" s="215"/>
      <c r="M7535" s="130"/>
    </row>
    <row r="7536" spans="1:13" ht="11.25" customHeight="1" x14ac:dyDescent="0.2">
      <c r="A7536" s="216">
        <v>2025</v>
      </c>
      <c r="B7536" s="216">
        <v>3</v>
      </c>
      <c r="C7536" s="216">
        <v>13</v>
      </c>
      <c r="D7536" s="217">
        <f t="shared" si="851"/>
        <v>45729</v>
      </c>
      <c r="E7536" s="239">
        <f t="shared" si="850"/>
        <v>45729</v>
      </c>
      <c r="F7536" s="521"/>
      <c r="G7536" s="219" t="s">
        <v>1245</v>
      </c>
      <c r="H7536" s="220"/>
      <c r="I7536" s="220" t="s">
        <v>1253</v>
      </c>
      <c r="J7536" s="216" t="s">
        <v>1581</v>
      </c>
      <c r="K7536" s="221"/>
      <c r="L7536" s="221">
        <v>510.40384615384613</v>
      </c>
    </row>
    <row r="7537" spans="1:13" ht="11.25" customHeight="1" x14ac:dyDescent="0.2">
      <c r="A7537" s="210">
        <v>2025</v>
      </c>
      <c r="B7537" s="210">
        <v>3</v>
      </c>
      <c r="C7537" s="210">
        <v>13</v>
      </c>
      <c r="D7537" s="211">
        <f t="shared" si="851"/>
        <v>45729</v>
      </c>
      <c r="E7537" s="238">
        <f t="shared" si="850"/>
        <v>45729</v>
      </c>
      <c r="F7537" s="520" t="s">
        <v>1857</v>
      </c>
      <c r="G7537" s="213" t="s">
        <v>1245</v>
      </c>
      <c r="H7537" s="214"/>
      <c r="I7537" s="214" t="s">
        <v>1253</v>
      </c>
      <c r="J7537" s="210" t="s">
        <v>1284</v>
      </c>
      <c r="K7537" s="215">
        <v>2341.8114143920593</v>
      </c>
      <c r="L7537" s="215"/>
      <c r="M7537" s="130"/>
    </row>
    <row r="7538" spans="1:13" ht="11.25" customHeight="1" x14ac:dyDescent="0.2">
      <c r="A7538" s="242">
        <v>2025</v>
      </c>
      <c r="B7538" s="242">
        <v>3</v>
      </c>
      <c r="C7538" s="242">
        <v>13</v>
      </c>
      <c r="D7538" s="243">
        <f t="shared" si="851"/>
        <v>45729</v>
      </c>
      <c r="E7538" s="244">
        <f>DATE(A7538,B7538,C7538)</f>
        <v>45729</v>
      </c>
      <c r="F7538" s="524"/>
      <c r="G7538" s="245" t="s">
        <v>1245</v>
      </c>
      <c r="H7538" s="246"/>
      <c r="I7538" s="246"/>
      <c r="J7538" s="242" t="s">
        <v>1582</v>
      </c>
      <c r="K7538" s="247"/>
      <c r="L7538" s="247">
        <f>K7537</f>
        <v>2341.8114143920593</v>
      </c>
    </row>
    <row r="7539" spans="1:13" ht="11.25" customHeight="1" x14ac:dyDescent="0.2">
      <c r="A7539" s="210">
        <v>2025</v>
      </c>
      <c r="B7539" s="210">
        <v>3</v>
      </c>
      <c r="C7539" s="210">
        <v>13</v>
      </c>
      <c r="D7539" s="211">
        <f t="shared" si="851"/>
        <v>45729</v>
      </c>
      <c r="E7539" s="238">
        <f t="shared" ref="E7539:E7635" si="852">DATE(A7539,B7539,C7539)</f>
        <v>45729</v>
      </c>
      <c r="F7539" s="520" t="s">
        <v>2055</v>
      </c>
      <c r="G7539" s="213" t="s">
        <v>1245</v>
      </c>
      <c r="H7539" s="214"/>
      <c r="I7539" s="214" t="s">
        <v>1253</v>
      </c>
      <c r="J7539" s="210" t="s">
        <v>58</v>
      </c>
      <c r="K7539" s="215">
        <v>5500.04</v>
      </c>
      <c r="L7539" s="215"/>
    </row>
    <row r="7540" spans="1:13" ht="11.25" customHeight="1" x14ac:dyDescent="0.2">
      <c r="A7540" s="216">
        <v>2025</v>
      </c>
      <c r="B7540" s="216">
        <v>3</v>
      </c>
      <c r="C7540" s="216">
        <v>13</v>
      </c>
      <c r="D7540" s="217">
        <f t="shared" si="851"/>
        <v>45729</v>
      </c>
      <c r="E7540" s="239">
        <f t="shared" si="852"/>
        <v>45729</v>
      </c>
      <c r="F7540" s="521"/>
      <c r="G7540" s="219" t="s">
        <v>1245</v>
      </c>
      <c r="H7540" s="220"/>
      <c r="I7540" s="220" t="s">
        <v>1253</v>
      </c>
      <c r="J7540" s="216" t="s">
        <v>153</v>
      </c>
      <c r="K7540" s="221"/>
      <c r="L7540" s="221">
        <f>K7539</f>
        <v>5500.04</v>
      </c>
    </row>
    <row r="7541" spans="1:13" ht="11.25" customHeight="1" x14ac:dyDescent="0.2">
      <c r="A7541" s="312">
        <v>2025</v>
      </c>
      <c r="B7541" s="312">
        <v>3</v>
      </c>
      <c r="C7541" s="312">
        <v>13</v>
      </c>
      <c r="D7541" s="313">
        <f t="shared" si="851"/>
        <v>45729</v>
      </c>
      <c r="E7541" s="314">
        <f t="shared" si="852"/>
        <v>45729</v>
      </c>
      <c r="F7541" s="522" t="s">
        <v>1477</v>
      </c>
      <c r="G7541" s="315" t="s">
        <v>1245</v>
      </c>
      <c r="H7541" s="316"/>
      <c r="I7541" s="316" t="s">
        <v>1253</v>
      </c>
      <c r="J7541" s="312" t="s">
        <v>1458</v>
      </c>
      <c r="K7541" s="317">
        <v>0</v>
      </c>
      <c r="L7541" s="317"/>
      <c r="M7541" s="120">
        <f>BS!$I$11</f>
        <v>5.9604644775390625E-8</v>
      </c>
    </row>
    <row r="7542" spans="1:13" ht="11.25" customHeight="1" x14ac:dyDescent="0.2">
      <c r="A7542" s="318">
        <v>2025</v>
      </c>
      <c r="B7542" s="318">
        <v>3</v>
      </c>
      <c r="C7542" s="318">
        <v>13</v>
      </c>
      <c r="D7542" s="319">
        <f t="shared" si="851"/>
        <v>45729</v>
      </c>
      <c r="E7542" s="320">
        <f t="shared" si="852"/>
        <v>45729</v>
      </c>
      <c r="F7542" s="523"/>
      <c r="G7542" s="321" t="s">
        <v>1245</v>
      </c>
      <c r="H7542" s="322"/>
      <c r="I7542" s="322" t="s">
        <v>1253</v>
      </c>
      <c r="J7542" s="318" t="s">
        <v>1460</v>
      </c>
      <c r="K7542" s="323"/>
      <c r="L7542" s="323">
        <f>K7541</f>
        <v>0</v>
      </c>
    </row>
    <row r="7543" spans="1:13" ht="11.25" customHeight="1" x14ac:dyDescent="0.2">
      <c r="A7543" s="312">
        <v>2025</v>
      </c>
      <c r="B7543" s="312">
        <v>3</v>
      </c>
      <c r="C7543" s="312">
        <v>13</v>
      </c>
      <c r="D7543" s="313">
        <f t="shared" si="851"/>
        <v>45729</v>
      </c>
      <c r="E7543" s="314">
        <f t="shared" si="852"/>
        <v>45729</v>
      </c>
      <c r="F7543" s="522" t="s">
        <v>1595</v>
      </c>
      <c r="G7543" s="315" t="s">
        <v>1245</v>
      </c>
      <c r="H7543" s="316"/>
      <c r="I7543" s="316" t="s">
        <v>1253</v>
      </c>
      <c r="J7543" s="312" t="s">
        <v>1459</v>
      </c>
      <c r="K7543" s="317">
        <v>3271426.4100000262</v>
      </c>
      <c r="L7543" s="317"/>
      <c r="M7543" s="120">
        <f>BS!$I$14</f>
        <v>0</v>
      </c>
    </row>
    <row r="7544" spans="1:13" ht="11.25" customHeight="1" x14ac:dyDescent="0.2">
      <c r="A7544" s="318">
        <v>2025</v>
      </c>
      <c r="B7544" s="318">
        <v>3</v>
      </c>
      <c r="C7544" s="318">
        <v>13</v>
      </c>
      <c r="D7544" s="319">
        <f t="shared" si="851"/>
        <v>45729</v>
      </c>
      <c r="E7544" s="320">
        <f t="shared" si="852"/>
        <v>45729</v>
      </c>
      <c r="F7544" s="523"/>
      <c r="G7544" s="321" t="s">
        <v>1245</v>
      </c>
      <c r="H7544" s="322"/>
      <c r="I7544" s="322" t="s">
        <v>1253</v>
      </c>
      <c r="J7544" s="318" t="s">
        <v>1461</v>
      </c>
      <c r="K7544" s="323"/>
      <c r="L7544" s="323">
        <f>K7543</f>
        <v>3271426.4100000262</v>
      </c>
    </row>
    <row r="7545" spans="1:13" ht="11.25" customHeight="1" x14ac:dyDescent="0.2">
      <c r="A7545" s="222">
        <v>2025</v>
      </c>
      <c r="B7545" s="222">
        <v>3</v>
      </c>
      <c r="C7545" s="222">
        <v>13</v>
      </c>
      <c r="D7545" s="223">
        <f t="shared" si="851"/>
        <v>45729</v>
      </c>
      <c r="E7545" s="240">
        <f t="shared" si="852"/>
        <v>45729</v>
      </c>
      <c r="F7545" s="511" t="s">
        <v>1244</v>
      </c>
      <c r="G7545" s="225" t="s">
        <v>1245</v>
      </c>
      <c r="H7545" s="226"/>
      <c r="I7545" s="226" t="s">
        <v>1253</v>
      </c>
      <c r="J7545" s="222" t="s">
        <v>87</v>
      </c>
      <c r="K7545" s="227"/>
      <c r="L7545" s="227"/>
      <c r="M7545" s="120">
        <f>BS!$I$7</f>
        <v>0</v>
      </c>
    </row>
    <row r="7546" spans="1:13" ht="11.25" customHeight="1" x14ac:dyDescent="0.2">
      <c r="A7546" s="228">
        <v>2025</v>
      </c>
      <c r="B7546" s="228">
        <v>3</v>
      </c>
      <c r="C7546" s="228">
        <v>13</v>
      </c>
      <c r="D7546" s="229">
        <f t="shared" si="851"/>
        <v>45729</v>
      </c>
      <c r="E7546" s="241">
        <f t="shared" si="852"/>
        <v>45729</v>
      </c>
      <c r="F7546" s="512"/>
      <c r="G7546" s="231" t="s">
        <v>1245</v>
      </c>
      <c r="H7546" s="232"/>
      <c r="I7546" s="232" t="s">
        <v>1253</v>
      </c>
      <c r="J7546" s="228" t="s">
        <v>72</v>
      </c>
      <c r="K7546" s="233"/>
      <c r="L7546" s="233">
        <f>K7545</f>
        <v>0</v>
      </c>
    </row>
    <row r="7547" spans="1:13" ht="11.25" customHeight="1" x14ac:dyDescent="0.2">
      <c r="A7547" s="222">
        <v>2025</v>
      </c>
      <c r="B7547" s="222">
        <v>3</v>
      </c>
      <c r="C7547" s="222">
        <v>13</v>
      </c>
      <c r="D7547" s="223">
        <f t="shared" si="851"/>
        <v>45729</v>
      </c>
      <c r="E7547" s="240">
        <f t="shared" si="852"/>
        <v>45729</v>
      </c>
      <c r="F7547" s="511" t="s">
        <v>1246</v>
      </c>
      <c r="G7547" s="225" t="s">
        <v>1245</v>
      </c>
      <c r="H7547" s="226"/>
      <c r="I7547" s="226" t="s">
        <v>1253</v>
      </c>
      <c r="J7547" s="222" t="s">
        <v>75</v>
      </c>
      <c r="K7547" s="227">
        <v>3623.123846153846</v>
      </c>
      <c r="L7547" s="227"/>
      <c r="M7547" s="130"/>
    </row>
    <row r="7548" spans="1:13" ht="11.25" customHeight="1" x14ac:dyDescent="0.2">
      <c r="A7548" s="228">
        <v>2025</v>
      </c>
      <c r="B7548" s="228">
        <v>3</v>
      </c>
      <c r="C7548" s="228">
        <v>13</v>
      </c>
      <c r="D7548" s="229">
        <f t="shared" si="851"/>
        <v>45729</v>
      </c>
      <c r="E7548" s="241">
        <f t="shared" si="852"/>
        <v>45729</v>
      </c>
      <c r="F7548" s="512"/>
      <c r="G7548" s="231" t="s">
        <v>1245</v>
      </c>
      <c r="H7548" s="232"/>
      <c r="I7548" s="232" t="s">
        <v>1253</v>
      </c>
      <c r="J7548" s="228" t="s">
        <v>55</v>
      </c>
      <c r="K7548" s="233"/>
      <c r="L7548" s="233">
        <v>3623.123846153846</v>
      </c>
    </row>
    <row r="7549" spans="1:13" ht="11.25" customHeight="1" x14ac:dyDescent="0.2">
      <c r="A7549" s="222">
        <v>2025</v>
      </c>
      <c r="B7549" s="222">
        <v>3</v>
      </c>
      <c r="C7549" s="222">
        <v>13</v>
      </c>
      <c r="D7549" s="223">
        <f t="shared" si="851"/>
        <v>45729</v>
      </c>
      <c r="E7549" s="240">
        <f t="shared" si="852"/>
        <v>45729</v>
      </c>
      <c r="F7549" s="511" t="s">
        <v>1247</v>
      </c>
      <c r="G7549" s="225" t="s">
        <v>1245</v>
      </c>
      <c r="H7549" s="226"/>
      <c r="I7549" s="226" t="s">
        <v>1253</v>
      </c>
      <c r="J7549" s="222" t="s">
        <v>77</v>
      </c>
      <c r="K7549" s="227">
        <f>M7549</f>
        <v>55508.255393148123</v>
      </c>
      <c r="L7549" s="227"/>
      <c r="M7549" s="130">
        <v>55508.255393148123</v>
      </c>
    </row>
    <row r="7550" spans="1:13" ht="11.25" customHeight="1" x14ac:dyDescent="0.2">
      <c r="A7550" s="228">
        <v>2025</v>
      </c>
      <c r="B7550" s="228">
        <v>3</v>
      </c>
      <c r="C7550" s="228">
        <v>13</v>
      </c>
      <c r="D7550" s="229">
        <f t="shared" si="851"/>
        <v>45729</v>
      </c>
      <c r="E7550" s="241">
        <f t="shared" si="852"/>
        <v>45729</v>
      </c>
      <c r="F7550" s="512"/>
      <c r="G7550" s="231" t="s">
        <v>1245</v>
      </c>
      <c r="H7550" s="232"/>
      <c r="I7550" s="232" t="s">
        <v>1253</v>
      </c>
      <c r="J7550" s="228" t="s">
        <v>41</v>
      </c>
      <c r="K7550" s="233"/>
      <c r="L7550" s="233">
        <f>K7549</f>
        <v>55508.255393148123</v>
      </c>
      <c r="M7550" s="130">
        <v>5550.8255393148129</v>
      </c>
    </row>
    <row r="7551" spans="1:13" ht="11.25" customHeight="1" x14ac:dyDescent="0.2">
      <c r="A7551" s="222">
        <v>2025</v>
      </c>
      <c r="B7551" s="222">
        <v>3</v>
      </c>
      <c r="C7551" s="222">
        <v>13</v>
      </c>
      <c r="D7551" s="223">
        <f t="shared" si="851"/>
        <v>45729</v>
      </c>
      <c r="E7551" s="240">
        <f t="shared" si="852"/>
        <v>45729</v>
      </c>
      <c r="F7551" s="511" t="s">
        <v>1248</v>
      </c>
      <c r="G7551" s="225" t="s">
        <v>1245</v>
      </c>
      <c r="H7551" s="226"/>
      <c r="I7551" s="226" t="s">
        <v>1253</v>
      </c>
      <c r="J7551" s="222" t="s">
        <v>80</v>
      </c>
      <c r="K7551" s="227">
        <f>M7550</f>
        <v>5550.8255393148129</v>
      </c>
      <c r="L7551" s="227"/>
    </row>
    <row r="7552" spans="1:13" ht="11.25" customHeight="1" x14ac:dyDescent="0.2">
      <c r="A7552" s="228">
        <v>2025</v>
      </c>
      <c r="B7552" s="228">
        <v>3</v>
      </c>
      <c r="C7552" s="228">
        <v>13</v>
      </c>
      <c r="D7552" s="229">
        <f t="shared" si="851"/>
        <v>45729</v>
      </c>
      <c r="E7552" s="241">
        <f t="shared" si="852"/>
        <v>45729</v>
      </c>
      <c r="F7552" s="512"/>
      <c r="G7552" s="231" t="s">
        <v>1245</v>
      </c>
      <c r="H7552" s="232"/>
      <c r="I7552" s="232" t="s">
        <v>1253</v>
      </c>
      <c r="J7552" s="228" t="s">
        <v>42</v>
      </c>
      <c r="K7552" s="233"/>
      <c r="L7552" s="233">
        <f>K7551</f>
        <v>5550.8255393148129</v>
      </c>
    </row>
    <row r="7553" spans="1:15" ht="11.25" customHeight="1" x14ac:dyDescent="0.2">
      <c r="A7553" s="197">
        <v>2025</v>
      </c>
      <c r="B7553" s="197">
        <v>3</v>
      </c>
      <c r="C7553" s="197">
        <v>15</v>
      </c>
      <c r="D7553" s="198">
        <f t="shared" si="851"/>
        <v>45731</v>
      </c>
      <c r="E7553" s="209">
        <f t="shared" si="852"/>
        <v>45731</v>
      </c>
      <c r="F7553" s="513" t="s">
        <v>1296</v>
      </c>
      <c r="G7553" s="200" t="s">
        <v>1209</v>
      </c>
      <c r="H7553" s="201"/>
      <c r="I7553" s="201"/>
      <c r="J7553" s="197" t="s">
        <v>46</v>
      </c>
      <c r="K7553" s="202">
        <v>5000</v>
      </c>
      <c r="L7553" s="202"/>
    </row>
    <row r="7554" spans="1:15" ht="11.25" customHeight="1" x14ac:dyDescent="0.2">
      <c r="A7554" s="120">
        <v>2025</v>
      </c>
      <c r="B7554" s="120">
        <v>3</v>
      </c>
      <c r="C7554" s="120">
        <v>15</v>
      </c>
      <c r="D7554" s="208">
        <f t="shared" si="851"/>
        <v>45731</v>
      </c>
      <c r="E7554" s="209">
        <f t="shared" si="852"/>
        <v>45731</v>
      </c>
      <c r="F7554" s="515"/>
      <c r="G7554" s="132" t="s">
        <v>1209</v>
      </c>
      <c r="J7554" s="120" t="s">
        <v>16</v>
      </c>
      <c r="K7554" s="207"/>
      <c r="L7554" s="207">
        <v>3950</v>
      </c>
    </row>
    <row r="7555" spans="1:15" ht="11.25" customHeight="1" x14ac:dyDescent="0.2">
      <c r="A7555" s="191">
        <v>2025</v>
      </c>
      <c r="B7555" s="191">
        <v>3</v>
      </c>
      <c r="C7555" s="191">
        <v>15</v>
      </c>
      <c r="D7555" s="192">
        <f t="shared" si="851"/>
        <v>45731</v>
      </c>
      <c r="E7555" s="193">
        <f t="shared" si="852"/>
        <v>45731</v>
      </c>
      <c r="F7555" s="514"/>
      <c r="G7555" s="194" t="s">
        <v>1209</v>
      </c>
      <c r="H7555" s="195"/>
      <c r="I7555" s="195"/>
      <c r="J7555" s="191" t="s">
        <v>47</v>
      </c>
      <c r="K7555" s="196"/>
      <c r="L7555" s="196">
        <v>1050</v>
      </c>
    </row>
    <row r="7556" spans="1:15" ht="11.25" customHeight="1" x14ac:dyDescent="0.2">
      <c r="A7556" s="197">
        <v>2025</v>
      </c>
      <c r="B7556" s="197">
        <v>3</v>
      </c>
      <c r="C7556" s="197">
        <v>16</v>
      </c>
      <c r="D7556" s="198">
        <f t="shared" si="851"/>
        <v>45732</v>
      </c>
      <c r="E7556" s="209">
        <f t="shared" ref="E7556:E7558" si="853">DATE(A7556,B7556,C7556)</f>
        <v>45732</v>
      </c>
      <c r="F7556" s="513" t="s">
        <v>1296</v>
      </c>
      <c r="G7556" s="200" t="s">
        <v>1209</v>
      </c>
      <c r="H7556" s="201"/>
      <c r="I7556" s="201"/>
      <c r="J7556" s="197" t="s">
        <v>46</v>
      </c>
      <c r="K7556" s="202">
        <v>99000</v>
      </c>
      <c r="L7556" s="202"/>
    </row>
    <row r="7557" spans="1:15" ht="11.25" customHeight="1" x14ac:dyDescent="0.2">
      <c r="A7557" s="120">
        <v>2025</v>
      </c>
      <c r="B7557" s="120">
        <v>3</v>
      </c>
      <c r="C7557" s="120">
        <v>16</v>
      </c>
      <c r="D7557" s="208">
        <f t="shared" si="851"/>
        <v>45732</v>
      </c>
      <c r="E7557" s="209">
        <f t="shared" si="853"/>
        <v>45732</v>
      </c>
      <c r="F7557" s="515"/>
      <c r="G7557" s="132" t="s">
        <v>1209</v>
      </c>
      <c r="J7557" s="120" t="s">
        <v>16</v>
      </c>
      <c r="K7557" s="207"/>
      <c r="L7557" s="207">
        <v>78260</v>
      </c>
    </row>
    <row r="7558" spans="1:15" ht="11.25" customHeight="1" x14ac:dyDescent="0.2">
      <c r="A7558" s="191">
        <v>2025</v>
      </c>
      <c r="B7558" s="191">
        <v>3</v>
      </c>
      <c r="C7558" s="191">
        <v>16</v>
      </c>
      <c r="D7558" s="192">
        <f t="shared" si="851"/>
        <v>45732</v>
      </c>
      <c r="E7558" s="193">
        <f t="shared" si="853"/>
        <v>45732</v>
      </c>
      <c r="F7558" s="514"/>
      <c r="G7558" s="194" t="s">
        <v>1209</v>
      </c>
      <c r="H7558" s="195"/>
      <c r="I7558" s="195"/>
      <c r="J7558" s="191" t="s">
        <v>47</v>
      </c>
      <c r="K7558" s="196"/>
      <c r="L7558" s="196">
        <v>20740</v>
      </c>
    </row>
    <row r="7559" spans="1:15" ht="11.25" customHeight="1" x14ac:dyDescent="0.2">
      <c r="A7559" s="197">
        <v>2025</v>
      </c>
      <c r="B7559" s="197">
        <v>3</v>
      </c>
      <c r="C7559" s="197">
        <v>16</v>
      </c>
      <c r="D7559" s="198">
        <f t="shared" si="851"/>
        <v>45732</v>
      </c>
      <c r="E7559" s="199">
        <f>DATE(A7559,B7559,C7559)</f>
        <v>45732</v>
      </c>
      <c r="F7559" s="513" t="s">
        <v>1985</v>
      </c>
      <c r="G7559" s="200" t="s">
        <v>1209</v>
      </c>
      <c r="H7559" s="201"/>
      <c r="I7559" s="201"/>
      <c r="J7559" s="197" t="s">
        <v>43</v>
      </c>
      <c r="K7559" s="202">
        <v>14872.06</v>
      </c>
      <c r="L7559" s="202"/>
    </row>
    <row r="7560" spans="1:15" ht="11.25" customHeight="1" x14ac:dyDescent="0.2">
      <c r="A7560" s="191">
        <v>2025</v>
      </c>
      <c r="B7560" s="191">
        <v>3</v>
      </c>
      <c r="C7560" s="191">
        <v>16</v>
      </c>
      <c r="D7560" s="192">
        <f t="shared" si="851"/>
        <v>45732</v>
      </c>
      <c r="E7560" s="193">
        <f>DATE(A7560,B7560,C7560)</f>
        <v>45732</v>
      </c>
      <c r="F7560" s="514"/>
      <c r="G7560" s="194" t="s">
        <v>1209</v>
      </c>
      <c r="H7560" s="195"/>
      <c r="I7560" s="195"/>
      <c r="J7560" s="191" t="s">
        <v>46</v>
      </c>
      <c r="K7560" s="196"/>
      <c r="L7560" s="196">
        <v>14872.06</v>
      </c>
    </row>
    <row r="7561" spans="1:15" ht="11.25" customHeight="1" x14ac:dyDescent="0.2">
      <c r="A7561" s="197">
        <v>2025</v>
      </c>
      <c r="B7561" s="197">
        <v>3</v>
      </c>
      <c r="C7561" s="197">
        <v>16</v>
      </c>
      <c r="D7561" s="198">
        <f t="shared" si="851"/>
        <v>45732</v>
      </c>
      <c r="E7561" s="209">
        <f t="shared" ref="E7561:E7574" si="854">DATE(A7561,B7561,C7561)</f>
        <v>45732</v>
      </c>
      <c r="F7561" s="513" t="s">
        <v>1280</v>
      </c>
      <c r="G7561" s="200" t="s">
        <v>1209</v>
      </c>
      <c r="H7561" s="201"/>
      <c r="I7561" s="201" t="s">
        <v>1849</v>
      </c>
      <c r="J7561" s="197" t="s">
        <v>16</v>
      </c>
      <c r="K7561" s="202">
        <v>205550</v>
      </c>
      <c r="L7561" s="202"/>
      <c r="M7561" s="130"/>
      <c r="N7561" s="130"/>
    </row>
    <row r="7562" spans="1:15" ht="11.25" customHeight="1" x14ac:dyDescent="0.2">
      <c r="A7562" s="120">
        <v>2025</v>
      </c>
      <c r="B7562" s="120">
        <v>3</v>
      </c>
      <c r="C7562" s="120">
        <v>16</v>
      </c>
      <c r="D7562" s="208">
        <f t="shared" si="851"/>
        <v>45732</v>
      </c>
      <c r="E7562" s="209">
        <f t="shared" si="854"/>
        <v>45732</v>
      </c>
      <c r="F7562" s="515"/>
      <c r="G7562" s="132" t="s">
        <v>1209</v>
      </c>
      <c r="I7562" s="128" t="s">
        <v>1849</v>
      </c>
      <c r="J7562" s="120" t="s">
        <v>47</v>
      </c>
      <c r="K7562" s="207">
        <v>54450</v>
      </c>
      <c r="L7562" s="207"/>
      <c r="M7562" s="130"/>
      <c r="N7562" s="130"/>
    </row>
    <row r="7563" spans="1:15" ht="11.25" customHeight="1" x14ac:dyDescent="0.2">
      <c r="A7563" s="191">
        <v>2025</v>
      </c>
      <c r="B7563" s="191">
        <v>3</v>
      </c>
      <c r="C7563" s="191">
        <v>16</v>
      </c>
      <c r="D7563" s="192">
        <f t="shared" si="851"/>
        <v>45732</v>
      </c>
      <c r="E7563" s="193">
        <f t="shared" si="854"/>
        <v>45732</v>
      </c>
      <c r="F7563" s="514"/>
      <c r="G7563" s="194" t="s">
        <v>1209</v>
      </c>
      <c r="H7563" s="195"/>
      <c r="I7563" s="195" t="s">
        <v>1849</v>
      </c>
      <c r="J7563" s="191" t="s">
        <v>46</v>
      </c>
      <c r="K7563" s="196"/>
      <c r="L7563" s="196">
        <v>260000</v>
      </c>
      <c r="M7563" s="130"/>
      <c r="N7563" s="130"/>
    </row>
    <row r="7564" spans="1:15" ht="11.25" customHeight="1" x14ac:dyDescent="0.2">
      <c r="A7564" s="197">
        <v>2025</v>
      </c>
      <c r="B7564" s="197">
        <v>3</v>
      </c>
      <c r="C7564" s="197">
        <v>16</v>
      </c>
      <c r="D7564" s="198">
        <f t="shared" si="851"/>
        <v>45732</v>
      </c>
      <c r="E7564" s="290">
        <f>DATE(A7564,B7564,C7564)</f>
        <v>45732</v>
      </c>
      <c r="F7564" s="513" t="s">
        <v>1514</v>
      </c>
      <c r="G7564" s="200" t="s">
        <v>1209</v>
      </c>
      <c r="H7564" s="201"/>
      <c r="I7564" s="201"/>
      <c r="J7564" s="197" t="s">
        <v>54</v>
      </c>
      <c r="K7564" s="202">
        <v>120</v>
      </c>
      <c r="L7564" s="202"/>
      <c r="M7564" s="251"/>
      <c r="N7564" s="251"/>
      <c r="O7564" s="251"/>
    </row>
    <row r="7565" spans="1:15" ht="11.25" customHeight="1" x14ac:dyDescent="0.2">
      <c r="A7565" s="191">
        <v>2025</v>
      </c>
      <c r="B7565" s="191">
        <v>3</v>
      </c>
      <c r="C7565" s="191">
        <v>16</v>
      </c>
      <c r="D7565" s="192">
        <f t="shared" si="851"/>
        <v>45732</v>
      </c>
      <c r="E7565" s="291">
        <f>DATE(A7565,B7565,C7565)</f>
        <v>45732</v>
      </c>
      <c r="F7565" s="514"/>
      <c r="G7565" s="194" t="s">
        <v>1209</v>
      </c>
      <c r="H7565" s="195"/>
      <c r="I7565" s="195"/>
      <c r="J7565" s="191" t="s">
        <v>46</v>
      </c>
      <c r="K7565" s="196"/>
      <c r="L7565" s="196">
        <v>120</v>
      </c>
      <c r="M7565" s="251"/>
      <c r="N7565" s="251"/>
      <c r="O7565" s="251"/>
    </row>
    <row r="7566" spans="1:15" ht="11.25" customHeight="1" x14ac:dyDescent="0.2">
      <c r="A7566" s="197">
        <v>2025</v>
      </c>
      <c r="B7566" s="197">
        <v>3</v>
      </c>
      <c r="C7566" s="197">
        <v>16</v>
      </c>
      <c r="D7566" s="198">
        <f t="shared" si="851"/>
        <v>45732</v>
      </c>
      <c r="E7566" s="209">
        <f t="shared" ref="E7566:E7568" si="855">DATE(A7566,B7566,C7566)</f>
        <v>45732</v>
      </c>
      <c r="F7566" s="513" t="s">
        <v>1210</v>
      </c>
      <c r="G7566" s="200" t="s">
        <v>1209</v>
      </c>
      <c r="H7566" s="201"/>
      <c r="I7566" s="201" t="s">
        <v>1999</v>
      </c>
      <c r="J7566" s="197" t="s">
        <v>46</v>
      </c>
      <c r="K7566" s="202">
        <v>1500000</v>
      </c>
      <c r="L7566" s="202"/>
      <c r="M7566" s="130"/>
      <c r="N7566" s="130"/>
    </row>
    <row r="7567" spans="1:15" ht="11.25" customHeight="1" x14ac:dyDescent="0.2">
      <c r="A7567" s="120">
        <v>2025</v>
      </c>
      <c r="B7567" s="120">
        <v>3</v>
      </c>
      <c r="C7567" s="120">
        <v>16</v>
      </c>
      <c r="D7567" s="208">
        <f t="shared" si="851"/>
        <v>45732</v>
      </c>
      <c r="E7567" s="209">
        <f t="shared" si="855"/>
        <v>45732</v>
      </c>
      <c r="F7567" s="515"/>
      <c r="G7567" s="132" t="s">
        <v>1209</v>
      </c>
      <c r="I7567" s="128" t="s">
        <v>1999</v>
      </c>
      <c r="J7567" s="120" t="s">
        <v>16</v>
      </c>
      <c r="K7567" s="207"/>
      <c r="L7567" s="207">
        <v>1210850</v>
      </c>
      <c r="M7567" s="130"/>
      <c r="N7567" s="130"/>
    </row>
    <row r="7568" spans="1:15" ht="11.25" customHeight="1" x14ac:dyDescent="0.2">
      <c r="A7568" s="191">
        <v>2025</v>
      </c>
      <c r="B7568" s="191">
        <v>3</v>
      </c>
      <c r="C7568" s="191">
        <v>16</v>
      </c>
      <c r="D7568" s="192">
        <f t="shared" si="851"/>
        <v>45732</v>
      </c>
      <c r="E7568" s="193">
        <f t="shared" si="855"/>
        <v>45732</v>
      </c>
      <c r="F7568" s="514"/>
      <c r="G7568" s="194" t="s">
        <v>1209</v>
      </c>
      <c r="H7568" s="195"/>
      <c r="I7568" s="195" t="s">
        <v>1999</v>
      </c>
      <c r="J7568" s="191" t="s">
        <v>47</v>
      </c>
      <c r="K7568" s="196"/>
      <c r="L7568" s="196">
        <v>289150</v>
      </c>
      <c r="M7568" s="130"/>
      <c r="N7568" s="130"/>
    </row>
    <row r="7569" spans="1:15" ht="11.25" customHeight="1" x14ac:dyDescent="0.2">
      <c r="A7569" s="197">
        <v>2025</v>
      </c>
      <c r="B7569" s="197">
        <v>3</v>
      </c>
      <c r="C7569" s="197">
        <v>16</v>
      </c>
      <c r="D7569" s="198">
        <f t="shared" si="851"/>
        <v>45732</v>
      </c>
      <c r="E7569" s="209">
        <f t="shared" ref="E7569:E7571" si="856">DATE(A7569,B7569,C7569)</f>
        <v>45732</v>
      </c>
      <c r="F7569" s="513" t="s">
        <v>1210</v>
      </c>
      <c r="G7569" s="200" t="s">
        <v>1209</v>
      </c>
      <c r="H7569" s="201"/>
      <c r="I7569" s="201" t="s">
        <v>1999</v>
      </c>
      <c r="J7569" s="197" t="s">
        <v>46</v>
      </c>
      <c r="K7569" s="202">
        <v>700000</v>
      </c>
      <c r="L7569" s="202"/>
      <c r="M7569" s="130"/>
      <c r="N7569" s="130"/>
    </row>
    <row r="7570" spans="1:15" ht="11.25" customHeight="1" x14ac:dyDescent="0.2">
      <c r="A7570" s="120">
        <v>2025</v>
      </c>
      <c r="B7570" s="120">
        <v>3</v>
      </c>
      <c r="C7570" s="120">
        <v>16</v>
      </c>
      <c r="D7570" s="208">
        <f t="shared" si="851"/>
        <v>45732</v>
      </c>
      <c r="E7570" s="209">
        <f t="shared" si="856"/>
        <v>45732</v>
      </c>
      <c r="F7570" s="515"/>
      <c r="G7570" s="132" t="s">
        <v>1209</v>
      </c>
      <c r="I7570" s="128" t="s">
        <v>1999</v>
      </c>
      <c r="J7570" s="120" t="s">
        <v>16</v>
      </c>
      <c r="K7570" s="207"/>
      <c r="L7570" s="207">
        <v>565060</v>
      </c>
      <c r="M7570" s="130"/>
      <c r="N7570" s="130"/>
    </row>
    <row r="7571" spans="1:15" ht="11.25" customHeight="1" x14ac:dyDescent="0.2">
      <c r="A7571" s="191">
        <v>2025</v>
      </c>
      <c r="B7571" s="191">
        <v>3</v>
      </c>
      <c r="C7571" s="191">
        <v>16</v>
      </c>
      <c r="D7571" s="192">
        <f t="shared" si="851"/>
        <v>45732</v>
      </c>
      <c r="E7571" s="193">
        <f t="shared" si="856"/>
        <v>45732</v>
      </c>
      <c r="F7571" s="514"/>
      <c r="G7571" s="194" t="s">
        <v>1209</v>
      </c>
      <c r="H7571" s="195"/>
      <c r="I7571" s="195" t="s">
        <v>1999</v>
      </c>
      <c r="J7571" s="191" t="s">
        <v>47</v>
      </c>
      <c r="K7571" s="196"/>
      <c r="L7571" s="196">
        <v>134940</v>
      </c>
      <c r="M7571" s="130"/>
      <c r="N7571" s="130"/>
    </row>
    <row r="7572" spans="1:15" ht="11.25" customHeight="1" x14ac:dyDescent="0.2">
      <c r="A7572" s="197">
        <v>2025</v>
      </c>
      <c r="B7572" s="197">
        <v>3</v>
      </c>
      <c r="C7572" s="197">
        <v>17</v>
      </c>
      <c r="D7572" s="198">
        <f t="shared" si="851"/>
        <v>45733</v>
      </c>
      <c r="E7572" s="209">
        <f t="shared" si="854"/>
        <v>45733</v>
      </c>
      <c r="F7572" s="513" t="s">
        <v>1210</v>
      </c>
      <c r="G7572" s="200" t="s">
        <v>1209</v>
      </c>
      <c r="H7572" s="201"/>
      <c r="I7572" s="201" t="s">
        <v>1569</v>
      </c>
      <c r="J7572" s="197" t="s">
        <v>46</v>
      </c>
      <c r="K7572" s="202">
        <v>300034.28000000003</v>
      </c>
      <c r="L7572" s="202"/>
    </row>
    <row r="7573" spans="1:15" ht="11.25" customHeight="1" x14ac:dyDescent="0.2">
      <c r="A7573" s="120">
        <v>2025</v>
      </c>
      <c r="B7573" s="120">
        <v>3</v>
      </c>
      <c r="C7573" s="120">
        <v>17</v>
      </c>
      <c r="D7573" s="208">
        <f t="shared" si="851"/>
        <v>45733</v>
      </c>
      <c r="E7573" s="209">
        <f t="shared" si="854"/>
        <v>45733</v>
      </c>
      <c r="F7573" s="515"/>
      <c r="G7573" s="132" t="s">
        <v>1209</v>
      </c>
      <c r="I7573" s="128" t="s">
        <v>1569</v>
      </c>
      <c r="J7573" s="120" t="s">
        <v>16</v>
      </c>
      <c r="K7573" s="207"/>
      <c r="L7573" s="207">
        <v>237200</v>
      </c>
    </row>
    <row r="7574" spans="1:15" ht="11.25" customHeight="1" x14ac:dyDescent="0.2">
      <c r="A7574" s="191">
        <v>2025</v>
      </c>
      <c r="B7574" s="191">
        <v>3</v>
      </c>
      <c r="C7574" s="191">
        <v>17</v>
      </c>
      <c r="D7574" s="192">
        <f t="shared" si="851"/>
        <v>45733</v>
      </c>
      <c r="E7574" s="193">
        <f t="shared" si="854"/>
        <v>45733</v>
      </c>
      <c r="F7574" s="514"/>
      <c r="G7574" s="194" t="s">
        <v>1209</v>
      </c>
      <c r="H7574" s="195"/>
      <c r="I7574" s="195" t="s">
        <v>1569</v>
      </c>
      <c r="J7574" s="191" t="s">
        <v>47</v>
      </c>
      <c r="K7574" s="196"/>
      <c r="L7574" s="196">
        <v>62834.280000000028</v>
      </c>
    </row>
    <row r="7575" spans="1:15" ht="11.25" customHeight="1" x14ac:dyDescent="0.2">
      <c r="A7575" s="197">
        <v>2025</v>
      </c>
      <c r="B7575" s="197">
        <v>3</v>
      </c>
      <c r="C7575" s="197">
        <v>17</v>
      </c>
      <c r="D7575" s="198">
        <f t="shared" si="851"/>
        <v>45733</v>
      </c>
      <c r="E7575" s="209">
        <f t="shared" ref="E7575:E7577" si="857">DATE(A7575,B7575,C7575)</f>
        <v>45733</v>
      </c>
      <c r="F7575" s="513" t="s">
        <v>1280</v>
      </c>
      <c r="G7575" s="200" t="s">
        <v>1209</v>
      </c>
      <c r="H7575" s="201"/>
      <c r="I7575" s="201" t="s">
        <v>314</v>
      </c>
      <c r="J7575" s="197" t="s">
        <v>16</v>
      </c>
      <c r="K7575" s="202">
        <v>800000</v>
      </c>
      <c r="L7575" s="202"/>
      <c r="M7575" s="130"/>
      <c r="N7575" s="130"/>
    </row>
    <row r="7576" spans="1:15" ht="11.25" customHeight="1" x14ac:dyDescent="0.2">
      <c r="A7576" s="120">
        <v>2025</v>
      </c>
      <c r="B7576" s="120">
        <v>3</v>
      </c>
      <c r="C7576" s="120">
        <v>17</v>
      </c>
      <c r="D7576" s="208">
        <f t="shared" si="851"/>
        <v>45733</v>
      </c>
      <c r="E7576" s="209">
        <f t="shared" si="857"/>
        <v>45733</v>
      </c>
      <c r="F7576" s="515"/>
      <c r="G7576" s="132" t="s">
        <v>1209</v>
      </c>
      <c r="I7576" s="128" t="s">
        <v>314</v>
      </c>
      <c r="J7576" s="120" t="s">
        <v>47</v>
      </c>
      <c r="K7576" s="207">
        <v>211920</v>
      </c>
      <c r="L7576" s="207"/>
      <c r="M7576" s="130"/>
      <c r="N7576" s="130"/>
    </row>
    <row r="7577" spans="1:15" ht="11.25" customHeight="1" x14ac:dyDescent="0.2">
      <c r="A7577" s="191">
        <v>2025</v>
      </c>
      <c r="B7577" s="191">
        <v>3</v>
      </c>
      <c r="C7577" s="191">
        <v>17</v>
      </c>
      <c r="D7577" s="192">
        <f t="shared" si="851"/>
        <v>45733</v>
      </c>
      <c r="E7577" s="193">
        <f t="shared" si="857"/>
        <v>45733</v>
      </c>
      <c r="F7577" s="514"/>
      <c r="G7577" s="194" t="s">
        <v>1209</v>
      </c>
      <c r="H7577" s="195"/>
      <c r="I7577" s="195" t="s">
        <v>314</v>
      </c>
      <c r="J7577" s="191" t="s">
        <v>46</v>
      </c>
      <c r="K7577" s="196"/>
      <c r="L7577" s="196">
        <v>1011920</v>
      </c>
      <c r="M7577" s="130"/>
      <c r="N7577" s="130"/>
    </row>
    <row r="7578" spans="1:15" ht="11.25" customHeight="1" x14ac:dyDescent="0.2">
      <c r="A7578" s="197">
        <v>2025</v>
      </c>
      <c r="B7578" s="197">
        <v>3</v>
      </c>
      <c r="C7578" s="197">
        <v>17</v>
      </c>
      <c r="D7578" s="198">
        <f t="shared" si="851"/>
        <v>45733</v>
      </c>
      <c r="E7578" s="290">
        <f>DATE(A7578,B7578,C7578)</f>
        <v>45733</v>
      </c>
      <c r="F7578" s="513" t="s">
        <v>1527</v>
      </c>
      <c r="G7578" s="200" t="s">
        <v>1209</v>
      </c>
      <c r="H7578" s="201"/>
      <c r="I7578" s="201"/>
      <c r="J7578" s="197" t="s">
        <v>54</v>
      </c>
      <c r="K7578" s="202">
        <v>10</v>
      </c>
      <c r="L7578" s="202"/>
      <c r="M7578" s="251"/>
      <c r="N7578" s="251"/>
      <c r="O7578" s="251"/>
    </row>
    <row r="7579" spans="1:15" ht="11.25" customHeight="1" x14ac:dyDescent="0.2">
      <c r="A7579" s="191">
        <v>2025</v>
      </c>
      <c r="B7579" s="191">
        <v>3</v>
      </c>
      <c r="C7579" s="191">
        <v>17</v>
      </c>
      <c r="D7579" s="192">
        <f t="shared" si="851"/>
        <v>45733</v>
      </c>
      <c r="E7579" s="291">
        <f>DATE(A7579,B7579,C7579)</f>
        <v>45733</v>
      </c>
      <c r="F7579" s="514"/>
      <c r="G7579" s="194" t="s">
        <v>1209</v>
      </c>
      <c r="H7579" s="195"/>
      <c r="I7579" s="195"/>
      <c r="J7579" s="191" t="s">
        <v>46</v>
      </c>
      <c r="K7579" s="196"/>
      <c r="L7579" s="196">
        <v>10</v>
      </c>
      <c r="M7579" s="251"/>
      <c r="N7579" s="251"/>
      <c r="O7579" s="251"/>
    </row>
    <row r="7580" spans="1:15" ht="11.25" customHeight="1" x14ac:dyDescent="0.2">
      <c r="A7580" s="197">
        <v>2025</v>
      </c>
      <c r="B7580" s="197">
        <v>3</v>
      </c>
      <c r="C7580" s="197">
        <v>18</v>
      </c>
      <c r="D7580" s="198">
        <f t="shared" si="851"/>
        <v>45734</v>
      </c>
      <c r="E7580" s="199">
        <f t="shared" ref="E7580:E7585" si="858">DATE(A7580,B7580,C7580)</f>
        <v>45734</v>
      </c>
      <c r="F7580" s="513" t="s">
        <v>1972</v>
      </c>
      <c r="G7580" s="200" t="s">
        <v>1209</v>
      </c>
      <c r="H7580" s="201"/>
      <c r="I7580" s="201" t="s">
        <v>1253</v>
      </c>
      <c r="J7580" s="197" t="s">
        <v>46</v>
      </c>
      <c r="K7580" s="202">
        <v>1060825.27</v>
      </c>
      <c r="L7580" s="202"/>
    </row>
    <row r="7581" spans="1:15" ht="11.25" customHeight="1" x14ac:dyDescent="0.2">
      <c r="A7581" s="120">
        <v>2025</v>
      </c>
      <c r="B7581" s="120">
        <v>3</v>
      </c>
      <c r="C7581" s="120">
        <v>18</v>
      </c>
      <c r="D7581" s="208">
        <f t="shared" si="851"/>
        <v>45734</v>
      </c>
      <c r="E7581" s="209">
        <f t="shared" si="858"/>
        <v>45734</v>
      </c>
      <c r="F7581" s="515"/>
      <c r="G7581" s="132" t="s">
        <v>1209</v>
      </c>
      <c r="J7581" s="120" t="s">
        <v>1463</v>
      </c>
      <c r="K7581" s="328"/>
      <c r="L7581" s="207">
        <v>61026.270000000019</v>
      </c>
    </row>
    <row r="7582" spans="1:15" ht="11.25" customHeight="1" x14ac:dyDescent="0.2">
      <c r="A7582" s="191">
        <v>2025</v>
      </c>
      <c r="B7582" s="191">
        <v>3</v>
      </c>
      <c r="C7582" s="191">
        <v>18</v>
      </c>
      <c r="D7582" s="192">
        <f t="shared" si="851"/>
        <v>45734</v>
      </c>
      <c r="E7582" s="193">
        <f t="shared" si="858"/>
        <v>45734</v>
      </c>
      <c r="F7582" s="514"/>
      <c r="G7582" s="194" t="s">
        <v>1209</v>
      </c>
      <c r="H7582" s="195"/>
      <c r="I7582" s="195" t="s">
        <v>1253</v>
      </c>
      <c r="J7582" s="191" t="s">
        <v>1837</v>
      </c>
      <c r="K7582" s="196"/>
      <c r="L7582" s="196">
        <v>999799</v>
      </c>
      <c r="N7582" s="130"/>
    </row>
    <row r="7583" spans="1:15" ht="11.25" customHeight="1" x14ac:dyDescent="0.2">
      <c r="A7583" s="197">
        <v>2025</v>
      </c>
      <c r="B7583" s="197">
        <v>3</v>
      </c>
      <c r="C7583" s="197">
        <v>19</v>
      </c>
      <c r="D7583" s="198">
        <f t="shared" si="851"/>
        <v>45735</v>
      </c>
      <c r="E7583" s="209">
        <f t="shared" si="858"/>
        <v>45735</v>
      </c>
      <c r="F7583" s="513" t="s">
        <v>1280</v>
      </c>
      <c r="G7583" s="200" t="s">
        <v>1209</v>
      </c>
      <c r="H7583" s="201"/>
      <c r="I7583" s="201" t="s">
        <v>398</v>
      </c>
      <c r="J7583" s="197" t="s">
        <v>16</v>
      </c>
      <c r="K7583" s="202">
        <v>79060</v>
      </c>
      <c r="L7583" s="202"/>
      <c r="M7583" s="130"/>
      <c r="N7583" s="130"/>
    </row>
    <row r="7584" spans="1:15" ht="11.25" customHeight="1" x14ac:dyDescent="0.2">
      <c r="A7584" s="120">
        <v>2025</v>
      </c>
      <c r="B7584" s="120">
        <v>3</v>
      </c>
      <c r="C7584" s="120">
        <v>19</v>
      </c>
      <c r="D7584" s="208">
        <f t="shared" si="851"/>
        <v>45735</v>
      </c>
      <c r="E7584" s="209">
        <f t="shared" si="858"/>
        <v>45735</v>
      </c>
      <c r="F7584" s="515"/>
      <c r="G7584" s="132" t="s">
        <v>1209</v>
      </c>
      <c r="I7584" s="128" t="s">
        <v>398</v>
      </c>
      <c r="J7584" s="120" t="s">
        <v>47</v>
      </c>
      <c r="K7584" s="207">
        <v>20940</v>
      </c>
      <c r="L7584" s="207"/>
      <c r="M7584" s="130"/>
      <c r="N7584" s="130"/>
    </row>
    <row r="7585" spans="1:14" ht="11.25" customHeight="1" x14ac:dyDescent="0.2">
      <c r="A7585" s="191">
        <v>2025</v>
      </c>
      <c r="B7585" s="191">
        <v>3</v>
      </c>
      <c r="C7585" s="191">
        <v>19</v>
      </c>
      <c r="D7585" s="192">
        <f t="shared" si="851"/>
        <v>45735</v>
      </c>
      <c r="E7585" s="193">
        <f t="shared" si="858"/>
        <v>45735</v>
      </c>
      <c r="F7585" s="514"/>
      <c r="G7585" s="194" t="s">
        <v>1209</v>
      </c>
      <c r="H7585" s="195"/>
      <c r="I7585" s="195" t="s">
        <v>398</v>
      </c>
      <c r="J7585" s="191" t="s">
        <v>46</v>
      </c>
      <c r="K7585" s="196"/>
      <c r="L7585" s="196">
        <v>100000</v>
      </c>
      <c r="M7585" s="130"/>
      <c r="N7585" s="130"/>
    </row>
    <row r="7586" spans="1:14" ht="11.25" customHeight="1" x14ac:dyDescent="0.2">
      <c r="A7586" s="197">
        <v>2025</v>
      </c>
      <c r="B7586" s="197">
        <v>3</v>
      </c>
      <c r="C7586" s="197">
        <v>19</v>
      </c>
      <c r="D7586" s="198">
        <f t="shared" si="851"/>
        <v>45735</v>
      </c>
      <c r="E7586" s="209">
        <f t="shared" ref="E7586:E7588" si="859">DATE(A7586,B7586,C7586)</f>
        <v>45735</v>
      </c>
      <c r="F7586" s="513" t="s">
        <v>1280</v>
      </c>
      <c r="G7586" s="200" t="s">
        <v>1209</v>
      </c>
      <c r="H7586" s="201"/>
      <c r="I7586" s="201" t="s">
        <v>1911</v>
      </c>
      <c r="J7586" s="197" t="s">
        <v>16</v>
      </c>
      <c r="K7586" s="202">
        <v>300000</v>
      </c>
      <c r="L7586" s="202"/>
      <c r="M7586" s="130"/>
      <c r="N7586" s="130"/>
    </row>
    <row r="7587" spans="1:14" ht="11.25" customHeight="1" x14ac:dyDescent="0.2">
      <c r="A7587" s="120">
        <v>2025</v>
      </c>
      <c r="B7587" s="120">
        <v>3</v>
      </c>
      <c r="C7587" s="120">
        <v>19</v>
      </c>
      <c r="D7587" s="208">
        <f t="shared" si="851"/>
        <v>45735</v>
      </c>
      <c r="E7587" s="209">
        <f t="shared" si="859"/>
        <v>45735</v>
      </c>
      <c r="F7587" s="515"/>
      <c r="G7587" s="132" t="s">
        <v>1209</v>
      </c>
      <c r="I7587" s="128" t="s">
        <v>1911</v>
      </c>
      <c r="J7587" s="120" t="s">
        <v>47</v>
      </c>
      <c r="K7587" s="207">
        <v>79470</v>
      </c>
      <c r="L7587" s="207"/>
      <c r="M7587" s="130"/>
      <c r="N7587" s="130"/>
    </row>
    <row r="7588" spans="1:14" ht="11.25" customHeight="1" x14ac:dyDescent="0.2">
      <c r="A7588" s="191">
        <v>2025</v>
      </c>
      <c r="B7588" s="191">
        <v>3</v>
      </c>
      <c r="C7588" s="191">
        <v>19</v>
      </c>
      <c r="D7588" s="192">
        <f t="shared" si="851"/>
        <v>45735</v>
      </c>
      <c r="E7588" s="193">
        <f t="shared" si="859"/>
        <v>45735</v>
      </c>
      <c r="F7588" s="514"/>
      <c r="G7588" s="194" t="s">
        <v>1209</v>
      </c>
      <c r="H7588" s="195"/>
      <c r="I7588" s="195" t="s">
        <v>1911</v>
      </c>
      <c r="J7588" s="191" t="s">
        <v>46</v>
      </c>
      <c r="K7588" s="196"/>
      <c r="L7588" s="196">
        <v>379470</v>
      </c>
      <c r="M7588" s="130"/>
      <c r="N7588" s="130"/>
    </row>
    <row r="7589" spans="1:14" ht="11.25" customHeight="1" x14ac:dyDescent="0.2">
      <c r="A7589" s="197">
        <v>2025</v>
      </c>
      <c r="B7589" s="197">
        <v>3</v>
      </c>
      <c r="C7589" s="197">
        <v>19</v>
      </c>
      <c r="D7589" s="198">
        <f t="shared" si="851"/>
        <v>45735</v>
      </c>
      <c r="E7589" s="199">
        <f t="shared" ref="E7589:E7591" si="860">DATE(A7589,B7589,C7589)</f>
        <v>45735</v>
      </c>
      <c r="F7589" s="513" t="s">
        <v>1971</v>
      </c>
      <c r="G7589" s="200" t="s">
        <v>1209</v>
      </c>
      <c r="H7589" s="201"/>
      <c r="I7589" s="201" t="s">
        <v>1253</v>
      </c>
      <c r="J7589" s="197" t="s">
        <v>46</v>
      </c>
      <c r="K7589" s="202">
        <v>3076473.45</v>
      </c>
      <c r="L7589" s="202"/>
    </row>
    <row r="7590" spans="1:14" ht="11.25" customHeight="1" x14ac:dyDescent="0.2">
      <c r="A7590" s="120">
        <v>2025</v>
      </c>
      <c r="B7590" s="120">
        <v>3</v>
      </c>
      <c r="C7590" s="120">
        <v>19</v>
      </c>
      <c r="D7590" s="208">
        <f t="shared" si="851"/>
        <v>45735</v>
      </c>
      <c r="E7590" s="209">
        <f t="shared" si="860"/>
        <v>45735</v>
      </c>
      <c r="F7590" s="515"/>
      <c r="G7590" s="132" t="s">
        <v>1209</v>
      </c>
      <c r="J7590" s="120" t="s">
        <v>1463</v>
      </c>
      <c r="K7590" s="328"/>
      <c r="L7590" s="207">
        <v>35366.19</v>
      </c>
    </row>
    <row r="7591" spans="1:14" ht="11.25" customHeight="1" x14ac:dyDescent="0.2">
      <c r="A7591" s="191">
        <v>2025</v>
      </c>
      <c r="B7591" s="191">
        <v>3</v>
      </c>
      <c r="C7591" s="191">
        <v>19</v>
      </c>
      <c r="D7591" s="192">
        <f t="shared" si="851"/>
        <v>45735</v>
      </c>
      <c r="E7591" s="193">
        <f t="shared" si="860"/>
        <v>45735</v>
      </c>
      <c r="F7591" s="514"/>
      <c r="G7591" s="194" t="s">
        <v>1209</v>
      </c>
      <c r="H7591" s="195"/>
      <c r="I7591" s="195" t="s">
        <v>1253</v>
      </c>
      <c r="J7591" s="191" t="s">
        <v>1837</v>
      </c>
      <c r="K7591" s="196"/>
      <c r="L7591" s="196">
        <v>3041107.26</v>
      </c>
      <c r="N7591" s="130"/>
    </row>
    <row r="7592" spans="1:14" ht="11.25" customHeight="1" x14ac:dyDescent="0.2">
      <c r="A7592" s="197">
        <v>2025</v>
      </c>
      <c r="B7592" s="197">
        <v>3</v>
      </c>
      <c r="C7592" s="197">
        <v>19</v>
      </c>
      <c r="D7592" s="198">
        <f t="shared" si="851"/>
        <v>45735</v>
      </c>
      <c r="E7592" s="199">
        <f t="shared" ref="E7592:E7621" si="861">DATE(A7592,B7592,C7592)</f>
        <v>45735</v>
      </c>
      <c r="F7592" s="513" t="s">
        <v>1972</v>
      </c>
      <c r="G7592" s="200" t="s">
        <v>1209</v>
      </c>
      <c r="H7592" s="201"/>
      <c r="I7592" s="201" t="s">
        <v>1253</v>
      </c>
      <c r="J7592" s="197" t="s">
        <v>46</v>
      </c>
      <c r="K7592" s="202">
        <v>29712114.460000001</v>
      </c>
      <c r="L7592" s="202"/>
    </row>
    <row r="7593" spans="1:14" ht="11.25" customHeight="1" x14ac:dyDescent="0.2">
      <c r="A7593" s="120">
        <v>2025</v>
      </c>
      <c r="B7593" s="120">
        <v>3</v>
      </c>
      <c r="C7593" s="120">
        <v>19</v>
      </c>
      <c r="D7593" s="208">
        <f t="shared" si="851"/>
        <v>45735</v>
      </c>
      <c r="E7593" s="209">
        <f t="shared" si="861"/>
        <v>45735</v>
      </c>
      <c r="F7593" s="515"/>
      <c r="G7593" s="132" t="s">
        <v>1209</v>
      </c>
      <c r="J7593" s="120" t="s">
        <v>1463</v>
      </c>
      <c r="K7593" s="328"/>
      <c r="L7593" s="207">
        <v>1700213.25</v>
      </c>
    </row>
    <row r="7594" spans="1:14" ht="11.25" customHeight="1" x14ac:dyDescent="0.2">
      <c r="A7594" s="191">
        <v>2025</v>
      </c>
      <c r="B7594" s="191">
        <v>3</v>
      </c>
      <c r="C7594" s="191">
        <v>19</v>
      </c>
      <c r="D7594" s="192">
        <f t="shared" si="851"/>
        <v>45735</v>
      </c>
      <c r="E7594" s="193">
        <f t="shared" si="861"/>
        <v>45735</v>
      </c>
      <c r="F7594" s="514"/>
      <c r="G7594" s="194" t="s">
        <v>1209</v>
      </c>
      <c r="H7594" s="195"/>
      <c r="I7594" s="195" t="s">
        <v>1253</v>
      </c>
      <c r="J7594" s="191" t="s">
        <v>1837</v>
      </c>
      <c r="K7594" s="196"/>
      <c r="L7594" s="196">
        <v>28011901.210000001</v>
      </c>
      <c r="N7594" s="130"/>
    </row>
    <row r="7595" spans="1:14" ht="11.25" customHeight="1" x14ac:dyDescent="0.2">
      <c r="A7595" s="197">
        <v>2025</v>
      </c>
      <c r="B7595" s="197">
        <v>3</v>
      </c>
      <c r="C7595" s="197">
        <v>20</v>
      </c>
      <c r="D7595" s="198">
        <f t="shared" si="851"/>
        <v>45736</v>
      </c>
      <c r="E7595" s="209">
        <f t="shared" ref="E7595:E7597" si="862">DATE(A7595,B7595,C7595)</f>
        <v>45736</v>
      </c>
      <c r="F7595" s="513" t="s">
        <v>1280</v>
      </c>
      <c r="G7595" s="200" t="s">
        <v>1209</v>
      </c>
      <c r="H7595" s="201"/>
      <c r="I7595" s="201" t="s">
        <v>827</v>
      </c>
      <c r="J7595" s="197" t="s">
        <v>16</v>
      </c>
      <c r="K7595" s="202">
        <v>4410770</v>
      </c>
      <c r="L7595" s="202"/>
      <c r="M7595" s="130"/>
      <c r="N7595" s="130"/>
    </row>
    <row r="7596" spans="1:14" ht="11.25" customHeight="1" x14ac:dyDescent="0.2">
      <c r="A7596" s="120">
        <v>2025</v>
      </c>
      <c r="B7596" s="120">
        <v>3</v>
      </c>
      <c r="C7596" s="120">
        <v>20</v>
      </c>
      <c r="D7596" s="208">
        <f t="shared" ref="D7596:D7659" si="863">DATE(A7596,B7596,C7596)</f>
        <v>45736</v>
      </c>
      <c r="E7596" s="209">
        <f t="shared" si="862"/>
        <v>45736</v>
      </c>
      <c r="F7596" s="515"/>
      <c r="G7596" s="132" t="s">
        <v>1209</v>
      </c>
      <c r="I7596" s="128" t="s">
        <v>827</v>
      </c>
      <c r="J7596" s="120" t="s">
        <v>47</v>
      </c>
      <c r="K7596" s="207">
        <v>1168412.9699999997</v>
      </c>
      <c r="L7596" s="207"/>
      <c r="M7596" s="130"/>
      <c r="N7596" s="130"/>
    </row>
    <row r="7597" spans="1:14" ht="11.25" customHeight="1" x14ac:dyDescent="0.2">
      <c r="A7597" s="191">
        <v>2025</v>
      </c>
      <c r="B7597" s="191">
        <v>3</v>
      </c>
      <c r="C7597" s="191">
        <v>20</v>
      </c>
      <c r="D7597" s="192">
        <f t="shared" si="863"/>
        <v>45736</v>
      </c>
      <c r="E7597" s="193">
        <f t="shared" si="862"/>
        <v>45736</v>
      </c>
      <c r="F7597" s="514"/>
      <c r="G7597" s="194" t="s">
        <v>1209</v>
      </c>
      <c r="H7597" s="195"/>
      <c r="I7597" s="195" t="s">
        <v>827</v>
      </c>
      <c r="J7597" s="191" t="s">
        <v>46</v>
      </c>
      <c r="K7597" s="196"/>
      <c r="L7597" s="196">
        <v>5579182.9699999997</v>
      </c>
      <c r="M7597" s="130"/>
      <c r="N7597" s="130"/>
    </row>
    <row r="7598" spans="1:14" ht="11.25" customHeight="1" x14ac:dyDescent="0.2">
      <c r="A7598" s="197">
        <v>2025</v>
      </c>
      <c r="B7598" s="197">
        <v>3</v>
      </c>
      <c r="C7598" s="197">
        <v>20</v>
      </c>
      <c r="D7598" s="198">
        <f t="shared" si="863"/>
        <v>45736</v>
      </c>
      <c r="E7598" s="209">
        <f t="shared" si="861"/>
        <v>45736</v>
      </c>
      <c r="F7598" s="513" t="s">
        <v>1280</v>
      </c>
      <c r="G7598" s="200" t="s">
        <v>1209</v>
      </c>
      <c r="H7598" s="201"/>
      <c r="I7598" s="201" t="s">
        <v>1572</v>
      </c>
      <c r="J7598" s="197" t="s">
        <v>16</v>
      </c>
      <c r="K7598" s="202">
        <v>9290</v>
      </c>
      <c r="L7598" s="202"/>
      <c r="M7598" s="130"/>
      <c r="N7598" s="130"/>
    </row>
    <row r="7599" spans="1:14" ht="11.25" customHeight="1" x14ac:dyDescent="0.2">
      <c r="A7599" s="120">
        <v>2025</v>
      </c>
      <c r="B7599" s="120">
        <v>3</v>
      </c>
      <c r="C7599" s="120">
        <v>20</v>
      </c>
      <c r="D7599" s="208">
        <f t="shared" si="863"/>
        <v>45736</v>
      </c>
      <c r="E7599" s="209">
        <f t="shared" si="861"/>
        <v>45736</v>
      </c>
      <c r="F7599" s="515"/>
      <c r="G7599" s="132" t="s">
        <v>1209</v>
      </c>
      <c r="I7599" s="128" t="s">
        <v>1572</v>
      </c>
      <c r="J7599" s="120" t="s">
        <v>47</v>
      </c>
      <c r="K7599" s="207">
        <v>2460.92</v>
      </c>
      <c r="L7599" s="207"/>
      <c r="M7599" s="130"/>
      <c r="N7599" s="130"/>
    </row>
    <row r="7600" spans="1:14" ht="11.25" customHeight="1" x14ac:dyDescent="0.2">
      <c r="A7600" s="191">
        <v>2025</v>
      </c>
      <c r="B7600" s="191">
        <v>3</v>
      </c>
      <c r="C7600" s="191">
        <v>20</v>
      </c>
      <c r="D7600" s="192">
        <f t="shared" si="863"/>
        <v>45736</v>
      </c>
      <c r="E7600" s="193">
        <f t="shared" si="861"/>
        <v>45736</v>
      </c>
      <c r="F7600" s="514"/>
      <c r="G7600" s="194" t="s">
        <v>1209</v>
      </c>
      <c r="H7600" s="195"/>
      <c r="I7600" s="195" t="s">
        <v>1572</v>
      </c>
      <c r="J7600" s="191" t="s">
        <v>46</v>
      </c>
      <c r="K7600" s="196"/>
      <c r="L7600" s="196">
        <v>11750.92</v>
      </c>
      <c r="M7600" s="130"/>
      <c r="N7600" s="130"/>
    </row>
    <row r="7601" spans="1:14" ht="11.25" customHeight="1" x14ac:dyDescent="0.2">
      <c r="A7601" s="197">
        <v>2025</v>
      </c>
      <c r="B7601" s="197">
        <v>3</v>
      </c>
      <c r="C7601" s="197">
        <v>20</v>
      </c>
      <c r="D7601" s="198">
        <f t="shared" si="863"/>
        <v>45736</v>
      </c>
      <c r="E7601" s="209">
        <f t="shared" ref="E7601:E7603" si="864">DATE(A7601,B7601,C7601)</f>
        <v>45736</v>
      </c>
      <c r="F7601" s="513" t="s">
        <v>1280</v>
      </c>
      <c r="G7601" s="200" t="s">
        <v>1209</v>
      </c>
      <c r="H7601" s="201"/>
      <c r="I7601" s="201" t="s">
        <v>658</v>
      </c>
      <c r="J7601" s="197" t="s">
        <v>16</v>
      </c>
      <c r="K7601" s="202">
        <v>1513360</v>
      </c>
      <c r="L7601" s="202"/>
      <c r="M7601" s="130"/>
      <c r="N7601" s="130"/>
    </row>
    <row r="7602" spans="1:14" ht="11.25" customHeight="1" x14ac:dyDescent="0.2">
      <c r="A7602" s="120">
        <v>2025</v>
      </c>
      <c r="B7602" s="120">
        <v>3</v>
      </c>
      <c r="C7602" s="120">
        <v>20</v>
      </c>
      <c r="D7602" s="208">
        <f t="shared" si="863"/>
        <v>45736</v>
      </c>
      <c r="E7602" s="209">
        <f t="shared" si="864"/>
        <v>45736</v>
      </c>
      <c r="F7602" s="515"/>
      <c r="G7602" s="132" t="s">
        <v>1209</v>
      </c>
      <c r="I7602" s="128" t="s">
        <v>658</v>
      </c>
      <c r="J7602" s="120" t="s">
        <v>47</v>
      </c>
      <c r="K7602" s="207">
        <v>400893.28</v>
      </c>
      <c r="L7602" s="207"/>
      <c r="M7602" s="130"/>
      <c r="N7602" s="130"/>
    </row>
    <row r="7603" spans="1:14" ht="11.25" customHeight="1" x14ac:dyDescent="0.2">
      <c r="A7603" s="191">
        <v>2025</v>
      </c>
      <c r="B7603" s="191">
        <v>3</v>
      </c>
      <c r="C7603" s="191">
        <v>20</v>
      </c>
      <c r="D7603" s="192">
        <f t="shared" si="863"/>
        <v>45736</v>
      </c>
      <c r="E7603" s="193">
        <f t="shared" si="864"/>
        <v>45736</v>
      </c>
      <c r="F7603" s="514"/>
      <c r="G7603" s="194" t="s">
        <v>1209</v>
      </c>
      <c r="H7603" s="195"/>
      <c r="I7603" s="195" t="s">
        <v>658</v>
      </c>
      <c r="J7603" s="191" t="s">
        <v>46</v>
      </c>
      <c r="K7603" s="196"/>
      <c r="L7603" s="196">
        <v>1914253.28</v>
      </c>
      <c r="M7603" s="130"/>
      <c r="N7603" s="130"/>
    </row>
    <row r="7604" spans="1:14" ht="11.25" customHeight="1" x14ac:dyDescent="0.2">
      <c r="A7604" s="197">
        <v>2025</v>
      </c>
      <c r="B7604" s="197">
        <v>3</v>
      </c>
      <c r="C7604" s="197">
        <v>20</v>
      </c>
      <c r="D7604" s="198">
        <f t="shared" si="863"/>
        <v>45736</v>
      </c>
      <c r="E7604" s="209">
        <f t="shared" si="861"/>
        <v>45736</v>
      </c>
      <c r="F7604" s="513" t="s">
        <v>1280</v>
      </c>
      <c r="G7604" s="200" t="s">
        <v>1209</v>
      </c>
      <c r="H7604" s="201"/>
      <c r="I7604" s="201" t="s">
        <v>658</v>
      </c>
      <c r="J7604" s="197" t="s">
        <v>16</v>
      </c>
      <c r="K7604" s="202">
        <v>1513360</v>
      </c>
      <c r="L7604" s="202"/>
      <c r="M7604" s="130"/>
      <c r="N7604" s="130"/>
    </row>
    <row r="7605" spans="1:14" ht="11.25" customHeight="1" x14ac:dyDescent="0.2">
      <c r="A7605" s="120">
        <v>2025</v>
      </c>
      <c r="B7605" s="120">
        <v>3</v>
      </c>
      <c r="C7605" s="120">
        <v>20</v>
      </c>
      <c r="D7605" s="208">
        <f t="shared" si="863"/>
        <v>45736</v>
      </c>
      <c r="E7605" s="209">
        <f t="shared" si="861"/>
        <v>45736</v>
      </c>
      <c r="F7605" s="515"/>
      <c r="G7605" s="132" t="s">
        <v>1209</v>
      </c>
      <c r="I7605" s="128" t="s">
        <v>658</v>
      </c>
      <c r="J7605" s="120" t="s">
        <v>47</v>
      </c>
      <c r="K7605" s="207">
        <v>400893.28</v>
      </c>
      <c r="L7605" s="207"/>
      <c r="M7605" s="130"/>
      <c r="N7605" s="130"/>
    </row>
    <row r="7606" spans="1:14" ht="11.25" customHeight="1" x14ac:dyDescent="0.2">
      <c r="A7606" s="191">
        <v>2025</v>
      </c>
      <c r="B7606" s="191">
        <v>3</v>
      </c>
      <c r="C7606" s="191">
        <v>20</v>
      </c>
      <c r="D7606" s="192">
        <f t="shared" si="863"/>
        <v>45736</v>
      </c>
      <c r="E7606" s="193">
        <f t="shared" si="861"/>
        <v>45736</v>
      </c>
      <c r="F7606" s="514"/>
      <c r="G7606" s="194" t="s">
        <v>1209</v>
      </c>
      <c r="H7606" s="195"/>
      <c r="I7606" s="195" t="s">
        <v>658</v>
      </c>
      <c r="J7606" s="191" t="s">
        <v>46</v>
      </c>
      <c r="K7606" s="196"/>
      <c r="L7606" s="196">
        <v>1914253.28</v>
      </c>
      <c r="M7606" s="130"/>
      <c r="N7606" s="130"/>
    </row>
    <row r="7607" spans="1:14" ht="11.25" customHeight="1" x14ac:dyDescent="0.2">
      <c r="A7607" s="197">
        <v>2025</v>
      </c>
      <c r="B7607" s="197">
        <v>3</v>
      </c>
      <c r="C7607" s="197">
        <v>20</v>
      </c>
      <c r="D7607" s="198">
        <f t="shared" si="863"/>
        <v>45736</v>
      </c>
      <c r="E7607" s="209">
        <f t="shared" ref="E7607:E7609" si="865">DATE(A7607,B7607,C7607)</f>
        <v>45736</v>
      </c>
      <c r="F7607" s="513" t="s">
        <v>1280</v>
      </c>
      <c r="G7607" s="200" t="s">
        <v>1209</v>
      </c>
      <c r="H7607" s="201"/>
      <c r="I7607" s="201" t="s">
        <v>370</v>
      </c>
      <c r="J7607" s="197" t="s">
        <v>16</v>
      </c>
      <c r="K7607" s="202">
        <v>2579700</v>
      </c>
      <c r="L7607" s="202"/>
      <c r="M7607" s="130"/>
      <c r="N7607" s="130"/>
    </row>
    <row r="7608" spans="1:14" ht="11.25" customHeight="1" x14ac:dyDescent="0.2">
      <c r="A7608" s="120">
        <v>2025</v>
      </c>
      <c r="B7608" s="120">
        <v>3</v>
      </c>
      <c r="C7608" s="120">
        <v>20</v>
      </c>
      <c r="D7608" s="208">
        <f t="shared" si="863"/>
        <v>45736</v>
      </c>
      <c r="E7608" s="209">
        <f t="shared" si="865"/>
        <v>45736</v>
      </c>
      <c r="F7608" s="515"/>
      <c r="G7608" s="132" t="s">
        <v>1209</v>
      </c>
      <c r="I7608" s="128" t="s">
        <v>370</v>
      </c>
      <c r="J7608" s="120" t="s">
        <v>47</v>
      </c>
      <c r="K7608" s="207">
        <v>683356.21</v>
      </c>
      <c r="L7608" s="207"/>
      <c r="M7608" s="130"/>
      <c r="N7608" s="130"/>
    </row>
    <row r="7609" spans="1:14" ht="11.25" customHeight="1" x14ac:dyDescent="0.2">
      <c r="A7609" s="191">
        <v>2025</v>
      </c>
      <c r="B7609" s="191">
        <v>3</v>
      </c>
      <c r="C7609" s="191">
        <v>20</v>
      </c>
      <c r="D7609" s="192">
        <f t="shared" si="863"/>
        <v>45736</v>
      </c>
      <c r="E7609" s="193">
        <f t="shared" si="865"/>
        <v>45736</v>
      </c>
      <c r="F7609" s="514"/>
      <c r="G7609" s="194" t="s">
        <v>1209</v>
      </c>
      <c r="H7609" s="195"/>
      <c r="I7609" s="195" t="s">
        <v>370</v>
      </c>
      <c r="J7609" s="191" t="s">
        <v>46</v>
      </c>
      <c r="K7609" s="196"/>
      <c r="L7609" s="196">
        <v>3263056.21</v>
      </c>
      <c r="M7609" s="130"/>
      <c r="N7609" s="130"/>
    </row>
    <row r="7610" spans="1:14" ht="11.25" customHeight="1" x14ac:dyDescent="0.2">
      <c r="A7610" s="197">
        <v>2025</v>
      </c>
      <c r="B7610" s="197">
        <v>3</v>
      </c>
      <c r="C7610" s="197">
        <v>20</v>
      </c>
      <c r="D7610" s="198">
        <f t="shared" si="863"/>
        <v>45736</v>
      </c>
      <c r="E7610" s="209">
        <f t="shared" si="861"/>
        <v>45736</v>
      </c>
      <c r="F7610" s="513" t="s">
        <v>1280</v>
      </c>
      <c r="G7610" s="200" t="s">
        <v>1209</v>
      </c>
      <c r="H7610" s="201"/>
      <c r="I7610" s="201" t="s">
        <v>370</v>
      </c>
      <c r="J7610" s="197" t="s">
        <v>16</v>
      </c>
      <c r="K7610" s="202">
        <v>2579690</v>
      </c>
      <c r="L7610" s="202"/>
      <c r="M7610" s="130"/>
      <c r="N7610" s="130"/>
    </row>
    <row r="7611" spans="1:14" ht="11.25" customHeight="1" x14ac:dyDescent="0.2">
      <c r="A7611" s="120">
        <v>2025</v>
      </c>
      <c r="B7611" s="120">
        <v>3</v>
      </c>
      <c r="C7611" s="120">
        <v>20</v>
      </c>
      <c r="D7611" s="208">
        <f t="shared" si="863"/>
        <v>45736</v>
      </c>
      <c r="E7611" s="209">
        <f t="shared" si="861"/>
        <v>45736</v>
      </c>
      <c r="F7611" s="515"/>
      <c r="G7611" s="132" t="s">
        <v>1209</v>
      </c>
      <c r="I7611" s="128" t="s">
        <v>370</v>
      </c>
      <c r="J7611" s="120" t="s">
        <v>47</v>
      </c>
      <c r="K7611" s="207">
        <v>683366.21</v>
      </c>
      <c r="L7611" s="207"/>
      <c r="M7611" s="130"/>
      <c r="N7611" s="130"/>
    </row>
    <row r="7612" spans="1:14" ht="11.25" customHeight="1" x14ac:dyDescent="0.2">
      <c r="A7612" s="191">
        <v>2025</v>
      </c>
      <c r="B7612" s="191">
        <v>3</v>
      </c>
      <c r="C7612" s="191">
        <v>20</v>
      </c>
      <c r="D7612" s="192">
        <f t="shared" si="863"/>
        <v>45736</v>
      </c>
      <c r="E7612" s="193">
        <f t="shared" si="861"/>
        <v>45736</v>
      </c>
      <c r="F7612" s="514"/>
      <c r="G7612" s="194" t="s">
        <v>1209</v>
      </c>
      <c r="H7612" s="195"/>
      <c r="I7612" s="195" t="s">
        <v>370</v>
      </c>
      <c r="J7612" s="191" t="s">
        <v>46</v>
      </c>
      <c r="K7612" s="196"/>
      <c r="L7612" s="196">
        <v>3263056.21</v>
      </c>
      <c r="M7612" s="130"/>
      <c r="N7612" s="130"/>
    </row>
    <row r="7613" spans="1:14" ht="11.25" customHeight="1" x14ac:dyDescent="0.2">
      <c r="A7613" s="197">
        <v>2025</v>
      </c>
      <c r="B7613" s="197">
        <v>3</v>
      </c>
      <c r="C7613" s="197">
        <v>20</v>
      </c>
      <c r="D7613" s="198">
        <f t="shared" si="863"/>
        <v>45736</v>
      </c>
      <c r="E7613" s="209">
        <f t="shared" ref="E7613:E7615" si="866">DATE(A7613,B7613,C7613)</f>
        <v>45736</v>
      </c>
      <c r="F7613" s="513" t="s">
        <v>1280</v>
      </c>
      <c r="G7613" s="200" t="s">
        <v>1209</v>
      </c>
      <c r="H7613" s="201"/>
      <c r="I7613" s="201" t="s">
        <v>355</v>
      </c>
      <c r="J7613" s="197" t="s">
        <v>16</v>
      </c>
      <c r="K7613" s="202">
        <v>4580110</v>
      </c>
      <c r="L7613" s="202"/>
      <c r="M7613" s="130"/>
      <c r="N7613" s="130"/>
    </row>
    <row r="7614" spans="1:14" ht="11.25" customHeight="1" x14ac:dyDescent="0.2">
      <c r="A7614" s="120">
        <v>2025</v>
      </c>
      <c r="B7614" s="120">
        <v>3</v>
      </c>
      <c r="C7614" s="120">
        <v>20</v>
      </c>
      <c r="D7614" s="208">
        <f t="shared" si="863"/>
        <v>45736</v>
      </c>
      <c r="E7614" s="209">
        <f t="shared" si="866"/>
        <v>45736</v>
      </c>
      <c r="F7614" s="515"/>
      <c r="G7614" s="132" t="s">
        <v>1209</v>
      </c>
      <c r="I7614" s="128" t="s">
        <v>355</v>
      </c>
      <c r="J7614" s="120" t="s">
        <v>47</v>
      </c>
      <c r="K7614" s="207">
        <v>1213271.1399999997</v>
      </c>
      <c r="L7614" s="207"/>
      <c r="M7614" s="130"/>
      <c r="N7614" s="130"/>
    </row>
    <row r="7615" spans="1:14" ht="11.25" customHeight="1" x14ac:dyDescent="0.2">
      <c r="A7615" s="191">
        <v>2025</v>
      </c>
      <c r="B7615" s="191">
        <v>3</v>
      </c>
      <c r="C7615" s="191">
        <v>20</v>
      </c>
      <c r="D7615" s="192">
        <f t="shared" si="863"/>
        <v>45736</v>
      </c>
      <c r="E7615" s="193">
        <f t="shared" si="866"/>
        <v>45736</v>
      </c>
      <c r="F7615" s="514"/>
      <c r="G7615" s="194" t="s">
        <v>1209</v>
      </c>
      <c r="H7615" s="195"/>
      <c r="I7615" s="195" t="s">
        <v>355</v>
      </c>
      <c r="J7615" s="191" t="s">
        <v>46</v>
      </c>
      <c r="K7615" s="196"/>
      <c r="L7615" s="196">
        <v>5793381.1399999997</v>
      </c>
      <c r="M7615" s="130"/>
      <c r="N7615" s="130"/>
    </row>
    <row r="7616" spans="1:14" ht="11.25" customHeight="1" x14ac:dyDescent="0.2">
      <c r="A7616" s="197">
        <v>2025</v>
      </c>
      <c r="B7616" s="197">
        <v>3</v>
      </c>
      <c r="C7616" s="197">
        <v>20</v>
      </c>
      <c r="D7616" s="198">
        <f t="shared" si="863"/>
        <v>45736</v>
      </c>
      <c r="E7616" s="209">
        <f t="shared" si="861"/>
        <v>45736</v>
      </c>
      <c r="F7616" s="513" t="s">
        <v>1280</v>
      </c>
      <c r="G7616" s="200" t="s">
        <v>1209</v>
      </c>
      <c r="H7616" s="201"/>
      <c r="I7616" s="201" t="s">
        <v>1334</v>
      </c>
      <c r="J7616" s="197" t="s">
        <v>16</v>
      </c>
      <c r="K7616" s="202">
        <v>6281000</v>
      </c>
      <c r="L7616" s="202"/>
      <c r="M7616" s="130"/>
      <c r="N7616" s="130"/>
    </row>
    <row r="7617" spans="1:15" ht="11.25" customHeight="1" x14ac:dyDescent="0.2">
      <c r="A7617" s="120">
        <v>2025</v>
      </c>
      <c r="B7617" s="120">
        <v>3</v>
      </c>
      <c r="C7617" s="120">
        <v>20</v>
      </c>
      <c r="D7617" s="208">
        <f t="shared" si="863"/>
        <v>45736</v>
      </c>
      <c r="E7617" s="209">
        <f t="shared" si="861"/>
        <v>45736</v>
      </c>
      <c r="F7617" s="515"/>
      <c r="G7617" s="132" t="s">
        <v>1209</v>
      </c>
      <c r="I7617" s="128" t="s">
        <v>1334</v>
      </c>
      <c r="J7617" s="120" t="s">
        <v>47</v>
      </c>
      <c r="K7617" s="207">
        <v>1663836.9000000004</v>
      </c>
      <c r="L7617" s="207"/>
      <c r="M7617" s="130"/>
      <c r="N7617" s="130"/>
    </row>
    <row r="7618" spans="1:15" ht="11.25" customHeight="1" x14ac:dyDescent="0.2">
      <c r="A7618" s="191">
        <v>2025</v>
      </c>
      <c r="B7618" s="191">
        <v>3</v>
      </c>
      <c r="C7618" s="191">
        <v>20</v>
      </c>
      <c r="D7618" s="192">
        <f t="shared" si="863"/>
        <v>45736</v>
      </c>
      <c r="E7618" s="193">
        <f t="shared" si="861"/>
        <v>45736</v>
      </c>
      <c r="F7618" s="514"/>
      <c r="G7618" s="194" t="s">
        <v>1209</v>
      </c>
      <c r="H7618" s="195"/>
      <c r="I7618" s="195" t="s">
        <v>1334</v>
      </c>
      <c r="J7618" s="191" t="s">
        <v>46</v>
      </c>
      <c r="K7618" s="196"/>
      <c r="L7618" s="196">
        <v>7944836.9000000004</v>
      </c>
      <c r="M7618" s="130"/>
      <c r="N7618" s="130"/>
    </row>
    <row r="7619" spans="1:15" ht="11.25" customHeight="1" x14ac:dyDescent="0.2">
      <c r="A7619" s="197">
        <v>2025</v>
      </c>
      <c r="B7619" s="197">
        <v>3</v>
      </c>
      <c r="C7619" s="197">
        <v>20</v>
      </c>
      <c r="D7619" s="198">
        <f t="shared" si="863"/>
        <v>45736</v>
      </c>
      <c r="E7619" s="209">
        <f t="shared" si="861"/>
        <v>45736</v>
      </c>
      <c r="F7619" s="513" t="s">
        <v>1280</v>
      </c>
      <c r="G7619" s="200" t="s">
        <v>1209</v>
      </c>
      <c r="H7619" s="201"/>
      <c r="I7619" s="201" t="s">
        <v>1235</v>
      </c>
      <c r="J7619" s="197" t="s">
        <v>16</v>
      </c>
      <c r="K7619" s="202">
        <v>341550</v>
      </c>
      <c r="L7619" s="202"/>
      <c r="M7619" s="130"/>
      <c r="N7619" s="130"/>
    </row>
    <row r="7620" spans="1:15" ht="11.25" customHeight="1" x14ac:dyDescent="0.2">
      <c r="A7620" s="120">
        <v>2025</v>
      </c>
      <c r="B7620" s="120">
        <v>3</v>
      </c>
      <c r="C7620" s="120">
        <v>20</v>
      </c>
      <c r="D7620" s="208">
        <f t="shared" si="863"/>
        <v>45736</v>
      </c>
      <c r="E7620" s="209">
        <f t="shared" si="861"/>
        <v>45736</v>
      </c>
      <c r="F7620" s="515"/>
      <c r="G7620" s="132" t="s">
        <v>1209</v>
      </c>
      <c r="I7620" s="128" t="s">
        <v>1235</v>
      </c>
      <c r="J7620" s="120" t="s">
        <v>47</v>
      </c>
      <c r="K7620" s="207">
        <v>90476.599999999977</v>
      </c>
      <c r="L7620" s="207"/>
      <c r="M7620" s="130"/>
      <c r="N7620" s="130"/>
    </row>
    <row r="7621" spans="1:15" ht="11.25" customHeight="1" x14ac:dyDescent="0.2">
      <c r="A7621" s="191">
        <v>2025</v>
      </c>
      <c r="B7621" s="191">
        <v>3</v>
      </c>
      <c r="C7621" s="191">
        <v>20</v>
      </c>
      <c r="D7621" s="192">
        <f t="shared" si="863"/>
        <v>45736</v>
      </c>
      <c r="E7621" s="193">
        <f t="shared" si="861"/>
        <v>45736</v>
      </c>
      <c r="F7621" s="514"/>
      <c r="G7621" s="194" t="s">
        <v>1209</v>
      </c>
      <c r="H7621" s="195"/>
      <c r="I7621" s="195" t="s">
        <v>1235</v>
      </c>
      <c r="J7621" s="191" t="s">
        <v>46</v>
      </c>
      <c r="K7621" s="196"/>
      <c r="L7621" s="196">
        <v>432026.6</v>
      </c>
      <c r="M7621" s="130"/>
      <c r="N7621" s="130"/>
    </row>
    <row r="7622" spans="1:15" ht="11.25" customHeight="1" x14ac:dyDescent="0.2">
      <c r="A7622" s="197">
        <v>2025</v>
      </c>
      <c r="B7622" s="197">
        <v>3</v>
      </c>
      <c r="C7622" s="197">
        <v>20</v>
      </c>
      <c r="D7622" s="198">
        <f t="shared" si="863"/>
        <v>45736</v>
      </c>
      <c r="E7622" s="209">
        <f t="shared" ref="E7622:E7624" si="867">DATE(A7622,B7622,C7622)</f>
        <v>45736</v>
      </c>
      <c r="F7622" s="513" t="s">
        <v>1280</v>
      </c>
      <c r="G7622" s="200" t="s">
        <v>1209</v>
      </c>
      <c r="H7622" s="201"/>
      <c r="I7622" s="201" t="s">
        <v>658</v>
      </c>
      <c r="J7622" s="197" t="s">
        <v>16</v>
      </c>
      <c r="K7622" s="202">
        <v>1513370</v>
      </c>
      <c r="L7622" s="202"/>
      <c r="M7622" s="130"/>
      <c r="N7622" s="130"/>
    </row>
    <row r="7623" spans="1:15" ht="11.25" customHeight="1" x14ac:dyDescent="0.2">
      <c r="A7623" s="120">
        <v>2025</v>
      </c>
      <c r="B7623" s="120">
        <v>3</v>
      </c>
      <c r="C7623" s="120">
        <v>20</v>
      </c>
      <c r="D7623" s="208">
        <f t="shared" si="863"/>
        <v>45736</v>
      </c>
      <c r="E7623" s="209">
        <f t="shared" si="867"/>
        <v>45736</v>
      </c>
      <c r="F7623" s="515"/>
      <c r="G7623" s="132" t="s">
        <v>1209</v>
      </c>
      <c r="I7623" s="128" t="s">
        <v>658</v>
      </c>
      <c r="J7623" s="120" t="s">
        <v>47</v>
      </c>
      <c r="K7623" s="207">
        <v>400883.28</v>
      </c>
      <c r="L7623" s="207"/>
      <c r="M7623" s="130"/>
      <c r="N7623" s="130"/>
    </row>
    <row r="7624" spans="1:15" ht="11.25" customHeight="1" x14ac:dyDescent="0.2">
      <c r="A7624" s="191">
        <v>2025</v>
      </c>
      <c r="B7624" s="191">
        <v>3</v>
      </c>
      <c r="C7624" s="191">
        <v>20</v>
      </c>
      <c r="D7624" s="192">
        <f t="shared" si="863"/>
        <v>45736</v>
      </c>
      <c r="E7624" s="193">
        <f t="shared" si="867"/>
        <v>45736</v>
      </c>
      <c r="F7624" s="514"/>
      <c r="G7624" s="194" t="s">
        <v>1209</v>
      </c>
      <c r="H7624" s="195"/>
      <c r="I7624" s="195" t="s">
        <v>658</v>
      </c>
      <c r="J7624" s="191" t="s">
        <v>46</v>
      </c>
      <c r="K7624" s="196"/>
      <c r="L7624" s="196">
        <v>1914253.28</v>
      </c>
      <c r="M7624" s="130"/>
      <c r="N7624" s="130"/>
    </row>
    <row r="7625" spans="1:15" ht="11.25" customHeight="1" x14ac:dyDescent="0.2">
      <c r="A7625" s="197">
        <v>2025</v>
      </c>
      <c r="B7625" s="197">
        <v>3</v>
      </c>
      <c r="C7625" s="197">
        <v>20</v>
      </c>
      <c r="D7625" s="198">
        <f t="shared" si="863"/>
        <v>45736</v>
      </c>
      <c r="E7625" s="209">
        <f t="shared" ref="E7625:E7627" si="868">DATE(A7625,B7625,C7625)</f>
        <v>45736</v>
      </c>
      <c r="F7625" s="513" t="s">
        <v>1280</v>
      </c>
      <c r="G7625" s="200" t="s">
        <v>1209</v>
      </c>
      <c r="H7625" s="201"/>
      <c r="I7625" s="201" t="s">
        <v>1293</v>
      </c>
      <c r="J7625" s="197" t="s">
        <v>16</v>
      </c>
      <c r="K7625" s="202">
        <v>4743460</v>
      </c>
      <c r="L7625" s="202"/>
      <c r="M7625" s="130"/>
      <c r="N7625" s="130"/>
    </row>
    <row r="7626" spans="1:15" ht="11.25" customHeight="1" x14ac:dyDescent="0.2">
      <c r="A7626" s="120">
        <v>2025</v>
      </c>
      <c r="B7626" s="120">
        <v>3</v>
      </c>
      <c r="C7626" s="120">
        <v>20</v>
      </c>
      <c r="D7626" s="208">
        <f t="shared" si="863"/>
        <v>45736</v>
      </c>
      <c r="E7626" s="209">
        <f t="shared" si="868"/>
        <v>45736</v>
      </c>
      <c r="F7626" s="515"/>
      <c r="G7626" s="132" t="s">
        <v>1209</v>
      </c>
      <c r="I7626" s="128" t="s">
        <v>1293</v>
      </c>
      <c r="J7626" s="120" t="s">
        <v>47</v>
      </c>
      <c r="K7626" s="207">
        <v>1256540</v>
      </c>
      <c r="L7626" s="207"/>
      <c r="M7626" s="130"/>
      <c r="N7626" s="130"/>
    </row>
    <row r="7627" spans="1:15" ht="11.25" customHeight="1" x14ac:dyDescent="0.2">
      <c r="A7627" s="191">
        <v>2025</v>
      </c>
      <c r="B7627" s="191">
        <v>3</v>
      </c>
      <c r="C7627" s="191">
        <v>20</v>
      </c>
      <c r="D7627" s="192">
        <f t="shared" si="863"/>
        <v>45736</v>
      </c>
      <c r="E7627" s="193">
        <f t="shared" si="868"/>
        <v>45736</v>
      </c>
      <c r="F7627" s="514"/>
      <c r="G7627" s="194" t="s">
        <v>1209</v>
      </c>
      <c r="H7627" s="195"/>
      <c r="I7627" s="195" t="s">
        <v>1293</v>
      </c>
      <c r="J7627" s="191" t="s">
        <v>46</v>
      </c>
      <c r="K7627" s="196"/>
      <c r="L7627" s="196">
        <v>6000000</v>
      </c>
      <c r="M7627" s="130"/>
      <c r="N7627" s="130"/>
    </row>
    <row r="7628" spans="1:15" ht="11.25" customHeight="1" x14ac:dyDescent="0.2">
      <c r="A7628" s="197">
        <v>2025</v>
      </c>
      <c r="B7628" s="197">
        <v>3</v>
      </c>
      <c r="C7628" s="197">
        <v>20</v>
      </c>
      <c r="D7628" s="198">
        <f t="shared" si="863"/>
        <v>45736</v>
      </c>
      <c r="E7628" s="290">
        <f>DATE(A7628,B7628,C7628)</f>
        <v>45736</v>
      </c>
      <c r="F7628" s="513" t="s">
        <v>1514</v>
      </c>
      <c r="G7628" s="200" t="s">
        <v>1209</v>
      </c>
      <c r="H7628" s="201"/>
      <c r="I7628" s="201"/>
      <c r="J7628" s="197" t="s">
        <v>54</v>
      </c>
      <c r="K7628" s="202">
        <v>858</v>
      </c>
      <c r="L7628" s="202"/>
      <c r="M7628" s="251"/>
      <c r="N7628" s="251"/>
      <c r="O7628" s="251"/>
    </row>
    <row r="7629" spans="1:15" ht="11.25" customHeight="1" x14ac:dyDescent="0.2">
      <c r="A7629" s="191">
        <v>2025</v>
      </c>
      <c r="B7629" s="191">
        <v>3</v>
      </c>
      <c r="C7629" s="191">
        <v>20</v>
      </c>
      <c r="D7629" s="192">
        <f t="shared" si="863"/>
        <v>45736</v>
      </c>
      <c r="E7629" s="291">
        <f>DATE(A7629,B7629,C7629)</f>
        <v>45736</v>
      </c>
      <c r="F7629" s="514"/>
      <c r="G7629" s="194" t="s">
        <v>1209</v>
      </c>
      <c r="H7629" s="195"/>
      <c r="I7629" s="195"/>
      <c r="J7629" s="191" t="s">
        <v>46</v>
      </c>
      <c r="K7629" s="196"/>
      <c r="L7629" s="196">
        <v>858</v>
      </c>
      <c r="M7629" s="251"/>
      <c r="N7629" s="251"/>
      <c r="O7629" s="251"/>
    </row>
    <row r="7630" spans="1:15" ht="11.25" customHeight="1" x14ac:dyDescent="0.2">
      <c r="A7630" s="424">
        <v>2025</v>
      </c>
      <c r="B7630" s="424">
        <v>3</v>
      </c>
      <c r="C7630" s="424">
        <v>20</v>
      </c>
      <c r="D7630" s="425">
        <f t="shared" si="863"/>
        <v>45736</v>
      </c>
      <c r="E7630" s="384">
        <f t="shared" si="852"/>
        <v>45736</v>
      </c>
      <c r="F7630" s="516" t="s">
        <v>1850</v>
      </c>
      <c r="G7630" s="426" t="s">
        <v>1209</v>
      </c>
      <c r="H7630" s="427"/>
      <c r="I7630" s="427"/>
      <c r="J7630" s="428" t="s">
        <v>81</v>
      </c>
      <c r="K7630" s="429">
        <v>6973.2450980392159</v>
      </c>
      <c r="L7630" s="429"/>
      <c r="M7630" s="130"/>
    </row>
    <row r="7631" spans="1:15" ht="11.25" customHeight="1" x14ac:dyDescent="0.2">
      <c r="A7631" s="389">
        <v>2025</v>
      </c>
      <c r="B7631" s="389">
        <v>3</v>
      </c>
      <c r="C7631" s="389">
        <v>20</v>
      </c>
      <c r="D7631" s="390">
        <f t="shared" si="863"/>
        <v>45736</v>
      </c>
      <c r="E7631" s="391">
        <f t="shared" si="852"/>
        <v>45736</v>
      </c>
      <c r="F7631" s="517"/>
      <c r="G7631" s="392" t="s">
        <v>1209</v>
      </c>
      <c r="H7631" s="393"/>
      <c r="I7631" s="393"/>
      <c r="J7631" s="394" t="s">
        <v>1847</v>
      </c>
      <c r="K7631" s="423"/>
      <c r="L7631" s="423">
        <v>6973.2450980392159</v>
      </c>
    </row>
    <row r="7632" spans="1:15" ht="11.25" customHeight="1" x14ac:dyDescent="0.2">
      <c r="A7632" s="382">
        <v>2025</v>
      </c>
      <c r="B7632" s="382">
        <v>3</v>
      </c>
      <c r="C7632" s="382">
        <v>20</v>
      </c>
      <c r="D7632" s="383">
        <f t="shared" si="863"/>
        <v>45736</v>
      </c>
      <c r="E7632" s="384">
        <f t="shared" si="852"/>
        <v>45736</v>
      </c>
      <c r="F7632" s="516" t="s">
        <v>1892</v>
      </c>
      <c r="G7632" s="385" t="s">
        <v>1209</v>
      </c>
      <c r="H7632" s="386"/>
      <c r="I7632" s="386"/>
      <c r="J7632" s="387" t="s">
        <v>173</v>
      </c>
      <c r="K7632" s="388">
        <v>4868.4779206249996</v>
      </c>
      <c r="L7632" s="388"/>
      <c r="M7632" s="130"/>
    </row>
    <row r="7633" spans="1:16" ht="11.25" customHeight="1" x14ac:dyDescent="0.2">
      <c r="A7633" s="389">
        <v>2025</v>
      </c>
      <c r="B7633" s="389">
        <v>3</v>
      </c>
      <c r="C7633" s="389">
        <v>20</v>
      </c>
      <c r="D7633" s="390">
        <f t="shared" si="863"/>
        <v>45736</v>
      </c>
      <c r="E7633" s="391">
        <f t="shared" si="852"/>
        <v>45736</v>
      </c>
      <c r="F7633" s="517"/>
      <c r="G7633" s="392" t="s">
        <v>1209</v>
      </c>
      <c r="H7633" s="393"/>
      <c r="I7633" s="393"/>
      <c r="J7633" s="394" t="s">
        <v>43</v>
      </c>
      <c r="K7633" s="388"/>
      <c r="L7633" s="388">
        <f>K7632</f>
        <v>4868.4779206249996</v>
      </c>
    </row>
    <row r="7634" spans="1:16" ht="11.25" customHeight="1" x14ac:dyDescent="0.2">
      <c r="A7634" s="344">
        <v>2025</v>
      </c>
      <c r="B7634" s="344">
        <v>3</v>
      </c>
      <c r="C7634" s="344">
        <v>20</v>
      </c>
      <c r="D7634" s="345">
        <f t="shared" si="863"/>
        <v>45736</v>
      </c>
      <c r="E7634" s="346">
        <f t="shared" si="852"/>
        <v>45736</v>
      </c>
      <c r="F7634" s="518" t="s">
        <v>1982</v>
      </c>
      <c r="G7634" s="347" t="s">
        <v>1245</v>
      </c>
      <c r="H7634" s="348"/>
      <c r="I7634" s="348" t="s">
        <v>1253</v>
      </c>
      <c r="J7634" s="344" t="s">
        <v>1978</v>
      </c>
      <c r="K7634" s="349">
        <v>145230.76923076922</v>
      </c>
      <c r="L7634" s="349"/>
      <c r="M7634" s="130"/>
    </row>
    <row r="7635" spans="1:16" ht="11.25" customHeight="1" x14ac:dyDescent="0.2">
      <c r="A7635" s="350">
        <v>2025</v>
      </c>
      <c r="B7635" s="350">
        <v>3</v>
      </c>
      <c r="C7635" s="350">
        <v>20</v>
      </c>
      <c r="D7635" s="351">
        <f t="shared" si="863"/>
        <v>45736</v>
      </c>
      <c r="E7635" s="352">
        <f t="shared" si="852"/>
        <v>45736</v>
      </c>
      <c r="F7635" s="519"/>
      <c r="G7635" s="353" t="s">
        <v>1245</v>
      </c>
      <c r="H7635" s="354"/>
      <c r="I7635" s="354" t="s">
        <v>1253</v>
      </c>
      <c r="J7635" s="350" t="s">
        <v>1979</v>
      </c>
      <c r="K7635" s="355"/>
      <c r="L7635" s="355">
        <f>K7634</f>
        <v>145230.76923076922</v>
      </c>
    </row>
    <row r="7636" spans="1:16" ht="11.25" customHeight="1" x14ac:dyDescent="0.2">
      <c r="A7636" s="344">
        <v>2025</v>
      </c>
      <c r="B7636" s="344">
        <v>3</v>
      </c>
      <c r="C7636" s="344">
        <v>20</v>
      </c>
      <c r="D7636" s="345">
        <f t="shared" si="863"/>
        <v>45736</v>
      </c>
      <c r="E7636" s="346">
        <f>DATE(A7636,B7636,C7636)</f>
        <v>45736</v>
      </c>
      <c r="F7636" s="518" t="s">
        <v>1988</v>
      </c>
      <c r="G7636" s="347" t="s">
        <v>1245</v>
      </c>
      <c r="H7636" s="348"/>
      <c r="I7636" s="348" t="s">
        <v>1253</v>
      </c>
      <c r="J7636" s="344" t="s">
        <v>113</v>
      </c>
      <c r="K7636" s="349">
        <v>32846.15</v>
      </c>
      <c r="L7636" s="349"/>
      <c r="M7636" s="130"/>
    </row>
    <row r="7637" spans="1:16" ht="11.25" customHeight="1" x14ac:dyDescent="0.2">
      <c r="A7637" s="350">
        <v>2025</v>
      </c>
      <c r="B7637" s="350">
        <v>3</v>
      </c>
      <c r="C7637" s="350">
        <v>20</v>
      </c>
      <c r="D7637" s="351">
        <f t="shared" si="863"/>
        <v>45736</v>
      </c>
      <c r="E7637" s="352">
        <f>DATE(A7637,B7637,C7637)</f>
        <v>45736</v>
      </c>
      <c r="F7637" s="519"/>
      <c r="G7637" s="353" t="s">
        <v>1245</v>
      </c>
      <c r="H7637" s="354"/>
      <c r="I7637" s="354" t="s">
        <v>1253</v>
      </c>
      <c r="J7637" s="350" t="s">
        <v>153</v>
      </c>
      <c r="K7637" s="355"/>
      <c r="L7637" s="355">
        <f>K7636</f>
        <v>32846.15</v>
      </c>
    </row>
    <row r="7638" spans="1:16" ht="11.25" customHeight="1" x14ac:dyDescent="0.2">
      <c r="A7638" s="344">
        <v>2025</v>
      </c>
      <c r="B7638" s="344">
        <v>3</v>
      </c>
      <c r="C7638" s="344">
        <v>20</v>
      </c>
      <c r="D7638" s="345">
        <f t="shared" si="863"/>
        <v>45736</v>
      </c>
      <c r="E7638" s="346">
        <f t="shared" ref="E7638:E7643" si="869">DATE(A7638,B7638,C7638)</f>
        <v>45736</v>
      </c>
      <c r="F7638" s="518" t="s">
        <v>1989</v>
      </c>
      <c r="G7638" s="347" t="s">
        <v>1245</v>
      </c>
      <c r="H7638" s="348"/>
      <c r="I7638" s="348" t="s">
        <v>1253</v>
      </c>
      <c r="J7638" s="344" t="s">
        <v>113</v>
      </c>
      <c r="K7638" s="349">
        <v>23461.538461538461</v>
      </c>
      <c r="L7638" s="349"/>
      <c r="M7638" s="130"/>
    </row>
    <row r="7639" spans="1:16" ht="11.25" customHeight="1" x14ac:dyDescent="0.2">
      <c r="A7639" s="350">
        <v>2025</v>
      </c>
      <c r="B7639" s="350">
        <v>3</v>
      </c>
      <c r="C7639" s="350">
        <v>20</v>
      </c>
      <c r="D7639" s="351">
        <f t="shared" si="863"/>
        <v>45736</v>
      </c>
      <c r="E7639" s="352">
        <f t="shared" si="869"/>
        <v>45736</v>
      </c>
      <c r="F7639" s="519"/>
      <c r="G7639" s="353" t="s">
        <v>1245</v>
      </c>
      <c r="H7639" s="354"/>
      <c r="I7639" s="354" t="s">
        <v>1253</v>
      </c>
      <c r="J7639" s="350" t="s">
        <v>153</v>
      </c>
      <c r="K7639" s="355"/>
      <c r="L7639" s="355">
        <f>K7638</f>
        <v>23461.538461538461</v>
      </c>
    </row>
    <row r="7640" spans="1:16" ht="11.25" customHeight="1" x14ac:dyDescent="0.2">
      <c r="A7640" s="344">
        <v>2025</v>
      </c>
      <c r="B7640" s="344">
        <v>3</v>
      </c>
      <c r="C7640" s="344">
        <v>20</v>
      </c>
      <c r="D7640" s="345">
        <f t="shared" si="863"/>
        <v>45736</v>
      </c>
      <c r="E7640" s="346">
        <f t="shared" si="869"/>
        <v>45736</v>
      </c>
      <c r="F7640" s="518" t="s">
        <v>1990</v>
      </c>
      <c r="G7640" s="347" t="s">
        <v>1245</v>
      </c>
      <c r="H7640" s="348"/>
      <c r="I7640" s="348" t="s">
        <v>1253</v>
      </c>
      <c r="J7640" s="344" t="s">
        <v>113</v>
      </c>
      <c r="K7640" s="349">
        <v>70384.61538461539</v>
      </c>
      <c r="L7640" s="349"/>
      <c r="M7640" s="130"/>
      <c r="N7640" s="251"/>
    </row>
    <row r="7641" spans="1:16" ht="11.25" customHeight="1" x14ac:dyDescent="0.2">
      <c r="A7641" s="350">
        <v>2025</v>
      </c>
      <c r="B7641" s="350">
        <v>3</v>
      </c>
      <c r="C7641" s="350">
        <v>20</v>
      </c>
      <c r="D7641" s="351">
        <f t="shared" si="863"/>
        <v>45736</v>
      </c>
      <c r="E7641" s="352">
        <f t="shared" si="869"/>
        <v>45736</v>
      </c>
      <c r="F7641" s="519"/>
      <c r="G7641" s="353" t="s">
        <v>1245</v>
      </c>
      <c r="H7641" s="354"/>
      <c r="I7641" s="354" t="s">
        <v>1253</v>
      </c>
      <c r="J7641" s="350" t="s">
        <v>153</v>
      </c>
      <c r="K7641" s="355"/>
      <c r="L7641" s="355">
        <f>K7640</f>
        <v>70384.61538461539</v>
      </c>
    </row>
    <row r="7642" spans="1:16" ht="11.25" customHeight="1" x14ac:dyDescent="0.2">
      <c r="A7642" s="344">
        <v>2025</v>
      </c>
      <c r="B7642" s="344">
        <v>3</v>
      </c>
      <c r="C7642" s="344">
        <v>20</v>
      </c>
      <c r="D7642" s="345">
        <f t="shared" si="863"/>
        <v>45736</v>
      </c>
      <c r="E7642" s="346">
        <f t="shared" si="869"/>
        <v>45736</v>
      </c>
      <c r="F7642" s="518" t="s">
        <v>2039</v>
      </c>
      <c r="G7642" s="347" t="s">
        <v>1245</v>
      </c>
      <c r="H7642" s="348"/>
      <c r="I7642" s="348" t="s">
        <v>1253</v>
      </c>
      <c r="J7642" s="344" t="s">
        <v>113</v>
      </c>
      <c r="K7642" s="349">
        <v>9384.6153846153848</v>
      </c>
      <c r="L7642" s="349"/>
      <c r="M7642" s="130"/>
    </row>
    <row r="7643" spans="1:16" ht="11.25" customHeight="1" x14ac:dyDescent="0.2">
      <c r="A7643" s="350">
        <v>2025</v>
      </c>
      <c r="B7643" s="350">
        <v>3</v>
      </c>
      <c r="C7643" s="350">
        <v>20</v>
      </c>
      <c r="D7643" s="351">
        <f t="shared" si="863"/>
        <v>45736</v>
      </c>
      <c r="E7643" s="352">
        <f t="shared" si="869"/>
        <v>45736</v>
      </c>
      <c r="F7643" s="519"/>
      <c r="G7643" s="353" t="s">
        <v>1245</v>
      </c>
      <c r="H7643" s="354"/>
      <c r="I7643" s="354" t="s">
        <v>1253</v>
      </c>
      <c r="J7643" s="350" t="s">
        <v>153</v>
      </c>
      <c r="K7643" s="355"/>
      <c r="L7643" s="355">
        <f>K7642</f>
        <v>9384.6153846153848</v>
      </c>
    </row>
    <row r="7644" spans="1:16" ht="11.25" customHeight="1" x14ac:dyDescent="0.2">
      <c r="A7644" s="344">
        <v>2025</v>
      </c>
      <c r="B7644" s="344">
        <v>3</v>
      </c>
      <c r="C7644" s="344">
        <v>20</v>
      </c>
      <c r="D7644" s="345">
        <f t="shared" si="863"/>
        <v>45736</v>
      </c>
      <c r="E7644" s="346">
        <f>DATE(A7644,B7644,C7644)</f>
        <v>45736</v>
      </c>
      <c r="F7644" s="518" t="s">
        <v>1991</v>
      </c>
      <c r="G7644" s="347" t="s">
        <v>1245</v>
      </c>
      <c r="H7644" s="348"/>
      <c r="I7644" s="348" t="s">
        <v>1253</v>
      </c>
      <c r="J7644" s="344" t="s">
        <v>113</v>
      </c>
      <c r="K7644" s="349">
        <v>39884.620000000003</v>
      </c>
      <c r="L7644" s="349"/>
      <c r="M7644" s="130"/>
    </row>
    <row r="7645" spans="1:16" ht="11.25" customHeight="1" x14ac:dyDescent="0.2">
      <c r="A7645" s="350">
        <v>2025</v>
      </c>
      <c r="B7645" s="350">
        <v>3</v>
      </c>
      <c r="C7645" s="350">
        <v>20</v>
      </c>
      <c r="D7645" s="351">
        <f t="shared" si="863"/>
        <v>45736</v>
      </c>
      <c r="E7645" s="352">
        <f>DATE(A7645,B7645,C7645)</f>
        <v>45736</v>
      </c>
      <c r="F7645" s="519"/>
      <c r="G7645" s="353" t="s">
        <v>1245</v>
      </c>
      <c r="H7645" s="354"/>
      <c r="I7645" s="354" t="s">
        <v>1253</v>
      </c>
      <c r="J7645" s="350" t="s">
        <v>153</v>
      </c>
      <c r="K7645" s="355"/>
      <c r="L7645" s="355">
        <f>K7644</f>
        <v>39884.620000000003</v>
      </c>
    </row>
    <row r="7646" spans="1:16" ht="11.25" customHeight="1" x14ac:dyDescent="0.2">
      <c r="A7646" s="344">
        <v>2025</v>
      </c>
      <c r="B7646" s="344">
        <v>3</v>
      </c>
      <c r="C7646" s="344">
        <v>20</v>
      </c>
      <c r="D7646" s="345">
        <f t="shared" si="863"/>
        <v>45736</v>
      </c>
      <c r="E7646" s="346">
        <f t="shared" ref="E7646:E7652" si="870">DATE(A7646,B7646,C7646)</f>
        <v>45736</v>
      </c>
      <c r="F7646" s="518" t="s">
        <v>1992</v>
      </c>
      <c r="G7646" s="347" t="s">
        <v>1245</v>
      </c>
      <c r="H7646" s="348"/>
      <c r="I7646" s="348" t="s">
        <v>1253</v>
      </c>
      <c r="J7646" s="344" t="s">
        <v>113</v>
      </c>
      <c r="K7646" s="349">
        <v>22596.15</v>
      </c>
      <c r="L7646" s="349"/>
      <c r="M7646" s="130"/>
      <c r="N7646" s="251"/>
      <c r="O7646" s="251"/>
      <c r="P7646" s="251"/>
    </row>
    <row r="7647" spans="1:16" ht="11.25" customHeight="1" x14ac:dyDescent="0.2">
      <c r="A7647" s="350">
        <v>2025</v>
      </c>
      <c r="B7647" s="350">
        <v>3</v>
      </c>
      <c r="C7647" s="350">
        <v>20</v>
      </c>
      <c r="D7647" s="351">
        <f t="shared" si="863"/>
        <v>45736</v>
      </c>
      <c r="E7647" s="352">
        <f t="shared" si="870"/>
        <v>45736</v>
      </c>
      <c r="F7647" s="519"/>
      <c r="G7647" s="353" t="s">
        <v>1245</v>
      </c>
      <c r="H7647" s="354"/>
      <c r="I7647" s="354" t="s">
        <v>1253</v>
      </c>
      <c r="J7647" s="350" t="s">
        <v>153</v>
      </c>
      <c r="K7647" s="355"/>
      <c r="L7647" s="355">
        <f>K7646</f>
        <v>22596.15</v>
      </c>
    </row>
    <row r="7648" spans="1:16" ht="11.25" customHeight="1" x14ac:dyDescent="0.2">
      <c r="A7648" s="344">
        <v>2025</v>
      </c>
      <c r="B7648" s="344">
        <v>3</v>
      </c>
      <c r="C7648" s="344">
        <v>20</v>
      </c>
      <c r="D7648" s="345">
        <f t="shared" si="863"/>
        <v>45736</v>
      </c>
      <c r="E7648" s="346">
        <f t="shared" si="870"/>
        <v>45736</v>
      </c>
      <c r="F7648" s="518" t="s">
        <v>1993</v>
      </c>
      <c r="G7648" s="347" t="s">
        <v>1245</v>
      </c>
      <c r="H7648" s="348"/>
      <c r="I7648" s="348" t="s">
        <v>1253</v>
      </c>
      <c r="J7648" s="344" t="s">
        <v>113</v>
      </c>
      <c r="K7648" s="349">
        <v>23048.080000000002</v>
      </c>
      <c r="L7648" s="349"/>
      <c r="M7648" s="130"/>
    </row>
    <row r="7649" spans="1:13" ht="11.25" customHeight="1" x14ac:dyDescent="0.2">
      <c r="A7649" s="350">
        <v>2025</v>
      </c>
      <c r="B7649" s="350">
        <v>3</v>
      </c>
      <c r="C7649" s="350">
        <v>20</v>
      </c>
      <c r="D7649" s="351">
        <f t="shared" si="863"/>
        <v>45736</v>
      </c>
      <c r="E7649" s="352">
        <f t="shared" si="870"/>
        <v>45736</v>
      </c>
      <c r="F7649" s="519"/>
      <c r="G7649" s="353" t="s">
        <v>1245</v>
      </c>
      <c r="H7649" s="354"/>
      <c r="I7649" s="354" t="s">
        <v>1253</v>
      </c>
      <c r="J7649" s="350" t="s">
        <v>153</v>
      </c>
      <c r="K7649" s="355"/>
      <c r="L7649" s="355">
        <f>K7648</f>
        <v>23048.080000000002</v>
      </c>
    </row>
    <row r="7650" spans="1:13" ht="11.25" customHeight="1" x14ac:dyDescent="0.2">
      <c r="A7650" s="210">
        <v>2025</v>
      </c>
      <c r="B7650" s="210">
        <v>3</v>
      </c>
      <c r="C7650" s="210">
        <v>20</v>
      </c>
      <c r="D7650" s="211">
        <f t="shared" si="863"/>
        <v>45736</v>
      </c>
      <c r="E7650" s="238">
        <f t="shared" si="870"/>
        <v>45736</v>
      </c>
      <c r="F7650" s="520" t="s">
        <v>1278</v>
      </c>
      <c r="G7650" s="213" t="s">
        <v>1245</v>
      </c>
      <c r="H7650" s="214"/>
      <c r="I7650" s="214" t="s">
        <v>1253</v>
      </c>
      <c r="J7650" s="210" t="s">
        <v>1529</v>
      </c>
      <c r="K7650" s="215">
        <v>510.40384615384613</v>
      </c>
      <c r="L7650" s="215"/>
      <c r="M7650" s="130"/>
    </row>
    <row r="7651" spans="1:13" ht="11.25" customHeight="1" x14ac:dyDescent="0.2">
      <c r="A7651" s="216">
        <v>2025</v>
      </c>
      <c r="B7651" s="216">
        <v>3</v>
      </c>
      <c r="C7651" s="216">
        <v>20</v>
      </c>
      <c r="D7651" s="217">
        <f t="shared" si="863"/>
        <v>45736</v>
      </c>
      <c r="E7651" s="239">
        <f t="shared" si="870"/>
        <v>45736</v>
      </c>
      <c r="F7651" s="521"/>
      <c r="G7651" s="219" t="s">
        <v>1245</v>
      </c>
      <c r="H7651" s="220"/>
      <c r="I7651" s="220" t="s">
        <v>1253</v>
      </c>
      <c r="J7651" s="216" t="s">
        <v>1581</v>
      </c>
      <c r="K7651" s="221"/>
      <c r="L7651" s="221">
        <v>510.40384615384613</v>
      </c>
    </row>
    <row r="7652" spans="1:13" ht="11.25" customHeight="1" x14ac:dyDescent="0.2">
      <c r="A7652" s="210">
        <v>2025</v>
      </c>
      <c r="B7652" s="210">
        <v>3</v>
      </c>
      <c r="C7652" s="210">
        <v>20</v>
      </c>
      <c r="D7652" s="211">
        <f t="shared" si="863"/>
        <v>45736</v>
      </c>
      <c r="E7652" s="238">
        <f t="shared" si="870"/>
        <v>45736</v>
      </c>
      <c r="F7652" s="520" t="s">
        <v>1857</v>
      </c>
      <c r="G7652" s="213" t="s">
        <v>1245</v>
      </c>
      <c r="H7652" s="214"/>
      <c r="I7652" s="214" t="s">
        <v>1253</v>
      </c>
      <c r="J7652" s="210" t="s">
        <v>1284</v>
      </c>
      <c r="K7652" s="215">
        <v>2341.8114143920593</v>
      </c>
      <c r="L7652" s="215"/>
      <c r="M7652" s="130"/>
    </row>
    <row r="7653" spans="1:13" ht="11.25" customHeight="1" x14ac:dyDescent="0.2">
      <c r="A7653" s="242">
        <v>2025</v>
      </c>
      <c r="B7653" s="242">
        <v>3</v>
      </c>
      <c r="C7653" s="242">
        <v>20</v>
      </c>
      <c r="D7653" s="243">
        <f t="shared" si="863"/>
        <v>45736</v>
      </c>
      <c r="E7653" s="244">
        <f>DATE(A7653,B7653,C7653)</f>
        <v>45736</v>
      </c>
      <c r="F7653" s="524"/>
      <c r="G7653" s="245" t="s">
        <v>1245</v>
      </c>
      <c r="H7653" s="246"/>
      <c r="I7653" s="246"/>
      <c r="J7653" s="242" t="s">
        <v>1582</v>
      </c>
      <c r="K7653" s="247"/>
      <c r="L7653" s="247">
        <f>K7652</f>
        <v>2341.8114143920593</v>
      </c>
    </row>
    <row r="7654" spans="1:13" ht="11.25" customHeight="1" x14ac:dyDescent="0.2">
      <c r="A7654" s="210">
        <v>2025</v>
      </c>
      <c r="B7654" s="210">
        <v>3</v>
      </c>
      <c r="C7654" s="210">
        <v>20</v>
      </c>
      <c r="D7654" s="211">
        <f t="shared" si="863"/>
        <v>45736</v>
      </c>
      <c r="E7654" s="238">
        <f t="shared" ref="E7654:E7673" si="871">DATE(A7654,B7654,C7654)</f>
        <v>45736</v>
      </c>
      <c r="F7654" s="520" t="s">
        <v>2055</v>
      </c>
      <c r="G7654" s="213" t="s">
        <v>1245</v>
      </c>
      <c r="H7654" s="214"/>
      <c r="I7654" s="214" t="s">
        <v>1253</v>
      </c>
      <c r="J7654" s="210" t="s">
        <v>58</v>
      </c>
      <c r="K7654" s="215">
        <v>12142.51</v>
      </c>
      <c r="L7654" s="215"/>
    </row>
    <row r="7655" spans="1:13" ht="11.25" customHeight="1" x14ac:dyDescent="0.2">
      <c r="A7655" s="216">
        <v>2025</v>
      </c>
      <c r="B7655" s="216">
        <v>3</v>
      </c>
      <c r="C7655" s="216">
        <v>20</v>
      </c>
      <c r="D7655" s="217">
        <f t="shared" si="863"/>
        <v>45736</v>
      </c>
      <c r="E7655" s="239">
        <f t="shared" si="871"/>
        <v>45736</v>
      </c>
      <c r="F7655" s="521"/>
      <c r="G7655" s="219" t="s">
        <v>1245</v>
      </c>
      <c r="H7655" s="220"/>
      <c r="I7655" s="220" t="s">
        <v>1253</v>
      </c>
      <c r="J7655" s="216" t="s">
        <v>153</v>
      </c>
      <c r="K7655" s="221"/>
      <c r="L7655" s="221">
        <f>K7654</f>
        <v>12142.51</v>
      </c>
    </row>
    <row r="7656" spans="1:13" ht="11.25" customHeight="1" x14ac:dyDescent="0.2">
      <c r="A7656" s="312">
        <v>2025</v>
      </c>
      <c r="B7656" s="312">
        <v>3</v>
      </c>
      <c r="C7656" s="312">
        <v>20</v>
      </c>
      <c r="D7656" s="313">
        <f t="shared" si="863"/>
        <v>45736</v>
      </c>
      <c r="E7656" s="314">
        <f t="shared" si="871"/>
        <v>45736</v>
      </c>
      <c r="F7656" s="522" t="s">
        <v>1477</v>
      </c>
      <c r="G7656" s="315" t="s">
        <v>1245</v>
      </c>
      <c r="H7656" s="316"/>
      <c r="I7656" s="316" t="s">
        <v>1253</v>
      </c>
      <c r="J7656" s="312" t="s">
        <v>1458</v>
      </c>
      <c r="K7656" s="317">
        <v>0</v>
      </c>
      <c r="L7656" s="317"/>
      <c r="M7656" s="120">
        <f>BS!$I$11</f>
        <v>5.9604644775390625E-8</v>
      </c>
    </row>
    <row r="7657" spans="1:13" ht="11.25" customHeight="1" x14ac:dyDescent="0.2">
      <c r="A7657" s="318">
        <v>2025</v>
      </c>
      <c r="B7657" s="318">
        <v>3</v>
      </c>
      <c r="C7657" s="318">
        <v>20</v>
      </c>
      <c r="D7657" s="319">
        <f t="shared" si="863"/>
        <v>45736</v>
      </c>
      <c r="E7657" s="320">
        <f t="shared" si="871"/>
        <v>45736</v>
      </c>
      <c r="F7657" s="523"/>
      <c r="G7657" s="321" t="s">
        <v>1245</v>
      </c>
      <c r="H7657" s="322"/>
      <c r="I7657" s="322" t="s">
        <v>1253</v>
      </c>
      <c r="J7657" s="318" t="s">
        <v>1460</v>
      </c>
      <c r="K7657" s="323"/>
      <c r="L7657" s="323">
        <f>K7656</f>
        <v>0</v>
      </c>
    </row>
    <row r="7658" spans="1:13" ht="11.25" customHeight="1" x14ac:dyDescent="0.2">
      <c r="A7658" s="312">
        <v>2025</v>
      </c>
      <c r="B7658" s="312">
        <v>3</v>
      </c>
      <c r="C7658" s="312">
        <v>20</v>
      </c>
      <c r="D7658" s="313">
        <f t="shared" si="863"/>
        <v>45736</v>
      </c>
      <c r="E7658" s="314">
        <f t="shared" si="871"/>
        <v>45736</v>
      </c>
      <c r="F7658" s="522" t="s">
        <v>1595</v>
      </c>
      <c r="G7658" s="315" t="s">
        <v>1245</v>
      </c>
      <c r="H7658" s="316"/>
      <c r="I7658" s="316" t="s">
        <v>1253</v>
      </c>
      <c r="J7658" s="312" t="s">
        <v>1459</v>
      </c>
      <c r="K7658" s="317">
        <v>13010763.859000027</v>
      </c>
      <c r="L7658" s="317"/>
      <c r="M7658" s="120">
        <f>BS!$I$14</f>
        <v>0</v>
      </c>
    </row>
    <row r="7659" spans="1:13" ht="11.25" customHeight="1" x14ac:dyDescent="0.2">
      <c r="A7659" s="318">
        <v>2025</v>
      </c>
      <c r="B7659" s="318">
        <v>3</v>
      </c>
      <c r="C7659" s="318">
        <v>20</v>
      </c>
      <c r="D7659" s="319">
        <f t="shared" si="863"/>
        <v>45736</v>
      </c>
      <c r="E7659" s="320">
        <f t="shared" si="871"/>
        <v>45736</v>
      </c>
      <c r="F7659" s="523"/>
      <c r="G7659" s="321" t="s">
        <v>1245</v>
      </c>
      <c r="H7659" s="322"/>
      <c r="I7659" s="322" t="s">
        <v>1253</v>
      </c>
      <c r="J7659" s="318" t="s">
        <v>1461</v>
      </c>
      <c r="K7659" s="323"/>
      <c r="L7659" s="323">
        <f>K7658</f>
        <v>13010763.859000027</v>
      </c>
    </row>
    <row r="7660" spans="1:13" ht="11.25" customHeight="1" x14ac:dyDescent="0.2">
      <c r="A7660" s="222">
        <v>2025</v>
      </c>
      <c r="B7660" s="222">
        <v>3</v>
      </c>
      <c r="C7660" s="222">
        <v>20</v>
      </c>
      <c r="D7660" s="223">
        <f t="shared" ref="D7660:D7723" si="872">DATE(A7660,B7660,C7660)</f>
        <v>45736</v>
      </c>
      <c r="E7660" s="240">
        <f t="shared" si="871"/>
        <v>45736</v>
      </c>
      <c r="F7660" s="511" t="s">
        <v>1244</v>
      </c>
      <c r="G7660" s="225" t="s">
        <v>1245</v>
      </c>
      <c r="H7660" s="226"/>
      <c r="I7660" s="226" t="s">
        <v>1253</v>
      </c>
      <c r="J7660" s="222" t="s">
        <v>72</v>
      </c>
      <c r="K7660" s="227">
        <v>154311.15000000037</v>
      </c>
      <c r="L7660" s="227"/>
      <c r="M7660" s="120">
        <f>BS!$I$7</f>
        <v>0</v>
      </c>
    </row>
    <row r="7661" spans="1:13" ht="11.25" customHeight="1" x14ac:dyDescent="0.2">
      <c r="A7661" s="228">
        <v>2025</v>
      </c>
      <c r="B7661" s="228">
        <v>3</v>
      </c>
      <c r="C7661" s="228">
        <v>20</v>
      </c>
      <c r="D7661" s="229">
        <f t="shared" si="872"/>
        <v>45736</v>
      </c>
      <c r="E7661" s="241">
        <f t="shared" si="871"/>
        <v>45736</v>
      </c>
      <c r="F7661" s="512"/>
      <c r="G7661" s="231" t="s">
        <v>1245</v>
      </c>
      <c r="H7661" s="232"/>
      <c r="I7661" s="232" t="s">
        <v>1253</v>
      </c>
      <c r="J7661" s="228" t="s">
        <v>87</v>
      </c>
      <c r="K7661" s="233"/>
      <c r="L7661" s="233">
        <f>K7660</f>
        <v>154311.15000000037</v>
      </c>
    </row>
    <row r="7662" spans="1:13" ht="11.25" customHeight="1" x14ac:dyDescent="0.2">
      <c r="A7662" s="222">
        <v>2025</v>
      </c>
      <c r="B7662" s="222">
        <v>3</v>
      </c>
      <c r="C7662" s="222">
        <v>20</v>
      </c>
      <c r="D7662" s="223">
        <f t="shared" si="872"/>
        <v>45736</v>
      </c>
      <c r="E7662" s="240">
        <f t="shared" si="871"/>
        <v>45736</v>
      </c>
      <c r="F7662" s="511" t="s">
        <v>1246</v>
      </c>
      <c r="G7662" s="225" t="s">
        <v>1245</v>
      </c>
      <c r="H7662" s="226"/>
      <c r="I7662" s="226" t="s">
        <v>1253</v>
      </c>
      <c r="J7662" s="222" t="s">
        <v>75</v>
      </c>
      <c r="K7662" s="227">
        <v>3623.123846153846</v>
      </c>
      <c r="L7662" s="227"/>
      <c r="M7662" s="130"/>
    </row>
    <row r="7663" spans="1:13" ht="11.25" customHeight="1" x14ac:dyDescent="0.2">
      <c r="A7663" s="228">
        <v>2025</v>
      </c>
      <c r="B7663" s="228">
        <v>3</v>
      </c>
      <c r="C7663" s="228">
        <v>20</v>
      </c>
      <c r="D7663" s="229">
        <f t="shared" si="872"/>
        <v>45736</v>
      </c>
      <c r="E7663" s="241">
        <f t="shared" si="871"/>
        <v>45736</v>
      </c>
      <c r="F7663" s="512"/>
      <c r="G7663" s="231" t="s">
        <v>1245</v>
      </c>
      <c r="H7663" s="232"/>
      <c r="I7663" s="232" t="s">
        <v>1253</v>
      </c>
      <c r="J7663" s="228" t="s">
        <v>55</v>
      </c>
      <c r="K7663" s="233"/>
      <c r="L7663" s="233">
        <v>3623.123846153846</v>
      </c>
    </row>
    <row r="7664" spans="1:13" ht="11.25" customHeight="1" x14ac:dyDescent="0.2">
      <c r="A7664" s="222">
        <v>2025</v>
      </c>
      <c r="B7664" s="222">
        <v>3</v>
      </c>
      <c r="C7664" s="222">
        <v>20</v>
      </c>
      <c r="D7664" s="223">
        <f t="shared" si="872"/>
        <v>45736</v>
      </c>
      <c r="E7664" s="240">
        <f t="shared" si="871"/>
        <v>45736</v>
      </c>
      <c r="F7664" s="511" t="s">
        <v>1247</v>
      </c>
      <c r="G7664" s="225" t="s">
        <v>1245</v>
      </c>
      <c r="H7664" s="226"/>
      <c r="I7664" s="226" t="s">
        <v>1253</v>
      </c>
      <c r="J7664" s="222" t="s">
        <v>77</v>
      </c>
      <c r="K7664" s="227">
        <f>M7664</f>
        <v>50868.214188044738</v>
      </c>
      <c r="L7664" s="227"/>
      <c r="M7664" s="130">
        <v>50868.214188044738</v>
      </c>
    </row>
    <row r="7665" spans="1:15" ht="11.25" customHeight="1" x14ac:dyDescent="0.2">
      <c r="A7665" s="228">
        <v>2025</v>
      </c>
      <c r="B7665" s="228">
        <v>3</v>
      </c>
      <c r="C7665" s="228">
        <v>20</v>
      </c>
      <c r="D7665" s="229">
        <f t="shared" si="872"/>
        <v>45736</v>
      </c>
      <c r="E7665" s="241">
        <f t="shared" si="871"/>
        <v>45736</v>
      </c>
      <c r="F7665" s="512"/>
      <c r="G7665" s="231" t="s">
        <v>1245</v>
      </c>
      <c r="H7665" s="232"/>
      <c r="I7665" s="232" t="s">
        <v>1253</v>
      </c>
      <c r="J7665" s="228" t="s">
        <v>41</v>
      </c>
      <c r="K7665" s="233"/>
      <c r="L7665" s="233">
        <f>K7664</f>
        <v>50868.214188044738</v>
      </c>
      <c r="M7665" s="130">
        <v>5086.821418804474</v>
      </c>
    </row>
    <row r="7666" spans="1:15" ht="11.25" customHeight="1" x14ac:dyDescent="0.2">
      <c r="A7666" s="222">
        <v>2025</v>
      </c>
      <c r="B7666" s="222">
        <v>3</v>
      </c>
      <c r="C7666" s="222">
        <v>20</v>
      </c>
      <c r="D7666" s="223">
        <f t="shared" si="872"/>
        <v>45736</v>
      </c>
      <c r="E7666" s="240">
        <f t="shared" si="871"/>
        <v>45736</v>
      </c>
      <c r="F7666" s="511" t="s">
        <v>1248</v>
      </c>
      <c r="G7666" s="225" t="s">
        <v>1245</v>
      </c>
      <c r="H7666" s="226"/>
      <c r="I7666" s="226" t="s">
        <v>1253</v>
      </c>
      <c r="J7666" s="222" t="s">
        <v>80</v>
      </c>
      <c r="K7666" s="227">
        <f>M7665</f>
        <v>5086.821418804474</v>
      </c>
      <c r="L7666" s="227"/>
    </row>
    <row r="7667" spans="1:15" ht="11.25" customHeight="1" x14ac:dyDescent="0.2">
      <c r="A7667" s="228">
        <v>2025</v>
      </c>
      <c r="B7667" s="228">
        <v>3</v>
      </c>
      <c r="C7667" s="228">
        <v>20</v>
      </c>
      <c r="D7667" s="229">
        <f t="shared" si="872"/>
        <v>45736</v>
      </c>
      <c r="E7667" s="241">
        <f t="shared" si="871"/>
        <v>45736</v>
      </c>
      <c r="F7667" s="512"/>
      <c r="G7667" s="231" t="s">
        <v>1245</v>
      </c>
      <c r="H7667" s="232"/>
      <c r="I7667" s="232" t="s">
        <v>1253</v>
      </c>
      <c r="J7667" s="228" t="s">
        <v>42</v>
      </c>
      <c r="K7667" s="233"/>
      <c r="L7667" s="233">
        <f>K7666</f>
        <v>5086.821418804474</v>
      </c>
    </row>
    <row r="7668" spans="1:15" ht="11.25" customHeight="1" x14ac:dyDescent="0.2">
      <c r="A7668" s="197">
        <v>2025</v>
      </c>
      <c r="B7668" s="197">
        <v>3</v>
      </c>
      <c r="C7668" s="197">
        <v>23</v>
      </c>
      <c r="D7668" s="198">
        <f t="shared" si="872"/>
        <v>45739</v>
      </c>
      <c r="E7668" s="209">
        <f t="shared" si="871"/>
        <v>45739</v>
      </c>
      <c r="F7668" s="513" t="s">
        <v>1210</v>
      </c>
      <c r="G7668" s="200" t="s">
        <v>1209</v>
      </c>
      <c r="H7668" s="201"/>
      <c r="I7668" s="201" t="s">
        <v>1597</v>
      </c>
      <c r="J7668" s="197" t="s">
        <v>46</v>
      </c>
      <c r="K7668" s="202">
        <v>1203000</v>
      </c>
      <c r="L7668" s="202"/>
    </row>
    <row r="7669" spans="1:15" ht="11.25" customHeight="1" x14ac:dyDescent="0.2">
      <c r="A7669" s="120">
        <v>2025</v>
      </c>
      <c r="B7669" s="120">
        <v>3</v>
      </c>
      <c r="C7669" s="120">
        <v>23</v>
      </c>
      <c r="D7669" s="208">
        <f t="shared" si="872"/>
        <v>45739</v>
      </c>
      <c r="E7669" s="209">
        <f t="shared" si="871"/>
        <v>45739</v>
      </c>
      <c r="F7669" s="515"/>
      <c r="G7669" s="132" t="s">
        <v>1209</v>
      </c>
      <c r="I7669" s="128" t="s">
        <v>1597</v>
      </c>
      <c r="J7669" s="120" t="s">
        <v>16</v>
      </c>
      <c r="K7669" s="207"/>
      <c r="L7669" s="207">
        <v>971100</v>
      </c>
    </row>
    <row r="7670" spans="1:15" ht="11.25" customHeight="1" x14ac:dyDescent="0.2">
      <c r="A7670" s="191">
        <v>2025</v>
      </c>
      <c r="B7670" s="191">
        <v>3</v>
      </c>
      <c r="C7670" s="191">
        <v>23</v>
      </c>
      <c r="D7670" s="192">
        <f t="shared" si="872"/>
        <v>45739</v>
      </c>
      <c r="E7670" s="193">
        <f t="shared" si="871"/>
        <v>45739</v>
      </c>
      <c r="F7670" s="514"/>
      <c r="G7670" s="194" t="s">
        <v>1209</v>
      </c>
      <c r="H7670" s="195"/>
      <c r="I7670" s="195" t="s">
        <v>1597</v>
      </c>
      <c r="J7670" s="191" t="s">
        <v>47</v>
      </c>
      <c r="K7670" s="196"/>
      <c r="L7670" s="196">
        <v>231900</v>
      </c>
    </row>
    <row r="7671" spans="1:15" ht="11.25" customHeight="1" x14ac:dyDescent="0.2">
      <c r="A7671" s="197">
        <v>2025</v>
      </c>
      <c r="B7671" s="197">
        <v>3</v>
      </c>
      <c r="C7671" s="197">
        <v>23</v>
      </c>
      <c r="D7671" s="198">
        <f t="shared" si="872"/>
        <v>45739</v>
      </c>
      <c r="E7671" s="209">
        <f t="shared" si="871"/>
        <v>45739</v>
      </c>
      <c r="F7671" s="513" t="s">
        <v>1280</v>
      </c>
      <c r="G7671" s="200" t="s">
        <v>1209</v>
      </c>
      <c r="H7671" s="201"/>
      <c r="I7671" s="201" t="s">
        <v>1918</v>
      </c>
      <c r="J7671" s="197" t="s">
        <v>16</v>
      </c>
      <c r="K7671" s="202">
        <v>168760</v>
      </c>
      <c r="L7671" s="202"/>
      <c r="M7671" s="130"/>
      <c r="N7671" s="130"/>
    </row>
    <row r="7672" spans="1:15" ht="11.25" customHeight="1" x14ac:dyDescent="0.2">
      <c r="A7672" s="120">
        <v>2025</v>
      </c>
      <c r="B7672" s="120">
        <v>3</v>
      </c>
      <c r="C7672" s="120">
        <v>23</v>
      </c>
      <c r="D7672" s="208">
        <f t="shared" si="872"/>
        <v>45739</v>
      </c>
      <c r="E7672" s="209">
        <f t="shared" si="871"/>
        <v>45739</v>
      </c>
      <c r="F7672" s="515"/>
      <c r="G7672" s="132" t="s">
        <v>1209</v>
      </c>
      <c r="I7672" s="128" t="s">
        <v>1918</v>
      </c>
      <c r="J7672" s="120" t="s">
        <v>47</v>
      </c>
      <c r="K7672" s="207">
        <v>44710.01999999999</v>
      </c>
      <c r="L7672" s="207"/>
      <c r="M7672" s="130"/>
      <c r="N7672" s="130"/>
    </row>
    <row r="7673" spans="1:15" ht="11.25" customHeight="1" x14ac:dyDescent="0.2">
      <c r="A7673" s="191">
        <v>2025</v>
      </c>
      <c r="B7673" s="191">
        <v>3</v>
      </c>
      <c r="C7673" s="191">
        <v>23</v>
      </c>
      <c r="D7673" s="192">
        <f t="shared" si="872"/>
        <v>45739</v>
      </c>
      <c r="E7673" s="193">
        <f t="shared" si="871"/>
        <v>45739</v>
      </c>
      <c r="F7673" s="514"/>
      <c r="G7673" s="194" t="s">
        <v>1209</v>
      </c>
      <c r="H7673" s="195"/>
      <c r="I7673" s="195" t="s">
        <v>1918</v>
      </c>
      <c r="J7673" s="191" t="s">
        <v>46</v>
      </c>
      <c r="K7673" s="196"/>
      <c r="L7673" s="196">
        <v>213470.02</v>
      </c>
      <c r="M7673" s="130"/>
      <c r="N7673" s="130"/>
    </row>
    <row r="7674" spans="1:15" ht="11.25" customHeight="1" x14ac:dyDescent="0.2">
      <c r="A7674" s="197">
        <v>2025</v>
      </c>
      <c r="B7674" s="197">
        <v>3</v>
      </c>
      <c r="C7674" s="197">
        <v>23</v>
      </c>
      <c r="D7674" s="198">
        <f t="shared" si="872"/>
        <v>45739</v>
      </c>
      <c r="E7674" s="209">
        <f t="shared" ref="E7674:E7676" si="873">DATE(A7674,B7674,C7674)</f>
        <v>45739</v>
      </c>
      <c r="F7674" s="513" t="s">
        <v>1280</v>
      </c>
      <c r="G7674" s="200" t="s">
        <v>1209</v>
      </c>
      <c r="H7674" s="201"/>
      <c r="I7674" s="201" t="s">
        <v>1940</v>
      </c>
      <c r="J7674" s="197" t="s">
        <v>16</v>
      </c>
      <c r="K7674" s="202">
        <v>250520</v>
      </c>
      <c r="L7674" s="202"/>
      <c r="M7674" s="130"/>
      <c r="N7674" s="130"/>
    </row>
    <row r="7675" spans="1:15" ht="11.25" customHeight="1" x14ac:dyDescent="0.2">
      <c r="A7675" s="120">
        <v>2025</v>
      </c>
      <c r="B7675" s="120">
        <v>3</v>
      </c>
      <c r="C7675" s="120">
        <v>23</v>
      </c>
      <c r="D7675" s="208">
        <f t="shared" si="872"/>
        <v>45739</v>
      </c>
      <c r="E7675" s="209">
        <f t="shared" si="873"/>
        <v>45739</v>
      </c>
      <c r="F7675" s="515"/>
      <c r="G7675" s="132" t="s">
        <v>1209</v>
      </c>
      <c r="I7675" s="128" t="s">
        <v>1940</v>
      </c>
      <c r="J7675" s="120" t="s">
        <v>47</v>
      </c>
      <c r="K7675" s="207">
        <v>66365.039999999979</v>
      </c>
      <c r="L7675" s="207"/>
      <c r="M7675" s="130"/>
      <c r="N7675" s="130"/>
    </row>
    <row r="7676" spans="1:15" ht="11.25" customHeight="1" x14ac:dyDescent="0.2">
      <c r="A7676" s="191">
        <v>2025</v>
      </c>
      <c r="B7676" s="191">
        <v>3</v>
      </c>
      <c r="C7676" s="191">
        <v>23</v>
      </c>
      <c r="D7676" s="192">
        <f t="shared" si="872"/>
        <v>45739</v>
      </c>
      <c r="E7676" s="193">
        <f t="shared" si="873"/>
        <v>45739</v>
      </c>
      <c r="F7676" s="514"/>
      <c r="G7676" s="194" t="s">
        <v>1209</v>
      </c>
      <c r="H7676" s="195"/>
      <c r="I7676" s="195" t="s">
        <v>1940</v>
      </c>
      <c r="J7676" s="191" t="s">
        <v>46</v>
      </c>
      <c r="K7676" s="196"/>
      <c r="L7676" s="196">
        <v>316885.03999999998</v>
      </c>
      <c r="M7676" s="130"/>
      <c r="N7676" s="130"/>
    </row>
    <row r="7677" spans="1:15" ht="11.25" customHeight="1" x14ac:dyDescent="0.2">
      <c r="A7677" s="197">
        <v>2025</v>
      </c>
      <c r="B7677" s="197">
        <v>3</v>
      </c>
      <c r="C7677" s="197">
        <v>23</v>
      </c>
      <c r="D7677" s="198">
        <f t="shared" si="872"/>
        <v>45739</v>
      </c>
      <c r="E7677" s="209">
        <f t="shared" ref="E7677:E7684" si="874">DATE(A7677,B7677,C7677)</f>
        <v>45739</v>
      </c>
      <c r="F7677" s="513" t="s">
        <v>1210</v>
      </c>
      <c r="G7677" s="200" t="s">
        <v>1209</v>
      </c>
      <c r="H7677" s="201"/>
      <c r="I7677" s="201"/>
      <c r="J7677" s="197" t="s">
        <v>46</v>
      </c>
      <c r="K7677" s="202">
        <v>1000000</v>
      </c>
      <c r="L7677" s="202"/>
    </row>
    <row r="7678" spans="1:15" ht="11.25" customHeight="1" x14ac:dyDescent="0.2">
      <c r="A7678" s="120">
        <v>2025</v>
      </c>
      <c r="B7678" s="120">
        <v>3</v>
      </c>
      <c r="C7678" s="120">
        <v>23</v>
      </c>
      <c r="D7678" s="208">
        <f t="shared" si="872"/>
        <v>45739</v>
      </c>
      <c r="E7678" s="209">
        <f t="shared" si="874"/>
        <v>45739</v>
      </c>
      <c r="F7678" s="515"/>
      <c r="G7678" s="132" t="s">
        <v>1209</v>
      </c>
      <c r="J7678" s="120" t="s">
        <v>16</v>
      </c>
      <c r="K7678" s="207"/>
      <c r="L7678" s="207">
        <v>807230</v>
      </c>
    </row>
    <row r="7679" spans="1:15" ht="11.25" customHeight="1" x14ac:dyDescent="0.2">
      <c r="A7679" s="191">
        <v>2025</v>
      </c>
      <c r="B7679" s="191">
        <v>3</v>
      </c>
      <c r="C7679" s="191">
        <v>23</v>
      </c>
      <c r="D7679" s="192">
        <f t="shared" si="872"/>
        <v>45739</v>
      </c>
      <c r="E7679" s="193">
        <f t="shared" si="874"/>
        <v>45739</v>
      </c>
      <c r="F7679" s="514"/>
      <c r="G7679" s="194" t="s">
        <v>1209</v>
      </c>
      <c r="H7679" s="195"/>
      <c r="I7679" s="195"/>
      <c r="J7679" s="191" t="s">
        <v>47</v>
      </c>
      <c r="K7679" s="196"/>
      <c r="L7679" s="196">
        <v>192770</v>
      </c>
    </row>
    <row r="7680" spans="1:15" ht="11.25" customHeight="1" x14ac:dyDescent="0.2">
      <c r="A7680" s="197">
        <v>2025</v>
      </c>
      <c r="B7680" s="197">
        <v>3</v>
      </c>
      <c r="C7680" s="197">
        <v>23</v>
      </c>
      <c r="D7680" s="198">
        <f t="shared" si="872"/>
        <v>45739</v>
      </c>
      <c r="E7680" s="290">
        <f>DATE(A7680,B7680,C7680)</f>
        <v>45739</v>
      </c>
      <c r="F7680" s="513" t="s">
        <v>1514</v>
      </c>
      <c r="G7680" s="200" t="s">
        <v>1209</v>
      </c>
      <c r="H7680" s="201"/>
      <c r="I7680" s="201"/>
      <c r="J7680" s="197" t="s">
        <v>54</v>
      </c>
      <c r="K7680" s="202">
        <v>60</v>
      </c>
      <c r="L7680" s="202"/>
      <c r="M7680" s="251"/>
      <c r="N7680" s="251"/>
      <c r="O7680" s="251"/>
    </row>
    <row r="7681" spans="1:15" ht="11.25" customHeight="1" x14ac:dyDescent="0.2">
      <c r="A7681" s="191">
        <v>2025</v>
      </c>
      <c r="B7681" s="191">
        <v>3</v>
      </c>
      <c r="C7681" s="191">
        <v>23</v>
      </c>
      <c r="D7681" s="192">
        <f t="shared" si="872"/>
        <v>45739</v>
      </c>
      <c r="E7681" s="291">
        <f>DATE(A7681,B7681,C7681)</f>
        <v>45739</v>
      </c>
      <c r="F7681" s="514"/>
      <c r="G7681" s="194" t="s">
        <v>1209</v>
      </c>
      <c r="H7681" s="195"/>
      <c r="I7681" s="195"/>
      <c r="J7681" s="191" t="s">
        <v>46</v>
      </c>
      <c r="K7681" s="196"/>
      <c r="L7681" s="196">
        <v>60</v>
      </c>
      <c r="M7681" s="251"/>
      <c r="N7681" s="251"/>
      <c r="O7681" s="251"/>
    </row>
    <row r="7682" spans="1:15" ht="11.25" customHeight="1" x14ac:dyDescent="0.2">
      <c r="A7682" s="197">
        <v>2025</v>
      </c>
      <c r="B7682" s="197">
        <v>3</v>
      </c>
      <c r="C7682" s="197">
        <v>24</v>
      </c>
      <c r="D7682" s="198">
        <f t="shared" si="872"/>
        <v>45740</v>
      </c>
      <c r="E7682" s="209">
        <f t="shared" si="874"/>
        <v>45740</v>
      </c>
      <c r="F7682" s="513" t="s">
        <v>1280</v>
      </c>
      <c r="G7682" s="200" t="s">
        <v>1209</v>
      </c>
      <c r="H7682" s="201"/>
      <c r="I7682" s="201" t="s">
        <v>1918</v>
      </c>
      <c r="J7682" s="197" t="s">
        <v>16</v>
      </c>
      <c r="K7682" s="202">
        <v>3560</v>
      </c>
      <c r="L7682" s="202"/>
      <c r="M7682" s="130"/>
      <c r="N7682" s="130"/>
    </row>
    <row r="7683" spans="1:15" ht="11.25" customHeight="1" x14ac:dyDescent="0.2">
      <c r="A7683" s="120">
        <v>2025</v>
      </c>
      <c r="B7683" s="120">
        <v>3</v>
      </c>
      <c r="C7683" s="120">
        <v>24</v>
      </c>
      <c r="D7683" s="208">
        <f t="shared" si="872"/>
        <v>45740</v>
      </c>
      <c r="E7683" s="209">
        <f t="shared" si="874"/>
        <v>45740</v>
      </c>
      <c r="F7683" s="515"/>
      <c r="G7683" s="132" t="s">
        <v>1209</v>
      </c>
      <c r="I7683" s="128" t="s">
        <v>1918</v>
      </c>
      <c r="J7683" s="120" t="s">
        <v>47</v>
      </c>
      <c r="K7683" s="207">
        <v>937.55000000000018</v>
      </c>
      <c r="L7683" s="207"/>
      <c r="M7683" s="130"/>
      <c r="N7683" s="130"/>
    </row>
    <row r="7684" spans="1:15" ht="11.25" customHeight="1" x14ac:dyDescent="0.2">
      <c r="A7684" s="191">
        <v>2025</v>
      </c>
      <c r="B7684" s="191">
        <v>3</v>
      </c>
      <c r="C7684" s="191">
        <v>24</v>
      </c>
      <c r="D7684" s="192">
        <f t="shared" si="872"/>
        <v>45740</v>
      </c>
      <c r="E7684" s="193">
        <f t="shared" si="874"/>
        <v>45740</v>
      </c>
      <c r="F7684" s="514"/>
      <c r="G7684" s="194" t="s">
        <v>1209</v>
      </c>
      <c r="H7684" s="195"/>
      <c r="I7684" s="195" t="s">
        <v>1918</v>
      </c>
      <c r="J7684" s="191" t="s">
        <v>46</v>
      </c>
      <c r="K7684" s="196"/>
      <c r="L7684" s="196">
        <v>4497.55</v>
      </c>
      <c r="M7684" s="130"/>
      <c r="N7684" s="130"/>
    </row>
    <row r="7685" spans="1:15" ht="11.25" customHeight="1" x14ac:dyDescent="0.2">
      <c r="A7685" s="197">
        <v>2025</v>
      </c>
      <c r="B7685" s="197">
        <v>3</v>
      </c>
      <c r="C7685" s="197">
        <v>24</v>
      </c>
      <c r="D7685" s="198">
        <f t="shared" si="872"/>
        <v>45740</v>
      </c>
      <c r="E7685" s="209">
        <f t="shared" ref="E7685:E7687" si="875">DATE(A7685,B7685,C7685)</f>
        <v>45740</v>
      </c>
      <c r="F7685" s="513" t="s">
        <v>1280</v>
      </c>
      <c r="G7685" s="200" t="s">
        <v>1209</v>
      </c>
      <c r="H7685" s="201"/>
      <c r="I7685" s="201" t="s">
        <v>1236</v>
      </c>
      <c r="J7685" s="197" t="s">
        <v>16</v>
      </c>
      <c r="K7685" s="202">
        <v>807230</v>
      </c>
      <c r="L7685" s="202"/>
      <c r="M7685" s="130"/>
      <c r="N7685" s="130"/>
    </row>
    <row r="7686" spans="1:15" ht="11.25" customHeight="1" x14ac:dyDescent="0.2">
      <c r="A7686" s="120">
        <v>2025</v>
      </c>
      <c r="B7686" s="120">
        <v>3</v>
      </c>
      <c r="C7686" s="120">
        <v>24</v>
      </c>
      <c r="D7686" s="208">
        <f t="shared" si="872"/>
        <v>45740</v>
      </c>
      <c r="E7686" s="209">
        <f t="shared" si="875"/>
        <v>45740</v>
      </c>
      <c r="F7686" s="515"/>
      <c r="G7686" s="132" t="s">
        <v>1209</v>
      </c>
      <c r="I7686" s="128" t="s">
        <v>1236</v>
      </c>
      <c r="J7686" s="120" t="s">
        <v>47</v>
      </c>
      <c r="K7686" s="207">
        <v>192770</v>
      </c>
      <c r="L7686" s="207"/>
      <c r="M7686" s="130"/>
      <c r="N7686" s="130"/>
    </row>
    <row r="7687" spans="1:15" ht="11.25" customHeight="1" x14ac:dyDescent="0.2">
      <c r="A7687" s="191">
        <v>2025</v>
      </c>
      <c r="B7687" s="191">
        <v>3</v>
      </c>
      <c r="C7687" s="191">
        <v>24</v>
      </c>
      <c r="D7687" s="192">
        <f t="shared" si="872"/>
        <v>45740</v>
      </c>
      <c r="E7687" s="193">
        <f t="shared" si="875"/>
        <v>45740</v>
      </c>
      <c r="F7687" s="514"/>
      <c r="G7687" s="194" t="s">
        <v>1209</v>
      </c>
      <c r="H7687" s="195"/>
      <c r="I7687" s="195" t="s">
        <v>1236</v>
      </c>
      <c r="J7687" s="191" t="s">
        <v>46</v>
      </c>
      <c r="K7687" s="196"/>
      <c r="L7687" s="196">
        <v>1000000</v>
      </c>
      <c r="M7687" s="130"/>
      <c r="N7687" s="130"/>
    </row>
    <row r="7688" spans="1:15" ht="11.25" customHeight="1" x14ac:dyDescent="0.2">
      <c r="A7688" s="197">
        <v>2025</v>
      </c>
      <c r="B7688" s="197">
        <v>3</v>
      </c>
      <c r="C7688" s="197">
        <v>24</v>
      </c>
      <c r="D7688" s="198">
        <f t="shared" si="872"/>
        <v>45740</v>
      </c>
      <c r="E7688" s="209">
        <f>DATE(A7688,B7688,C7688)</f>
        <v>45740</v>
      </c>
      <c r="F7688" s="513" t="s">
        <v>1280</v>
      </c>
      <c r="G7688" s="200" t="s">
        <v>1209</v>
      </c>
      <c r="H7688" s="201"/>
      <c r="I7688" s="201" t="s">
        <v>1940</v>
      </c>
      <c r="J7688" s="197" t="s">
        <v>16</v>
      </c>
      <c r="K7688" s="202">
        <v>5280</v>
      </c>
      <c r="L7688" s="202"/>
      <c r="M7688" s="130"/>
      <c r="N7688" s="130"/>
    </row>
    <row r="7689" spans="1:15" ht="11.25" customHeight="1" x14ac:dyDescent="0.2">
      <c r="A7689" s="120">
        <v>2025</v>
      </c>
      <c r="B7689" s="120">
        <v>3</v>
      </c>
      <c r="C7689" s="120">
        <v>24</v>
      </c>
      <c r="D7689" s="208">
        <f t="shared" si="872"/>
        <v>45740</v>
      </c>
      <c r="E7689" s="209">
        <f>DATE(A7689,B7689,C7689)</f>
        <v>45740</v>
      </c>
      <c r="F7689" s="515"/>
      <c r="G7689" s="132" t="s">
        <v>1209</v>
      </c>
      <c r="I7689" s="128" t="s">
        <v>1940</v>
      </c>
      <c r="J7689" s="120" t="s">
        <v>47</v>
      </c>
      <c r="K7689" s="207">
        <v>1396.38</v>
      </c>
      <c r="L7689" s="207"/>
      <c r="M7689" s="130"/>
      <c r="N7689" s="130"/>
    </row>
    <row r="7690" spans="1:15" ht="11.25" customHeight="1" x14ac:dyDescent="0.2">
      <c r="A7690" s="191">
        <v>2025</v>
      </c>
      <c r="B7690" s="191">
        <v>3</v>
      </c>
      <c r="C7690" s="191">
        <v>24</v>
      </c>
      <c r="D7690" s="192">
        <f t="shared" si="872"/>
        <v>45740</v>
      </c>
      <c r="E7690" s="193">
        <f>DATE(A7690,B7690,C7690)</f>
        <v>45740</v>
      </c>
      <c r="F7690" s="514"/>
      <c r="G7690" s="194" t="s">
        <v>1209</v>
      </c>
      <c r="H7690" s="195"/>
      <c r="I7690" s="195" t="s">
        <v>1940</v>
      </c>
      <c r="J7690" s="191" t="s">
        <v>46</v>
      </c>
      <c r="K7690" s="196"/>
      <c r="L7690" s="196">
        <v>6676.38</v>
      </c>
      <c r="M7690" s="130"/>
      <c r="N7690" s="130"/>
    </row>
    <row r="7691" spans="1:15" ht="11.25" customHeight="1" x14ac:dyDescent="0.2">
      <c r="A7691" s="197">
        <v>2025</v>
      </c>
      <c r="B7691" s="197">
        <v>3</v>
      </c>
      <c r="C7691" s="197">
        <v>25</v>
      </c>
      <c r="D7691" s="198">
        <f t="shared" si="872"/>
        <v>45741</v>
      </c>
      <c r="E7691" s="290">
        <f t="shared" ref="E7691:E7692" si="876">DATE(A7691,B7691,C7691)</f>
        <v>45741</v>
      </c>
      <c r="F7691" s="513" t="s">
        <v>2000</v>
      </c>
      <c r="G7691" s="200" t="s">
        <v>1209</v>
      </c>
      <c r="H7691" s="201"/>
      <c r="I7691" s="201" t="s">
        <v>1253</v>
      </c>
      <c r="J7691" s="197" t="s">
        <v>46</v>
      </c>
      <c r="K7691" s="202">
        <v>105601.68</v>
      </c>
      <c r="L7691" s="202"/>
    </row>
    <row r="7692" spans="1:15" ht="11.25" customHeight="1" x14ac:dyDescent="0.2">
      <c r="A7692" s="191">
        <v>2025</v>
      </c>
      <c r="B7692" s="191">
        <v>3</v>
      </c>
      <c r="C7692" s="191">
        <v>25</v>
      </c>
      <c r="D7692" s="192">
        <f t="shared" si="872"/>
        <v>45741</v>
      </c>
      <c r="E7692" s="291">
        <f t="shared" si="876"/>
        <v>45741</v>
      </c>
      <c r="F7692" s="513"/>
      <c r="G7692" s="194" t="s">
        <v>1209</v>
      </c>
      <c r="H7692" s="195"/>
      <c r="I7692" s="195" t="s">
        <v>1253</v>
      </c>
      <c r="J7692" s="191" t="s">
        <v>113</v>
      </c>
      <c r="K7692" s="196"/>
      <c r="L7692" s="196">
        <v>105601.68</v>
      </c>
    </row>
    <row r="7693" spans="1:15" ht="11.25" customHeight="1" x14ac:dyDescent="0.2">
      <c r="A7693" s="197">
        <v>2025</v>
      </c>
      <c r="B7693" s="197">
        <v>3</v>
      </c>
      <c r="C7693" s="197">
        <v>25</v>
      </c>
      <c r="D7693" s="198">
        <f t="shared" si="872"/>
        <v>45741</v>
      </c>
      <c r="E7693" s="290">
        <f t="shared" ref="E7693:E7727" si="877">DATE(A7693,B7693,C7693)</f>
        <v>45741</v>
      </c>
      <c r="F7693" s="513" t="s">
        <v>2001</v>
      </c>
      <c r="G7693" s="200" t="s">
        <v>1209</v>
      </c>
      <c r="H7693" s="201"/>
      <c r="I7693" s="201" t="s">
        <v>1253</v>
      </c>
      <c r="J7693" s="197" t="s">
        <v>46</v>
      </c>
      <c r="K7693" s="202">
        <v>92192.320000000007</v>
      </c>
      <c r="L7693" s="202"/>
    </row>
    <row r="7694" spans="1:15" ht="11.25" customHeight="1" x14ac:dyDescent="0.2">
      <c r="A7694" s="191">
        <v>2025</v>
      </c>
      <c r="B7694" s="191">
        <v>3</v>
      </c>
      <c r="C7694" s="191">
        <v>25</v>
      </c>
      <c r="D7694" s="192">
        <f t="shared" si="872"/>
        <v>45741</v>
      </c>
      <c r="E7694" s="291">
        <f t="shared" si="877"/>
        <v>45741</v>
      </c>
      <c r="F7694" s="513"/>
      <c r="G7694" s="194" t="s">
        <v>1209</v>
      </c>
      <c r="H7694" s="195"/>
      <c r="I7694" s="195" t="s">
        <v>1253</v>
      </c>
      <c r="J7694" s="191" t="s">
        <v>113</v>
      </c>
      <c r="K7694" s="196"/>
      <c r="L7694" s="196">
        <v>92192.320000000007</v>
      </c>
    </row>
    <row r="7695" spans="1:15" ht="11.25" customHeight="1" x14ac:dyDescent="0.2">
      <c r="A7695" s="197">
        <v>2025</v>
      </c>
      <c r="B7695" s="197">
        <v>3</v>
      </c>
      <c r="C7695" s="197">
        <v>26</v>
      </c>
      <c r="D7695" s="198">
        <f t="shared" si="872"/>
        <v>45742</v>
      </c>
      <c r="E7695" s="209">
        <f t="shared" si="877"/>
        <v>45742</v>
      </c>
      <c r="F7695" s="513" t="s">
        <v>1296</v>
      </c>
      <c r="G7695" s="200" t="s">
        <v>1209</v>
      </c>
      <c r="H7695" s="201"/>
      <c r="I7695" s="201"/>
      <c r="J7695" s="197" t="s">
        <v>46</v>
      </c>
      <c r="K7695" s="202">
        <v>11000</v>
      </c>
      <c r="L7695" s="202"/>
    </row>
    <row r="7696" spans="1:15" ht="11.25" customHeight="1" x14ac:dyDescent="0.2">
      <c r="A7696" s="120">
        <v>2025</v>
      </c>
      <c r="B7696" s="120">
        <v>3</v>
      </c>
      <c r="C7696" s="120">
        <v>26</v>
      </c>
      <c r="D7696" s="208">
        <f t="shared" si="872"/>
        <v>45742</v>
      </c>
      <c r="E7696" s="209">
        <f t="shared" si="877"/>
        <v>45742</v>
      </c>
      <c r="F7696" s="515"/>
      <c r="G7696" s="132" t="s">
        <v>1209</v>
      </c>
      <c r="J7696" s="120" t="s">
        <v>16</v>
      </c>
      <c r="K7696" s="207"/>
      <c r="L7696" s="207">
        <v>8880</v>
      </c>
    </row>
    <row r="7697" spans="1:14" ht="11.25" customHeight="1" x14ac:dyDescent="0.2">
      <c r="A7697" s="191">
        <v>2025</v>
      </c>
      <c r="B7697" s="191">
        <v>3</v>
      </c>
      <c r="C7697" s="191">
        <v>26</v>
      </c>
      <c r="D7697" s="192">
        <f t="shared" si="872"/>
        <v>45742</v>
      </c>
      <c r="E7697" s="193">
        <f t="shared" si="877"/>
        <v>45742</v>
      </c>
      <c r="F7697" s="514"/>
      <c r="G7697" s="194" t="s">
        <v>1209</v>
      </c>
      <c r="H7697" s="195"/>
      <c r="I7697" s="195"/>
      <c r="J7697" s="191" t="s">
        <v>47</v>
      </c>
      <c r="K7697" s="196"/>
      <c r="L7697" s="196">
        <v>2120</v>
      </c>
    </row>
    <row r="7698" spans="1:14" ht="11.25" customHeight="1" x14ac:dyDescent="0.2">
      <c r="A7698" s="197">
        <v>2025</v>
      </c>
      <c r="B7698" s="197">
        <v>3</v>
      </c>
      <c r="C7698" s="197">
        <v>27</v>
      </c>
      <c r="D7698" s="198">
        <f t="shared" si="872"/>
        <v>45743</v>
      </c>
      <c r="E7698" s="290">
        <f t="shared" si="877"/>
        <v>45743</v>
      </c>
      <c r="F7698" s="513" t="s">
        <v>2002</v>
      </c>
      <c r="G7698" s="200" t="s">
        <v>1209</v>
      </c>
      <c r="H7698" s="201"/>
      <c r="I7698" s="201" t="s">
        <v>1253</v>
      </c>
      <c r="J7698" s="197" t="s">
        <v>46</v>
      </c>
      <c r="K7698" s="202">
        <v>911250</v>
      </c>
      <c r="L7698" s="202"/>
    </row>
    <row r="7699" spans="1:14" ht="11.25" customHeight="1" x14ac:dyDescent="0.2">
      <c r="A7699" s="191">
        <v>2025</v>
      </c>
      <c r="B7699" s="191">
        <v>3</v>
      </c>
      <c r="C7699" s="191">
        <v>27</v>
      </c>
      <c r="D7699" s="192">
        <f t="shared" si="872"/>
        <v>45743</v>
      </c>
      <c r="E7699" s="291">
        <f t="shared" si="877"/>
        <v>45743</v>
      </c>
      <c r="F7699" s="514"/>
      <c r="G7699" s="194" t="s">
        <v>1209</v>
      </c>
      <c r="H7699" s="195"/>
      <c r="I7699" s="195"/>
      <c r="J7699" s="191" t="s">
        <v>1845</v>
      </c>
      <c r="K7699" s="196"/>
      <c r="L7699" s="196">
        <v>911250</v>
      </c>
    </row>
    <row r="7700" spans="1:14" ht="11.25" customHeight="1" x14ac:dyDescent="0.2">
      <c r="A7700" s="197">
        <v>2025</v>
      </c>
      <c r="B7700" s="197">
        <v>3</v>
      </c>
      <c r="C7700" s="197">
        <v>27</v>
      </c>
      <c r="D7700" s="198">
        <f t="shared" si="872"/>
        <v>45743</v>
      </c>
      <c r="E7700" s="209">
        <f t="shared" si="877"/>
        <v>45743</v>
      </c>
      <c r="F7700" s="513" t="s">
        <v>1210</v>
      </c>
      <c r="G7700" s="200" t="s">
        <v>1209</v>
      </c>
      <c r="H7700" s="201"/>
      <c r="I7700" s="201" t="s">
        <v>1235</v>
      </c>
      <c r="J7700" s="197" t="s">
        <v>46</v>
      </c>
      <c r="K7700" s="202">
        <v>100000</v>
      </c>
      <c r="L7700" s="202"/>
    </row>
    <row r="7701" spans="1:14" ht="11.25" customHeight="1" x14ac:dyDescent="0.2">
      <c r="A7701" s="120">
        <v>2025</v>
      </c>
      <c r="B7701" s="120">
        <v>3</v>
      </c>
      <c r="C7701" s="120">
        <v>27</v>
      </c>
      <c r="D7701" s="208">
        <f t="shared" si="872"/>
        <v>45743</v>
      </c>
      <c r="E7701" s="209">
        <f t="shared" si="877"/>
        <v>45743</v>
      </c>
      <c r="F7701" s="515"/>
      <c r="G7701" s="132" t="s">
        <v>1209</v>
      </c>
      <c r="I7701" s="128" t="s">
        <v>1235</v>
      </c>
      <c r="J7701" s="120" t="s">
        <v>16</v>
      </c>
      <c r="K7701" s="207"/>
      <c r="L7701" s="207">
        <v>80720</v>
      </c>
    </row>
    <row r="7702" spans="1:14" ht="11.25" customHeight="1" x14ac:dyDescent="0.2">
      <c r="A7702" s="191">
        <v>2025</v>
      </c>
      <c r="B7702" s="191">
        <v>3</v>
      </c>
      <c r="C7702" s="191">
        <v>27</v>
      </c>
      <c r="D7702" s="192">
        <f t="shared" si="872"/>
        <v>45743</v>
      </c>
      <c r="E7702" s="193">
        <f t="shared" si="877"/>
        <v>45743</v>
      </c>
      <c r="F7702" s="514"/>
      <c r="G7702" s="194" t="s">
        <v>1209</v>
      </c>
      <c r="H7702" s="195"/>
      <c r="I7702" s="195" t="s">
        <v>1235</v>
      </c>
      <c r="J7702" s="191" t="s">
        <v>47</v>
      </c>
      <c r="K7702" s="196"/>
      <c r="L7702" s="196">
        <v>19280</v>
      </c>
    </row>
    <row r="7703" spans="1:14" ht="11.25" customHeight="1" x14ac:dyDescent="0.2">
      <c r="A7703" s="197">
        <v>2025</v>
      </c>
      <c r="B7703" s="197">
        <v>3</v>
      </c>
      <c r="C7703" s="197">
        <v>24</v>
      </c>
      <c r="D7703" s="198">
        <f t="shared" si="872"/>
        <v>45740</v>
      </c>
      <c r="E7703" s="209">
        <f>DATE(A7703,B7703,C7703)</f>
        <v>45740</v>
      </c>
      <c r="F7703" s="513" t="s">
        <v>1280</v>
      </c>
      <c r="G7703" s="200" t="s">
        <v>1209</v>
      </c>
      <c r="H7703" s="201"/>
      <c r="I7703" s="201" t="s">
        <v>390</v>
      </c>
      <c r="J7703" s="197" t="s">
        <v>16</v>
      </c>
      <c r="K7703" s="202">
        <v>256700</v>
      </c>
      <c r="L7703" s="202"/>
      <c r="M7703" s="130"/>
      <c r="N7703" s="130"/>
    </row>
    <row r="7704" spans="1:14" ht="11.25" customHeight="1" x14ac:dyDescent="0.2">
      <c r="A7704" s="120">
        <v>2025</v>
      </c>
      <c r="B7704" s="120">
        <v>3</v>
      </c>
      <c r="C7704" s="120">
        <v>24</v>
      </c>
      <c r="D7704" s="208">
        <f t="shared" si="872"/>
        <v>45740</v>
      </c>
      <c r="E7704" s="209">
        <f>DATE(A7704,B7704,C7704)</f>
        <v>45740</v>
      </c>
      <c r="F7704" s="515"/>
      <c r="G7704" s="132" t="s">
        <v>1209</v>
      </c>
      <c r="I7704" s="128" t="s">
        <v>390</v>
      </c>
      <c r="J7704" s="120" t="s">
        <v>47</v>
      </c>
      <c r="K7704" s="207">
        <v>61300</v>
      </c>
      <c r="L7704" s="207"/>
      <c r="M7704" s="130"/>
      <c r="N7704" s="130"/>
    </row>
    <row r="7705" spans="1:14" ht="11.25" customHeight="1" x14ac:dyDescent="0.2">
      <c r="A7705" s="191">
        <v>2025</v>
      </c>
      <c r="B7705" s="191">
        <v>3</v>
      </c>
      <c r="C7705" s="191">
        <v>24</v>
      </c>
      <c r="D7705" s="192">
        <f t="shared" si="872"/>
        <v>45740</v>
      </c>
      <c r="E7705" s="193">
        <f>DATE(A7705,B7705,C7705)</f>
        <v>45740</v>
      </c>
      <c r="F7705" s="514"/>
      <c r="G7705" s="194" t="s">
        <v>1209</v>
      </c>
      <c r="H7705" s="195"/>
      <c r="I7705" s="195" t="s">
        <v>390</v>
      </c>
      <c r="J7705" s="191" t="s">
        <v>46</v>
      </c>
      <c r="K7705" s="196"/>
      <c r="L7705" s="196">
        <v>318000</v>
      </c>
      <c r="M7705" s="130"/>
      <c r="N7705" s="130"/>
    </row>
    <row r="7706" spans="1:14" ht="11.25" customHeight="1" x14ac:dyDescent="0.2">
      <c r="A7706" s="197">
        <v>2025</v>
      </c>
      <c r="B7706" s="197">
        <v>3</v>
      </c>
      <c r="C7706" s="197">
        <v>27</v>
      </c>
      <c r="D7706" s="198">
        <f t="shared" si="872"/>
        <v>45743</v>
      </c>
      <c r="E7706" s="209">
        <f t="shared" ref="E7706:E7708" si="878">DATE(A7706,B7706,C7706)</f>
        <v>45743</v>
      </c>
      <c r="F7706" s="513" t="s">
        <v>1210</v>
      </c>
      <c r="G7706" s="200" t="s">
        <v>1209</v>
      </c>
      <c r="H7706" s="201"/>
      <c r="I7706" s="201"/>
      <c r="J7706" s="197" t="s">
        <v>46</v>
      </c>
      <c r="K7706" s="202">
        <v>5000000</v>
      </c>
      <c r="L7706" s="202"/>
    </row>
    <row r="7707" spans="1:14" ht="11.25" customHeight="1" x14ac:dyDescent="0.2">
      <c r="A7707" s="120">
        <v>2025</v>
      </c>
      <c r="B7707" s="120">
        <v>3</v>
      </c>
      <c r="C7707" s="120">
        <v>27</v>
      </c>
      <c r="D7707" s="208">
        <f t="shared" si="872"/>
        <v>45743</v>
      </c>
      <c r="E7707" s="209">
        <f t="shared" si="878"/>
        <v>45743</v>
      </c>
      <c r="F7707" s="515"/>
      <c r="G7707" s="132" t="s">
        <v>1209</v>
      </c>
      <c r="J7707" s="120" t="s">
        <v>16</v>
      </c>
      <c r="K7707" s="207"/>
      <c r="L7707" s="207">
        <v>4036160</v>
      </c>
    </row>
    <row r="7708" spans="1:14" ht="11.25" customHeight="1" x14ac:dyDescent="0.2">
      <c r="A7708" s="191">
        <v>2025</v>
      </c>
      <c r="B7708" s="191">
        <v>3</v>
      </c>
      <c r="C7708" s="191">
        <v>27</v>
      </c>
      <c r="D7708" s="192">
        <f t="shared" si="872"/>
        <v>45743</v>
      </c>
      <c r="E7708" s="193">
        <f t="shared" si="878"/>
        <v>45743</v>
      </c>
      <c r="F7708" s="514"/>
      <c r="G7708" s="194" t="s">
        <v>1209</v>
      </c>
      <c r="H7708" s="195"/>
      <c r="I7708" s="195"/>
      <c r="J7708" s="191" t="s">
        <v>47</v>
      </c>
      <c r="K7708" s="196"/>
      <c r="L7708" s="196">
        <v>963840</v>
      </c>
    </row>
    <row r="7709" spans="1:14" ht="11.25" customHeight="1" x14ac:dyDescent="0.2">
      <c r="A7709" s="197">
        <v>2025</v>
      </c>
      <c r="B7709" s="197">
        <v>3</v>
      </c>
      <c r="C7709" s="197">
        <v>27</v>
      </c>
      <c r="D7709" s="198">
        <f t="shared" si="872"/>
        <v>45743</v>
      </c>
      <c r="E7709" s="209">
        <f t="shared" si="877"/>
        <v>45743</v>
      </c>
      <c r="F7709" s="513" t="s">
        <v>1210</v>
      </c>
      <c r="G7709" s="200" t="s">
        <v>1209</v>
      </c>
      <c r="H7709" s="201"/>
      <c r="I7709" s="201"/>
      <c r="J7709" s="197" t="s">
        <v>46</v>
      </c>
      <c r="K7709" s="202">
        <v>5000000</v>
      </c>
      <c r="L7709" s="202"/>
    </row>
    <row r="7710" spans="1:14" ht="11.25" customHeight="1" x14ac:dyDescent="0.2">
      <c r="A7710" s="120">
        <v>2025</v>
      </c>
      <c r="B7710" s="120">
        <v>3</v>
      </c>
      <c r="C7710" s="120">
        <v>27</v>
      </c>
      <c r="D7710" s="208">
        <f t="shared" si="872"/>
        <v>45743</v>
      </c>
      <c r="E7710" s="209">
        <f t="shared" si="877"/>
        <v>45743</v>
      </c>
      <c r="F7710" s="515"/>
      <c r="G7710" s="132" t="s">
        <v>1209</v>
      </c>
      <c r="J7710" s="120" t="s">
        <v>16</v>
      </c>
      <c r="K7710" s="207"/>
      <c r="L7710" s="207">
        <v>4036160</v>
      </c>
    </row>
    <row r="7711" spans="1:14" ht="11.25" customHeight="1" x14ac:dyDescent="0.2">
      <c r="A7711" s="191">
        <v>2025</v>
      </c>
      <c r="B7711" s="191">
        <v>3</v>
      </c>
      <c r="C7711" s="191">
        <v>27</v>
      </c>
      <c r="D7711" s="192">
        <f t="shared" si="872"/>
        <v>45743</v>
      </c>
      <c r="E7711" s="193">
        <f t="shared" si="877"/>
        <v>45743</v>
      </c>
      <c r="F7711" s="514"/>
      <c r="G7711" s="194" t="s">
        <v>1209</v>
      </c>
      <c r="H7711" s="195"/>
      <c r="I7711" s="195"/>
      <c r="J7711" s="191" t="s">
        <v>47</v>
      </c>
      <c r="K7711" s="196"/>
      <c r="L7711" s="196">
        <v>963840</v>
      </c>
    </row>
    <row r="7712" spans="1:14" ht="11.25" customHeight="1" x14ac:dyDescent="0.2">
      <c r="A7712" s="197">
        <v>2025</v>
      </c>
      <c r="B7712" s="197">
        <v>3</v>
      </c>
      <c r="C7712" s="197">
        <v>27</v>
      </c>
      <c r="D7712" s="198">
        <f t="shared" si="872"/>
        <v>45743</v>
      </c>
      <c r="E7712" s="209">
        <f t="shared" ref="E7712:E7714" si="879">DATE(A7712,B7712,C7712)</f>
        <v>45743</v>
      </c>
      <c r="F7712" s="513" t="s">
        <v>1210</v>
      </c>
      <c r="G7712" s="200" t="s">
        <v>1209</v>
      </c>
      <c r="H7712" s="201"/>
      <c r="I7712" s="201" t="s">
        <v>1321</v>
      </c>
      <c r="J7712" s="197" t="s">
        <v>46</v>
      </c>
      <c r="K7712" s="202">
        <v>42119.199999999997</v>
      </c>
      <c r="L7712" s="202"/>
    </row>
    <row r="7713" spans="1:15" ht="11.25" customHeight="1" x14ac:dyDescent="0.2">
      <c r="A7713" s="120">
        <v>2025</v>
      </c>
      <c r="B7713" s="120">
        <v>3</v>
      </c>
      <c r="C7713" s="120">
        <v>27</v>
      </c>
      <c r="D7713" s="208">
        <f t="shared" si="872"/>
        <v>45743</v>
      </c>
      <c r="E7713" s="209">
        <f t="shared" si="879"/>
        <v>45743</v>
      </c>
      <c r="F7713" s="515"/>
      <c r="G7713" s="132" t="s">
        <v>1209</v>
      </c>
      <c r="I7713" s="128" t="s">
        <v>1321</v>
      </c>
      <c r="J7713" s="120" t="s">
        <v>16</v>
      </c>
      <c r="K7713" s="207"/>
      <c r="L7713" s="207">
        <v>34000</v>
      </c>
    </row>
    <row r="7714" spans="1:15" ht="11.25" customHeight="1" x14ac:dyDescent="0.2">
      <c r="A7714" s="191">
        <v>2025</v>
      </c>
      <c r="B7714" s="191">
        <v>3</v>
      </c>
      <c r="C7714" s="191">
        <v>27</v>
      </c>
      <c r="D7714" s="192">
        <f t="shared" si="872"/>
        <v>45743</v>
      </c>
      <c r="E7714" s="193">
        <f t="shared" si="879"/>
        <v>45743</v>
      </c>
      <c r="F7714" s="514"/>
      <c r="G7714" s="194" t="s">
        <v>1209</v>
      </c>
      <c r="H7714" s="195"/>
      <c r="I7714" s="195" t="s">
        <v>1321</v>
      </c>
      <c r="J7714" s="191" t="s">
        <v>47</v>
      </c>
      <c r="K7714" s="196"/>
      <c r="L7714" s="196">
        <v>8119.1999999999971</v>
      </c>
    </row>
    <row r="7715" spans="1:15" ht="11.25" customHeight="1" x14ac:dyDescent="0.2">
      <c r="A7715" s="197">
        <v>2025</v>
      </c>
      <c r="B7715" s="197">
        <v>3</v>
      </c>
      <c r="C7715" s="197">
        <v>27</v>
      </c>
      <c r="D7715" s="198">
        <f t="shared" si="872"/>
        <v>45743</v>
      </c>
      <c r="E7715" s="290">
        <f>DATE(A7715,B7715,C7715)</f>
        <v>45743</v>
      </c>
      <c r="F7715" s="513" t="s">
        <v>1514</v>
      </c>
      <c r="G7715" s="200" t="s">
        <v>1209</v>
      </c>
      <c r="H7715" s="201"/>
      <c r="I7715" s="201"/>
      <c r="J7715" s="197" t="s">
        <v>54</v>
      </c>
      <c r="K7715" s="202">
        <v>58</v>
      </c>
      <c r="L7715" s="202"/>
      <c r="M7715" s="251"/>
      <c r="N7715" s="251"/>
      <c r="O7715" s="251"/>
    </row>
    <row r="7716" spans="1:15" ht="11.25" customHeight="1" x14ac:dyDescent="0.2">
      <c r="A7716" s="191">
        <v>2025</v>
      </c>
      <c r="B7716" s="191">
        <v>3</v>
      </c>
      <c r="C7716" s="191">
        <v>27</v>
      </c>
      <c r="D7716" s="192">
        <f t="shared" si="872"/>
        <v>45743</v>
      </c>
      <c r="E7716" s="291">
        <f>DATE(A7716,B7716,C7716)</f>
        <v>45743</v>
      </c>
      <c r="F7716" s="514"/>
      <c r="G7716" s="194" t="s">
        <v>1209</v>
      </c>
      <c r="H7716" s="195"/>
      <c r="I7716" s="195"/>
      <c r="J7716" s="191" t="s">
        <v>46</v>
      </c>
      <c r="K7716" s="196"/>
      <c r="L7716" s="196">
        <v>58</v>
      </c>
      <c r="M7716" s="251"/>
      <c r="N7716" s="251"/>
      <c r="O7716" s="251"/>
    </row>
    <row r="7717" spans="1:15" ht="11.25" customHeight="1" x14ac:dyDescent="0.2">
      <c r="A7717" s="197">
        <v>2025</v>
      </c>
      <c r="B7717" s="197">
        <v>3</v>
      </c>
      <c r="C7717" s="197">
        <v>27</v>
      </c>
      <c r="D7717" s="198">
        <f t="shared" si="872"/>
        <v>45743</v>
      </c>
      <c r="E7717" s="209">
        <f t="shared" ref="E7717:E7719" si="880">DATE(A7717,B7717,C7717)</f>
        <v>45743</v>
      </c>
      <c r="F7717" s="513" t="s">
        <v>1296</v>
      </c>
      <c r="G7717" s="200" t="s">
        <v>1209</v>
      </c>
      <c r="H7717" s="201"/>
      <c r="I7717" s="201"/>
      <c r="J7717" s="197" t="s">
        <v>46</v>
      </c>
      <c r="K7717" s="202">
        <v>308040</v>
      </c>
      <c r="L7717" s="202"/>
    </row>
    <row r="7718" spans="1:15" ht="11.25" customHeight="1" x14ac:dyDescent="0.2">
      <c r="A7718" s="120">
        <v>2025</v>
      </c>
      <c r="B7718" s="120">
        <v>3</v>
      </c>
      <c r="C7718" s="120">
        <v>27</v>
      </c>
      <c r="D7718" s="208">
        <f t="shared" si="872"/>
        <v>45743</v>
      </c>
      <c r="E7718" s="209">
        <f t="shared" si="880"/>
        <v>45743</v>
      </c>
      <c r="F7718" s="515"/>
      <c r="G7718" s="132" t="s">
        <v>1209</v>
      </c>
      <c r="J7718" s="120" t="s">
        <v>16</v>
      </c>
      <c r="K7718" s="207"/>
      <c r="L7718" s="207">
        <v>248670</v>
      </c>
    </row>
    <row r="7719" spans="1:15" ht="11.25" customHeight="1" x14ac:dyDescent="0.2">
      <c r="A7719" s="191">
        <v>2025</v>
      </c>
      <c r="B7719" s="191">
        <v>3</v>
      </c>
      <c r="C7719" s="191">
        <v>27</v>
      </c>
      <c r="D7719" s="192">
        <f t="shared" si="872"/>
        <v>45743</v>
      </c>
      <c r="E7719" s="193">
        <f t="shared" si="880"/>
        <v>45743</v>
      </c>
      <c r="F7719" s="514"/>
      <c r="G7719" s="194" t="s">
        <v>1209</v>
      </c>
      <c r="H7719" s="195"/>
      <c r="I7719" s="195"/>
      <c r="J7719" s="191" t="s">
        <v>47</v>
      </c>
      <c r="K7719" s="196"/>
      <c r="L7719" s="196">
        <v>59370</v>
      </c>
    </row>
    <row r="7720" spans="1:15" ht="11.25" customHeight="1" x14ac:dyDescent="0.2">
      <c r="A7720" s="197">
        <v>2025</v>
      </c>
      <c r="B7720" s="197">
        <v>3</v>
      </c>
      <c r="C7720" s="197">
        <v>27</v>
      </c>
      <c r="D7720" s="198">
        <f t="shared" si="872"/>
        <v>45743</v>
      </c>
      <c r="E7720" s="290">
        <f>DATE(A7720,B7720,C7720)</f>
        <v>45743</v>
      </c>
      <c r="F7720" s="513" t="s">
        <v>1514</v>
      </c>
      <c r="G7720" s="200" t="s">
        <v>1209</v>
      </c>
      <c r="H7720" s="201"/>
      <c r="I7720" s="201"/>
      <c r="J7720" s="197" t="s">
        <v>54</v>
      </c>
      <c r="K7720" s="202">
        <v>120</v>
      </c>
      <c r="L7720" s="202"/>
      <c r="M7720" s="251"/>
      <c r="N7720" s="251"/>
      <c r="O7720" s="251"/>
    </row>
    <row r="7721" spans="1:15" ht="11.25" customHeight="1" x14ac:dyDescent="0.2">
      <c r="A7721" s="191">
        <v>2025</v>
      </c>
      <c r="B7721" s="191">
        <v>3</v>
      </c>
      <c r="C7721" s="191">
        <v>27</v>
      </c>
      <c r="D7721" s="192">
        <f t="shared" si="872"/>
        <v>45743</v>
      </c>
      <c r="E7721" s="291">
        <f>DATE(A7721,B7721,C7721)</f>
        <v>45743</v>
      </c>
      <c r="F7721" s="514"/>
      <c r="G7721" s="194" t="s">
        <v>1209</v>
      </c>
      <c r="H7721" s="195"/>
      <c r="I7721" s="195"/>
      <c r="J7721" s="191" t="s">
        <v>46</v>
      </c>
      <c r="K7721" s="196"/>
      <c r="L7721" s="196">
        <v>120</v>
      </c>
      <c r="M7721" s="251"/>
      <c r="N7721" s="251"/>
      <c r="O7721" s="251"/>
    </row>
    <row r="7722" spans="1:15" ht="11.25" customHeight="1" x14ac:dyDescent="0.2">
      <c r="A7722" s="424">
        <v>2025</v>
      </c>
      <c r="B7722" s="424">
        <v>3</v>
      </c>
      <c r="C7722" s="424">
        <v>27</v>
      </c>
      <c r="D7722" s="425">
        <f t="shared" si="872"/>
        <v>45743</v>
      </c>
      <c r="E7722" s="384">
        <f t="shared" si="877"/>
        <v>45743</v>
      </c>
      <c r="F7722" s="516" t="s">
        <v>1850</v>
      </c>
      <c r="G7722" s="426" t="s">
        <v>1209</v>
      </c>
      <c r="H7722" s="427"/>
      <c r="I7722" s="427"/>
      <c r="J7722" s="428" t="s">
        <v>81</v>
      </c>
      <c r="K7722" s="429">
        <v>13946.490196078432</v>
      </c>
      <c r="L7722" s="429"/>
      <c r="M7722" s="130"/>
    </row>
    <row r="7723" spans="1:15" ht="11.25" customHeight="1" x14ac:dyDescent="0.2">
      <c r="A7723" s="389">
        <v>2025</v>
      </c>
      <c r="B7723" s="389">
        <v>3</v>
      </c>
      <c r="C7723" s="389">
        <v>27</v>
      </c>
      <c r="D7723" s="390">
        <f t="shared" si="872"/>
        <v>45743</v>
      </c>
      <c r="E7723" s="391">
        <f t="shared" si="877"/>
        <v>45743</v>
      </c>
      <c r="F7723" s="517"/>
      <c r="G7723" s="392" t="s">
        <v>1209</v>
      </c>
      <c r="H7723" s="393"/>
      <c r="I7723" s="393"/>
      <c r="J7723" s="394" t="s">
        <v>1847</v>
      </c>
      <c r="K7723" s="423"/>
      <c r="L7723" s="423">
        <f>K7722</f>
        <v>13946.490196078432</v>
      </c>
    </row>
    <row r="7724" spans="1:15" ht="11.25" customHeight="1" x14ac:dyDescent="0.2">
      <c r="A7724" s="382">
        <v>2025</v>
      </c>
      <c r="B7724" s="382">
        <v>3</v>
      </c>
      <c r="C7724" s="382">
        <v>27</v>
      </c>
      <c r="D7724" s="383">
        <f t="shared" ref="D7724:D7787" si="881">DATE(A7724,B7724,C7724)</f>
        <v>45743</v>
      </c>
      <c r="E7724" s="384">
        <f t="shared" si="877"/>
        <v>45743</v>
      </c>
      <c r="F7724" s="516" t="s">
        <v>1892</v>
      </c>
      <c r="G7724" s="385" t="s">
        <v>1209</v>
      </c>
      <c r="H7724" s="386"/>
      <c r="I7724" s="386"/>
      <c r="J7724" s="387" t="s">
        <v>173</v>
      </c>
      <c r="K7724" s="388">
        <v>9716.5737593958347</v>
      </c>
      <c r="L7724" s="388"/>
      <c r="M7724" s="130"/>
    </row>
    <row r="7725" spans="1:15" ht="11.25" customHeight="1" x14ac:dyDescent="0.2">
      <c r="A7725" s="389">
        <v>2025</v>
      </c>
      <c r="B7725" s="389">
        <v>3</v>
      </c>
      <c r="C7725" s="389">
        <v>27</v>
      </c>
      <c r="D7725" s="390">
        <f t="shared" si="881"/>
        <v>45743</v>
      </c>
      <c r="E7725" s="391">
        <f t="shared" si="877"/>
        <v>45743</v>
      </c>
      <c r="F7725" s="517"/>
      <c r="G7725" s="392" t="s">
        <v>1209</v>
      </c>
      <c r="H7725" s="393"/>
      <c r="I7725" s="393"/>
      <c r="J7725" s="394" t="s">
        <v>43</v>
      </c>
      <c r="K7725" s="388"/>
      <c r="L7725" s="388">
        <f>K7724</f>
        <v>9716.5737593958347</v>
      </c>
    </row>
    <row r="7726" spans="1:15" ht="11.25" customHeight="1" x14ac:dyDescent="0.2">
      <c r="A7726" s="344">
        <v>2025</v>
      </c>
      <c r="B7726" s="344">
        <v>3</v>
      </c>
      <c r="C7726" s="344">
        <v>27</v>
      </c>
      <c r="D7726" s="345">
        <f t="shared" si="881"/>
        <v>45743</v>
      </c>
      <c r="E7726" s="346">
        <f t="shared" si="877"/>
        <v>45743</v>
      </c>
      <c r="F7726" s="518" t="s">
        <v>1982</v>
      </c>
      <c r="G7726" s="347" t="s">
        <v>1245</v>
      </c>
      <c r="H7726" s="348"/>
      <c r="I7726" s="348" t="s">
        <v>1253</v>
      </c>
      <c r="J7726" s="344" t="s">
        <v>1978</v>
      </c>
      <c r="K7726" s="349">
        <v>290461.53846153844</v>
      </c>
      <c r="L7726" s="349"/>
      <c r="M7726" s="130"/>
    </row>
    <row r="7727" spans="1:15" ht="11.25" customHeight="1" x14ac:dyDescent="0.2">
      <c r="A7727" s="350">
        <v>2025</v>
      </c>
      <c r="B7727" s="350">
        <v>3</v>
      </c>
      <c r="C7727" s="350">
        <v>27</v>
      </c>
      <c r="D7727" s="351">
        <f t="shared" si="881"/>
        <v>45743</v>
      </c>
      <c r="E7727" s="352">
        <f t="shared" si="877"/>
        <v>45743</v>
      </c>
      <c r="F7727" s="519"/>
      <c r="G7727" s="353" t="s">
        <v>1245</v>
      </c>
      <c r="H7727" s="354"/>
      <c r="I7727" s="354" t="s">
        <v>1253</v>
      </c>
      <c r="J7727" s="350" t="s">
        <v>1979</v>
      </c>
      <c r="K7727" s="355"/>
      <c r="L7727" s="355">
        <f>K7726</f>
        <v>290461.53846153844</v>
      </c>
      <c r="M7727" s="130"/>
    </row>
    <row r="7728" spans="1:15" ht="11.25" customHeight="1" x14ac:dyDescent="0.2">
      <c r="A7728" s="344">
        <v>2025</v>
      </c>
      <c r="B7728" s="344">
        <v>3</v>
      </c>
      <c r="C7728" s="344">
        <v>27</v>
      </c>
      <c r="D7728" s="345">
        <f t="shared" si="881"/>
        <v>45743</v>
      </c>
      <c r="E7728" s="346">
        <f>DATE(A7728,B7728,C7728)</f>
        <v>45743</v>
      </c>
      <c r="F7728" s="518" t="s">
        <v>1988</v>
      </c>
      <c r="G7728" s="347" t="s">
        <v>1245</v>
      </c>
      <c r="H7728" s="348"/>
      <c r="I7728" s="348" t="s">
        <v>1253</v>
      </c>
      <c r="J7728" s="344" t="s">
        <v>113</v>
      </c>
      <c r="K7728" s="349">
        <v>65692.3</v>
      </c>
      <c r="L7728" s="349"/>
      <c r="M7728" s="130"/>
    </row>
    <row r="7729" spans="1:14" ht="11.25" customHeight="1" x14ac:dyDescent="0.2">
      <c r="A7729" s="350">
        <v>2025</v>
      </c>
      <c r="B7729" s="350">
        <v>3</v>
      </c>
      <c r="C7729" s="350">
        <v>27</v>
      </c>
      <c r="D7729" s="351">
        <f t="shared" si="881"/>
        <v>45743</v>
      </c>
      <c r="E7729" s="352">
        <f>DATE(A7729,B7729,C7729)</f>
        <v>45743</v>
      </c>
      <c r="F7729" s="519"/>
      <c r="G7729" s="353" t="s">
        <v>1245</v>
      </c>
      <c r="H7729" s="354"/>
      <c r="I7729" s="354" t="s">
        <v>1253</v>
      </c>
      <c r="J7729" s="350" t="s">
        <v>153</v>
      </c>
      <c r="K7729" s="355"/>
      <c r="L7729" s="355">
        <f>K7728</f>
        <v>65692.3</v>
      </c>
      <c r="M7729" s="130"/>
    </row>
    <row r="7730" spans="1:14" ht="11.25" customHeight="1" x14ac:dyDescent="0.2">
      <c r="A7730" s="344">
        <v>2025</v>
      </c>
      <c r="B7730" s="344">
        <v>3</v>
      </c>
      <c r="C7730" s="344">
        <v>27</v>
      </c>
      <c r="D7730" s="345">
        <f t="shared" si="881"/>
        <v>45743</v>
      </c>
      <c r="E7730" s="346">
        <f t="shared" ref="E7730:E7735" si="882">DATE(A7730,B7730,C7730)</f>
        <v>45743</v>
      </c>
      <c r="F7730" s="518" t="s">
        <v>1989</v>
      </c>
      <c r="G7730" s="347" t="s">
        <v>1245</v>
      </c>
      <c r="H7730" s="348"/>
      <c r="I7730" s="348" t="s">
        <v>1253</v>
      </c>
      <c r="J7730" s="344" t="s">
        <v>113</v>
      </c>
      <c r="K7730" s="349">
        <v>46923.076923076922</v>
      </c>
      <c r="L7730" s="349"/>
      <c r="M7730" s="130"/>
    </row>
    <row r="7731" spans="1:14" ht="11.25" customHeight="1" x14ac:dyDescent="0.2">
      <c r="A7731" s="350">
        <v>2025</v>
      </c>
      <c r="B7731" s="350">
        <v>3</v>
      </c>
      <c r="C7731" s="350">
        <v>27</v>
      </c>
      <c r="D7731" s="351">
        <f t="shared" si="881"/>
        <v>45743</v>
      </c>
      <c r="E7731" s="352">
        <f t="shared" si="882"/>
        <v>45743</v>
      </c>
      <c r="F7731" s="519"/>
      <c r="G7731" s="353" t="s">
        <v>1245</v>
      </c>
      <c r="H7731" s="354"/>
      <c r="I7731" s="354" t="s">
        <v>1253</v>
      </c>
      <c r="J7731" s="350" t="s">
        <v>153</v>
      </c>
      <c r="K7731" s="355"/>
      <c r="L7731" s="355">
        <f>K7730</f>
        <v>46923.076923076922</v>
      </c>
      <c r="M7731" s="130"/>
    </row>
    <row r="7732" spans="1:14" ht="11.25" customHeight="1" x14ac:dyDescent="0.2">
      <c r="A7732" s="344">
        <v>2025</v>
      </c>
      <c r="B7732" s="344">
        <v>3</v>
      </c>
      <c r="C7732" s="344">
        <v>27</v>
      </c>
      <c r="D7732" s="345">
        <f t="shared" si="881"/>
        <v>45743</v>
      </c>
      <c r="E7732" s="346">
        <f t="shared" si="882"/>
        <v>45743</v>
      </c>
      <c r="F7732" s="518" t="s">
        <v>1990</v>
      </c>
      <c r="G7732" s="347" t="s">
        <v>1245</v>
      </c>
      <c r="H7732" s="348"/>
      <c r="I7732" s="348" t="s">
        <v>1253</v>
      </c>
      <c r="J7732" s="344" t="s">
        <v>113</v>
      </c>
      <c r="K7732" s="349">
        <v>140769.23076923078</v>
      </c>
      <c r="L7732" s="349"/>
      <c r="M7732" s="130"/>
      <c r="N7732" s="251"/>
    </row>
    <row r="7733" spans="1:14" ht="11.25" customHeight="1" x14ac:dyDescent="0.2">
      <c r="A7733" s="350">
        <v>2025</v>
      </c>
      <c r="B7733" s="350">
        <v>3</v>
      </c>
      <c r="C7733" s="350">
        <v>27</v>
      </c>
      <c r="D7733" s="351">
        <f t="shared" si="881"/>
        <v>45743</v>
      </c>
      <c r="E7733" s="352">
        <f t="shared" si="882"/>
        <v>45743</v>
      </c>
      <c r="F7733" s="519"/>
      <c r="G7733" s="353" t="s">
        <v>1245</v>
      </c>
      <c r="H7733" s="354"/>
      <c r="I7733" s="354" t="s">
        <v>1253</v>
      </c>
      <c r="J7733" s="350" t="s">
        <v>153</v>
      </c>
      <c r="K7733" s="355"/>
      <c r="L7733" s="355">
        <f>K7732</f>
        <v>140769.23076923078</v>
      </c>
      <c r="M7733" s="130"/>
    </row>
    <row r="7734" spans="1:14" ht="11.25" customHeight="1" x14ac:dyDescent="0.2">
      <c r="A7734" s="344">
        <v>2025</v>
      </c>
      <c r="B7734" s="344">
        <v>3</v>
      </c>
      <c r="C7734" s="344">
        <v>27</v>
      </c>
      <c r="D7734" s="345">
        <f t="shared" si="881"/>
        <v>45743</v>
      </c>
      <c r="E7734" s="346">
        <f t="shared" si="882"/>
        <v>45743</v>
      </c>
      <c r="F7734" s="518" t="s">
        <v>2039</v>
      </c>
      <c r="G7734" s="347" t="s">
        <v>1245</v>
      </c>
      <c r="H7734" s="348"/>
      <c r="I7734" s="348" t="s">
        <v>1253</v>
      </c>
      <c r="J7734" s="344" t="s">
        <v>113</v>
      </c>
      <c r="K7734" s="349">
        <v>18769.23076923077</v>
      </c>
      <c r="L7734" s="349"/>
      <c r="M7734" s="130"/>
    </row>
    <row r="7735" spans="1:14" ht="11.25" customHeight="1" x14ac:dyDescent="0.2">
      <c r="A7735" s="350">
        <v>2025</v>
      </c>
      <c r="B7735" s="350">
        <v>3</v>
      </c>
      <c r="C7735" s="350">
        <v>27</v>
      </c>
      <c r="D7735" s="351">
        <f t="shared" si="881"/>
        <v>45743</v>
      </c>
      <c r="E7735" s="352">
        <f t="shared" si="882"/>
        <v>45743</v>
      </c>
      <c r="F7735" s="519"/>
      <c r="G7735" s="353" t="s">
        <v>1245</v>
      </c>
      <c r="H7735" s="354"/>
      <c r="I7735" s="354" t="s">
        <v>1253</v>
      </c>
      <c r="J7735" s="350" t="s">
        <v>153</v>
      </c>
      <c r="K7735" s="355"/>
      <c r="L7735" s="355">
        <f>K7734</f>
        <v>18769.23076923077</v>
      </c>
      <c r="M7735" s="130"/>
    </row>
    <row r="7736" spans="1:14" ht="11.25" customHeight="1" x14ac:dyDescent="0.2">
      <c r="A7736" s="344">
        <v>2025</v>
      </c>
      <c r="B7736" s="344">
        <v>3</v>
      </c>
      <c r="C7736" s="344">
        <v>27</v>
      </c>
      <c r="D7736" s="345">
        <f t="shared" si="881"/>
        <v>45743</v>
      </c>
      <c r="E7736" s="346">
        <f>DATE(A7736,B7736,C7736)</f>
        <v>45743</v>
      </c>
      <c r="F7736" s="518" t="s">
        <v>1991</v>
      </c>
      <c r="G7736" s="347" t="s">
        <v>1245</v>
      </c>
      <c r="H7736" s="348"/>
      <c r="I7736" s="348" t="s">
        <v>1253</v>
      </c>
      <c r="J7736" s="344" t="s">
        <v>113</v>
      </c>
      <c r="K7736" s="349">
        <v>79769.240000000005</v>
      </c>
      <c r="L7736" s="349"/>
      <c r="M7736" s="130"/>
    </row>
    <row r="7737" spans="1:14" ht="11.25" customHeight="1" x14ac:dyDescent="0.2">
      <c r="A7737" s="350">
        <v>2025</v>
      </c>
      <c r="B7737" s="350">
        <v>3</v>
      </c>
      <c r="C7737" s="350">
        <v>27</v>
      </c>
      <c r="D7737" s="351">
        <f t="shared" si="881"/>
        <v>45743</v>
      </c>
      <c r="E7737" s="352">
        <f>DATE(A7737,B7737,C7737)</f>
        <v>45743</v>
      </c>
      <c r="F7737" s="519"/>
      <c r="G7737" s="353" t="s">
        <v>1245</v>
      </c>
      <c r="H7737" s="354"/>
      <c r="I7737" s="354" t="s">
        <v>1253</v>
      </c>
      <c r="J7737" s="350" t="s">
        <v>153</v>
      </c>
      <c r="K7737" s="355"/>
      <c r="L7737" s="355">
        <f>K7736</f>
        <v>79769.240000000005</v>
      </c>
      <c r="M7737" s="130"/>
    </row>
    <row r="7738" spans="1:14" ht="11.25" customHeight="1" x14ac:dyDescent="0.2">
      <c r="A7738" s="344">
        <v>2025</v>
      </c>
      <c r="B7738" s="344">
        <v>3</v>
      </c>
      <c r="C7738" s="344">
        <v>27</v>
      </c>
      <c r="D7738" s="345">
        <f t="shared" si="881"/>
        <v>45743</v>
      </c>
      <c r="E7738" s="346">
        <f t="shared" ref="E7738:E7744" si="883">DATE(A7738,B7738,C7738)</f>
        <v>45743</v>
      </c>
      <c r="F7738" s="518" t="s">
        <v>1992</v>
      </c>
      <c r="G7738" s="347" t="s">
        <v>1245</v>
      </c>
      <c r="H7738" s="348"/>
      <c r="I7738" s="348" t="s">
        <v>1253</v>
      </c>
      <c r="J7738" s="344" t="s">
        <v>113</v>
      </c>
      <c r="K7738" s="349">
        <v>45192.3</v>
      </c>
      <c r="L7738" s="349"/>
      <c r="M7738" s="130"/>
    </row>
    <row r="7739" spans="1:14" ht="11.25" customHeight="1" x14ac:dyDescent="0.2">
      <c r="A7739" s="350">
        <v>2025</v>
      </c>
      <c r="B7739" s="350">
        <v>3</v>
      </c>
      <c r="C7739" s="350">
        <v>27</v>
      </c>
      <c r="D7739" s="351">
        <f t="shared" si="881"/>
        <v>45743</v>
      </c>
      <c r="E7739" s="352">
        <f t="shared" si="883"/>
        <v>45743</v>
      </c>
      <c r="F7739" s="519"/>
      <c r="G7739" s="353" t="s">
        <v>1245</v>
      </c>
      <c r="H7739" s="354"/>
      <c r="I7739" s="354" t="s">
        <v>1253</v>
      </c>
      <c r="J7739" s="350" t="s">
        <v>153</v>
      </c>
      <c r="K7739" s="355"/>
      <c r="L7739" s="355">
        <f>K7738</f>
        <v>45192.3</v>
      </c>
      <c r="M7739" s="130"/>
    </row>
    <row r="7740" spans="1:14" ht="11.25" customHeight="1" x14ac:dyDescent="0.2">
      <c r="A7740" s="344">
        <v>2025</v>
      </c>
      <c r="B7740" s="344">
        <v>3</v>
      </c>
      <c r="C7740" s="344">
        <v>27</v>
      </c>
      <c r="D7740" s="345">
        <f t="shared" si="881"/>
        <v>45743</v>
      </c>
      <c r="E7740" s="346">
        <f t="shared" si="883"/>
        <v>45743</v>
      </c>
      <c r="F7740" s="518" t="s">
        <v>1993</v>
      </c>
      <c r="G7740" s="347" t="s">
        <v>1245</v>
      </c>
      <c r="H7740" s="348"/>
      <c r="I7740" s="348" t="s">
        <v>1253</v>
      </c>
      <c r="J7740" s="344" t="s">
        <v>113</v>
      </c>
      <c r="K7740" s="349">
        <v>46096.160000000003</v>
      </c>
      <c r="L7740" s="349"/>
      <c r="M7740" s="130"/>
    </row>
    <row r="7741" spans="1:14" ht="11.25" customHeight="1" x14ac:dyDescent="0.2">
      <c r="A7741" s="350">
        <v>2025</v>
      </c>
      <c r="B7741" s="350">
        <v>3</v>
      </c>
      <c r="C7741" s="350">
        <v>27</v>
      </c>
      <c r="D7741" s="351">
        <f t="shared" si="881"/>
        <v>45743</v>
      </c>
      <c r="E7741" s="352">
        <f t="shared" si="883"/>
        <v>45743</v>
      </c>
      <c r="F7741" s="519"/>
      <c r="G7741" s="353" t="s">
        <v>1245</v>
      </c>
      <c r="H7741" s="354"/>
      <c r="I7741" s="354" t="s">
        <v>1253</v>
      </c>
      <c r="J7741" s="350" t="s">
        <v>153</v>
      </c>
      <c r="K7741" s="355"/>
      <c r="L7741" s="355">
        <f>K7740</f>
        <v>46096.160000000003</v>
      </c>
      <c r="M7741" s="130"/>
    </row>
    <row r="7742" spans="1:14" ht="11.25" customHeight="1" x14ac:dyDescent="0.2">
      <c r="A7742" s="210">
        <v>2025</v>
      </c>
      <c r="B7742" s="210">
        <v>3</v>
      </c>
      <c r="C7742" s="210">
        <v>27</v>
      </c>
      <c r="D7742" s="211">
        <f t="shared" si="881"/>
        <v>45743</v>
      </c>
      <c r="E7742" s="238">
        <f t="shared" si="883"/>
        <v>45743</v>
      </c>
      <c r="F7742" s="520" t="s">
        <v>1278</v>
      </c>
      <c r="G7742" s="213" t="s">
        <v>1245</v>
      </c>
      <c r="H7742" s="214"/>
      <c r="I7742" s="214" t="s">
        <v>1253</v>
      </c>
      <c r="J7742" s="210" t="s">
        <v>1529</v>
      </c>
      <c r="K7742" s="215">
        <v>1020.8076923076923</v>
      </c>
      <c r="L7742" s="215"/>
      <c r="M7742" s="130"/>
    </row>
    <row r="7743" spans="1:14" ht="11.25" customHeight="1" x14ac:dyDescent="0.2">
      <c r="A7743" s="216">
        <v>2025</v>
      </c>
      <c r="B7743" s="216">
        <v>3</v>
      </c>
      <c r="C7743" s="216">
        <v>27</v>
      </c>
      <c r="D7743" s="217">
        <f t="shared" si="881"/>
        <v>45743</v>
      </c>
      <c r="E7743" s="239">
        <f t="shared" si="883"/>
        <v>45743</v>
      </c>
      <c r="F7743" s="521"/>
      <c r="G7743" s="219" t="s">
        <v>1245</v>
      </c>
      <c r="H7743" s="220"/>
      <c r="I7743" s="220" t="s">
        <v>1253</v>
      </c>
      <c r="J7743" s="216" t="s">
        <v>1581</v>
      </c>
      <c r="K7743" s="221"/>
      <c r="L7743" s="221">
        <f>K7742</f>
        <v>1020.8076923076923</v>
      </c>
      <c r="M7743" s="130"/>
    </row>
    <row r="7744" spans="1:14" ht="11.25" customHeight="1" x14ac:dyDescent="0.2">
      <c r="A7744" s="210">
        <v>2025</v>
      </c>
      <c r="B7744" s="210">
        <v>3</v>
      </c>
      <c r="C7744" s="210">
        <v>27</v>
      </c>
      <c r="D7744" s="211">
        <f t="shared" si="881"/>
        <v>45743</v>
      </c>
      <c r="E7744" s="238">
        <f t="shared" si="883"/>
        <v>45743</v>
      </c>
      <c r="F7744" s="520" t="s">
        <v>1857</v>
      </c>
      <c r="G7744" s="213" t="s">
        <v>1245</v>
      </c>
      <c r="H7744" s="214"/>
      <c r="I7744" s="214" t="s">
        <v>1253</v>
      </c>
      <c r="J7744" s="210" t="s">
        <v>1284</v>
      </c>
      <c r="K7744" s="215">
        <v>4683.6228287841186</v>
      </c>
      <c r="L7744" s="215"/>
      <c r="M7744" s="130"/>
    </row>
    <row r="7745" spans="1:14" ht="11.25" customHeight="1" x14ac:dyDescent="0.2">
      <c r="A7745" s="242">
        <v>2025</v>
      </c>
      <c r="B7745" s="242">
        <v>3</v>
      </c>
      <c r="C7745" s="242">
        <v>27</v>
      </c>
      <c r="D7745" s="243">
        <f t="shared" si="881"/>
        <v>45743</v>
      </c>
      <c r="E7745" s="244">
        <f>DATE(A7745,B7745,C7745)</f>
        <v>45743</v>
      </c>
      <c r="F7745" s="524"/>
      <c r="G7745" s="245" t="s">
        <v>1245</v>
      </c>
      <c r="H7745" s="246"/>
      <c r="I7745" s="246"/>
      <c r="J7745" s="242" t="s">
        <v>1582</v>
      </c>
      <c r="K7745" s="247"/>
      <c r="L7745" s="247">
        <f>K7744</f>
        <v>4683.6228287841186</v>
      </c>
      <c r="M7745" s="130"/>
    </row>
    <row r="7746" spans="1:14" ht="11.25" customHeight="1" x14ac:dyDescent="0.2">
      <c r="A7746" s="210">
        <v>2025</v>
      </c>
      <c r="B7746" s="210">
        <v>3</v>
      </c>
      <c r="C7746" s="210">
        <v>27</v>
      </c>
      <c r="D7746" s="211">
        <f t="shared" si="881"/>
        <v>45743</v>
      </c>
      <c r="E7746" s="238">
        <f t="shared" ref="E7746:E7825" si="884">DATE(A7746,B7746,C7746)</f>
        <v>45743</v>
      </c>
      <c r="F7746" s="520" t="s">
        <v>2055</v>
      </c>
      <c r="G7746" s="213" t="s">
        <v>1245</v>
      </c>
      <c r="H7746" s="214"/>
      <c r="I7746" s="214" t="s">
        <v>1253</v>
      </c>
      <c r="J7746" s="210" t="s">
        <v>58</v>
      </c>
      <c r="K7746" s="215">
        <v>24666.61</v>
      </c>
      <c r="L7746" s="215"/>
    </row>
    <row r="7747" spans="1:14" ht="11.25" customHeight="1" x14ac:dyDescent="0.2">
      <c r="A7747" s="216">
        <v>2025</v>
      </c>
      <c r="B7747" s="216">
        <v>3</v>
      </c>
      <c r="C7747" s="216">
        <v>27</v>
      </c>
      <c r="D7747" s="217">
        <f t="shared" si="881"/>
        <v>45743</v>
      </c>
      <c r="E7747" s="239">
        <f t="shared" si="884"/>
        <v>45743</v>
      </c>
      <c r="F7747" s="521"/>
      <c r="G7747" s="219" t="s">
        <v>1245</v>
      </c>
      <c r="H7747" s="220"/>
      <c r="I7747" s="220" t="s">
        <v>1253</v>
      </c>
      <c r="J7747" s="216" t="s">
        <v>153</v>
      </c>
      <c r="K7747" s="221"/>
      <c r="L7747" s="221">
        <f>K7746</f>
        <v>24666.61</v>
      </c>
    </row>
    <row r="7748" spans="1:14" ht="11.25" customHeight="1" x14ac:dyDescent="0.2">
      <c r="A7748" s="312">
        <v>2025</v>
      </c>
      <c r="B7748" s="312">
        <v>3</v>
      </c>
      <c r="C7748" s="312">
        <v>27</v>
      </c>
      <c r="D7748" s="313">
        <f t="shared" si="881"/>
        <v>45743</v>
      </c>
      <c r="E7748" s="314">
        <f t="shared" si="884"/>
        <v>45743</v>
      </c>
      <c r="F7748" s="522" t="s">
        <v>1477</v>
      </c>
      <c r="G7748" s="315" t="s">
        <v>1245</v>
      </c>
      <c r="H7748" s="316"/>
      <c r="I7748" s="316" t="s">
        <v>1253</v>
      </c>
      <c r="J7748" s="312" t="s">
        <v>1458</v>
      </c>
      <c r="K7748" s="317">
        <v>0</v>
      </c>
      <c r="L7748" s="317"/>
      <c r="M7748" s="120">
        <f>BS!$I$11</f>
        <v>5.9604644775390625E-8</v>
      </c>
    </row>
    <row r="7749" spans="1:14" ht="11.25" customHeight="1" x14ac:dyDescent="0.2">
      <c r="A7749" s="318">
        <v>2025</v>
      </c>
      <c r="B7749" s="318">
        <v>3</v>
      </c>
      <c r="C7749" s="318">
        <v>27</v>
      </c>
      <c r="D7749" s="319">
        <f t="shared" si="881"/>
        <v>45743</v>
      </c>
      <c r="E7749" s="320">
        <f t="shared" si="884"/>
        <v>45743</v>
      </c>
      <c r="F7749" s="523"/>
      <c r="G7749" s="321" t="s">
        <v>1245</v>
      </c>
      <c r="H7749" s="322"/>
      <c r="I7749" s="322" t="s">
        <v>1253</v>
      </c>
      <c r="J7749" s="318" t="s">
        <v>1460</v>
      </c>
      <c r="K7749" s="323"/>
      <c r="L7749" s="323">
        <f>K7748</f>
        <v>0</v>
      </c>
    </row>
    <row r="7750" spans="1:14" ht="11.25" customHeight="1" x14ac:dyDescent="0.2">
      <c r="A7750" s="312">
        <v>2025</v>
      </c>
      <c r="B7750" s="312">
        <v>3</v>
      </c>
      <c r="C7750" s="312">
        <v>27</v>
      </c>
      <c r="D7750" s="313">
        <f t="shared" si="881"/>
        <v>45743</v>
      </c>
      <c r="E7750" s="314">
        <f t="shared" si="884"/>
        <v>45743</v>
      </c>
      <c r="F7750" s="522" t="s">
        <v>1595</v>
      </c>
      <c r="G7750" s="315" t="s">
        <v>1245</v>
      </c>
      <c r="H7750" s="316"/>
      <c r="I7750" s="316" t="s">
        <v>1253</v>
      </c>
      <c r="J7750" s="312" t="s">
        <v>1459</v>
      </c>
      <c r="K7750" s="317">
        <v>1178290.0789999366</v>
      </c>
      <c r="L7750" s="317"/>
      <c r="M7750" s="120">
        <f>BS!$I$14</f>
        <v>0</v>
      </c>
    </row>
    <row r="7751" spans="1:14" ht="11.25" customHeight="1" x14ac:dyDescent="0.2">
      <c r="A7751" s="318">
        <v>2025</v>
      </c>
      <c r="B7751" s="318">
        <v>3</v>
      </c>
      <c r="C7751" s="318">
        <v>27</v>
      </c>
      <c r="D7751" s="319">
        <f t="shared" si="881"/>
        <v>45743</v>
      </c>
      <c r="E7751" s="320">
        <f t="shared" si="884"/>
        <v>45743</v>
      </c>
      <c r="F7751" s="523"/>
      <c r="G7751" s="321" t="s">
        <v>1245</v>
      </c>
      <c r="H7751" s="322"/>
      <c r="I7751" s="322" t="s">
        <v>1253</v>
      </c>
      <c r="J7751" s="318" t="s">
        <v>1461</v>
      </c>
      <c r="K7751" s="323"/>
      <c r="L7751" s="323">
        <f>K7750</f>
        <v>1178290.0789999366</v>
      </c>
    </row>
    <row r="7752" spans="1:14" ht="11.25" customHeight="1" x14ac:dyDescent="0.2">
      <c r="A7752" s="222">
        <v>2025</v>
      </c>
      <c r="B7752" s="222">
        <v>3</v>
      </c>
      <c r="C7752" s="222">
        <v>27</v>
      </c>
      <c r="D7752" s="223">
        <f t="shared" si="881"/>
        <v>45743</v>
      </c>
      <c r="E7752" s="240">
        <f t="shared" si="884"/>
        <v>45743</v>
      </c>
      <c r="F7752" s="511" t="s">
        <v>1244</v>
      </c>
      <c r="G7752" s="225" t="s">
        <v>1245</v>
      </c>
      <c r="H7752" s="226"/>
      <c r="I7752" s="226" t="s">
        <v>1253</v>
      </c>
      <c r="J7752" s="222" t="s">
        <v>87</v>
      </c>
      <c r="K7752" s="227">
        <v>2641.1500000003725</v>
      </c>
      <c r="L7752" s="227"/>
      <c r="M7752" s="120">
        <f>BS!$I$7</f>
        <v>0</v>
      </c>
    </row>
    <row r="7753" spans="1:14" ht="11.25" customHeight="1" x14ac:dyDescent="0.2">
      <c r="A7753" s="228">
        <v>2025</v>
      </c>
      <c r="B7753" s="228">
        <v>3</v>
      </c>
      <c r="C7753" s="228">
        <v>27</v>
      </c>
      <c r="D7753" s="229">
        <f t="shared" si="881"/>
        <v>45743</v>
      </c>
      <c r="E7753" s="241">
        <f t="shared" si="884"/>
        <v>45743</v>
      </c>
      <c r="F7753" s="512"/>
      <c r="G7753" s="231" t="s">
        <v>1245</v>
      </c>
      <c r="H7753" s="232"/>
      <c r="I7753" s="232" t="s">
        <v>1253</v>
      </c>
      <c r="J7753" s="228" t="s">
        <v>72</v>
      </c>
      <c r="K7753" s="233"/>
      <c r="L7753" s="233">
        <f>K7752</f>
        <v>2641.1500000003725</v>
      </c>
    </row>
    <row r="7754" spans="1:14" ht="11.25" customHeight="1" x14ac:dyDescent="0.2">
      <c r="A7754" s="222">
        <v>2025</v>
      </c>
      <c r="B7754" s="222">
        <v>3</v>
      </c>
      <c r="C7754" s="222">
        <v>27</v>
      </c>
      <c r="D7754" s="223">
        <f t="shared" si="881"/>
        <v>45743</v>
      </c>
      <c r="E7754" s="240">
        <f t="shared" si="884"/>
        <v>45743</v>
      </c>
      <c r="F7754" s="511" t="s">
        <v>1246</v>
      </c>
      <c r="G7754" s="225" t="s">
        <v>1245</v>
      </c>
      <c r="H7754" s="226"/>
      <c r="I7754" s="226" t="s">
        <v>1253</v>
      </c>
      <c r="J7754" s="222" t="s">
        <v>75</v>
      </c>
      <c r="K7754" s="227">
        <v>3623.123846153846</v>
      </c>
      <c r="L7754" s="227"/>
      <c r="M7754" s="130"/>
    </row>
    <row r="7755" spans="1:14" ht="11.25" customHeight="1" x14ac:dyDescent="0.2">
      <c r="A7755" s="228">
        <v>2025</v>
      </c>
      <c r="B7755" s="228">
        <v>3</v>
      </c>
      <c r="C7755" s="228">
        <v>27</v>
      </c>
      <c r="D7755" s="229">
        <f t="shared" si="881"/>
        <v>45743</v>
      </c>
      <c r="E7755" s="241">
        <f t="shared" si="884"/>
        <v>45743</v>
      </c>
      <c r="F7755" s="512"/>
      <c r="G7755" s="231" t="s">
        <v>1245</v>
      </c>
      <c r="H7755" s="232"/>
      <c r="I7755" s="232" t="s">
        <v>1253</v>
      </c>
      <c r="J7755" s="228" t="s">
        <v>55</v>
      </c>
      <c r="K7755" s="233"/>
      <c r="L7755" s="233">
        <v>3623.123846153846</v>
      </c>
    </row>
    <row r="7756" spans="1:14" ht="11.25" customHeight="1" x14ac:dyDescent="0.2">
      <c r="A7756" s="222">
        <v>2025</v>
      </c>
      <c r="B7756" s="222">
        <v>3</v>
      </c>
      <c r="C7756" s="222">
        <v>27</v>
      </c>
      <c r="D7756" s="223">
        <f t="shared" si="881"/>
        <v>45743</v>
      </c>
      <c r="E7756" s="240">
        <f t="shared" si="884"/>
        <v>45743</v>
      </c>
      <c r="F7756" s="511" t="s">
        <v>1247</v>
      </c>
      <c r="G7756" s="225" t="s">
        <v>1245</v>
      </c>
      <c r="H7756" s="226"/>
      <c r="I7756" s="226" t="s">
        <v>1253</v>
      </c>
      <c r="J7756" s="222" t="s">
        <v>77</v>
      </c>
      <c r="K7756" s="227">
        <f>M7756</f>
        <v>103835.86938667328</v>
      </c>
      <c r="L7756" s="227"/>
      <c r="M7756" s="130">
        <v>103835.86938667328</v>
      </c>
      <c r="N7756" s="130"/>
    </row>
    <row r="7757" spans="1:14" ht="11.25" customHeight="1" x14ac:dyDescent="0.2">
      <c r="A7757" s="228">
        <v>2025</v>
      </c>
      <c r="B7757" s="228">
        <v>3</v>
      </c>
      <c r="C7757" s="228">
        <v>27</v>
      </c>
      <c r="D7757" s="229">
        <f t="shared" si="881"/>
        <v>45743</v>
      </c>
      <c r="E7757" s="241">
        <f t="shared" si="884"/>
        <v>45743</v>
      </c>
      <c r="F7757" s="512"/>
      <c r="G7757" s="231" t="s">
        <v>1245</v>
      </c>
      <c r="H7757" s="232"/>
      <c r="I7757" s="232" t="s">
        <v>1253</v>
      </c>
      <c r="J7757" s="228" t="s">
        <v>41</v>
      </c>
      <c r="K7757" s="233"/>
      <c r="L7757" s="233">
        <f>K7756</f>
        <v>103835.86938667328</v>
      </c>
      <c r="M7757" s="130">
        <v>10383.586938667328</v>
      </c>
      <c r="N7757" s="130"/>
    </row>
    <row r="7758" spans="1:14" ht="11.25" customHeight="1" x14ac:dyDescent="0.2">
      <c r="A7758" s="222">
        <v>2025</v>
      </c>
      <c r="B7758" s="222">
        <v>3</v>
      </c>
      <c r="C7758" s="222">
        <v>27</v>
      </c>
      <c r="D7758" s="223">
        <f t="shared" si="881"/>
        <v>45743</v>
      </c>
      <c r="E7758" s="240">
        <f t="shared" si="884"/>
        <v>45743</v>
      </c>
      <c r="F7758" s="511" t="s">
        <v>1248</v>
      </c>
      <c r="G7758" s="225" t="s">
        <v>1245</v>
      </c>
      <c r="H7758" s="226"/>
      <c r="I7758" s="226" t="s">
        <v>1253</v>
      </c>
      <c r="J7758" s="222" t="s">
        <v>80</v>
      </c>
      <c r="K7758" s="227">
        <f>M7757</f>
        <v>10383.586938667328</v>
      </c>
      <c r="L7758" s="227"/>
    </row>
    <row r="7759" spans="1:14" ht="11.25" customHeight="1" x14ac:dyDescent="0.2">
      <c r="A7759" s="228">
        <v>2025</v>
      </c>
      <c r="B7759" s="228">
        <v>3</v>
      </c>
      <c r="C7759" s="228">
        <v>27</v>
      </c>
      <c r="D7759" s="229">
        <f t="shared" si="881"/>
        <v>45743</v>
      </c>
      <c r="E7759" s="241">
        <f t="shared" si="884"/>
        <v>45743</v>
      </c>
      <c r="F7759" s="512"/>
      <c r="G7759" s="231" t="s">
        <v>1245</v>
      </c>
      <c r="H7759" s="232"/>
      <c r="I7759" s="232" t="s">
        <v>1253</v>
      </c>
      <c r="J7759" s="228" t="s">
        <v>42</v>
      </c>
      <c r="K7759" s="233"/>
      <c r="L7759" s="233">
        <f>K7758</f>
        <v>10383.586938667328</v>
      </c>
    </row>
    <row r="7760" spans="1:14" ht="11.25" customHeight="1" x14ac:dyDescent="0.2">
      <c r="A7760" s="197">
        <v>2025</v>
      </c>
      <c r="B7760" s="197">
        <v>4</v>
      </c>
      <c r="C7760" s="197">
        <v>5</v>
      </c>
      <c r="D7760" s="198">
        <f t="shared" si="881"/>
        <v>45752</v>
      </c>
      <c r="E7760" s="209">
        <f t="shared" si="884"/>
        <v>45752</v>
      </c>
      <c r="F7760" s="513" t="s">
        <v>1296</v>
      </c>
      <c r="G7760" s="200" t="s">
        <v>1209</v>
      </c>
      <c r="H7760" s="201"/>
      <c r="I7760" s="201"/>
      <c r="J7760" s="197" t="s">
        <v>46</v>
      </c>
      <c r="K7760" s="202">
        <v>232000</v>
      </c>
      <c r="L7760" s="202"/>
    </row>
    <row r="7761" spans="1:14" ht="11.25" customHeight="1" x14ac:dyDescent="0.2">
      <c r="A7761" s="120">
        <v>2025</v>
      </c>
      <c r="B7761" s="120">
        <v>4</v>
      </c>
      <c r="C7761" s="120">
        <v>5</v>
      </c>
      <c r="D7761" s="208">
        <f t="shared" si="881"/>
        <v>45752</v>
      </c>
      <c r="E7761" s="209">
        <f t="shared" si="884"/>
        <v>45752</v>
      </c>
      <c r="F7761" s="515"/>
      <c r="G7761" s="132" t="s">
        <v>1209</v>
      </c>
      <c r="J7761" s="120" t="s">
        <v>16</v>
      </c>
      <c r="K7761" s="207"/>
      <c r="L7761" s="207">
        <v>187150</v>
      </c>
    </row>
    <row r="7762" spans="1:14" ht="11.25" customHeight="1" x14ac:dyDescent="0.2">
      <c r="A7762" s="191">
        <v>2025</v>
      </c>
      <c r="B7762" s="191">
        <v>4</v>
      </c>
      <c r="C7762" s="191">
        <v>5</v>
      </c>
      <c r="D7762" s="192">
        <f t="shared" si="881"/>
        <v>45752</v>
      </c>
      <c r="E7762" s="193">
        <f t="shared" si="884"/>
        <v>45752</v>
      </c>
      <c r="F7762" s="514"/>
      <c r="G7762" s="194" t="s">
        <v>1209</v>
      </c>
      <c r="H7762" s="195"/>
      <c r="I7762" s="195"/>
      <c r="J7762" s="191" t="s">
        <v>47</v>
      </c>
      <c r="K7762" s="196"/>
      <c r="L7762" s="196">
        <v>44850</v>
      </c>
    </row>
    <row r="7763" spans="1:14" ht="11.25" customHeight="1" x14ac:dyDescent="0.2">
      <c r="A7763" s="197">
        <v>2025</v>
      </c>
      <c r="B7763" s="197">
        <v>4</v>
      </c>
      <c r="C7763" s="197">
        <v>7</v>
      </c>
      <c r="D7763" s="198">
        <f t="shared" si="881"/>
        <v>45754</v>
      </c>
      <c r="E7763" s="209">
        <f t="shared" ref="E7763:E7765" si="885">DATE(A7763,B7763,C7763)</f>
        <v>45754</v>
      </c>
      <c r="F7763" s="513" t="s">
        <v>1210</v>
      </c>
      <c r="G7763" s="200" t="s">
        <v>1209</v>
      </c>
      <c r="H7763" s="201"/>
      <c r="I7763" s="201" t="s">
        <v>463</v>
      </c>
      <c r="J7763" s="197" t="s">
        <v>46</v>
      </c>
      <c r="K7763" s="202">
        <v>500000</v>
      </c>
      <c r="L7763" s="202"/>
    </row>
    <row r="7764" spans="1:14" ht="11.25" customHeight="1" x14ac:dyDescent="0.2">
      <c r="A7764" s="120">
        <v>2025</v>
      </c>
      <c r="B7764" s="120">
        <v>4</v>
      </c>
      <c r="C7764" s="120">
        <v>7</v>
      </c>
      <c r="D7764" s="208">
        <f t="shared" si="881"/>
        <v>45754</v>
      </c>
      <c r="E7764" s="209">
        <f t="shared" si="885"/>
        <v>45754</v>
      </c>
      <c r="F7764" s="515"/>
      <c r="G7764" s="132" t="s">
        <v>1209</v>
      </c>
      <c r="I7764" s="128" t="s">
        <v>463</v>
      </c>
      <c r="J7764" s="120" t="s">
        <v>16</v>
      </c>
      <c r="K7764" s="207"/>
      <c r="L7764" s="207">
        <v>404110</v>
      </c>
    </row>
    <row r="7765" spans="1:14" ht="11.25" customHeight="1" x14ac:dyDescent="0.2">
      <c r="A7765" s="191">
        <v>2025</v>
      </c>
      <c r="B7765" s="191">
        <v>4</v>
      </c>
      <c r="C7765" s="191">
        <v>7</v>
      </c>
      <c r="D7765" s="192">
        <f t="shared" si="881"/>
        <v>45754</v>
      </c>
      <c r="E7765" s="193">
        <f t="shared" si="885"/>
        <v>45754</v>
      </c>
      <c r="F7765" s="514"/>
      <c r="G7765" s="194" t="s">
        <v>1209</v>
      </c>
      <c r="H7765" s="195"/>
      <c r="I7765" s="195" t="s">
        <v>463</v>
      </c>
      <c r="J7765" s="191" t="s">
        <v>47</v>
      </c>
      <c r="K7765" s="196"/>
      <c r="L7765" s="196">
        <v>95890</v>
      </c>
    </row>
    <row r="7766" spans="1:14" ht="11.25" customHeight="1" x14ac:dyDescent="0.2">
      <c r="A7766" s="197">
        <v>2025</v>
      </c>
      <c r="B7766" s="197">
        <v>4</v>
      </c>
      <c r="C7766" s="197">
        <v>7</v>
      </c>
      <c r="D7766" s="198">
        <f t="shared" si="881"/>
        <v>45754</v>
      </c>
      <c r="E7766" s="209">
        <f t="shared" ref="E7766:E7768" si="886">DATE(A7766,B7766,C7766)</f>
        <v>45754</v>
      </c>
      <c r="F7766" s="513" t="s">
        <v>1210</v>
      </c>
      <c r="G7766" s="200" t="s">
        <v>1209</v>
      </c>
      <c r="H7766" s="201"/>
      <c r="I7766" s="201" t="s">
        <v>463</v>
      </c>
      <c r="J7766" s="197" t="s">
        <v>46</v>
      </c>
      <c r="K7766" s="202">
        <v>500000</v>
      </c>
      <c r="L7766" s="202"/>
    </row>
    <row r="7767" spans="1:14" ht="11.25" customHeight="1" x14ac:dyDescent="0.2">
      <c r="A7767" s="120">
        <v>2025</v>
      </c>
      <c r="B7767" s="120">
        <v>4</v>
      </c>
      <c r="C7767" s="120">
        <v>7</v>
      </c>
      <c r="D7767" s="208">
        <f t="shared" si="881"/>
        <v>45754</v>
      </c>
      <c r="E7767" s="209">
        <f t="shared" si="886"/>
        <v>45754</v>
      </c>
      <c r="F7767" s="515"/>
      <c r="G7767" s="132" t="s">
        <v>1209</v>
      </c>
      <c r="I7767" s="128" t="s">
        <v>463</v>
      </c>
      <c r="J7767" s="120" t="s">
        <v>16</v>
      </c>
      <c r="K7767" s="207"/>
      <c r="L7767" s="207">
        <v>404110</v>
      </c>
    </row>
    <row r="7768" spans="1:14" ht="11.25" customHeight="1" x14ac:dyDescent="0.2">
      <c r="A7768" s="191">
        <v>2025</v>
      </c>
      <c r="B7768" s="191">
        <v>4</v>
      </c>
      <c r="C7768" s="191">
        <v>7</v>
      </c>
      <c r="D7768" s="192">
        <f t="shared" si="881"/>
        <v>45754</v>
      </c>
      <c r="E7768" s="193">
        <f t="shared" si="886"/>
        <v>45754</v>
      </c>
      <c r="F7768" s="514"/>
      <c r="G7768" s="194" t="s">
        <v>1209</v>
      </c>
      <c r="H7768" s="195"/>
      <c r="I7768" s="195" t="s">
        <v>463</v>
      </c>
      <c r="J7768" s="191" t="s">
        <v>47</v>
      </c>
      <c r="K7768" s="196"/>
      <c r="L7768" s="196">
        <v>95890</v>
      </c>
    </row>
    <row r="7769" spans="1:14" ht="11.25" customHeight="1" x14ac:dyDescent="0.2">
      <c r="A7769" s="197">
        <v>2025</v>
      </c>
      <c r="B7769" s="197">
        <v>4</v>
      </c>
      <c r="C7769" s="197">
        <v>7</v>
      </c>
      <c r="D7769" s="198">
        <f t="shared" si="881"/>
        <v>45754</v>
      </c>
      <c r="E7769" s="209">
        <f t="shared" ref="E7769:E7771" si="887">DATE(A7769,B7769,C7769)</f>
        <v>45754</v>
      </c>
      <c r="F7769" s="513" t="s">
        <v>1210</v>
      </c>
      <c r="G7769" s="200" t="s">
        <v>1209</v>
      </c>
      <c r="H7769" s="201"/>
      <c r="I7769" s="201" t="s">
        <v>1235</v>
      </c>
      <c r="J7769" s="197" t="s">
        <v>46</v>
      </c>
      <c r="K7769" s="202">
        <v>300000</v>
      </c>
      <c r="L7769" s="202"/>
    </row>
    <row r="7770" spans="1:14" ht="11.25" customHeight="1" x14ac:dyDescent="0.2">
      <c r="A7770" s="120">
        <v>2025</v>
      </c>
      <c r="B7770" s="120">
        <v>4</v>
      </c>
      <c r="C7770" s="120">
        <v>7</v>
      </c>
      <c r="D7770" s="208">
        <f t="shared" si="881"/>
        <v>45754</v>
      </c>
      <c r="E7770" s="209">
        <f t="shared" si="887"/>
        <v>45754</v>
      </c>
      <c r="F7770" s="515"/>
      <c r="G7770" s="132" t="s">
        <v>1209</v>
      </c>
      <c r="I7770" s="128" t="s">
        <v>1235</v>
      </c>
      <c r="J7770" s="120" t="s">
        <v>16</v>
      </c>
      <c r="K7770" s="207"/>
      <c r="L7770" s="207">
        <v>242460</v>
      </c>
    </row>
    <row r="7771" spans="1:14" ht="11.25" customHeight="1" x14ac:dyDescent="0.2">
      <c r="A7771" s="191">
        <v>2025</v>
      </c>
      <c r="B7771" s="191">
        <v>4</v>
      </c>
      <c r="C7771" s="191">
        <v>7</v>
      </c>
      <c r="D7771" s="192">
        <f t="shared" si="881"/>
        <v>45754</v>
      </c>
      <c r="E7771" s="193">
        <f t="shared" si="887"/>
        <v>45754</v>
      </c>
      <c r="F7771" s="514"/>
      <c r="G7771" s="194" t="s">
        <v>1209</v>
      </c>
      <c r="H7771" s="195"/>
      <c r="I7771" s="195" t="s">
        <v>1235</v>
      </c>
      <c r="J7771" s="191" t="s">
        <v>47</v>
      </c>
      <c r="K7771" s="196"/>
      <c r="L7771" s="196">
        <v>57540</v>
      </c>
    </row>
    <row r="7772" spans="1:14" ht="11.25" customHeight="1" x14ac:dyDescent="0.2">
      <c r="A7772" s="197">
        <v>2025</v>
      </c>
      <c r="B7772" s="197">
        <v>4</v>
      </c>
      <c r="C7772" s="197">
        <v>7</v>
      </c>
      <c r="D7772" s="198">
        <f t="shared" si="881"/>
        <v>45754</v>
      </c>
      <c r="E7772" s="209">
        <f t="shared" ref="E7772:E7794" si="888">DATE(A7772,B7772,C7772)</f>
        <v>45754</v>
      </c>
      <c r="F7772" s="513" t="s">
        <v>1210</v>
      </c>
      <c r="G7772" s="200" t="s">
        <v>1209</v>
      </c>
      <c r="H7772" s="201"/>
      <c r="I7772" s="201" t="s">
        <v>1235</v>
      </c>
      <c r="J7772" s="197" t="s">
        <v>46</v>
      </c>
      <c r="K7772" s="202">
        <v>230000</v>
      </c>
      <c r="L7772" s="202"/>
    </row>
    <row r="7773" spans="1:14" ht="11.25" customHeight="1" x14ac:dyDescent="0.2">
      <c r="A7773" s="120">
        <v>2025</v>
      </c>
      <c r="B7773" s="120">
        <v>4</v>
      </c>
      <c r="C7773" s="120">
        <v>7</v>
      </c>
      <c r="D7773" s="208">
        <f t="shared" si="881"/>
        <v>45754</v>
      </c>
      <c r="E7773" s="209">
        <f t="shared" si="888"/>
        <v>45754</v>
      </c>
      <c r="F7773" s="515"/>
      <c r="G7773" s="132" t="s">
        <v>1209</v>
      </c>
      <c r="I7773" s="128" t="s">
        <v>1235</v>
      </c>
      <c r="J7773" s="120" t="s">
        <v>16</v>
      </c>
      <c r="K7773" s="207"/>
      <c r="L7773" s="207">
        <v>185890</v>
      </c>
    </row>
    <row r="7774" spans="1:14" ht="11.25" customHeight="1" x14ac:dyDescent="0.2">
      <c r="A7774" s="191">
        <v>2025</v>
      </c>
      <c r="B7774" s="191">
        <v>4</v>
      </c>
      <c r="C7774" s="191">
        <v>7</v>
      </c>
      <c r="D7774" s="192">
        <f t="shared" si="881"/>
        <v>45754</v>
      </c>
      <c r="E7774" s="193">
        <f t="shared" si="888"/>
        <v>45754</v>
      </c>
      <c r="F7774" s="514"/>
      <c r="G7774" s="194" t="s">
        <v>1209</v>
      </c>
      <c r="H7774" s="195"/>
      <c r="I7774" s="195" t="s">
        <v>1235</v>
      </c>
      <c r="J7774" s="191" t="s">
        <v>47</v>
      </c>
      <c r="K7774" s="196"/>
      <c r="L7774" s="196">
        <v>44110</v>
      </c>
    </row>
    <row r="7775" spans="1:14" ht="11.25" customHeight="1" x14ac:dyDescent="0.2">
      <c r="A7775" s="197">
        <v>2025</v>
      </c>
      <c r="B7775" s="197">
        <v>4</v>
      </c>
      <c r="C7775" s="197">
        <v>7</v>
      </c>
      <c r="D7775" s="198">
        <f t="shared" si="881"/>
        <v>45754</v>
      </c>
      <c r="E7775" s="199">
        <f t="shared" si="888"/>
        <v>45754</v>
      </c>
      <c r="F7775" s="513" t="s">
        <v>2003</v>
      </c>
      <c r="G7775" s="200" t="s">
        <v>1209</v>
      </c>
      <c r="H7775" s="201"/>
      <c r="I7775" s="201" t="s">
        <v>1253</v>
      </c>
      <c r="J7775" s="197" t="s">
        <v>2003</v>
      </c>
      <c r="K7775" s="202">
        <v>10000000</v>
      </c>
      <c r="L7775" s="202"/>
    </row>
    <row r="7776" spans="1:14" ht="11.25" customHeight="1" x14ac:dyDescent="0.2">
      <c r="A7776" s="191">
        <v>2025</v>
      </c>
      <c r="B7776" s="191">
        <v>4</v>
      </c>
      <c r="C7776" s="191">
        <v>7</v>
      </c>
      <c r="D7776" s="192">
        <f t="shared" si="881"/>
        <v>45754</v>
      </c>
      <c r="E7776" s="193">
        <f t="shared" si="888"/>
        <v>45754</v>
      </c>
      <c r="F7776" s="514"/>
      <c r="G7776" s="194" t="s">
        <v>1209</v>
      </c>
      <c r="H7776" s="195"/>
      <c r="I7776" s="195" t="s">
        <v>1253</v>
      </c>
      <c r="J7776" s="191" t="s">
        <v>46</v>
      </c>
      <c r="K7776" s="196"/>
      <c r="L7776" s="196">
        <v>10000000</v>
      </c>
      <c r="N7776" s="130"/>
    </row>
    <row r="7777" spans="1:15" ht="11.25" customHeight="1" x14ac:dyDescent="0.2">
      <c r="A7777" s="197">
        <v>2025</v>
      </c>
      <c r="B7777" s="197">
        <v>4</v>
      </c>
      <c r="C7777" s="197">
        <v>7</v>
      </c>
      <c r="D7777" s="198">
        <f t="shared" si="881"/>
        <v>45754</v>
      </c>
      <c r="E7777" s="290">
        <f>DATE(A7777,B7777,C7777)</f>
        <v>45754</v>
      </c>
      <c r="F7777" s="513" t="s">
        <v>1514</v>
      </c>
      <c r="G7777" s="200" t="s">
        <v>1209</v>
      </c>
      <c r="H7777" s="201"/>
      <c r="I7777" s="201"/>
      <c r="J7777" s="197" t="s">
        <v>54</v>
      </c>
      <c r="K7777" s="202">
        <v>100</v>
      </c>
      <c r="L7777" s="202"/>
      <c r="M7777" s="251"/>
      <c r="N7777" s="251"/>
      <c r="O7777" s="251"/>
    </row>
    <row r="7778" spans="1:15" ht="11.25" customHeight="1" x14ac:dyDescent="0.2">
      <c r="A7778" s="191">
        <v>2025</v>
      </c>
      <c r="B7778" s="191">
        <v>4</v>
      </c>
      <c r="C7778" s="191">
        <v>7</v>
      </c>
      <c r="D7778" s="192">
        <f t="shared" si="881"/>
        <v>45754</v>
      </c>
      <c r="E7778" s="291">
        <f>DATE(A7778,B7778,C7778)</f>
        <v>45754</v>
      </c>
      <c r="F7778" s="514"/>
      <c r="G7778" s="194" t="s">
        <v>1209</v>
      </c>
      <c r="H7778" s="195"/>
      <c r="I7778" s="195"/>
      <c r="J7778" s="191" t="s">
        <v>46</v>
      </c>
      <c r="K7778" s="196"/>
      <c r="L7778" s="196">
        <v>100</v>
      </c>
      <c r="M7778" s="251"/>
      <c r="N7778" s="251"/>
      <c r="O7778" s="251"/>
    </row>
    <row r="7779" spans="1:15" ht="11.25" customHeight="1" x14ac:dyDescent="0.2">
      <c r="A7779" s="197">
        <v>2025</v>
      </c>
      <c r="B7779" s="197">
        <v>4</v>
      </c>
      <c r="C7779" s="197">
        <v>7</v>
      </c>
      <c r="D7779" s="198">
        <f t="shared" si="881"/>
        <v>45754</v>
      </c>
      <c r="E7779" s="290">
        <f t="shared" ref="E7779:E7780" si="889">DATE(A7779,B7779,C7779)</f>
        <v>45754</v>
      </c>
      <c r="F7779" s="513" t="s">
        <v>1994</v>
      </c>
      <c r="G7779" s="200" t="s">
        <v>1209</v>
      </c>
      <c r="H7779" s="201"/>
      <c r="I7779" s="201" t="s">
        <v>1253</v>
      </c>
      <c r="J7779" s="197" t="s">
        <v>46</v>
      </c>
      <c r="K7779" s="202">
        <v>142333.32999999999</v>
      </c>
      <c r="L7779" s="202"/>
      <c r="M7779" s="251"/>
    </row>
    <row r="7780" spans="1:15" ht="11.25" customHeight="1" x14ac:dyDescent="0.2">
      <c r="A7780" s="191">
        <v>2025</v>
      </c>
      <c r="B7780" s="191">
        <v>4</v>
      </c>
      <c r="C7780" s="191">
        <v>7</v>
      </c>
      <c r="D7780" s="192">
        <f t="shared" si="881"/>
        <v>45754</v>
      </c>
      <c r="E7780" s="291">
        <f t="shared" si="889"/>
        <v>45754</v>
      </c>
      <c r="F7780" s="514"/>
      <c r="G7780" s="194" t="s">
        <v>1209</v>
      </c>
      <c r="H7780" s="195"/>
      <c r="I7780" s="195" t="s">
        <v>1253</v>
      </c>
      <c r="J7780" s="191" t="s">
        <v>113</v>
      </c>
      <c r="K7780" s="196"/>
      <c r="L7780" s="379">
        <v>142333.32999999999</v>
      </c>
      <c r="M7780" s="328"/>
      <c r="N7780" s="328"/>
    </row>
    <row r="7781" spans="1:15" ht="11.25" customHeight="1" x14ac:dyDescent="0.2">
      <c r="A7781" s="197">
        <v>2025</v>
      </c>
      <c r="B7781" s="197">
        <v>4</v>
      </c>
      <c r="C7781" s="197">
        <v>8</v>
      </c>
      <c r="D7781" s="198">
        <f t="shared" si="881"/>
        <v>45755</v>
      </c>
      <c r="E7781" s="290">
        <f t="shared" ref="E7781:E7782" si="890">DATE(A7781,B7781,C7781)</f>
        <v>45755</v>
      </c>
      <c r="F7781" s="513" t="s">
        <v>2005</v>
      </c>
      <c r="G7781" s="200" t="s">
        <v>1209</v>
      </c>
      <c r="H7781" s="201"/>
      <c r="I7781" s="201" t="s">
        <v>1253</v>
      </c>
      <c r="J7781" s="197" t="s">
        <v>46</v>
      </c>
      <c r="K7781" s="202">
        <v>329750</v>
      </c>
      <c r="L7781" s="202"/>
    </row>
    <row r="7782" spans="1:15" ht="11.25" customHeight="1" x14ac:dyDescent="0.2">
      <c r="A7782" s="191">
        <v>2025</v>
      </c>
      <c r="B7782" s="191">
        <v>4</v>
      </c>
      <c r="C7782" s="191">
        <v>8</v>
      </c>
      <c r="D7782" s="192">
        <f t="shared" si="881"/>
        <v>45755</v>
      </c>
      <c r="E7782" s="291">
        <f t="shared" si="890"/>
        <v>45755</v>
      </c>
      <c r="F7782" s="514"/>
      <c r="G7782" s="194" t="s">
        <v>1209</v>
      </c>
      <c r="H7782" s="195"/>
      <c r="I7782" s="195"/>
      <c r="J7782" s="191" t="s">
        <v>1845</v>
      </c>
      <c r="K7782" s="196"/>
      <c r="L7782" s="196">
        <v>329750</v>
      </c>
    </row>
    <row r="7783" spans="1:15" ht="11.25" customHeight="1" x14ac:dyDescent="0.2">
      <c r="A7783" s="197">
        <v>2025</v>
      </c>
      <c r="B7783" s="197">
        <v>4</v>
      </c>
      <c r="C7783" s="197">
        <v>8</v>
      </c>
      <c r="D7783" s="198">
        <f t="shared" si="881"/>
        <v>45755</v>
      </c>
      <c r="E7783" s="209">
        <f t="shared" si="888"/>
        <v>45755</v>
      </c>
      <c r="F7783" s="513" t="s">
        <v>1210</v>
      </c>
      <c r="G7783" s="200" t="s">
        <v>1209</v>
      </c>
      <c r="H7783" s="201"/>
      <c r="I7783" s="201" t="s">
        <v>463</v>
      </c>
      <c r="J7783" s="197" t="s">
        <v>46</v>
      </c>
      <c r="K7783" s="202">
        <v>500000</v>
      </c>
      <c r="L7783" s="202"/>
    </row>
    <row r="7784" spans="1:15" ht="11.25" customHeight="1" x14ac:dyDescent="0.2">
      <c r="A7784" s="120">
        <v>2025</v>
      </c>
      <c r="B7784" s="120">
        <v>4</v>
      </c>
      <c r="C7784" s="120">
        <v>8</v>
      </c>
      <c r="D7784" s="208">
        <f t="shared" si="881"/>
        <v>45755</v>
      </c>
      <c r="E7784" s="209">
        <f t="shared" si="888"/>
        <v>45755</v>
      </c>
      <c r="F7784" s="515"/>
      <c r="G7784" s="132" t="s">
        <v>1209</v>
      </c>
      <c r="I7784" s="128" t="s">
        <v>463</v>
      </c>
      <c r="J7784" s="120" t="s">
        <v>16</v>
      </c>
      <c r="K7784" s="207"/>
      <c r="L7784" s="207">
        <v>404110</v>
      </c>
    </row>
    <row r="7785" spans="1:15" ht="11.25" customHeight="1" x14ac:dyDescent="0.2">
      <c r="A7785" s="191">
        <v>2025</v>
      </c>
      <c r="B7785" s="191">
        <v>4</v>
      </c>
      <c r="C7785" s="191">
        <v>8</v>
      </c>
      <c r="D7785" s="192">
        <f t="shared" si="881"/>
        <v>45755</v>
      </c>
      <c r="E7785" s="193">
        <f t="shared" si="888"/>
        <v>45755</v>
      </c>
      <c r="F7785" s="514"/>
      <c r="G7785" s="194" t="s">
        <v>1209</v>
      </c>
      <c r="H7785" s="195"/>
      <c r="I7785" s="195" t="s">
        <v>463</v>
      </c>
      <c r="J7785" s="191" t="s">
        <v>47</v>
      </c>
      <c r="K7785" s="196"/>
      <c r="L7785" s="196">
        <v>95890</v>
      </c>
    </row>
    <row r="7786" spans="1:15" ht="11.25" customHeight="1" x14ac:dyDescent="0.2">
      <c r="A7786" s="197">
        <v>2025</v>
      </c>
      <c r="B7786" s="197">
        <v>4</v>
      </c>
      <c r="C7786" s="197">
        <v>8</v>
      </c>
      <c r="D7786" s="198">
        <f t="shared" si="881"/>
        <v>45755</v>
      </c>
      <c r="E7786" s="209">
        <f t="shared" ref="E7786:E7791" si="891">DATE(A7786,B7786,C7786)</f>
        <v>45755</v>
      </c>
      <c r="F7786" s="513" t="s">
        <v>1280</v>
      </c>
      <c r="G7786" s="200" t="s">
        <v>1209</v>
      </c>
      <c r="H7786" s="201"/>
      <c r="I7786" s="201" t="s">
        <v>1790</v>
      </c>
      <c r="J7786" s="197" t="s">
        <v>16</v>
      </c>
      <c r="K7786" s="202">
        <v>13740</v>
      </c>
      <c r="L7786" s="202"/>
      <c r="M7786" s="130"/>
      <c r="N7786" s="130"/>
    </row>
    <row r="7787" spans="1:15" ht="11.25" customHeight="1" x14ac:dyDescent="0.2">
      <c r="A7787" s="120">
        <v>2025</v>
      </c>
      <c r="B7787" s="120">
        <v>4</v>
      </c>
      <c r="C7787" s="120">
        <v>8</v>
      </c>
      <c r="D7787" s="208">
        <f t="shared" si="881"/>
        <v>45755</v>
      </c>
      <c r="E7787" s="209">
        <f t="shared" si="891"/>
        <v>45755</v>
      </c>
      <c r="F7787" s="515"/>
      <c r="G7787" s="132" t="s">
        <v>1209</v>
      </c>
      <c r="I7787" s="128" t="s">
        <v>1790</v>
      </c>
      <c r="J7787" s="120" t="s">
        <v>47</v>
      </c>
      <c r="K7787" s="207">
        <v>3260</v>
      </c>
      <c r="L7787" s="207"/>
      <c r="M7787" s="130"/>
      <c r="N7787" s="130"/>
    </row>
    <row r="7788" spans="1:15" ht="11.25" customHeight="1" x14ac:dyDescent="0.2">
      <c r="A7788" s="191">
        <v>2025</v>
      </c>
      <c r="B7788" s="191">
        <v>4</v>
      </c>
      <c r="C7788" s="191">
        <v>8</v>
      </c>
      <c r="D7788" s="192">
        <f t="shared" ref="D7788:D7851" si="892">DATE(A7788,B7788,C7788)</f>
        <v>45755</v>
      </c>
      <c r="E7788" s="193">
        <f t="shared" si="891"/>
        <v>45755</v>
      </c>
      <c r="F7788" s="514"/>
      <c r="G7788" s="194" t="s">
        <v>1209</v>
      </c>
      <c r="H7788" s="195"/>
      <c r="I7788" s="195" t="s">
        <v>1790</v>
      </c>
      <c r="J7788" s="191" t="s">
        <v>46</v>
      </c>
      <c r="K7788" s="196"/>
      <c r="L7788" s="196">
        <v>17000</v>
      </c>
      <c r="M7788" s="130"/>
      <c r="N7788" s="130"/>
    </row>
    <row r="7789" spans="1:15" ht="11.25" customHeight="1" x14ac:dyDescent="0.2">
      <c r="A7789" s="197">
        <v>2025</v>
      </c>
      <c r="B7789" s="197">
        <v>4</v>
      </c>
      <c r="C7789" s="197">
        <v>8</v>
      </c>
      <c r="D7789" s="198">
        <f t="shared" si="892"/>
        <v>45755</v>
      </c>
      <c r="E7789" s="209">
        <f t="shared" si="891"/>
        <v>45755</v>
      </c>
      <c r="F7789" s="513" t="s">
        <v>1280</v>
      </c>
      <c r="G7789" s="200" t="s">
        <v>1209</v>
      </c>
      <c r="H7789" s="201"/>
      <c r="I7789" s="201" t="s">
        <v>1901</v>
      </c>
      <c r="J7789" s="197" t="s">
        <v>16</v>
      </c>
      <c r="K7789" s="202">
        <v>1741400</v>
      </c>
      <c r="L7789" s="202"/>
      <c r="M7789" s="130"/>
      <c r="N7789" s="130"/>
    </row>
    <row r="7790" spans="1:15" ht="11.25" customHeight="1" x14ac:dyDescent="0.2">
      <c r="A7790" s="120">
        <v>2025</v>
      </c>
      <c r="B7790" s="120">
        <v>4</v>
      </c>
      <c r="C7790" s="120">
        <v>8</v>
      </c>
      <c r="D7790" s="208">
        <f t="shared" si="892"/>
        <v>45755</v>
      </c>
      <c r="E7790" s="209">
        <f t="shared" si="891"/>
        <v>45755</v>
      </c>
      <c r="F7790" s="515"/>
      <c r="G7790" s="132" t="s">
        <v>1209</v>
      </c>
      <c r="I7790" s="128" t="s">
        <v>1901</v>
      </c>
      <c r="J7790" s="120" t="s">
        <v>47</v>
      </c>
      <c r="K7790" s="207">
        <v>417413.58000000007</v>
      </c>
      <c r="L7790" s="207"/>
      <c r="M7790" s="130"/>
      <c r="N7790" s="130"/>
    </row>
    <row r="7791" spans="1:15" ht="11.25" customHeight="1" x14ac:dyDescent="0.2">
      <c r="A7791" s="191">
        <v>2025</v>
      </c>
      <c r="B7791" s="191">
        <v>4</v>
      </c>
      <c r="C7791" s="191">
        <v>8</v>
      </c>
      <c r="D7791" s="192">
        <f t="shared" si="892"/>
        <v>45755</v>
      </c>
      <c r="E7791" s="193">
        <f t="shared" si="891"/>
        <v>45755</v>
      </c>
      <c r="F7791" s="514"/>
      <c r="G7791" s="194" t="s">
        <v>1209</v>
      </c>
      <c r="H7791" s="195"/>
      <c r="I7791" s="195" t="s">
        <v>1901</v>
      </c>
      <c r="J7791" s="191" t="s">
        <v>46</v>
      </c>
      <c r="K7791" s="196"/>
      <c r="L7791" s="196">
        <v>2158813.58</v>
      </c>
      <c r="M7791" s="130"/>
      <c r="N7791" s="130"/>
    </row>
    <row r="7792" spans="1:15" ht="11.25" customHeight="1" x14ac:dyDescent="0.2">
      <c r="A7792" s="197">
        <v>2025</v>
      </c>
      <c r="B7792" s="197">
        <v>4</v>
      </c>
      <c r="C7792" s="197">
        <v>8</v>
      </c>
      <c r="D7792" s="198">
        <f t="shared" si="892"/>
        <v>45755</v>
      </c>
      <c r="E7792" s="209">
        <f t="shared" si="888"/>
        <v>45755</v>
      </c>
      <c r="F7792" s="513" t="s">
        <v>1210</v>
      </c>
      <c r="G7792" s="200" t="s">
        <v>1209</v>
      </c>
      <c r="H7792" s="201"/>
      <c r="I7792" s="201" t="s">
        <v>463</v>
      </c>
      <c r="J7792" s="197" t="s">
        <v>46</v>
      </c>
      <c r="K7792" s="202">
        <v>500000</v>
      </c>
      <c r="L7792" s="202"/>
    </row>
    <row r="7793" spans="1:15" ht="11.25" customHeight="1" x14ac:dyDescent="0.2">
      <c r="A7793" s="120">
        <v>2025</v>
      </c>
      <c r="B7793" s="120">
        <v>4</v>
      </c>
      <c r="C7793" s="120">
        <v>8</v>
      </c>
      <c r="D7793" s="208">
        <f t="shared" si="892"/>
        <v>45755</v>
      </c>
      <c r="E7793" s="209">
        <f t="shared" si="888"/>
        <v>45755</v>
      </c>
      <c r="F7793" s="515"/>
      <c r="G7793" s="132" t="s">
        <v>1209</v>
      </c>
      <c r="I7793" s="128" t="s">
        <v>463</v>
      </c>
      <c r="J7793" s="120" t="s">
        <v>16</v>
      </c>
      <c r="K7793" s="207"/>
      <c r="L7793" s="207">
        <v>404110</v>
      </c>
    </row>
    <row r="7794" spans="1:15" ht="11.25" customHeight="1" x14ac:dyDescent="0.2">
      <c r="A7794" s="191">
        <v>2025</v>
      </c>
      <c r="B7794" s="191">
        <v>4</v>
      </c>
      <c r="C7794" s="191">
        <v>8</v>
      </c>
      <c r="D7794" s="192">
        <f t="shared" si="892"/>
        <v>45755</v>
      </c>
      <c r="E7794" s="193">
        <f t="shared" si="888"/>
        <v>45755</v>
      </c>
      <c r="F7794" s="514"/>
      <c r="G7794" s="194" t="s">
        <v>1209</v>
      </c>
      <c r="H7794" s="195"/>
      <c r="I7794" s="195" t="s">
        <v>463</v>
      </c>
      <c r="J7794" s="191" t="s">
        <v>47</v>
      </c>
      <c r="K7794" s="196"/>
      <c r="L7794" s="196">
        <v>95890</v>
      </c>
    </row>
    <row r="7795" spans="1:15" ht="11.25" customHeight="1" x14ac:dyDescent="0.2">
      <c r="A7795" s="197">
        <v>2025</v>
      </c>
      <c r="B7795" s="197">
        <v>4</v>
      </c>
      <c r="C7795" s="197">
        <v>8</v>
      </c>
      <c r="D7795" s="198">
        <f t="shared" si="892"/>
        <v>45755</v>
      </c>
      <c r="E7795" s="209">
        <f t="shared" ref="E7795:E7797" si="893">DATE(A7795,B7795,C7795)</f>
        <v>45755</v>
      </c>
      <c r="F7795" s="513" t="s">
        <v>1210</v>
      </c>
      <c r="G7795" s="200" t="s">
        <v>1209</v>
      </c>
      <c r="H7795" s="201"/>
      <c r="I7795" s="201" t="s">
        <v>1804</v>
      </c>
      <c r="J7795" s="197" t="s">
        <v>46</v>
      </c>
      <c r="K7795" s="202">
        <v>200000</v>
      </c>
      <c r="L7795" s="202"/>
    </row>
    <row r="7796" spans="1:15" ht="11.25" customHeight="1" x14ac:dyDescent="0.2">
      <c r="A7796" s="120">
        <v>2025</v>
      </c>
      <c r="B7796" s="120">
        <v>4</v>
      </c>
      <c r="C7796" s="120">
        <v>8</v>
      </c>
      <c r="D7796" s="208">
        <f t="shared" si="892"/>
        <v>45755</v>
      </c>
      <c r="E7796" s="209">
        <f t="shared" si="893"/>
        <v>45755</v>
      </c>
      <c r="F7796" s="515"/>
      <c r="G7796" s="132" t="s">
        <v>1209</v>
      </c>
      <c r="I7796" s="128" t="s">
        <v>1804</v>
      </c>
      <c r="J7796" s="120" t="s">
        <v>16</v>
      </c>
      <c r="K7796" s="207"/>
      <c r="L7796" s="207">
        <v>161640</v>
      </c>
    </row>
    <row r="7797" spans="1:15" ht="11.25" customHeight="1" x14ac:dyDescent="0.2">
      <c r="A7797" s="191">
        <v>2025</v>
      </c>
      <c r="B7797" s="191">
        <v>4</v>
      </c>
      <c r="C7797" s="191">
        <v>8</v>
      </c>
      <c r="D7797" s="192">
        <f t="shared" si="892"/>
        <v>45755</v>
      </c>
      <c r="E7797" s="193">
        <f t="shared" si="893"/>
        <v>45755</v>
      </c>
      <c r="F7797" s="514"/>
      <c r="G7797" s="194" t="s">
        <v>1209</v>
      </c>
      <c r="H7797" s="195"/>
      <c r="I7797" s="195" t="s">
        <v>1804</v>
      </c>
      <c r="J7797" s="191" t="s">
        <v>47</v>
      </c>
      <c r="K7797" s="196"/>
      <c r="L7797" s="196">
        <v>38360</v>
      </c>
    </row>
    <row r="7798" spans="1:15" ht="11.25" customHeight="1" x14ac:dyDescent="0.2">
      <c r="A7798" s="197">
        <v>2025</v>
      </c>
      <c r="B7798" s="197">
        <v>4</v>
      </c>
      <c r="C7798" s="197">
        <v>8</v>
      </c>
      <c r="D7798" s="198">
        <f t="shared" si="892"/>
        <v>45755</v>
      </c>
      <c r="E7798" s="290">
        <f>DATE(A7798,B7798,C7798)</f>
        <v>45755</v>
      </c>
      <c r="F7798" s="513" t="s">
        <v>1514</v>
      </c>
      <c r="G7798" s="200" t="s">
        <v>1209</v>
      </c>
      <c r="H7798" s="201"/>
      <c r="I7798" s="201"/>
      <c r="J7798" s="197" t="s">
        <v>54</v>
      </c>
      <c r="K7798" s="202">
        <v>100</v>
      </c>
      <c r="L7798" s="202"/>
      <c r="M7798" s="251"/>
      <c r="N7798" s="251"/>
      <c r="O7798" s="251"/>
    </row>
    <row r="7799" spans="1:15" ht="11.25" customHeight="1" x14ac:dyDescent="0.2">
      <c r="A7799" s="191">
        <v>2025</v>
      </c>
      <c r="B7799" s="191">
        <v>4</v>
      </c>
      <c r="C7799" s="191">
        <v>8</v>
      </c>
      <c r="D7799" s="192">
        <f t="shared" si="892"/>
        <v>45755</v>
      </c>
      <c r="E7799" s="291">
        <f>DATE(A7799,B7799,C7799)</f>
        <v>45755</v>
      </c>
      <c r="F7799" s="514"/>
      <c r="G7799" s="194" t="s">
        <v>1209</v>
      </c>
      <c r="H7799" s="195"/>
      <c r="I7799" s="195"/>
      <c r="J7799" s="191" t="s">
        <v>46</v>
      </c>
      <c r="K7799" s="196"/>
      <c r="L7799" s="196">
        <v>100</v>
      </c>
      <c r="M7799" s="251"/>
      <c r="N7799" s="251"/>
      <c r="O7799" s="251"/>
    </row>
    <row r="7800" spans="1:15" ht="11.25" customHeight="1" x14ac:dyDescent="0.2">
      <c r="A7800" s="197">
        <v>2025</v>
      </c>
      <c r="B7800" s="197">
        <v>4</v>
      </c>
      <c r="C7800" s="197">
        <v>9</v>
      </c>
      <c r="D7800" s="198">
        <f t="shared" si="892"/>
        <v>45756</v>
      </c>
      <c r="E7800" s="209">
        <f t="shared" si="884"/>
        <v>45756</v>
      </c>
      <c r="F7800" s="513" t="s">
        <v>1210</v>
      </c>
      <c r="G7800" s="200" t="s">
        <v>1209</v>
      </c>
      <c r="H7800" s="201"/>
      <c r="I7800" s="201" t="s">
        <v>355</v>
      </c>
      <c r="J7800" s="197" t="s">
        <v>46</v>
      </c>
      <c r="K7800" s="202">
        <v>310000</v>
      </c>
      <c r="L7800" s="202"/>
    </row>
    <row r="7801" spans="1:15" ht="11.25" customHeight="1" x14ac:dyDescent="0.2">
      <c r="A7801" s="120">
        <v>2025</v>
      </c>
      <c r="B7801" s="120">
        <v>4</v>
      </c>
      <c r="C7801" s="120">
        <v>9</v>
      </c>
      <c r="D7801" s="208">
        <f t="shared" si="892"/>
        <v>45756</v>
      </c>
      <c r="E7801" s="209">
        <f t="shared" si="884"/>
        <v>45756</v>
      </c>
      <c r="F7801" s="515"/>
      <c r="G7801" s="132" t="s">
        <v>1209</v>
      </c>
      <c r="I7801" s="128" t="s">
        <v>355</v>
      </c>
      <c r="J7801" s="120" t="s">
        <v>16</v>
      </c>
      <c r="K7801" s="207"/>
      <c r="L7801" s="207">
        <v>250550</v>
      </c>
    </row>
    <row r="7802" spans="1:15" ht="11.25" customHeight="1" x14ac:dyDescent="0.2">
      <c r="A7802" s="191">
        <v>2025</v>
      </c>
      <c r="B7802" s="191">
        <v>4</v>
      </c>
      <c r="C7802" s="191">
        <v>9</v>
      </c>
      <c r="D7802" s="192">
        <f t="shared" si="892"/>
        <v>45756</v>
      </c>
      <c r="E7802" s="193">
        <f t="shared" si="884"/>
        <v>45756</v>
      </c>
      <c r="F7802" s="514"/>
      <c r="G7802" s="194" t="s">
        <v>1209</v>
      </c>
      <c r="H7802" s="195"/>
      <c r="I7802" s="195" t="s">
        <v>355</v>
      </c>
      <c r="J7802" s="191" t="s">
        <v>47</v>
      </c>
      <c r="K7802" s="196"/>
      <c r="L7802" s="196">
        <v>59450</v>
      </c>
    </row>
    <row r="7803" spans="1:15" ht="11.25" customHeight="1" x14ac:dyDescent="0.2">
      <c r="A7803" s="197">
        <v>2025</v>
      </c>
      <c r="B7803" s="197">
        <v>4</v>
      </c>
      <c r="C7803" s="197">
        <v>9</v>
      </c>
      <c r="D7803" s="198">
        <f t="shared" si="892"/>
        <v>45756</v>
      </c>
      <c r="E7803" s="290">
        <f t="shared" si="884"/>
        <v>45756</v>
      </c>
      <c r="F7803" s="513" t="s">
        <v>2006</v>
      </c>
      <c r="G7803" s="200" t="s">
        <v>1209</v>
      </c>
      <c r="H7803" s="201"/>
      <c r="I7803" s="201" t="s">
        <v>1253</v>
      </c>
      <c r="J7803" s="197" t="s">
        <v>46</v>
      </c>
      <c r="K7803" s="202">
        <v>1445250</v>
      </c>
      <c r="L7803" s="202"/>
    </row>
    <row r="7804" spans="1:15" ht="11.25" customHeight="1" x14ac:dyDescent="0.2">
      <c r="A7804" s="191">
        <v>2025</v>
      </c>
      <c r="B7804" s="191">
        <v>4</v>
      </c>
      <c r="C7804" s="191">
        <v>9</v>
      </c>
      <c r="D7804" s="192">
        <f t="shared" si="892"/>
        <v>45756</v>
      </c>
      <c r="E7804" s="291">
        <f t="shared" si="884"/>
        <v>45756</v>
      </c>
      <c r="F7804" s="514"/>
      <c r="G7804" s="194" t="s">
        <v>1209</v>
      </c>
      <c r="H7804" s="195"/>
      <c r="I7804" s="195"/>
      <c r="J7804" s="191" t="s">
        <v>1845</v>
      </c>
      <c r="K7804" s="196"/>
      <c r="L7804" s="196">
        <v>1445250</v>
      </c>
    </row>
    <row r="7805" spans="1:15" ht="11.25" customHeight="1" x14ac:dyDescent="0.2">
      <c r="A7805" s="197">
        <v>2025</v>
      </c>
      <c r="B7805" s="197">
        <v>4</v>
      </c>
      <c r="C7805" s="197">
        <v>9</v>
      </c>
      <c r="D7805" s="198">
        <f t="shared" si="892"/>
        <v>45756</v>
      </c>
      <c r="E7805" s="290">
        <f t="shared" si="884"/>
        <v>45756</v>
      </c>
      <c r="F7805" s="513" t="s">
        <v>2007</v>
      </c>
      <c r="G7805" s="200" t="s">
        <v>1209</v>
      </c>
      <c r="H7805" s="201"/>
      <c r="I7805" s="201" t="s">
        <v>1253</v>
      </c>
      <c r="J7805" s="197" t="s">
        <v>46</v>
      </c>
      <c r="K7805" s="202">
        <v>93978.75</v>
      </c>
      <c r="L7805" s="202"/>
    </row>
    <row r="7806" spans="1:15" ht="11.25" customHeight="1" x14ac:dyDescent="0.2">
      <c r="A7806" s="191">
        <v>2025</v>
      </c>
      <c r="B7806" s="191">
        <v>4</v>
      </c>
      <c r="C7806" s="191">
        <v>9</v>
      </c>
      <c r="D7806" s="192">
        <f t="shared" si="892"/>
        <v>45756</v>
      </c>
      <c r="E7806" s="291">
        <f t="shared" si="884"/>
        <v>45756</v>
      </c>
      <c r="F7806" s="514"/>
      <c r="G7806" s="194" t="s">
        <v>1209</v>
      </c>
      <c r="H7806" s="195"/>
      <c r="I7806" s="195"/>
      <c r="J7806" s="191" t="s">
        <v>1845</v>
      </c>
      <c r="K7806" s="196"/>
      <c r="L7806" s="196">
        <v>93978.75</v>
      </c>
    </row>
    <row r="7807" spans="1:15" ht="11.25" customHeight="1" x14ac:dyDescent="0.2">
      <c r="A7807" s="197">
        <v>2025</v>
      </c>
      <c r="B7807" s="197">
        <v>4</v>
      </c>
      <c r="C7807" s="197">
        <v>10</v>
      </c>
      <c r="D7807" s="198">
        <f t="shared" si="892"/>
        <v>45757</v>
      </c>
      <c r="E7807" s="290">
        <f t="shared" si="884"/>
        <v>45757</v>
      </c>
      <c r="F7807" s="513" t="s">
        <v>1996</v>
      </c>
      <c r="G7807" s="200" t="s">
        <v>1209</v>
      </c>
      <c r="H7807" s="201"/>
      <c r="I7807" s="201" t="s">
        <v>1253</v>
      </c>
      <c r="J7807" s="197" t="s">
        <v>46</v>
      </c>
      <c r="K7807" s="202">
        <v>101666.67</v>
      </c>
      <c r="L7807" s="202"/>
      <c r="M7807" s="251"/>
    </row>
    <row r="7808" spans="1:15" ht="11.25" customHeight="1" x14ac:dyDescent="0.2">
      <c r="A7808" s="120">
        <v>2025</v>
      </c>
      <c r="B7808" s="120">
        <v>4</v>
      </c>
      <c r="C7808" s="120">
        <v>10</v>
      </c>
      <c r="D7808" s="208">
        <f t="shared" si="892"/>
        <v>45757</v>
      </c>
      <c r="E7808" s="293">
        <f t="shared" ref="E7808" si="894">DATE(A7808,B7808,C7808)</f>
        <v>45757</v>
      </c>
      <c r="F7808" s="515"/>
      <c r="G7808" s="132" t="s">
        <v>1209</v>
      </c>
      <c r="J7808" s="120" t="s">
        <v>113</v>
      </c>
      <c r="K7808" s="207"/>
      <c r="L7808" s="380">
        <v>93846.15</v>
      </c>
      <c r="M7808" s="251"/>
    </row>
    <row r="7809" spans="1:15" ht="11.25" customHeight="1" x14ac:dyDescent="0.2">
      <c r="A7809" s="191">
        <v>2025</v>
      </c>
      <c r="B7809" s="191">
        <v>4</v>
      </c>
      <c r="C7809" s="191">
        <v>10</v>
      </c>
      <c r="D7809" s="192">
        <f t="shared" si="892"/>
        <v>45757</v>
      </c>
      <c r="E7809" s="291">
        <f t="shared" si="884"/>
        <v>45757</v>
      </c>
      <c r="F7809" s="514"/>
      <c r="G7809" s="194" t="s">
        <v>1209</v>
      </c>
      <c r="H7809" s="195"/>
      <c r="I7809" s="195" t="s">
        <v>1253</v>
      </c>
      <c r="J7809" s="191" t="s">
        <v>113</v>
      </c>
      <c r="K7809" s="196"/>
      <c r="L7809" s="379">
        <v>7820.52</v>
      </c>
      <c r="N7809" s="130"/>
    </row>
    <row r="7810" spans="1:15" ht="11.25" customHeight="1" x14ac:dyDescent="0.2">
      <c r="A7810" s="197">
        <v>2025</v>
      </c>
      <c r="B7810" s="197">
        <v>4</v>
      </c>
      <c r="C7810" s="197">
        <v>10</v>
      </c>
      <c r="D7810" s="198">
        <f t="shared" si="892"/>
        <v>45757</v>
      </c>
      <c r="E7810" s="209">
        <f t="shared" si="884"/>
        <v>45757</v>
      </c>
      <c r="F7810" s="513" t="s">
        <v>1280</v>
      </c>
      <c r="G7810" s="200" t="s">
        <v>1209</v>
      </c>
      <c r="H7810" s="201"/>
      <c r="I7810" s="201" t="s">
        <v>1427</v>
      </c>
      <c r="J7810" s="197" t="s">
        <v>16</v>
      </c>
      <c r="K7810" s="202">
        <v>46980</v>
      </c>
      <c r="L7810" s="202"/>
      <c r="M7810" s="130"/>
      <c r="N7810" s="130"/>
    </row>
    <row r="7811" spans="1:15" ht="11.25" customHeight="1" x14ac:dyDescent="0.2">
      <c r="A7811" s="120">
        <v>2025</v>
      </c>
      <c r="B7811" s="120">
        <v>4</v>
      </c>
      <c r="C7811" s="120">
        <v>10</v>
      </c>
      <c r="D7811" s="208">
        <f t="shared" si="892"/>
        <v>45757</v>
      </c>
      <c r="E7811" s="209">
        <f t="shared" si="884"/>
        <v>45757</v>
      </c>
      <c r="F7811" s="515"/>
      <c r="G7811" s="132" t="s">
        <v>1209</v>
      </c>
      <c r="I7811" s="128" t="s">
        <v>1427</v>
      </c>
      <c r="J7811" s="120" t="s">
        <v>47</v>
      </c>
      <c r="K7811" s="207">
        <v>11144</v>
      </c>
      <c r="L7811" s="207"/>
      <c r="M7811" s="130"/>
      <c r="N7811" s="130"/>
    </row>
    <row r="7812" spans="1:15" ht="11.25" customHeight="1" x14ac:dyDescent="0.2">
      <c r="A7812" s="191">
        <v>2025</v>
      </c>
      <c r="B7812" s="191">
        <v>4</v>
      </c>
      <c r="C7812" s="191">
        <v>10</v>
      </c>
      <c r="D7812" s="192">
        <f t="shared" si="892"/>
        <v>45757</v>
      </c>
      <c r="E7812" s="193">
        <f t="shared" si="884"/>
        <v>45757</v>
      </c>
      <c r="F7812" s="514"/>
      <c r="G7812" s="194" t="s">
        <v>1209</v>
      </c>
      <c r="H7812" s="195"/>
      <c r="I7812" s="195" t="s">
        <v>1427</v>
      </c>
      <c r="J7812" s="191" t="s">
        <v>46</v>
      </c>
      <c r="K7812" s="196"/>
      <c r="L7812" s="196">
        <v>58124</v>
      </c>
      <c r="M7812" s="130"/>
      <c r="N7812" s="130"/>
    </row>
    <row r="7813" spans="1:15" ht="11.25" customHeight="1" x14ac:dyDescent="0.2">
      <c r="A7813" s="197">
        <v>2025</v>
      </c>
      <c r="B7813" s="197">
        <v>4</v>
      </c>
      <c r="C7813" s="197">
        <v>10</v>
      </c>
      <c r="D7813" s="198">
        <f t="shared" si="892"/>
        <v>45757</v>
      </c>
      <c r="E7813" s="209">
        <f t="shared" ref="E7813:E7815" si="895">DATE(A7813,B7813,C7813)</f>
        <v>45757</v>
      </c>
      <c r="F7813" s="513" t="s">
        <v>1210</v>
      </c>
      <c r="G7813" s="200" t="s">
        <v>1209</v>
      </c>
      <c r="H7813" s="201"/>
      <c r="I7813" s="201" t="s">
        <v>1334</v>
      </c>
      <c r="J7813" s="197" t="s">
        <v>46</v>
      </c>
      <c r="K7813" s="202">
        <v>8500000</v>
      </c>
      <c r="L7813" s="202"/>
    </row>
    <row r="7814" spans="1:15" ht="11.25" customHeight="1" x14ac:dyDescent="0.2">
      <c r="A7814" s="120">
        <v>2025</v>
      </c>
      <c r="B7814" s="120">
        <v>4</v>
      </c>
      <c r="C7814" s="120">
        <v>10</v>
      </c>
      <c r="D7814" s="208">
        <f t="shared" si="892"/>
        <v>45757</v>
      </c>
      <c r="E7814" s="209">
        <f t="shared" si="895"/>
        <v>45757</v>
      </c>
      <c r="F7814" s="515"/>
      <c r="G7814" s="132" t="s">
        <v>1209</v>
      </c>
      <c r="I7814" s="128" t="s">
        <v>1334</v>
      </c>
      <c r="J7814" s="120" t="s">
        <v>16</v>
      </c>
      <c r="K7814" s="207"/>
      <c r="L7814" s="207">
        <v>6869800</v>
      </c>
    </row>
    <row r="7815" spans="1:15" ht="11.25" customHeight="1" x14ac:dyDescent="0.2">
      <c r="A7815" s="191">
        <v>2025</v>
      </c>
      <c r="B7815" s="191">
        <v>4</v>
      </c>
      <c r="C7815" s="191">
        <v>10</v>
      </c>
      <c r="D7815" s="192">
        <f t="shared" si="892"/>
        <v>45757</v>
      </c>
      <c r="E7815" s="193">
        <f t="shared" si="895"/>
        <v>45757</v>
      </c>
      <c r="F7815" s="514"/>
      <c r="G7815" s="194" t="s">
        <v>1209</v>
      </c>
      <c r="H7815" s="195"/>
      <c r="I7815" s="195" t="s">
        <v>1334</v>
      </c>
      <c r="J7815" s="191" t="s">
        <v>47</v>
      </c>
      <c r="K7815" s="196"/>
      <c r="L7815" s="196">
        <v>1630200</v>
      </c>
    </row>
    <row r="7816" spans="1:15" ht="11.25" customHeight="1" x14ac:dyDescent="0.2">
      <c r="A7816" s="197">
        <v>2025</v>
      </c>
      <c r="B7816" s="197">
        <v>4</v>
      </c>
      <c r="C7816" s="197">
        <v>10</v>
      </c>
      <c r="D7816" s="198">
        <f t="shared" si="892"/>
        <v>45757</v>
      </c>
      <c r="E7816" s="209">
        <f t="shared" ref="E7816:E7818" si="896">DATE(A7816,B7816,C7816)</f>
        <v>45757</v>
      </c>
      <c r="F7816" s="513" t="s">
        <v>1210</v>
      </c>
      <c r="G7816" s="200" t="s">
        <v>1209</v>
      </c>
      <c r="H7816" s="201"/>
      <c r="I7816" s="201" t="s">
        <v>2010</v>
      </c>
      <c r="J7816" s="197" t="s">
        <v>46</v>
      </c>
      <c r="K7816" s="202">
        <v>300000</v>
      </c>
      <c r="L7816" s="202"/>
    </row>
    <row r="7817" spans="1:15" ht="11.25" customHeight="1" x14ac:dyDescent="0.2">
      <c r="A7817" s="120">
        <v>2025</v>
      </c>
      <c r="B7817" s="120">
        <v>4</v>
      </c>
      <c r="C7817" s="120">
        <v>10</v>
      </c>
      <c r="D7817" s="208">
        <f t="shared" si="892"/>
        <v>45757</v>
      </c>
      <c r="E7817" s="209">
        <f t="shared" si="896"/>
        <v>45757</v>
      </c>
      <c r="F7817" s="515"/>
      <c r="G7817" s="132" t="s">
        <v>1209</v>
      </c>
      <c r="I7817" s="128" t="s">
        <v>2010</v>
      </c>
      <c r="J7817" s="120" t="s">
        <v>16</v>
      </c>
      <c r="K7817" s="207"/>
      <c r="L7817" s="207">
        <v>242460</v>
      </c>
    </row>
    <row r="7818" spans="1:15" ht="11.25" customHeight="1" x14ac:dyDescent="0.2">
      <c r="A7818" s="191">
        <v>2025</v>
      </c>
      <c r="B7818" s="191">
        <v>4</v>
      </c>
      <c r="C7818" s="191">
        <v>10</v>
      </c>
      <c r="D7818" s="192">
        <f t="shared" si="892"/>
        <v>45757</v>
      </c>
      <c r="E7818" s="193">
        <f t="shared" si="896"/>
        <v>45757</v>
      </c>
      <c r="F7818" s="514"/>
      <c r="G7818" s="194" t="s">
        <v>1209</v>
      </c>
      <c r="H7818" s="195"/>
      <c r="I7818" s="195" t="s">
        <v>2010</v>
      </c>
      <c r="J7818" s="191" t="s">
        <v>47</v>
      </c>
      <c r="K7818" s="196"/>
      <c r="L7818" s="196">
        <v>57540</v>
      </c>
    </row>
    <row r="7819" spans="1:15" ht="11.25" customHeight="1" x14ac:dyDescent="0.2">
      <c r="A7819" s="197">
        <v>2025</v>
      </c>
      <c r="B7819" s="197">
        <v>4</v>
      </c>
      <c r="C7819" s="197">
        <v>10</v>
      </c>
      <c r="D7819" s="198">
        <f t="shared" si="892"/>
        <v>45757</v>
      </c>
      <c r="E7819" s="290">
        <f>DATE(A7819,B7819,C7819)</f>
        <v>45757</v>
      </c>
      <c r="F7819" s="513" t="s">
        <v>1514</v>
      </c>
      <c r="G7819" s="200" t="s">
        <v>1209</v>
      </c>
      <c r="H7819" s="201"/>
      <c r="I7819" s="201"/>
      <c r="J7819" s="197" t="s">
        <v>54</v>
      </c>
      <c r="K7819" s="202">
        <v>70</v>
      </c>
      <c r="L7819" s="202"/>
      <c r="M7819" s="251"/>
      <c r="N7819" s="251"/>
      <c r="O7819" s="251"/>
    </row>
    <row r="7820" spans="1:15" ht="11.25" customHeight="1" x14ac:dyDescent="0.2">
      <c r="A7820" s="191">
        <v>2025</v>
      </c>
      <c r="B7820" s="191">
        <v>4</v>
      </c>
      <c r="C7820" s="191">
        <v>10</v>
      </c>
      <c r="D7820" s="192">
        <f t="shared" si="892"/>
        <v>45757</v>
      </c>
      <c r="E7820" s="291">
        <f>DATE(A7820,B7820,C7820)</f>
        <v>45757</v>
      </c>
      <c r="F7820" s="514"/>
      <c r="G7820" s="194" t="s">
        <v>1209</v>
      </c>
      <c r="H7820" s="195"/>
      <c r="I7820" s="195"/>
      <c r="J7820" s="191" t="s">
        <v>46</v>
      </c>
      <c r="K7820" s="196"/>
      <c r="L7820" s="196">
        <v>70</v>
      </c>
      <c r="M7820" s="251"/>
      <c r="N7820" s="251"/>
      <c r="O7820" s="251"/>
    </row>
    <row r="7821" spans="1:15" ht="11.25" customHeight="1" x14ac:dyDescent="0.2">
      <c r="A7821" s="424">
        <v>2025</v>
      </c>
      <c r="B7821" s="424">
        <v>4</v>
      </c>
      <c r="C7821" s="424">
        <v>10</v>
      </c>
      <c r="D7821" s="425">
        <f t="shared" si="892"/>
        <v>45757</v>
      </c>
      <c r="E7821" s="384">
        <f t="shared" si="884"/>
        <v>45757</v>
      </c>
      <c r="F7821" s="516" t="s">
        <v>1850</v>
      </c>
      <c r="G7821" s="426" t="s">
        <v>1209</v>
      </c>
      <c r="H7821" s="427"/>
      <c r="I7821" s="427"/>
      <c r="J7821" s="428" t="s">
        <v>81</v>
      </c>
      <c r="K7821" s="429">
        <v>6973.2450980392159</v>
      </c>
      <c r="L7821" s="429"/>
      <c r="M7821" s="130"/>
    </row>
    <row r="7822" spans="1:15" ht="11.25" customHeight="1" x14ac:dyDescent="0.2">
      <c r="A7822" s="389">
        <v>2025</v>
      </c>
      <c r="B7822" s="389">
        <v>4</v>
      </c>
      <c r="C7822" s="389">
        <v>10</v>
      </c>
      <c r="D7822" s="390">
        <f t="shared" si="892"/>
        <v>45757</v>
      </c>
      <c r="E7822" s="391">
        <f t="shared" si="884"/>
        <v>45757</v>
      </c>
      <c r="F7822" s="517"/>
      <c r="G7822" s="392" t="s">
        <v>1209</v>
      </c>
      <c r="H7822" s="393"/>
      <c r="I7822" s="393"/>
      <c r="J7822" s="394" t="s">
        <v>1847</v>
      </c>
      <c r="K7822" s="423"/>
      <c r="L7822" s="423">
        <v>6973.2450980392159</v>
      </c>
    </row>
    <row r="7823" spans="1:15" ht="11.25" customHeight="1" x14ac:dyDescent="0.2">
      <c r="A7823" s="382">
        <v>2025</v>
      </c>
      <c r="B7823" s="382">
        <v>4</v>
      </c>
      <c r="C7823" s="382">
        <v>10</v>
      </c>
      <c r="D7823" s="383">
        <f t="shared" si="892"/>
        <v>45757</v>
      </c>
      <c r="E7823" s="384">
        <f t="shared" si="884"/>
        <v>45757</v>
      </c>
      <c r="F7823" s="516" t="s">
        <v>1892</v>
      </c>
      <c r="G7823" s="385" t="s">
        <v>1209</v>
      </c>
      <c r="H7823" s="386"/>
      <c r="I7823" s="386"/>
      <c r="J7823" s="387" t="s">
        <v>173</v>
      </c>
      <c r="K7823" s="388">
        <v>4856.2315776145842</v>
      </c>
      <c r="L7823" s="388"/>
      <c r="M7823" s="130"/>
    </row>
    <row r="7824" spans="1:15" ht="11.25" customHeight="1" x14ac:dyDescent="0.2">
      <c r="A7824" s="389">
        <v>2025</v>
      </c>
      <c r="B7824" s="389">
        <v>4</v>
      </c>
      <c r="C7824" s="389">
        <v>10</v>
      </c>
      <c r="D7824" s="390">
        <f t="shared" si="892"/>
        <v>45757</v>
      </c>
      <c r="E7824" s="391">
        <f t="shared" si="884"/>
        <v>45757</v>
      </c>
      <c r="F7824" s="517"/>
      <c r="G7824" s="392" t="s">
        <v>1209</v>
      </c>
      <c r="H7824" s="393"/>
      <c r="I7824" s="393"/>
      <c r="J7824" s="394" t="s">
        <v>43</v>
      </c>
      <c r="K7824" s="388"/>
      <c r="L7824" s="388">
        <f>K7823</f>
        <v>4856.2315776145842</v>
      </c>
    </row>
    <row r="7825" spans="1:14" ht="11.25" customHeight="1" x14ac:dyDescent="0.2">
      <c r="A7825" s="344">
        <v>2025</v>
      </c>
      <c r="B7825" s="344">
        <v>4</v>
      </c>
      <c r="C7825" s="344">
        <v>10</v>
      </c>
      <c r="D7825" s="345">
        <f t="shared" si="892"/>
        <v>45757</v>
      </c>
      <c r="E7825" s="346">
        <f t="shared" si="884"/>
        <v>45757</v>
      </c>
      <c r="F7825" s="518" t="s">
        <v>1982</v>
      </c>
      <c r="G7825" s="347" t="s">
        <v>1245</v>
      </c>
      <c r="H7825" s="348"/>
      <c r="I7825" s="348" t="s">
        <v>1253</v>
      </c>
      <c r="J7825" s="344" t="s">
        <v>1978</v>
      </c>
      <c r="K7825" s="349">
        <v>145230.76923076922</v>
      </c>
      <c r="L7825" s="349"/>
      <c r="M7825" s="130"/>
    </row>
    <row r="7826" spans="1:14" ht="11.25" customHeight="1" x14ac:dyDescent="0.2">
      <c r="A7826" s="350">
        <v>2025</v>
      </c>
      <c r="B7826" s="350">
        <v>4</v>
      </c>
      <c r="C7826" s="350">
        <v>10</v>
      </c>
      <c r="D7826" s="351">
        <f t="shared" si="892"/>
        <v>45757</v>
      </c>
      <c r="E7826" s="352">
        <f t="shared" ref="E7826:E7827" si="897">DATE(A7826,B7826,C7826)</f>
        <v>45757</v>
      </c>
      <c r="F7826" s="519"/>
      <c r="G7826" s="353" t="s">
        <v>1245</v>
      </c>
      <c r="H7826" s="354"/>
      <c r="I7826" s="354" t="s">
        <v>1253</v>
      </c>
      <c r="J7826" s="350" t="s">
        <v>1979</v>
      </c>
      <c r="K7826" s="355"/>
      <c r="L7826" s="355">
        <f>K7825</f>
        <v>145230.76923076922</v>
      </c>
    </row>
    <row r="7827" spans="1:14" ht="11.25" customHeight="1" x14ac:dyDescent="0.2">
      <c r="A7827" s="344">
        <v>2025</v>
      </c>
      <c r="B7827" s="344">
        <v>4</v>
      </c>
      <c r="C7827" s="344">
        <v>10</v>
      </c>
      <c r="D7827" s="345">
        <f t="shared" si="892"/>
        <v>45757</v>
      </c>
      <c r="E7827" s="346">
        <f t="shared" si="897"/>
        <v>45757</v>
      </c>
      <c r="F7827" s="518" t="s">
        <v>2009</v>
      </c>
      <c r="G7827" s="347" t="s">
        <v>1245</v>
      </c>
      <c r="H7827" s="348"/>
      <c r="I7827" s="348" t="s">
        <v>1253</v>
      </c>
      <c r="J7827" s="344" t="s">
        <v>2004</v>
      </c>
      <c r="K7827" s="349">
        <v>24846.153846153848</v>
      </c>
      <c r="L7827" s="349"/>
      <c r="M7827" s="130"/>
    </row>
    <row r="7828" spans="1:14" ht="11.25" customHeight="1" x14ac:dyDescent="0.2">
      <c r="A7828" s="350">
        <v>2025</v>
      </c>
      <c r="B7828" s="350">
        <v>4</v>
      </c>
      <c r="C7828" s="350">
        <v>10</v>
      </c>
      <c r="D7828" s="351">
        <f t="shared" si="892"/>
        <v>45757</v>
      </c>
      <c r="E7828" s="352">
        <f t="shared" ref="E7828" si="898">DATE(A7828,B7828,C7828)</f>
        <v>45757</v>
      </c>
      <c r="F7828" s="519"/>
      <c r="G7828" s="353" t="s">
        <v>1245</v>
      </c>
      <c r="H7828" s="354"/>
      <c r="I7828" s="354" t="s">
        <v>1253</v>
      </c>
      <c r="J7828" s="350" t="s">
        <v>2008</v>
      </c>
      <c r="K7828" s="355"/>
      <c r="L7828" s="355">
        <f>K7827</f>
        <v>24846.153846153848</v>
      </c>
    </row>
    <row r="7829" spans="1:14" ht="11.25" customHeight="1" x14ac:dyDescent="0.2">
      <c r="A7829" s="344">
        <v>2025</v>
      </c>
      <c r="B7829" s="344">
        <v>4</v>
      </c>
      <c r="C7829" s="344">
        <v>10</v>
      </c>
      <c r="D7829" s="345">
        <f t="shared" si="892"/>
        <v>45757</v>
      </c>
      <c r="E7829" s="346">
        <f>DATE(A7829,B7829,C7829)</f>
        <v>45757</v>
      </c>
      <c r="F7829" s="518" t="s">
        <v>1988</v>
      </c>
      <c r="G7829" s="347" t="s">
        <v>1245</v>
      </c>
      <c r="H7829" s="348"/>
      <c r="I7829" s="348" t="s">
        <v>1253</v>
      </c>
      <c r="J7829" s="344" t="s">
        <v>113</v>
      </c>
      <c r="K7829" s="349">
        <v>32846.15</v>
      </c>
      <c r="L7829" s="349"/>
      <c r="M7829" s="130"/>
    </row>
    <row r="7830" spans="1:14" ht="11.25" customHeight="1" x14ac:dyDescent="0.2">
      <c r="A7830" s="350">
        <v>2025</v>
      </c>
      <c r="B7830" s="350">
        <v>4</v>
      </c>
      <c r="C7830" s="350">
        <v>10</v>
      </c>
      <c r="D7830" s="351">
        <f t="shared" si="892"/>
        <v>45757</v>
      </c>
      <c r="E7830" s="352">
        <f>DATE(A7830,B7830,C7830)</f>
        <v>45757</v>
      </c>
      <c r="F7830" s="519"/>
      <c r="G7830" s="353" t="s">
        <v>1245</v>
      </c>
      <c r="H7830" s="354"/>
      <c r="I7830" s="354" t="s">
        <v>1253</v>
      </c>
      <c r="J7830" s="350" t="s">
        <v>153</v>
      </c>
      <c r="K7830" s="355"/>
      <c r="L7830" s="355">
        <f>K7829</f>
        <v>32846.15</v>
      </c>
    </row>
    <row r="7831" spans="1:14" ht="11.25" customHeight="1" x14ac:dyDescent="0.2">
      <c r="A7831" s="344">
        <v>2025</v>
      </c>
      <c r="B7831" s="344">
        <v>4</v>
      </c>
      <c r="C7831" s="344">
        <v>10</v>
      </c>
      <c r="D7831" s="345">
        <f t="shared" si="892"/>
        <v>45757</v>
      </c>
      <c r="E7831" s="346">
        <f t="shared" ref="E7831:E7836" si="899">DATE(A7831,B7831,C7831)</f>
        <v>45757</v>
      </c>
      <c r="F7831" s="518" t="s">
        <v>1989</v>
      </c>
      <c r="G7831" s="347" t="s">
        <v>1245</v>
      </c>
      <c r="H7831" s="348"/>
      <c r="I7831" s="348" t="s">
        <v>1253</v>
      </c>
      <c r="J7831" s="344" t="s">
        <v>113</v>
      </c>
      <c r="K7831" s="349">
        <v>23461.538461538461</v>
      </c>
      <c r="L7831" s="349"/>
      <c r="M7831" s="130"/>
    </row>
    <row r="7832" spans="1:14" ht="11.25" customHeight="1" x14ac:dyDescent="0.2">
      <c r="A7832" s="350">
        <v>2025</v>
      </c>
      <c r="B7832" s="350">
        <v>4</v>
      </c>
      <c r="C7832" s="350">
        <v>10</v>
      </c>
      <c r="D7832" s="351">
        <f t="shared" si="892"/>
        <v>45757</v>
      </c>
      <c r="E7832" s="352">
        <f t="shared" si="899"/>
        <v>45757</v>
      </c>
      <c r="F7832" s="519"/>
      <c r="G7832" s="353" t="s">
        <v>1245</v>
      </c>
      <c r="H7832" s="354"/>
      <c r="I7832" s="354" t="s">
        <v>1253</v>
      </c>
      <c r="J7832" s="350" t="s">
        <v>153</v>
      </c>
      <c r="K7832" s="355"/>
      <c r="L7832" s="355">
        <f>K7831</f>
        <v>23461.538461538461</v>
      </c>
    </row>
    <row r="7833" spans="1:14" ht="11.25" customHeight="1" x14ac:dyDescent="0.2">
      <c r="A7833" s="344">
        <v>2025</v>
      </c>
      <c r="B7833" s="344">
        <v>4</v>
      </c>
      <c r="C7833" s="344">
        <v>10</v>
      </c>
      <c r="D7833" s="345">
        <f t="shared" si="892"/>
        <v>45757</v>
      </c>
      <c r="E7833" s="346">
        <f t="shared" si="899"/>
        <v>45757</v>
      </c>
      <c r="F7833" s="518" t="s">
        <v>1990</v>
      </c>
      <c r="G7833" s="347" t="s">
        <v>1245</v>
      </c>
      <c r="H7833" s="348"/>
      <c r="I7833" s="348" t="s">
        <v>1253</v>
      </c>
      <c r="J7833" s="344" t="s">
        <v>113</v>
      </c>
      <c r="K7833" s="349">
        <v>23461.54</v>
      </c>
      <c r="L7833" s="349"/>
      <c r="M7833" s="130"/>
      <c r="N7833" s="251"/>
    </row>
    <row r="7834" spans="1:14" ht="11.25" customHeight="1" x14ac:dyDescent="0.2">
      <c r="A7834" s="350">
        <v>2025</v>
      </c>
      <c r="B7834" s="350">
        <v>4</v>
      </c>
      <c r="C7834" s="350">
        <v>10</v>
      </c>
      <c r="D7834" s="351">
        <f t="shared" si="892"/>
        <v>45757</v>
      </c>
      <c r="E7834" s="352">
        <f t="shared" si="899"/>
        <v>45757</v>
      </c>
      <c r="F7834" s="519"/>
      <c r="G7834" s="353" t="s">
        <v>1245</v>
      </c>
      <c r="H7834" s="354"/>
      <c r="I7834" s="354" t="s">
        <v>1253</v>
      </c>
      <c r="J7834" s="350" t="s">
        <v>153</v>
      </c>
      <c r="K7834" s="355"/>
      <c r="L7834" s="355">
        <f>K7833</f>
        <v>23461.54</v>
      </c>
    </row>
    <row r="7835" spans="1:14" ht="11.25" customHeight="1" x14ac:dyDescent="0.2">
      <c r="A7835" s="344">
        <v>2025</v>
      </c>
      <c r="B7835" s="344">
        <v>4</v>
      </c>
      <c r="C7835" s="344">
        <v>10</v>
      </c>
      <c r="D7835" s="345">
        <f t="shared" si="892"/>
        <v>45757</v>
      </c>
      <c r="E7835" s="346">
        <f t="shared" si="899"/>
        <v>45757</v>
      </c>
      <c r="F7835" s="518" t="s">
        <v>2039</v>
      </c>
      <c r="G7835" s="347" t="s">
        <v>1245</v>
      </c>
      <c r="H7835" s="348"/>
      <c r="I7835" s="348" t="s">
        <v>1253</v>
      </c>
      <c r="J7835" s="344" t="s">
        <v>113</v>
      </c>
      <c r="K7835" s="349">
        <v>9384.6153846153848</v>
      </c>
      <c r="L7835" s="349"/>
      <c r="M7835" s="130"/>
    </row>
    <row r="7836" spans="1:14" ht="11.25" customHeight="1" x14ac:dyDescent="0.2">
      <c r="A7836" s="350">
        <v>2025</v>
      </c>
      <c r="B7836" s="350">
        <v>4</v>
      </c>
      <c r="C7836" s="350">
        <v>10</v>
      </c>
      <c r="D7836" s="351">
        <f t="shared" si="892"/>
        <v>45757</v>
      </c>
      <c r="E7836" s="352">
        <f t="shared" si="899"/>
        <v>45757</v>
      </c>
      <c r="F7836" s="519"/>
      <c r="G7836" s="353" t="s">
        <v>1245</v>
      </c>
      <c r="H7836" s="354"/>
      <c r="I7836" s="354" t="s">
        <v>1253</v>
      </c>
      <c r="J7836" s="350" t="s">
        <v>153</v>
      </c>
      <c r="K7836" s="355"/>
      <c r="L7836" s="355">
        <f>K7835</f>
        <v>9384.6153846153848</v>
      </c>
    </row>
    <row r="7837" spans="1:14" ht="11.25" customHeight="1" x14ac:dyDescent="0.2">
      <c r="A7837" s="344">
        <v>2025</v>
      </c>
      <c r="B7837" s="344">
        <v>4</v>
      </c>
      <c r="C7837" s="344">
        <v>10</v>
      </c>
      <c r="D7837" s="345">
        <f t="shared" si="892"/>
        <v>45757</v>
      </c>
      <c r="E7837" s="346">
        <f>DATE(A7837,B7837,C7837)</f>
        <v>45757</v>
      </c>
      <c r="F7837" s="518" t="s">
        <v>1991</v>
      </c>
      <c r="G7837" s="347" t="s">
        <v>1245</v>
      </c>
      <c r="H7837" s="348"/>
      <c r="I7837" s="348" t="s">
        <v>1253</v>
      </c>
      <c r="J7837" s="344" t="s">
        <v>113</v>
      </c>
      <c r="K7837" s="349">
        <v>39884.620000000003</v>
      </c>
      <c r="L7837" s="349"/>
      <c r="M7837" s="130"/>
    </row>
    <row r="7838" spans="1:14" ht="11.25" customHeight="1" x14ac:dyDescent="0.2">
      <c r="A7838" s="350">
        <v>2025</v>
      </c>
      <c r="B7838" s="350">
        <v>4</v>
      </c>
      <c r="C7838" s="350">
        <v>10</v>
      </c>
      <c r="D7838" s="351">
        <f t="shared" si="892"/>
        <v>45757</v>
      </c>
      <c r="E7838" s="352">
        <f>DATE(A7838,B7838,C7838)</f>
        <v>45757</v>
      </c>
      <c r="F7838" s="519"/>
      <c r="G7838" s="353" t="s">
        <v>1245</v>
      </c>
      <c r="H7838" s="354"/>
      <c r="I7838" s="354" t="s">
        <v>1253</v>
      </c>
      <c r="J7838" s="350" t="s">
        <v>153</v>
      </c>
      <c r="K7838" s="355"/>
      <c r="L7838" s="355">
        <f>K7837</f>
        <v>39884.620000000003</v>
      </c>
    </row>
    <row r="7839" spans="1:14" ht="11.25" customHeight="1" x14ac:dyDescent="0.2">
      <c r="A7839" s="344">
        <v>2025</v>
      </c>
      <c r="B7839" s="344">
        <v>4</v>
      </c>
      <c r="C7839" s="344">
        <v>10</v>
      </c>
      <c r="D7839" s="345">
        <f t="shared" si="892"/>
        <v>45757</v>
      </c>
      <c r="E7839" s="346">
        <f t="shared" ref="E7839:E7845" si="900">DATE(A7839,B7839,C7839)</f>
        <v>45757</v>
      </c>
      <c r="F7839" s="518" t="s">
        <v>1992</v>
      </c>
      <c r="G7839" s="347" t="s">
        <v>1245</v>
      </c>
      <c r="H7839" s="348"/>
      <c r="I7839" s="348" t="s">
        <v>1253</v>
      </c>
      <c r="J7839" s="344" t="s">
        <v>113</v>
      </c>
      <c r="K7839" s="349">
        <v>7381.41</v>
      </c>
      <c r="L7839" s="349"/>
      <c r="M7839" s="130"/>
    </row>
    <row r="7840" spans="1:14" ht="11.25" customHeight="1" x14ac:dyDescent="0.2">
      <c r="A7840" s="350">
        <v>2025</v>
      </c>
      <c r="B7840" s="350">
        <v>4</v>
      </c>
      <c r="C7840" s="350">
        <v>10</v>
      </c>
      <c r="D7840" s="351">
        <f t="shared" si="892"/>
        <v>45757</v>
      </c>
      <c r="E7840" s="352">
        <f t="shared" si="900"/>
        <v>45757</v>
      </c>
      <c r="F7840" s="519"/>
      <c r="G7840" s="353" t="s">
        <v>1245</v>
      </c>
      <c r="H7840" s="354"/>
      <c r="I7840" s="354" t="s">
        <v>1253</v>
      </c>
      <c r="J7840" s="350" t="s">
        <v>153</v>
      </c>
      <c r="K7840" s="355"/>
      <c r="L7840" s="355">
        <f>K7839</f>
        <v>7381.41</v>
      </c>
    </row>
    <row r="7841" spans="1:13" ht="11.25" customHeight="1" x14ac:dyDescent="0.2">
      <c r="A7841" s="344">
        <v>2025</v>
      </c>
      <c r="B7841" s="344">
        <v>4</v>
      </c>
      <c r="C7841" s="344">
        <v>10</v>
      </c>
      <c r="D7841" s="345">
        <f t="shared" si="892"/>
        <v>45757</v>
      </c>
      <c r="E7841" s="346">
        <f t="shared" si="900"/>
        <v>45757</v>
      </c>
      <c r="F7841" s="518" t="s">
        <v>1993</v>
      </c>
      <c r="G7841" s="347" t="s">
        <v>1245</v>
      </c>
      <c r="H7841" s="348"/>
      <c r="I7841" s="348" t="s">
        <v>1253</v>
      </c>
      <c r="J7841" s="344" t="s">
        <v>113</v>
      </c>
      <c r="K7841" s="349">
        <v>7833.34</v>
      </c>
      <c r="L7841" s="349"/>
      <c r="M7841" s="130"/>
    </row>
    <row r="7842" spans="1:13" ht="11.25" customHeight="1" x14ac:dyDescent="0.2">
      <c r="A7842" s="350">
        <v>2025</v>
      </c>
      <c r="B7842" s="350">
        <v>4</v>
      </c>
      <c r="C7842" s="350">
        <v>10</v>
      </c>
      <c r="D7842" s="351">
        <f t="shared" si="892"/>
        <v>45757</v>
      </c>
      <c r="E7842" s="352">
        <f t="shared" si="900"/>
        <v>45757</v>
      </c>
      <c r="F7842" s="519"/>
      <c r="G7842" s="353" t="s">
        <v>1245</v>
      </c>
      <c r="H7842" s="354"/>
      <c r="I7842" s="354" t="s">
        <v>1253</v>
      </c>
      <c r="J7842" s="350" t="s">
        <v>153</v>
      </c>
      <c r="K7842" s="355"/>
      <c r="L7842" s="355">
        <f>K7841</f>
        <v>7833.34</v>
      </c>
    </row>
    <row r="7843" spans="1:13" ht="11.25" customHeight="1" x14ac:dyDescent="0.2">
      <c r="A7843" s="210">
        <v>2025</v>
      </c>
      <c r="B7843" s="210">
        <v>4</v>
      </c>
      <c r="C7843" s="210">
        <v>10</v>
      </c>
      <c r="D7843" s="211">
        <f t="shared" si="892"/>
        <v>45757</v>
      </c>
      <c r="E7843" s="238">
        <f t="shared" si="900"/>
        <v>45757</v>
      </c>
      <c r="F7843" s="520" t="s">
        <v>1278</v>
      </c>
      <c r="G7843" s="213" t="s">
        <v>1245</v>
      </c>
      <c r="H7843" s="214"/>
      <c r="I7843" s="214" t="s">
        <v>1253</v>
      </c>
      <c r="J7843" s="210" t="s">
        <v>1529</v>
      </c>
      <c r="K7843" s="215">
        <v>510.40384615384613</v>
      </c>
      <c r="L7843" s="215"/>
      <c r="M7843" s="130"/>
    </row>
    <row r="7844" spans="1:13" ht="11.25" customHeight="1" x14ac:dyDescent="0.2">
      <c r="A7844" s="216">
        <v>2025</v>
      </c>
      <c r="B7844" s="216">
        <v>4</v>
      </c>
      <c r="C7844" s="216">
        <v>10</v>
      </c>
      <c r="D7844" s="217">
        <f t="shared" si="892"/>
        <v>45757</v>
      </c>
      <c r="E7844" s="239">
        <f t="shared" si="900"/>
        <v>45757</v>
      </c>
      <c r="F7844" s="521"/>
      <c r="G7844" s="219" t="s">
        <v>1245</v>
      </c>
      <c r="H7844" s="220"/>
      <c r="I7844" s="220" t="s">
        <v>1253</v>
      </c>
      <c r="J7844" s="216" t="s">
        <v>1581</v>
      </c>
      <c r="K7844" s="221"/>
      <c r="L7844" s="221">
        <v>510.40384615384613</v>
      </c>
    </row>
    <row r="7845" spans="1:13" ht="11.25" customHeight="1" x14ac:dyDescent="0.2">
      <c r="A7845" s="210">
        <v>2025</v>
      </c>
      <c r="B7845" s="210">
        <v>4</v>
      </c>
      <c r="C7845" s="210">
        <v>10</v>
      </c>
      <c r="D7845" s="211">
        <f t="shared" si="892"/>
        <v>45757</v>
      </c>
      <c r="E7845" s="238">
        <f t="shared" si="900"/>
        <v>45757</v>
      </c>
      <c r="F7845" s="520" t="s">
        <v>1857</v>
      </c>
      <c r="G7845" s="213" t="s">
        <v>1245</v>
      </c>
      <c r="H7845" s="214"/>
      <c r="I7845" s="214" t="s">
        <v>1253</v>
      </c>
      <c r="J7845" s="210" t="s">
        <v>1284</v>
      </c>
      <c r="K7845" s="215">
        <v>2341.8114143920593</v>
      </c>
      <c r="L7845" s="215"/>
      <c r="M7845" s="130"/>
    </row>
    <row r="7846" spans="1:13" ht="11.25" customHeight="1" x14ac:dyDescent="0.2">
      <c r="A7846" s="242">
        <v>2025</v>
      </c>
      <c r="B7846" s="242">
        <v>4</v>
      </c>
      <c r="C7846" s="242">
        <v>10</v>
      </c>
      <c r="D7846" s="243">
        <f t="shared" si="892"/>
        <v>45757</v>
      </c>
      <c r="E7846" s="244">
        <f>DATE(A7846,B7846,C7846)</f>
        <v>45757</v>
      </c>
      <c r="F7846" s="524"/>
      <c r="G7846" s="245" t="s">
        <v>1245</v>
      </c>
      <c r="H7846" s="246"/>
      <c r="I7846" s="246"/>
      <c r="J7846" s="242" t="s">
        <v>1582</v>
      </c>
      <c r="K7846" s="247"/>
      <c r="L7846" s="247">
        <f>K7845</f>
        <v>2341.8114143920593</v>
      </c>
    </row>
    <row r="7847" spans="1:13" ht="11.25" customHeight="1" x14ac:dyDescent="0.2">
      <c r="A7847" s="210">
        <v>2025</v>
      </c>
      <c r="B7847" s="210">
        <v>4</v>
      </c>
      <c r="C7847" s="210">
        <v>10</v>
      </c>
      <c r="D7847" s="211">
        <f t="shared" si="892"/>
        <v>45757</v>
      </c>
      <c r="E7847" s="238">
        <f t="shared" ref="E7847:E7869" si="901">DATE(A7847,B7847,C7847)</f>
        <v>45757</v>
      </c>
      <c r="F7847" s="520" t="s">
        <v>2055</v>
      </c>
      <c r="G7847" s="213" t="s">
        <v>1245</v>
      </c>
      <c r="H7847" s="214"/>
      <c r="I7847" s="214" t="s">
        <v>1253</v>
      </c>
      <c r="J7847" s="210" t="s">
        <v>58</v>
      </c>
      <c r="K7847" s="215">
        <v>6452.43</v>
      </c>
      <c r="L7847" s="215"/>
    </row>
    <row r="7848" spans="1:13" ht="11.25" customHeight="1" x14ac:dyDescent="0.2">
      <c r="A7848" s="216">
        <v>2025</v>
      </c>
      <c r="B7848" s="216">
        <v>4</v>
      </c>
      <c r="C7848" s="216">
        <v>10</v>
      </c>
      <c r="D7848" s="217">
        <f t="shared" si="892"/>
        <v>45757</v>
      </c>
      <c r="E7848" s="239">
        <f t="shared" si="901"/>
        <v>45757</v>
      </c>
      <c r="F7848" s="521"/>
      <c r="G7848" s="219" t="s">
        <v>1245</v>
      </c>
      <c r="H7848" s="220"/>
      <c r="I7848" s="220" t="s">
        <v>1253</v>
      </c>
      <c r="J7848" s="216" t="s">
        <v>153</v>
      </c>
      <c r="K7848" s="221"/>
      <c r="L7848" s="221">
        <f>K7847</f>
        <v>6452.43</v>
      </c>
    </row>
    <row r="7849" spans="1:13" ht="11.25" customHeight="1" x14ac:dyDescent="0.2">
      <c r="A7849" s="312">
        <v>2025</v>
      </c>
      <c r="B7849" s="312">
        <v>4</v>
      </c>
      <c r="C7849" s="312">
        <v>10</v>
      </c>
      <c r="D7849" s="313">
        <f t="shared" si="892"/>
        <v>45757</v>
      </c>
      <c r="E7849" s="314">
        <f t="shared" si="901"/>
        <v>45757</v>
      </c>
      <c r="F7849" s="522" t="s">
        <v>1477</v>
      </c>
      <c r="G7849" s="315" t="s">
        <v>1245</v>
      </c>
      <c r="H7849" s="316"/>
      <c r="I7849" s="316" t="s">
        <v>1253</v>
      </c>
      <c r="J7849" s="312" t="s">
        <v>1458</v>
      </c>
      <c r="K7849" s="317">
        <v>0</v>
      </c>
      <c r="L7849" s="317"/>
      <c r="M7849" s="120">
        <f>BS!$I$11</f>
        <v>5.9604644775390625E-8</v>
      </c>
    </row>
    <row r="7850" spans="1:13" ht="11.25" customHeight="1" x14ac:dyDescent="0.2">
      <c r="A7850" s="318">
        <v>2025</v>
      </c>
      <c r="B7850" s="318">
        <v>4</v>
      </c>
      <c r="C7850" s="318">
        <v>10</v>
      </c>
      <c r="D7850" s="319">
        <f t="shared" si="892"/>
        <v>45757</v>
      </c>
      <c r="E7850" s="320">
        <f t="shared" si="901"/>
        <v>45757</v>
      </c>
      <c r="F7850" s="523"/>
      <c r="G7850" s="321" t="s">
        <v>1245</v>
      </c>
      <c r="H7850" s="322"/>
      <c r="I7850" s="322" t="s">
        <v>1253</v>
      </c>
      <c r="J7850" s="318" t="s">
        <v>1460</v>
      </c>
      <c r="K7850" s="323"/>
      <c r="L7850" s="323">
        <f>K7849</f>
        <v>0</v>
      </c>
    </row>
    <row r="7851" spans="1:13" ht="11.25" customHeight="1" x14ac:dyDescent="0.2">
      <c r="A7851" s="312">
        <v>2025</v>
      </c>
      <c r="B7851" s="312">
        <v>4</v>
      </c>
      <c r="C7851" s="312">
        <v>10</v>
      </c>
      <c r="D7851" s="313">
        <f t="shared" si="892"/>
        <v>45757</v>
      </c>
      <c r="E7851" s="314">
        <f t="shared" si="901"/>
        <v>45757</v>
      </c>
      <c r="F7851" s="522" t="s">
        <v>1595</v>
      </c>
      <c r="G7851" s="315" t="s">
        <v>1245</v>
      </c>
      <c r="H7851" s="316"/>
      <c r="I7851" s="316" t="s">
        <v>1253</v>
      </c>
      <c r="J7851" s="312" t="s">
        <v>1459</v>
      </c>
      <c r="K7851" s="317">
        <v>6294049.0640001297</v>
      </c>
      <c r="L7851" s="317"/>
      <c r="M7851" s="120">
        <f>BS!$I$14</f>
        <v>0</v>
      </c>
    </row>
    <row r="7852" spans="1:13" ht="11.25" customHeight="1" x14ac:dyDescent="0.2">
      <c r="A7852" s="318">
        <v>2025</v>
      </c>
      <c r="B7852" s="318">
        <v>4</v>
      </c>
      <c r="C7852" s="318">
        <v>10</v>
      </c>
      <c r="D7852" s="319">
        <f t="shared" ref="D7852:D7915" si="902">DATE(A7852,B7852,C7852)</f>
        <v>45757</v>
      </c>
      <c r="E7852" s="320">
        <f t="shared" si="901"/>
        <v>45757</v>
      </c>
      <c r="F7852" s="523"/>
      <c r="G7852" s="321" t="s">
        <v>1245</v>
      </c>
      <c r="H7852" s="322"/>
      <c r="I7852" s="322" t="s">
        <v>1253</v>
      </c>
      <c r="J7852" s="318" t="s">
        <v>1461</v>
      </c>
      <c r="K7852" s="323"/>
      <c r="L7852" s="323">
        <f>K7851</f>
        <v>6294049.0640001297</v>
      </c>
    </row>
    <row r="7853" spans="1:13" ht="11.25" customHeight="1" x14ac:dyDescent="0.2">
      <c r="A7853" s="222">
        <v>2025</v>
      </c>
      <c r="B7853" s="222">
        <v>4</v>
      </c>
      <c r="C7853" s="222">
        <v>10</v>
      </c>
      <c r="D7853" s="223">
        <f t="shared" si="902"/>
        <v>45757</v>
      </c>
      <c r="E7853" s="240">
        <f t="shared" si="901"/>
        <v>45757</v>
      </c>
      <c r="F7853" s="511" t="s">
        <v>1244</v>
      </c>
      <c r="G7853" s="225" t="s">
        <v>1245</v>
      </c>
      <c r="H7853" s="226"/>
      <c r="I7853" s="226" t="s">
        <v>1253</v>
      </c>
      <c r="J7853" s="222" t="s">
        <v>72</v>
      </c>
      <c r="K7853" s="227"/>
      <c r="L7853" s="227"/>
      <c r="M7853" s="120">
        <f>BS!$I$7</f>
        <v>0</v>
      </c>
    </row>
    <row r="7854" spans="1:13" ht="11.25" customHeight="1" x14ac:dyDescent="0.2">
      <c r="A7854" s="228">
        <v>2025</v>
      </c>
      <c r="B7854" s="228">
        <v>4</v>
      </c>
      <c r="C7854" s="228">
        <v>10</v>
      </c>
      <c r="D7854" s="229">
        <f t="shared" si="902"/>
        <v>45757</v>
      </c>
      <c r="E7854" s="241">
        <f t="shared" si="901"/>
        <v>45757</v>
      </c>
      <c r="F7854" s="512"/>
      <c r="G7854" s="231" t="s">
        <v>1245</v>
      </c>
      <c r="H7854" s="232"/>
      <c r="I7854" s="232" t="s">
        <v>1253</v>
      </c>
      <c r="J7854" s="228" t="s">
        <v>87</v>
      </c>
      <c r="K7854" s="233"/>
      <c r="L7854" s="233">
        <f>K7853</f>
        <v>0</v>
      </c>
    </row>
    <row r="7855" spans="1:13" ht="11.25" customHeight="1" x14ac:dyDescent="0.2">
      <c r="A7855" s="222">
        <v>2025</v>
      </c>
      <c r="B7855" s="222">
        <v>4</v>
      </c>
      <c r="C7855" s="222">
        <v>10</v>
      </c>
      <c r="D7855" s="223">
        <f t="shared" si="902"/>
        <v>45757</v>
      </c>
      <c r="E7855" s="240">
        <f t="shared" si="901"/>
        <v>45757</v>
      </c>
      <c r="F7855" s="511" t="s">
        <v>1246</v>
      </c>
      <c r="G7855" s="225" t="s">
        <v>1245</v>
      </c>
      <c r="H7855" s="226"/>
      <c r="I7855" s="226" t="s">
        <v>1253</v>
      </c>
      <c r="J7855" s="222" t="s">
        <v>75</v>
      </c>
      <c r="K7855" s="227">
        <v>3623.123846153846</v>
      </c>
      <c r="L7855" s="227"/>
      <c r="M7855" s="130"/>
    </row>
    <row r="7856" spans="1:13" ht="11.25" customHeight="1" x14ac:dyDescent="0.2">
      <c r="A7856" s="228">
        <v>2025</v>
      </c>
      <c r="B7856" s="228">
        <v>4</v>
      </c>
      <c r="C7856" s="228">
        <v>10</v>
      </c>
      <c r="D7856" s="229">
        <f t="shared" si="902"/>
        <v>45757</v>
      </c>
      <c r="E7856" s="241">
        <f t="shared" si="901"/>
        <v>45757</v>
      </c>
      <c r="F7856" s="512"/>
      <c r="G7856" s="231" t="s">
        <v>1245</v>
      </c>
      <c r="H7856" s="232"/>
      <c r="I7856" s="232" t="s">
        <v>1253</v>
      </c>
      <c r="J7856" s="228" t="s">
        <v>55</v>
      </c>
      <c r="K7856" s="233"/>
      <c r="L7856" s="233">
        <v>3623.123846153846</v>
      </c>
    </row>
    <row r="7857" spans="1:14" ht="11.25" customHeight="1" x14ac:dyDescent="0.2">
      <c r="A7857" s="222">
        <v>2025</v>
      </c>
      <c r="B7857" s="222">
        <v>4</v>
      </c>
      <c r="C7857" s="222">
        <v>10</v>
      </c>
      <c r="D7857" s="223">
        <f t="shared" si="902"/>
        <v>45757</v>
      </c>
      <c r="E7857" s="240">
        <f t="shared" si="901"/>
        <v>45757</v>
      </c>
      <c r="F7857" s="511" t="s">
        <v>1247</v>
      </c>
      <c r="G7857" s="225" t="s">
        <v>1245</v>
      </c>
      <c r="H7857" s="226"/>
      <c r="I7857" s="226" t="s">
        <v>1253</v>
      </c>
      <c r="J7857" s="222" t="s">
        <v>77</v>
      </c>
      <c r="K7857" s="227">
        <f>M7857</f>
        <v>52494.583744056843</v>
      </c>
      <c r="L7857" s="227"/>
      <c r="M7857" s="130">
        <v>52494.583744056843</v>
      </c>
    </row>
    <row r="7858" spans="1:14" ht="11.25" customHeight="1" x14ac:dyDescent="0.2">
      <c r="A7858" s="228">
        <v>2025</v>
      </c>
      <c r="B7858" s="228">
        <v>4</v>
      </c>
      <c r="C7858" s="228">
        <v>10</v>
      </c>
      <c r="D7858" s="229">
        <f t="shared" si="902"/>
        <v>45757</v>
      </c>
      <c r="E7858" s="241">
        <f t="shared" si="901"/>
        <v>45757</v>
      </c>
      <c r="F7858" s="512"/>
      <c r="G7858" s="231" t="s">
        <v>1245</v>
      </c>
      <c r="H7858" s="232"/>
      <c r="I7858" s="232" t="s">
        <v>1253</v>
      </c>
      <c r="J7858" s="228" t="s">
        <v>41</v>
      </c>
      <c r="K7858" s="233"/>
      <c r="L7858" s="233">
        <f>K7857</f>
        <v>52494.583744056843</v>
      </c>
      <c r="M7858" s="130">
        <v>5249.4583744056854</v>
      </c>
    </row>
    <row r="7859" spans="1:14" ht="11.25" customHeight="1" x14ac:dyDescent="0.2">
      <c r="A7859" s="222">
        <v>2025</v>
      </c>
      <c r="B7859" s="222">
        <v>4</v>
      </c>
      <c r="C7859" s="222">
        <v>10</v>
      </c>
      <c r="D7859" s="223">
        <f t="shared" si="902"/>
        <v>45757</v>
      </c>
      <c r="E7859" s="240">
        <f t="shared" si="901"/>
        <v>45757</v>
      </c>
      <c r="F7859" s="511" t="s">
        <v>1248</v>
      </c>
      <c r="G7859" s="225" t="s">
        <v>1245</v>
      </c>
      <c r="H7859" s="226"/>
      <c r="I7859" s="226" t="s">
        <v>1253</v>
      </c>
      <c r="J7859" s="222" t="s">
        <v>80</v>
      </c>
      <c r="K7859" s="227">
        <f>M7858</f>
        <v>5249.4583744056854</v>
      </c>
      <c r="L7859" s="227"/>
    </row>
    <row r="7860" spans="1:14" ht="11.25" customHeight="1" x14ac:dyDescent="0.2">
      <c r="A7860" s="228">
        <v>2025</v>
      </c>
      <c r="B7860" s="228">
        <v>4</v>
      </c>
      <c r="C7860" s="228">
        <v>10</v>
      </c>
      <c r="D7860" s="229">
        <f t="shared" si="902"/>
        <v>45757</v>
      </c>
      <c r="E7860" s="241">
        <f t="shared" si="901"/>
        <v>45757</v>
      </c>
      <c r="F7860" s="512"/>
      <c r="G7860" s="231" t="s">
        <v>1245</v>
      </c>
      <c r="H7860" s="232"/>
      <c r="I7860" s="232" t="s">
        <v>1253</v>
      </c>
      <c r="J7860" s="228" t="s">
        <v>42</v>
      </c>
      <c r="K7860" s="233"/>
      <c r="L7860" s="233">
        <f>K7859</f>
        <v>5249.4583744056854</v>
      </c>
    </row>
    <row r="7861" spans="1:14" ht="11.25" customHeight="1" x14ac:dyDescent="0.2">
      <c r="A7861" s="197">
        <v>2025</v>
      </c>
      <c r="B7861" s="197">
        <v>4</v>
      </c>
      <c r="C7861" s="197">
        <v>13</v>
      </c>
      <c r="D7861" s="198">
        <f t="shared" si="902"/>
        <v>45760</v>
      </c>
      <c r="E7861" s="209">
        <f t="shared" si="901"/>
        <v>45760</v>
      </c>
      <c r="F7861" s="513" t="s">
        <v>1210</v>
      </c>
      <c r="G7861" s="200" t="s">
        <v>1209</v>
      </c>
      <c r="H7861" s="201"/>
      <c r="I7861" s="201" t="s">
        <v>1493</v>
      </c>
      <c r="J7861" s="197" t="s">
        <v>46</v>
      </c>
      <c r="K7861" s="202">
        <v>198416</v>
      </c>
      <c r="L7861" s="202"/>
    </row>
    <row r="7862" spans="1:14" ht="11.25" customHeight="1" x14ac:dyDescent="0.2">
      <c r="A7862" s="120">
        <v>2025</v>
      </c>
      <c r="B7862" s="120">
        <v>4</v>
      </c>
      <c r="C7862" s="120">
        <v>13</v>
      </c>
      <c r="D7862" s="208">
        <f t="shared" si="902"/>
        <v>45760</v>
      </c>
      <c r="E7862" s="209">
        <f t="shared" si="901"/>
        <v>45760</v>
      </c>
      <c r="F7862" s="515"/>
      <c r="G7862" s="132" t="s">
        <v>1209</v>
      </c>
      <c r="I7862" s="128" t="s">
        <v>1493</v>
      </c>
      <c r="J7862" s="120" t="s">
        <v>16</v>
      </c>
      <c r="K7862" s="207"/>
      <c r="L7862" s="207">
        <v>160000</v>
      </c>
    </row>
    <row r="7863" spans="1:14" ht="11.25" customHeight="1" x14ac:dyDescent="0.2">
      <c r="A7863" s="191">
        <v>2025</v>
      </c>
      <c r="B7863" s="191">
        <v>4</v>
      </c>
      <c r="C7863" s="191">
        <v>13</v>
      </c>
      <c r="D7863" s="192">
        <f t="shared" si="902"/>
        <v>45760</v>
      </c>
      <c r="E7863" s="193">
        <f t="shared" si="901"/>
        <v>45760</v>
      </c>
      <c r="F7863" s="514"/>
      <c r="G7863" s="194" t="s">
        <v>1209</v>
      </c>
      <c r="H7863" s="195"/>
      <c r="I7863" s="195" t="s">
        <v>1493</v>
      </c>
      <c r="J7863" s="191" t="s">
        <v>47</v>
      </c>
      <c r="K7863" s="196"/>
      <c r="L7863" s="196">
        <v>38416</v>
      </c>
    </row>
    <row r="7864" spans="1:14" ht="11.25" customHeight="1" x14ac:dyDescent="0.2">
      <c r="A7864" s="197">
        <v>2025</v>
      </c>
      <c r="B7864" s="197">
        <v>4</v>
      </c>
      <c r="C7864" s="197">
        <v>15</v>
      </c>
      <c r="D7864" s="198">
        <f t="shared" si="902"/>
        <v>45762</v>
      </c>
      <c r="E7864" s="209">
        <f t="shared" si="901"/>
        <v>45762</v>
      </c>
      <c r="F7864" s="513" t="s">
        <v>1296</v>
      </c>
      <c r="G7864" s="200" t="s">
        <v>1209</v>
      </c>
      <c r="H7864" s="201"/>
      <c r="I7864" s="201"/>
      <c r="J7864" s="197" t="s">
        <v>46</v>
      </c>
      <c r="K7864" s="202">
        <v>104000</v>
      </c>
      <c r="L7864" s="202"/>
    </row>
    <row r="7865" spans="1:14" ht="11.25" customHeight="1" x14ac:dyDescent="0.2">
      <c r="A7865" s="120">
        <v>2025</v>
      </c>
      <c r="B7865" s="120">
        <v>4</v>
      </c>
      <c r="C7865" s="120">
        <v>15</v>
      </c>
      <c r="D7865" s="208">
        <f t="shared" si="902"/>
        <v>45762</v>
      </c>
      <c r="E7865" s="209">
        <f t="shared" si="901"/>
        <v>45762</v>
      </c>
      <c r="F7865" s="515"/>
      <c r="G7865" s="132" t="s">
        <v>1209</v>
      </c>
      <c r="J7865" s="120" t="s">
        <v>16</v>
      </c>
      <c r="K7865" s="207"/>
      <c r="L7865" s="207">
        <v>83870</v>
      </c>
    </row>
    <row r="7866" spans="1:14" ht="11.25" customHeight="1" x14ac:dyDescent="0.2">
      <c r="A7866" s="191">
        <v>2025</v>
      </c>
      <c r="B7866" s="191">
        <v>4</v>
      </c>
      <c r="C7866" s="191">
        <v>15</v>
      </c>
      <c r="D7866" s="192">
        <f t="shared" si="902"/>
        <v>45762</v>
      </c>
      <c r="E7866" s="193">
        <f t="shared" si="901"/>
        <v>45762</v>
      </c>
      <c r="F7866" s="514"/>
      <c r="G7866" s="194" t="s">
        <v>1209</v>
      </c>
      <c r="H7866" s="195"/>
      <c r="I7866" s="195"/>
      <c r="J7866" s="191" t="s">
        <v>47</v>
      </c>
      <c r="K7866" s="196"/>
      <c r="L7866" s="196">
        <v>20130</v>
      </c>
    </row>
    <row r="7867" spans="1:14" ht="11.25" customHeight="1" x14ac:dyDescent="0.2">
      <c r="A7867" s="197">
        <v>2025</v>
      </c>
      <c r="B7867" s="197">
        <v>4</v>
      </c>
      <c r="C7867" s="197">
        <v>15</v>
      </c>
      <c r="D7867" s="198">
        <f t="shared" si="902"/>
        <v>45762</v>
      </c>
      <c r="E7867" s="209">
        <f t="shared" si="901"/>
        <v>45762</v>
      </c>
      <c r="F7867" s="513" t="s">
        <v>1280</v>
      </c>
      <c r="G7867" s="200" t="s">
        <v>1209</v>
      </c>
      <c r="H7867" s="201"/>
      <c r="I7867" s="201" t="s">
        <v>1504</v>
      </c>
      <c r="J7867" s="197" t="s">
        <v>16</v>
      </c>
      <c r="K7867" s="202">
        <v>618800</v>
      </c>
      <c r="L7867" s="202"/>
      <c r="M7867" s="130"/>
      <c r="N7867" s="130"/>
    </row>
    <row r="7868" spans="1:14" ht="11.25" customHeight="1" x14ac:dyDescent="0.2">
      <c r="A7868" s="120">
        <v>2025</v>
      </c>
      <c r="B7868" s="120">
        <v>4</v>
      </c>
      <c r="C7868" s="120">
        <v>15</v>
      </c>
      <c r="D7868" s="208">
        <f t="shared" si="902"/>
        <v>45762</v>
      </c>
      <c r="E7868" s="209">
        <f t="shared" si="901"/>
        <v>45762</v>
      </c>
      <c r="F7868" s="515"/>
      <c r="G7868" s="132" t="s">
        <v>1209</v>
      </c>
      <c r="I7868" s="128" t="s">
        <v>1504</v>
      </c>
      <c r="J7868" s="120" t="s">
        <v>47</v>
      </c>
      <c r="K7868" s="207">
        <v>148573.88</v>
      </c>
      <c r="L7868" s="207"/>
      <c r="M7868" s="130"/>
      <c r="N7868" s="130"/>
    </row>
    <row r="7869" spans="1:14" ht="11.25" customHeight="1" x14ac:dyDescent="0.2">
      <c r="A7869" s="191">
        <v>2025</v>
      </c>
      <c r="B7869" s="191">
        <v>4</v>
      </c>
      <c r="C7869" s="191">
        <v>15</v>
      </c>
      <c r="D7869" s="192">
        <f t="shared" si="902"/>
        <v>45762</v>
      </c>
      <c r="E7869" s="193">
        <f t="shared" si="901"/>
        <v>45762</v>
      </c>
      <c r="F7869" s="514"/>
      <c r="G7869" s="194" t="s">
        <v>1209</v>
      </c>
      <c r="H7869" s="195"/>
      <c r="I7869" s="195" t="s">
        <v>1504</v>
      </c>
      <c r="J7869" s="191" t="s">
        <v>46</v>
      </c>
      <c r="K7869" s="196"/>
      <c r="L7869" s="196">
        <v>767373.88</v>
      </c>
      <c r="M7869" s="130"/>
      <c r="N7869" s="130"/>
    </row>
    <row r="7870" spans="1:14" ht="11.25" customHeight="1" x14ac:dyDescent="0.2">
      <c r="A7870" s="197">
        <v>2025</v>
      </c>
      <c r="B7870" s="197">
        <v>4</v>
      </c>
      <c r="C7870" s="197">
        <v>15</v>
      </c>
      <c r="D7870" s="198">
        <f t="shared" si="902"/>
        <v>45762</v>
      </c>
      <c r="E7870" s="209">
        <f t="shared" ref="E7870:E7902" si="903">DATE(A7870,B7870,C7870)</f>
        <v>45762</v>
      </c>
      <c r="F7870" s="513" t="s">
        <v>1280</v>
      </c>
      <c r="G7870" s="200" t="s">
        <v>1209</v>
      </c>
      <c r="H7870" s="201"/>
      <c r="I7870" s="201" t="s">
        <v>1569</v>
      </c>
      <c r="J7870" s="197" t="s">
        <v>16</v>
      </c>
      <c r="K7870" s="202">
        <v>1995560</v>
      </c>
      <c r="L7870" s="202"/>
      <c r="M7870" s="130"/>
      <c r="N7870" s="130"/>
    </row>
    <row r="7871" spans="1:14" ht="11.25" customHeight="1" x14ac:dyDescent="0.2">
      <c r="A7871" s="120">
        <v>2025</v>
      </c>
      <c r="B7871" s="120">
        <v>4</v>
      </c>
      <c r="C7871" s="120">
        <v>15</v>
      </c>
      <c r="D7871" s="208">
        <f t="shared" si="902"/>
        <v>45762</v>
      </c>
      <c r="E7871" s="209">
        <f t="shared" si="903"/>
        <v>45762</v>
      </c>
      <c r="F7871" s="515"/>
      <c r="G7871" s="132" t="s">
        <v>1209</v>
      </c>
      <c r="I7871" s="128" t="s">
        <v>1569</v>
      </c>
      <c r="J7871" s="120" t="s">
        <v>47</v>
      </c>
      <c r="K7871" s="207">
        <v>479133.95999999996</v>
      </c>
      <c r="L7871" s="207"/>
      <c r="M7871" s="130"/>
      <c r="N7871" s="130"/>
    </row>
    <row r="7872" spans="1:14" ht="11.25" customHeight="1" x14ac:dyDescent="0.2">
      <c r="A7872" s="191">
        <v>2025</v>
      </c>
      <c r="B7872" s="191">
        <v>4</v>
      </c>
      <c r="C7872" s="191">
        <v>15</v>
      </c>
      <c r="D7872" s="192">
        <f t="shared" si="902"/>
        <v>45762</v>
      </c>
      <c r="E7872" s="193">
        <f t="shared" si="903"/>
        <v>45762</v>
      </c>
      <c r="F7872" s="514"/>
      <c r="G7872" s="194" t="s">
        <v>1209</v>
      </c>
      <c r="H7872" s="195"/>
      <c r="I7872" s="195" t="s">
        <v>1569</v>
      </c>
      <c r="J7872" s="191" t="s">
        <v>46</v>
      </c>
      <c r="K7872" s="196"/>
      <c r="L7872" s="196">
        <v>2474693.96</v>
      </c>
      <c r="M7872" s="130"/>
      <c r="N7872" s="130"/>
    </row>
    <row r="7873" spans="1:15" ht="11.25" customHeight="1" x14ac:dyDescent="0.2">
      <c r="A7873" s="197">
        <v>2025</v>
      </c>
      <c r="B7873" s="197">
        <v>4</v>
      </c>
      <c r="C7873" s="197">
        <v>15</v>
      </c>
      <c r="D7873" s="198">
        <f t="shared" si="902"/>
        <v>45762</v>
      </c>
      <c r="E7873" s="290">
        <f>DATE(A7873,B7873,C7873)</f>
        <v>45762</v>
      </c>
      <c r="F7873" s="513" t="s">
        <v>1514</v>
      </c>
      <c r="G7873" s="200" t="s">
        <v>1209</v>
      </c>
      <c r="H7873" s="201"/>
      <c r="I7873" s="201"/>
      <c r="J7873" s="197" t="s">
        <v>54</v>
      </c>
      <c r="K7873" s="202">
        <v>200</v>
      </c>
      <c r="L7873" s="202"/>
      <c r="M7873" s="251"/>
      <c r="N7873" s="251"/>
      <c r="O7873" s="251"/>
    </row>
    <row r="7874" spans="1:15" ht="11.25" customHeight="1" x14ac:dyDescent="0.2">
      <c r="A7874" s="191">
        <v>2025</v>
      </c>
      <c r="B7874" s="191">
        <v>4</v>
      </c>
      <c r="C7874" s="191">
        <v>15</v>
      </c>
      <c r="D7874" s="192">
        <f t="shared" si="902"/>
        <v>45762</v>
      </c>
      <c r="E7874" s="291">
        <f>DATE(A7874,B7874,C7874)</f>
        <v>45762</v>
      </c>
      <c r="F7874" s="514"/>
      <c r="G7874" s="194" t="s">
        <v>1209</v>
      </c>
      <c r="H7874" s="195"/>
      <c r="I7874" s="195"/>
      <c r="J7874" s="191" t="s">
        <v>46</v>
      </c>
      <c r="K7874" s="196"/>
      <c r="L7874" s="196">
        <v>200</v>
      </c>
      <c r="M7874" s="251"/>
      <c r="N7874" s="251"/>
      <c r="O7874" s="251"/>
    </row>
    <row r="7875" spans="1:15" ht="11.25" customHeight="1" x14ac:dyDescent="0.2">
      <c r="A7875" s="197">
        <v>2025</v>
      </c>
      <c r="B7875" s="197">
        <v>4</v>
      </c>
      <c r="C7875" s="197">
        <v>15</v>
      </c>
      <c r="D7875" s="198">
        <f t="shared" si="902"/>
        <v>45762</v>
      </c>
      <c r="E7875" s="199">
        <f t="shared" ref="E7875:E7877" si="904">DATE(A7875,B7875,C7875)</f>
        <v>45762</v>
      </c>
      <c r="F7875" s="513" t="s">
        <v>2011</v>
      </c>
      <c r="G7875" s="200" t="s">
        <v>1209</v>
      </c>
      <c r="H7875" s="201"/>
      <c r="I7875" s="201" t="s">
        <v>1253</v>
      </c>
      <c r="J7875" s="197" t="s">
        <v>46</v>
      </c>
      <c r="K7875" s="202">
        <v>1016890.27</v>
      </c>
      <c r="L7875" s="202"/>
    </row>
    <row r="7876" spans="1:15" ht="11.25" customHeight="1" x14ac:dyDescent="0.2">
      <c r="A7876" s="120">
        <v>2025</v>
      </c>
      <c r="B7876" s="120">
        <v>4</v>
      </c>
      <c r="C7876" s="120">
        <v>15</v>
      </c>
      <c r="D7876" s="208">
        <f t="shared" si="902"/>
        <v>45762</v>
      </c>
      <c r="E7876" s="209">
        <f t="shared" si="904"/>
        <v>45762</v>
      </c>
      <c r="F7876" s="515"/>
      <c r="G7876" s="132" t="s">
        <v>1209</v>
      </c>
      <c r="J7876" s="120" t="s">
        <v>1463</v>
      </c>
      <c r="K7876" s="328"/>
      <c r="L7876" s="207">
        <v>45274.369999999995</v>
      </c>
    </row>
    <row r="7877" spans="1:15" ht="11.25" customHeight="1" x14ac:dyDescent="0.2">
      <c r="A7877" s="191">
        <v>2025</v>
      </c>
      <c r="B7877" s="191">
        <v>4</v>
      </c>
      <c r="C7877" s="191">
        <v>15</v>
      </c>
      <c r="D7877" s="192">
        <f t="shared" si="902"/>
        <v>45762</v>
      </c>
      <c r="E7877" s="193">
        <f t="shared" si="904"/>
        <v>45762</v>
      </c>
      <c r="F7877" s="514"/>
      <c r="G7877" s="194" t="s">
        <v>1209</v>
      </c>
      <c r="H7877" s="195"/>
      <c r="I7877" s="195" t="s">
        <v>1253</v>
      </c>
      <c r="J7877" s="191" t="s">
        <v>1837</v>
      </c>
      <c r="K7877" s="196"/>
      <c r="L7877" s="196">
        <v>971615.9</v>
      </c>
      <c r="N7877" s="130"/>
    </row>
    <row r="7878" spans="1:15" ht="11.25" customHeight="1" x14ac:dyDescent="0.2">
      <c r="A7878" s="197">
        <v>2025</v>
      </c>
      <c r="B7878" s="197">
        <v>4</v>
      </c>
      <c r="C7878" s="197">
        <v>15</v>
      </c>
      <c r="D7878" s="198">
        <f t="shared" si="902"/>
        <v>45762</v>
      </c>
      <c r="E7878" s="199">
        <f t="shared" ref="E7878:E7880" si="905">DATE(A7878,B7878,C7878)</f>
        <v>45762</v>
      </c>
      <c r="F7878" s="513" t="s">
        <v>2012</v>
      </c>
      <c r="G7878" s="200" t="s">
        <v>1209</v>
      </c>
      <c r="H7878" s="201"/>
      <c r="I7878" s="201" t="s">
        <v>1253</v>
      </c>
      <c r="J7878" s="197" t="s">
        <v>46</v>
      </c>
      <c r="K7878" s="202">
        <v>7401576.7599999998</v>
      </c>
      <c r="L7878" s="202"/>
    </row>
    <row r="7879" spans="1:15" ht="11.25" customHeight="1" x14ac:dyDescent="0.2">
      <c r="A7879" s="120">
        <v>2025</v>
      </c>
      <c r="B7879" s="120">
        <v>4</v>
      </c>
      <c r="C7879" s="120">
        <v>15</v>
      </c>
      <c r="D7879" s="208">
        <f t="shared" si="902"/>
        <v>45762</v>
      </c>
      <c r="E7879" s="209">
        <f t="shared" si="905"/>
        <v>45762</v>
      </c>
      <c r="F7879" s="515"/>
      <c r="G7879" s="132" t="s">
        <v>1209</v>
      </c>
      <c r="J7879" s="120" t="s">
        <v>1463</v>
      </c>
      <c r="K7879" s="328"/>
      <c r="L7879" s="207">
        <v>266843.3599999994</v>
      </c>
    </row>
    <row r="7880" spans="1:15" ht="11.25" customHeight="1" x14ac:dyDescent="0.2">
      <c r="A7880" s="191">
        <v>2025</v>
      </c>
      <c r="B7880" s="191">
        <v>4</v>
      </c>
      <c r="C7880" s="191">
        <v>15</v>
      </c>
      <c r="D7880" s="192">
        <f t="shared" si="902"/>
        <v>45762</v>
      </c>
      <c r="E7880" s="193">
        <f t="shared" si="905"/>
        <v>45762</v>
      </c>
      <c r="F7880" s="514"/>
      <c r="G7880" s="194" t="s">
        <v>1209</v>
      </c>
      <c r="H7880" s="195"/>
      <c r="I7880" s="195" t="s">
        <v>1253</v>
      </c>
      <c r="J7880" s="191" t="s">
        <v>1837</v>
      </c>
      <c r="K7880" s="196"/>
      <c r="L7880" s="196">
        <v>7134733.4000000004</v>
      </c>
      <c r="N7880" s="130"/>
    </row>
    <row r="7881" spans="1:15" ht="11.25" customHeight="1" x14ac:dyDescent="0.2">
      <c r="A7881" s="197">
        <v>2025</v>
      </c>
      <c r="B7881" s="197">
        <v>4</v>
      </c>
      <c r="C7881" s="197">
        <v>15</v>
      </c>
      <c r="D7881" s="198">
        <f t="shared" si="902"/>
        <v>45762</v>
      </c>
      <c r="E7881" s="199">
        <f t="shared" ref="E7881:E7885" si="906">DATE(A7881,B7881,C7881)</f>
        <v>45762</v>
      </c>
      <c r="F7881" s="513" t="s">
        <v>2012</v>
      </c>
      <c r="G7881" s="200" t="s">
        <v>1209</v>
      </c>
      <c r="H7881" s="201"/>
      <c r="I7881" s="201" t="s">
        <v>1253</v>
      </c>
      <c r="J7881" s="197" t="s">
        <v>46</v>
      </c>
      <c r="K7881" s="202">
        <v>1973753.8</v>
      </c>
      <c r="L7881" s="202"/>
    </row>
    <row r="7882" spans="1:15" ht="11.25" customHeight="1" x14ac:dyDescent="0.2">
      <c r="A7882" s="120">
        <v>2025</v>
      </c>
      <c r="B7882" s="120">
        <v>4</v>
      </c>
      <c r="C7882" s="120">
        <v>15</v>
      </c>
      <c r="D7882" s="208">
        <f t="shared" si="902"/>
        <v>45762</v>
      </c>
      <c r="E7882" s="209">
        <f t="shared" si="906"/>
        <v>45762</v>
      </c>
      <c r="F7882" s="515"/>
      <c r="G7882" s="132" t="s">
        <v>1209</v>
      </c>
      <c r="J7882" s="120" t="s">
        <v>1463</v>
      </c>
      <c r="K7882" s="328"/>
      <c r="L7882" s="207">
        <v>93159.90000000014</v>
      </c>
    </row>
    <row r="7883" spans="1:15" ht="11.25" customHeight="1" x14ac:dyDescent="0.2">
      <c r="A7883" s="191">
        <v>2025</v>
      </c>
      <c r="B7883" s="191">
        <v>4</v>
      </c>
      <c r="C7883" s="191">
        <v>15</v>
      </c>
      <c r="D7883" s="192">
        <f t="shared" si="902"/>
        <v>45762</v>
      </c>
      <c r="E7883" s="193">
        <f t="shared" si="906"/>
        <v>45762</v>
      </c>
      <c r="F7883" s="514"/>
      <c r="G7883" s="194" t="s">
        <v>1209</v>
      </c>
      <c r="H7883" s="195"/>
      <c r="I7883" s="195" t="s">
        <v>1253</v>
      </c>
      <c r="J7883" s="191" t="s">
        <v>1837</v>
      </c>
      <c r="K7883" s="196"/>
      <c r="L7883" s="196">
        <v>1880593.9</v>
      </c>
      <c r="N7883" s="130"/>
    </row>
    <row r="7884" spans="1:15" ht="11.25" customHeight="1" x14ac:dyDescent="0.2">
      <c r="A7884" s="197">
        <v>2025</v>
      </c>
      <c r="B7884" s="197">
        <v>4</v>
      </c>
      <c r="C7884" s="197">
        <v>15</v>
      </c>
      <c r="D7884" s="198">
        <f t="shared" si="902"/>
        <v>45762</v>
      </c>
      <c r="E7884" s="290">
        <f t="shared" si="906"/>
        <v>45762</v>
      </c>
      <c r="F7884" s="513" t="s">
        <v>2007</v>
      </c>
      <c r="G7884" s="200" t="s">
        <v>1209</v>
      </c>
      <c r="H7884" s="201"/>
      <c r="I7884" s="201" t="s">
        <v>1253</v>
      </c>
      <c r="J7884" s="197" t="s">
        <v>46</v>
      </c>
      <c r="K7884" s="202">
        <v>1996500</v>
      </c>
      <c r="L7884" s="202"/>
    </row>
    <row r="7885" spans="1:15" ht="11.25" customHeight="1" x14ac:dyDescent="0.2">
      <c r="A7885" s="191">
        <v>2025</v>
      </c>
      <c r="B7885" s="191">
        <v>4</v>
      </c>
      <c r="C7885" s="191">
        <v>15</v>
      </c>
      <c r="D7885" s="192">
        <f t="shared" si="902"/>
        <v>45762</v>
      </c>
      <c r="E7885" s="291">
        <f t="shared" si="906"/>
        <v>45762</v>
      </c>
      <c r="F7885" s="514"/>
      <c r="G7885" s="194" t="s">
        <v>1209</v>
      </c>
      <c r="H7885" s="195"/>
      <c r="I7885" s="195"/>
      <c r="J7885" s="191" t="s">
        <v>1845</v>
      </c>
      <c r="K7885" s="196"/>
      <c r="L7885" s="196">
        <v>1996500</v>
      </c>
    </row>
    <row r="7886" spans="1:15" ht="11.25" customHeight="1" x14ac:dyDescent="0.2">
      <c r="A7886" s="197">
        <v>2025</v>
      </c>
      <c r="B7886" s="197">
        <v>4</v>
      </c>
      <c r="C7886" s="197">
        <v>15</v>
      </c>
      <c r="D7886" s="198">
        <f t="shared" si="902"/>
        <v>45762</v>
      </c>
      <c r="E7886" s="290">
        <f t="shared" ref="E7886:E7889" si="907">DATE(A7886,B7886,C7886)</f>
        <v>45762</v>
      </c>
      <c r="F7886" s="513" t="s">
        <v>2007</v>
      </c>
      <c r="G7886" s="200" t="s">
        <v>1209</v>
      </c>
      <c r="H7886" s="201"/>
      <c r="I7886" s="201" t="s">
        <v>1253</v>
      </c>
      <c r="J7886" s="197" t="s">
        <v>46</v>
      </c>
      <c r="K7886" s="202">
        <v>30250</v>
      </c>
      <c r="L7886" s="202"/>
    </row>
    <row r="7887" spans="1:15" ht="11.25" customHeight="1" x14ac:dyDescent="0.2">
      <c r="A7887" s="191">
        <v>2025</v>
      </c>
      <c r="B7887" s="191">
        <v>4</v>
      </c>
      <c r="C7887" s="191">
        <v>15</v>
      </c>
      <c r="D7887" s="192">
        <f t="shared" si="902"/>
        <v>45762</v>
      </c>
      <c r="E7887" s="291">
        <f t="shared" si="907"/>
        <v>45762</v>
      </c>
      <c r="F7887" s="514"/>
      <c r="G7887" s="194" t="s">
        <v>1209</v>
      </c>
      <c r="H7887" s="195"/>
      <c r="I7887" s="195"/>
      <c r="J7887" s="191" t="s">
        <v>1845</v>
      </c>
      <c r="K7887" s="196"/>
      <c r="L7887" s="196">
        <v>30250</v>
      </c>
    </row>
    <row r="7888" spans="1:15" ht="11.25" customHeight="1" x14ac:dyDescent="0.2">
      <c r="A7888" s="197">
        <v>2025</v>
      </c>
      <c r="B7888" s="197">
        <v>4</v>
      </c>
      <c r="C7888" s="197">
        <v>15</v>
      </c>
      <c r="D7888" s="198">
        <f t="shared" si="902"/>
        <v>45762</v>
      </c>
      <c r="E7888" s="290">
        <f t="shared" si="907"/>
        <v>45762</v>
      </c>
      <c r="F7888" s="513" t="s">
        <v>2013</v>
      </c>
      <c r="G7888" s="200" t="s">
        <v>1209</v>
      </c>
      <c r="H7888" s="201"/>
      <c r="I7888" s="201" t="s">
        <v>1253</v>
      </c>
      <c r="J7888" s="197" t="s">
        <v>46</v>
      </c>
      <c r="K7888" s="202">
        <v>305000</v>
      </c>
      <c r="L7888" s="202"/>
      <c r="M7888" s="251"/>
    </row>
    <row r="7889" spans="1:14" ht="11.25" customHeight="1" x14ac:dyDescent="0.2">
      <c r="A7889" s="191">
        <v>2025</v>
      </c>
      <c r="B7889" s="191">
        <v>4</v>
      </c>
      <c r="C7889" s="191">
        <v>15</v>
      </c>
      <c r="D7889" s="192">
        <f t="shared" si="902"/>
        <v>45762</v>
      </c>
      <c r="E7889" s="291">
        <f t="shared" si="907"/>
        <v>45762</v>
      </c>
      <c r="F7889" s="514"/>
      <c r="G7889" s="194" t="s">
        <v>1209</v>
      </c>
      <c r="H7889" s="195"/>
      <c r="I7889" s="195" t="s">
        <v>1253</v>
      </c>
      <c r="J7889" s="191" t="s">
        <v>113</v>
      </c>
      <c r="K7889" s="196"/>
      <c r="L7889" s="379">
        <v>305000</v>
      </c>
      <c r="N7889" s="130"/>
    </row>
    <row r="7890" spans="1:14" ht="11.25" customHeight="1" x14ac:dyDescent="0.2">
      <c r="A7890" s="197">
        <v>2025</v>
      </c>
      <c r="B7890" s="197">
        <v>4</v>
      </c>
      <c r="C7890" s="197">
        <v>17</v>
      </c>
      <c r="D7890" s="198">
        <f t="shared" si="902"/>
        <v>45764</v>
      </c>
      <c r="E7890" s="209">
        <f t="shared" si="903"/>
        <v>45764</v>
      </c>
      <c r="F7890" s="513" t="s">
        <v>1210</v>
      </c>
      <c r="G7890" s="200" t="s">
        <v>1209</v>
      </c>
      <c r="H7890" s="201"/>
      <c r="I7890" s="201" t="s">
        <v>355</v>
      </c>
      <c r="J7890" s="197" t="s">
        <v>46</v>
      </c>
      <c r="K7890" s="202">
        <v>107000</v>
      </c>
      <c r="L7890" s="202"/>
    </row>
    <row r="7891" spans="1:14" ht="11.25" customHeight="1" x14ac:dyDescent="0.2">
      <c r="A7891" s="120">
        <v>2025</v>
      </c>
      <c r="B7891" s="120">
        <v>4</v>
      </c>
      <c r="C7891" s="120">
        <v>17</v>
      </c>
      <c r="D7891" s="208">
        <f t="shared" si="902"/>
        <v>45764</v>
      </c>
      <c r="E7891" s="209">
        <f t="shared" si="903"/>
        <v>45764</v>
      </c>
      <c r="F7891" s="515"/>
      <c r="G7891" s="132" t="s">
        <v>1209</v>
      </c>
      <c r="I7891" s="128" t="s">
        <v>355</v>
      </c>
      <c r="J7891" s="120" t="s">
        <v>16</v>
      </c>
      <c r="K7891" s="207"/>
      <c r="L7891" s="207">
        <v>87280</v>
      </c>
    </row>
    <row r="7892" spans="1:14" ht="11.25" customHeight="1" x14ac:dyDescent="0.2">
      <c r="A7892" s="191">
        <v>2025</v>
      </c>
      <c r="B7892" s="191">
        <v>4</v>
      </c>
      <c r="C7892" s="191">
        <v>17</v>
      </c>
      <c r="D7892" s="192">
        <f t="shared" si="902"/>
        <v>45764</v>
      </c>
      <c r="E7892" s="193">
        <f t="shared" si="903"/>
        <v>45764</v>
      </c>
      <c r="F7892" s="514"/>
      <c r="G7892" s="194" t="s">
        <v>1209</v>
      </c>
      <c r="H7892" s="195"/>
      <c r="I7892" s="195" t="s">
        <v>355</v>
      </c>
      <c r="J7892" s="191" t="s">
        <v>47</v>
      </c>
      <c r="K7892" s="196"/>
      <c r="L7892" s="196">
        <v>19720</v>
      </c>
    </row>
    <row r="7893" spans="1:14" ht="11.25" customHeight="1" x14ac:dyDescent="0.2">
      <c r="A7893" s="197">
        <v>2025</v>
      </c>
      <c r="B7893" s="197">
        <v>4</v>
      </c>
      <c r="C7893" s="197">
        <v>17</v>
      </c>
      <c r="D7893" s="198">
        <f t="shared" si="902"/>
        <v>45764</v>
      </c>
      <c r="E7893" s="290">
        <f t="shared" si="903"/>
        <v>45764</v>
      </c>
      <c r="F7893" s="513" t="s">
        <v>2014</v>
      </c>
      <c r="G7893" s="200" t="s">
        <v>1209</v>
      </c>
      <c r="H7893" s="201"/>
      <c r="I7893" s="201" t="s">
        <v>1253</v>
      </c>
      <c r="J7893" s="197" t="s">
        <v>46</v>
      </c>
      <c r="K7893" s="202">
        <v>2029050</v>
      </c>
      <c r="L7893" s="202"/>
    </row>
    <row r="7894" spans="1:14" ht="11.25" customHeight="1" x14ac:dyDescent="0.2">
      <c r="A7894" s="191">
        <v>2025</v>
      </c>
      <c r="B7894" s="191">
        <v>4</v>
      </c>
      <c r="C7894" s="191">
        <v>17</v>
      </c>
      <c r="D7894" s="192">
        <f t="shared" si="902"/>
        <v>45764</v>
      </c>
      <c r="E7894" s="291">
        <f t="shared" si="903"/>
        <v>45764</v>
      </c>
      <c r="F7894" s="514"/>
      <c r="G7894" s="194" t="s">
        <v>1209</v>
      </c>
      <c r="H7894" s="195"/>
      <c r="I7894" s="195"/>
      <c r="J7894" s="191" t="s">
        <v>1845</v>
      </c>
      <c r="K7894" s="196"/>
      <c r="L7894" s="196">
        <v>2029050</v>
      </c>
    </row>
    <row r="7895" spans="1:14" ht="11.25" customHeight="1" x14ac:dyDescent="0.2">
      <c r="A7895" s="424">
        <v>2025</v>
      </c>
      <c r="B7895" s="424">
        <v>4</v>
      </c>
      <c r="C7895" s="424">
        <v>17</v>
      </c>
      <c r="D7895" s="425">
        <f t="shared" si="902"/>
        <v>45764</v>
      </c>
      <c r="E7895" s="384">
        <f t="shared" si="903"/>
        <v>45764</v>
      </c>
      <c r="F7895" s="516" t="s">
        <v>1850</v>
      </c>
      <c r="G7895" s="426" t="s">
        <v>1209</v>
      </c>
      <c r="H7895" s="427"/>
      <c r="I7895" s="427"/>
      <c r="J7895" s="428" t="s">
        <v>81</v>
      </c>
      <c r="K7895" s="429">
        <v>6973.2450980392159</v>
      </c>
      <c r="L7895" s="429"/>
      <c r="M7895" s="130"/>
    </row>
    <row r="7896" spans="1:14" ht="11.25" customHeight="1" x14ac:dyDescent="0.2">
      <c r="A7896" s="389">
        <v>2025</v>
      </c>
      <c r="B7896" s="389">
        <v>4</v>
      </c>
      <c r="C7896" s="389">
        <v>17</v>
      </c>
      <c r="D7896" s="390">
        <f t="shared" si="902"/>
        <v>45764</v>
      </c>
      <c r="E7896" s="391">
        <f t="shared" si="903"/>
        <v>45764</v>
      </c>
      <c r="F7896" s="517"/>
      <c r="G7896" s="392" t="s">
        <v>1209</v>
      </c>
      <c r="H7896" s="393"/>
      <c r="I7896" s="393"/>
      <c r="J7896" s="394" t="s">
        <v>1847</v>
      </c>
      <c r="K7896" s="423"/>
      <c r="L7896" s="423">
        <v>6973.2450980392159</v>
      </c>
    </row>
    <row r="7897" spans="1:14" ht="11.25" customHeight="1" x14ac:dyDescent="0.2">
      <c r="A7897" s="382">
        <v>2025</v>
      </c>
      <c r="B7897" s="382">
        <v>4</v>
      </c>
      <c r="C7897" s="382">
        <v>17</v>
      </c>
      <c r="D7897" s="383">
        <f t="shared" si="902"/>
        <v>45764</v>
      </c>
      <c r="E7897" s="384">
        <f t="shared" si="903"/>
        <v>45764</v>
      </c>
      <c r="F7897" s="516" t="s">
        <v>1892</v>
      </c>
      <c r="G7897" s="385" t="s">
        <v>1209</v>
      </c>
      <c r="H7897" s="386"/>
      <c r="I7897" s="386"/>
      <c r="J7897" s="387" t="s">
        <v>173</v>
      </c>
      <c r="K7897" s="388">
        <v>4686.6379081979167</v>
      </c>
      <c r="L7897" s="388"/>
      <c r="M7897" s="130"/>
    </row>
    <row r="7898" spans="1:14" ht="11.25" customHeight="1" x14ac:dyDescent="0.2">
      <c r="A7898" s="389">
        <v>2025</v>
      </c>
      <c r="B7898" s="389">
        <v>4</v>
      </c>
      <c r="C7898" s="389">
        <v>17</v>
      </c>
      <c r="D7898" s="390">
        <f t="shared" si="902"/>
        <v>45764</v>
      </c>
      <c r="E7898" s="391">
        <f t="shared" si="903"/>
        <v>45764</v>
      </c>
      <c r="F7898" s="517"/>
      <c r="G7898" s="392" t="s">
        <v>1209</v>
      </c>
      <c r="H7898" s="393"/>
      <c r="I7898" s="393"/>
      <c r="J7898" s="394" t="s">
        <v>43</v>
      </c>
      <c r="K7898" s="388"/>
      <c r="L7898" s="388">
        <f>K7897</f>
        <v>4686.6379081979167</v>
      </c>
    </row>
    <row r="7899" spans="1:14" ht="11.25" customHeight="1" x14ac:dyDescent="0.2">
      <c r="A7899" s="344">
        <v>2025</v>
      </c>
      <c r="B7899" s="344">
        <v>4</v>
      </c>
      <c r="C7899" s="344">
        <v>17</v>
      </c>
      <c r="D7899" s="345">
        <f t="shared" si="902"/>
        <v>45764</v>
      </c>
      <c r="E7899" s="346">
        <f t="shared" si="903"/>
        <v>45764</v>
      </c>
      <c r="F7899" s="518" t="s">
        <v>1982</v>
      </c>
      <c r="G7899" s="347" t="s">
        <v>1245</v>
      </c>
      <c r="H7899" s="348"/>
      <c r="I7899" s="348" t="s">
        <v>1253</v>
      </c>
      <c r="J7899" s="344" t="s">
        <v>1978</v>
      </c>
      <c r="K7899" s="349">
        <v>145230.76923076922</v>
      </c>
      <c r="L7899" s="349"/>
      <c r="M7899" s="130"/>
    </row>
    <row r="7900" spans="1:14" ht="11.25" customHeight="1" x14ac:dyDescent="0.2">
      <c r="A7900" s="350">
        <v>2025</v>
      </c>
      <c r="B7900" s="350">
        <v>4</v>
      </c>
      <c r="C7900" s="350">
        <v>17</v>
      </c>
      <c r="D7900" s="351">
        <f t="shared" si="902"/>
        <v>45764</v>
      </c>
      <c r="E7900" s="352">
        <f t="shared" si="903"/>
        <v>45764</v>
      </c>
      <c r="F7900" s="519"/>
      <c r="G7900" s="353" t="s">
        <v>1245</v>
      </c>
      <c r="H7900" s="354"/>
      <c r="I7900" s="354" t="s">
        <v>1253</v>
      </c>
      <c r="J7900" s="350" t="s">
        <v>1979</v>
      </c>
      <c r="K7900" s="355"/>
      <c r="L7900" s="355">
        <f>K7899</f>
        <v>145230.76923076922</v>
      </c>
    </row>
    <row r="7901" spans="1:14" ht="11.25" customHeight="1" x14ac:dyDescent="0.2">
      <c r="A7901" s="344">
        <v>2025</v>
      </c>
      <c r="B7901" s="344">
        <v>4</v>
      </c>
      <c r="C7901" s="344">
        <v>17</v>
      </c>
      <c r="D7901" s="345">
        <f t="shared" si="902"/>
        <v>45764</v>
      </c>
      <c r="E7901" s="346">
        <f t="shared" si="903"/>
        <v>45764</v>
      </c>
      <c r="F7901" s="518" t="s">
        <v>2009</v>
      </c>
      <c r="G7901" s="347" t="s">
        <v>1245</v>
      </c>
      <c r="H7901" s="348"/>
      <c r="I7901" s="348" t="s">
        <v>1253</v>
      </c>
      <c r="J7901" s="344" t="s">
        <v>2004</v>
      </c>
      <c r="K7901" s="349">
        <v>24846.153846153848</v>
      </c>
      <c r="L7901" s="349"/>
      <c r="M7901" s="130"/>
    </row>
    <row r="7902" spans="1:14" ht="11.25" customHeight="1" x14ac:dyDescent="0.2">
      <c r="A7902" s="350">
        <v>2025</v>
      </c>
      <c r="B7902" s="350">
        <v>4</v>
      </c>
      <c r="C7902" s="350">
        <v>17</v>
      </c>
      <c r="D7902" s="351">
        <f t="shared" si="902"/>
        <v>45764</v>
      </c>
      <c r="E7902" s="352">
        <f t="shared" si="903"/>
        <v>45764</v>
      </c>
      <c r="F7902" s="519"/>
      <c r="G7902" s="353" t="s">
        <v>1245</v>
      </c>
      <c r="H7902" s="354"/>
      <c r="I7902" s="354" t="s">
        <v>1253</v>
      </c>
      <c r="J7902" s="350" t="s">
        <v>2008</v>
      </c>
      <c r="K7902" s="355"/>
      <c r="L7902" s="355">
        <f>K7901</f>
        <v>24846.153846153848</v>
      </c>
    </row>
    <row r="7903" spans="1:14" ht="11.25" customHeight="1" x14ac:dyDescent="0.2">
      <c r="A7903" s="344">
        <v>2025</v>
      </c>
      <c r="B7903" s="344">
        <v>4</v>
      </c>
      <c r="C7903" s="344">
        <v>17</v>
      </c>
      <c r="D7903" s="345">
        <f t="shared" si="902"/>
        <v>45764</v>
      </c>
      <c r="E7903" s="346">
        <f>DATE(A7903,B7903,C7903)</f>
        <v>45764</v>
      </c>
      <c r="F7903" s="518" t="s">
        <v>1988</v>
      </c>
      <c r="G7903" s="347" t="s">
        <v>1245</v>
      </c>
      <c r="H7903" s="348"/>
      <c r="I7903" s="348" t="s">
        <v>1253</v>
      </c>
      <c r="J7903" s="344" t="s">
        <v>113</v>
      </c>
      <c r="K7903" s="349">
        <v>32846.15</v>
      </c>
      <c r="L7903" s="349"/>
      <c r="M7903" s="130"/>
    </row>
    <row r="7904" spans="1:14" ht="11.25" customHeight="1" x14ac:dyDescent="0.2">
      <c r="A7904" s="350">
        <v>2025</v>
      </c>
      <c r="B7904" s="350">
        <v>4</v>
      </c>
      <c r="C7904" s="350">
        <v>17</v>
      </c>
      <c r="D7904" s="351">
        <f t="shared" si="902"/>
        <v>45764</v>
      </c>
      <c r="E7904" s="352">
        <f>DATE(A7904,B7904,C7904)</f>
        <v>45764</v>
      </c>
      <c r="F7904" s="519"/>
      <c r="G7904" s="353" t="s">
        <v>1245</v>
      </c>
      <c r="H7904" s="354"/>
      <c r="I7904" s="354" t="s">
        <v>1253</v>
      </c>
      <c r="J7904" s="350" t="s">
        <v>153</v>
      </c>
      <c r="K7904" s="355"/>
      <c r="L7904" s="355">
        <f>K7903</f>
        <v>32846.15</v>
      </c>
    </row>
    <row r="7905" spans="1:14" ht="11.25" customHeight="1" x14ac:dyDescent="0.2">
      <c r="A7905" s="344">
        <v>2025</v>
      </c>
      <c r="B7905" s="344">
        <v>4</v>
      </c>
      <c r="C7905" s="344">
        <v>17</v>
      </c>
      <c r="D7905" s="345">
        <f t="shared" si="902"/>
        <v>45764</v>
      </c>
      <c r="E7905" s="346">
        <f t="shared" ref="E7905:E7910" si="908">DATE(A7905,B7905,C7905)</f>
        <v>45764</v>
      </c>
      <c r="F7905" s="518" t="s">
        <v>1989</v>
      </c>
      <c r="G7905" s="347" t="s">
        <v>1245</v>
      </c>
      <c r="H7905" s="348"/>
      <c r="I7905" s="348" t="s">
        <v>1253</v>
      </c>
      <c r="J7905" s="344" t="s">
        <v>113</v>
      </c>
      <c r="K7905" s="349">
        <v>23461.538461538461</v>
      </c>
      <c r="L7905" s="349"/>
      <c r="M7905" s="130"/>
    </row>
    <row r="7906" spans="1:14" ht="11.25" customHeight="1" x14ac:dyDescent="0.2">
      <c r="A7906" s="350">
        <v>2025</v>
      </c>
      <c r="B7906" s="350">
        <v>4</v>
      </c>
      <c r="C7906" s="350">
        <v>17</v>
      </c>
      <c r="D7906" s="351">
        <f t="shared" si="902"/>
        <v>45764</v>
      </c>
      <c r="E7906" s="352">
        <f t="shared" si="908"/>
        <v>45764</v>
      </c>
      <c r="F7906" s="519"/>
      <c r="G7906" s="353" t="s">
        <v>1245</v>
      </c>
      <c r="H7906" s="354"/>
      <c r="I7906" s="354" t="s">
        <v>1253</v>
      </c>
      <c r="J7906" s="350" t="s">
        <v>153</v>
      </c>
      <c r="K7906" s="355"/>
      <c r="L7906" s="355">
        <f>K7905</f>
        <v>23461.538461538461</v>
      </c>
    </row>
    <row r="7907" spans="1:14" ht="11.25" customHeight="1" x14ac:dyDescent="0.2">
      <c r="A7907" s="344">
        <v>2025</v>
      </c>
      <c r="B7907" s="344">
        <v>4</v>
      </c>
      <c r="C7907" s="344">
        <v>17</v>
      </c>
      <c r="D7907" s="345">
        <f t="shared" si="902"/>
        <v>45764</v>
      </c>
      <c r="E7907" s="346">
        <f t="shared" si="908"/>
        <v>45764</v>
      </c>
      <c r="F7907" s="518" t="s">
        <v>1990</v>
      </c>
      <c r="G7907" s="347" t="s">
        <v>1245</v>
      </c>
      <c r="H7907" s="348"/>
      <c r="I7907" s="348" t="s">
        <v>1253</v>
      </c>
      <c r="J7907" s="344" t="s">
        <v>113</v>
      </c>
      <c r="K7907" s="349">
        <v>70384.62</v>
      </c>
      <c r="L7907" s="349"/>
      <c r="M7907" s="130"/>
      <c r="N7907" s="251"/>
    </row>
    <row r="7908" spans="1:14" ht="11.25" customHeight="1" x14ac:dyDescent="0.2">
      <c r="A7908" s="350">
        <v>2025</v>
      </c>
      <c r="B7908" s="350">
        <v>4</v>
      </c>
      <c r="C7908" s="350">
        <v>17</v>
      </c>
      <c r="D7908" s="351">
        <f t="shared" si="902"/>
        <v>45764</v>
      </c>
      <c r="E7908" s="352">
        <f t="shared" si="908"/>
        <v>45764</v>
      </c>
      <c r="F7908" s="519"/>
      <c r="G7908" s="353" t="s">
        <v>1245</v>
      </c>
      <c r="H7908" s="354"/>
      <c r="I7908" s="354" t="s">
        <v>1253</v>
      </c>
      <c r="J7908" s="350" t="s">
        <v>153</v>
      </c>
      <c r="K7908" s="355"/>
      <c r="L7908" s="355">
        <f>K7907</f>
        <v>70384.62</v>
      </c>
    </row>
    <row r="7909" spans="1:14" ht="11.25" customHeight="1" x14ac:dyDescent="0.2">
      <c r="A7909" s="344">
        <v>2025</v>
      </c>
      <c r="B7909" s="344">
        <v>4</v>
      </c>
      <c r="C7909" s="344">
        <v>17</v>
      </c>
      <c r="D7909" s="345">
        <f t="shared" si="902"/>
        <v>45764</v>
      </c>
      <c r="E7909" s="346">
        <f t="shared" si="908"/>
        <v>45764</v>
      </c>
      <c r="F7909" s="518" t="s">
        <v>2039</v>
      </c>
      <c r="G7909" s="347" t="s">
        <v>1245</v>
      </c>
      <c r="H7909" s="348"/>
      <c r="I7909" s="348" t="s">
        <v>1253</v>
      </c>
      <c r="J7909" s="344" t="s">
        <v>113</v>
      </c>
      <c r="K7909" s="349">
        <v>9384.6153846153848</v>
      </c>
      <c r="L7909" s="349"/>
      <c r="M7909" s="130"/>
    </row>
    <row r="7910" spans="1:14" ht="11.25" customHeight="1" x14ac:dyDescent="0.2">
      <c r="A7910" s="350">
        <v>2025</v>
      </c>
      <c r="B7910" s="350">
        <v>4</v>
      </c>
      <c r="C7910" s="350">
        <v>17</v>
      </c>
      <c r="D7910" s="351">
        <f t="shared" si="902"/>
        <v>45764</v>
      </c>
      <c r="E7910" s="352">
        <f t="shared" si="908"/>
        <v>45764</v>
      </c>
      <c r="F7910" s="519"/>
      <c r="G7910" s="353" t="s">
        <v>1245</v>
      </c>
      <c r="H7910" s="354"/>
      <c r="I7910" s="354" t="s">
        <v>1253</v>
      </c>
      <c r="J7910" s="350" t="s">
        <v>153</v>
      </c>
      <c r="K7910" s="355"/>
      <c r="L7910" s="355">
        <f>K7909</f>
        <v>9384.6153846153848</v>
      </c>
    </row>
    <row r="7911" spans="1:14" ht="11.25" customHeight="1" x14ac:dyDescent="0.2">
      <c r="A7911" s="344">
        <v>2025</v>
      </c>
      <c r="B7911" s="344">
        <v>4</v>
      </c>
      <c r="C7911" s="344">
        <v>17</v>
      </c>
      <c r="D7911" s="345">
        <f t="shared" si="902"/>
        <v>45764</v>
      </c>
      <c r="E7911" s="346">
        <f>DATE(A7911,B7911,C7911)</f>
        <v>45764</v>
      </c>
      <c r="F7911" s="518" t="s">
        <v>1991</v>
      </c>
      <c r="G7911" s="347" t="s">
        <v>1245</v>
      </c>
      <c r="H7911" s="348"/>
      <c r="I7911" s="348" t="s">
        <v>1253</v>
      </c>
      <c r="J7911" s="344" t="s">
        <v>113</v>
      </c>
      <c r="K7911" s="349">
        <v>39884.620000000003</v>
      </c>
      <c r="L7911" s="349"/>
      <c r="M7911" s="130"/>
    </row>
    <row r="7912" spans="1:14" ht="11.25" customHeight="1" x14ac:dyDescent="0.2">
      <c r="A7912" s="350">
        <v>2025</v>
      </c>
      <c r="B7912" s="350">
        <v>4</v>
      </c>
      <c r="C7912" s="350">
        <v>17</v>
      </c>
      <c r="D7912" s="351">
        <f t="shared" si="902"/>
        <v>45764</v>
      </c>
      <c r="E7912" s="352">
        <f>DATE(A7912,B7912,C7912)</f>
        <v>45764</v>
      </c>
      <c r="F7912" s="519"/>
      <c r="G7912" s="353" t="s">
        <v>1245</v>
      </c>
      <c r="H7912" s="354"/>
      <c r="I7912" s="354" t="s">
        <v>1253</v>
      </c>
      <c r="J7912" s="350" t="s">
        <v>153</v>
      </c>
      <c r="K7912" s="355"/>
      <c r="L7912" s="355">
        <f>K7911</f>
        <v>39884.620000000003</v>
      </c>
    </row>
    <row r="7913" spans="1:14" ht="11.25" customHeight="1" x14ac:dyDescent="0.2">
      <c r="A7913" s="344">
        <v>2025</v>
      </c>
      <c r="B7913" s="344">
        <v>4</v>
      </c>
      <c r="C7913" s="344">
        <v>17</v>
      </c>
      <c r="D7913" s="345">
        <f t="shared" si="902"/>
        <v>45764</v>
      </c>
      <c r="E7913" s="346">
        <f t="shared" ref="E7913:E7919" si="909">DATE(A7913,B7913,C7913)</f>
        <v>45764</v>
      </c>
      <c r="F7913" s="518" t="s">
        <v>1992</v>
      </c>
      <c r="G7913" s="347" t="s">
        <v>1245</v>
      </c>
      <c r="H7913" s="348"/>
      <c r="I7913" s="348" t="s">
        <v>1253</v>
      </c>
      <c r="J7913" s="344" t="s">
        <v>113</v>
      </c>
      <c r="K7913" s="349">
        <v>22596.15</v>
      </c>
      <c r="L7913" s="349"/>
      <c r="M7913" s="130"/>
    </row>
    <row r="7914" spans="1:14" ht="11.25" customHeight="1" x14ac:dyDescent="0.2">
      <c r="A7914" s="350">
        <v>2025</v>
      </c>
      <c r="B7914" s="350">
        <v>4</v>
      </c>
      <c r="C7914" s="350">
        <v>17</v>
      </c>
      <c r="D7914" s="351">
        <f t="shared" si="902"/>
        <v>45764</v>
      </c>
      <c r="E7914" s="352">
        <f t="shared" si="909"/>
        <v>45764</v>
      </c>
      <c r="F7914" s="519"/>
      <c r="G7914" s="353" t="s">
        <v>1245</v>
      </c>
      <c r="H7914" s="354"/>
      <c r="I7914" s="354" t="s">
        <v>1253</v>
      </c>
      <c r="J7914" s="350" t="s">
        <v>153</v>
      </c>
      <c r="K7914" s="355"/>
      <c r="L7914" s="355">
        <f>K7913</f>
        <v>22596.15</v>
      </c>
    </row>
    <row r="7915" spans="1:14" ht="11.25" customHeight="1" x14ac:dyDescent="0.2">
      <c r="A7915" s="344">
        <v>2025</v>
      </c>
      <c r="B7915" s="344">
        <v>4</v>
      </c>
      <c r="C7915" s="344">
        <v>17</v>
      </c>
      <c r="D7915" s="345">
        <f t="shared" si="902"/>
        <v>45764</v>
      </c>
      <c r="E7915" s="346">
        <f t="shared" si="909"/>
        <v>45764</v>
      </c>
      <c r="F7915" s="518" t="s">
        <v>1993</v>
      </c>
      <c r="G7915" s="347" t="s">
        <v>1245</v>
      </c>
      <c r="H7915" s="348"/>
      <c r="I7915" s="348" t="s">
        <v>1253</v>
      </c>
      <c r="J7915" s="344" t="s">
        <v>113</v>
      </c>
      <c r="K7915" s="349">
        <v>23048.080000000002</v>
      </c>
      <c r="L7915" s="349"/>
      <c r="M7915" s="130"/>
    </row>
    <row r="7916" spans="1:14" ht="11.25" customHeight="1" x14ac:dyDescent="0.2">
      <c r="A7916" s="350">
        <v>2025</v>
      </c>
      <c r="B7916" s="350">
        <v>4</v>
      </c>
      <c r="C7916" s="350">
        <v>17</v>
      </c>
      <c r="D7916" s="351">
        <f t="shared" ref="D7916:D7979" si="910">DATE(A7916,B7916,C7916)</f>
        <v>45764</v>
      </c>
      <c r="E7916" s="352">
        <f t="shared" si="909"/>
        <v>45764</v>
      </c>
      <c r="F7916" s="519"/>
      <c r="G7916" s="353" t="s">
        <v>1245</v>
      </c>
      <c r="H7916" s="354"/>
      <c r="I7916" s="354" t="s">
        <v>1253</v>
      </c>
      <c r="J7916" s="350" t="s">
        <v>153</v>
      </c>
      <c r="K7916" s="355"/>
      <c r="L7916" s="355">
        <f>K7915</f>
        <v>23048.080000000002</v>
      </c>
    </row>
    <row r="7917" spans="1:14" ht="11.25" customHeight="1" x14ac:dyDescent="0.2">
      <c r="A7917" s="210">
        <v>2025</v>
      </c>
      <c r="B7917" s="210">
        <v>4</v>
      </c>
      <c r="C7917" s="210">
        <v>17</v>
      </c>
      <c r="D7917" s="211">
        <f t="shared" si="910"/>
        <v>45764</v>
      </c>
      <c r="E7917" s="238">
        <f t="shared" si="909"/>
        <v>45764</v>
      </c>
      <c r="F7917" s="520" t="s">
        <v>1278</v>
      </c>
      <c r="G7917" s="213" t="s">
        <v>1245</v>
      </c>
      <c r="H7917" s="214"/>
      <c r="I7917" s="214" t="s">
        <v>1253</v>
      </c>
      <c r="J7917" s="210" t="s">
        <v>1529</v>
      </c>
      <c r="K7917" s="215">
        <v>510.40384615384613</v>
      </c>
      <c r="L7917" s="215"/>
      <c r="M7917" s="130"/>
    </row>
    <row r="7918" spans="1:14" ht="11.25" customHeight="1" x14ac:dyDescent="0.2">
      <c r="A7918" s="216">
        <v>2025</v>
      </c>
      <c r="B7918" s="216">
        <v>4</v>
      </c>
      <c r="C7918" s="216">
        <v>17</v>
      </c>
      <c r="D7918" s="217">
        <f t="shared" si="910"/>
        <v>45764</v>
      </c>
      <c r="E7918" s="239">
        <f t="shared" si="909"/>
        <v>45764</v>
      </c>
      <c r="F7918" s="521"/>
      <c r="G7918" s="219" t="s">
        <v>1245</v>
      </c>
      <c r="H7918" s="220"/>
      <c r="I7918" s="220" t="s">
        <v>1253</v>
      </c>
      <c r="J7918" s="216" t="s">
        <v>1581</v>
      </c>
      <c r="K7918" s="221"/>
      <c r="L7918" s="221">
        <v>510.40384615384613</v>
      </c>
    </row>
    <row r="7919" spans="1:14" ht="11.25" customHeight="1" x14ac:dyDescent="0.2">
      <c r="A7919" s="210">
        <v>2025</v>
      </c>
      <c r="B7919" s="210">
        <v>4</v>
      </c>
      <c r="C7919" s="210">
        <v>17</v>
      </c>
      <c r="D7919" s="211">
        <f t="shared" si="910"/>
        <v>45764</v>
      </c>
      <c r="E7919" s="238">
        <f t="shared" si="909"/>
        <v>45764</v>
      </c>
      <c r="F7919" s="520" t="s">
        <v>1857</v>
      </c>
      <c r="G7919" s="213" t="s">
        <v>1245</v>
      </c>
      <c r="H7919" s="214"/>
      <c r="I7919" s="214" t="s">
        <v>1253</v>
      </c>
      <c r="J7919" s="210" t="s">
        <v>1284</v>
      </c>
      <c r="K7919" s="215">
        <v>2341.8114143920593</v>
      </c>
      <c r="L7919" s="215"/>
      <c r="M7919" s="130"/>
    </row>
    <row r="7920" spans="1:14" ht="11.25" customHeight="1" x14ac:dyDescent="0.2">
      <c r="A7920" s="242">
        <v>2025</v>
      </c>
      <c r="B7920" s="242">
        <v>4</v>
      </c>
      <c r="C7920" s="242">
        <v>17</v>
      </c>
      <c r="D7920" s="243">
        <f t="shared" si="910"/>
        <v>45764</v>
      </c>
      <c r="E7920" s="244">
        <f>DATE(A7920,B7920,C7920)</f>
        <v>45764</v>
      </c>
      <c r="F7920" s="524"/>
      <c r="G7920" s="245" t="s">
        <v>1245</v>
      </c>
      <c r="H7920" s="246"/>
      <c r="I7920" s="246"/>
      <c r="J7920" s="242" t="s">
        <v>1582</v>
      </c>
      <c r="K7920" s="247"/>
      <c r="L7920" s="247">
        <f>K7919</f>
        <v>2341.8114143920593</v>
      </c>
    </row>
    <row r="7921" spans="1:14" ht="11.25" customHeight="1" x14ac:dyDescent="0.2">
      <c r="A7921" s="210">
        <v>2025</v>
      </c>
      <c r="B7921" s="210">
        <v>4</v>
      </c>
      <c r="C7921" s="210">
        <v>17</v>
      </c>
      <c r="D7921" s="211">
        <f t="shared" si="910"/>
        <v>45764</v>
      </c>
      <c r="E7921" s="238">
        <f t="shared" ref="E7921:E7984" si="911">DATE(A7921,B7921,C7921)</f>
        <v>45764</v>
      </c>
      <c r="F7921" s="520" t="s">
        <v>2055</v>
      </c>
      <c r="G7921" s="213" t="s">
        <v>1245</v>
      </c>
      <c r="H7921" s="214"/>
      <c r="I7921" s="214" t="s">
        <v>1253</v>
      </c>
      <c r="J7921" s="210" t="s">
        <v>58</v>
      </c>
      <c r="K7921" s="215">
        <v>25046.53</v>
      </c>
      <c r="L7921" s="215"/>
    </row>
    <row r="7922" spans="1:14" ht="11.25" customHeight="1" x14ac:dyDescent="0.2">
      <c r="A7922" s="216">
        <v>2025</v>
      </c>
      <c r="B7922" s="216">
        <v>4</v>
      </c>
      <c r="C7922" s="216">
        <v>17</v>
      </c>
      <c r="D7922" s="217">
        <f t="shared" si="910"/>
        <v>45764</v>
      </c>
      <c r="E7922" s="239">
        <f t="shared" si="911"/>
        <v>45764</v>
      </c>
      <c r="F7922" s="521"/>
      <c r="G7922" s="219" t="s">
        <v>1245</v>
      </c>
      <c r="H7922" s="220"/>
      <c r="I7922" s="220" t="s">
        <v>1253</v>
      </c>
      <c r="J7922" s="216" t="s">
        <v>153</v>
      </c>
      <c r="K7922" s="221"/>
      <c r="L7922" s="221">
        <f>K7921</f>
        <v>25046.53</v>
      </c>
    </row>
    <row r="7923" spans="1:14" ht="11.25" customHeight="1" x14ac:dyDescent="0.2">
      <c r="A7923" s="312">
        <v>2025</v>
      </c>
      <c r="B7923" s="312">
        <v>4</v>
      </c>
      <c r="C7923" s="312">
        <v>17</v>
      </c>
      <c r="D7923" s="313">
        <f t="shared" si="910"/>
        <v>45764</v>
      </c>
      <c r="E7923" s="314">
        <f t="shared" si="911"/>
        <v>45764</v>
      </c>
      <c r="F7923" s="522" t="s">
        <v>1477</v>
      </c>
      <c r="G7923" s="315" t="s">
        <v>1245</v>
      </c>
      <c r="H7923" s="316"/>
      <c r="I7923" s="316" t="s">
        <v>1253</v>
      </c>
      <c r="J7923" s="312" t="s">
        <v>1458</v>
      </c>
      <c r="K7923" s="317">
        <v>0</v>
      </c>
      <c r="L7923" s="317"/>
      <c r="M7923" s="120">
        <f>BS!$I$11</f>
        <v>5.9604644775390625E-8</v>
      </c>
    </row>
    <row r="7924" spans="1:14" ht="11.25" customHeight="1" x14ac:dyDescent="0.2">
      <c r="A7924" s="318">
        <v>2025</v>
      </c>
      <c r="B7924" s="318">
        <v>4</v>
      </c>
      <c r="C7924" s="318">
        <v>17</v>
      </c>
      <c r="D7924" s="319">
        <f t="shared" si="910"/>
        <v>45764</v>
      </c>
      <c r="E7924" s="320">
        <f t="shared" si="911"/>
        <v>45764</v>
      </c>
      <c r="F7924" s="523"/>
      <c r="G7924" s="321" t="s">
        <v>1245</v>
      </c>
      <c r="H7924" s="322"/>
      <c r="I7924" s="322" t="s">
        <v>1253</v>
      </c>
      <c r="J7924" s="318" t="s">
        <v>1460</v>
      </c>
      <c r="K7924" s="323"/>
      <c r="L7924" s="323">
        <f>K7923</f>
        <v>0</v>
      </c>
    </row>
    <row r="7925" spans="1:14" ht="11.25" customHeight="1" x14ac:dyDescent="0.2">
      <c r="A7925" s="312">
        <v>2025</v>
      </c>
      <c r="B7925" s="312">
        <v>4</v>
      </c>
      <c r="C7925" s="312">
        <v>17</v>
      </c>
      <c r="D7925" s="313">
        <f t="shared" si="910"/>
        <v>45764</v>
      </c>
      <c r="E7925" s="314">
        <f t="shared" si="911"/>
        <v>45764</v>
      </c>
      <c r="F7925" s="522" t="s">
        <v>1595</v>
      </c>
      <c r="G7925" s="315" t="s">
        <v>1245</v>
      </c>
      <c r="H7925" s="316"/>
      <c r="I7925" s="316" t="s">
        <v>1253</v>
      </c>
      <c r="J7925" s="312" t="s">
        <v>1459</v>
      </c>
      <c r="K7925" s="317">
        <v>6729301.7239999771</v>
      </c>
      <c r="L7925" s="317"/>
      <c r="M7925" s="120">
        <f>BS!$I$14</f>
        <v>0</v>
      </c>
    </row>
    <row r="7926" spans="1:14" ht="11.25" customHeight="1" x14ac:dyDescent="0.2">
      <c r="A7926" s="318">
        <v>2025</v>
      </c>
      <c r="B7926" s="318">
        <v>4</v>
      </c>
      <c r="C7926" s="318">
        <v>17</v>
      </c>
      <c r="D7926" s="319">
        <f t="shared" si="910"/>
        <v>45764</v>
      </c>
      <c r="E7926" s="320">
        <f t="shared" si="911"/>
        <v>45764</v>
      </c>
      <c r="F7926" s="523"/>
      <c r="G7926" s="321" t="s">
        <v>1245</v>
      </c>
      <c r="H7926" s="322"/>
      <c r="I7926" s="322" t="s">
        <v>1253</v>
      </c>
      <c r="J7926" s="318" t="s">
        <v>1461</v>
      </c>
      <c r="K7926" s="323"/>
      <c r="L7926" s="323">
        <f>K7925</f>
        <v>6729301.7239999771</v>
      </c>
    </row>
    <row r="7927" spans="1:14" ht="11.25" customHeight="1" x14ac:dyDescent="0.2">
      <c r="A7927" s="222">
        <v>2025</v>
      </c>
      <c r="B7927" s="222">
        <v>4</v>
      </c>
      <c r="C7927" s="222">
        <v>17</v>
      </c>
      <c r="D7927" s="223">
        <f t="shared" si="910"/>
        <v>45764</v>
      </c>
      <c r="E7927" s="240">
        <f t="shared" si="911"/>
        <v>45764</v>
      </c>
      <c r="F7927" s="511" t="s">
        <v>1244</v>
      </c>
      <c r="G7927" s="225" t="s">
        <v>1245</v>
      </c>
      <c r="H7927" s="226"/>
      <c r="I7927" s="226" t="s">
        <v>1253</v>
      </c>
      <c r="J7927" s="222" t="s">
        <v>87</v>
      </c>
      <c r="K7927" s="227">
        <v>10460</v>
      </c>
      <c r="L7927" s="227"/>
      <c r="M7927" s="120">
        <f>BS!$I$7</f>
        <v>0</v>
      </c>
    </row>
    <row r="7928" spans="1:14" ht="11.25" customHeight="1" x14ac:dyDescent="0.2">
      <c r="A7928" s="228">
        <v>2025</v>
      </c>
      <c r="B7928" s="228">
        <v>4</v>
      </c>
      <c r="C7928" s="228">
        <v>17</v>
      </c>
      <c r="D7928" s="229">
        <f t="shared" si="910"/>
        <v>45764</v>
      </c>
      <c r="E7928" s="241">
        <f t="shared" si="911"/>
        <v>45764</v>
      </c>
      <c r="F7928" s="512"/>
      <c r="G7928" s="231" t="s">
        <v>1245</v>
      </c>
      <c r="H7928" s="232"/>
      <c r="I7928" s="232" t="s">
        <v>1253</v>
      </c>
      <c r="J7928" s="228" t="s">
        <v>72</v>
      </c>
      <c r="K7928" s="233"/>
      <c r="L7928" s="233">
        <f>K7927</f>
        <v>10460</v>
      </c>
    </row>
    <row r="7929" spans="1:14" ht="11.25" customHeight="1" x14ac:dyDescent="0.2">
      <c r="A7929" s="222">
        <v>2025</v>
      </c>
      <c r="B7929" s="222">
        <v>4</v>
      </c>
      <c r="C7929" s="222">
        <v>17</v>
      </c>
      <c r="D7929" s="223">
        <f t="shared" si="910"/>
        <v>45764</v>
      </c>
      <c r="E7929" s="240">
        <f t="shared" si="911"/>
        <v>45764</v>
      </c>
      <c r="F7929" s="511" t="s">
        <v>1246</v>
      </c>
      <c r="G7929" s="225" t="s">
        <v>1245</v>
      </c>
      <c r="H7929" s="226"/>
      <c r="I7929" s="226" t="s">
        <v>1253</v>
      </c>
      <c r="J7929" s="222" t="s">
        <v>75</v>
      </c>
      <c r="K7929" s="227">
        <v>3623.123846153846</v>
      </c>
      <c r="L7929" s="227"/>
      <c r="M7929" s="130"/>
    </row>
    <row r="7930" spans="1:14" ht="11.25" customHeight="1" x14ac:dyDescent="0.2">
      <c r="A7930" s="228">
        <v>2025</v>
      </c>
      <c r="B7930" s="228">
        <v>4</v>
      </c>
      <c r="C7930" s="228">
        <v>17</v>
      </c>
      <c r="D7930" s="229">
        <f t="shared" si="910"/>
        <v>45764</v>
      </c>
      <c r="E7930" s="241">
        <f t="shared" si="911"/>
        <v>45764</v>
      </c>
      <c r="F7930" s="512"/>
      <c r="G7930" s="231" t="s">
        <v>1245</v>
      </c>
      <c r="H7930" s="232"/>
      <c r="I7930" s="232" t="s">
        <v>1253</v>
      </c>
      <c r="J7930" s="228" t="s">
        <v>55</v>
      </c>
      <c r="K7930" s="233"/>
      <c r="L7930" s="233">
        <v>3623.123846153846</v>
      </c>
    </row>
    <row r="7931" spans="1:14" ht="11.25" customHeight="1" x14ac:dyDescent="0.2">
      <c r="A7931" s="222">
        <v>2025</v>
      </c>
      <c r="B7931" s="222">
        <v>4</v>
      </c>
      <c r="C7931" s="222">
        <v>17</v>
      </c>
      <c r="D7931" s="223">
        <f t="shared" si="910"/>
        <v>45764</v>
      </c>
      <c r="E7931" s="240">
        <f t="shared" si="911"/>
        <v>45764</v>
      </c>
      <c r="F7931" s="511" t="s">
        <v>1247</v>
      </c>
      <c r="G7931" s="225" t="s">
        <v>1245</v>
      </c>
      <c r="H7931" s="226"/>
      <c r="I7931" s="226" t="s">
        <v>1253</v>
      </c>
      <c r="J7931" s="222" t="s">
        <v>77</v>
      </c>
      <c r="K7931" s="227">
        <f>M7931</f>
        <v>52033.883226229678</v>
      </c>
      <c r="L7931" s="227"/>
      <c r="M7931" s="130">
        <v>52033.883226229678</v>
      </c>
    </row>
    <row r="7932" spans="1:14" ht="11.25" customHeight="1" x14ac:dyDescent="0.2">
      <c r="A7932" s="228">
        <v>2025</v>
      </c>
      <c r="B7932" s="228">
        <v>4</v>
      </c>
      <c r="C7932" s="228">
        <v>17</v>
      </c>
      <c r="D7932" s="229">
        <f t="shared" si="910"/>
        <v>45764</v>
      </c>
      <c r="E7932" s="241">
        <f t="shared" si="911"/>
        <v>45764</v>
      </c>
      <c r="F7932" s="512"/>
      <c r="G7932" s="231" t="s">
        <v>1245</v>
      </c>
      <c r="H7932" s="232"/>
      <c r="I7932" s="232" t="s">
        <v>1253</v>
      </c>
      <c r="J7932" s="228" t="s">
        <v>41</v>
      </c>
      <c r="K7932" s="233"/>
      <c r="L7932" s="233">
        <f>K7931</f>
        <v>52033.883226229678</v>
      </c>
      <c r="M7932" s="130">
        <v>5203.3883226229673</v>
      </c>
    </row>
    <row r="7933" spans="1:14" ht="11.25" customHeight="1" x14ac:dyDescent="0.2">
      <c r="A7933" s="222">
        <v>2025</v>
      </c>
      <c r="B7933" s="222">
        <v>4</v>
      </c>
      <c r="C7933" s="222">
        <v>17</v>
      </c>
      <c r="D7933" s="223">
        <f t="shared" si="910"/>
        <v>45764</v>
      </c>
      <c r="E7933" s="240">
        <f t="shared" si="911"/>
        <v>45764</v>
      </c>
      <c r="F7933" s="511" t="s">
        <v>1248</v>
      </c>
      <c r="G7933" s="225" t="s">
        <v>1245</v>
      </c>
      <c r="H7933" s="226"/>
      <c r="I7933" s="226" t="s">
        <v>1253</v>
      </c>
      <c r="J7933" s="222" t="s">
        <v>80</v>
      </c>
      <c r="K7933" s="227">
        <f>M7932</f>
        <v>5203.3883226229673</v>
      </c>
      <c r="L7933" s="227"/>
    </row>
    <row r="7934" spans="1:14" ht="11.25" customHeight="1" x14ac:dyDescent="0.2">
      <c r="A7934" s="228">
        <v>2025</v>
      </c>
      <c r="B7934" s="228">
        <v>4</v>
      </c>
      <c r="C7934" s="228">
        <v>17</v>
      </c>
      <c r="D7934" s="229">
        <f t="shared" si="910"/>
        <v>45764</v>
      </c>
      <c r="E7934" s="241">
        <f t="shared" si="911"/>
        <v>45764</v>
      </c>
      <c r="F7934" s="512"/>
      <c r="G7934" s="231" t="s">
        <v>1245</v>
      </c>
      <c r="H7934" s="232"/>
      <c r="I7934" s="232" t="s">
        <v>1253</v>
      </c>
      <c r="J7934" s="228" t="s">
        <v>42</v>
      </c>
      <c r="K7934" s="233"/>
      <c r="L7934" s="233">
        <f>K7933</f>
        <v>5203.3883226229673</v>
      </c>
    </row>
    <row r="7935" spans="1:14" ht="11.25" customHeight="1" x14ac:dyDescent="0.2">
      <c r="A7935" s="197">
        <v>2025</v>
      </c>
      <c r="B7935" s="197">
        <v>4</v>
      </c>
      <c r="C7935" s="197">
        <v>20</v>
      </c>
      <c r="D7935" s="198">
        <f t="shared" si="910"/>
        <v>45767</v>
      </c>
      <c r="E7935" s="209">
        <f t="shared" si="911"/>
        <v>45767</v>
      </c>
      <c r="F7935" s="513" t="s">
        <v>1280</v>
      </c>
      <c r="G7935" s="200" t="s">
        <v>1209</v>
      </c>
      <c r="H7935" s="201"/>
      <c r="I7935" s="201" t="s">
        <v>1597</v>
      </c>
      <c r="J7935" s="197" t="s">
        <v>16</v>
      </c>
      <c r="K7935" s="202">
        <v>2421110</v>
      </c>
      <c r="L7935" s="202"/>
      <c r="M7935" s="130"/>
      <c r="N7935" s="130"/>
    </row>
    <row r="7936" spans="1:14" ht="11.25" customHeight="1" x14ac:dyDescent="0.2">
      <c r="A7936" s="120">
        <v>2025</v>
      </c>
      <c r="B7936" s="120">
        <v>4</v>
      </c>
      <c r="C7936" s="120">
        <v>20</v>
      </c>
      <c r="D7936" s="208">
        <f t="shared" si="910"/>
        <v>45767</v>
      </c>
      <c r="E7936" s="209">
        <f t="shared" si="911"/>
        <v>45767</v>
      </c>
      <c r="F7936" s="515"/>
      <c r="G7936" s="132" t="s">
        <v>1209</v>
      </c>
      <c r="I7936" s="128" t="s">
        <v>1597</v>
      </c>
      <c r="J7936" s="120" t="s">
        <v>47</v>
      </c>
      <c r="K7936" s="207">
        <v>578890</v>
      </c>
      <c r="L7936" s="207"/>
      <c r="M7936" s="130"/>
      <c r="N7936" s="130"/>
    </row>
    <row r="7937" spans="1:15" ht="11.25" customHeight="1" x14ac:dyDescent="0.2">
      <c r="A7937" s="191">
        <v>2025</v>
      </c>
      <c r="B7937" s="191">
        <v>4</v>
      </c>
      <c r="C7937" s="191">
        <v>20</v>
      </c>
      <c r="D7937" s="192">
        <f t="shared" si="910"/>
        <v>45767</v>
      </c>
      <c r="E7937" s="193">
        <f t="shared" si="911"/>
        <v>45767</v>
      </c>
      <c r="F7937" s="514"/>
      <c r="G7937" s="194" t="s">
        <v>1209</v>
      </c>
      <c r="H7937" s="195"/>
      <c r="I7937" s="195" t="s">
        <v>1597</v>
      </c>
      <c r="J7937" s="191" t="s">
        <v>46</v>
      </c>
      <c r="K7937" s="196"/>
      <c r="L7937" s="196">
        <v>3000000</v>
      </c>
      <c r="M7937" s="130"/>
      <c r="N7937" s="130"/>
    </row>
    <row r="7938" spans="1:15" ht="11.25" customHeight="1" x14ac:dyDescent="0.2">
      <c r="A7938" s="197">
        <v>2025</v>
      </c>
      <c r="B7938" s="197">
        <v>4</v>
      </c>
      <c r="C7938" s="197">
        <v>20</v>
      </c>
      <c r="D7938" s="198">
        <f t="shared" si="910"/>
        <v>45767</v>
      </c>
      <c r="E7938" s="209">
        <f t="shared" ref="E7938:E7940" si="912">DATE(A7938,B7938,C7938)</f>
        <v>45767</v>
      </c>
      <c r="F7938" s="513" t="s">
        <v>1210</v>
      </c>
      <c r="G7938" s="200" t="s">
        <v>1209</v>
      </c>
      <c r="H7938" s="201"/>
      <c r="I7938" s="201" t="s">
        <v>658</v>
      </c>
      <c r="J7938" s="197" t="s">
        <v>46</v>
      </c>
      <c r="K7938" s="202">
        <v>1500000</v>
      </c>
      <c r="L7938" s="202"/>
    </row>
    <row r="7939" spans="1:15" ht="11.25" customHeight="1" x14ac:dyDescent="0.2">
      <c r="A7939" s="120">
        <v>2025</v>
      </c>
      <c r="B7939" s="120">
        <v>4</v>
      </c>
      <c r="C7939" s="120">
        <v>20</v>
      </c>
      <c r="D7939" s="208">
        <f t="shared" si="910"/>
        <v>45767</v>
      </c>
      <c r="E7939" s="209">
        <f t="shared" si="912"/>
        <v>45767</v>
      </c>
      <c r="F7939" s="515"/>
      <c r="G7939" s="132" t="s">
        <v>1209</v>
      </c>
      <c r="I7939" s="128" t="s">
        <v>658</v>
      </c>
      <c r="J7939" s="120" t="s">
        <v>16</v>
      </c>
      <c r="K7939" s="207"/>
      <c r="L7939" s="207">
        <v>1215170</v>
      </c>
    </row>
    <row r="7940" spans="1:15" ht="11.25" customHeight="1" x14ac:dyDescent="0.2">
      <c r="A7940" s="191">
        <v>2025</v>
      </c>
      <c r="B7940" s="191">
        <v>4</v>
      </c>
      <c r="C7940" s="191">
        <v>20</v>
      </c>
      <c r="D7940" s="192">
        <f t="shared" si="910"/>
        <v>45767</v>
      </c>
      <c r="E7940" s="193">
        <f t="shared" si="912"/>
        <v>45767</v>
      </c>
      <c r="F7940" s="514"/>
      <c r="G7940" s="194" t="s">
        <v>1209</v>
      </c>
      <c r="H7940" s="195"/>
      <c r="I7940" s="195" t="s">
        <v>658</v>
      </c>
      <c r="J7940" s="191" t="s">
        <v>47</v>
      </c>
      <c r="K7940" s="196"/>
      <c r="L7940" s="196">
        <v>284830</v>
      </c>
    </row>
    <row r="7941" spans="1:15" ht="11.25" customHeight="1" x14ac:dyDescent="0.2">
      <c r="A7941" s="197">
        <v>2025</v>
      </c>
      <c r="B7941" s="197">
        <v>4</v>
      </c>
      <c r="C7941" s="197">
        <v>20</v>
      </c>
      <c r="D7941" s="198">
        <f t="shared" si="910"/>
        <v>45767</v>
      </c>
      <c r="E7941" s="290">
        <f>DATE(A7941,B7941,C7941)</f>
        <v>45767</v>
      </c>
      <c r="F7941" s="513" t="s">
        <v>1514</v>
      </c>
      <c r="G7941" s="200" t="s">
        <v>1209</v>
      </c>
      <c r="H7941" s="201"/>
      <c r="I7941" s="201"/>
      <c r="J7941" s="197" t="s">
        <v>54</v>
      </c>
      <c r="K7941" s="202">
        <v>220</v>
      </c>
      <c r="L7941" s="202"/>
      <c r="M7941" s="251"/>
      <c r="N7941" s="251"/>
      <c r="O7941" s="251"/>
    </row>
    <row r="7942" spans="1:15" ht="11.25" customHeight="1" x14ac:dyDescent="0.2">
      <c r="A7942" s="191">
        <v>2025</v>
      </c>
      <c r="B7942" s="191">
        <v>4</v>
      </c>
      <c r="C7942" s="191">
        <v>20</v>
      </c>
      <c r="D7942" s="192">
        <f t="shared" si="910"/>
        <v>45767</v>
      </c>
      <c r="E7942" s="291">
        <f>DATE(A7942,B7942,C7942)</f>
        <v>45767</v>
      </c>
      <c r="F7942" s="514"/>
      <c r="G7942" s="194" t="s">
        <v>1209</v>
      </c>
      <c r="H7942" s="195"/>
      <c r="I7942" s="195"/>
      <c r="J7942" s="191" t="s">
        <v>46</v>
      </c>
      <c r="K7942" s="196"/>
      <c r="L7942" s="196">
        <v>220</v>
      </c>
      <c r="M7942" s="251"/>
      <c r="N7942" s="251"/>
      <c r="O7942" s="251"/>
    </row>
    <row r="7943" spans="1:15" ht="11.25" customHeight="1" x14ac:dyDescent="0.2">
      <c r="A7943" s="197">
        <v>2025</v>
      </c>
      <c r="B7943" s="197">
        <v>4</v>
      </c>
      <c r="C7943" s="197">
        <v>21</v>
      </c>
      <c r="D7943" s="198">
        <f t="shared" si="910"/>
        <v>45768</v>
      </c>
      <c r="E7943" s="209">
        <f t="shared" ref="E7943:E7951" si="913">DATE(A7943,B7943,C7943)</f>
        <v>45768</v>
      </c>
      <c r="F7943" s="513" t="s">
        <v>1210</v>
      </c>
      <c r="G7943" s="200" t="s">
        <v>1209</v>
      </c>
      <c r="H7943" s="201"/>
      <c r="I7943" s="201" t="s">
        <v>370</v>
      </c>
      <c r="J7943" s="197" t="s">
        <v>46</v>
      </c>
      <c r="K7943" s="202">
        <v>1400000</v>
      </c>
      <c r="L7943" s="202"/>
    </row>
    <row r="7944" spans="1:15" ht="11.25" customHeight="1" x14ac:dyDescent="0.2">
      <c r="A7944" s="120">
        <v>2025</v>
      </c>
      <c r="B7944" s="120">
        <v>4</v>
      </c>
      <c r="C7944" s="120">
        <v>21</v>
      </c>
      <c r="D7944" s="208">
        <f t="shared" si="910"/>
        <v>45768</v>
      </c>
      <c r="E7944" s="209">
        <f t="shared" si="913"/>
        <v>45768</v>
      </c>
      <c r="F7944" s="515"/>
      <c r="G7944" s="132" t="s">
        <v>1209</v>
      </c>
      <c r="I7944" s="128" t="s">
        <v>370</v>
      </c>
      <c r="J7944" s="120" t="s">
        <v>16</v>
      </c>
      <c r="K7944" s="207"/>
      <c r="L7944" s="207">
        <v>1134150</v>
      </c>
    </row>
    <row r="7945" spans="1:15" ht="11.25" customHeight="1" x14ac:dyDescent="0.2">
      <c r="A7945" s="191">
        <v>2025</v>
      </c>
      <c r="B7945" s="191">
        <v>4</v>
      </c>
      <c r="C7945" s="191">
        <v>21</v>
      </c>
      <c r="D7945" s="192">
        <f t="shared" si="910"/>
        <v>45768</v>
      </c>
      <c r="E7945" s="193">
        <f t="shared" si="913"/>
        <v>45768</v>
      </c>
      <c r="F7945" s="514"/>
      <c r="G7945" s="194" t="s">
        <v>1209</v>
      </c>
      <c r="H7945" s="195"/>
      <c r="I7945" s="195" t="s">
        <v>370</v>
      </c>
      <c r="J7945" s="191" t="s">
        <v>47</v>
      </c>
      <c r="K7945" s="196"/>
      <c r="L7945" s="196">
        <v>265850</v>
      </c>
    </row>
    <row r="7946" spans="1:15" ht="11.25" customHeight="1" x14ac:dyDescent="0.2">
      <c r="A7946" s="197">
        <v>2025</v>
      </c>
      <c r="B7946" s="197">
        <v>4</v>
      </c>
      <c r="C7946" s="197">
        <v>21</v>
      </c>
      <c r="D7946" s="198">
        <f t="shared" si="910"/>
        <v>45768</v>
      </c>
      <c r="E7946" s="209">
        <f t="shared" si="913"/>
        <v>45768</v>
      </c>
      <c r="F7946" s="513" t="s">
        <v>1280</v>
      </c>
      <c r="G7946" s="200" t="s">
        <v>1209</v>
      </c>
      <c r="H7946" s="201"/>
      <c r="I7946" s="201" t="s">
        <v>1633</v>
      </c>
      <c r="J7946" s="197" t="s">
        <v>16</v>
      </c>
      <c r="K7946" s="202">
        <v>242110</v>
      </c>
      <c r="L7946" s="202"/>
      <c r="M7946" s="130"/>
      <c r="N7946" s="130"/>
    </row>
    <row r="7947" spans="1:15" ht="11.25" customHeight="1" x14ac:dyDescent="0.2">
      <c r="A7947" s="120">
        <v>2025</v>
      </c>
      <c r="B7947" s="120">
        <v>4</v>
      </c>
      <c r="C7947" s="120">
        <v>21</v>
      </c>
      <c r="D7947" s="208">
        <f t="shared" si="910"/>
        <v>45768</v>
      </c>
      <c r="E7947" s="209">
        <f t="shared" si="913"/>
        <v>45768</v>
      </c>
      <c r="F7947" s="515"/>
      <c r="G7947" s="132" t="s">
        <v>1209</v>
      </c>
      <c r="I7947" s="128" t="s">
        <v>1633</v>
      </c>
      <c r="J7947" s="120" t="s">
        <v>47</v>
      </c>
      <c r="K7947" s="207">
        <v>57890</v>
      </c>
      <c r="L7947" s="207"/>
      <c r="M7947" s="130"/>
      <c r="N7947" s="130"/>
    </row>
    <row r="7948" spans="1:15" ht="11.25" customHeight="1" x14ac:dyDescent="0.2">
      <c r="A7948" s="191">
        <v>2025</v>
      </c>
      <c r="B7948" s="191">
        <v>4</v>
      </c>
      <c r="C7948" s="191">
        <v>21</v>
      </c>
      <c r="D7948" s="192">
        <f t="shared" si="910"/>
        <v>45768</v>
      </c>
      <c r="E7948" s="193">
        <f t="shared" si="913"/>
        <v>45768</v>
      </c>
      <c r="F7948" s="514"/>
      <c r="G7948" s="194" t="s">
        <v>1209</v>
      </c>
      <c r="H7948" s="195"/>
      <c r="I7948" s="195" t="s">
        <v>1633</v>
      </c>
      <c r="J7948" s="191" t="s">
        <v>46</v>
      </c>
      <c r="K7948" s="196"/>
      <c r="L7948" s="196">
        <v>300000</v>
      </c>
      <c r="M7948" s="130"/>
      <c r="N7948" s="130"/>
    </row>
    <row r="7949" spans="1:15" ht="11.25" customHeight="1" x14ac:dyDescent="0.2">
      <c r="A7949" s="197">
        <v>2025</v>
      </c>
      <c r="B7949" s="197">
        <v>4</v>
      </c>
      <c r="C7949" s="197">
        <v>21</v>
      </c>
      <c r="D7949" s="198">
        <f t="shared" si="910"/>
        <v>45768</v>
      </c>
      <c r="E7949" s="199">
        <f t="shared" si="913"/>
        <v>45768</v>
      </c>
      <c r="F7949" s="513" t="s">
        <v>2016</v>
      </c>
      <c r="G7949" s="200" t="s">
        <v>1209</v>
      </c>
      <c r="H7949" s="201"/>
      <c r="I7949" s="201" t="s">
        <v>1253</v>
      </c>
      <c r="J7949" s="197" t="s">
        <v>46</v>
      </c>
      <c r="K7949" s="202">
        <v>30309939.129999999</v>
      </c>
      <c r="L7949" s="202"/>
    </row>
    <row r="7950" spans="1:15" ht="11.25" customHeight="1" x14ac:dyDescent="0.2">
      <c r="A7950" s="120">
        <v>2025</v>
      </c>
      <c r="B7950" s="120">
        <v>4</v>
      </c>
      <c r="C7950" s="120">
        <v>21</v>
      </c>
      <c r="D7950" s="208">
        <f t="shared" si="910"/>
        <v>45768</v>
      </c>
      <c r="E7950" s="209">
        <f t="shared" si="913"/>
        <v>45768</v>
      </c>
      <c r="F7950" s="515"/>
      <c r="G7950" s="132" t="s">
        <v>1209</v>
      </c>
      <c r="J7950" s="120" t="s">
        <v>1463</v>
      </c>
      <c r="K7950" s="328"/>
      <c r="L7950" s="207">
        <v>309939.12999999896</v>
      </c>
    </row>
    <row r="7951" spans="1:15" ht="11.25" customHeight="1" x14ac:dyDescent="0.2">
      <c r="A7951" s="191">
        <v>2025</v>
      </c>
      <c r="B7951" s="191">
        <v>4</v>
      </c>
      <c r="C7951" s="191">
        <v>21</v>
      </c>
      <c r="D7951" s="192">
        <f t="shared" si="910"/>
        <v>45768</v>
      </c>
      <c r="E7951" s="193">
        <f t="shared" si="913"/>
        <v>45768</v>
      </c>
      <c r="F7951" s="514"/>
      <c r="G7951" s="194" t="s">
        <v>1209</v>
      </c>
      <c r="H7951" s="195"/>
      <c r="I7951" s="195" t="s">
        <v>1253</v>
      </c>
      <c r="J7951" s="191" t="s">
        <v>1837</v>
      </c>
      <c r="K7951" s="196"/>
      <c r="L7951" s="196">
        <v>30000000</v>
      </c>
      <c r="N7951" s="130"/>
    </row>
    <row r="7952" spans="1:15" ht="11.25" customHeight="1" x14ac:dyDescent="0.2">
      <c r="A7952" s="197">
        <v>2025</v>
      </c>
      <c r="B7952" s="197">
        <v>4</v>
      </c>
      <c r="C7952" s="197">
        <v>21</v>
      </c>
      <c r="D7952" s="198">
        <f t="shared" si="910"/>
        <v>45768</v>
      </c>
      <c r="E7952" s="290">
        <f>DATE(A7952,B7952,C7952)</f>
        <v>45768</v>
      </c>
      <c r="F7952" s="513" t="s">
        <v>1514</v>
      </c>
      <c r="G7952" s="200" t="s">
        <v>1209</v>
      </c>
      <c r="H7952" s="201"/>
      <c r="I7952" s="201"/>
      <c r="J7952" s="197" t="s">
        <v>54</v>
      </c>
      <c r="K7952" s="202">
        <v>60</v>
      </c>
      <c r="L7952" s="202"/>
      <c r="M7952" s="251"/>
      <c r="N7952" s="251"/>
      <c r="O7952" s="251"/>
    </row>
    <row r="7953" spans="1:15" ht="11.25" customHeight="1" x14ac:dyDescent="0.2">
      <c r="A7953" s="191">
        <v>2025</v>
      </c>
      <c r="B7953" s="191">
        <v>4</v>
      </c>
      <c r="C7953" s="191">
        <v>21</v>
      </c>
      <c r="D7953" s="192">
        <f t="shared" si="910"/>
        <v>45768</v>
      </c>
      <c r="E7953" s="291">
        <f>DATE(A7953,B7953,C7953)</f>
        <v>45768</v>
      </c>
      <c r="F7953" s="514"/>
      <c r="G7953" s="194" t="s">
        <v>1209</v>
      </c>
      <c r="H7953" s="195"/>
      <c r="I7953" s="195"/>
      <c r="J7953" s="191" t="s">
        <v>46</v>
      </c>
      <c r="K7953" s="196"/>
      <c r="L7953" s="196">
        <v>60</v>
      </c>
      <c r="M7953" s="251"/>
      <c r="N7953" s="251"/>
      <c r="O7953" s="251"/>
    </row>
    <row r="7954" spans="1:15" ht="11.25" customHeight="1" x14ac:dyDescent="0.2">
      <c r="A7954" s="197">
        <v>2025</v>
      </c>
      <c r="B7954" s="197">
        <v>4</v>
      </c>
      <c r="C7954" s="197">
        <v>22</v>
      </c>
      <c r="D7954" s="198">
        <f t="shared" si="910"/>
        <v>45769</v>
      </c>
      <c r="E7954" s="209">
        <f t="shared" ref="E7954:E7959" si="914">DATE(A7954,B7954,C7954)</f>
        <v>45769</v>
      </c>
      <c r="F7954" s="513" t="s">
        <v>1210</v>
      </c>
      <c r="G7954" s="200" t="s">
        <v>1209</v>
      </c>
      <c r="H7954" s="201"/>
      <c r="I7954" s="201" t="s">
        <v>658</v>
      </c>
      <c r="J7954" s="197" t="s">
        <v>46</v>
      </c>
      <c r="K7954" s="202">
        <v>1600000</v>
      </c>
      <c r="L7954" s="202"/>
    </row>
    <row r="7955" spans="1:15" ht="11.25" customHeight="1" x14ac:dyDescent="0.2">
      <c r="A7955" s="120">
        <v>2025</v>
      </c>
      <c r="B7955" s="120">
        <v>4</v>
      </c>
      <c r="C7955" s="120">
        <v>22</v>
      </c>
      <c r="D7955" s="208">
        <f t="shared" si="910"/>
        <v>45769</v>
      </c>
      <c r="E7955" s="209">
        <f t="shared" si="914"/>
        <v>45769</v>
      </c>
      <c r="F7955" s="515"/>
      <c r="G7955" s="132" t="s">
        <v>1209</v>
      </c>
      <c r="I7955" s="128" t="s">
        <v>658</v>
      </c>
      <c r="J7955" s="120" t="s">
        <v>16</v>
      </c>
      <c r="K7955" s="207"/>
      <c r="L7955" s="207">
        <v>1296180</v>
      </c>
    </row>
    <row r="7956" spans="1:15" ht="11.25" customHeight="1" x14ac:dyDescent="0.2">
      <c r="A7956" s="191">
        <v>2025</v>
      </c>
      <c r="B7956" s="191">
        <v>4</v>
      </c>
      <c r="C7956" s="191">
        <v>22</v>
      </c>
      <c r="D7956" s="192">
        <f t="shared" si="910"/>
        <v>45769</v>
      </c>
      <c r="E7956" s="193">
        <f t="shared" si="914"/>
        <v>45769</v>
      </c>
      <c r="F7956" s="514"/>
      <c r="G7956" s="194" t="s">
        <v>1209</v>
      </c>
      <c r="H7956" s="195"/>
      <c r="I7956" s="195" t="s">
        <v>658</v>
      </c>
      <c r="J7956" s="191" t="s">
        <v>47</v>
      </c>
      <c r="K7956" s="196"/>
      <c r="L7956" s="196">
        <v>303820</v>
      </c>
    </row>
    <row r="7957" spans="1:15" ht="11.25" customHeight="1" x14ac:dyDescent="0.2">
      <c r="A7957" s="197">
        <v>2025</v>
      </c>
      <c r="B7957" s="197">
        <v>4</v>
      </c>
      <c r="C7957" s="197">
        <v>22</v>
      </c>
      <c r="D7957" s="198">
        <f t="shared" si="910"/>
        <v>45769</v>
      </c>
      <c r="E7957" s="209">
        <f t="shared" si="914"/>
        <v>45769</v>
      </c>
      <c r="F7957" s="513" t="s">
        <v>1280</v>
      </c>
      <c r="G7957" s="200" t="s">
        <v>1209</v>
      </c>
      <c r="H7957" s="201"/>
      <c r="I7957" s="201" t="s">
        <v>1809</v>
      </c>
      <c r="J7957" s="197" t="s">
        <v>16</v>
      </c>
      <c r="K7957" s="202">
        <v>176940</v>
      </c>
      <c r="L7957" s="202"/>
      <c r="M7957" s="130"/>
      <c r="N7957" s="130"/>
    </row>
    <row r="7958" spans="1:15" ht="11.25" customHeight="1" x14ac:dyDescent="0.2">
      <c r="A7958" s="120">
        <v>2025</v>
      </c>
      <c r="B7958" s="120">
        <v>4</v>
      </c>
      <c r="C7958" s="120">
        <v>22</v>
      </c>
      <c r="D7958" s="208">
        <f t="shared" si="910"/>
        <v>45769</v>
      </c>
      <c r="E7958" s="209">
        <f t="shared" si="914"/>
        <v>45769</v>
      </c>
      <c r="F7958" s="515"/>
      <c r="G7958" s="132" t="s">
        <v>1209</v>
      </c>
      <c r="I7958" s="128" t="s">
        <v>1809</v>
      </c>
      <c r="J7958" s="120" t="s">
        <v>47</v>
      </c>
      <c r="K7958" s="207">
        <v>42306.7</v>
      </c>
      <c r="L7958" s="207"/>
      <c r="M7958" s="130"/>
      <c r="N7958" s="130"/>
    </row>
    <row r="7959" spans="1:15" ht="11.25" customHeight="1" x14ac:dyDescent="0.2">
      <c r="A7959" s="191">
        <v>2025</v>
      </c>
      <c r="B7959" s="191">
        <v>4</v>
      </c>
      <c r="C7959" s="191">
        <v>22</v>
      </c>
      <c r="D7959" s="192">
        <f t="shared" si="910"/>
        <v>45769</v>
      </c>
      <c r="E7959" s="193">
        <f t="shared" si="914"/>
        <v>45769</v>
      </c>
      <c r="F7959" s="514"/>
      <c r="G7959" s="194" t="s">
        <v>1209</v>
      </c>
      <c r="H7959" s="195"/>
      <c r="I7959" s="195" t="s">
        <v>1809</v>
      </c>
      <c r="J7959" s="191" t="s">
        <v>46</v>
      </c>
      <c r="K7959" s="196"/>
      <c r="L7959" s="196">
        <v>219246.7</v>
      </c>
      <c r="M7959" s="130"/>
      <c r="N7959" s="130"/>
    </row>
    <row r="7960" spans="1:15" ht="11.25" customHeight="1" x14ac:dyDescent="0.2">
      <c r="A7960" s="197">
        <v>2025</v>
      </c>
      <c r="B7960" s="197">
        <v>4</v>
      </c>
      <c r="C7960" s="197">
        <v>22</v>
      </c>
      <c r="D7960" s="198">
        <f t="shared" si="910"/>
        <v>45769</v>
      </c>
      <c r="E7960" s="209">
        <f t="shared" ref="E7960:E7976" si="915">DATE(A7960,B7960,C7960)</f>
        <v>45769</v>
      </c>
      <c r="F7960" s="513" t="s">
        <v>1210</v>
      </c>
      <c r="G7960" s="200" t="s">
        <v>1209</v>
      </c>
      <c r="H7960" s="201"/>
      <c r="I7960" s="201" t="s">
        <v>581</v>
      </c>
      <c r="J7960" s="197" t="s">
        <v>46</v>
      </c>
      <c r="K7960" s="202">
        <v>150000</v>
      </c>
      <c r="L7960" s="202"/>
    </row>
    <row r="7961" spans="1:15" ht="11.25" customHeight="1" x14ac:dyDescent="0.2">
      <c r="A7961" s="120">
        <v>2025</v>
      </c>
      <c r="B7961" s="120">
        <v>4</v>
      </c>
      <c r="C7961" s="120">
        <v>22</v>
      </c>
      <c r="D7961" s="208">
        <f t="shared" si="910"/>
        <v>45769</v>
      </c>
      <c r="E7961" s="209">
        <f t="shared" si="915"/>
        <v>45769</v>
      </c>
      <c r="F7961" s="515"/>
      <c r="G7961" s="132" t="s">
        <v>1209</v>
      </c>
      <c r="I7961" s="128" t="s">
        <v>581</v>
      </c>
      <c r="J7961" s="120" t="s">
        <v>16</v>
      </c>
      <c r="K7961" s="207"/>
      <c r="L7961" s="207">
        <v>121520</v>
      </c>
    </row>
    <row r="7962" spans="1:15" ht="11.25" customHeight="1" x14ac:dyDescent="0.2">
      <c r="A7962" s="191">
        <v>2025</v>
      </c>
      <c r="B7962" s="191">
        <v>4</v>
      </c>
      <c r="C7962" s="191">
        <v>22</v>
      </c>
      <c r="D7962" s="192">
        <f t="shared" si="910"/>
        <v>45769</v>
      </c>
      <c r="E7962" s="193">
        <f t="shared" si="915"/>
        <v>45769</v>
      </c>
      <c r="F7962" s="514"/>
      <c r="G7962" s="194" t="s">
        <v>1209</v>
      </c>
      <c r="H7962" s="195"/>
      <c r="I7962" s="195" t="s">
        <v>581</v>
      </c>
      <c r="J7962" s="191" t="s">
        <v>47</v>
      </c>
      <c r="K7962" s="196"/>
      <c r="L7962" s="196">
        <v>28480</v>
      </c>
    </row>
    <row r="7963" spans="1:15" ht="11.25" customHeight="1" x14ac:dyDescent="0.2">
      <c r="A7963" s="197">
        <v>2025</v>
      </c>
      <c r="B7963" s="197">
        <v>4</v>
      </c>
      <c r="C7963" s="197">
        <v>22</v>
      </c>
      <c r="D7963" s="198">
        <f t="shared" si="910"/>
        <v>45769</v>
      </c>
      <c r="E7963" s="199">
        <f t="shared" si="915"/>
        <v>45769</v>
      </c>
      <c r="F7963" s="513" t="s">
        <v>2016</v>
      </c>
      <c r="G7963" s="200" t="s">
        <v>1209</v>
      </c>
      <c r="H7963" s="201"/>
      <c r="I7963" s="201" t="s">
        <v>1253</v>
      </c>
      <c r="J7963" s="197" t="s">
        <v>46</v>
      </c>
      <c r="K7963" s="202">
        <v>27288439.829999998</v>
      </c>
      <c r="L7963" s="202"/>
    </row>
    <row r="7964" spans="1:15" ht="11.25" customHeight="1" x14ac:dyDescent="0.2">
      <c r="A7964" s="120">
        <v>2025</v>
      </c>
      <c r="B7964" s="120">
        <v>4</v>
      </c>
      <c r="C7964" s="120">
        <v>22</v>
      </c>
      <c r="D7964" s="208">
        <f t="shared" si="910"/>
        <v>45769</v>
      </c>
      <c r="E7964" s="209">
        <f t="shared" si="915"/>
        <v>45769</v>
      </c>
      <c r="F7964" s="515"/>
      <c r="G7964" s="132" t="s">
        <v>1209</v>
      </c>
      <c r="J7964" s="120" t="s">
        <v>1463</v>
      </c>
      <c r="K7964" s="328"/>
      <c r="L7964" s="207">
        <v>260566.82999999821</v>
      </c>
    </row>
    <row r="7965" spans="1:15" ht="11.25" customHeight="1" x14ac:dyDescent="0.2">
      <c r="A7965" s="191">
        <v>2025</v>
      </c>
      <c r="B7965" s="191">
        <v>4</v>
      </c>
      <c r="C7965" s="191">
        <v>22</v>
      </c>
      <c r="D7965" s="192">
        <f t="shared" si="910"/>
        <v>45769</v>
      </c>
      <c r="E7965" s="193">
        <f t="shared" si="915"/>
        <v>45769</v>
      </c>
      <c r="F7965" s="514"/>
      <c r="G7965" s="194" t="s">
        <v>1209</v>
      </c>
      <c r="H7965" s="195"/>
      <c r="I7965" s="195" t="s">
        <v>1253</v>
      </c>
      <c r="J7965" s="191" t="s">
        <v>1837</v>
      </c>
      <c r="K7965" s="196"/>
      <c r="L7965" s="196">
        <v>27027873</v>
      </c>
      <c r="N7965" s="130"/>
    </row>
    <row r="7966" spans="1:15" ht="11.25" customHeight="1" x14ac:dyDescent="0.2">
      <c r="A7966" s="197">
        <v>2025</v>
      </c>
      <c r="B7966" s="197">
        <v>4</v>
      </c>
      <c r="C7966" s="197">
        <v>22</v>
      </c>
      <c r="D7966" s="198">
        <f t="shared" si="910"/>
        <v>45769</v>
      </c>
      <c r="E7966" s="199">
        <f t="shared" si="915"/>
        <v>45769</v>
      </c>
      <c r="F7966" s="513" t="s">
        <v>2003</v>
      </c>
      <c r="G7966" s="200" t="s">
        <v>1209</v>
      </c>
      <c r="H7966" s="201"/>
      <c r="I7966" s="201" t="s">
        <v>1253</v>
      </c>
      <c r="J7966" s="197" t="s">
        <v>2003</v>
      </c>
      <c r="K7966" s="202">
        <v>10000000</v>
      </c>
      <c r="L7966" s="202"/>
    </row>
    <row r="7967" spans="1:15" ht="11.25" customHeight="1" x14ac:dyDescent="0.2">
      <c r="A7967" s="191">
        <v>2025</v>
      </c>
      <c r="B7967" s="191">
        <v>4</v>
      </c>
      <c r="C7967" s="191">
        <v>22</v>
      </c>
      <c r="D7967" s="192">
        <f t="shared" si="910"/>
        <v>45769</v>
      </c>
      <c r="E7967" s="193">
        <f t="shared" si="915"/>
        <v>45769</v>
      </c>
      <c r="F7967" s="514"/>
      <c r="G7967" s="194" t="s">
        <v>1209</v>
      </c>
      <c r="H7967" s="195"/>
      <c r="I7967" s="195" t="s">
        <v>1253</v>
      </c>
      <c r="J7967" s="191" t="s">
        <v>46</v>
      </c>
      <c r="K7967" s="196"/>
      <c r="L7967" s="196">
        <v>10000000</v>
      </c>
      <c r="N7967" s="130"/>
    </row>
    <row r="7968" spans="1:15" ht="11.25" customHeight="1" x14ac:dyDescent="0.2">
      <c r="A7968" s="120">
        <v>2025</v>
      </c>
      <c r="B7968" s="197">
        <v>4</v>
      </c>
      <c r="C7968" s="197">
        <v>22</v>
      </c>
      <c r="D7968" s="208">
        <f t="shared" si="910"/>
        <v>45769</v>
      </c>
      <c r="E7968" s="209">
        <f>DATE(A7968,B7968,C7968)</f>
        <v>45769</v>
      </c>
      <c r="F7968" s="515" t="s">
        <v>1922</v>
      </c>
      <c r="G7968" s="132" t="s">
        <v>1209</v>
      </c>
      <c r="H7968" s="132"/>
      <c r="J7968" s="120" t="s">
        <v>457</v>
      </c>
      <c r="K7968" s="202">
        <v>113718.68</v>
      </c>
      <c r="L7968" s="207"/>
    </row>
    <row r="7969" spans="1:15" ht="11.25" customHeight="1" x14ac:dyDescent="0.2">
      <c r="A7969" s="191">
        <v>2025</v>
      </c>
      <c r="B7969" s="191">
        <v>4</v>
      </c>
      <c r="C7969" s="191">
        <v>22</v>
      </c>
      <c r="D7969" s="192">
        <f t="shared" si="910"/>
        <v>45769</v>
      </c>
      <c r="E7969" s="291">
        <f t="shared" ref="E7969" si="916">DATE(A7969,B7969,C7969)</f>
        <v>45769</v>
      </c>
      <c r="F7969" s="514"/>
      <c r="G7969" s="194" t="s">
        <v>1209</v>
      </c>
      <c r="H7969" s="195"/>
      <c r="I7969" s="195" t="s">
        <v>1253</v>
      </c>
      <c r="J7969" s="191" t="s">
        <v>46</v>
      </c>
      <c r="K7969" s="196"/>
      <c r="L7969" s="196">
        <v>113718.68</v>
      </c>
    </row>
    <row r="7970" spans="1:15" ht="11.25" customHeight="1" x14ac:dyDescent="0.2">
      <c r="A7970" s="197">
        <v>2025</v>
      </c>
      <c r="B7970" s="197">
        <v>4</v>
      </c>
      <c r="C7970" s="197">
        <v>22</v>
      </c>
      <c r="D7970" s="198">
        <f t="shared" si="910"/>
        <v>45769</v>
      </c>
      <c r="E7970" s="290">
        <f>DATE(A7970,B7970,C7970)</f>
        <v>45769</v>
      </c>
      <c r="F7970" s="513" t="s">
        <v>1514</v>
      </c>
      <c r="G7970" s="200" t="s">
        <v>1209</v>
      </c>
      <c r="H7970" s="201"/>
      <c r="I7970" s="201"/>
      <c r="J7970" s="197" t="s">
        <v>54</v>
      </c>
      <c r="K7970" s="202">
        <v>100</v>
      </c>
      <c r="L7970" s="202"/>
      <c r="M7970" s="251"/>
      <c r="N7970" s="251"/>
      <c r="O7970" s="251"/>
    </row>
    <row r="7971" spans="1:15" ht="11.25" customHeight="1" x14ac:dyDescent="0.2">
      <c r="A7971" s="191">
        <v>2025</v>
      </c>
      <c r="B7971" s="191">
        <v>4</v>
      </c>
      <c r="C7971" s="191">
        <v>22</v>
      </c>
      <c r="D7971" s="192">
        <f t="shared" si="910"/>
        <v>45769</v>
      </c>
      <c r="E7971" s="291">
        <f>DATE(A7971,B7971,C7971)</f>
        <v>45769</v>
      </c>
      <c r="F7971" s="514"/>
      <c r="G7971" s="194" t="s">
        <v>1209</v>
      </c>
      <c r="H7971" s="195"/>
      <c r="I7971" s="195"/>
      <c r="J7971" s="191" t="s">
        <v>46</v>
      </c>
      <c r="K7971" s="196"/>
      <c r="L7971" s="196">
        <v>100</v>
      </c>
      <c r="M7971" s="251"/>
      <c r="N7971" s="251"/>
      <c r="O7971" s="251"/>
    </row>
    <row r="7972" spans="1:15" ht="11.25" customHeight="1" x14ac:dyDescent="0.2">
      <c r="A7972" s="197">
        <v>2025</v>
      </c>
      <c r="B7972" s="197">
        <v>4</v>
      </c>
      <c r="C7972" s="197">
        <v>22</v>
      </c>
      <c r="D7972" s="198">
        <f t="shared" si="910"/>
        <v>45769</v>
      </c>
      <c r="E7972" s="290">
        <f>DATE(A7972,B7972,C7972)</f>
        <v>45769</v>
      </c>
      <c r="F7972" s="513" t="s">
        <v>1514</v>
      </c>
      <c r="G7972" s="200" t="s">
        <v>1209</v>
      </c>
      <c r="H7972" s="201"/>
      <c r="I7972" s="201"/>
      <c r="J7972" s="197" t="s">
        <v>54</v>
      </c>
      <c r="K7972" s="202">
        <v>120</v>
      </c>
      <c r="L7972" s="202"/>
      <c r="M7972" s="251"/>
      <c r="N7972" s="251"/>
      <c r="O7972" s="251"/>
    </row>
    <row r="7973" spans="1:15" ht="11.25" customHeight="1" x14ac:dyDescent="0.2">
      <c r="A7973" s="191">
        <v>2025</v>
      </c>
      <c r="B7973" s="191">
        <v>4</v>
      </c>
      <c r="C7973" s="191">
        <v>22</v>
      </c>
      <c r="D7973" s="192">
        <f t="shared" si="910"/>
        <v>45769</v>
      </c>
      <c r="E7973" s="291">
        <f>DATE(A7973,B7973,C7973)</f>
        <v>45769</v>
      </c>
      <c r="F7973" s="514"/>
      <c r="G7973" s="194" t="s">
        <v>1209</v>
      </c>
      <c r="H7973" s="195"/>
      <c r="I7973" s="195"/>
      <c r="J7973" s="191" t="s">
        <v>46</v>
      </c>
      <c r="K7973" s="196"/>
      <c r="L7973" s="196">
        <v>120</v>
      </c>
      <c r="M7973" s="251"/>
      <c r="N7973" s="251"/>
      <c r="O7973" s="251"/>
    </row>
    <row r="7974" spans="1:15" ht="11.25" customHeight="1" x14ac:dyDescent="0.2">
      <c r="A7974" s="197">
        <v>2025</v>
      </c>
      <c r="B7974" s="197">
        <v>4</v>
      </c>
      <c r="C7974" s="197">
        <v>23</v>
      </c>
      <c r="D7974" s="198">
        <f t="shared" si="910"/>
        <v>45770</v>
      </c>
      <c r="E7974" s="209">
        <f t="shared" si="915"/>
        <v>45770</v>
      </c>
      <c r="F7974" s="513" t="s">
        <v>1280</v>
      </c>
      <c r="G7974" s="200" t="s">
        <v>1209</v>
      </c>
      <c r="H7974" s="201"/>
      <c r="I7974" s="201" t="s">
        <v>1334</v>
      </c>
      <c r="J7974" s="197" t="s">
        <v>16</v>
      </c>
      <c r="K7974" s="202">
        <v>6869800</v>
      </c>
      <c r="L7974" s="202"/>
      <c r="M7974" s="130"/>
      <c r="N7974" s="130"/>
    </row>
    <row r="7975" spans="1:15" ht="11.25" customHeight="1" x14ac:dyDescent="0.2">
      <c r="A7975" s="120">
        <v>2025</v>
      </c>
      <c r="B7975" s="120">
        <v>4</v>
      </c>
      <c r="C7975" s="120">
        <v>23</v>
      </c>
      <c r="D7975" s="208">
        <f t="shared" si="910"/>
        <v>45770</v>
      </c>
      <c r="E7975" s="209">
        <f t="shared" si="915"/>
        <v>45770</v>
      </c>
      <c r="F7975" s="515"/>
      <c r="G7975" s="132" t="s">
        <v>1209</v>
      </c>
      <c r="I7975" s="128" t="s">
        <v>1334</v>
      </c>
      <c r="J7975" s="120" t="s">
        <v>47</v>
      </c>
      <c r="K7975" s="207">
        <v>1642569.1799999997</v>
      </c>
      <c r="L7975" s="207"/>
      <c r="M7975" s="130"/>
      <c r="N7975" s="130"/>
    </row>
    <row r="7976" spans="1:15" ht="11.25" customHeight="1" x14ac:dyDescent="0.2">
      <c r="A7976" s="191">
        <v>2025</v>
      </c>
      <c r="B7976" s="191">
        <v>4</v>
      </c>
      <c r="C7976" s="191">
        <v>23</v>
      </c>
      <c r="D7976" s="192">
        <f t="shared" si="910"/>
        <v>45770</v>
      </c>
      <c r="E7976" s="193">
        <f t="shared" si="915"/>
        <v>45770</v>
      </c>
      <c r="F7976" s="514"/>
      <c r="G7976" s="194" t="s">
        <v>1209</v>
      </c>
      <c r="H7976" s="195"/>
      <c r="I7976" s="195" t="s">
        <v>1334</v>
      </c>
      <c r="J7976" s="191" t="s">
        <v>46</v>
      </c>
      <c r="K7976" s="196"/>
      <c r="L7976" s="196">
        <v>8512369.1799999997</v>
      </c>
      <c r="M7976" s="130"/>
      <c r="N7976" s="130"/>
    </row>
    <row r="7977" spans="1:15" ht="11.25" customHeight="1" x14ac:dyDescent="0.2">
      <c r="A7977" s="197">
        <v>2025</v>
      </c>
      <c r="B7977" s="197">
        <v>4</v>
      </c>
      <c r="C7977" s="197">
        <v>23</v>
      </c>
      <c r="D7977" s="198">
        <f t="shared" si="910"/>
        <v>45770</v>
      </c>
      <c r="E7977" s="209">
        <f t="shared" ref="E7977:E7979" si="917">DATE(A7977,B7977,C7977)</f>
        <v>45770</v>
      </c>
      <c r="F7977" s="513" t="s">
        <v>1210</v>
      </c>
      <c r="G7977" s="200" t="s">
        <v>1209</v>
      </c>
      <c r="H7977" s="201"/>
      <c r="I7977" s="201" t="s">
        <v>370</v>
      </c>
      <c r="J7977" s="197" t="s">
        <v>46</v>
      </c>
      <c r="K7977" s="202">
        <v>1800000</v>
      </c>
      <c r="L7977" s="202"/>
    </row>
    <row r="7978" spans="1:15" ht="11.25" customHeight="1" x14ac:dyDescent="0.2">
      <c r="A7978" s="120">
        <v>2025</v>
      </c>
      <c r="B7978" s="120">
        <v>4</v>
      </c>
      <c r="C7978" s="120">
        <v>23</v>
      </c>
      <c r="D7978" s="208">
        <f t="shared" si="910"/>
        <v>45770</v>
      </c>
      <c r="E7978" s="209">
        <f t="shared" si="917"/>
        <v>45770</v>
      </c>
      <c r="F7978" s="515"/>
      <c r="G7978" s="132" t="s">
        <v>1209</v>
      </c>
      <c r="I7978" s="128" t="s">
        <v>370</v>
      </c>
      <c r="J7978" s="120" t="s">
        <v>16</v>
      </c>
      <c r="K7978" s="207"/>
      <c r="L7978" s="207">
        <v>1458200</v>
      </c>
    </row>
    <row r="7979" spans="1:15" ht="11.25" customHeight="1" x14ac:dyDescent="0.2">
      <c r="A7979" s="191">
        <v>2025</v>
      </c>
      <c r="B7979" s="191">
        <v>4</v>
      </c>
      <c r="C7979" s="191">
        <v>23</v>
      </c>
      <c r="D7979" s="192">
        <f t="shared" si="910"/>
        <v>45770</v>
      </c>
      <c r="E7979" s="193">
        <f t="shared" si="917"/>
        <v>45770</v>
      </c>
      <c r="F7979" s="514"/>
      <c r="G7979" s="194" t="s">
        <v>1209</v>
      </c>
      <c r="H7979" s="195"/>
      <c r="I7979" s="195" t="s">
        <v>370</v>
      </c>
      <c r="J7979" s="191" t="s">
        <v>47</v>
      </c>
      <c r="K7979" s="196"/>
      <c r="L7979" s="196">
        <v>341800</v>
      </c>
    </row>
    <row r="7980" spans="1:15" ht="11.25" customHeight="1" x14ac:dyDescent="0.2">
      <c r="A7980" s="197">
        <v>2025</v>
      </c>
      <c r="B7980" s="197">
        <v>4</v>
      </c>
      <c r="C7980" s="197">
        <v>23</v>
      </c>
      <c r="D7980" s="198">
        <f t="shared" ref="D7980:D8043" si="918">DATE(A7980,B7980,C7980)</f>
        <v>45770</v>
      </c>
      <c r="E7980" s="209">
        <f t="shared" si="911"/>
        <v>45770</v>
      </c>
      <c r="F7980" s="513" t="s">
        <v>1210</v>
      </c>
      <c r="G7980" s="200" t="s">
        <v>1209</v>
      </c>
      <c r="H7980" s="201"/>
      <c r="I7980" s="201" t="s">
        <v>355</v>
      </c>
      <c r="J7980" s="197" t="s">
        <v>46</v>
      </c>
      <c r="K7980" s="202">
        <v>550000</v>
      </c>
      <c r="L7980" s="202"/>
    </row>
    <row r="7981" spans="1:15" ht="11.25" customHeight="1" x14ac:dyDescent="0.2">
      <c r="A7981" s="120">
        <v>2025</v>
      </c>
      <c r="B7981" s="120">
        <v>4</v>
      </c>
      <c r="C7981" s="120">
        <v>23</v>
      </c>
      <c r="D7981" s="208">
        <f t="shared" si="918"/>
        <v>45770</v>
      </c>
      <c r="E7981" s="209">
        <f t="shared" si="911"/>
        <v>45770</v>
      </c>
      <c r="F7981" s="515"/>
      <c r="G7981" s="132" t="s">
        <v>1209</v>
      </c>
      <c r="I7981" s="128" t="s">
        <v>355</v>
      </c>
      <c r="J7981" s="120" t="s">
        <v>16</v>
      </c>
      <c r="K7981" s="207"/>
      <c r="L7981" s="207">
        <v>445560</v>
      </c>
    </row>
    <row r="7982" spans="1:15" ht="11.25" customHeight="1" x14ac:dyDescent="0.2">
      <c r="A7982" s="191">
        <v>2025</v>
      </c>
      <c r="B7982" s="191">
        <v>4</v>
      </c>
      <c r="C7982" s="191">
        <v>23</v>
      </c>
      <c r="D7982" s="192">
        <f t="shared" si="918"/>
        <v>45770</v>
      </c>
      <c r="E7982" s="193">
        <f t="shared" si="911"/>
        <v>45770</v>
      </c>
      <c r="F7982" s="514"/>
      <c r="G7982" s="194" t="s">
        <v>1209</v>
      </c>
      <c r="H7982" s="195"/>
      <c r="I7982" s="195" t="s">
        <v>355</v>
      </c>
      <c r="J7982" s="191" t="s">
        <v>47</v>
      </c>
      <c r="K7982" s="196"/>
      <c r="L7982" s="196">
        <v>104440</v>
      </c>
    </row>
    <row r="7983" spans="1:15" ht="11.25" customHeight="1" x14ac:dyDescent="0.2">
      <c r="A7983" s="197">
        <v>2025</v>
      </c>
      <c r="B7983" s="197">
        <v>4</v>
      </c>
      <c r="C7983" s="197">
        <v>23</v>
      </c>
      <c r="D7983" s="198">
        <f t="shared" si="918"/>
        <v>45770</v>
      </c>
      <c r="E7983" s="199">
        <f t="shared" si="911"/>
        <v>45770</v>
      </c>
      <c r="F7983" s="513" t="s">
        <v>2017</v>
      </c>
      <c r="G7983" s="200" t="s">
        <v>1209</v>
      </c>
      <c r="H7983" s="201"/>
      <c r="I7983" s="201" t="s">
        <v>1253</v>
      </c>
      <c r="J7983" s="197" t="s">
        <v>1837</v>
      </c>
      <c r="K7983" s="202">
        <v>9903245.9800000004</v>
      </c>
      <c r="L7983" s="202"/>
    </row>
    <row r="7984" spans="1:15" ht="11.25" customHeight="1" x14ac:dyDescent="0.2">
      <c r="A7984" s="191">
        <v>2025</v>
      </c>
      <c r="B7984" s="191">
        <v>4</v>
      </c>
      <c r="C7984" s="191">
        <v>23</v>
      </c>
      <c r="D7984" s="192">
        <f t="shared" si="918"/>
        <v>45770</v>
      </c>
      <c r="E7984" s="193">
        <f t="shared" si="911"/>
        <v>45770</v>
      </c>
      <c r="F7984" s="514"/>
      <c r="G7984" s="194" t="s">
        <v>1209</v>
      </c>
      <c r="H7984" s="195"/>
      <c r="I7984" s="195" t="s">
        <v>1253</v>
      </c>
      <c r="J7984" s="191" t="s">
        <v>46</v>
      </c>
      <c r="K7984" s="196"/>
      <c r="L7984" s="196">
        <v>9903245.9800000004</v>
      </c>
      <c r="N7984" s="130"/>
    </row>
    <row r="7985" spans="1:15" ht="11.25" customHeight="1" x14ac:dyDescent="0.2">
      <c r="A7985" s="197">
        <v>2025</v>
      </c>
      <c r="B7985" s="197">
        <v>4</v>
      </c>
      <c r="C7985" s="197">
        <v>23</v>
      </c>
      <c r="D7985" s="198">
        <f t="shared" si="918"/>
        <v>45770</v>
      </c>
      <c r="E7985" s="199">
        <f t="shared" ref="E7985:E7986" si="919">DATE(A7985,B7985,C7985)</f>
        <v>45770</v>
      </c>
      <c r="F7985" s="513" t="s">
        <v>2017</v>
      </c>
      <c r="G7985" s="200" t="s">
        <v>1209</v>
      </c>
      <c r="H7985" s="201"/>
      <c r="I7985" s="201" t="s">
        <v>1253</v>
      </c>
      <c r="J7985" s="197" t="s">
        <v>1837</v>
      </c>
      <c r="K7985" s="202">
        <v>4639433.91</v>
      </c>
      <c r="L7985" s="202"/>
    </row>
    <row r="7986" spans="1:15" ht="11.25" customHeight="1" x14ac:dyDescent="0.2">
      <c r="A7986" s="191">
        <v>2025</v>
      </c>
      <c r="B7986" s="191">
        <v>4</v>
      </c>
      <c r="C7986" s="191">
        <v>23</v>
      </c>
      <c r="D7986" s="192">
        <f t="shared" si="918"/>
        <v>45770</v>
      </c>
      <c r="E7986" s="193">
        <f t="shared" si="919"/>
        <v>45770</v>
      </c>
      <c r="F7986" s="514"/>
      <c r="G7986" s="194" t="s">
        <v>1209</v>
      </c>
      <c r="H7986" s="195"/>
      <c r="I7986" s="195" t="s">
        <v>1253</v>
      </c>
      <c r="J7986" s="191" t="s">
        <v>46</v>
      </c>
      <c r="K7986" s="196"/>
      <c r="L7986" s="196">
        <v>4639433.91</v>
      </c>
      <c r="N7986" s="130"/>
    </row>
    <row r="7987" spans="1:15" ht="11.25" customHeight="1" x14ac:dyDescent="0.2">
      <c r="A7987" s="197">
        <v>2025</v>
      </c>
      <c r="B7987" s="197">
        <v>4</v>
      </c>
      <c r="C7987" s="197">
        <v>23</v>
      </c>
      <c r="D7987" s="198">
        <f t="shared" si="918"/>
        <v>45770</v>
      </c>
      <c r="E7987" s="290">
        <f>DATE(A7987,B7987,C7987)</f>
        <v>45770</v>
      </c>
      <c r="F7987" s="513" t="s">
        <v>1514</v>
      </c>
      <c r="G7987" s="200" t="s">
        <v>1209</v>
      </c>
      <c r="H7987" s="201"/>
      <c r="I7987" s="201"/>
      <c r="J7987" s="197" t="s">
        <v>54</v>
      </c>
      <c r="K7987" s="202">
        <v>160</v>
      </c>
      <c r="L7987" s="202"/>
      <c r="M7987" s="251"/>
      <c r="N7987" s="251"/>
      <c r="O7987" s="251"/>
    </row>
    <row r="7988" spans="1:15" ht="11.25" customHeight="1" x14ac:dyDescent="0.2">
      <c r="A7988" s="191">
        <v>2025</v>
      </c>
      <c r="B7988" s="191">
        <v>4</v>
      </c>
      <c r="C7988" s="191">
        <v>23</v>
      </c>
      <c r="D7988" s="192">
        <f t="shared" si="918"/>
        <v>45770</v>
      </c>
      <c r="E7988" s="291">
        <f>DATE(A7988,B7988,C7988)</f>
        <v>45770</v>
      </c>
      <c r="F7988" s="514"/>
      <c r="G7988" s="194" t="s">
        <v>1209</v>
      </c>
      <c r="H7988" s="195"/>
      <c r="I7988" s="195"/>
      <c r="J7988" s="191" t="s">
        <v>46</v>
      </c>
      <c r="K7988" s="196"/>
      <c r="L7988" s="196">
        <v>160</v>
      </c>
      <c r="M7988" s="251"/>
      <c r="N7988" s="251"/>
      <c r="O7988" s="251"/>
    </row>
    <row r="7989" spans="1:15" ht="11.25" customHeight="1" x14ac:dyDescent="0.2">
      <c r="A7989" s="197">
        <v>2025</v>
      </c>
      <c r="B7989" s="197">
        <v>4</v>
      </c>
      <c r="C7989" s="197">
        <v>24</v>
      </c>
      <c r="D7989" s="198">
        <f t="shared" si="918"/>
        <v>45771</v>
      </c>
      <c r="E7989" s="209">
        <f t="shared" ref="E7989:E7994" si="920">DATE(A7989,B7989,C7989)</f>
        <v>45771</v>
      </c>
      <c r="F7989" s="513" t="s">
        <v>1210</v>
      </c>
      <c r="G7989" s="200" t="s">
        <v>1209</v>
      </c>
      <c r="H7989" s="201"/>
      <c r="I7989" s="201" t="s">
        <v>355</v>
      </c>
      <c r="J7989" s="197" t="s">
        <v>46</v>
      </c>
      <c r="K7989" s="202">
        <v>350000</v>
      </c>
      <c r="L7989" s="202"/>
    </row>
    <row r="7990" spans="1:15" ht="11.25" customHeight="1" x14ac:dyDescent="0.2">
      <c r="A7990" s="120">
        <v>2025</v>
      </c>
      <c r="B7990" s="120">
        <v>4</v>
      </c>
      <c r="C7990" s="120">
        <v>24</v>
      </c>
      <c r="D7990" s="208">
        <f t="shared" si="918"/>
        <v>45771</v>
      </c>
      <c r="E7990" s="209">
        <f t="shared" si="920"/>
        <v>45771</v>
      </c>
      <c r="F7990" s="515"/>
      <c r="G7990" s="132" t="s">
        <v>1209</v>
      </c>
      <c r="I7990" s="128" t="s">
        <v>355</v>
      </c>
      <c r="J7990" s="120" t="s">
        <v>16</v>
      </c>
      <c r="K7990" s="207"/>
      <c r="L7990" s="207">
        <v>283540</v>
      </c>
    </row>
    <row r="7991" spans="1:15" ht="11.25" customHeight="1" x14ac:dyDescent="0.2">
      <c r="A7991" s="191">
        <v>2025</v>
      </c>
      <c r="B7991" s="191">
        <v>4</v>
      </c>
      <c r="C7991" s="191">
        <v>24</v>
      </c>
      <c r="D7991" s="192">
        <f t="shared" si="918"/>
        <v>45771</v>
      </c>
      <c r="E7991" s="193">
        <f t="shared" si="920"/>
        <v>45771</v>
      </c>
      <c r="F7991" s="514"/>
      <c r="G7991" s="194" t="s">
        <v>1209</v>
      </c>
      <c r="H7991" s="195"/>
      <c r="I7991" s="195" t="s">
        <v>355</v>
      </c>
      <c r="J7991" s="191" t="s">
        <v>47</v>
      </c>
      <c r="K7991" s="196"/>
      <c r="L7991" s="196">
        <v>66460</v>
      </c>
    </row>
    <row r="7992" spans="1:15" ht="11.25" customHeight="1" x14ac:dyDescent="0.2">
      <c r="A7992" s="197">
        <v>2025</v>
      </c>
      <c r="B7992" s="197">
        <v>4</v>
      </c>
      <c r="C7992" s="197">
        <v>24</v>
      </c>
      <c r="D7992" s="198">
        <f t="shared" si="918"/>
        <v>45771</v>
      </c>
      <c r="E7992" s="209">
        <f t="shared" si="920"/>
        <v>45771</v>
      </c>
      <c r="F7992" s="513" t="s">
        <v>1280</v>
      </c>
      <c r="G7992" s="200" t="s">
        <v>1209</v>
      </c>
      <c r="H7992" s="201"/>
      <c r="I7992" s="201" t="s">
        <v>1849</v>
      </c>
      <c r="J7992" s="197" t="s">
        <v>16</v>
      </c>
      <c r="K7992" s="202">
        <v>20000</v>
      </c>
      <c r="L7992" s="202"/>
      <c r="M7992" s="130"/>
      <c r="N7992" s="130"/>
    </row>
    <row r="7993" spans="1:15" ht="11.25" customHeight="1" x14ac:dyDescent="0.2">
      <c r="A7993" s="120">
        <v>2025</v>
      </c>
      <c r="B7993" s="120">
        <v>4</v>
      </c>
      <c r="C7993" s="120">
        <v>24</v>
      </c>
      <c r="D7993" s="208">
        <f t="shared" si="918"/>
        <v>45771</v>
      </c>
      <c r="E7993" s="209">
        <f t="shared" si="920"/>
        <v>45771</v>
      </c>
      <c r="F7993" s="515"/>
      <c r="G7993" s="132" t="s">
        <v>1209</v>
      </c>
      <c r="I7993" s="128" t="s">
        <v>1849</v>
      </c>
      <c r="J7993" s="120" t="s">
        <v>47</v>
      </c>
      <c r="K7993" s="207">
        <v>4782</v>
      </c>
      <c r="L7993" s="207"/>
      <c r="M7993" s="130"/>
      <c r="N7993" s="130"/>
    </row>
    <row r="7994" spans="1:15" ht="11.25" customHeight="1" x14ac:dyDescent="0.2">
      <c r="A7994" s="191">
        <v>2025</v>
      </c>
      <c r="B7994" s="191">
        <v>4</v>
      </c>
      <c r="C7994" s="191">
        <v>24</v>
      </c>
      <c r="D7994" s="192">
        <f t="shared" si="918"/>
        <v>45771</v>
      </c>
      <c r="E7994" s="193">
        <f t="shared" si="920"/>
        <v>45771</v>
      </c>
      <c r="F7994" s="514"/>
      <c r="G7994" s="194" t="s">
        <v>1209</v>
      </c>
      <c r="H7994" s="195"/>
      <c r="I7994" s="195" t="s">
        <v>1849</v>
      </c>
      <c r="J7994" s="191" t="s">
        <v>46</v>
      </c>
      <c r="K7994" s="196"/>
      <c r="L7994" s="196">
        <v>24782</v>
      </c>
      <c r="M7994" s="130"/>
      <c r="N7994" s="130"/>
    </row>
    <row r="7995" spans="1:15" ht="11.25" customHeight="1" x14ac:dyDescent="0.2">
      <c r="A7995" s="197">
        <v>2025</v>
      </c>
      <c r="B7995" s="197">
        <v>4</v>
      </c>
      <c r="C7995" s="197">
        <v>24</v>
      </c>
      <c r="D7995" s="198">
        <f t="shared" si="918"/>
        <v>45771</v>
      </c>
      <c r="E7995" s="209">
        <f t="shared" ref="E7995:E8000" si="921">DATE(A7995,B7995,C7995)</f>
        <v>45771</v>
      </c>
      <c r="F7995" s="513" t="s">
        <v>1280</v>
      </c>
      <c r="G7995" s="200" t="s">
        <v>1209</v>
      </c>
      <c r="H7995" s="201"/>
      <c r="I7995" s="201" t="s">
        <v>1502</v>
      </c>
      <c r="J7995" s="197" t="s">
        <v>16</v>
      </c>
      <c r="K7995" s="202">
        <v>15510</v>
      </c>
      <c r="L7995" s="202"/>
      <c r="M7995" s="130"/>
      <c r="N7995" s="130"/>
    </row>
    <row r="7996" spans="1:15" ht="11.25" customHeight="1" x14ac:dyDescent="0.2">
      <c r="A7996" s="120">
        <v>2025</v>
      </c>
      <c r="B7996" s="120">
        <v>4</v>
      </c>
      <c r="C7996" s="120">
        <v>24</v>
      </c>
      <c r="D7996" s="208">
        <f t="shared" si="918"/>
        <v>45771</v>
      </c>
      <c r="E7996" s="209">
        <f t="shared" si="921"/>
        <v>45771</v>
      </c>
      <c r="F7996" s="515"/>
      <c r="G7996" s="132" t="s">
        <v>1209</v>
      </c>
      <c r="I7996" s="128" t="s">
        <v>1502</v>
      </c>
      <c r="J7996" s="120" t="s">
        <v>47</v>
      </c>
      <c r="K7996" s="207">
        <v>3708.4399999999987</v>
      </c>
      <c r="L7996" s="207"/>
      <c r="M7996" s="130"/>
      <c r="N7996" s="130"/>
    </row>
    <row r="7997" spans="1:15" ht="11.25" customHeight="1" x14ac:dyDescent="0.2">
      <c r="A7997" s="191">
        <v>2025</v>
      </c>
      <c r="B7997" s="191">
        <v>4</v>
      </c>
      <c r="C7997" s="191">
        <v>24</v>
      </c>
      <c r="D7997" s="192">
        <f t="shared" si="918"/>
        <v>45771</v>
      </c>
      <c r="E7997" s="193">
        <f t="shared" si="921"/>
        <v>45771</v>
      </c>
      <c r="F7997" s="514"/>
      <c r="G7997" s="194" t="s">
        <v>1209</v>
      </c>
      <c r="H7997" s="195"/>
      <c r="I7997" s="195" t="s">
        <v>1502</v>
      </c>
      <c r="J7997" s="191" t="s">
        <v>46</v>
      </c>
      <c r="K7997" s="196"/>
      <c r="L7997" s="196">
        <v>19218.439999999999</v>
      </c>
      <c r="M7997" s="130"/>
      <c r="N7997" s="130"/>
    </row>
    <row r="7998" spans="1:15" ht="11.25" customHeight="1" x14ac:dyDescent="0.2">
      <c r="A7998" s="197">
        <v>2025</v>
      </c>
      <c r="B7998" s="197">
        <v>4</v>
      </c>
      <c r="C7998" s="197">
        <v>24</v>
      </c>
      <c r="D7998" s="198">
        <f t="shared" si="918"/>
        <v>45771</v>
      </c>
      <c r="E7998" s="209">
        <f t="shared" si="921"/>
        <v>45771</v>
      </c>
      <c r="F7998" s="513" t="s">
        <v>1210</v>
      </c>
      <c r="G7998" s="200" t="s">
        <v>1209</v>
      </c>
      <c r="H7998" s="201"/>
      <c r="I7998" s="201" t="s">
        <v>355</v>
      </c>
      <c r="J7998" s="197" t="s">
        <v>46</v>
      </c>
      <c r="K7998" s="202">
        <v>150000</v>
      </c>
      <c r="L7998" s="202"/>
      <c r="M7998" s="130"/>
      <c r="N7998" s="130"/>
    </row>
    <row r="7999" spans="1:15" ht="11.25" customHeight="1" x14ac:dyDescent="0.2">
      <c r="A7999" s="120">
        <v>2025</v>
      </c>
      <c r="B7999" s="120">
        <v>4</v>
      </c>
      <c r="C7999" s="120">
        <v>24</v>
      </c>
      <c r="D7999" s="208">
        <f t="shared" si="918"/>
        <v>45771</v>
      </c>
      <c r="E7999" s="209">
        <f t="shared" si="921"/>
        <v>45771</v>
      </c>
      <c r="F7999" s="515"/>
      <c r="G7999" s="132" t="s">
        <v>1209</v>
      </c>
      <c r="I7999" s="128" t="s">
        <v>355</v>
      </c>
      <c r="J7999" s="120" t="s">
        <v>16</v>
      </c>
      <c r="K7999" s="207"/>
      <c r="L7999" s="207">
        <v>121520</v>
      </c>
      <c r="M7999" s="130"/>
      <c r="N7999" s="130"/>
    </row>
    <row r="8000" spans="1:15" ht="11.25" customHeight="1" x14ac:dyDescent="0.2">
      <c r="A8000" s="191">
        <v>2025</v>
      </c>
      <c r="B8000" s="191">
        <v>4</v>
      </c>
      <c r="C8000" s="191">
        <v>24</v>
      </c>
      <c r="D8000" s="192">
        <f t="shared" si="918"/>
        <v>45771</v>
      </c>
      <c r="E8000" s="193">
        <f t="shared" si="921"/>
        <v>45771</v>
      </c>
      <c r="F8000" s="514"/>
      <c r="G8000" s="194" t="s">
        <v>1209</v>
      </c>
      <c r="H8000" s="195"/>
      <c r="I8000" s="195" t="s">
        <v>355</v>
      </c>
      <c r="J8000" s="191" t="s">
        <v>47</v>
      </c>
      <c r="K8000" s="196"/>
      <c r="L8000" s="196">
        <v>28480</v>
      </c>
      <c r="M8000" s="130"/>
      <c r="N8000" s="130"/>
    </row>
    <row r="8001" spans="1:15" ht="11.25" customHeight="1" x14ac:dyDescent="0.2">
      <c r="A8001" s="197">
        <v>2025</v>
      </c>
      <c r="B8001" s="197">
        <v>4</v>
      </c>
      <c r="C8001" s="197">
        <v>24</v>
      </c>
      <c r="D8001" s="198">
        <f t="shared" si="918"/>
        <v>45771</v>
      </c>
      <c r="E8001" s="209">
        <f t="shared" ref="E8001:E8006" si="922">DATE(A8001,B8001,C8001)</f>
        <v>45771</v>
      </c>
      <c r="F8001" s="513" t="s">
        <v>1210</v>
      </c>
      <c r="G8001" s="200" t="s">
        <v>1209</v>
      </c>
      <c r="H8001" s="201"/>
      <c r="I8001" s="201" t="s">
        <v>648</v>
      </c>
      <c r="J8001" s="197" t="s">
        <v>46</v>
      </c>
      <c r="K8001" s="202">
        <v>1100000</v>
      </c>
      <c r="L8001" s="202"/>
    </row>
    <row r="8002" spans="1:15" ht="11.25" customHeight="1" x14ac:dyDescent="0.2">
      <c r="A8002" s="120">
        <v>2025</v>
      </c>
      <c r="B8002" s="120">
        <v>4</v>
      </c>
      <c r="C8002" s="120">
        <v>24</v>
      </c>
      <c r="D8002" s="208">
        <f t="shared" si="918"/>
        <v>45771</v>
      </c>
      <c r="E8002" s="209">
        <f t="shared" si="922"/>
        <v>45771</v>
      </c>
      <c r="F8002" s="515"/>
      <c r="G8002" s="132" t="s">
        <v>1209</v>
      </c>
      <c r="I8002" s="128" t="s">
        <v>648</v>
      </c>
      <c r="J8002" s="120" t="s">
        <v>16</v>
      </c>
      <c r="K8002" s="207"/>
      <c r="L8002" s="207">
        <v>891120</v>
      </c>
    </row>
    <row r="8003" spans="1:15" ht="11.25" customHeight="1" x14ac:dyDescent="0.2">
      <c r="A8003" s="191">
        <v>2025</v>
      </c>
      <c r="B8003" s="191">
        <v>4</v>
      </c>
      <c r="C8003" s="191">
        <v>24</v>
      </c>
      <c r="D8003" s="192">
        <f t="shared" si="918"/>
        <v>45771</v>
      </c>
      <c r="E8003" s="193">
        <f t="shared" si="922"/>
        <v>45771</v>
      </c>
      <c r="F8003" s="514"/>
      <c r="G8003" s="194" t="s">
        <v>1209</v>
      </c>
      <c r="H8003" s="195"/>
      <c r="I8003" s="195" t="s">
        <v>648</v>
      </c>
      <c r="J8003" s="191" t="s">
        <v>47</v>
      </c>
      <c r="K8003" s="196"/>
      <c r="L8003" s="196">
        <v>208880</v>
      </c>
    </row>
    <row r="8004" spans="1:15" ht="11.25" customHeight="1" x14ac:dyDescent="0.2">
      <c r="A8004" s="197">
        <v>2025</v>
      </c>
      <c r="B8004" s="197">
        <v>4</v>
      </c>
      <c r="C8004" s="197">
        <v>24</v>
      </c>
      <c r="D8004" s="198">
        <f t="shared" si="918"/>
        <v>45771</v>
      </c>
      <c r="E8004" s="209">
        <f t="shared" si="922"/>
        <v>45771</v>
      </c>
      <c r="F8004" s="513" t="s">
        <v>1280</v>
      </c>
      <c r="G8004" s="200" t="s">
        <v>1209</v>
      </c>
      <c r="H8004" s="201"/>
      <c r="I8004" s="201" t="s">
        <v>389</v>
      </c>
      <c r="J8004" s="197" t="s">
        <v>16</v>
      </c>
      <c r="K8004" s="202">
        <v>571430</v>
      </c>
      <c r="L8004" s="202"/>
      <c r="M8004" s="130"/>
      <c r="N8004" s="130"/>
    </row>
    <row r="8005" spans="1:15" ht="11.25" customHeight="1" x14ac:dyDescent="0.2">
      <c r="A8005" s="120">
        <v>2025</v>
      </c>
      <c r="B8005" s="120">
        <v>4</v>
      </c>
      <c r="C8005" s="120">
        <v>24</v>
      </c>
      <c r="D8005" s="208">
        <f t="shared" si="918"/>
        <v>45771</v>
      </c>
      <c r="E8005" s="209">
        <f t="shared" si="922"/>
        <v>45771</v>
      </c>
      <c r="F8005" s="515"/>
      <c r="G8005" s="132" t="s">
        <v>1209</v>
      </c>
      <c r="I8005" s="128" t="s">
        <v>389</v>
      </c>
      <c r="J8005" s="120" t="s">
        <v>47</v>
      </c>
      <c r="K8005" s="207">
        <v>128570</v>
      </c>
      <c r="L8005" s="207"/>
      <c r="M8005" s="130"/>
      <c r="N8005" s="130"/>
    </row>
    <row r="8006" spans="1:15" ht="11.25" customHeight="1" x14ac:dyDescent="0.2">
      <c r="A8006" s="191">
        <v>2025</v>
      </c>
      <c r="B8006" s="191">
        <v>4</v>
      </c>
      <c r="C8006" s="191">
        <v>24</v>
      </c>
      <c r="D8006" s="192">
        <f t="shared" si="918"/>
        <v>45771</v>
      </c>
      <c r="E8006" s="193">
        <f t="shared" si="922"/>
        <v>45771</v>
      </c>
      <c r="F8006" s="514"/>
      <c r="G8006" s="194" t="s">
        <v>1209</v>
      </c>
      <c r="H8006" s="195"/>
      <c r="I8006" s="195" t="s">
        <v>389</v>
      </c>
      <c r="J8006" s="191" t="s">
        <v>46</v>
      </c>
      <c r="K8006" s="196"/>
      <c r="L8006" s="196">
        <v>700000</v>
      </c>
      <c r="M8006" s="130"/>
      <c r="N8006" s="130"/>
    </row>
    <row r="8007" spans="1:15" ht="11.25" customHeight="1" x14ac:dyDescent="0.2">
      <c r="A8007" s="197">
        <v>2025</v>
      </c>
      <c r="B8007" s="197">
        <v>4</v>
      </c>
      <c r="C8007" s="197">
        <v>24</v>
      </c>
      <c r="D8007" s="198">
        <f t="shared" si="918"/>
        <v>45771</v>
      </c>
      <c r="E8007" s="209">
        <f t="shared" ref="E8007:E8009" si="923">DATE(A8007,B8007,C8007)</f>
        <v>45771</v>
      </c>
      <c r="F8007" s="513" t="s">
        <v>1280</v>
      </c>
      <c r="G8007" s="200" t="s">
        <v>1209</v>
      </c>
      <c r="H8007" s="201"/>
      <c r="I8007" s="201" t="s">
        <v>384</v>
      </c>
      <c r="J8007" s="197" t="s">
        <v>16</v>
      </c>
      <c r="K8007" s="202">
        <v>816330</v>
      </c>
      <c r="L8007" s="202"/>
      <c r="M8007" s="130"/>
      <c r="N8007" s="130"/>
    </row>
    <row r="8008" spans="1:15" ht="11.25" customHeight="1" x14ac:dyDescent="0.2">
      <c r="A8008" s="120">
        <v>2025</v>
      </c>
      <c r="B8008" s="120">
        <v>4</v>
      </c>
      <c r="C8008" s="120">
        <v>24</v>
      </c>
      <c r="D8008" s="208">
        <f t="shared" si="918"/>
        <v>45771</v>
      </c>
      <c r="E8008" s="209">
        <f t="shared" si="923"/>
        <v>45771</v>
      </c>
      <c r="F8008" s="515"/>
      <c r="G8008" s="132" t="s">
        <v>1209</v>
      </c>
      <c r="I8008" s="128" t="s">
        <v>384</v>
      </c>
      <c r="J8008" s="120" t="s">
        <v>47</v>
      </c>
      <c r="K8008" s="207">
        <v>183670</v>
      </c>
      <c r="L8008" s="207"/>
      <c r="M8008" s="130"/>
      <c r="N8008" s="130"/>
    </row>
    <row r="8009" spans="1:15" ht="11.25" customHeight="1" x14ac:dyDescent="0.2">
      <c r="A8009" s="191">
        <v>2025</v>
      </c>
      <c r="B8009" s="191">
        <v>4</v>
      </c>
      <c r="C8009" s="191">
        <v>24</v>
      </c>
      <c r="D8009" s="192">
        <f t="shared" si="918"/>
        <v>45771</v>
      </c>
      <c r="E8009" s="193">
        <f t="shared" si="923"/>
        <v>45771</v>
      </c>
      <c r="F8009" s="514"/>
      <c r="G8009" s="194" t="s">
        <v>1209</v>
      </c>
      <c r="H8009" s="195"/>
      <c r="I8009" s="195" t="s">
        <v>384</v>
      </c>
      <c r="J8009" s="191" t="s">
        <v>46</v>
      </c>
      <c r="K8009" s="196"/>
      <c r="L8009" s="196">
        <v>1000000</v>
      </c>
      <c r="M8009" s="130"/>
      <c r="N8009" s="130"/>
    </row>
    <row r="8010" spans="1:15" ht="11.25" customHeight="1" x14ac:dyDescent="0.2">
      <c r="A8010" s="197">
        <v>2025</v>
      </c>
      <c r="B8010" s="197">
        <v>4</v>
      </c>
      <c r="C8010" s="197">
        <v>24</v>
      </c>
      <c r="D8010" s="198">
        <f t="shared" si="918"/>
        <v>45771</v>
      </c>
      <c r="E8010" s="209">
        <f t="shared" ref="E8010:E8012" si="924">DATE(A8010,B8010,C8010)</f>
        <v>45771</v>
      </c>
      <c r="F8010" s="513" t="s">
        <v>1280</v>
      </c>
      <c r="G8010" s="200" t="s">
        <v>1209</v>
      </c>
      <c r="H8010" s="201"/>
      <c r="I8010" s="201" t="s">
        <v>1704</v>
      </c>
      <c r="J8010" s="197" t="s">
        <v>16</v>
      </c>
      <c r="K8010" s="202">
        <v>8070</v>
      </c>
      <c r="L8010" s="202"/>
      <c r="M8010" s="130"/>
      <c r="N8010" s="130"/>
    </row>
    <row r="8011" spans="1:15" ht="11.25" customHeight="1" x14ac:dyDescent="0.2">
      <c r="A8011" s="120">
        <v>2025</v>
      </c>
      <c r="B8011" s="120">
        <v>4</v>
      </c>
      <c r="C8011" s="120">
        <v>24</v>
      </c>
      <c r="D8011" s="208">
        <f t="shared" si="918"/>
        <v>45771</v>
      </c>
      <c r="E8011" s="209">
        <f t="shared" si="924"/>
        <v>45771</v>
      </c>
      <c r="F8011" s="515"/>
      <c r="G8011" s="132" t="s">
        <v>1209</v>
      </c>
      <c r="I8011" s="128" t="s">
        <v>1704</v>
      </c>
      <c r="J8011" s="120" t="s">
        <v>47</v>
      </c>
      <c r="K8011" s="207">
        <v>1930</v>
      </c>
      <c r="L8011" s="207"/>
      <c r="M8011" s="130"/>
      <c r="N8011" s="130"/>
    </row>
    <row r="8012" spans="1:15" ht="11.25" customHeight="1" x14ac:dyDescent="0.2">
      <c r="A8012" s="191">
        <v>2025</v>
      </c>
      <c r="B8012" s="191">
        <v>4</v>
      </c>
      <c r="C8012" s="191">
        <v>24</v>
      </c>
      <c r="D8012" s="192">
        <f t="shared" si="918"/>
        <v>45771</v>
      </c>
      <c r="E8012" s="193">
        <f t="shared" si="924"/>
        <v>45771</v>
      </c>
      <c r="F8012" s="514"/>
      <c r="G8012" s="194" t="s">
        <v>1209</v>
      </c>
      <c r="H8012" s="195"/>
      <c r="I8012" s="195" t="s">
        <v>1704</v>
      </c>
      <c r="J8012" s="191" t="s">
        <v>46</v>
      </c>
      <c r="K8012" s="196"/>
      <c r="L8012" s="196">
        <v>10000</v>
      </c>
      <c r="M8012" s="130"/>
      <c r="N8012" s="130"/>
    </row>
    <row r="8013" spans="1:15" ht="11.25" customHeight="1" x14ac:dyDescent="0.2">
      <c r="A8013" s="197">
        <v>2025</v>
      </c>
      <c r="B8013" s="197">
        <v>4</v>
      </c>
      <c r="C8013" s="197">
        <v>24</v>
      </c>
      <c r="D8013" s="198">
        <f t="shared" si="918"/>
        <v>45771</v>
      </c>
      <c r="E8013" s="290">
        <f>DATE(A8013,B8013,C8013)</f>
        <v>45771</v>
      </c>
      <c r="F8013" s="513" t="s">
        <v>1514</v>
      </c>
      <c r="G8013" s="200" t="s">
        <v>1209</v>
      </c>
      <c r="H8013" s="201"/>
      <c r="I8013" s="201"/>
      <c r="J8013" s="197" t="s">
        <v>54</v>
      </c>
      <c r="K8013" s="202">
        <v>58.35</v>
      </c>
      <c r="L8013" s="202"/>
      <c r="M8013" s="251"/>
      <c r="N8013" s="251"/>
      <c r="O8013" s="251"/>
    </row>
    <row r="8014" spans="1:15" ht="11.25" customHeight="1" x14ac:dyDescent="0.2">
      <c r="A8014" s="191">
        <v>2025</v>
      </c>
      <c r="B8014" s="191">
        <v>4</v>
      </c>
      <c r="C8014" s="191">
        <v>24</v>
      </c>
      <c r="D8014" s="192">
        <f t="shared" si="918"/>
        <v>45771</v>
      </c>
      <c r="E8014" s="291">
        <f>DATE(A8014,B8014,C8014)</f>
        <v>45771</v>
      </c>
      <c r="F8014" s="514"/>
      <c r="G8014" s="194" t="s">
        <v>1209</v>
      </c>
      <c r="H8014" s="195"/>
      <c r="I8014" s="195"/>
      <c r="J8014" s="191" t="s">
        <v>46</v>
      </c>
      <c r="K8014" s="196"/>
      <c r="L8014" s="196">
        <v>58.35</v>
      </c>
      <c r="M8014" s="251"/>
      <c r="N8014" s="251"/>
      <c r="O8014" s="251"/>
    </row>
    <row r="8015" spans="1:15" ht="11.25" customHeight="1" x14ac:dyDescent="0.2">
      <c r="A8015" s="197">
        <v>2025</v>
      </c>
      <c r="B8015" s="197">
        <v>4</v>
      </c>
      <c r="C8015" s="197">
        <v>24</v>
      </c>
      <c r="D8015" s="198">
        <f t="shared" si="918"/>
        <v>45771</v>
      </c>
      <c r="E8015" s="209">
        <f t="shared" ref="E8015:E8017" si="925">DATE(A8015,B8015,C8015)</f>
        <v>45771</v>
      </c>
      <c r="F8015" s="513" t="s">
        <v>1210</v>
      </c>
      <c r="G8015" s="200" t="s">
        <v>1209</v>
      </c>
      <c r="H8015" s="201"/>
      <c r="I8015" s="201" t="s">
        <v>658</v>
      </c>
      <c r="J8015" s="197" t="s">
        <v>46</v>
      </c>
      <c r="K8015" s="202">
        <v>1700000</v>
      </c>
      <c r="L8015" s="202"/>
    </row>
    <row r="8016" spans="1:15" ht="11.25" customHeight="1" x14ac:dyDescent="0.2">
      <c r="A8016" s="120">
        <v>2025</v>
      </c>
      <c r="B8016" s="120">
        <v>4</v>
      </c>
      <c r="C8016" s="120">
        <v>24</v>
      </c>
      <c r="D8016" s="208">
        <f t="shared" si="918"/>
        <v>45771</v>
      </c>
      <c r="E8016" s="209">
        <f t="shared" si="925"/>
        <v>45771</v>
      </c>
      <c r="F8016" s="515"/>
      <c r="G8016" s="132" t="s">
        <v>1209</v>
      </c>
      <c r="I8016" s="128" t="s">
        <v>658</v>
      </c>
      <c r="J8016" s="120" t="s">
        <v>16</v>
      </c>
      <c r="K8016" s="207"/>
      <c r="L8016" s="207">
        <v>1377190</v>
      </c>
    </row>
    <row r="8017" spans="1:15" ht="11.25" customHeight="1" x14ac:dyDescent="0.2">
      <c r="A8017" s="191">
        <v>2025</v>
      </c>
      <c r="B8017" s="191">
        <v>4</v>
      </c>
      <c r="C8017" s="191">
        <v>24</v>
      </c>
      <c r="D8017" s="192">
        <f t="shared" si="918"/>
        <v>45771</v>
      </c>
      <c r="E8017" s="193">
        <f t="shared" si="925"/>
        <v>45771</v>
      </c>
      <c r="F8017" s="514"/>
      <c r="G8017" s="194" t="s">
        <v>1209</v>
      </c>
      <c r="H8017" s="195"/>
      <c r="I8017" s="195" t="s">
        <v>658</v>
      </c>
      <c r="J8017" s="191" t="s">
        <v>47</v>
      </c>
      <c r="K8017" s="196"/>
      <c r="L8017" s="196">
        <v>322810</v>
      </c>
    </row>
    <row r="8018" spans="1:15" ht="11.25" customHeight="1" x14ac:dyDescent="0.2">
      <c r="A8018" s="197">
        <v>2025</v>
      </c>
      <c r="B8018" s="197">
        <v>4</v>
      </c>
      <c r="C8018" s="197">
        <v>24</v>
      </c>
      <c r="D8018" s="198">
        <f t="shared" si="918"/>
        <v>45771</v>
      </c>
      <c r="E8018" s="209">
        <f t="shared" ref="E8018:E8040" si="926">DATE(A8018,B8018,C8018)</f>
        <v>45771</v>
      </c>
      <c r="F8018" s="513" t="s">
        <v>1210</v>
      </c>
      <c r="G8018" s="200" t="s">
        <v>1209</v>
      </c>
      <c r="H8018" s="201"/>
      <c r="I8018" s="201" t="s">
        <v>370</v>
      </c>
      <c r="J8018" s="197" t="s">
        <v>46</v>
      </c>
      <c r="K8018" s="202">
        <v>1800000</v>
      </c>
      <c r="L8018" s="202"/>
    </row>
    <row r="8019" spans="1:15" ht="11.25" customHeight="1" x14ac:dyDescent="0.2">
      <c r="A8019" s="120">
        <v>2025</v>
      </c>
      <c r="B8019" s="120">
        <v>4</v>
      </c>
      <c r="C8019" s="120">
        <v>24</v>
      </c>
      <c r="D8019" s="208">
        <f t="shared" si="918"/>
        <v>45771</v>
      </c>
      <c r="E8019" s="209">
        <f t="shared" si="926"/>
        <v>45771</v>
      </c>
      <c r="F8019" s="515"/>
      <c r="G8019" s="132" t="s">
        <v>1209</v>
      </c>
      <c r="I8019" s="128" t="s">
        <v>370</v>
      </c>
      <c r="J8019" s="120" t="s">
        <v>16</v>
      </c>
      <c r="K8019" s="207"/>
      <c r="L8019" s="207">
        <v>1458200</v>
      </c>
    </row>
    <row r="8020" spans="1:15" ht="11.25" customHeight="1" x14ac:dyDescent="0.2">
      <c r="A8020" s="191">
        <v>2025</v>
      </c>
      <c r="B8020" s="191">
        <v>4</v>
      </c>
      <c r="C8020" s="191">
        <v>24</v>
      </c>
      <c r="D8020" s="192">
        <f t="shared" si="918"/>
        <v>45771</v>
      </c>
      <c r="E8020" s="193">
        <f t="shared" si="926"/>
        <v>45771</v>
      </c>
      <c r="F8020" s="514"/>
      <c r="G8020" s="194" t="s">
        <v>1209</v>
      </c>
      <c r="H8020" s="195"/>
      <c r="I8020" s="195" t="s">
        <v>370</v>
      </c>
      <c r="J8020" s="191" t="s">
        <v>47</v>
      </c>
      <c r="K8020" s="196"/>
      <c r="L8020" s="196">
        <v>341800</v>
      </c>
    </row>
    <row r="8021" spans="1:15" ht="11.25" customHeight="1" x14ac:dyDescent="0.2">
      <c r="A8021" s="197">
        <v>2025</v>
      </c>
      <c r="B8021" s="197">
        <v>4</v>
      </c>
      <c r="C8021" s="197">
        <v>24</v>
      </c>
      <c r="D8021" s="198">
        <f t="shared" si="918"/>
        <v>45771</v>
      </c>
      <c r="E8021" s="209">
        <f t="shared" si="926"/>
        <v>45771</v>
      </c>
      <c r="F8021" s="513" t="s">
        <v>1210</v>
      </c>
      <c r="G8021" s="200" t="s">
        <v>1209</v>
      </c>
      <c r="H8021" s="201"/>
      <c r="I8021" s="201" t="s">
        <v>1235</v>
      </c>
      <c r="J8021" s="197" t="s">
        <v>46</v>
      </c>
      <c r="K8021" s="202">
        <v>50000</v>
      </c>
      <c r="L8021" s="202"/>
    </row>
    <row r="8022" spans="1:15" ht="11.25" customHeight="1" x14ac:dyDescent="0.2">
      <c r="A8022" s="120">
        <v>2025</v>
      </c>
      <c r="B8022" s="120">
        <v>4</v>
      </c>
      <c r="C8022" s="120">
        <v>24</v>
      </c>
      <c r="D8022" s="208">
        <f t="shared" si="918"/>
        <v>45771</v>
      </c>
      <c r="E8022" s="209">
        <f t="shared" si="926"/>
        <v>45771</v>
      </c>
      <c r="F8022" s="515"/>
      <c r="G8022" s="132" t="s">
        <v>1209</v>
      </c>
      <c r="I8022" s="128" t="s">
        <v>1235</v>
      </c>
      <c r="J8022" s="120" t="s">
        <v>16</v>
      </c>
      <c r="K8022" s="207"/>
      <c r="L8022" s="207">
        <v>40510</v>
      </c>
    </row>
    <row r="8023" spans="1:15" ht="11.25" customHeight="1" x14ac:dyDescent="0.2">
      <c r="A8023" s="191">
        <v>2025</v>
      </c>
      <c r="B8023" s="191">
        <v>4</v>
      </c>
      <c r="C8023" s="191">
        <v>24</v>
      </c>
      <c r="D8023" s="192">
        <f t="shared" si="918"/>
        <v>45771</v>
      </c>
      <c r="E8023" s="193">
        <f t="shared" si="926"/>
        <v>45771</v>
      </c>
      <c r="F8023" s="514"/>
      <c r="G8023" s="194" t="s">
        <v>1209</v>
      </c>
      <c r="H8023" s="195"/>
      <c r="I8023" s="195" t="s">
        <v>1235</v>
      </c>
      <c r="J8023" s="191" t="s">
        <v>47</v>
      </c>
      <c r="K8023" s="196"/>
      <c r="L8023" s="196">
        <v>9490</v>
      </c>
    </row>
    <row r="8024" spans="1:15" ht="11.25" customHeight="1" x14ac:dyDescent="0.2">
      <c r="A8024" s="197">
        <v>2025</v>
      </c>
      <c r="B8024" s="197">
        <v>4</v>
      </c>
      <c r="C8024" s="197">
        <v>24</v>
      </c>
      <c r="D8024" s="198">
        <f t="shared" si="918"/>
        <v>45771</v>
      </c>
      <c r="E8024" s="209">
        <f t="shared" ref="E8024:E8026" si="927">DATE(A8024,B8024,C8024)</f>
        <v>45771</v>
      </c>
      <c r="F8024" s="513" t="s">
        <v>1210</v>
      </c>
      <c r="G8024" s="200" t="s">
        <v>1209</v>
      </c>
      <c r="H8024" s="201"/>
      <c r="I8024" s="201" t="s">
        <v>2018</v>
      </c>
      <c r="J8024" s="197" t="s">
        <v>46</v>
      </c>
      <c r="K8024" s="202">
        <v>72560</v>
      </c>
      <c r="L8024" s="202"/>
    </row>
    <row r="8025" spans="1:15" ht="11.25" customHeight="1" x14ac:dyDescent="0.2">
      <c r="A8025" s="120">
        <v>2025</v>
      </c>
      <c r="B8025" s="120">
        <v>4</v>
      </c>
      <c r="C8025" s="120">
        <v>24</v>
      </c>
      <c r="D8025" s="208">
        <f t="shared" si="918"/>
        <v>45771</v>
      </c>
      <c r="E8025" s="209">
        <f t="shared" si="927"/>
        <v>45771</v>
      </c>
      <c r="F8025" s="515"/>
      <c r="G8025" s="132" t="s">
        <v>1209</v>
      </c>
      <c r="I8025" s="128" t="s">
        <v>2018</v>
      </c>
      <c r="J8025" s="120" t="s">
        <v>16</v>
      </c>
      <c r="K8025" s="207"/>
      <c r="L8025" s="207">
        <v>58780</v>
      </c>
    </row>
    <row r="8026" spans="1:15" ht="11.25" customHeight="1" x14ac:dyDescent="0.2">
      <c r="A8026" s="191">
        <v>2025</v>
      </c>
      <c r="B8026" s="191">
        <v>4</v>
      </c>
      <c r="C8026" s="191">
        <v>24</v>
      </c>
      <c r="D8026" s="192">
        <f t="shared" si="918"/>
        <v>45771</v>
      </c>
      <c r="E8026" s="193">
        <f t="shared" si="927"/>
        <v>45771</v>
      </c>
      <c r="F8026" s="514"/>
      <c r="G8026" s="194" t="s">
        <v>1209</v>
      </c>
      <c r="H8026" s="195"/>
      <c r="I8026" s="195" t="s">
        <v>2018</v>
      </c>
      <c r="J8026" s="191" t="s">
        <v>47</v>
      </c>
      <c r="K8026" s="196"/>
      <c r="L8026" s="196">
        <v>13780</v>
      </c>
    </row>
    <row r="8027" spans="1:15" ht="11.25" customHeight="1" x14ac:dyDescent="0.2">
      <c r="A8027" s="120">
        <v>2025</v>
      </c>
      <c r="B8027" s="197">
        <v>4</v>
      </c>
      <c r="C8027" s="197">
        <v>24</v>
      </c>
      <c r="D8027" s="208">
        <f t="shared" si="918"/>
        <v>45771</v>
      </c>
      <c r="E8027" s="209">
        <f>DATE(A8027,B8027,C8027)</f>
        <v>45771</v>
      </c>
      <c r="F8027" s="515" t="s">
        <v>1922</v>
      </c>
      <c r="G8027" s="132" t="s">
        <v>1209</v>
      </c>
      <c r="H8027" s="132"/>
      <c r="J8027" s="120" t="s">
        <v>457</v>
      </c>
      <c r="K8027" s="202">
        <v>16720.580000000002</v>
      </c>
      <c r="L8027" s="207"/>
    </row>
    <row r="8028" spans="1:15" ht="11.25" customHeight="1" x14ac:dyDescent="0.2">
      <c r="A8028" s="191">
        <v>2025</v>
      </c>
      <c r="B8028" s="191">
        <v>4</v>
      </c>
      <c r="C8028" s="191">
        <v>24</v>
      </c>
      <c r="D8028" s="192">
        <f t="shared" si="918"/>
        <v>45771</v>
      </c>
      <c r="E8028" s="291">
        <f t="shared" ref="E8028" si="928">DATE(A8028,B8028,C8028)</f>
        <v>45771</v>
      </c>
      <c r="F8028" s="514"/>
      <c r="G8028" s="194" t="s">
        <v>1209</v>
      </c>
      <c r="H8028" s="195"/>
      <c r="I8028" s="195" t="s">
        <v>1253</v>
      </c>
      <c r="J8028" s="191" t="s">
        <v>46</v>
      </c>
      <c r="K8028" s="196"/>
      <c r="L8028" s="196">
        <v>16720.580000000002</v>
      </c>
    </row>
    <row r="8029" spans="1:15" ht="11.25" customHeight="1" x14ac:dyDescent="0.2">
      <c r="A8029" s="197">
        <v>2025</v>
      </c>
      <c r="B8029" s="197">
        <v>4</v>
      </c>
      <c r="C8029" s="197">
        <v>24</v>
      </c>
      <c r="D8029" s="198">
        <f t="shared" si="918"/>
        <v>45771</v>
      </c>
      <c r="E8029" s="290">
        <f>DATE(A8029,B8029,C8029)</f>
        <v>45771</v>
      </c>
      <c r="F8029" s="513" t="s">
        <v>2020</v>
      </c>
      <c r="G8029" s="200" t="s">
        <v>1209</v>
      </c>
      <c r="H8029" s="201"/>
      <c r="I8029" s="201"/>
      <c r="J8029" s="197" t="s">
        <v>54</v>
      </c>
      <c r="K8029" s="202">
        <v>2800.39</v>
      </c>
      <c r="L8029" s="202"/>
      <c r="M8029" s="251"/>
      <c r="N8029" s="251"/>
      <c r="O8029" s="251"/>
    </row>
    <row r="8030" spans="1:15" ht="11.25" customHeight="1" x14ac:dyDescent="0.2">
      <c r="A8030" s="191">
        <v>2025</v>
      </c>
      <c r="B8030" s="191">
        <v>4</v>
      </c>
      <c r="C8030" s="191">
        <v>24</v>
      </c>
      <c r="D8030" s="192">
        <f t="shared" si="918"/>
        <v>45771</v>
      </c>
      <c r="E8030" s="291">
        <f>DATE(A8030,B8030,C8030)</f>
        <v>45771</v>
      </c>
      <c r="F8030" s="514"/>
      <c r="G8030" s="194" t="s">
        <v>1209</v>
      </c>
      <c r="H8030" s="195"/>
      <c r="I8030" s="195"/>
      <c r="J8030" s="191" t="s">
        <v>46</v>
      </c>
      <c r="K8030" s="196"/>
      <c r="L8030" s="196">
        <v>2800.39</v>
      </c>
      <c r="M8030" s="251"/>
      <c r="N8030" s="251"/>
      <c r="O8030" s="251"/>
    </row>
    <row r="8031" spans="1:15" ht="11.25" customHeight="1" x14ac:dyDescent="0.2">
      <c r="A8031" s="197">
        <v>2025</v>
      </c>
      <c r="B8031" s="197">
        <v>4</v>
      </c>
      <c r="C8031" s="197">
        <v>24</v>
      </c>
      <c r="D8031" s="198">
        <f t="shared" si="918"/>
        <v>45771</v>
      </c>
      <c r="E8031" s="290">
        <f>DATE(A8031,B8031,C8031)</f>
        <v>45771</v>
      </c>
      <c r="F8031" s="513" t="s">
        <v>1514</v>
      </c>
      <c r="G8031" s="200" t="s">
        <v>1209</v>
      </c>
      <c r="H8031" s="201"/>
      <c r="I8031" s="201"/>
      <c r="J8031" s="197" t="s">
        <v>54</v>
      </c>
      <c r="K8031" s="202">
        <v>120</v>
      </c>
      <c r="L8031" s="202"/>
      <c r="M8031" s="251"/>
      <c r="N8031" s="251"/>
      <c r="O8031" s="251"/>
    </row>
    <row r="8032" spans="1:15" ht="11.25" customHeight="1" x14ac:dyDescent="0.2">
      <c r="A8032" s="191">
        <v>2025</v>
      </c>
      <c r="B8032" s="191">
        <v>4</v>
      </c>
      <c r="C8032" s="191">
        <v>24</v>
      </c>
      <c r="D8032" s="192">
        <f t="shared" si="918"/>
        <v>45771</v>
      </c>
      <c r="E8032" s="291">
        <f>DATE(A8032,B8032,C8032)</f>
        <v>45771</v>
      </c>
      <c r="F8032" s="514"/>
      <c r="G8032" s="194" t="s">
        <v>1209</v>
      </c>
      <c r="H8032" s="195"/>
      <c r="I8032" s="195"/>
      <c r="J8032" s="191" t="s">
        <v>46</v>
      </c>
      <c r="K8032" s="196"/>
      <c r="L8032" s="196">
        <v>120</v>
      </c>
      <c r="M8032" s="251"/>
      <c r="N8032" s="251"/>
      <c r="O8032" s="251"/>
    </row>
    <row r="8033" spans="1:14" ht="11.25" customHeight="1" x14ac:dyDescent="0.2">
      <c r="A8033" s="424">
        <v>2025</v>
      </c>
      <c r="B8033" s="424">
        <v>4</v>
      </c>
      <c r="C8033" s="424">
        <v>24</v>
      </c>
      <c r="D8033" s="425">
        <f t="shared" si="918"/>
        <v>45771</v>
      </c>
      <c r="E8033" s="384">
        <f t="shared" si="926"/>
        <v>45771</v>
      </c>
      <c r="F8033" s="516" t="s">
        <v>1850</v>
      </c>
      <c r="G8033" s="426" t="s">
        <v>1209</v>
      </c>
      <c r="H8033" s="427"/>
      <c r="I8033" s="427"/>
      <c r="J8033" s="428" t="s">
        <v>81</v>
      </c>
      <c r="K8033" s="429">
        <v>6973.2450980392159</v>
      </c>
      <c r="L8033" s="429"/>
      <c r="M8033" s="130"/>
    </row>
    <row r="8034" spans="1:14" ht="11.25" customHeight="1" x14ac:dyDescent="0.2">
      <c r="A8034" s="389">
        <v>2025</v>
      </c>
      <c r="B8034" s="389">
        <v>4</v>
      </c>
      <c r="C8034" s="389">
        <v>24</v>
      </c>
      <c r="D8034" s="390">
        <f t="shared" si="918"/>
        <v>45771</v>
      </c>
      <c r="E8034" s="391">
        <f t="shared" si="926"/>
        <v>45771</v>
      </c>
      <c r="F8034" s="517"/>
      <c r="G8034" s="392" t="s">
        <v>1209</v>
      </c>
      <c r="H8034" s="393"/>
      <c r="I8034" s="393"/>
      <c r="J8034" s="394" t="s">
        <v>1847</v>
      </c>
      <c r="K8034" s="423"/>
      <c r="L8034" s="423">
        <v>6973.2450980392159</v>
      </c>
    </row>
    <row r="8035" spans="1:14" ht="11.25" customHeight="1" x14ac:dyDescent="0.2">
      <c r="A8035" s="382">
        <v>2025</v>
      </c>
      <c r="B8035" s="382">
        <v>4</v>
      </c>
      <c r="C8035" s="382">
        <v>24</v>
      </c>
      <c r="D8035" s="383">
        <f t="shared" si="918"/>
        <v>45771</v>
      </c>
      <c r="E8035" s="384">
        <f t="shared" si="926"/>
        <v>45771</v>
      </c>
      <c r="F8035" s="516" t="s">
        <v>1892</v>
      </c>
      <c r="G8035" s="385" t="s">
        <v>1209</v>
      </c>
      <c r="H8035" s="386"/>
      <c r="I8035" s="386"/>
      <c r="J8035" s="387" t="s">
        <v>173</v>
      </c>
      <c r="K8035" s="388">
        <v>4174.0958786770834</v>
      </c>
      <c r="L8035" s="388"/>
      <c r="M8035" s="130"/>
    </row>
    <row r="8036" spans="1:14" ht="11.25" customHeight="1" x14ac:dyDescent="0.2">
      <c r="A8036" s="389">
        <v>2025</v>
      </c>
      <c r="B8036" s="389">
        <v>4</v>
      </c>
      <c r="C8036" s="389">
        <v>24</v>
      </c>
      <c r="D8036" s="390">
        <f t="shared" si="918"/>
        <v>45771</v>
      </c>
      <c r="E8036" s="391">
        <f t="shared" si="926"/>
        <v>45771</v>
      </c>
      <c r="F8036" s="517"/>
      <c r="G8036" s="392" t="s">
        <v>1209</v>
      </c>
      <c r="H8036" s="393"/>
      <c r="I8036" s="393"/>
      <c r="J8036" s="394" t="s">
        <v>43</v>
      </c>
      <c r="K8036" s="388"/>
      <c r="L8036" s="388">
        <f>K8035</f>
        <v>4174.0958786770834</v>
      </c>
    </row>
    <row r="8037" spans="1:14" ht="11.25" customHeight="1" x14ac:dyDescent="0.2">
      <c r="A8037" s="344">
        <v>2025</v>
      </c>
      <c r="B8037" s="344">
        <v>4</v>
      </c>
      <c r="C8037" s="344">
        <v>24</v>
      </c>
      <c r="D8037" s="345">
        <f t="shared" si="918"/>
        <v>45771</v>
      </c>
      <c r="E8037" s="346">
        <f t="shared" si="926"/>
        <v>45771</v>
      </c>
      <c r="F8037" s="518" t="s">
        <v>1982</v>
      </c>
      <c r="G8037" s="347" t="s">
        <v>1245</v>
      </c>
      <c r="H8037" s="348"/>
      <c r="I8037" s="348" t="s">
        <v>1253</v>
      </c>
      <c r="J8037" s="344" t="s">
        <v>1978</v>
      </c>
      <c r="K8037" s="349">
        <v>145230.76923076922</v>
      </c>
      <c r="L8037" s="349"/>
      <c r="M8037" s="130"/>
    </row>
    <row r="8038" spans="1:14" ht="11.25" customHeight="1" x14ac:dyDescent="0.2">
      <c r="A8038" s="350">
        <v>2025</v>
      </c>
      <c r="B8038" s="350">
        <v>4</v>
      </c>
      <c r="C8038" s="350">
        <v>24</v>
      </c>
      <c r="D8038" s="351">
        <f t="shared" si="918"/>
        <v>45771</v>
      </c>
      <c r="E8038" s="352">
        <f t="shared" si="926"/>
        <v>45771</v>
      </c>
      <c r="F8038" s="519"/>
      <c r="G8038" s="353" t="s">
        <v>1245</v>
      </c>
      <c r="H8038" s="354"/>
      <c r="I8038" s="354" t="s">
        <v>1253</v>
      </c>
      <c r="J8038" s="350" t="s">
        <v>1979</v>
      </c>
      <c r="K8038" s="355"/>
      <c r="L8038" s="355">
        <f>K8037</f>
        <v>145230.76923076922</v>
      </c>
    </row>
    <row r="8039" spans="1:14" ht="11.25" customHeight="1" x14ac:dyDescent="0.2">
      <c r="A8039" s="344">
        <v>2025</v>
      </c>
      <c r="B8039" s="344">
        <v>4</v>
      </c>
      <c r="C8039" s="344">
        <v>24</v>
      </c>
      <c r="D8039" s="345">
        <f t="shared" si="918"/>
        <v>45771</v>
      </c>
      <c r="E8039" s="346">
        <f t="shared" si="926"/>
        <v>45771</v>
      </c>
      <c r="F8039" s="518" t="s">
        <v>2009</v>
      </c>
      <c r="G8039" s="347" t="s">
        <v>1245</v>
      </c>
      <c r="H8039" s="348"/>
      <c r="I8039" s="348" t="s">
        <v>1253</v>
      </c>
      <c r="J8039" s="344" t="s">
        <v>2004</v>
      </c>
      <c r="K8039" s="349">
        <v>49692.31</v>
      </c>
      <c r="L8039" s="349"/>
      <c r="M8039" s="130"/>
    </row>
    <row r="8040" spans="1:14" ht="11.25" customHeight="1" x14ac:dyDescent="0.2">
      <c r="A8040" s="350">
        <v>2025</v>
      </c>
      <c r="B8040" s="350">
        <v>4</v>
      </c>
      <c r="C8040" s="350">
        <v>24</v>
      </c>
      <c r="D8040" s="351">
        <f t="shared" si="918"/>
        <v>45771</v>
      </c>
      <c r="E8040" s="352">
        <f t="shared" si="926"/>
        <v>45771</v>
      </c>
      <c r="F8040" s="519"/>
      <c r="G8040" s="353" t="s">
        <v>1245</v>
      </c>
      <c r="H8040" s="354"/>
      <c r="I8040" s="354" t="s">
        <v>1253</v>
      </c>
      <c r="J8040" s="350" t="s">
        <v>2008</v>
      </c>
      <c r="K8040" s="355"/>
      <c r="L8040" s="355">
        <f>K8039</f>
        <v>49692.31</v>
      </c>
    </row>
    <row r="8041" spans="1:14" ht="11.25" customHeight="1" x14ac:dyDescent="0.2">
      <c r="A8041" s="344">
        <v>2025</v>
      </c>
      <c r="B8041" s="344">
        <v>4</v>
      </c>
      <c r="C8041" s="344">
        <v>24</v>
      </c>
      <c r="D8041" s="345">
        <f t="shared" si="918"/>
        <v>45771</v>
      </c>
      <c r="E8041" s="346">
        <f>DATE(A8041,B8041,C8041)</f>
        <v>45771</v>
      </c>
      <c r="F8041" s="518" t="s">
        <v>1988</v>
      </c>
      <c r="G8041" s="347" t="s">
        <v>1245</v>
      </c>
      <c r="H8041" s="348"/>
      <c r="I8041" s="348" t="s">
        <v>1253</v>
      </c>
      <c r="J8041" s="344" t="s">
        <v>113</v>
      </c>
      <c r="K8041" s="349">
        <v>32846.15</v>
      </c>
      <c r="L8041" s="349"/>
      <c r="M8041" s="130"/>
    </row>
    <row r="8042" spans="1:14" ht="11.25" customHeight="1" x14ac:dyDescent="0.2">
      <c r="A8042" s="350">
        <v>2025</v>
      </c>
      <c r="B8042" s="350">
        <v>4</v>
      </c>
      <c r="C8042" s="350">
        <v>24</v>
      </c>
      <c r="D8042" s="351">
        <f t="shared" si="918"/>
        <v>45771</v>
      </c>
      <c r="E8042" s="352">
        <f>DATE(A8042,B8042,C8042)</f>
        <v>45771</v>
      </c>
      <c r="F8042" s="519"/>
      <c r="G8042" s="353" t="s">
        <v>1245</v>
      </c>
      <c r="H8042" s="354"/>
      <c r="I8042" s="354" t="s">
        <v>1253</v>
      </c>
      <c r="J8042" s="350" t="s">
        <v>153</v>
      </c>
      <c r="K8042" s="355"/>
      <c r="L8042" s="355">
        <f>K8041</f>
        <v>32846.15</v>
      </c>
    </row>
    <row r="8043" spans="1:14" ht="11.25" customHeight="1" x14ac:dyDescent="0.2">
      <c r="A8043" s="344">
        <v>2025</v>
      </c>
      <c r="B8043" s="344">
        <v>4</v>
      </c>
      <c r="C8043" s="344">
        <v>24</v>
      </c>
      <c r="D8043" s="345">
        <f t="shared" si="918"/>
        <v>45771</v>
      </c>
      <c r="E8043" s="346">
        <f t="shared" ref="E8043:E8048" si="929">DATE(A8043,B8043,C8043)</f>
        <v>45771</v>
      </c>
      <c r="F8043" s="518" t="s">
        <v>1989</v>
      </c>
      <c r="G8043" s="347" t="s">
        <v>1245</v>
      </c>
      <c r="H8043" s="348"/>
      <c r="I8043" s="348" t="s">
        <v>1253</v>
      </c>
      <c r="J8043" s="344" t="s">
        <v>113</v>
      </c>
      <c r="K8043" s="349">
        <v>23461.538461538461</v>
      </c>
      <c r="L8043" s="349"/>
      <c r="M8043" s="130"/>
    </row>
    <row r="8044" spans="1:14" ht="11.25" customHeight="1" x14ac:dyDescent="0.2">
      <c r="A8044" s="350">
        <v>2025</v>
      </c>
      <c r="B8044" s="350">
        <v>4</v>
      </c>
      <c r="C8044" s="350">
        <v>24</v>
      </c>
      <c r="D8044" s="351">
        <f t="shared" ref="D8044:D8107" si="930">DATE(A8044,B8044,C8044)</f>
        <v>45771</v>
      </c>
      <c r="E8044" s="352">
        <f t="shared" si="929"/>
        <v>45771</v>
      </c>
      <c r="F8044" s="519"/>
      <c r="G8044" s="353" t="s">
        <v>1245</v>
      </c>
      <c r="H8044" s="354"/>
      <c r="I8044" s="354" t="s">
        <v>1253</v>
      </c>
      <c r="J8044" s="350" t="s">
        <v>153</v>
      </c>
      <c r="K8044" s="355"/>
      <c r="L8044" s="355">
        <f>K8043</f>
        <v>23461.538461538461</v>
      </c>
    </row>
    <row r="8045" spans="1:14" ht="11.25" customHeight="1" x14ac:dyDescent="0.2">
      <c r="A8045" s="344">
        <v>2025</v>
      </c>
      <c r="B8045" s="344">
        <v>4</v>
      </c>
      <c r="C8045" s="344">
        <v>24</v>
      </c>
      <c r="D8045" s="345">
        <f t="shared" si="930"/>
        <v>45771</v>
      </c>
      <c r="E8045" s="346">
        <f t="shared" si="929"/>
        <v>45771</v>
      </c>
      <c r="F8045" s="518" t="s">
        <v>1990</v>
      </c>
      <c r="G8045" s="347" t="s">
        <v>1245</v>
      </c>
      <c r="H8045" s="348"/>
      <c r="I8045" s="348" t="s">
        <v>1253</v>
      </c>
      <c r="J8045" s="344" t="s">
        <v>113</v>
      </c>
      <c r="K8045" s="349">
        <v>70384.62</v>
      </c>
      <c r="L8045" s="349"/>
      <c r="M8045" s="130"/>
      <c r="N8045" s="251"/>
    </row>
    <row r="8046" spans="1:14" ht="11.25" customHeight="1" x14ac:dyDescent="0.2">
      <c r="A8046" s="350">
        <v>2025</v>
      </c>
      <c r="B8046" s="350">
        <v>4</v>
      </c>
      <c r="C8046" s="350">
        <v>24</v>
      </c>
      <c r="D8046" s="351">
        <f t="shared" si="930"/>
        <v>45771</v>
      </c>
      <c r="E8046" s="352">
        <f t="shared" si="929"/>
        <v>45771</v>
      </c>
      <c r="F8046" s="519"/>
      <c r="G8046" s="353" t="s">
        <v>1245</v>
      </c>
      <c r="H8046" s="354"/>
      <c r="I8046" s="354" t="s">
        <v>1253</v>
      </c>
      <c r="J8046" s="350" t="s">
        <v>153</v>
      </c>
      <c r="K8046" s="355"/>
      <c r="L8046" s="355">
        <f>K8045</f>
        <v>70384.62</v>
      </c>
    </row>
    <row r="8047" spans="1:14" ht="11.25" customHeight="1" x14ac:dyDescent="0.2">
      <c r="A8047" s="344">
        <v>2025</v>
      </c>
      <c r="B8047" s="344">
        <v>4</v>
      </c>
      <c r="C8047" s="344">
        <v>24</v>
      </c>
      <c r="D8047" s="345">
        <f t="shared" si="930"/>
        <v>45771</v>
      </c>
      <c r="E8047" s="346">
        <f t="shared" si="929"/>
        <v>45771</v>
      </c>
      <c r="F8047" s="518" t="s">
        <v>2039</v>
      </c>
      <c r="G8047" s="347" t="s">
        <v>1245</v>
      </c>
      <c r="H8047" s="348"/>
      <c r="I8047" s="348" t="s">
        <v>1253</v>
      </c>
      <c r="J8047" s="344" t="s">
        <v>113</v>
      </c>
      <c r="K8047" s="349">
        <v>9384.6153846153848</v>
      </c>
      <c r="L8047" s="349"/>
      <c r="M8047" s="130"/>
    </row>
    <row r="8048" spans="1:14" ht="11.25" customHeight="1" x14ac:dyDescent="0.2">
      <c r="A8048" s="350">
        <v>2025</v>
      </c>
      <c r="B8048" s="350">
        <v>4</v>
      </c>
      <c r="C8048" s="350">
        <v>24</v>
      </c>
      <c r="D8048" s="351">
        <f t="shared" si="930"/>
        <v>45771</v>
      </c>
      <c r="E8048" s="352">
        <f t="shared" si="929"/>
        <v>45771</v>
      </c>
      <c r="F8048" s="519"/>
      <c r="G8048" s="353" t="s">
        <v>1245</v>
      </c>
      <c r="H8048" s="354"/>
      <c r="I8048" s="354" t="s">
        <v>1253</v>
      </c>
      <c r="J8048" s="350" t="s">
        <v>153</v>
      </c>
      <c r="K8048" s="355"/>
      <c r="L8048" s="355">
        <f>K8047</f>
        <v>9384.6153846153848</v>
      </c>
    </row>
    <row r="8049" spans="1:13" ht="11.25" customHeight="1" x14ac:dyDescent="0.2">
      <c r="A8049" s="344">
        <v>2025</v>
      </c>
      <c r="B8049" s="344">
        <v>4</v>
      </c>
      <c r="C8049" s="344">
        <v>24</v>
      </c>
      <c r="D8049" s="345">
        <f t="shared" si="930"/>
        <v>45771</v>
      </c>
      <c r="E8049" s="346">
        <f>DATE(A8049,B8049,C8049)</f>
        <v>45771</v>
      </c>
      <c r="F8049" s="518" t="s">
        <v>1991</v>
      </c>
      <c r="G8049" s="347" t="s">
        <v>1245</v>
      </c>
      <c r="H8049" s="348"/>
      <c r="I8049" s="348" t="s">
        <v>1253</v>
      </c>
      <c r="J8049" s="344" t="s">
        <v>113</v>
      </c>
      <c r="K8049" s="349">
        <v>39884.620000000003</v>
      </c>
      <c r="L8049" s="349"/>
      <c r="M8049" s="130"/>
    </row>
    <row r="8050" spans="1:13" ht="11.25" customHeight="1" x14ac:dyDescent="0.2">
      <c r="A8050" s="350">
        <v>2025</v>
      </c>
      <c r="B8050" s="350">
        <v>4</v>
      </c>
      <c r="C8050" s="350">
        <v>24</v>
      </c>
      <c r="D8050" s="351">
        <f t="shared" si="930"/>
        <v>45771</v>
      </c>
      <c r="E8050" s="352">
        <f>DATE(A8050,B8050,C8050)</f>
        <v>45771</v>
      </c>
      <c r="F8050" s="519"/>
      <c r="G8050" s="353" t="s">
        <v>1245</v>
      </c>
      <c r="H8050" s="354"/>
      <c r="I8050" s="354" t="s">
        <v>1253</v>
      </c>
      <c r="J8050" s="350" t="s">
        <v>153</v>
      </c>
      <c r="K8050" s="355"/>
      <c r="L8050" s="355">
        <f>K8049</f>
        <v>39884.620000000003</v>
      </c>
    </row>
    <row r="8051" spans="1:13" ht="11.25" customHeight="1" x14ac:dyDescent="0.2">
      <c r="A8051" s="344">
        <v>2025</v>
      </c>
      <c r="B8051" s="344">
        <v>4</v>
      </c>
      <c r="C8051" s="344">
        <v>24</v>
      </c>
      <c r="D8051" s="345">
        <f t="shared" si="930"/>
        <v>45771</v>
      </c>
      <c r="E8051" s="346">
        <f t="shared" ref="E8051:E8057" si="931">DATE(A8051,B8051,C8051)</f>
        <v>45771</v>
      </c>
      <c r="F8051" s="518" t="s">
        <v>1992</v>
      </c>
      <c r="G8051" s="347" t="s">
        <v>1245</v>
      </c>
      <c r="H8051" s="348"/>
      <c r="I8051" s="348" t="s">
        <v>1253</v>
      </c>
      <c r="J8051" s="344" t="s">
        <v>113</v>
      </c>
      <c r="K8051" s="349">
        <v>22596.15</v>
      </c>
      <c r="L8051" s="349"/>
      <c r="M8051" s="130"/>
    </row>
    <row r="8052" spans="1:13" ht="11.25" customHeight="1" x14ac:dyDescent="0.2">
      <c r="A8052" s="350">
        <v>2025</v>
      </c>
      <c r="B8052" s="350">
        <v>4</v>
      </c>
      <c r="C8052" s="350">
        <v>24</v>
      </c>
      <c r="D8052" s="351">
        <f t="shared" si="930"/>
        <v>45771</v>
      </c>
      <c r="E8052" s="352">
        <f t="shared" si="931"/>
        <v>45771</v>
      </c>
      <c r="F8052" s="519"/>
      <c r="G8052" s="353" t="s">
        <v>1245</v>
      </c>
      <c r="H8052" s="354"/>
      <c r="I8052" s="354" t="s">
        <v>1253</v>
      </c>
      <c r="J8052" s="350" t="s">
        <v>153</v>
      </c>
      <c r="K8052" s="355"/>
      <c r="L8052" s="355">
        <f>K8051</f>
        <v>22596.15</v>
      </c>
    </row>
    <row r="8053" spans="1:13" ht="11.25" customHeight="1" x14ac:dyDescent="0.2">
      <c r="A8053" s="344">
        <v>2025</v>
      </c>
      <c r="B8053" s="344">
        <v>4</v>
      </c>
      <c r="C8053" s="344">
        <v>24</v>
      </c>
      <c r="D8053" s="345">
        <f t="shared" si="930"/>
        <v>45771</v>
      </c>
      <c r="E8053" s="346">
        <f t="shared" si="931"/>
        <v>45771</v>
      </c>
      <c r="F8053" s="518" t="s">
        <v>1993</v>
      </c>
      <c r="G8053" s="347" t="s">
        <v>1245</v>
      </c>
      <c r="H8053" s="348"/>
      <c r="I8053" s="348" t="s">
        <v>1253</v>
      </c>
      <c r="J8053" s="344" t="s">
        <v>113</v>
      </c>
      <c r="K8053" s="349">
        <v>23048.080000000002</v>
      </c>
      <c r="L8053" s="349"/>
      <c r="M8053" s="130"/>
    </row>
    <row r="8054" spans="1:13" ht="11.25" customHeight="1" x14ac:dyDescent="0.2">
      <c r="A8054" s="350">
        <v>2025</v>
      </c>
      <c r="B8054" s="350">
        <v>4</v>
      </c>
      <c r="C8054" s="350">
        <v>24</v>
      </c>
      <c r="D8054" s="351">
        <f t="shared" si="930"/>
        <v>45771</v>
      </c>
      <c r="E8054" s="352">
        <f t="shared" si="931"/>
        <v>45771</v>
      </c>
      <c r="F8054" s="519"/>
      <c r="G8054" s="353" t="s">
        <v>1245</v>
      </c>
      <c r="H8054" s="354"/>
      <c r="I8054" s="354" t="s">
        <v>1253</v>
      </c>
      <c r="J8054" s="350" t="s">
        <v>153</v>
      </c>
      <c r="K8054" s="355"/>
      <c r="L8054" s="355">
        <f>K8053</f>
        <v>23048.080000000002</v>
      </c>
    </row>
    <row r="8055" spans="1:13" ht="11.25" customHeight="1" x14ac:dyDescent="0.2">
      <c r="A8055" s="210">
        <v>2025</v>
      </c>
      <c r="B8055" s="210">
        <v>4</v>
      </c>
      <c r="C8055" s="210">
        <v>24</v>
      </c>
      <c r="D8055" s="211">
        <f t="shared" si="930"/>
        <v>45771</v>
      </c>
      <c r="E8055" s="238">
        <f t="shared" si="931"/>
        <v>45771</v>
      </c>
      <c r="F8055" s="520" t="s">
        <v>1278</v>
      </c>
      <c r="G8055" s="213" t="s">
        <v>1245</v>
      </c>
      <c r="H8055" s="214"/>
      <c r="I8055" s="214" t="s">
        <v>1253</v>
      </c>
      <c r="J8055" s="210" t="s">
        <v>1529</v>
      </c>
      <c r="K8055" s="215">
        <v>510.40384615384613</v>
      </c>
      <c r="L8055" s="215"/>
      <c r="M8055" s="130"/>
    </row>
    <row r="8056" spans="1:13" ht="11.25" customHeight="1" x14ac:dyDescent="0.2">
      <c r="A8056" s="216">
        <v>2025</v>
      </c>
      <c r="B8056" s="216">
        <v>4</v>
      </c>
      <c r="C8056" s="216">
        <v>24</v>
      </c>
      <c r="D8056" s="217">
        <f t="shared" si="930"/>
        <v>45771</v>
      </c>
      <c r="E8056" s="239">
        <f t="shared" si="931"/>
        <v>45771</v>
      </c>
      <c r="F8056" s="521"/>
      <c r="G8056" s="219" t="s">
        <v>1245</v>
      </c>
      <c r="H8056" s="220"/>
      <c r="I8056" s="220" t="s">
        <v>1253</v>
      </c>
      <c r="J8056" s="216" t="s">
        <v>1581</v>
      </c>
      <c r="K8056" s="221"/>
      <c r="L8056" s="221">
        <v>510.40384615384613</v>
      </c>
    </row>
    <row r="8057" spans="1:13" ht="11.25" customHeight="1" x14ac:dyDescent="0.2">
      <c r="A8057" s="210">
        <v>2025</v>
      </c>
      <c r="B8057" s="210">
        <v>4</v>
      </c>
      <c r="C8057" s="210">
        <v>24</v>
      </c>
      <c r="D8057" s="211">
        <f t="shared" si="930"/>
        <v>45771</v>
      </c>
      <c r="E8057" s="238">
        <f t="shared" si="931"/>
        <v>45771</v>
      </c>
      <c r="F8057" s="520" t="s">
        <v>1857</v>
      </c>
      <c r="G8057" s="213" t="s">
        <v>1245</v>
      </c>
      <c r="H8057" s="214"/>
      <c r="I8057" s="214" t="s">
        <v>1253</v>
      </c>
      <c r="J8057" s="210" t="s">
        <v>1284</v>
      </c>
      <c r="K8057" s="215">
        <v>2341.8114143920593</v>
      </c>
      <c r="L8057" s="215"/>
      <c r="M8057" s="130"/>
    </row>
    <row r="8058" spans="1:13" ht="11.25" customHeight="1" x14ac:dyDescent="0.2">
      <c r="A8058" s="242">
        <v>2025</v>
      </c>
      <c r="B8058" s="242">
        <v>4</v>
      </c>
      <c r="C8058" s="242">
        <v>24</v>
      </c>
      <c r="D8058" s="243">
        <f t="shared" si="930"/>
        <v>45771</v>
      </c>
      <c r="E8058" s="244">
        <f>DATE(A8058,B8058,C8058)</f>
        <v>45771</v>
      </c>
      <c r="F8058" s="524"/>
      <c r="G8058" s="245" t="s">
        <v>1245</v>
      </c>
      <c r="H8058" s="246"/>
      <c r="I8058" s="246"/>
      <c r="J8058" s="242" t="s">
        <v>1582</v>
      </c>
      <c r="K8058" s="247"/>
      <c r="L8058" s="247">
        <f>K8057</f>
        <v>2341.8114143920593</v>
      </c>
    </row>
    <row r="8059" spans="1:13" ht="11.25" customHeight="1" x14ac:dyDescent="0.2">
      <c r="A8059" s="210">
        <v>2025</v>
      </c>
      <c r="B8059" s="210">
        <v>4</v>
      </c>
      <c r="C8059" s="210">
        <v>24</v>
      </c>
      <c r="D8059" s="211">
        <f t="shared" si="930"/>
        <v>45771</v>
      </c>
      <c r="E8059" s="238">
        <f t="shared" ref="E8059:E8081" si="932">DATE(A8059,B8059,C8059)</f>
        <v>45771</v>
      </c>
      <c r="F8059" s="520" t="s">
        <v>2055</v>
      </c>
      <c r="G8059" s="213" t="s">
        <v>1245</v>
      </c>
      <c r="H8059" s="214"/>
      <c r="I8059" s="214" t="s">
        <v>1253</v>
      </c>
      <c r="J8059" s="210" t="s">
        <v>58</v>
      </c>
      <c r="K8059" s="215">
        <v>59795.57</v>
      </c>
      <c r="L8059" s="215"/>
    </row>
    <row r="8060" spans="1:13" ht="11.25" customHeight="1" x14ac:dyDescent="0.2">
      <c r="A8060" s="216">
        <v>2025</v>
      </c>
      <c r="B8060" s="216">
        <v>4</v>
      </c>
      <c r="C8060" s="216">
        <v>24</v>
      </c>
      <c r="D8060" s="217">
        <f t="shared" si="930"/>
        <v>45771</v>
      </c>
      <c r="E8060" s="239">
        <f t="shared" si="932"/>
        <v>45771</v>
      </c>
      <c r="F8060" s="521"/>
      <c r="G8060" s="219" t="s">
        <v>1245</v>
      </c>
      <c r="H8060" s="220"/>
      <c r="I8060" s="220" t="s">
        <v>1253</v>
      </c>
      <c r="J8060" s="216" t="s">
        <v>153</v>
      </c>
      <c r="K8060" s="221"/>
      <c r="L8060" s="221">
        <f>K8059</f>
        <v>59795.57</v>
      </c>
    </row>
    <row r="8061" spans="1:13" ht="11.25" customHeight="1" x14ac:dyDescent="0.2">
      <c r="A8061" s="312">
        <v>2025</v>
      </c>
      <c r="B8061" s="312">
        <v>4</v>
      </c>
      <c r="C8061" s="312">
        <v>24</v>
      </c>
      <c r="D8061" s="313">
        <f t="shared" si="930"/>
        <v>45771</v>
      </c>
      <c r="E8061" s="314">
        <f t="shared" si="932"/>
        <v>45771</v>
      </c>
      <c r="F8061" s="522" t="s">
        <v>1477</v>
      </c>
      <c r="G8061" s="315" t="s">
        <v>1245</v>
      </c>
      <c r="H8061" s="316"/>
      <c r="I8061" s="316" t="s">
        <v>1253</v>
      </c>
      <c r="J8061" s="312" t="s">
        <v>1458</v>
      </c>
      <c r="K8061" s="317">
        <v>0</v>
      </c>
      <c r="L8061" s="317"/>
      <c r="M8061" s="120">
        <f>BS!$I$11</f>
        <v>5.9604644775390625E-8</v>
      </c>
    </row>
    <row r="8062" spans="1:13" ht="11.25" customHeight="1" x14ac:dyDescent="0.2">
      <c r="A8062" s="318">
        <v>2025</v>
      </c>
      <c r="B8062" s="318">
        <v>4</v>
      </c>
      <c r="C8062" s="318">
        <v>24</v>
      </c>
      <c r="D8062" s="319">
        <f t="shared" si="930"/>
        <v>45771</v>
      </c>
      <c r="E8062" s="320">
        <f t="shared" si="932"/>
        <v>45771</v>
      </c>
      <c r="F8062" s="523"/>
      <c r="G8062" s="321" t="s">
        <v>1245</v>
      </c>
      <c r="H8062" s="322"/>
      <c r="I8062" s="322" t="s">
        <v>1253</v>
      </c>
      <c r="J8062" s="318" t="s">
        <v>1460</v>
      </c>
      <c r="K8062" s="323"/>
      <c r="L8062" s="323">
        <f>K8061</f>
        <v>0</v>
      </c>
    </row>
    <row r="8063" spans="1:13" ht="11.25" customHeight="1" x14ac:dyDescent="0.2">
      <c r="A8063" s="312">
        <v>2025</v>
      </c>
      <c r="B8063" s="312">
        <v>4</v>
      </c>
      <c r="C8063" s="312">
        <v>24</v>
      </c>
      <c r="D8063" s="313">
        <f t="shared" si="930"/>
        <v>45771</v>
      </c>
      <c r="E8063" s="314">
        <f t="shared" si="932"/>
        <v>45771</v>
      </c>
      <c r="F8063" s="522" t="s">
        <v>1595</v>
      </c>
      <c r="G8063" s="315" t="s">
        <v>1245</v>
      </c>
      <c r="H8063" s="316"/>
      <c r="I8063" s="316" t="s">
        <v>1253</v>
      </c>
      <c r="J8063" s="312" t="s">
        <v>1459</v>
      </c>
      <c r="K8063" s="317">
        <v>2602455.8270000219</v>
      </c>
      <c r="L8063" s="317"/>
      <c r="M8063" s="120">
        <f>BS!$I$14</f>
        <v>0</v>
      </c>
    </row>
    <row r="8064" spans="1:13" ht="11.25" customHeight="1" x14ac:dyDescent="0.2">
      <c r="A8064" s="318">
        <v>2025</v>
      </c>
      <c r="B8064" s="318">
        <v>4</v>
      </c>
      <c r="C8064" s="318">
        <v>24</v>
      </c>
      <c r="D8064" s="319">
        <f t="shared" si="930"/>
        <v>45771</v>
      </c>
      <c r="E8064" s="320">
        <f t="shared" si="932"/>
        <v>45771</v>
      </c>
      <c r="F8064" s="523"/>
      <c r="G8064" s="321" t="s">
        <v>1245</v>
      </c>
      <c r="H8064" s="322"/>
      <c r="I8064" s="322" t="s">
        <v>1253</v>
      </c>
      <c r="J8064" s="318" t="s">
        <v>1461</v>
      </c>
      <c r="K8064" s="323"/>
      <c r="L8064" s="323">
        <f>K8063</f>
        <v>2602455.8270000219</v>
      </c>
    </row>
    <row r="8065" spans="1:14" ht="11.25" customHeight="1" x14ac:dyDescent="0.2">
      <c r="A8065" s="222">
        <v>2025</v>
      </c>
      <c r="B8065" s="222">
        <v>4</v>
      </c>
      <c r="C8065" s="222">
        <v>24</v>
      </c>
      <c r="D8065" s="223">
        <f t="shared" si="930"/>
        <v>45771</v>
      </c>
      <c r="E8065" s="240">
        <f t="shared" si="932"/>
        <v>45771</v>
      </c>
      <c r="F8065" s="511" t="s">
        <v>1244</v>
      </c>
      <c r="G8065" s="225" t="s">
        <v>1245</v>
      </c>
      <c r="H8065" s="226"/>
      <c r="I8065" s="226" t="s">
        <v>1253</v>
      </c>
      <c r="J8065" s="222" t="s">
        <v>72</v>
      </c>
      <c r="K8065" s="227">
        <v>31380</v>
      </c>
      <c r="L8065" s="227"/>
      <c r="M8065" s="120">
        <f>BS!$I$7</f>
        <v>0</v>
      </c>
    </row>
    <row r="8066" spans="1:14" ht="11.25" customHeight="1" x14ac:dyDescent="0.2">
      <c r="A8066" s="228">
        <v>2025</v>
      </c>
      <c r="B8066" s="228">
        <v>4</v>
      </c>
      <c r="C8066" s="228">
        <v>24</v>
      </c>
      <c r="D8066" s="229">
        <f t="shared" si="930"/>
        <v>45771</v>
      </c>
      <c r="E8066" s="241">
        <f t="shared" si="932"/>
        <v>45771</v>
      </c>
      <c r="F8066" s="512"/>
      <c r="G8066" s="231" t="s">
        <v>1245</v>
      </c>
      <c r="H8066" s="232"/>
      <c r="I8066" s="232" t="s">
        <v>1253</v>
      </c>
      <c r="J8066" s="228" t="s">
        <v>87</v>
      </c>
      <c r="K8066" s="233"/>
      <c r="L8066" s="233">
        <f>K8065</f>
        <v>31380</v>
      </c>
    </row>
    <row r="8067" spans="1:14" ht="11.25" customHeight="1" x14ac:dyDescent="0.2">
      <c r="A8067" s="222">
        <v>2025</v>
      </c>
      <c r="B8067" s="222">
        <v>4</v>
      </c>
      <c r="C8067" s="222">
        <v>24</v>
      </c>
      <c r="D8067" s="223">
        <f t="shared" si="930"/>
        <v>45771</v>
      </c>
      <c r="E8067" s="240">
        <f t="shared" si="932"/>
        <v>45771</v>
      </c>
      <c r="F8067" s="511" t="s">
        <v>1246</v>
      </c>
      <c r="G8067" s="225" t="s">
        <v>1245</v>
      </c>
      <c r="H8067" s="226"/>
      <c r="I8067" s="226" t="s">
        <v>1253</v>
      </c>
      <c r="J8067" s="222" t="s">
        <v>75</v>
      </c>
      <c r="K8067" s="227">
        <v>3623.123846153846</v>
      </c>
      <c r="L8067" s="227"/>
      <c r="M8067" s="130"/>
    </row>
    <row r="8068" spans="1:14" ht="11.25" customHeight="1" x14ac:dyDescent="0.2">
      <c r="A8068" s="228">
        <v>2025</v>
      </c>
      <c r="B8068" s="228">
        <v>4</v>
      </c>
      <c r="C8068" s="228">
        <v>24</v>
      </c>
      <c r="D8068" s="229">
        <f t="shared" si="930"/>
        <v>45771</v>
      </c>
      <c r="E8068" s="241">
        <f t="shared" si="932"/>
        <v>45771</v>
      </c>
      <c r="F8068" s="512"/>
      <c r="G8068" s="231" t="s">
        <v>1245</v>
      </c>
      <c r="H8068" s="232"/>
      <c r="I8068" s="232" t="s">
        <v>1253</v>
      </c>
      <c r="J8068" s="228" t="s">
        <v>55</v>
      </c>
      <c r="K8068" s="233"/>
      <c r="L8068" s="233">
        <v>3623.123846153846</v>
      </c>
    </row>
    <row r="8069" spans="1:14" ht="11.25" customHeight="1" x14ac:dyDescent="0.2">
      <c r="A8069" s="222">
        <v>2025</v>
      </c>
      <c r="B8069" s="222">
        <v>4</v>
      </c>
      <c r="C8069" s="222">
        <v>24</v>
      </c>
      <c r="D8069" s="223">
        <f t="shared" si="930"/>
        <v>45771</v>
      </c>
      <c r="E8069" s="240">
        <f t="shared" si="932"/>
        <v>45771</v>
      </c>
      <c r="F8069" s="511" t="s">
        <v>1247</v>
      </c>
      <c r="G8069" s="225" t="s">
        <v>1245</v>
      </c>
      <c r="H8069" s="226"/>
      <c r="I8069" s="226" t="s">
        <v>1253</v>
      </c>
      <c r="J8069" s="222" t="s">
        <v>77</v>
      </c>
      <c r="K8069" s="227">
        <f>M8069</f>
        <v>51690.661946751527</v>
      </c>
      <c r="L8069" s="227"/>
      <c r="M8069" s="130">
        <v>51690.661946751527</v>
      </c>
    </row>
    <row r="8070" spans="1:14" ht="11.25" customHeight="1" x14ac:dyDescent="0.2">
      <c r="A8070" s="228">
        <v>2025</v>
      </c>
      <c r="B8070" s="228">
        <v>4</v>
      </c>
      <c r="C8070" s="228">
        <v>24</v>
      </c>
      <c r="D8070" s="229">
        <f t="shared" si="930"/>
        <v>45771</v>
      </c>
      <c r="E8070" s="241">
        <f t="shared" si="932"/>
        <v>45771</v>
      </c>
      <c r="F8070" s="512"/>
      <c r="G8070" s="231" t="s">
        <v>1245</v>
      </c>
      <c r="H8070" s="232"/>
      <c r="I8070" s="232" t="s">
        <v>1253</v>
      </c>
      <c r="J8070" s="228" t="s">
        <v>41</v>
      </c>
      <c r="K8070" s="233"/>
      <c r="L8070" s="233">
        <f>K8069</f>
        <v>51690.661946751527</v>
      </c>
      <c r="M8070" s="130">
        <v>5169.0661946751516</v>
      </c>
    </row>
    <row r="8071" spans="1:14" ht="11.25" customHeight="1" x14ac:dyDescent="0.2">
      <c r="A8071" s="222">
        <v>2025</v>
      </c>
      <c r="B8071" s="222">
        <v>4</v>
      </c>
      <c r="C8071" s="222">
        <v>24</v>
      </c>
      <c r="D8071" s="223">
        <f t="shared" si="930"/>
        <v>45771</v>
      </c>
      <c r="E8071" s="240">
        <f t="shared" si="932"/>
        <v>45771</v>
      </c>
      <c r="F8071" s="511" t="s">
        <v>1248</v>
      </c>
      <c r="G8071" s="225" t="s">
        <v>1245</v>
      </c>
      <c r="H8071" s="226"/>
      <c r="I8071" s="226" t="s">
        <v>1253</v>
      </c>
      <c r="J8071" s="222" t="s">
        <v>80</v>
      </c>
      <c r="K8071" s="227">
        <f>M8070</f>
        <v>5169.0661946751516</v>
      </c>
      <c r="L8071" s="227"/>
    </row>
    <row r="8072" spans="1:14" ht="11.25" customHeight="1" x14ac:dyDescent="0.2">
      <c r="A8072" s="228">
        <v>2025</v>
      </c>
      <c r="B8072" s="228">
        <v>4</v>
      </c>
      <c r="C8072" s="228">
        <v>24</v>
      </c>
      <c r="D8072" s="229">
        <f t="shared" si="930"/>
        <v>45771</v>
      </c>
      <c r="E8072" s="241">
        <f t="shared" si="932"/>
        <v>45771</v>
      </c>
      <c r="F8072" s="512"/>
      <c r="G8072" s="231" t="s">
        <v>1245</v>
      </c>
      <c r="H8072" s="232"/>
      <c r="I8072" s="232" t="s">
        <v>1253</v>
      </c>
      <c r="J8072" s="228" t="s">
        <v>42</v>
      </c>
      <c r="K8072" s="233"/>
      <c r="L8072" s="233">
        <f>K8071</f>
        <v>5169.0661946751516</v>
      </c>
    </row>
    <row r="8073" spans="1:14" ht="11.25" customHeight="1" x14ac:dyDescent="0.2">
      <c r="A8073" s="197">
        <v>2025</v>
      </c>
      <c r="B8073" s="197">
        <v>4</v>
      </c>
      <c r="C8073" s="197">
        <v>26</v>
      </c>
      <c r="D8073" s="198">
        <f t="shared" si="930"/>
        <v>45773</v>
      </c>
      <c r="E8073" s="209">
        <f t="shared" si="932"/>
        <v>45773</v>
      </c>
      <c r="F8073" s="513" t="s">
        <v>1296</v>
      </c>
      <c r="G8073" s="200" t="s">
        <v>1209</v>
      </c>
      <c r="H8073" s="201"/>
      <c r="I8073" s="201"/>
      <c r="J8073" s="197" t="s">
        <v>46</v>
      </c>
      <c r="K8073" s="202">
        <v>11000</v>
      </c>
      <c r="L8073" s="202"/>
    </row>
    <row r="8074" spans="1:14" ht="11.25" customHeight="1" x14ac:dyDescent="0.2">
      <c r="A8074" s="120">
        <v>2025</v>
      </c>
      <c r="B8074" s="120">
        <v>4</v>
      </c>
      <c r="C8074" s="120">
        <v>26</v>
      </c>
      <c r="D8074" s="208">
        <f t="shared" si="930"/>
        <v>45773</v>
      </c>
      <c r="E8074" s="209">
        <f t="shared" si="932"/>
        <v>45773</v>
      </c>
      <c r="F8074" s="515"/>
      <c r="G8074" s="132" t="s">
        <v>1209</v>
      </c>
      <c r="J8074" s="120" t="s">
        <v>16</v>
      </c>
      <c r="K8074" s="207"/>
      <c r="L8074" s="207">
        <v>8920</v>
      </c>
    </row>
    <row r="8075" spans="1:14" ht="11.25" customHeight="1" x14ac:dyDescent="0.2">
      <c r="A8075" s="191">
        <v>2025</v>
      </c>
      <c r="B8075" s="191">
        <v>4</v>
      </c>
      <c r="C8075" s="191">
        <v>26</v>
      </c>
      <c r="D8075" s="192">
        <f t="shared" si="930"/>
        <v>45773</v>
      </c>
      <c r="E8075" s="193">
        <f t="shared" si="932"/>
        <v>45773</v>
      </c>
      <c r="F8075" s="514"/>
      <c r="G8075" s="194" t="s">
        <v>1209</v>
      </c>
      <c r="H8075" s="195"/>
      <c r="I8075" s="195"/>
      <c r="J8075" s="191" t="s">
        <v>47</v>
      </c>
      <c r="K8075" s="196"/>
      <c r="L8075" s="196">
        <v>2080</v>
      </c>
    </row>
    <row r="8076" spans="1:14" ht="11.25" customHeight="1" x14ac:dyDescent="0.2">
      <c r="A8076" s="197">
        <v>2025</v>
      </c>
      <c r="B8076" s="197">
        <v>4</v>
      </c>
      <c r="C8076" s="197">
        <v>27</v>
      </c>
      <c r="D8076" s="198">
        <f t="shared" si="930"/>
        <v>45774</v>
      </c>
      <c r="E8076" s="209">
        <f t="shared" ref="E8076:E8078" si="933">DATE(A8076,B8076,C8076)</f>
        <v>45774</v>
      </c>
      <c r="F8076" s="513" t="s">
        <v>1296</v>
      </c>
      <c r="G8076" s="200" t="s">
        <v>1209</v>
      </c>
      <c r="H8076" s="201"/>
      <c r="I8076" s="201"/>
      <c r="J8076" s="197" t="s">
        <v>46</v>
      </c>
      <c r="K8076" s="202">
        <v>334140</v>
      </c>
      <c r="L8076" s="202"/>
    </row>
    <row r="8077" spans="1:14" ht="11.25" customHeight="1" x14ac:dyDescent="0.2">
      <c r="A8077" s="120">
        <v>2025</v>
      </c>
      <c r="B8077" s="120">
        <v>4</v>
      </c>
      <c r="C8077" s="120">
        <v>27</v>
      </c>
      <c r="D8077" s="208">
        <f t="shared" si="930"/>
        <v>45774</v>
      </c>
      <c r="E8077" s="209">
        <f t="shared" si="933"/>
        <v>45774</v>
      </c>
      <c r="F8077" s="515"/>
      <c r="G8077" s="132" t="s">
        <v>1209</v>
      </c>
      <c r="J8077" s="120" t="s">
        <v>16</v>
      </c>
      <c r="K8077" s="207"/>
      <c r="L8077" s="207">
        <v>270860</v>
      </c>
    </row>
    <row r="8078" spans="1:14" ht="11.25" customHeight="1" x14ac:dyDescent="0.2">
      <c r="A8078" s="191">
        <v>2025</v>
      </c>
      <c r="B8078" s="191">
        <v>4</v>
      </c>
      <c r="C8078" s="191">
        <v>27</v>
      </c>
      <c r="D8078" s="192">
        <f t="shared" si="930"/>
        <v>45774</v>
      </c>
      <c r="E8078" s="193">
        <f t="shared" si="933"/>
        <v>45774</v>
      </c>
      <c r="F8078" s="514"/>
      <c r="G8078" s="194" t="s">
        <v>1209</v>
      </c>
      <c r="H8078" s="195"/>
      <c r="I8078" s="195"/>
      <c r="J8078" s="191" t="s">
        <v>47</v>
      </c>
      <c r="K8078" s="196"/>
      <c r="L8078" s="196">
        <v>63280</v>
      </c>
    </row>
    <row r="8079" spans="1:14" ht="11.25" customHeight="1" x14ac:dyDescent="0.2">
      <c r="A8079" s="197">
        <v>2025</v>
      </c>
      <c r="B8079" s="197">
        <v>4</v>
      </c>
      <c r="C8079" s="197">
        <v>27</v>
      </c>
      <c r="D8079" s="198">
        <f t="shared" si="930"/>
        <v>45774</v>
      </c>
      <c r="E8079" s="209">
        <f t="shared" si="932"/>
        <v>45774</v>
      </c>
      <c r="F8079" s="513" t="s">
        <v>1280</v>
      </c>
      <c r="G8079" s="200" t="s">
        <v>1209</v>
      </c>
      <c r="H8079" s="201"/>
      <c r="I8079" s="201" t="s">
        <v>426</v>
      </c>
      <c r="J8079" s="197" t="s">
        <v>16</v>
      </c>
      <c r="K8079" s="202">
        <v>227140</v>
      </c>
      <c r="L8079" s="202"/>
      <c r="M8079" s="130"/>
      <c r="N8079" s="130"/>
    </row>
    <row r="8080" spans="1:14" ht="11.25" customHeight="1" x14ac:dyDescent="0.2">
      <c r="A8080" s="120">
        <v>2025</v>
      </c>
      <c r="B8080" s="120">
        <v>4</v>
      </c>
      <c r="C8080" s="120">
        <v>27</v>
      </c>
      <c r="D8080" s="208">
        <f t="shared" si="930"/>
        <v>45774</v>
      </c>
      <c r="E8080" s="209">
        <f t="shared" si="932"/>
        <v>45774</v>
      </c>
      <c r="F8080" s="515"/>
      <c r="G8080" s="132" t="s">
        <v>1209</v>
      </c>
      <c r="I8080" s="128" t="s">
        <v>426</v>
      </c>
      <c r="J8080" s="120" t="s">
        <v>47</v>
      </c>
      <c r="K8080" s="207">
        <v>54236.039999999979</v>
      </c>
      <c r="L8080" s="207"/>
      <c r="M8080" s="130"/>
      <c r="N8080" s="130"/>
    </row>
    <row r="8081" spans="1:15" ht="11.25" customHeight="1" x14ac:dyDescent="0.2">
      <c r="A8081" s="191">
        <v>2025</v>
      </c>
      <c r="B8081" s="191">
        <v>4</v>
      </c>
      <c r="C8081" s="191">
        <v>27</v>
      </c>
      <c r="D8081" s="192">
        <f t="shared" si="930"/>
        <v>45774</v>
      </c>
      <c r="E8081" s="193">
        <f t="shared" si="932"/>
        <v>45774</v>
      </c>
      <c r="F8081" s="514"/>
      <c r="G8081" s="194" t="s">
        <v>1209</v>
      </c>
      <c r="H8081" s="195"/>
      <c r="I8081" s="195" t="s">
        <v>426</v>
      </c>
      <c r="J8081" s="191" t="s">
        <v>46</v>
      </c>
      <c r="K8081" s="196"/>
      <c r="L8081" s="196">
        <v>281376.03999999998</v>
      </c>
      <c r="M8081" s="130"/>
      <c r="N8081" s="130"/>
    </row>
    <row r="8082" spans="1:15" ht="11.25" customHeight="1" x14ac:dyDescent="0.2">
      <c r="A8082" s="197">
        <v>2025</v>
      </c>
      <c r="B8082" s="197">
        <v>4</v>
      </c>
      <c r="C8082" s="197">
        <v>27</v>
      </c>
      <c r="D8082" s="198">
        <f t="shared" si="930"/>
        <v>45774</v>
      </c>
      <c r="E8082" s="209">
        <f t="shared" ref="E8082:E8084" si="934">DATE(A8082,B8082,C8082)</f>
        <v>45774</v>
      </c>
      <c r="F8082" s="513" t="s">
        <v>1280</v>
      </c>
      <c r="G8082" s="200" t="s">
        <v>1209</v>
      </c>
      <c r="H8082" s="201"/>
      <c r="I8082" s="201" t="s">
        <v>384</v>
      </c>
      <c r="J8082" s="197" t="s">
        <v>16</v>
      </c>
      <c r="K8082" s="202">
        <v>818330</v>
      </c>
      <c r="L8082" s="202"/>
      <c r="M8082" s="130"/>
      <c r="N8082" s="130"/>
    </row>
    <row r="8083" spans="1:15" ht="11.25" customHeight="1" x14ac:dyDescent="0.2">
      <c r="A8083" s="120">
        <v>2025</v>
      </c>
      <c r="B8083" s="120">
        <v>4</v>
      </c>
      <c r="C8083" s="120">
        <v>27</v>
      </c>
      <c r="D8083" s="208">
        <f t="shared" si="930"/>
        <v>45774</v>
      </c>
      <c r="E8083" s="209">
        <f t="shared" si="934"/>
        <v>45774</v>
      </c>
      <c r="F8083" s="515"/>
      <c r="G8083" s="132" t="s">
        <v>1209</v>
      </c>
      <c r="I8083" s="128" t="s">
        <v>384</v>
      </c>
      <c r="J8083" s="120" t="s">
        <v>47</v>
      </c>
      <c r="K8083" s="207">
        <v>181670</v>
      </c>
      <c r="L8083" s="207"/>
      <c r="M8083" s="130"/>
      <c r="N8083" s="130"/>
    </row>
    <row r="8084" spans="1:15" ht="11.25" customHeight="1" x14ac:dyDescent="0.2">
      <c r="A8084" s="191">
        <v>2025</v>
      </c>
      <c r="B8084" s="191">
        <v>4</v>
      </c>
      <c r="C8084" s="191">
        <v>27</v>
      </c>
      <c r="D8084" s="192">
        <f t="shared" si="930"/>
        <v>45774</v>
      </c>
      <c r="E8084" s="193">
        <f t="shared" si="934"/>
        <v>45774</v>
      </c>
      <c r="F8084" s="514"/>
      <c r="G8084" s="194" t="s">
        <v>1209</v>
      </c>
      <c r="H8084" s="195"/>
      <c r="I8084" s="195" t="s">
        <v>384</v>
      </c>
      <c r="J8084" s="191" t="s">
        <v>46</v>
      </c>
      <c r="K8084" s="196"/>
      <c r="L8084" s="196">
        <v>1000000</v>
      </c>
      <c r="M8084" s="130"/>
      <c r="N8084" s="130"/>
    </row>
    <row r="8085" spans="1:15" ht="11.25" customHeight="1" x14ac:dyDescent="0.2">
      <c r="A8085" s="197">
        <v>2025</v>
      </c>
      <c r="B8085" s="197">
        <v>4</v>
      </c>
      <c r="C8085" s="197">
        <v>27</v>
      </c>
      <c r="D8085" s="198">
        <f t="shared" si="930"/>
        <v>45774</v>
      </c>
      <c r="E8085" s="290">
        <f>DATE(A8085,B8085,C8085)</f>
        <v>45774</v>
      </c>
      <c r="F8085" s="513" t="s">
        <v>1514</v>
      </c>
      <c r="G8085" s="200" t="s">
        <v>1209</v>
      </c>
      <c r="H8085" s="201"/>
      <c r="I8085" s="201"/>
      <c r="J8085" s="197" t="s">
        <v>54</v>
      </c>
      <c r="K8085" s="202">
        <v>100</v>
      </c>
      <c r="L8085" s="202"/>
      <c r="M8085" s="251"/>
      <c r="N8085" s="251"/>
      <c r="O8085" s="251"/>
    </row>
    <row r="8086" spans="1:15" ht="11.25" customHeight="1" x14ac:dyDescent="0.2">
      <c r="A8086" s="191">
        <v>2025</v>
      </c>
      <c r="B8086" s="191">
        <v>4</v>
      </c>
      <c r="C8086" s="191">
        <v>27</v>
      </c>
      <c r="D8086" s="192">
        <f t="shared" si="930"/>
        <v>45774</v>
      </c>
      <c r="E8086" s="291">
        <f>DATE(A8086,B8086,C8086)</f>
        <v>45774</v>
      </c>
      <c r="F8086" s="514"/>
      <c r="G8086" s="194" t="s">
        <v>1209</v>
      </c>
      <c r="H8086" s="195"/>
      <c r="I8086" s="195"/>
      <c r="J8086" s="191" t="s">
        <v>46</v>
      </c>
      <c r="K8086" s="196"/>
      <c r="L8086" s="196">
        <v>100</v>
      </c>
      <c r="M8086" s="251"/>
      <c r="N8086" s="251"/>
      <c r="O8086" s="251"/>
    </row>
    <row r="8087" spans="1:15" ht="11.25" customHeight="1" x14ac:dyDescent="0.2">
      <c r="A8087" s="197">
        <v>2025</v>
      </c>
      <c r="B8087" s="197">
        <v>4</v>
      </c>
      <c r="C8087" s="197">
        <v>28</v>
      </c>
      <c r="D8087" s="198">
        <f t="shared" si="930"/>
        <v>45775</v>
      </c>
      <c r="E8087" s="290">
        <f t="shared" ref="E8087:E8092" si="935">DATE(A8087,B8087,C8087)</f>
        <v>45775</v>
      </c>
      <c r="F8087" s="513" t="s">
        <v>2019</v>
      </c>
      <c r="G8087" s="200" t="s">
        <v>1209</v>
      </c>
      <c r="H8087" s="201"/>
      <c r="I8087" s="201" t="s">
        <v>1253</v>
      </c>
      <c r="J8087" s="197" t="s">
        <v>42</v>
      </c>
      <c r="K8087" s="202">
        <v>167205.81</v>
      </c>
      <c r="L8087" s="202"/>
    </row>
    <row r="8088" spans="1:15" ht="11.25" customHeight="1" x14ac:dyDescent="0.2">
      <c r="A8088" s="120">
        <v>2025</v>
      </c>
      <c r="B8088" s="120">
        <v>4</v>
      </c>
      <c r="C8088" s="120">
        <v>28</v>
      </c>
      <c r="D8088" s="208">
        <f t="shared" si="930"/>
        <v>45775</v>
      </c>
      <c r="E8088" s="293">
        <f t="shared" si="935"/>
        <v>45775</v>
      </c>
      <c r="F8088" s="515"/>
      <c r="G8088" s="132" t="s">
        <v>1209</v>
      </c>
      <c r="J8088" s="120" t="s">
        <v>457</v>
      </c>
      <c r="K8088" s="120"/>
      <c r="L8088" s="207">
        <v>16720.580000000002</v>
      </c>
    </row>
    <row r="8089" spans="1:15" ht="11.25" customHeight="1" x14ac:dyDescent="0.2">
      <c r="A8089" s="191">
        <v>2025</v>
      </c>
      <c r="B8089" s="191">
        <v>4</v>
      </c>
      <c r="C8089" s="191">
        <v>28</v>
      </c>
      <c r="D8089" s="192">
        <f t="shared" si="930"/>
        <v>45775</v>
      </c>
      <c r="E8089" s="291">
        <f t="shared" si="935"/>
        <v>45775</v>
      </c>
      <c r="F8089" s="514"/>
      <c r="G8089" s="194" t="s">
        <v>1209</v>
      </c>
      <c r="H8089" s="195"/>
      <c r="I8089" s="195" t="s">
        <v>1253</v>
      </c>
      <c r="J8089" s="191" t="s">
        <v>46</v>
      </c>
      <c r="K8089" s="196"/>
      <c r="L8089" s="196">
        <v>150485.23000000001</v>
      </c>
    </row>
    <row r="8090" spans="1:15" ht="11.25" customHeight="1" x14ac:dyDescent="0.2">
      <c r="A8090" s="197">
        <v>2025</v>
      </c>
      <c r="B8090" s="197">
        <v>4</v>
      </c>
      <c r="C8090" s="197">
        <v>28</v>
      </c>
      <c r="D8090" s="198">
        <f t="shared" si="930"/>
        <v>45775</v>
      </c>
      <c r="E8090" s="209">
        <f t="shared" si="935"/>
        <v>45775</v>
      </c>
      <c r="F8090" s="513" t="s">
        <v>1210</v>
      </c>
      <c r="G8090" s="200" t="s">
        <v>1209</v>
      </c>
      <c r="H8090" s="201"/>
      <c r="I8090" s="201" t="s">
        <v>1235</v>
      </c>
      <c r="J8090" s="197" t="s">
        <v>46</v>
      </c>
      <c r="K8090" s="202">
        <v>300000</v>
      </c>
      <c r="L8090" s="202"/>
    </row>
    <row r="8091" spans="1:15" ht="11.25" customHeight="1" x14ac:dyDescent="0.2">
      <c r="A8091" s="120">
        <v>2025</v>
      </c>
      <c r="B8091" s="120">
        <v>4</v>
      </c>
      <c r="C8091" s="120">
        <v>28</v>
      </c>
      <c r="D8091" s="208">
        <f t="shared" si="930"/>
        <v>45775</v>
      </c>
      <c r="E8091" s="209">
        <f t="shared" si="935"/>
        <v>45775</v>
      </c>
      <c r="F8091" s="515"/>
      <c r="G8091" s="132" t="s">
        <v>1209</v>
      </c>
      <c r="I8091" s="128" t="s">
        <v>1235</v>
      </c>
      <c r="J8091" s="120" t="s">
        <v>16</v>
      </c>
      <c r="K8091" s="207"/>
      <c r="L8091" s="207">
        <v>243210</v>
      </c>
    </row>
    <row r="8092" spans="1:15" ht="11.25" customHeight="1" x14ac:dyDescent="0.2">
      <c r="A8092" s="191">
        <v>2025</v>
      </c>
      <c r="B8092" s="191">
        <v>4</v>
      </c>
      <c r="C8092" s="191">
        <v>28</v>
      </c>
      <c r="D8092" s="192">
        <f t="shared" si="930"/>
        <v>45775</v>
      </c>
      <c r="E8092" s="193">
        <f t="shared" si="935"/>
        <v>45775</v>
      </c>
      <c r="F8092" s="514"/>
      <c r="G8092" s="194" t="s">
        <v>1209</v>
      </c>
      <c r="H8092" s="195"/>
      <c r="I8092" s="195" t="s">
        <v>1235</v>
      </c>
      <c r="J8092" s="191" t="s">
        <v>47</v>
      </c>
      <c r="K8092" s="196"/>
      <c r="L8092" s="196">
        <v>56790</v>
      </c>
    </row>
    <row r="8093" spans="1:15" ht="11.25" customHeight="1" x14ac:dyDescent="0.2">
      <c r="A8093" s="197">
        <v>2025</v>
      </c>
      <c r="B8093" s="197">
        <v>4</v>
      </c>
      <c r="C8093" s="197">
        <v>28</v>
      </c>
      <c r="D8093" s="198">
        <f t="shared" si="930"/>
        <v>45775</v>
      </c>
      <c r="E8093" s="209">
        <f t="shared" ref="E8093:E8095" si="936">DATE(A8093,B8093,C8093)</f>
        <v>45775</v>
      </c>
      <c r="F8093" s="513" t="s">
        <v>1210</v>
      </c>
      <c r="G8093" s="200" t="s">
        <v>1209</v>
      </c>
      <c r="H8093" s="201"/>
      <c r="I8093" s="201" t="s">
        <v>1235</v>
      </c>
      <c r="J8093" s="197" t="s">
        <v>46</v>
      </c>
      <c r="K8093" s="202">
        <v>160000</v>
      </c>
      <c r="L8093" s="202"/>
    </row>
    <row r="8094" spans="1:15" ht="11.25" customHeight="1" x14ac:dyDescent="0.2">
      <c r="A8094" s="120">
        <v>2025</v>
      </c>
      <c r="B8094" s="120">
        <v>4</v>
      </c>
      <c r="C8094" s="120">
        <v>28</v>
      </c>
      <c r="D8094" s="208">
        <f t="shared" si="930"/>
        <v>45775</v>
      </c>
      <c r="E8094" s="209">
        <f t="shared" si="936"/>
        <v>45775</v>
      </c>
      <c r="F8094" s="515"/>
      <c r="G8094" s="132" t="s">
        <v>1209</v>
      </c>
      <c r="I8094" s="128" t="s">
        <v>1235</v>
      </c>
      <c r="J8094" s="120" t="s">
        <v>16</v>
      </c>
      <c r="K8094" s="207"/>
      <c r="L8094" s="207">
        <v>129710</v>
      </c>
    </row>
    <row r="8095" spans="1:15" ht="11.25" customHeight="1" x14ac:dyDescent="0.2">
      <c r="A8095" s="191">
        <v>2025</v>
      </c>
      <c r="B8095" s="191">
        <v>4</v>
      </c>
      <c r="C8095" s="191">
        <v>28</v>
      </c>
      <c r="D8095" s="192">
        <f t="shared" si="930"/>
        <v>45775</v>
      </c>
      <c r="E8095" s="193">
        <f t="shared" si="936"/>
        <v>45775</v>
      </c>
      <c r="F8095" s="514"/>
      <c r="G8095" s="194" t="s">
        <v>1209</v>
      </c>
      <c r="H8095" s="195"/>
      <c r="I8095" s="195" t="s">
        <v>1235</v>
      </c>
      <c r="J8095" s="191" t="s">
        <v>47</v>
      </c>
      <c r="K8095" s="196"/>
      <c r="L8095" s="196">
        <v>30290</v>
      </c>
    </row>
    <row r="8096" spans="1:15" ht="11.25" customHeight="1" x14ac:dyDescent="0.2">
      <c r="A8096" s="197">
        <v>2025</v>
      </c>
      <c r="B8096" s="197">
        <v>4</v>
      </c>
      <c r="C8096" s="197">
        <v>28</v>
      </c>
      <c r="D8096" s="198">
        <f t="shared" si="930"/>
        <v>45775</v>
      </c>
      <c r="E8096" s="209">
        <f t="shared" ref="E8096:E8101" si="937">DATE(A8096,B8096,C8096)</f>
        <v>45775</v>
      </c>
      <c r="F8096" s="513" t="s">
        <v>1210</v>
      </c>
      <c r="G8096" s="200" t="s">
        <v>1209</v>
      </c>
      <c r="H8096" s="201"/>
      <c r="I8096" s="201" t="s">
        <v>558</v>
      </c>
      <c r="J8096" s="197" t="s">
        <v>46</v>
      </c>
      <c r="K8096" s="202">
        <v>500000</v>
      </c>
      <c r="L8096" s="202"/>
    </row>
    <row r="8097" spans="1:14" ht="11.25" customHeight="1" x14ac:dyDescent="0.2">
      <c r="A8097" s="120">
        <v>2025</v>
      </c>
      <c r="B8097" s="120">
        <v>4</v>
      </c>
      <c r="C8097" s="120">
        <v>28</v>
      </c>
      <c r="D8097" s="208">
        <f t="shared" si="930"/>
        <v>45775</v>
      </c>
      <c r="E8097" s="209">
        <f t="shared" si="937"/>
        <v>45775</v>
      </c>
      <c r="F8097" s="515"/>
      <c r="G8097" s="132" t="s">
        <v>1209</v>
      </c>
      <c r="I8097" s="128" t="s">
        <v>558</v>
      </c>
      <c r="J8097" s="120" t="s">
        <v>16</v>
      </c>
      <c r="K8097" s="207"/>
      <c r="L8097" s="207">
        <v>405350</v>
      </c>
    </row>
    <row r="8098" spans="1:14" ht="11.25" customHeight="1" x14ac:dyDescent="0.2">
      <c r="A8098" s="191">
        <v>2025</v>
      </c>
      <c r="B8098" s="191">
        <v>4</v>
      </c>
      <c r="C8098" s="191">
        <v>28</v>
      </c>
      <c r="D8098" s="192">
        <f t="shared" si="930"/>
        <v>45775</v>
      </c>
      <c r="E8098" s="193">
        <f t="shared" si="937"/>
        <v>45775</v>
      </c>
      <c r="F8098" s="514"/>
      <c r="G8098" s="194" t="s">
        <v>1209</v>
      </c>
      <c r="H8098" s="195"/>
      <c r="I8098" s="195" t="s">
        <v>558</v>
      </c>
      <c r="J8098" s="191" t="s">
        <v>47</v>
      </c>
      <c r="K8098" s="196"/>
      <c r="L8098" s="196">
        <v>94650</v>
      </c>
    </row>
    <row r="8099" spans="1:14" ht="11.25" customHeight="1" x14ac:dyDescent="0.2">
      <c r="A8099" s="197">
        <v>2025</v>
      </c>
      <c r="B8099" s="197">
        <v>4</v>
      </c>
      <c r="C8099" s="197">
        <v>29</v>
      </c>
      <c r="D8099" s="198">
        <f t="shared" si="930"/>
        <v>45776</v>
      </c>
      <c r="E8099" s="209">
        <f t="shared" si="937"/>
        <v>45776</v>
      </c>
      <c r="F8099" s="513" t="s">
        <v>2025</v>
      </c>
      <c r="G8099" s="200" t="s">
        <v>1209</v>
      </c>
      <c r="H8099" s="201"/>
      <c r="I8099" s="201" t="s">
        <v>1704</v>
      </c>
      <c r="J8099" s="197" t="s">
        <v>16</v>
      </c>
      <c r="K8099" s="202">
        <v>8110</v>
      </c>
      <c r="L8099" s="202"/>
      <c r="M8099" s="130"/>
      <c r="N8099" s="130"/>
    </row>
    <row r="8100" spans="1:14" ht="11.25" customHeight="1" x14ac:dyDescent="0.2">
      <c r="A8100" s="120">
        <v>2025</v>
      </c>
      <c r="B8100" s="120">
        <v>4</v>
      </c>
      <c r="C8100" s="120">
        <v>29</v>
      </c>
      <c r="D8100" s="208">
        <f t="shared" si="930"/>
        <v>45776</v>
      </c>
      <c r="E8100" s="209">
        <f t="shared" si="937"/>
        <v>45776</v>
      </c>
      <c r="F8100" s="515"/>
      <c r="G8100" s="132" t="s">
        <v>1209</v>
      </c>
      <c r="I8100" s="128" t="s">
        <v>1704</v>
      </c>
      <c r="J8100" s="120" t="s">
        <v>47</v>
      </c>
      <c r="K8100" s="207">
        <v>1890</v>
      </c>
      <c r="L8100" s="207"/>
      <c r="M8100" s="130"/>
      <c r="N8100" s="130"/>
    </row>
    <row r="8101" spans="1:14" ht="11.25" customHeight="1" x14ac:dyDescent="0.2">
      <c r="A8101" s="191">
        <v>2025</v>
      </c>
      <c r="B8101" s="191">
        <v>4</v>
      </c>
      <c r="C8101" s="191">
        <v>29</v>
      </c>
      <c r="D8101" s="192">
        <f t="shared" si="930"/>
        <v>45776</v>
      </c>
      <c r="E8101" s="193">
        <f t="shared" si="937"/>
        <v>45776</v>
      </c>
      <c r="F8101" s="514"/>
      <c r="G8101" s="194" t="s">
        <v>1209</v>
      </c>
      <c r="H8101" s="195"/>
      <c r="I8101" s="195" t="s">
        <v>1704</v>
      </c>
      <c r="J8101" s="191" t="s">
        <v>46</v>
      </c>
      <c r="K8101" s="196"/>
      <c r="L8101" s="196">
        <v>10000</v>
      </c>
      <c r="M8101" s="130"/>
      <c r="N8101" s="130"/>
    </row>
    <row r="8102" spans="1:14" ht="11.25" customHeight="1" x14ac:dyDescent="0.2">
      <c r="A8102" s="197">
        <v>2025</v>
      </c>
      <c r="B8102" s="197">
        <v>4</v>
      </c>
      <c r="C8102" s="197">
        <v>29</v>
      </c>
      <c r="D8102" s="198">
        <f t="shared" si="930"/>
        <v>45776</v>
      </c>
      <c r="E8102" s="209">
        <f t="shared" ref="E8102:E8104" si="938">DATE(A8102,B8102,C8102)</f>
        <v>45776</v>
      </c>
      <c r="F8102" s="513" t="s">
        <v>1296</v>
      </c>
      <c r="G8102" s="200" t="s">
        <v>1209</v>
      </c>
      <c r="H8102" s="201"/>
      <c r="I8102" s="201"/>
      <c r="J8102" s="197" t="s">
        <v>46</v>
      </c>
      <c r="K8102" s="202">
        <v>2000</v>
      </c>
      <c r="L8102" s="202"/>
    </row>
    <row r="8103" spans="1:14" ht="11.25" customHeight="1" x14ac:dyDescent="0.2">
      <c r="A8103" s="120">
        <v>2025</v>
      </c>
      <c r="B8103" s="120">
        <v>4</v>
      </c>
      <c r="C8103" s="120">
        <v>29</v>
      </c>
      <c r="D8103" s="208">
        <f t="shared" si="930"/>
        <v>45776</v>
      </c>
      <c r="E8103" s="209">
        <f t="shared" si="938"/>
        <v>45776</v>
      </c>
      <c r="F8103" s="515"/>
      <c r="G8103" s="132" t="s">
        <v>1209</v>
      </c>
      <c r="J8103" s="120" t="s">
        <v>16</v>
      </c>
      <c r="K8103" s="207"/>
      <c r="L8103" s="207">
        <v>1620</v>
      </c>
    </row>
    <row r="8104" spans="1:14" ht="11.25" customHeight="1" x14ac:dyDescent="0.2">
      <c r="A8104" s="191">
        <v>2025</v>
      </c>
      <c r="B8104" s="191">
        <v>4</v>
      </c>
      <c r="C8104" s="191">
        <v>29</v>
      </c>
      <c r="D8104" s="192">
        <f t="shared" si="930"/>
        <v>45776</v>
      </c>
      <c r="E8104" s="193">
        <f t="shared" si="938"/>
        <v>45776</v>
      </c>
      <c r="F8104" s="514"/>
      <c r="G8104" s="194" t="s">
        <v>1209</v>
      </c>
      <c r="H8104" s="195"/>
      <c r="I8104" s="195"/>
      <c r="J8104" s="191" t="s">
        <v>47</v>
      </c>
      <c r="K8104" s="196"/>
      <c r="L8104" s="196">
        <v>380</v>
      </c>
    </row>
    <row r="8105" spans="1:14" ht="11.25" customHeight="1" x14ac:dyDescent="0.2">
      <c r="A8105" s="197">
        <v>2025</v>
      </c>
      <c r="B8105" s="197">
        <v>4</v>
      </c>
      <c r="C8105" s="197">
        <v>30</v>
      </c>
      <c r="D8105" s="198">
        <f t="shared" si="930"/>
        <v>45777</v>
      </c>
      <c r="E8105" s="209">
        <f t="shared" ref="E8105:E8113" si="939">DATE(A8105,B8105,C8105)</f>
        <v>45777</v>
      </c>
      <c r="F8105" s="513" t="s">
        <v>1210</v>
      </c>
      <c r="G8105" s="200" t="s">
        <v>1209</v>
      </c>
      <c r="H8105" s="201"/>
      <c r="I8105" s="201"/>
      <c r="J8105" s="197" t="s">
        <v>46</v>
      </c>
      <c r="K8105" s="202">
        <v>50000</v>
      </c>
      <c r="L8105" s="202"/>
    </row>
    <row r="8106" spans="1:14" ht="11.25" customHeight="1" x14ac:dyDescent="0.2">
      <c r="A8106" s="120">
        <v>2025</v>
      </c>
      <c r="B8106" s="120">
        <v>4</v>
      </c>
      <c r="C8106" s="120">
        <v>30</v>
      </c>
      <c r="D8106" s="208">
        <f t="shared" si="930"/>
        <v>45777</v>
      </c>
      <c r="E8106" s="209">
        <f t="shared" si="939"/>
        <v>45777</v>
      </c>
      <c r="F8106" s="515"/>
      <c r="G8106" s="132" t="s">
        <v>1209</v>
      </c>
      <c r="J8106" s="120" t="s">
        <v>16</v>
      </c>
      <c r="K8106" s="207"/>
      <c r="L8106" s="207">
        <v>40540</v>
      </c>
    </row>
    <row r="8107" spans="1:14" ht="11.25" customHeight="1" x14ac:dyDescent="0.2">
      <c r="A8107" s="191">
        <v>2025</v>
      </c>
      <c r="B8107" s="191">
        <v>4</v>
      </c>
      <c r="C8107" s="191">
        <v>30</v>
      </c>
      <c r="D8107" s="192">
        <f t="shared" si="930"/>
        <v>45777</v>
      </c>
      <c r="E8107" s="193">
        <f t="shared" si="939"/>
        <v>45777</v>
      </c>
      <c r="F8107" s="514"/>
      <c r="G8107" s="194" t="s">
        <v>1209</v>
      </c>
      <c r="H8107" s="195"/>
      <c r="I8107" s="195"/>
      <c r="J8107" s="191" t="s">
        <v>47</v>
      </c>
      <c r="K8107" s="196"/>
      <c r="L8107" s="196">
        <v>9460</v>
      </c>
    </row>
    <row r="8108" spans="1:14" ht="11.25" customHeight="1" x14ac:dyDescent="0.2">
      <c r="A8108" s="197">
        <v>2025</v>
      </c>
      <c r="B8108" s="197">
        <v>4</v>
      </c>
      <c r="C8108" s="197">
        <v>30</v>
      </c>
      <c r="D8108" s="198">
        <f t="shared" ref="D8108:D8171" si="940">DATE(A8108,B8108,C8108)</f>
        <v>45777</v>
      </c>
      <c r="E8108" s="290">
        <f t="shared" si="939"/>
        <v>45777</v>
      </c>
      <c r="F8108" s="513" t="s">
        <v>2000</v>
      </c>
      <c r="G8108" s="200" t="s">
        <v>1209</v>
      </c>
      <c r="H8108" s="201"/>
      <c r="I8108" s="201" t="s">
        <v>1253</v>
      </c>
      <c r="J8108" s="197" t="s">
        <v>46</v>
      </c>
      <c r="K8108" s="202">
        <v>105601.68</v>
      </c>
      <c r="L8108" s="202"/>
    </row>
    <row r="8109" spans="1:14" ht="11.25" customHeight="1" x14ac:dyDescent="0.2">
      <c r="A8109" s="191">
        <v>2025</v>
      </c>
      <c r="B8109" s="191">
        <v>4</v>
      </c>
      <c r="C8109" s="191">
        <v>30</v>
      </c>
      <c r="D8109" s="192">
        <f t="shared" si="940"/>
        <v>45777</v>
      </c>
      <c r="E8109" s="291">
        <f t="shared" si="939"/>
        <v>45777</v>
      </c>
      <c r="F8109" s="513"/>
      <c r="G8109" s="194" t="s">
        <v>1209</v>
      </c>
      <c r="H8109" s="195"/>
      <c r="I8109" s="195" t="s">
        <v>1253</v>
      </c>
      <c r="J8109" s="191" t="s">
        <v>113</v>
      </c>
      <c r="K8109" s="196"/>
      <c r="L8109" s="196">
        <v>105601.68</v>
      </c>
    </row>
    <row r="8110" spans="1:14" ht="11.25" customHeight="1" x14ac:dyDescent="0.2">
      <c r="A8110" s="197">
        <v>2025</v>
      </c>
      <c r="B8110" s="197">
        <v>4</v>
      </c>
      <c r="C8110" s="197">
        <v>30</v>
      </c>
      <c r="D8110" s="198">
        <f t="shared" si="940"/>
        <v>45777</v>
      </c>
      <c r="E8110" s="290">
        <f t="shared" si="939"/>
        <v>45777</v>
      </c>
      <c r="F8110" s="513" t="s">
        <v>2001</v>
      </c>
      <c r="G8110" s="200" t="s">
        <v>1209</v>
      </c>
      <c r="H8110" s="201"/>
      <c r="I8110" s="201" t="s">
        <v>1253</v>
      </c>
      <c r="J8110" s="197" t="s">
        <v>46</v>
      </c>
      <c r="K8110" s="202">
        <v>92192.320000000007</v>
      </c>
      <c r="L8110" s="202"/>
    </row>
    <row r="8111" spans="1:14" ht="11.25" customHeight="1" x14ac:dyDescent="0.2">
      <c r="A8111" s="191">
        <v>2025</v>
      </c>
      <c r="B8111" s="191">
        <v>4</v>
      </c>
      <c r="C8111" s="191">
        <v>30</v>
      </c>
      <c r="D8111" s="192">
        <f t="shared" si="940"/>
        <v>45777</v>
      </c>
      <c r="E8111" s="291">
        <f t="shared" si="939"/>
        <v>45777</v>
      </c>
      <c r="F8111" s="513"/>
      <c r="G8111" s="194" t="s">
        <v>1209</v>
      </c>
      <c r="H8111" s="195"/>
      <c r="I8111" s="195" t="s">
        <v>1253</v>
      </c>
      <c r="J8111" s="191" t="s">
        <v>113</v>
      </c>
      <c r="K8111" s="196"/>
      <c r="L8111" s="196">
        <v>92192.320000000007</v>
      </c>
    </row>
    <row r="8112" spans="1:14" ht="11.25" customHeight="1" x14ac:dyDescent="0.2">
      <c r="A8112" s="197">
        <v>2025</v>
      </c>
      <c r="B8112" s="197">
        <v>4</v>
      </c>
      <c r="C8112" s="197">
        <v>30</v>
      </c>
      <c r="D8112" s="198">
        <f t="shared" si="940"/>
        <v>45777</v>
      </c>
      <c r="E8112" s="199">
        <f t="shared" si="939"/>
        <v>45777</v>
      </c>
      <c r="F8112" s="513" t="s">
        <v>2023</v>
      </c>
      <c r="G8112" s="200" t="s">
        <v>1209</v>
      </c>
      <c r="H8112" s="201"/>
      <c r="I8112" s="201" t="s">
        <v>1253</v>
      </c>
      <c r="J8112" s="197" t="s">
        <v>1837</v>
      </c>
      <c r="K8112" s="202">
        <v>19555478.300000001</v>
      </c>
      <c r="L8112" s="202"/>
    </row>
    <row r="8113" spans="1:15" ht="11.25" customHeight="1" x14ac:dyDescent="0.2">
      <c r="A8113" s="191">
        <v>2025</v>
      </c>
      <c r="B8113" s="191">
        <v>4</v>
      </c>
      <c r="C8113" s="191">
        <v>30</v>
      </c>
      <c r="D8113" s="192">
        <f t="shared" si="940"/>
        <v>45777</v>
      </c>
      <c r="E8113" s="193">
        <f t="shared" si="939"/>
        <v>45777</v>
      </c>
      <c r="F8113" s="514"/>
      <c r="G8113" s="194" t="s">
        <v>1209</v>
      </c>
      <c r="H8113" s="195"/>
      <c r="I8113" s="195" t="s">
        <v>1253</v>
      </c>
      <c r="J8113" s="191" t="s">
        <v>46</v>
      </c>
      <c r="K8113" s="196"/>
      <c r="L8113" s="196">
        <v>19555478.300000001</v>
      </c>
      <c r="N8113" s="130"/>
    </row>
    <row r="8114" spans="1:15" ht="11.25" customHeight="1" x14ac:dyDescent="0.2">
      <c r="A8114" s="197">
        <v>2025</v>
      </c>
      <c r="B8114" s="197">
        <v>4</v>
      </c>
      <c r="C8114" s="197">
        <v>30</v>
      </c>
      <c r="D8114" s="198">
        <f t="shared" si="940"/>
        <v>45777</v>
      </c>
      <c r="E8114" s="199">
        <f t="shared" ref="E8114:E8115" si="941">DATE(A8114,B8114,C8114)</f>
        <v>45777</v>
      </c>
      <c r="F8114" s="513" t="s">
        <v>2024</v>
      </c>
      <c r="G8114" s="200" t="s">
        <v>1209</v>
      </c>
      <c r="H8114" s="201"/>
      <c r="I8114" s="201" t="s">
        <v>1253</v>
      </c>
      <c r="J8114" s="197" t="s">
        <v>1837</v>
      </c>
      <c r="K8114" s="202">
        <v>25090791.300000001</v>
      </c>
      <c r="L8114" s="202"/>
    </row>
    <row r="8115" spans="1:15" ht="11.25" customHeight="1" x14ac:dyDescent="0.2">
      <c r="A8115" s="191">
        <v>2025</v>
      </c>
      <c r="B8115" s="191">
        <v>4</v>
      </c>
      <c r="C8115" s="191">
        <v>30</v>
      </c>
      <c r="D8115" s="192">
        <f t="shared" si="940"/>
        <v>45777</v>
      </c>
      <c r="E8115" s="193">
        <f t="shared" si="941"/>
        <v>45777</v>
      </c>
      <c r="F8115" s="514"/>
      <c r="G8115" s="194" t="s">
        <v>1209</v>
      </c>
      <c r="H8115" s="195"/>
      <c r="I8115" s="195" t="s">
        <v>1253</v>
      </c>
      <c r="J8115" s="191" t="s">
        <v>46</v>
      </c>
      <c r="K8115" s="196"/>
      <c r="L8115" s="196">
        <v>25090791.300000001</v>
      </c>
      <c r="N8115" s="130"/>
    </row>
    <row r="8116" spans="1:15" ht="11.25" customHeight="1" x14ac:dyDescent="0.2">
      <c r="A8116" s="197">
        <v>2025</v>
      </c>
      <c r="B8116" s="197">
        <v>4</v>
      </c>
      <c r="C8116" s="197">
        <v>30</v>
      </c>
      <c r="D8116" s="198">
        <f t="shared" si="940"/>
        <v>45777</v>
      </c>
      <c r="E8116" s="290">
        <f>DATE(A8116,B8116,C8116)</f>
        <v>45777</v>
      </c>
      <c r="F8116" s="513" t="s">
        <v>1514</v>
      </c>
      <c r="G8116" s="200" t="s">
        <v>1209</v>
      </c>
      <c r="H8116" s="201"/>
      <c r="I8116" s="201"/>
      <c r="J8116" s="197" t="s">
        <v>54</v>
      </c>
      <c r="K8116" s="202">
        <v>100</v>
      </c>
      <c r="L8116" s="202"/>
      <c r="M8116" s="251"/>
      <c r="N8116" s="251"/>
      <c r="O8116" s="251"/>
    </row>
    <row r="8117" spans="1:15" ht="11.25" customHeight="1" x14ac:dyDescent="0.2">
      <c r="A8117" s="191">
        <v>2025</v>
      </c>
      <c r="B8117" s="191">
        <v>4</v>
      </c>
      <c r="C8117" s="191">
        <v>30</v>
      </c>
      <c r="D8117" s="192">
        <f t="shared" si="940"/>
        <v>45777</v>
      </c>
      <c r="E8117" s="291">
        <f>DATE(A8117,B8117,C8117)</f>
        <v>45777</v>
      </c>
      <c r="F8117" s="514"/>
      <c r="G8117" s="194" t="s">
        <v>1209</v>
      </c>
      <c r="H8117" s="195"/>
      <c r="I8117" s="195"/>
      <c r="J8117" s="191" t="s">
        <v>46</v>
      </c>
      <c r="K8117" s="196"/>
      <c r="L8117" s="196">
        <v>100</v>
      </c>
      <c r="M8117" s="251"/>
      <c r="N8117" s="251"/>
      <c r="O8117" s="251"/>
    </row>
    <row r="8118" spans="1:15" ht="11.25" customHeight="1" x14ac:dyDescent="0.2">
      <c r="A8118" s="197">
        <v>2025</v>
      </c>
      <c r="B8118" s="197">
        <v>4</v>
      </c>
      <c r="C8118" s="197">
        <v>30</v>
      </c>
      <c r="D8118" s="198">
        <f t="shared" si="940"/>
        <v>45777</v>
      </c>
      <c r="E8118" s="290">
        <f>DATE(A8118,B8118,C8118)</f>
        <v>45777</v>
      </c>
      <c r="F8118" s="513" t="s">
        <v>2051</v>
      </c>
      <c r="G8118" s="200" t="s">
        <v>1209</v>
      </c>
      <c r="H8118" s="201"/>
      <c r="I8118" s="201"/>
      <c r="J8118" s="197" t="s">
        <v>54</v>
      </c>
      <c r="K8118" s="202">
        <f>345*2</f>
        <v>690</v>
      </c>
      <c r="L8118" s="202"/>
      <c r="M8118" s="251"/>
      <c r="N8118" s="251"/>
      <c r="O8118" s="251"/>
    </row>
    <row r="8119" spans="1:15" ht="11.25" customHeight="1" x14ac:dyDescent="0.2">
      <c r="A8119" s="191">
        <v>2025</v>
      </c>
      <c r="B8119" s="191">
        <v>4</v>
      </c>
      <c r="C8119" s="191">
        <v>30</v>
      </c>
      <c r="D8119" s="192">
        <f t="shared" si="940"/>
        <v>45777</v>
      </c>
      <c r="E8119" s="291">
        <f>DATE(A8119,B8119,C8119)</f>
        <v>45777</v>
      </c>
      <c r="F8119" s="514"/>
      <c r="G8119" s="194" t="s">
        <v>1209</v>
      </c>
      <c r="H8119" s="195"/>
      <c r="I8119" s="195"/>
      <c r="J8119" s="191" t="s">
        <v>46</v>
      </c>
      <c r="K8119" s="196"/>
      <c r="L8119" s="196">
        <v>690</v>
      </c>
      <c r="M8119" s="251"/>
      <c r="N8119" s="251"/>
      <c r="O8119" s="251"/>
    </row>
    <row r="8120" spans="1:15" ht="11.25" customHeight="1" x14ac:dyDescent="0.2">
      <c r="A8120" s="424">
        <v>2025</v>
      </c>
      <c r="B8120" s="424">
        <v>4</v>
      </c>
      <c r="C8120" s="424">
        <v>30</v>
      </c>
      <c r="D8120" s="425">
        <f t="shared" si="940"/>
        <v>45777</v>
      </c>
      <c r="E8120" s="384">
        <f t="shared" ref="E8120:E8127" si="942">DATE(A8120,B8120,C8120)</f>
        <v>45777</v>
      </c>
      <c r="F8120" s="516" t="s">
        <v>1850</v>
      </c>
      <c r="G8120" s="426" t="s">
        <v>1209</v>
      </c>
      <c r="H8120" s="427"/>
      <c r="I8120" s="427"/>
      <c r="J8120" s="428" t="s">
        <v>81</v>
      </c>
      <c r="K8120" s="429">
        <v>6973.2450980392159</v>
      </c>
      <c r="L8120" s="429"/>
      <c r="M8120" s="130"/>
    </row>
    <row r="8121" spans="1:15" ht="11.25" customHeight="1" x14ac:dyDescent="0.2">
      <c r="A8121" s="389">
        <v>2025</v>
      </c>
      <c r="B8121" s="389">
        <v>4</v>
      </c>
      <c r="C8121" s="389">
        <v>30</v>
      </c>
      <c r="D8121" s="390">
        <f t="shared" si="940"/>
        <v>45777</v>
      </c>
      <c r="E8121" s="391">
        <f t="shared" si="942"/>
        <v>45777</v>
      </c>
      <c r="F8121" s="517"/>
      <c r="G8121" s="392" t="s">
        <v>1209</v>
      </c>
      <c r="H8121" s="393"/>
      <c r="I8121" s="393"/>
      <c r="J8121" s="394" t="s">
        <v>1847</v>
      </c>
      <c r="K8121" s="423"/>
      <c r="L8121" s="423">
        <v>6973.2450980392159</v>
      </c>
    </row>
    <row r="8122" spans="1:15" ht="11.25" customHeight="1" x14ac:dyDescent="0.2">
      <c r="A8122" s="382">
        <v>2025</v>
      </c>
      <c r="B8122" s="382">
        <v>4</v>
      </c>
      <c r="C8122" s="382">
        <v>30</v>
      </c>
      <c r="D8122" s="383">
        <f t="shared" si="940"/>
        <v>45777</v>
      </c>
      <c r="E8122" s="384">
        <f t="shared" si="942"/>
        <v>45777</v>
      </c>
      <c r="F8122" s="516" t="s">
        <v>1892</v>
      </c>
      <c r="G8122" s="385" t="s">
        <v>1209</v>
      </c>
      <c r="H8122" s="386"/>
      <c r="I8122" s="386"/>
      <c r="J8122" s="387" t="s">
        <v>173</v>
      </c>
      <c r="K8122" s="388">
        <v>4620.4652839270839</v>
      </c>
      <c r="L8122" s="388"/>
      <c r="M8122" s="130"/>
    </row>
    <row r="8123" spans="1:15" ht="11.25" customHeight="1" x14ac:dyDescent="0.2">
      <c r="A8123" s="389">
        <v>2025</v>
      </c>
      <c r="B8123" s="389">
        <v>4</v>
      </c>
      <c r="C8123" s="389">
        <v>30</v>
      </c>
      <c r="D8123" s="390">
        <f t="shared" si="940"/>
        <v>45777</v>
      </c>
      <c r="E8123" s="391">
        <f t="shared" si="942"/>
        <v>45777</v>
      </c>
      <c r="F8123" s="517"/>
      <c r="G8123" s="392" t="s">
        <v>1209</v>
      </c>
      <c r="H8123" s="393"/>
      <c r="I8123" s="393"/>
      <c r="J8123" s="394" t="s">
        <v>43</v>
      </c>
      <c r="K8123" s="388"/>
      <c r="L8123" s="388">
        <f>K8122</f>
        <v>4620.4652839270839</v>
      </c>
    </row>
    <row r="8124" spans="1:15" ht="11.25" customHeight="1" x14ac:dyDescent="0.2">
      <c r="A8124" s="344">
        <v>2025</v>
      </c>
      <c r="B8124" s="344">
        <v>4</v>
      </c>
      <c r="C8124" s="344">
        <v>30</v>
      </c>
      <c r="D8124" s="345">
        <f t="shared" si="940"/>
        <v>45777</v>
      </c>
      <c r="E8124" s="346">
        <f t="shared" si="942"/>
        <v>45777</v>
      </c>
      <c r="F8124" s="518" t="s">
        <v>1982</v>
      </c>
      <c r="G8124" s="347" t="s">
        <v>1245</v>
      </c>
      <c r="H8124" s="348"/>
      <c r="I8124" s="348" t="s">
        <v>1253</v>
      </c>
      <c r="J8124" s="344" t="s">
        <v>1978</v>
      </c>
      <c r="K8124" s="349">
        <v>145230.76923076922</v>
      </c>
      <c r="L8124" s="349"/>
      <c r="M8124" s="130"/>
    </row>
    <row r="8125" spans="1:15" ht="11.25" customHeight="1" x14ac:dyDescent="0.2">
      <c r="A8125" s="350">
        <v>2025</v>
      </c>
      <c r="B8125" s="350">
        <v>4</v>
      </c>
      <c r="C8125" s="350">
        <v>30</v>
      </c>
      <c r="D8125" s="351">
        <f t="shared" si="940"/>
        <v>45777</v>
      </c>
      <c r="E8125" s="352">
        <f t="shared" si="942"/>
        <v>45777</v>
      </c>
      <c r="F8125" s="519"/>
      <c r="G8125" s="353" t="s">
        <v>1245</v>
      </c>
      <c r="H8125" s="354"/>
      <c r="I8125" s="354" t="s">
        <v>1253</v>
      </c>
      <c r="J8125" s="350" t="s">
        <v>1979</v>
      </c>
      <c r="K8125" s="355"/>
      <c r="L8125" s="355">
        <f>K8124</f>
        <v>145230.76923076922</v>
      </c>
    </row>
    <row r="8126" spans="1:15" ht="11.25" customHeight="1" x14ac:dyDescent="0.2">
      <c r="A8126" s="344">
        <v>2025</v>
      </c>
      <c r="B8126" s="344">
        <v>4</v>
      </c>
      <c r="C8126" s="344">
        <v>30</v>
      </c>
      <c r="D8126" s="345">
        <f t="shared" si="940"/>
        <v>45777</v>
      </c>
      <c r="E8126" s="346">
        <f t="shared" si="942"/>
        <v>45777</v>
      </c>
      <c r="F8126" s="518" t="s">
        <v>2009</v>
      </c>
      <c r="G8126" s="347" t="s">
        <v>1245</v>
      </c>
      <c r="H8126" s="348"/>
      <c r="I8126" s="348" t="s">
        <v>1253</v>
      </c>
      <c r="J8126" s="344" t="s">
        <v>2004</v>
      </c>
      <c r="K8126" s="349">
        <v>49692.31</v>
      </c>
      <c r="L8126" s="349"/>
      <c r="M8126" s="130"/>
    </row>
    <row r="8127" spans="1:15" ht="11.25" customHeight="1" x14ac:dyDescent="0.2">
      <c r="A8127" s="350">
        <v>2025</v>
      </c>
      <c r="B8127" s="350">
        <v>4</v>
      </c>
      <c r="C8127" s="350">
        <v>30</v>
      </c>
      <c r="D8127" s="351">
        <f t="shared" si="940"/>
        <v>45777</v>
      </c>
      <c r="E8127" s="352">
        <f t="shared" si="942"/>
        <v>45777</v>
      </c>
      <c r="F8127" s="519"/>
      <c r="G8127" s="353" t="s">
        <v>1245</v>
      </c>
      <c r="H8127" s="354"/>
      <c r="I8127" s="354" t="s">
        <v>1253</v>
      </c>
      <c r="J8127" s="350" t="s">
        <v>2008</v>
      </c>
      <c r="K8127" s="355"/>
      <c r="L8127" s="355">
        <f>K8126</f>
        <v>49692.31</v>
      </c>
    </row>
    <row r="8128" spans="1:15" ht="11.25" customHeight="1" x14ac:dyDescent="0.2">
      <c r="A8128" s="344">
        <v>2025</v>
      </c>
      <c r="B8128" s="344">
        <v>4</v>
      </c>
      <c r="C8128" s="344">
        <v>30</v>
      </c>
      <c r="D8128" s="345">
        <f t="shared" si="940"/>
        <v>45777</v>
      </c>
      <c r="E8128" s="346">
        <f>DATE(A8128,B8128,C8128)</f>
        <v>45777</v>
      </c>
      <c r="F8128" s="518" t="s">
        <v>1988</v>
      </c>
      <c r="G8128" s="347" t="s">
        <v>1245</v>
      </c>
      <c r="H8128" s="348"/>
      <c r="I8128" s="348" t="s">
        <v>1253</v>
      </c>
      <c r="J8128" s="344" t="s">
        <v>113</v>
      </c>
      <c r="K8128" s="349">
        <v>32846.15</v>
      </c>
      <c r="L8128" s="349"/>
      <c r="M8128" s="130"/>
    </row>
    <row r="8129" spans="1:14" ht="11.25" customHeight="1" x14ac:dyDescent="0.2">
      <c r="A8129" s="350">
        <v>2025</v>
      </c>
      <c r="B8129" s="350">
        <v>4</v>
      </c>
      <c r="C8129" s="350">
        <v>30</v>
      </c>
      <c r="D8129" s="351">
        <f t="shared" si="940"/>
        <v>45777</v>
      </c>
      <c r="E8129" s="352">
        <f>DATE(A8129,B8129,C8129)</f>
        <v>45777</v>
      </c>
      <c r="F8129" s="519"/>
      <c r="G8129" s="353" t="s">
        <v>1245</v>
      </c>
      <c r="H8129" s="354"/>
      <c r="I8129" s="354" t="s">
        <v>1253</v>
      </c>
      <c r="J8129" s="350" t="s">
        <v>153</v>
      </c>
      <c r="K8129" s="355"/>
      <c r="L8129" s="355">
        <f>K8128</f>
        <v>32846.15</v>
      </c>
    </row>
    <row r="8130" spans="1:14" ht="11.25" customHeight="1" x14ac:dyDescent="0.2">
      <c r="A8130" s="344">
        <v>2025</v>
      </c>
      <c r="B8130" s="344">
        <v>4</v>
      </c>
      <c r="C8130" s="344">
        <v>30</v>
      </c>
      <c r="D8130" s="345">
        <f t="shared" si="940"/>
        <v>45777</v>
      </c>
      <c r="E8130" s="346">
        <f t="shared" ref="E8130:E8135" si="943">DATE(A8130,B8130,C8130)</f>
        <v>45777</v>
      </c>
      <c r="F8130" s="518" t="s">
        <v>1989</v>
      </c>
      <c r="G8130" s="347" t="s">
        <v>1245</v>
      </c>
      <c r="H8130" s="348"/>
      <c r="I8130" s="348" t="s">
        <v>1253</v>
      </c>
      <c r="J8130" s="344" t="s">
        <v>113</v>
      </c>
      <c r="K8130" s="349">
        <v>7820.52</v>
      </c>
      <c r="L8130" s="349"/>
      <c r="M8130" s="130"/>
      <c r="N8130" s="251"/>
    </row>
    <row r="8131" spans="1:14" ht="11.25" customHeight="1" x14ac:dyDescent="0.2">
      <c r="A8131" s="350">
        <v>2025</v>
      </c>
      <c r="B8131" s="350">
        <v>4</v>
      </c>
      <c r="C8131" s="350">
        <v>30</v>
      </c>
      <c r="D8131" s="351">
        <f t="shared" si="940"/>
        <v>45777</v>
      </c>
      <c r="E8131" s="352">
        <f t="shared" si="943"/>
        <v>45777</v>
      </c>
      <c r="F8131" s="519"/>
      <c r="G8131" s="353" t="s">
        <v>1245</v>
      </c>
      <c r="H8131" s="354"/>
      <c r="I8131" s="354" t="s">
        <v>1253</v>
      </c>
      <c r="J8131" s="350" t="s">
        <v>153</v>
      </c>
      <c r="K8131" s="355"/>
      <c r="L8131" s="355">
        <f>K8130</f>
        <v>7820.52</v>
      </c>
    </row>
    <row r="8132" spans="1:14" ht="11.25" customHeight="1" x14ac:dyDescent="0.2">
      <c r="A8132" s="344">
        <v>2025</v>
      </c>
      <c r="B8132" s="344">
        <v>4</v>
      </c>
      <c r="C8132" s="344">
        <v>30</v>
      </c>
      <c r="D8132" s="345">
        <f t="shared" si="940"/>
        <v>45777</v>
      </c>
      <c r="E8132" s="346">
        <f t="shared" si="943"/>
        <v>45777</v>
      </c>
      <c r="F8132" s="518" t="s">
        <v>1990</v>
      </c>
      <c r="G8132" s="347" t="s">
        <v>1245</v>
      </c>
      <c r="H8132" s="348"/>
      <c r="I8132" s="348" t="s">
        <v>1253</v>
      </c>
      <c r="J8132" s="344" t="s">
        <v>113</v>
      </c>
      <c r="K8132" s="349">
        <v>70384.62</v>
      </c>
      <c r="L8132" s="349"/>
      <c r="M8132" s="130"/>
      <c r="N8132" s="251"/>
    </row>
    <row r="8133" spans="1:14" ht="11.25" customHeight="1" x14ac:dyDescent="0.2">
      <c r="A8133" s="350">
        <v>2025</v>
      </c>
      <c r="B8133" s="350">
        <v>4</v>
      </c>
      <c r="C8133" s="350">
        <v>30</v>
      </c>
      <c r="D8133" s="351">
        <f t="shared" si="940"/>
        <v>45777</v>
      </c>
      <c r="E8133" s="352">
        <f t="shared" si="943"/>
        <v>45777</v>
      </c>
      <c r="F8133" s="519"/>
      <c r="G8133" s="353" t="s">
        <v>1245</v>
      </c>
      <c r="H8133" s="354"/>
      <c r="I8133" s="354" t="s">
        <v>1253</v>
      </c>
      <c r="J8133" s="350" t="s">
        <v>153</v>
      </c>
      <c r="K8133" s="355"/>
      <c r="L8133" s="355">
        <f>K8132</f>
        <v>70384.62</v>
      </c>
    </row>
    <row r="8134" spans="1:14" ht="11.25" customHeight="1" x14ac:dyDescent="0.2">
      <c r="A8134" s="344">
        <v>2025</v>
      </c>
      <c r="B8134" s="344">
        <v>4</v>
      </c>
      <c r="C8134" s="344">
        <v>30</v>
      </c>
      <c r="D8134" s="345">
        <f t="shared" si="940"/>
        <v>45777</v>
      </c>
      <c r="E8134" s="346">
        <f t="shared" si="943"/>
        <v>45777</v>
      </c>
      <c r="F8134" s="518" t="s">
        <v>2039</v>
      </c>
      <c r="G8134" s="347" t="s">
        <v>1245</v>
      </c>
      <c r="H8134" s="348"/>
      <c r="I8134" s="348" t="s">
        <v>1253</v>
      </c>
      <c r="J8134" s="344" t="s">
        <v>113</v>
      </c>
      <c r="K8134" s="349">
        <v>9384.6153846153848</v>
      </c>
      <c r="L8134" s="349"/>
      <c r="M8134" s="130"/>
    </row>
    <row r="8135" spans="1:14" ht="11.25" customHeight="1" x14ac:dyDescent="0.2">
      <c r="A8135" s="350">
        <v>2025</v>
      </c>
      <c r="B8135" s="350">
        <v>4</v>
      </c>
      <c r="C8135" s="350">
        <v>30</v>
      </c>
      <c r="D8135" s="351">
        <f t="shared" si="940"/>
        <v>45777</v>
      </c>
      <c r="E8135" s="352">
        <f t="shared" si="943"/>
        <v>45777</v>
      </c>
      <c r="F8135" s="519"/>
      <c r="G8135" s="353" t="s">
        <v>1245</v>
      </c>
      <c r="H8135" s="354"/>
      <c r="I8135" s="354" t="s">
        <v>1253</v>
      </c>
      <c r="J8135" s="350" t="s">
        <v>153</v>
      </c>
      <c r="K8135" s="355"/>
      <c r="L8135" s="355">
        <f>K8134</f>
        <v>9384.6153846153848</v>
      </c>
    </row>
    <row r="8136" spans="1:14" ht="11.25" customHeight="1" x14ac:dyDescent="0.2">
      <c r="A8136" s="344">
        <v>2025</v>
      </c>
      <c r="B8136" s="344">
        <v>4</v>
      </c>
      <c r="C8136" s="344">
        <v>30</v>
      </c>
      <c r="D8136" s="345">
        <f t="shared" si="940"/>
        <v>45777</v>
      </c>
      <c r="E8136" s="346">
        <f>DATE(A8136,B8136,C8136)</f>
        <v>45777</v>
      </c>
      <c r="F8136" s="518" t="s">
        <v>1991</v>
      </c>
      <c r="G8136" s="347" t="s">
        <v>1245</v>
      </c>
      <c r="H8136" s="348"/>
      <c r="I8136" s="348" t="s">
        <v>1253</v>
      </c>
      <c r="J8136" s="344" t="s">
        <v>113</v>
      </c>
      <c r="K8136" s="349">
        <v>39884.620000000003</v>
      </c>
      <c r="L8136" s="349"/>
      <c r="M8136" s="130"/>
    </row>
    <row r="8137" spans="1:14" ht="11.25" customHeight="1" x14ac:dyDescent="0.2">
      <c r="A8137" s="350">
        <v>2025</v>
      </c>
      <c r="B8137" s="350">
        <v>4</v>
      </c>
      <c r="C8137" s="350">
        <v>30</v>
      </c>
      <c r="D8137" s="351">
        <f t="shared" si="940"/>
        <v>45777</v>
      </c>
      <c r="E8137" s="352">
        <f>DATE(A8137,B8137,C8137)</f>
        <v>45777</v>
      </c>
      <c r="F8137" s="519"/>
      <c r="G8137" s="353" t="s">
        <v>1245</v>
      </c>
      <c r="H8137" s="354"/>
      <c r="I8137" s="354" t="s">
        <v>1253</v>
      </c>
      <c r="J8137" s="350" t="s">
        <v>153</v>
      </c>
      <c r="K8137" s="355"/>
      <c r="L8137" s="355">
        <f>K8136</f>
        <v>39884.620000000003</v>
      </c>
    </row>
    <row r="8138" spans="1:14" ht="11.25" customHeight="1" x14ac:dyDescent="0.2">
      <c r="A8138" s="344">
        <v>2025</v>
      </c>
      <c r="B8138" s="344">
        <v>4</v>
      </c>
      <c r="C8138" s="344">
        <v>30</v>
      </c>
      <c r="D8138" s="345">
        <f t="shared" si="940"/>
        <v>45777</v>
      </c>
      <c r="E8138" s="346">
        <f t="shared" ref="E8138:E8144" si="944">DATE(A8138,B8138,C8138)</f>
        <v>45777</v>
      </c>
      <c r="F8138" s="518" t="s">
        <v>1992</v>
      </c>
      <c r="G8138" s="347" t="s">
        <v>1245</v>
      </c>
      <c r="H8138" s="348"/>
      <c r="I8138" s="348" t="s">
        <v>1253</v>
      </c>
      <c r="J8138" s="344" t="s">
        <v>113</v>
      </c>
      <c r="K8138" s="349">
        <v>22596.15</v>
      </c>
      <c r="L8138" s="349"/>
      <c r="M8138" s="130"/>
    </row>
    <row r="8139" spans="1:14" ht="11.25" customHeight="1" x14ac:dyDescent="0.2">
      <c r="A8139" s="350">
        <v>2025</v>
      </c>
      <c r="B8139" s="350">
        <v>4</v>
      </c>
      <c r="C8139" s="350">
        <v>30</v>
      </c>
      <c r="D8139" s="351">
        <f t="shared" si="940"/>
        <v>45777</v>
      </c>
      <c r="E8139" s="352">
        <f t="shared" si="944"/>
        <v>45777</v>
      </c>
      <c r="F8139" s="519"/>
      <c r="G8139" s="353" t="s">
        <v>1245</v>
      </c>
      <c r="H8139" s="354"/>
      <c r="I8139" s="354" t="s">
        <v>1253</v>
      </c>
      <c r="J8139" s="350" t="s">
        <v>153</v>
      </c>
      <c r="K8139" s="355"/>
      <c r="L8139" s="355">
        <f>K8138</f>
        <v>22596.15</v>
      </c>
    </row>
    <row r="8140" spans="1:14" ht="11.25" customHeight="1" x14ac:dyDescent="0.2">
      <c r="A8140" s="344">
        <v>2025</v>
      </c>
      <c r="B8140" s="344">
        <v>4</v>
      </c>
      <c r="C8140" s="344">
        <v>30</v>
      </c>
      <c r="D8140" s="345">
        <f t="shared" si="940"/>
        <v>45777</v>
      </c>
      <c r="E8140" s="346">
        <f t="shared" si="944"/>
        <v>45777</v>
      </c>
      <c r="F8140" s="518" t="s">
        <v>1993</v>
      </c>
      <c r="G8140" s="347" t="s">
        <v>1245</v>
      </c>
      <c r="H8140" s="348"/>
      <c r="I8140" s="348" t="s">
        <v>1253</v>
      </c>
      <c r="J8140" s="344" t="s">
        <v>113</v>
      </c>
      <c r="K8140" s="349">
        <v>23048.080000000002</v>
      </c>
      <c r="L8140" s="349"/>
      <c r="M8140" s="130"/>
    </row>
    <row r="8141" spans="1:14" ht="11.25" customHeight="1" x14ac:dyDescent="0.2">
      <c r="A8141" s="350">
        <v>2025</v>
      </c>
      <c r="B8141" s="350">
        <v>4</v>
      </c>
      <c r="C8141" s="350">
        <v>30</v>
      </c>
      <c r="D8141" s="351">
        <f t="shared" si="940"/>
        <v>45777</v>
      </c>
      <c r="E8141" s="352">
        <f t="shared" si="944"/>
        <v>45777</v>
      </c>
      <c r="F8141" s="519"/>
      <c r="G8141" s="353" t="s">
        <v>1245</v>
      </c>
      <c r="H8141" s="354"/>
      <c r="I8141" s="354" t="s">
        <v>1253</v>
      </c>
      <c r="J8141" s="350" t="s">
        <v>153</v>
      </c>
      <c r="K8141" s="355"/>
      <c r="L8141" s="355">
        <f>K8140</f>
        <v>23048.080000000002</v>
      </c>
    </row>
    <row r="8142" spans="1:14" ht="11.25" customHeight="1" x14ac:dyDescent="0.2">
      <c r="A8142" s="210">
        <v>2025</v>
      </c>
      <c r="B8142" s="210">
        <v>4</v>
      </c>
      <c r="C8142" s="210">
        <v>30</v>
      </c>
      <c r="D8142" s="211">
        <f t="shared" si="940"/>
        <v>45777</v>
      </c>
      <c r="E8142" s="238">
        <f t="shared" si="944"/>
        <v>45777</v>
      </c>
      <c r="F8142" s="520" t="s">
        <v>1278</v>
      </c>
      <c r="G8142" s="213" t="s">
        <v>1245</v>
      </c>
      <c r="H8142" s="214"/>
      <c r="I8142" s="214" t="s">
        <v>1253</v>
      </c>
      <c r="J8142" s="210" t="s">
        <v>1529</v>
      </c>
      <c r="K8142" s="215">
        <v>510.40384615384613</v>
      </c>
      <c r="L8142" s="215"/>
      <c r="M8142" s="130"/>
    </row>
    <row r="8143" spans="1:14" ht="11.25" customHeight="1" x14ac:dyDescent="0.2">
      <c r="A8143" s="216">
        <v>2025</v>
      </c>
      <c r="B8143" s="216">
        <v>4</v>
      </c>
      <c r="C8143" s="216">
        <v>30</v>
      </c>
      <c r="D8143" s="217">
        <f t="shared" si="940"/>
        <v>45777</v>
      </c>
      <c r="E8143" s="239">
        <f t="shared" si="944"/>
        <v>45777</v>
      </c>
      <c r="F8143" s="521"/>
      <c r="G8143" s="219" t="s">
        <v>1245</v>
      </c>
      <c r="H8143" s="220"/>
      <c r="I8143" s="220" t="s">
        <v>1253</v>
      </c>
      <c r="J8143" s="216" t="s">
        <v>1581</v>
      </c>
      <c r="K8143" s="221"/>
      <c r="L8143" s="221">
        <v>510.40384615384613</v>
      </c>
    </row>
    <row r="8144" spans="1:14" ht="11.25" customHeight="1" x14ac:dyDescent="0.2">
      <c r="A8144" s="210">
        <v>2025</v>
      </c>
      <c r="B8144" s="210">
        <v>4</v>
      </c>
      <c r="C8144" s="210">
        <v>30</v>
      </c>
      <c r="D8144" s="211">
        <f t="shared" si="940"/>
        <v>45777</v>
      </c>
      <c r="E8144" s="238">
        <f t="shared" si="944"/>
        <v>45777</v>
      </c>
      <c r="F8144" s="520" t="s">
        <v>1857</v>
      </c>
      <c r="G8144" s="213" t="s">
        <v>1245</v>
      </c>
      <c r="H8144" s="214"/>
      <c r="I8144" s="214" t="s">
        <v>1253</v>
      </c>
      <c r="J8144" s="210" t="s">
        <v>1284</v>
      </c>
      <c r="K8144" s="215">
        <v>2341.8114143920593</v>
      </c>
      <c r="L8144" s="215"/>
      <c r="M8144" s="130"/>
    </row>
    <row r="8145" spans="1:13" ht="11.25" customHeight="1" x14ac:dyDescent="0.2">
      <c r="A8145" s="242">
        <v>2025</v>
      </c>
      <c r="B8145" s="242">
        <v>4</v>
      </c>
      <c r="C8145" s="242">
        <v>30</v>
      </c>
      <c r="D8145" s="243">
        <f t="shared" si="940"/>
        <v>45777</v>
      </c>
      <c r="E8145" s="244">
        <f>DATE(A8145,B8145,C8145)</f>
        <v>45777</v>
      </c>
      <c r="F8145" s="524"/>
      <c r="G8145" s="245" t="s">
        <v>1245</v>
      </c>
      <c r="H8145" s="246"/>
      <c r="I8145" s="246"/>
      <c r="J8145" s="242" t="s">
        <v>1582</v>
      </c>
      <c r="K8145" s="247"/>
      <c r="L8145" s="247">
        <f>K8144</f>
        <v>2341.8114143920593</v>
      </c>
    </row>
    <row r="8146" spans="1:13" ht="11.25" customHeight="1" x14ac:dyDescent="0.2">
      <c r="A8146" s="210">
        <v>2025</v>
      </c>
      <c r="B8146" s="210">
        <v>4</v>
      </c>
      <c r="C8146" s="210">
        <v>30</v>
      </c>
      <c r="D8146" s="211">
        <f t="shared" si="940"/>
        <v>45777</v>
      </c>
      <c r="E8146" s="238">
        <f t="shared" ref="E8146:E8172" si="945">DATE(A8146,B8146,C8146)</f>
        <v>45777</v>
      </c>
      <c r="F8146" s="520" t="s">
        <v>2055</v>
      </c>
      <c r="G8146" s="213" t="s">
        <v>1245</v>
      </c>
      <c r="H8146" s="214"/>
      <c r="I8146" s="214" t="s">
        <v>1253</v>
      </c>
      <c r="J8146" s="210" t="s">
        <v>58</v>
      </c>
      <c r="K8146" s="215">
        <v>35687.94</v>
      </c>
      <c r="L8146" s="215"/>
    </row>
    <row r="8147" spans="1:13" ht="11.25" customHeight="1" x14ac:dyDescent="0.2">
      <c r="A8147" s="216">
        <v>2025</v>
      </c>
      <c r="B8147" s="216">
        <v>4</v>
      </c>
      <c r="C8147" s="216">
        <v>30</v>
      </c>
      <c r="D8147" s="217">
        <f t="shared" si="940"/>
        <v>45777</v>
      </c>
      <c r="E8147" s="239">
        <f t="shared" si="945"/>
        <v>45777</v>
      </c>
      <c r="F8147" s="521"/>
      <c r="G8147" s="219" t="s">
        <v>1245</v>
      </c>
      <c r="H8147" s="220"/>
      <c r="I8147" s="220" t="s">
        <v>1253</v>
      </c>
      <c r="J8147" s="216" t="s">
        <v>153</v>
      </c>
      <c r="K8147" s="221"/>
      <c r="L8147" s="221">
        <f>K8146</f>
        <v>35687.94</v>
      </c>
    </row>
    <row r="8148" spans="1:13" ht="11.25" customHeight="1" x14ac:dyDescent="0.2">
      <c r="A8148" s="312">
        <v>2025</v>
      </c>
      <c r="B8148" s="312">
        <v>4</v>
      </c>
      <c r="C8148" s="312">
        <v>30</v>
      </c>
      <c r="D8148" s="313">
        <f t="shared" si="940"/>
        <v>45777</v>
      </c>
      <c r="E8148" s="314">
        <f t="shared" si="945"/>
        <v>45777</v>
      </c>
      <c r="F8148" s="522" t="s">
        <v>1477</v>
      </c>
      <c r="G8148" s="315" t="s">
        <v>1245</v>
      </c>
      <c r="H8148" s="316"/>
      <c r="I8148" s="316" t="s">
        <v>1253</v>
      </c>
      <c r="J8148" s="312" t="s">
        <v>1458</v>
      </c>
      <c r="K8148" s="317">
        <v>0</v>
      </c>
      <c r="L8148" s="317"/>
      <c r="M8148" s="120">
        <f>BS!$I$11</f>
        <v>5.9604644775390625E-8</v>
      </c>
    </row>
    <row r="8149" spans="1:13" ht="11.25" customHeight="1" x14ac:dyDescent="0.2">
      <c r="A8149" s="318">
        <v>2025</v>
      </c>
      <c r="B8149" s="318">
        <v>4</v>
      </c>
      <c r="C8149" s="318">
        <v>30</v>
      </c>
      <c r="D8149" s="319">
        <f t="shared" si="940"/>
        <v>45777</v>
      </c>
      <c r="E8149" s="320">
        <f t="shared" si="945"/>
        <v>45777</v>
      </c>
      <c r="F8149" s="523"/>
      <c r="G8149" s="321" t="s">
        <v>1245</v>
      </c>
      <c r="H8149" s="322"/>
      <c r="I8149" s="322" t="s">
        <v>1253</v>
      </c>
      <c r="J8149" s="318" t="s">
        <v>1460</v>
      </c>
      <c r="K8149" s="323"/>
      <c r="L8149" s="323">
        <f>K8148</f>
        <v>0</v>
      </c>
    </row>
    <row r="8150" spans="1:13" ht="11.25" customHeight="1" x14ac:dyDescent="0.2">
      <c r="A8150" s="312">
        <v>2025</v>
      </c>
      <c r="B8150" s="312">
        <v>4</v>
      </c>
      <c r="C8150" s="312">
        <v>30</v>
      </c>
      <c r="D8150" s="313">
        <f t="shared" si="940"/>
        <v>45777</v>
      </c>
      <c r="E8150" s="314">
        <f t="shared" si="945"/>
        <v>45777</v>
      </c>
      <c r="F8150" s="522" t="s">
        <v>1595</v>
      </c>
      <c r="G8150" s="315" t="s">
        <v>1245</v>
      </c>
      <c r="H8150" s="316"/>
      <c r="I8150" s="316" t="s">
        <v>1253</v>
      </c>
      <c r="J8150" s="312" t="s">
        <v>1461</v>
      </c>
      <c r="K8150" s="317">
        <v>832334.13100004196</v>
      </c>
      <c r="L8150" s="317"/>
      <c r="M8150" s="120">
        <f>BS!$I$14</f>
        <v>0</v>
      </c>
    </row>
    <row r="8151" spans="1:13" ht="11.25" customHeight="1" x14ac:dyDescent="0.2">
      <c r="A8151" s="318">
        <v>2025</v>
      </c>
      <c r="B8151" s="318">
        <v>4</v>
      </c>
      <c r="C8151" s="318">
        <v>30</v>
      </c>
      <c r="D8151" s="319">
        <f t="shared" si="940"/>
        <v>45777</v>
      </c>
      <c r="E8151" s="320">
        <f t="shared" si="945"/>
        <v>45777</v>
      </c>
      <c r="F8151" s="523"/>
      <c r="G8151" s="321" t="s">
        <v>1245</v>
      </c>
      <c r="H8151" s="322"/>
      <c r="I8151" s="322" t="s">
        <v>1253</v>
      </c>
      <c r="J8151" s="318" t="s">
        <v>1459</v>
      </c>
      <c r="K8151" s="323"/>
      <c r="L8151" s="323">
        <f>K8150</f>
        <v>832334.13100004196</v>
      </c>
    </row>
    <row r="8152" spans="1:13" ht="11.25" customHeight="1" x14ac:dyDescent="0.2">
      <c r="A8152" s="222">
        <v>2025</v>
      </c>
      <c r="B8152" s="222">
        <v>4</v>
      </c>
      <c r="C8152" s="222">
        <v>30</v>
      </c>
      <c r="D8152" s="223">
        <f t="shared" si="940"/>
        <v>45777</v>
      </c>
      <c r="E8152" s="240">
        <f t="shared" si="945"/>
        <v>45777</v>
      </c>
      <c r="F8152" s="511" t="s">
        <v>1244</v>
      </c>
      <c r="G8152" s="225" t="s">
        <v>1245</v>
      </c>
      <c r="H8152" s="226"/>
      <c r="I8152" s="226" t="s">
        <v>1253</v>
      </c>
      <c r="J8152" s="222" t="s">
        <v>72</v>
      </c>
      <c r="K8152" s="227">
        <v>5230</v>
      </c>
      <c r="L8152" s="227"/>
      <c r="M8152" s="120">
        <f>BS!$I$7</f>
        <v>0</v>
      </c>
    </row>
    <row r="8153" spans="1:13" ht="11.25" customHeight="1" x14ac:dyDescent="0.2">
      <c r="A8153" s="228">
        <v>2025</v>
      </c>
      <c r="B8153" s="228">
        <v>4</v>
      </c>
      <c r="C8153" s="228">
        <v>30</v>
      </c>
      <c r="D8153" s="229">
        <f t="shared" si="940"/>
        <v>45777</v>
      </c>
      <c r="E8153" s="241">
        <f t="shared" si="945"/>
        <v>45777</v>
      </c>
      <c r="F8153" s="512"/>
      <c r="G8153" s="231" t="s">
        <v>1245</v>
      </c>
      <c r="H8153" s="232"/>
      <c r="I8153" s="232" t="s">
        <v>1253</v>
      </c>
      <c r="J8153" s="228" t="s">
        <v>87</v>
      </c>
      <c r="K8153" s="233"/>
      <c r="L8153" s="233">
        <f>K8152</f>
        <v>5230</v>
      </c>
    </row>
    <row r="8154" spans="1:13" ht="11.25" customHeight="1" x14ac:dyDescent="0.2">
      <c r="A8154" s="222">
        <v>2025</v>
      </c>
      <c r="B8154" s="222">
        <v>4</v>
      </c>
      <c r="C8154" s="222">
        <v>30</v>
      </c>
      <c r="D8154" s="223">
        <f t="shared" si="940"/>
        <v>45777</v>
      </c>
      <c r="E8154" s="240">
        <f t="shared" si="945"/>
        <v>45777</v>
      </c>
      <c r="F8154" s="511" t="s">
        <v>1246</v>
      </c>
      <c r="G8154" s="225" t="s">
        <v>1245</v>
      </c>
      <c r="H8154" s="226"/>
      <c r="I8154" s="226" t="s">
        <v>1253</v>
      </c>
      <c r="J8154" s="222" t="s">
        <v>75</v>
      </c>
      <c r="K8154" s="227">
        <v>3623.123846153846</v>
      </c>
      <c r="L8154" s="227"/>
      <c r="M8154" s="130"/>
    </row>
    <row r="8155" spans="1:13" ht="11.25" customHeight="1" x14ac:dyDescent="0.2">
      <c r="A8155" s="228">
        <v>2025</v>
      </c>
      <c r="B8155" s="228">
        <v>4</v>
      </c>
      <c r="C8155" s="228">
        <v>30</v>
      </c>
      <c r="D8155" s="229">
        <f t="shared" si="940"/>
        <v>45777</v>
      </c>
      <c r="E8155" s="241">
        <f t="shared" si="945"/>
        <v>45777</v>
      </c>
      <c r="F8155" s="512"/>
      <c r="G8155" s="231" t="s">
        <v>1245</v>
      </c>
      <c r="H8155" s="232"/>
      <c r="I8155" s="232" t="s">
        <v>1253</v>
      </c>
      <c r="J8155" s="228" t="s">
        <v>55</v>
      </c>
      <c r="K8155" s="233"/>
      <c r="L8155" s="233">
        <v>3623.123846153846</v>
      </c>
    </row>
    <row r="8156" spans="1:13" ht="11.25" customHeight="1" x14ac:dyDescent="0.2">
      <c r="A8156" s="222">
        <v>2025</v>
      </c>
      <c r="B8156" s="222">
        <v>4</v>
      </c>
      <c r="C8156" s="222">
        <v>30</v>
      </c>
      <c r="D8156" s="223">
        <f t="shared" si="940"/>
        <v>45777</v>
      </c>
      <c r="E8156" s="240">
        <f t="shared" si="945"/>
        <v>45777</v>
      </c>
      <c r="F8156" s="511" t="s">
        <v>1247</v>
      </c>
      <c r="G8156" s="225" t="s">
        <v>1245</v>
      </c>
      <c r="H8156" s="226"/>
      <c r="I8156" s="226" t="s">
        <v>1253</v>
      </c>
      <c r="J8156" s="222" t="s">
        <v>77</v>
      </c>
      <c r="K8156" s="227">
        <f>M8156</f>
        <v>51845.05342145999</v>
      </c>
      <c r="L8156" s="227"/>
      <c r="M8156" s="130">
        <v>51845.05342145999</v>
      </c>
    </row>
    <row r="8157" spans="1:13" ht="11.25" customHeight="1" x14ac:dyDescent="0.2">
      <c r="A8157" s="228">
        <v>2025</v>
      </c>
      <c r="B8157" s="228">
        <v>4</v>
      </c>
      <c r="C8157" s="228">
        <v>30</v>
      </c>
      <c r="D8157" s="229">
        <f t="shared" si="940"/>
        <v>45777</v>
      </c>
      <c r="E8157" s="241">
        <f t="shared" si="945"/>
        <v>45777</v>
      </c>
      <c r="F8157" s="512"/>
      <c r="G8157" s="231" t="s">
        <v>1245</v>
      </c>
      <c r="H8157" s="232"/>
      <c r="I8157" s="232" t="s">
        <v>1253</v>
      </c>
      <c r="J8157" s="228" t="s">
        <v>41</v>
      </c>
      <c r="K8157" s="233"/>
      <c r="L8157" s="233">
        <f>K8156</f>
        <v>51845.05342145999</v>
      </c>
      <c r="M8157" s="130">
        <v>5184.5053421459988</v>
      </c>
    </row>
    <row r="8158" spans="1:13" ht="11.25" customHeight="1" x14ac:dyDescent="0.2">
      <c r="A8158" s="222">
        <v>2025</v>
      </c>
      <c r="B8158" s="222">
        <v>4</v>
      </c>
      <c r="C8158" s="222">
        <v>30</v>
      </c>
      <c r="D8158" s="223">
        <f t="shared" si="940"/>
        <v>45777</v>
      </c>
      <c r="E8158" s="240">
        <f t="shared" si="945"/>
        <v>45777</v>
      </c>
      <c r="F8158" s="511" t="s">
        <v>1248</v>
      </c>
      <c r="G8158" s="225" t="s">
        <v>1245</v>
      </c>
      <c r="H8158" s="226"/>
      <c r="I8158" s="226" t="s">
        <v>1253</v>
      </c>
      <c r="J8158" s="222" t="s">
        <v>80</v>
      </c>
      <c r="K8158" s="227">
        <f>M8157</f>
        <v>5184.5053421459988</v>
      </c>
      <c r="L8158" s="227"/>
    </row>
    <row r="8159" spans="1:13" ht="11.25" customHeight="1" x14ac:dyDescent="0.2">
      <c r="A8159" s="228">
        <v>2025</v>
      </c>
      <c r="B8159" s="228">
        <v>4</v>
      </c>
      <c r="C8159" s="228">
        <v>30</v>
      </c>
      <c r="D8159" s="229">
        <f t="shared" si="940"/>
        <v>45777</v>
      </c>
      <c r="E8159" s="241">
        <f t="shared" si="945"/>
        <v>45777</v>
      </c>
      <c r="F8159" s="512"/>
      <c r="G8159" s="231" t="s">
        <v>1245</v>
      </c>
      <c r="H8159" s="232"/>
      <c r="I8159" s="232" t="s">
        <v>1253</v>
      </c>
      <c r="J8159" s="228" t="s">
        <v>42</v>
      </c>
      <c r="K8159" s="233"/>
      <c r="L8159" s="233">
        <f>K8158</f>
        <v>5184.5053421459988</v>
      </c>
    </row>
    <row r="8160" spans="1:13" ht="11.25" customHeight="1" x14ac:dyDescent="0.2">
      <c r="A8160" s="197">
        <v>2025</v>
      </c>
      <c r="B8160" s="197">
        <v>5</v>
      </c>
      <c r="C8160" s="197">
        <v>3</v>
      </c>
      <c r="D8160" s="198">
        <f t="shared" si="940"/>
        <v>45780</v>
      </c>
      <c r="E8160" s="209">
        <f t="shared" si="945"/>
        <v>45780</v>
      </c>
      <c r="F8160" s="513" t="s">
        <v>1210</v>
      </c>
      <c r="G8160" s="200" t="s">
        <v>1209</v>
      </c>
      <c r="H8160" s="201"/>
      <c r="I8160" s="201" t="s">
        <v>2026</v>
      </c>
      <c r="J8160" s="197" t="s">
        <v>46</v>
      </c>
      <c r="K8160" s="202">
        <v>500000</v>
      </c>
      <c r="L8160" s="202"/>
    </row>
    <row r="8161" spans="1:14" ht="11.25" customHeight="1" x14ac:dyDescent="0.2">
      <c r="A8161" s="120">
        <v>2025</v>
      </c>
      <c r="B8161" s="120">
        <v>5</v>
      </c>
      <c r="C8161" s="120">
        <v>3</v>
      </c>
      <c r="D8161" s="208">
        <f t="shared" si="940"/>
        <v>45780</v>
      </c>
      <c r="E8161" s="209">
        <f t="shared" si="945"/>
        <v>45780</v>
      </c>
      <c r="F8161" s="515"/>
      <c r="G8161" s="132" t="s">
        <v>1209</v>
      </c>
      <c r="I8161" s="128" t="s">
        <v>2026</v>
      </c>
      <c r="J8161" s="120" t="s">
        <v>16</v>
      </c>
      <c r="K8161" s="207"/>
      <c r="L8161" s="207">
        <v>403190</v>
      </c>
    </row>
    <row r="8162" spans="1:14" ht="11.25" customHeight="1" x14ac:dyDescent="0.2">
      <c r="A8162" s="191">
        <v>2025</v>
      </c>
      <c r="B8162" s="191">
        <v>5</v>
      </c>
      <c r="C8162" s="191">
        <v>3</v>
      </c>
      <c r="D8162" s="192">
        <f t="shared" si="940"/>
        <v>45780</v>
      </c>
      <c r="E8162" s="193">
        <f t="shared" si="945"/>
        <v>45780</v>
      </c>
      <c r="F8162" s="514"/>
      <c r="G8162" s="194" t="s">
        <v>1209</v>
      </c>
      <c r="H8162" s="195"/>
      <c r="I8162" s="195" t="s">
        <v>2026</v>
      </c>
      <c r="J8162" s="191" t="s">
        <v>47</v>
      </c>
      <c r="K8162" s="196"/>
      <c r="L8162" s="196">
        <v>96810</v>
      </c>
    </row>
    <row r="8163" spans="1:14" ht="11.25" customHeight="1" x14ac:dyDescent="0.2">
      <c r="A8163" s="197">
        <v>2025</v>
      </c>
      <c r="B8163" s="197">
        <v>5</v>
      </c>
      <c r="C8163" s="197">
        <v>4</v>
      </c>
      <c r="D8163" s="198">
        <f t="shared" si="940"/>
        <v>45781</v>
      </c>
      <c r="E8163" s="209">
        <f t="shared" ref="E8163:E8169" si="946">DATE(A8163,B8163,C8163)</f>
        <v>45781</v>
      </c>
      <c r="F8163" s="513" t="s">
        <v>1210</v>
      </c>
      <c r="G8163" s="200" t="s">
        <v>1209</v>
      </c>
      <c r="H8163" s="201"/>
      <c r="I8163" s="201" t="s">
        <v>397</v>
      </c>
      <c r="J8163" s="197" t="s">
        <v>46</v>
      </c>
      <c r="K8163" s="202">
        <v>30000</v>
      </c>
      <c r="L8163" s="202"/>
    </row>
    <row r="8164" spans="1:14" ht="11.25" customHeight="1" x14ac:dyDescent="0.2">
      <c r="A8164" s="120">
        <v>2025</v>
      </c>
      <c r="B8164" s="120">
        <v>5</v>
      </c>
      <c r="C8164" s="120">
        <v>4</v>
      </c>
      <c r="D8164" s="208">
        <f t="shared" si="940"/>
        <v>45781</v>
      </c>
      <c r="E8164" s="209">
        <f t="shared" si="946"/>
        <v>45781</v>
      </c>
      <c r="F8164" s="515"/>
      <c r="G8164" s="132" t="s">
        <v>1209</v>
      </c>
      <c r="I8164" s="128" t="s">
        <v>397</v>
      </c>
      <c r="J8164" s="120" t="s">
        <v>16</v>
      </c>
      <c r="K8164" s="207"/>
      <c r="L8164" s="207">
        <v>24190</v>
      </c>
    </row>
    <row r="8165" spans="1:14" ht="11.25" customHeight="1" x14ac:dyDescent="0.2">
      <c r="A8165" s="191">
        <v>2025</v>
      </c>
      <c r="B8165" s="191">
        <v>5</v>
      </c>
      <c r="C8165" s="191">
        <v>4</v>
      </c>
      <c r="D8165" s="192">
        <f t="shared" si="940"/>
        <v>45781</v>
      </c>
      <c r="E8165" s="193">
        <f t="shared" si="946"/>
        <v>45781</v>
      </c>
      <c r="F8165" s="514"/>
      <c r="G8165" s="194" t="s">
        <v>1209</v>
      </c>
      <c r="H8165" s="195"/>
      <c r="I8165" s="195" t="s">
        <v>397</v>
      </c>
      <c r="J8165" s="191" t="s">
        <v>47</v>
      </c>
      <c r="K8165" s="196"/>
      <c r="L8165" s="196">
        <v>5810</v>
      </c>
    </row>
    <row r="8166" spans="1:14" ht="11.25" customHeight="1" x14ac:dyDescent="0.2">
      <c r="A8166" s="344">
        <v>2025</v>
      </c>
      <c r="B8166" s="344">
        <v>5</v>
      </c>
      <c r="C8166" s="344">
        <v>5</v>
      </c>
      <c r="D8166" s="345">
        <f t="shared" si="940"/>
        <v>45782</v>
      </c>
      <c r="E8166" s="346">
        <f>DATE(A8166,B8166,C8166)</f>
        <v>45782</v>
      </c>
      <c r="F8166" s="518" t="s">
        <v>1988</v>
      </c>
      <c r="G8166" s="347" t="s">
        <v>1245</v>
      </c>
      <c r="H8166" s="348"/>
      <c r="I8166" s="348" t="s">
        <v>1253</v>
      </c>
      <c r="J8166" s="344" t="s">
        <v>113</v>
      </c>
      <c r="K8166" s="349">
        <v>10948.639999999985</v>
      </c>
      <c r="L8166" s="349"/>
      <c r="M8166" s="130"/>
    </row>
    <row r="8167" spans="1:14" ht="11.25" customHeight="1" x14ac:dyDescent="0.2">
      <c r="A8167" s="350">
        <v>2025</v>
      </c>
      <c r="B8167" s="350">
        <v>5</v>
      </c>
      <c r="C8167" s="350">
        <v>5</v>
      </c>
      <c r="D8167" s="351">
        <f t="shared" si="940"/>
        <v>45782</v>
      </c>
      <c r="E8167" s="352">
        <f>DATE(A8167,B8167,C8167)</f>
        <v>45782</v>
      </c>
      <c r="F8167" s="519"/>
      <c r="G8167" s="353" t="s">
        <v>1245</v>
      </c>
      <c r="H8167" s="354"/>
      <c r="I8167" s="354" t="s">
        <v>1253</v>
      </c>
      <c r="J8167" s="350" t="s">
        <v>153</v>
      </c>
      <c r="K8167" s="355"/>
      <c r="L8167" s="355">
        <f>K8166</f>
        <v>10948.639999999985</v>
      </c>
    </row>
    <row r="8168" spans="1:14" ht="11.25" customHeight="1" x14ac:dyDescent="0.2">
      <c r="A8168" s="120">
        <v>2025</v>
      </c>
      <c r="B8168" s="120">
        <v>5</v>
      </c>
      <c r="C8168" s="120">
        <v>5</v>
      </c>
      <c r="D8168" s="208">
        <f t="shared" si="940"/>
        <v>45782</v>
      </c>
      <c r="E8168" s="293">
        <f t="shared" si="946"/>
        <v>45782</v>
      </c>
      <c r="F8168" s="513" t="s">
        <v>1994</v>
      </c>
      <c r="G8168" s="132" t="s">
        <v>1209</v>
      </c>
      <c r="I8168" s="128" t="s">
        <v>1253</v>
      </c>
      <c r="J8168" s="120" t="s">
        <v>46</v>
      </c>
      <c r="K8168" s="207">
        <v>142333.24</v>
      </c>
      <c r="L8168" s="207"/>
      <c r="M8168" s="251"/>
    </row>
    <row r="8169" spans="1:14" ht="11.25" customHeight="1" x14ac:dyDescent="0.2">
      <c r="A8169" s="191">
        <v>2025</v>
      </c>
      <c r="B8169" s="191">
        <v>5</v>
      </c>
      <c r="C8169" s="191">
        <v>5</v>
      </c>
      <c r="D8169" s="192">
        <f t="shared" si="940"/>
        <v>45782</v>
      </c>
      <c r="E8169" s="291">
        <f t="shared" si="946"/>
        <v>45782</v>
      </c>
      <c r="F8169" s="513"/>
      <c r="G8169" s="194" t="s">
        <v>1209</v>
      </c>
      <c r="H8169" s="195"/>
      <c r="I8169" s="195" t="s">
        <v>1253</v>
      </c>
      <c r="J8169" s="191" t="s">
        <v>113</v>
      </c>
      <c r="K8169" s="196"/>
      <c r="L8169" s="379">
        <v>142333.24</v>
      </c>
      <c r="M8169" s="328"/>
      <c r="N8169" s="328"/>
    </row>
    <row r="8170" spans="1:14" ht="11.25" customHeight="1" x14ac:dyDescent="0.2">
      <c r="A8170" s="120">
        <v>2025</v>
      </c>
      <c r="B8170" s="120">
        <v>5</v>
      </c>
      <c r="C8170" s="120">
        <v>5</v>
      </c>
      <c r="D8170" s="208">
        <f t="shared" si="940"/>
        <v>45782</v>
      </c>
      <c r="E8170" s="209">
        <f t="shared" si="945"/>
        <v>45782</v>
      </c>
      <c r="F8170" s="515" t="s">
        <v>1296</v>
      </c>
      <c r="G8170" s="132" t="s">
        <v>1209</v>
      </c>
      <c r="J8170" s="120" t="s">
        <v>46</v>
      </c>
      <c r="K8170" s="207">
        <v>212000</v>
      </c>
      <c r="L8170" s="207"/>
    </row>
    <row r="8171" spans="1:14" ht="11.25" customHeight="1" x14ac:dyDescent="0.2">
      <c r="A8171" s="120">
        <v>2025</v>
      </c>
      <c r="B8171" s="120">
        <v>5</v>
      </c>
      <c r="C8171" s="120">
        <v>5</v>
      </c>
      <c r="D8171" s="208">
        <f t="shared" si="940"/>
        <v>45782</v>
      </c>
      <c r="E8171" s="209">
        <f t="shared" si="945"/>
        <v>45782</v>
      </c>
      <c r="F8171" s="515"/>
      <c r="G8171" s="132" t="s">
        <v>1209</v>
      </c>
      <c r="J8171" s="120" t="s">
        <v>16</v>
      </c>
      <c r="K8171" s="207"/>
      <c r="L8171" s="207">
        <v>170960</v>
      </c>
    </row>
    <row r="8172" spans="1:14" ht="11.25" customHeight="1" x14ac:dyDescent="0.2">
      <c r="A8172" s="191">
        <v>2025</v>
      </c>
      <c r="B8172" s="191">
        <v>5</v>
      </c>
      <c r="C8172" s="191">
        <v>5</v>
      </c>
      <c r="D8172" s="192">
        <f t="shared" ref="D8172:D8235" si="947">DATE(A8172,B8172,C8172)</f>
        <v>45782</v>
      </c>
      <c r="E8172" s="193">
        <f t="shared" si="945"/>
        <v>45782</v>
      </c>
      <c r="F8172" s="514"/>
      <c r="G8172" s="194" t="s">
        <v>1209</v>
      </c>
      <c r="H8172" s="195"/>
      <c r="I8172" s="195"/>
      <c r="J8172" s="191" t="s">
        <v>47</v>
      </c>
      <c r="K8172" s="196"/>
      <c r="L8172" s="196">
        <v>41040</v>
      </c>
    </row>
    <row r="8173" spans="1:14" ht="11.25" customHeight="1" x14ac:dyDescent="0.2">
      <c r="A8173" s="197">
        <v>2025</v>
      </c>
      <c r="B8173" s="197">
        <v>5</v>
      </c>
      <c r="C8173" s="197">
        <v>6</v>
      </c>
      <c r="D8173" s="198">
        <f t="shared" si="947"/>
        <v>45783</v>
      </c>
      <c r="E8173" s="209">
        <f t="shared" ref="E8173:E8181" si="948">DATE(A8173,B8173,C8173)</f>
        <v>45783</v>
      </c>
      <c r="F8173" s="513" t="s">
        <v>1296</v>
      </c>
      <c r="G8173" s="200" t="s">
        <v>1209</v>
      </c>
      <c r="H8173" s="201"/>
      <c r="I8173" s="201"/>
      <c r="J8173" s="197" t="s">
        <v>46</v>
      </c>
      <c r="K8173" s="202">
        <v>50000</v>
      </c>
      <c r="L8173" s="202"/>
    </row>
    <row r="8174" spans="1:14" ht="11.25" customHeight="1" x14ac:dyDescent="0.2">
      <c r="A8174" s="120">
        <v>2025</v>
      </c>
      <c r="B8174" s="120">
        <v>5</v>
      </c>
      <c r="C8174" s="120">
        <v>6</v>
      </c>
      <c r="D8174" s="208">
        <f t="shared" si="947"/>
        <v>45783</v>
      </c>
      <c r="E8174" s="209">
        <f t="shared" si="948"/>
        <v>45783</v>
      </c>
      <c r="F8174" s="515"/>
      <c r="G8174" s="132" t="s">
        <v>1209</v>
      </c>
      <c r="J8174" s="120" t="s">
        <v>16</v>
      </c>
      <c r="K8174" s="207"/>
      <c r="L8174" s="207">
        <v>40320</v>
      </c>
    </row>
    <row r="8175" spans="1:14" ht="11.25" customHeight="1" x14ac:dyDescent="0.2">
      <c r="A8175" s="191">
        <v>2025</v>
      </c>
      <c r="B8175" s="191">
        <v>5</v>
      </c>
      <c r="C8175" s="191">
        <v>6</v>
      </c>
      <c r="D8175" s="192">
        <f t="shared" si="947"/>
        <v>45783</v>
      </c>
      <c r="E8175" s="193">
        <f t="shared" si="948"/>
        <v>45783</v>
      </c>
      <c r="F8175" s="514"/>
      <c r="G8175" s="194" t="s">
        <v>1209</v>
      </c>
      <c r="H8175" s="195"/>
      <c r="I8175" s="195"/>
      <c r="J8175" s="191" t="s">
        <v>47</v>
      </c>
      <c r="K8175" s="196"/>
      <c r="L8175" s="196">
        <v>9680</v>
      </c>
    </row>
    <row r="8176" spans="1:14" ht="11.25" customHeight="1" x14ac:dyDescent="0.2">
      <c r="A8176" s="197">
        <v>2025</v>
      </c>
      <c r="B8176" s="197">
        <v>5</v>
      </c>
      <c r="C8176" s="197">
        <v>7</v>
      </c>
      <c r="D8176" s="198">
        <f t="shared" si="947"/>
        <v>45784</v>
      </c>
      <c r="E8176" s="209">
        <f t="shared" si="948"/>
        <v>45784</v>
      </c>
      <c r="F8176" s="513" t="s">
        <v>1210</v>
      </c>
      <c r="G8176" s="200" t="s">
        <v>1209</v>
      </c>
      <c r="H8176" s="201"/>
      <c r="I8176" s="201" t="s">
        <v>2027</v>
      </c>
      <c r="J8176" s="197" t="s">
        <v>46</v>
      </c>
      <c r="K8176" s="202">
        <v>10000</v>
      </c>
      <c r="L8176" s="202"/>
    </row>
    <row r="8177" spans="1:15" ht="11.25" customHeight="1" x14ac:dyDescent="0.2">
      <c r="A8177" s="120">
        <v>2025</v>
      </c>
      <c r="B8177" s="120">
        <v>5</v>
      </c>
      <c r="C8177" s="120">
        <v>7</v>
      </c>
      <c r="D8177" s="208">
        <f t="shared" si="947"/>
        <v>45784</v>
      </c>
      <c r="E8177" s="209">
        <f t="shared" si="948"/>
        <v>45784</v>
      </c>
      <c r="F8177" s="515"/>
      <c r="G8177" s="132" t="s">
        <v>1209</v>
      </c>
      <c r="I8177" s="128" t="s">
        <v>2027</v>
      </c>
      <c r="J8177" s="120" t="s">
        <v>16</v>
      </c>
      <c r="K8177" s="207"/>
      <c r="L8177" s="207">
        <v>8060</v>
      </c>
    </row>
    <row r="8178" spans="1:15" ht="11.25" customHeight="1" x14ac:dyDescent="0.2">
      <c r="A8178" s="191">
        <v>2025</v>
      </c>
      <c r="B8178" s="191">
        <v>5</v>
      </c>
      <c r="C8178" s="191">
        <v>7</v>
      </c>
      <c r="D8178" s="192">
        <f t="shared" si="947"/>
        <v>45784</v>
      </c>
      <c r="E8178" s="193">
        <f t="shared" si="948"/>
        <v>45784</v>
      </c>
      <c r="F8178" s="514"/>
      <c r="G8178" s="194" t="s">
        <v>1209</v>
      </c>
      <c r="H8178" s="195"/>
      <c r="I8178" s="195" t="s">
        <v>2027</v>
      </c>
      <c r="J8178" s="191" t="s">
        <v>47</v>
      </c>
      <c r="K8178" s="196"/>
      <c r="L8178" s="196">
        <v>1940</v>
      </c>
    </row>
    <row r="8179" spans="1:15" ht="11.25" customHeight="1" x14ac:dyDescent="0.2">
      <c r="A8179" s="197">
        <v>2025</v>
      </c>
      <c r="B8179" s="197">
        <v>5</v>
      </c>
      <c r="C8179" s="197">
        <v>7</v>
      </c>
      <c r="D8179" s="198">
        <f t="shared" si="947"/>
        <v>45784</v>
      </c>
      <c r="E8179" s="209">
        <f t="shared" si="948"/>
        <v>45784</v>
      </c>
      <c r="F8179" s="513" t="s">
        <v>1280</v>
      </c>
      <c r="G8179" s="200" t="s">
        <v>1209</v>
      </c>
      <c r="H8179" s="201"/>
      <c r="I8179" s="201" t="s">
        <v>404</v>
      </c>
      <c r="J8179" s="197" t="s">
        <v>16</v>
      </c>
      <c r="K8179" s="202">
        <v>400000</v>
      </c>
      <c r="L8179" s="202"/>
      <c r="M8179" s="130"/>
      <c r="N8179" s="130"/>
    </row>
    <row r="8180" spans="1:15" ht="11.25" customHeight="1" x14ac:dyDescent="0.2">
      <c r="A8180" s="120">
        <v>2025</v>
      </c>
      <c r="B8180" s="120">
        <v>5</v>
      </c>
      <c r="C8180" s="120">
        <v>7</v>
      </c>
      <c r="D8180" s="208">
        <f t="shared" si="947"/>
        <v>45784</v>
      </c>
      <c r="E8180" s="209">
        <f t="shared" si="948"/>
        <v>45784</v>
      </c>
      <c r="F8180" s="515"/>
      <c r="G8180" s="132" t="s">
        <v>1209</v>
      </c>
      <c r="I8180" s="128" t="s">
        <v>404</v>
      </c>
      <c r="J8180" s="120" t="s">
        <v>47</v>
      </c>
      <c r="K8180" s="207">
        <v>96040</v>
      </c>
      <c r="L8180" s="207"/>
      <c r="M8180" s="130"/>
      <c r="N8180" s="130"/>
    </row>
    <row r="8181" spans="1:15" ht="11.25" customHeight="1" x14ac:dyDescent="0.2">
      <c r="A8181" s="191">
        <v>2025</v>
      </c>
      <c r="B8181" s="191">
        <v>5</v>
      </c>
      <c r="C8181" s="191">
        <v>7</v>
      </c>
      <c r="D8181" s="192">
        <f t="shared" si="947"/>
        <v>45784</v>
      </c>
      <c r="E8181" s="193">
        <f t="shared" si="948"/>
        <v>45784</v>
      </c>
      <c r="F8181" s="514"/>
      <c r="G8181" s="194" t="s">
        <v>1209</v>
      </c>
      <c r="H8181" s="195"/>
      <c r="I8181" s="195" t="s">
        <v>404</v>
      </c>
      <c r="J8181" s="191" t="s">
        <v>46</v>
      </c>
      <c r="K8181" s="196"/>
      <c r="L8181" s="196">
        <v>496040</v>
      </c>
      <c r="M8181" s="130"/>
      <c r="N8181" s="130"/>
    </row>
    <row r="8182" spans="1:15" ht="11.25" customHeight="1" x14ac:dyDescent="0.2">
      <c r="A8182" s="197">
        <v>2025</v>
      </c>
      <c r="B8182" s="197">
        <v>5</v>
      </c>
      <c r="C8182" s="197">
        <v>7</v>
      </c>
      <c r="D8182" s="198">
        <f t="shared" si="947"/>
        <v>45784</v>
      </c>
      <c r="E8182" s="209">
        <f t="shared" ref="E8182:E8184" si="949">DATE(A8182,B8182,C8182)</f>
        <v>45784</v>
      </c>
      <c r="F8182" s="513" t="s">
        <v>1210</v>
      </c>
      <c r="G8182" s="200" t="s">
        <v>1209</v>
      </c>
      <c r="H8182" s="201"/>
      <c r="I8182" s="201" t="s">
        <v>2028</v>
      </c>
      <c r="J8182" s="197" t="s">
        <v>46</v>
      </c>
      <c r="K8182" s="202">
        <v>1000000</v>
      </c>
      <c r="L8182" s="202"/>
    </row>
    <row r="8183" spans="1:15" ht="11.25" customHeight="1" x14ac:dyDescent="0.2">
      <c r="A8183" s="120">
        <v>2025</v>
      </c>
      <c r="B8183" s="120">
        <v>5</v>
      </c>
      <c r="C8183" s="120">
        <v>7</v>
      </c>
      <c r="D8183" s="208">
        <f t="shared" si="947"/>
        <v>45784</v>
      </c>
      <c r="E8183" s="209">
        <f t="shared" si="949"/>
        <v>45784</v>
      </c>
      <c r="F8183" s="515"/>
      <c r="G8183" s="132" t="s">
        <v>1209</v>
      </c>
      <c r="I8183" s="128" t="s">
        <v>2028</v>
      </c>
      <c r="J8183" s="120" t="s">
        <v>16</v>
      </c>
      <c r="K8183" s="207"/>
      <c r="L8183" s="207">
        <v>806390</v>
      </c>
    </row>
    <row r="8184" spans="1:15" ht="11.25" customHeight="1" x14ac:dyDescent="0.2">
      <c r="A8184" s="191">
        <v>2025</v>
      </c>
      <c r="B8184" s="191">
        <v>5</v>
      </c>
      <c r="C8184" s="191">
        <v>7</v>
      </c>
      <c r="D8184" s="192">
        <f t="shared" si="947"/>
        <v>45784</v>
      </c>
      <c r="E8184" s="193">
        <f t="shared" si="949"/>
        <v>45784</v>
      </c>
      <c r="F8184" s="514"/>
      <c r="G8184" s="194" t="s">
        <v>1209</v>
      </c>
      <c r="H8184" s="195"/>
      <c r="I8184" s="195" t="s">
        <v>2028</v>
      </c>
      <c r="J8184" s="191" t="s">
        <v>47</v>
      </c>
      <c r="K8184" s="196"/>
      <c r="L8184" s="196">
        <v>193610</v>
      </c>
    </row>
    <row r="8185" spans="1:15" ht="11.25" customHeight="1" x14ac:dyDescent="0.2">
      <c r="A8185" s="197">
        <v>2025</v>
      </c>
      <c r="B8185" s="197">
        <v>5</v>
      </c>
      <c r="C8185" s="197">
        <v>7</v>
      </c>
      <c r="D8185" s="198">
        <f t="shared" si="947"/>
        <v>45784</v>
      </c>
      <c r="E8185" s="290">
        <f>DATE(A8185,B8185,C8185)</f>
        <v>45784</v>
      </c>
      <c r="F8185" s="513" t="s">
        <v>1514</v>
      </c>
      <c r="G8185" s="200" t="s">
        <v>1209</v>
      </c>
      <c r="H8185" s="201"/>
      <c r="I8185" s="201"/>
      <c r="J8185" s="197" t="s">
        <v>54</v>
      </c>
      <c r="K8185" s="202">
        <v>25</v>
      </c>
      <c r="L8185" s="202"/>
      <c r="M8185" s="251"/>
      <c r="N8185" s="251"/>
      <c r="O8185" s="251"/>
    </row>
    <row r="8186" spans="1:15" ht="11.25" customHeight="1" x14ac:dyDescent="0.2">
      <c r="A8186" s="191">
        <v>2025</v>
      </c>
      <c r="B8186" s="191">
        <v>5</v>
      </c>
      <c r="C8186" s="191">
        <v>7</v>
      </c>
      <c r="D8186" s="192">
        <f t="shared" si="947"/>
        <v>45784</v>
      </c>
      <c r="E8186" s="291">
        <f>DATE(A8186,B8186,C8186)</f>
        <v>45784</v>
      </c>
      <c r="F8186" s="514"/>
      <c r="G8186" s="194" t="s">
        <v>1209</v>
      </c>
      <c r="H8186" s="195"/>
      <c r="I8186" s="195"/>
      <c r="J8186" s="191" t="s">
        <v>46</v>
      </c>
      <c r="K8186" s="196"/>
      <c r="L8186" s="196">
        <v>25</v>
      </c>
      <c r="M8186" s="251"/>
      <c r="N8186" s="251"/>
      <c r="O8186" s="251"/>
    </row>
    <row r="8187" spans="1:15" ht="11.25" customHeight="1" x14ac:dyDescent="0.2">
      <c r="A8187" s="197">
        <v>2025</v>
      </c>
      <c r="B8187" s="197">
        <v>5</v>
      </c>
      <c r="C8187" s="197">
        <v>8</v>
      </c>
      <c r="D8187" s="198">
        <f t="shared" si="947"/>
        <v>45785</v>
      </c>
      <c r="E8187" s="209">
        <f t="shared" ref="E8187:E8192" si="950">DATE(A8187,B8187,C8187)</f>
        <v>45785</v>
      </c>
      <c r="F8187" s="513" t="s">
        <v>1210</v>
      </c>
      <c r="G8187" s="200" t="s">
        <v>1209</v>
      </c>
      <c r="H8187" s="201"/>
      <c r="I8187" s="201" t="s">
        <v>648</v>
      </c>
      <c r="J8187" s="197" t="s">
        <v>46</v>
      </c>
      <c r="K8187" s="202">
        <v>471238</v>
      </c>
      <c r="L8187" s="202"/>
    </row>
    <row r="8188" spans="1:15" ht="11.25" customHeight="1" x14ac:dyDescent="0.2">
      <c r="A8188" s="120">
        <v>2025</v>
      </c>
      <c r="B8188" s="120">
        <v>5</v>
      </c>
      <c r="C8188" s="120">
        <v>8</v>
      </c>
      <c r="D8188" s="208">
        <f t="shared" si="947"/>
        <v>45785</v>
      </c>
      <c r="E8188" s="209">
        <f t="shared" si="950"/>
        <v>45785</v>
      </c>
      <c r="F8188" s="515"/>
      <c r="G8188" s="132" t="s">
        <v>1209</v>
      </c>
      <c r="I8188" s="128" t="s">
        <v>648</v>
      </c>
      <c r="J8188" s="120" t="s">
        <v>16</v>
      </c>
      <c r="K8188" s="207"/>
      <c r="L8188" s="207">
        <v>380000</v>
      </c>
    </row>
    <row r="8189" spans="1:15" ht="11.25" customHeight="1" x14ac:dyDescent="0.2">
      <c r="A8189" s="191">
        <v>2025</v>
      </c>
      <c r="B8189" s="191">
        <v>5</v>
      </c>
      <c r="C8189" s="191">
        <v>8</v>
      </c>
      <c r="D8189" s="192">
        <f t="shared" si="947"/>
        <v>45785</v>
      </c>
      <c r="E8189" s="193">
        <f t="shared" si="950"/>
        <v>45785</v>
      </c>
      <c r="F8189" s="514"/>
      <c r="G8189" s="194" t="s">
        <v>1209</v>
      </c>
      <c r="H8189" s="195"/>
      <c r="I8189" s="195" t="s">
        <v>648</v>
      </c>
      <c r="J8189" s="191" t="s">
        <v>47</v>
      </c>
      <c r="K8189" s="196"/>
      <c r="L8189" s="196">
        <v>91238</v>
      </c>
    </row>
    <row r="8190" spans="1:15" ht="11.25" customHeight="1" x14ac:dyDescent="0.2">
      <c r="A8190" s="197">
        <v>2025</v>
      </c>
      <c r="B8190" s="197">
        <v>5</v>
      </c>
      <c r="C8190" s="197">
        <v>8</v>
      </c>
      <c r="D8190" s="198">
        <f t="shared" si="947"/>
        <v>45785</v>
      </c>
      <c r="E8190" s="209">
        <f t="shared" si="950"/>
        <v>45785</v>
      </c>
      <c r="F8190" s="513" t="s">
        <v>1280</v>
      </c>
      <c r="G8190" s="200" t="s">
        <v>1209</v>
      </c>
      <c r="H8190" s="201"/>
      <c r="I8190" s="201" t="s">
        <v>1947</v>
      </c>
      <c r="J8190" s="197" t="s">
        <v>16</v>
      </c>
      <c r="K8190" s="202">
        <v>8980</v>
      </c>
      <c r="L8190" s="202"/>
      <c r="M8190" s="130"/>
      <c r="N8190" s="130"/>
    </row>
    <row r="8191" spans="1:15" ht="11.25" customHeight="1" x14ac:dyDescent="0.2">
      <c r="A8191" s="120">
        <v>2025</v>
      </c>
      <c r="B8191" s="120">
        <v>5</v>
      </c>
      <c r="C8191" s="120">
        <v>8</v>
      </c>
      <c r="D8191" s="208">
        <f t="shared" si="947"/>
        <v>45785</v>
      </c>
      <c r="E8191" s="209">
        <f t="shared" si="950"/>
        <v>45785</v>
      </c>
      <c r="F8191" s="515"/>
      <c r="G8191" s="132" t="s">
        <v>1209</v>
      </c>
      <c r="I8191" s="128" t="s">
        <v>1947</v>
      </c>
      <c r="J8191" s="120" t="s">
        <v>47</v>
      </c>
      <c r="K8191" s="207">
        <v>2152.0200000000004</v>
      </c>
      <c r="L8191" s="207"/>
      <c r="M8191" s="130"/>
      <c r="N8191" s="130"/>
    </row>
    <row r="8192" spans="1:15" ht="11.25" customHeight="1" x14ac:dyDescent="0.2">
      <c r="A8192" s="191">
        <v>2025</v>
      </c>
      <c r="B8192" s="191">
        <v>5</v>
      </c>
      <c r="C8192" s="191">
        <v>8</v>
      </c>
      <c r="D8192" s="192">
        <f t="shared" si="947"/>
        <v>45785</v>
      </c>
      <c r="E8192" s="193">
        <f t="shared" si="950"/>
        <v>45785</v>
      </c>
      <c r="F8192" s="514"/>
      <c r="G8192" s="194" t="s">
        <v>1209</v>
      </c>
      <c r="H8192" s="195"/>
      <c r="I8192" s="195" t="s">
        <v>1947</v>
      </c>
      <c r="J8192" s="191" t="s">
        <v>46</v>
      </c>
      <c r="K8192" s="196"/>
      <c r="L8192" s="196">
        <v>11132.02</v>
      </c>
      <c r="M8192" s="130"/>
      <c r="N8192" s="130"/>
    </row>
    <row r="8193" spans="1:14" ht="11.25" customHeight="1" x14ac:dyDescent="0.2">
      <c r="A8193" s="197">
        <v>2025</v>
      </c>
      <c r="B8193" s="197">
        <v>5</v>
      </c>
      <c r="C8193" s="197">
        <v>8</v>
      </c>
      <c r="D8193" s="198">
        <f t="shared" si="947"/>
        <v>45785</v>
      </c>
      <c r="E8193" s="209">
        <f t="shared" ref="E8193:E8198" si="951">DATE(A8193,B8193,C8193)</f>
        <v>45785</v>
      </c>
      <c r="F8193" s="513" t="s">
        <v>1210</v>
      </c>
      <c r="G8193" s="200" t="s">
        <v>1209</v>
      </c>
      <c r="H8193" s="201"/>
      <c r="I8193" s="201" t="s">
        <v>520</v>
      </c>
      <c r="J8193" s="197" t="s">
        <v>46</v>
      </c>
      <c r="K8193" s="202">
        <v>1100000</v>
      </c>
      <c r="L8193" s="202"/>
    </row>
    <row r="8194" spans="1:14" ht="11.25" customHeight="1" x14ac:dyDescent="0.2">
      <c r="A8194" s="120">
        <v>2025</v>
      </c>
      <c r="B8194" s="120">
        <v>5</v>
      </c>
      <c r="C8194" s="120">
        <v>8</v>
      </c>
      <c r="D8194" s="208">
        <f t="shared" si="947"/>
        <v>45785</v>
      </c>
      <c r="E8194" s="209">
        <f t="shared" si="951"/>
        <v>45785</v>
      </c>
      <c r="F8194" s="515"/>
      <c r="G8194" s="132" t="s">
        <v>1209</v>
      </c>
      <c r="I8194" s="128" t="s">
        <v>520</v>
      </c>
      <c r="J8194" s="120" t="s">
        <v>16</v>
      </c>
      <c r="K8194" s="207"/>
      <c r="L8194" s="207">
        <v>887030</v>
      </c>
    </row>
    <row r="8195" spans="1:14" ht="11.25" customHeight="1" x14ac:dyDescent="0.2">
      <c r="A8195" s="191">
        <v>2025</v>
      </c>
      <c r="B8195" s="191">
        <v>5</v>
      </c>
      <c r="C8195" s="191">
        <v>8</v>
      </c>
      <c r="D8195" s="192">
        <f t="shared" si="947"/>
        <v>45785</v>
      </c>
      <c r="E8195" s="193">
        <f t="shared" si="951"/>
        <v>45785</v>
      </c>
      <c r="F8195" s="514"/>
      <c r="G8195" s="194" t="s">
        <v>1209</v>
      </c>
      <c r="H8195" s="195"/>
      <c r="I8195" s="195" t="s">
        <v>520</v>
      </c>
      <c r="J8195" s="191" t="s">
        <v>47</v>
      </c>
      <c r="K8195" s="196"/>
      <c r="L8195" s="196">
        <v>212970</v>
      </c>
    </row>
    <row r="8196" spans="1:14" ht="11.25" customHeight="1" x14ac:dyDescent="0.2">
      <c r="A8196" s="197">
        <v>2025</v>
      </c>
      <c r="B8196" s="197">
        <v>5</v>
      </c>
      <c r="C8196" s="197">
        <v>8</v>
      </c>
      <c r="D8196" s="198">
        <f t="shared" si="947"/>
        <v>45785</v>
      </c>
      <c r="E8196" s="209">
        <f t="shared" si="951"/>
        <v>45785</v>
      </c>
      <c r="F8196" s="513" t="s">
        <v>1280</v>
      </c>
      <c r="G8196" s="200" t="s">
        <v>1209</v>
      </c>
      <c r="H8196" s="201"/>
      <c r="I8196" s="201" t="s">
        <v>310</v>
      </c>
      <c r="J8196" s="197" t="s">
        <v>16</v>
      </c>
      <c r="K8196" s="202">
        <v>1726970</v>
      </c>
      <c r="L8196" s="202"/>
      <c r="M8196" s="130"/>
      <c r="N8196" s="130"/>
    </row>
    <row r="8197" spans="1:14" ht="11.25" customHeight="1" x14ac:dyDescent="0.2">
      <c r="A8197" s="120">
        <v>2025</v>
      </c>
      <c r="B8197" s="120">
        <v>5</v>
      </c>
      <c r="C8197" s="120">
        <v>8</v>
      </c>
      <c r="D8197" s="208">
        <f t="shared" si="947"/>
        <v>45785</v>
      </c>
      <c r="E8197" s="209">
        <f t="shared" si="951"/>
        <v>45785</v>
      </c>
      <c r="F8197" s="515"/>
      <c r="G8197" s="132" t="s">
        <v>1209</v>
      </c>
      <c r="I8197" s="128" t="s">
        <v>310</v>
      </c>
      <c r="J8197" s="120" t="s">
        <v>47</v>
      </c>
      <c r="K8197" s="207">
        <v>414645.5</v>
      </c>
      <c r="L8197" s="207"/>
      <c r="M8197" s="130"/>
      <c r="N8197" s="130"/>
    </row>
    <row r="8198" spans="1:14" ht="11.25" customHeight="1" x14ac:dyDescent="0.2">
      <c r="A8198" s="191">
        <v>2025</v>
      </c>
      <c r="B8198" s="191">
        <v>5</v>
      </c>
      <c r="C8198" s="191">
        <v>8</v>
      </c>
      <c r="D8198" s="192">
        <f t="shared" si="947"/>
        <v>45785</v>
      </c>
      <c r="E8198" s="193">
        <f t="shared" si="951"/>
        <v>45785</v>
      </c>
      <c r="F8198" s="514"/>
      <c r="G8198" s="194" t="s">
        <v>1209</v>
      </c>
      <c r="H8198" s="195"/>
      <c r="I8198" s="195" t="s">
        <v>310</v>
      </c>
      <c r="J8198" s="191" t="s">
        <v>46</v>
      </c>
      <c r="K8198" s="196"/>
      <c r="L8198" s="196">
        <v>2141615.5</v>
      </c>
      <c r="M8198" s="130"/>
      <c r="N8198" s="130"/>
    </row>
    <row r="8199" spans="1:14" ht="11.25" customHeight="1" x14ac:dyDescent="0.2">
      <c r="A8199" s="197">
        <v>2025</v>
      </c>
      <c r="B8199" s="197">
        <v>5</v>
      </c>
      <c r="C8199" s="197">
        <v>8</v>
      </c>
      <c r="D8199" s="198">
        <f t="shared" si="947"/>
        <v>45785</v>
      </c>
      <c r="E8199" s="209">
        <f t="shared" ref="E8199:E8201" si="952">DATE(A8199,B8199,C8199)</f>
        <v>45785</v>
      </c>
      <c r="F8199" s="513" t="s">
        <v>1210</v>
      </c>
      <c r="G8199" s="200" t="s">
        <v>1209</v>
      </c>
      <c r="H8199" s="201"/>
      <c r="I8199" s="201" t="s">
        <v>355</v>
      </c>
      <c r="J8199" s="197" t="s">
        <v>46</v>
      </c>
      <c r="K8199" s="202">
        <v>74406</v>
      </c>
      <c r="L8199" s="202"/>
    </row>
    <row r="8200" spans="1:14" ht="11.25" customHeight="1" x14ac:dyDescent="0.2">
      <c r="A8200" s="120">
        <v>2025</v>
      </c>
      <c r="B8200" s="120">
        <v>5</v>
      </c>
      <c r="C8200" s="120">
        <v>8</v>
      </c>
      <c r="D8200" s="208">
        <f t="shared" si="947"/>
        <v>45785</v>
      </c>
      <c r="E8200" s="209">
        <f t="shared" si="952"/>
        <v>45785</v>
      </c>
      <c r="F8200" s="515"/>
      <c r="G8200" s="132" t="s">
        <v>1209</v>
      </c>
      <c r="I8200" s="128" t="s">
        <v>355</v>
      </c>
      <c r="J8200" s="120" t="s">
        <v>16</v>
      </c>
      <c r="K8200" s="207"/>
      <c r="L8200" s="207">
        <v>60000</v>
      </c>
    </row>
    <row r="8201" spans="1:14" ht="11.25" customHeight="1" x14ac:dyDescent="0.2">
      <c r="A8201" s="191">
        <v>2025</v>
      </c>
      <c r="B8201" s="191">
        <v>5</v>
      </c>
      <c r="C8201" s="191">
        <v>8</v>
      </c>
      <c r="D8201" s="192">
        <f t="shared" si="947"/>
        <v>45785</v>
      </c>
      <c r="E8201" s="193">
        <f t="shared" si="952"/>
        <v>45785</v>
      </c>
      <c r="F8201" s="514"/>
      <c r="G8201" s="194" t="s">
        <v>1209</v>
      </c>
      <c r="H8201" s="195"/>
      <c r="I8201" s="195" t="s">
        <v>355</v>
      </c>
      <c r="J8201" s="191" t="s">
        <v>47</v>
      </c>
      <c r="K8201" s="196"/>
      <c r="L8201" s="196">
        <v>14406</v>
      </c>
    </row>
    <row r="8202" spans="1:14" ht="11.25" customHeight="1" x14ac:dyDescent="0.2">
      <c r="A8202" s="197">
        <v>2025</v>
      </c>
      <c r="B8202" s="197">
        <v>5</v>
      </c>
      <c r="C8202" s="197">
        <v>8</v>
      </c>
      <c r="D8202" s="198">
        <f t="shared" si="947"/>
        <v>45785</v>
      </c>
      <c r="E8202" s="209">
        <f t="shared" ref="E8202:E8212" si="953">DATE(A8202,B8202,C8202)</f>
        <v>45785</v>
      </c>
      <c r="F8202" s="513" t="s">
        <v>1210</v>
      </c>
      <c r="G8202" s="200" t="s">
        <v>1209</v>
      </c>
      <c r="H8202" s="201"/>
      <c r="I8202" s="201" t="s">
        <v>349</v>
      </c>
      <c r="J8202" s="197" t="s">
        <v>46</v>
      </c>
      <c r="K8202" s="202">
        <v>100000</v>
      </c>
      <c r="L8202" s="202"/>
    </row>
    <row r="8203" spans="1:14" ht="11.25" customHeight="1" x14ac:dyDescent="0.2">
      <c r="A8203" s="120">
        <v>2025</v>
      </c>
      <c r="B8203" s="120">
        <v>5</v>
      </c>
      <c r="C8203" s="120">
        <v>8</v>
      </c>
      <c r="D8203" s="208">
        <f t="shared" si="947"/>
        <v>45785</v>
      </c>
      <c r="E8203" s="209">
        <f t="shared" si="953"/>
        <v>45785</v>
      </c>
      <c r="F8203" s="515"/>
      <c r="G8203" s="132" t="s">
        <v>1209</v>
      </c>
      <c r="I8203" s="128" t="s">
        <v>349</v>
      </c>
      <c r="J8203" s="120" t="s">
        <v>16</v>
      </c>
      <c r="K8203" s="207"/>
      <c r="L8203" s="207">
        <v>80640</v>
      </c>
    </row>
    <row r="8204" spans="1:14" ht="11.25" customHeight="1" x14ac:dyDescent="0.2">
      <c r="A8204" s="191">
        <v>2025</v>
      </c>
      <c r="B8204" s="191">
        <v>5</v>
      </c>
      <c r="C8204" s="191">
        <v>8</v>
      </c>
      <c r="D8204" s="192">
        <f t="shared" si="947"/>
        <v>45785</v>
      </c>
      <c r="E8204" s="193">
        <f t="shared" si="953"/>
        <v>45785</v>
      </c>
      <c r="F8204" s="514"/>
      <c r="G8204" s="194" t="s">
        <v>1209</v>
      </c>
      <c r="H8204" s="195"/>
      <c r="I8204" s="195" t="s">
        <v>349</v>
      </c>
      <c r="J8204" s="191" t="s">
        <v>47</v>
      </c>
      <c r="K8204" s="196"/>
      <c r="L8204" s="196">
        <v>19360</v>
      </c>
    </row>
    <row r="8205" spans="1:14" ht="11.25" customHeight="1" x14ac:dyDescent="0.2">
      <c r="A8205" s="424">
        <v>2025</v>
      </c>
      <c r="B8205" s="424">
        <v>5</v>
      </c>
      <c r="C8205" s="424">
        <v>8</v>
      </c>
      <c r="D8205" s="425">
        <f t="shared" si="947"/>
        <v>45785</v>
      </c>
      <c r="E8205" s="384">
        <f t="shared" si="953"/>
        <v>45785</v>
      </c>
      <c r="F8205" s="516" t="s">
        <v>1850</v>
      </c>
      <c r="G8205" s="426" t="s">
        <v>1209</v>
      </c>
      <c r="H8205" s="427"/>
      <c r="I8205" s="427"/>
      <c r="J8205" s="428" t="s">
        <v>81</v>
      </c>
      <c r="K8205" s="429">
        <v>6973.2450980392159</v>
      </c>
      <c r="L8205" s="429"/>
      <c r="M8205" s="130"/>
    </row>
    <row r="8206" spans="1:14" ht="11.25" customHeight="1" x14ac:dyDescent="0.2">
      <c r="A8206" s="389">
        <v>2025</v>
      </c>
      <c r="B8206" s="389">
        <v>5</v>
      </c>
      <c r="C8206" s="389">
        <v>8</v>
      </c>
      <c r="D8206" s="390">
        <f t="shared" si="947"/>
        <v>45785</v>
      </c>
      <c r="E8206" s="391">
        <f t="shared" si="953"/>
        <v>45785</v>
      </c>
      <c r="F8206" s="517"/>
      <c r="G8206" s="392" t="s">
        <v>1209</v>
      </c>
      <c r="H8206" s="393"/>
      <c r="I8206" s="393"/>
      <c r="J8206" s="394" t="s">
        <v>1847</v>
      </c>
      <c r="K8206" s="423"/>
      <c r="L8206" s="423">
        <v>6973.2450980392159</v>
      </c>
    </row>
    <row r="8207" spans="1:14" ht="11.25" customHeight="1" x14ac:dyDescent="0.2">
      <c r="A8207" s="382">
        <v>2025</v>
      </c>
      <c r="B8207" s="382">
        <v>5</v>
      </c>
      <c r="C8207" s="382">
        <v>8</v>
      </c>
      <c r="D8207" s="383">
        <f t="shared" si="947"/>
        <v>45785</v>
      </c>
      <c r="E8207" s="384">
        <f t="shared" si="953"/>
        <v>45785</v>
      </c>
      <c r="F8207" s="516" t="s">
        <v>1892</v>
      </c>
      <c r="G8207" s="385" t="s">
        <v>1209</v>
      </c>
      <c r="H8207" s="386"/>
      <c r="I8207" s="386"/>
      <c r="J8207" s="387" t="s">
        <v>173</v>
      </c>
      <c r="K8207" s="388">
        <v>4620.3410651770837</v>
      </c>
      <c r="L8207" s="388"/>
      <c r="M8207" s="130"/>
    </row>
    <row r="8208" spans="1:14" ht="11.25" customHeight="1" x14ac:dyDescent="0.2">
      <c r="A8208" s="389">
        <v>2025</v>
      </c>
      <c r="B8208" s="389">
        <v>5</v>
      </c>
      <c r="C8208" s="389">
        <v>8</v>
      </c>
      <c r="D8208" s="390">
        <f t="shared" si="947"/>
        <v>45785</v>
      </c>
      <c r="E8208" s="391">
        <f t="shared" si="953"/>
        <v>45785</v>
      </c>
      <c r="F8208" s="517"/>
      <c r="G8208" s="392" t="s">
        <v>1209</v>
      </c>
      <c r="H8208" s="393"/>
      <c r="I8208" s="393"/>
      <c r="J8208" s="394" t="s">
        <v>43</v>
      </c>
      <c r="K8208" s="388"/>
      <c r="L8208" s="388">
        <f>K8207</f>
        <v>4620.3410651770837</v>
      </c>
    </row>
    <row r="8209" spans="1:14" ht="11.25" customHeight="1" x14ac:dyDescent="0.2">
      <c r="A8209" s="344">
        <v>2025</v>
      </c>
      <c r="B8209" s="344">
        <v>5</v>
      </c>
      <c r="C8209" s="344">
        <v>8</v>
      </c>
      <c r="D8209" s="345">
        <f t="shared" si="947"/>
        <v>45785</v>
      </c>
      <c r="E8209" s="346">
        <f t="shared" si="953"/>
        <v>45785</v>
      </c>
      <c r="F8209" s="518" t="s">
        <v>1982</v>
      </c>
      <c r="G8209" s="347" t="s">
        <v>1245</v>
      </c>
      <c r="H8209" s="348"/>
      <c r="I8209" s="348" t="s">
        <v>1253</v>
      </c>
      <c r="J8209" s="344" t="s">
        <v>1978</v>
      </c>
      <c r="K8209" s="349">
        <v>145230.76923076922</v>
      </c>
      <c r="L8209" s="349"/>
      <c r="M8209" s="130"/>
    </row>
    <row r="8210" spans="1:14" ht="11.25" customHeight="1" x14ac:dyDescent="0.2">
      <c r="A8210" s="350">
        <v>2025</v>
      </c>
      <c r="B8210" s="350">
        <v>5</v>
      </c>
      <c r="C8210" s="350">
        <v>8</v>
      </c>
      <c r="D8210" s="351">
        <f t="shared" si="947"/>
        <v>45785</v>
      </c>
      <c r="E8210" s="352">
        <f t="shared" si="953"/>
        <v>45785</v>
      </c>
      <c r="F8210" s="519"/>
      <c r="G8210" s="353" t="s">
        <v>1245</v>
      </c>
      <c r="H8210" s="354"/>
      <c r="I8210" s="354" t="s">
        <v>1253</v>
      </c>
      <c r="J8210" s="350" t="s">
        <v>1979</v>
      </c>
      <c r="K8210" s="355"/>
      <c r="L8210" s="355">
        <f>K8209</f>
        <v>145230.76923076922</v>
      </c>
    </row>
    <row r="8211" spans="1:14" ht="11.25" customHeight="1" x14ac:dyDescent="0.2">
      <c r="A8211" s="344">
        <v>2025</v>
      </c>
      <c r="B8211" s="344">
        <v>5</v>
      </c>
      <c r="C8211" s="344">
        <v>8</v>
      </c>
      <c r="D8211" s="345">
        <f t="shared" si="947"/>
        <v>45785</v>
      </c>
      <c r="E8211" s="346">
        <f t="shared" si="953"/>
        <v>45785</v>
      </c>
      <c r="F8211" s="518" t="s">
        <v>2009</v>
      </c>
      <c r="G8211" s="347" t="s">
        <v>1245</v>
      </c>
      <c r="H8211" s="348"/>
      <c r="I8211" s="348" t="s">
        <v>1253</v>
      </c>
      <c r="J8211" s="344" t="s">
        <v>2004</v>
      </c>
      <c r="K8211" s="349">
        <v>49692.31</v>
      </c>
      <c r="L8211" s="349"/>
      <c r="M8211" s="130"/>
    </row>
    <row r="8212" spans="1:14" ht="11.25" customHeight="1" x14ac:dyDescent="0.2">
      <c r="A8212" s="350">
        <v>2025</v>
      </c>
      <c r="B8212" s="350">
        <v>5</v>
      </c>
      <c r="C8212" s="350">
        <v>8</v>
      </c>
      <c r="D8212" s="351">
        <f t="shared" si="947"/>
        <v>45785</v>
      </c>
      <c r="E8212" s="352">
        <f t="shared" si="953"/>
        <v>45785</v>
      </c>
      <c r="F8212" s="519"/>
      <c r="G8212" s="353" t="s">
        <v>1245</v>
      </c>
      <c r="H8212" s="354"/>
      <c r="I8212" s="354" t="s">
        <v>1253</v>
      </c>
      <c r="J8212" s="350" t="s">
        <v>2008</v>
      </c>
      <c r="K8212" s="355"/>
      <c r="L8212" s="355">
        <f>K8211</f>
        <v>49692.31</v>
      </c>
    </row>
    <row r="8213" spans="1:14" ht="11.25" customHeight="1" x14ac:dyDescent="0.2">
      <c r="A8213" s="344">
        <v>2025</v>
      </c>
      <c r="B8213" s="344">
        <v>5</v>
      </c>
      <c r="C8213" s="344">
        <v>8</v>
      </c>
      <c r="D8213" s="345">
        <f t="shared" si="947"/>
        <v>45785</v>
      </c>
      <c r="E8213" s="346">
        <f>DATE(A8213,B8213,C8213)</f>
        <v>45785</v>
      </c>
      <c r="F8213" s="518" t="s">
        <v>1988</v>
      </c>
      <c r="G8213" s="347" t="s">
        <v>1245</v>
      </c>
      <c r="H8213" s="348"/>
      <c r="I8213" s="348" t="s">
        <v>1253</v>
      </c>
      <c r="J8213" s="344" t="s">
        <v>113</v>
      </c>
      <c r="K8213" s="349">
        <v>32846.15</v>
      </c>
      <c r="L8213" s="349"/>
      <c r="M8213" s="130"/>
    </row>
    <row r="8214" spans="1:14" ht="11.25" customHeight="1" x14ac:dyDescent="0.2">
      <c r="A8214" s="350">
        <v>2025</v>
      </c>
      <c r="B8214" s="350">
        <v>5</v>
      </c>
      <c r="C8214" s="350">
        <v>8</v>
      </c>
      <c r="D8214" s="351">
        <f t="shared" si="947"/>
        <v>45785</v>
      </c>
      <c r="E8214" s="352">
        <f>DATE(A8214,B8214,C8214)</f>
        <v>45785</v>
      </c>
      <c r="F8214" s="519"/>
      <c r="G8214" s="353" t="s">
        <v>1245</v>
      </c>
      <c r="H8214" s="354"/>
      <c r="I8214" s="354" t="s">
        <v>1253</v>
      </c>
      <c r="J8214" s="350" t="s">
        <v>153</v>
      </c>
      <c r="K8214" s="355"/>
      <c r="L8214" s="355">
        <f>K8213</f>
        <v>32846.15</v>
      </c>
    </row>
    <row r="8215" spans="1:14" ht="11.25" customHeight="1" x14ac:dyDescent="0.2">
      <c r="A8215" s="344">
        <v>2025</v>
      </c>
      <c r="B8215" s="344">
        <v>5</v>
      </c>
      <c r="C8215" s="344">
        <v>8</v>
      </c>
      <c r="D8215" s="345">
        <f t="shared" si="947"/>
        <v>45785</v>
      </c>
      <c r="E8215" s="346">
        <f t="shared" ref="E8215:E8220" si="954">DATE(A8215,B8215,C8215)</f>
        <v>45785</v>
      </c>
      <c r="F8215" s="518" t="s">
        <v>1989</v>
      </c>
      <c r="G8215" s="347" t="s">
        <v>1245</v>
      </c>
      <c r="H8215" s="348"/>
      <c r="I8215" s="348" t="s">
        <v>1253</v>
      </c>
      <c r="J8215" s="344" t="s">
        <v>113</v>
      </c>
      <c r="K8215" s="349">
        <v>23461.538461538461</v>
      </c>
      <c r="L8215" s="349"/>
      <c r="M8215" s="130"/>
    </row>
    <row r="8216" spans="1:14" ht="11.25" customHeight="1" x14ac:dyDescent="0.2">
      <c r="A8216" s="350">
        <v>2025</v>
      </c>
      <c r="B8216" s="350">
        <v>5</v>
      </c>
      <c r="C8216" s="350">
        <v>8</v>
      </c>
      <c r="D8216" s="351">
        <f t="shared" si="947"/>
        <v>45785</v>
      </c>
      <c r="E8216" s="352">
        <f t="shared" si="954"/>
        <v>45785</v>
      </c>
      <c r="F8216" s="519"/>
      <c r="G8216" s="353" t="s">
        <v>1245</v>
      </c>
      <c r="H8216" s="354"/>
      <c r="I8216" s="354" t="s">
        <v>1253</v>
      </c>
      <c r="J8216" s="350" t="s">
        <v>153</v>
      </c>
      <c r="K8216" s="355"/>
      <c r="L8216" s="355">
        <f>K8215</f>
        <v>23461.538461538461</v>
      </c>
    </row>
    <row r="8217" spans="1:14" ht="11.25" customHeight="1" x14ac:dyDescent="0.2">
      <c r="A8217" s="344">
        <v>2025</v>
      </c>
      <c r="B8217" s="344">
        <v>5</v>
      </c>
      <c r="C8217" s="344">
        <v>8</v>
      </c>
      <c r="D8217" s="345">
        <f t="shared" si="947"/>
        <v>45785</v>
      </c>
      <c r="E8217" s="346">
        <f t="shared" si="954"/>
        <v>45785</v>
      </c>
      <c r="F8217" s="518" t="s">
        <v>1990</v>
      </c>
      <c r="G8217" s="347" t="s">
        <v>1245</v>
      </c>
      <c r="H8217" s="348"/>
      <c r="I8217" s="348" t="s">
        <v>1253</v>
      </c>
      <c r="J8217" s="344" t="s">
        <v>113</v>
      </c>
      <c r="K8217" s="349">
        <v>70384.62</v>
      </c>
      <c r="L8217" s="349"/>
      <c r="M8217" s="130"/>
      <c r="N8217" s="251"/>
    </row>
    <row r="8218" spans="1:14" ht="11.25" customHeight="1" x14ac:dyDescent="0.2">
      <c r="A8218" s="350">
        <v>2025</v>
      </c>
      <c r="B8218" s="350">
        <v>5</v>
      </c>
      <c r="C8218" s="350">
        <v>8</v>
      </c>
      <c r="D8218" s="351">
        <f t="shared" si="947"/>
        <v>45785</v>
      </c>
      <c r="E8218" s="352">
        <f t="shared" si="954"/>
        <v>45785</v>
      </c>
      <c r="F8218" s="519"/>
      <c r="G8218" s="353" t="s">
        <v>1245</v>
      </c>
      <c r="H8218" s="354"/>
      <c r="I8218" s="354" t="s">
        <v>1253</v>
      </c>
      <c r="J8218" s="350" t="s">
        <v>153</v>
      </c>
      <c r="K8218" s="355"/>
      <c r="L8218" s="355">
        <f>K8217</f>
        <v>70384.62</v>
      </c>
    </row>
    <row r="8219" spans="1:14" ht="11.25" customHeight="1" x14ac:dyDescent="0.2">
      <c r="A8219" s="344">
        <v>2025</v>
      </c>
      <c r="B8219" s="344">
        <v>5</v>
      </c>
      <c r="C8219" s="344">
        <v>8</v>
      </c>
      <c r="D8219" s="345">
        <f t="shared" si="947"/>
        <v>45785</v>
      </c>
      <c r="E8219" s="346">
        <f t="shared" si="954"/>
        <v>45785</v>
      </c>
      <c r="F8219" s="518" t="s">
        <v>2039</v>
      </c>
      <c r="G8219" s="347" t="s">
        <v>1245</v>
      </c>
      <c r="H8219" s="348"/>
      <c r="I8219" s="348" t="s">
        <v>1253</v>
      </c>
      <c r="J8219" s="344" t="s">
        <v>113</v>
      </c>
      <c r="K8219" s="349">
        <v>9384.6153846153848</v>
      </c>
      <c r="L8219" s="349"/>
      <c r="M8219" s="130"/>
    </row>
    <row r="8220" spans="1:14" ht="11.25" customHeight="1" x14ac:dyDescent="0.2">
      <c r="A8220" s="350">
        <v>2025</v>
      </c>
      <c r="B8220" s="350">
        <v>5</v>
      </c>
      <c r="C8220" s="350">
        <v>8</v>
      </c>
      <c r="D8220" s="351">
        <f t="shared" si="947"/>
        <v>45785</v>
      </c>
      <c r="E8220" s="352">
        <f t="shared" si="954"/>
        <v>45785</v>
      </c>
      <c r="F8220" s="519"/>
      <c r="G8220" s="353" t="s">
        <v>1245</v>
      </c>
      <c r="H8220" s="354"/>
      <c r="I8220" s="354" t="s">
        <v>1253</v>
      </c>
      <c r="J8220" s="350" t="s">
        <v>153</v>
      </c>
      <c r="K8220" s="355"/>
      <c r="L8220" s="355">
        <f>K8219</f>
        <v>9384.6153846153848</v>
      </c>
    </row>
    <row r="8221" spans="1:14" ht="11.25" customHeight="1" x14ac:dyDescent="0.2">
      <c r="A8221" s="344">
        <v>2025</v>
      </c>
      <c r="B8221" s="344">
        <v>5</v>
      </c>
      <c r="C8221" s="344">
        <v>8</v>
      </c>
      <c r="D8221" s="345">
        <f t="shared" si="947"/>
        <v>45785</v>
      </c>
      <c r="E8221" s="346">
        <f>DATE(A8221,B8221,C8221)</f>
        <v>45785</v>
      </c>
      <c r="F8221" s="518" t="s">
        <v>1991</v>
      </c>
      <c r="G8221" s="347" t="s">
        <v>1245</v>
      </c>
      <c r="H8221" s="348"/>
      <c r="I8221" s="348" t="s">
        <v>1253</v>
      </c>
      <c r="J8221" s="344" t="s">
        <v>113</v>
      </c>
      <c r="K8221" s="349">
        <v>39884.620000000003</v>
      </c>
      <c r="L8221" s="349"/>
      <c r="M8221" s="130"/>
    </row>
    <row r="8222" spans="1:14" ht="11.25" customHeight="1" x14ac:dyDescent="0.2">
      <c r="A8222" s="350">
        <v>2025</v>
      </c>
      <c r="B8222" s="350">
        <v>5</v>
      </c>
      <c r="C8222" s="350">
        <v>8</v>
      </c>
      <c r="D8222" s="351">
        <f t="shared" si="947"/>
        <v>45785</v>
      </c>
      <c r="E8222" s="352">
        <f>DATE(A8222,B8222,C8222)</f>
        <v>45785</v>
      </c>
      <c r="F8222" s="519"/>
      <c r="G8222" s="353" t="s">
        <v>1245</v>
      </c>
      <c r="H8222" s="354"/>
      <c r="I8222" s="354" t="s">
        <v>1253</v>
      </c>
      <c r="J8222" s="350" t="s">
        <v>153</v>
      </c>
      <c r="K8222" s="355"/>
      <c r="L8222" s="355">
        <f>K8221</f>
        <v>39884.620000000003</v>
      </c>
    </row>
    <row r="8223" spans="1:14" ht="11.25" customHeight="1" x14ac:dyDescent="0.2">
      <c r="A8223" s="344">
        <v>2025</v>
      </c>
      <c r="B8223" s="344">
        <v>5</v>
      </c>
      <c r="C8223" s="344">
        <v>8</v>
      </c>
      <c r="D8223" s="345">
        <f t="shared" si="947"/>
        <v>45785</v>
      </c>
      <c r="E8223" s="346">
        <f t="shared" ref="E8223:E8229" si="955">DATE(A8223,B8223,C8223)</f>
        <v>45785</v>
      </c>
      <c r="F8223" s="518" t="s">
        <v>1992</v>
      </c>
      <c r="G8223" s="347" t="s">
        <v>1245</v>
      </c>
      <c r="H8223" s="348"/>
      <c r="I8223" s="348" t="s">
        <v>1253</v>
      </c>
      <c r="J8223" s="344" t="s">
        <v>113</v>
      </c>
      <c r="K8223" s="349">
        <v>22596.15</v>
      </c>
      <c r="L8223" s="349"/>
      <c r="M8223" s="130"/>
    </row>
    <row r="8224" spans="1:14" ht="11.25" customHeight="1" x14ac:dyDescent="0.2">
      <c r="A8224" s="350">
        <v>2025</v>
      </c>
      <c r="B8224" s="350">
        <v>5</v>
      </c>
      <c r="C8224" s="350">
        <v>8</v>
      </c>
      <c r="D8224" s="351">
        <f t="shared" si="947"/>
        <v>45785</v>
      </c>
      <c r="E8224" s="352">
        <f t="shared" si="955"/>
        <v>45785</v>
      </c>
      <c r="F8224" s="519"/>
      <c r="G8224" s="353" t="s">
        <v>1245</v>
      </c>
      <c r="H8224" s="354"/>
      <c r="I8224" s="354" t="s">
        <v>1253</v>
      </c>
      <c r="J8224" s="350" t="s">
        <v>153</v>
      </c>
      <c r="K8224" s="355"/>
      <c r="L8224" s="355">
        <f>K8223</f>
        <v>22596.15</v>
      </c>
    </row>
    <row r="8225" spans="1:13" ht="11.25" customHeight="1" x14ac:dyDescent="0.2">
      <c r="A8225" s="344">
        <v>2025</v>
      </c>
      <c r="B8225" s="344">
        <v>5</v>
      </c>
      <c r="C8225" s="344">
        <v>8</v>
      </c>
      <c r="D8225" s="345">
        <f t="shared" si="947"/>
        <v>45785</v>
      </c>
      <c r="E8225" s="346">
        <f t="shared" si="955"/>
        <v>45785</v>
      </c>
      <c r="F8225" s="518" t="s">
        <v>1993</v>
      </c>
      <c r="G8225" s="347" t="s">
        <v>1245</v>
      </c>
      <c r="H8225" s="348"/>
      <c r="I8225" s="348" t="s">
        <v>1253</v>
      </c>
      <c r="J8225" s="344" t="s">
        <v>113</v>
      </c>
      <c r="K8225" s="349">
        <v>23048.080000000002</v>
      </c>
      <c r="L8225" s="349"/>
      <c r="M8225" s="130"/>
    </row>
    <row r="8226" spans="1:13" ht="11.25" customHeight="1" x14ac:dyDescent="0.2">
      <c r="A8226" s="350">
        <v>2025</v>
      </c>
      <c r="B8226" s="350">
        <v>5</v>
      </c>
      <c r="C8226" s="350">
        <v>8</v>
      </c>
      <c r="D8226" s="351">
        <f t="shared" si="947"/>
        <v>45785</v>
      </c>
      <c r="E8226" s="352">
        <f t="shared" si="955"/>
        <v>45785</v>
      </c>
      <c r="F8226" s="519"/>
      <c r="G8226" s="353" t="s">
        <v>1245</v>
      </c>
      <c r="H8226" s="354"/>
      <c r="I8226" s="354" t="s">
        <v>1253</v>
      </c>
      <c r="J8226" s="350" t="s">
        <v>153</v>
      </c>
      <c r="K8226" s="355"/>
      <c r="L8226" s="355">
        <f>K8225</f>
        <v>23048.080000000002</v>
      </c>
    </row>
    <row r="8227" spans="1:13" ht="11.25" customHeight="1" x14ac:dyDescent="0.2">
      <c r="A8227" s="210">
        <v>2025</v>
      </c>
      <c r="B8227" s="210">
        <v>5</v>
      </c>
      <c r="C8227" s="210">
        <v>8</v>
      </c>
      <c r="D8227" s="211">
        <f t="shared" si="947"/>
        <v>45785</v>
      </c>
      <c r="E8227" s="238">
        <f t="shared" si="955"/>
        <v>45785</v>
      </c>
      <c r="F8227" s="520" t="s">
        <v>1278</v>
      </c>
      <c r="G8227" s="213" t="s">
        <v>1245</v>
      </c>
      <c r="H8227" s="214"/>
      <c r="I8227" s="214" t="s">
        <v>1253</v>
      </c>
      <c r="J8227" s="210" t="s">
        <v>1529</v>
      </c>
      <c r="K8227" s="215">
        <v>510.40384615384613</v>
      </c>
      <c r="L8227" s="215"/>
      <c r="M8227" s="130"/>
    </row>
    <row r="8228" spans="1:13" ht="11.25" customHeight="1" x14ac:dyDescent="0.2">
      <c r="A8228" s="216">
        <v>2025</v>
      </c>
      <c r="B8228" s="216">
        <v>5</v>
      </c>
      <c r="C8228" s="216">
        <v>8</v>
      </c>
      <c r="D8228" s="217">
        <f t="shared" si="947"/>
        <v>45785</v>
      </c>
      <c r="E8228" s="239">
        <f t="shared" si="955"/>
        <v>45785</v>
      </c>
      <c r="F8228" s="521"/>
      <c r="G8228" s="219" t="s">
        <v>1245</v>
      </c>
      <c r="H8228" s="220"/>
      <c r="I8228" s="220" t="s">
        <v>1253</v>
      </c>
      <c r="J8228" s="216" t="s">
        <v>1581</v>
      </c>
      <c r="K8228" s="221"/>
      <c r="L8228" s="221">
        <v>510.40384615384613</v>
      </c>
    </row>
    <row r="8229" spans="1:13" ht="11.25" customHeight="1" x14ac:dyDescent="0.2">
      <c r="A8229" s="210">
        <v>2025</v>
      </c>
      <c r="B8229" s="210">
        <v>5</v>
      </c>
      <c r="C8229" s="210">
        <v>8</v>
      </c>
      <c r="D8229" s="211">
        <f t="shared" si="947"/>
        <v>45785</v>
      </c>
      <c r="E8229" s="238">
        <f t="shared" si="955"/>
        <v>45785</v>
      </c>
      <c r="F8229" s="520" t="s">
        <v>1857</v>
      </c>
      <c r="G8229" s="213" t="s">
        <v>1245</v>
      </c>
      <c r="H8229" s="214"/>
      <c r="I8229" s="214" t="s">
        <v>1253</v>
      </c>
      <c r="J8229" s="210" t="s">
        <v>1284</v>
      </c>
      <c r="K8229" s="215">
        <v>2341.8114143920593</v>
      </c>
      <c r="L8229" s="215"/>
      <c r="M8229" s="130"/>
    </row>
    <row r="8230" spans="1:13" ht="11.25" customHeight="1" x14ac:dyDescent="0.2">
      <c r="A8230" s="242">
        <v>2025</v>
      </c>
      <c r="B8230" s="242">
        <v>5</v>
      </c>
      <c r="C8230" s="242">
        <v>8</v>
      </c>
      <c r="D8230" s="243">
        <f t="shared" si="947"/>
        <v>45785</v>
      </c>
      <c r="E8230" s="244">
        <f>DATE(A8230,B8230,C8230)</f>
        <v>45785</v>
      </c>
      <c r="F8230" s="524"/>
      <c r="G8230" s="245" t="s">
        <v>1245</v>
      </c>
      <c r="H8230" s="246"/>
      <c r="I8230" s="246"/>
      <c r="J8230" s="242" t="s">
        <v>1582</v>
      </c>
      <c r="K8230" s="247"/>
      <c r="L8230" s="247">
        <f>K8229</f>
        <v>2341.8114143920593</v>
      </c>
    </row>
    <row r="8231" spans="1:13" ht="11.25" customHeight="1" x14ac:dyDescent="0.2">
      <c r="A8231" s="210">
        <v>2025</v>
      </c>
      <c r="B8231" s="210">
        <v>5</v>
      </c>
      <c r="C8231" s="210">
        <v>8</v>
      </c>
      <c r="D8231" s="211">
        <f t="shared" si="947"/>
        <v>45785</v>
      </c>
      <c r="E8231" s="238">
        <f t="shared" ref="E8231:E8290" si="956">DATE(A8231,B8231,C8231)</f>
        <v>45785</v>
      </c>
      <c r="F8231" s="520" t="s">
        <v>2055</v>
      </c>
      <c r="G8231" s="213" t="s">
        <v>1245</v>
      </c>
      <c r="H8231" s="214"/>
      <c r="I8231" s="214" t="s">
        <v>1253</v>
      </c>
      <c r="J8231" s="210" t="s">
        <v>58</v>
      </c>
      <c r="K8231" s="215">
        <v>19625.580000000002</v>
      </c>
      <c r="L8231" s="215"/>
    </row>
    <row r="8232" spans="1:13" ht="11.25" customHeight="1" x14ac:dyDescent="0.2">
      <c r="A8232" s="216">
        <v>2025</v>
      </c>
      <c r="B8232" s="216">
        <v>5</v>
      </c>
      <c r="C8232" s="216">
        <v>8</v>
      </c>
      <c r="D8232" s="217">
        <f t="shared" si="947"/>
        <v>45785</v>
      </c>
      <c r="E8232" s="239">
        <f t="shared" si="956"/>
        <v>45785</v>
      </c>
      <c r="F8232" s="521"/>
      <c r="G8232" s="219" t="s">
        <v>1245</v>
      </c>
      <c r="H8232" s="220"/>
      <c r="I8232" s="220" t="s">
        <v>1253</v>
      </c>
      <c r="J8232" s="216" t="s">
        <v>153</v>
      </c>
      <c r="K8232" s="221"/>
      <c r="L8232" s="221">
        <f>K8231</f>
        <v>19625.580000000002</v>
      </c>
    </row>
    <row r="8233" spans="1:13" ht="11.25" customHeight="1" x14ac:dyDescent="0.2">
      <c r="A8233" s="312">
        <v>2025</v>
      </c>
      <c r="B8233" s="312">
        <v>5</v>
      </c>
      <c r="C8233" s="312">
        <v>8</v>
      </c>
      <c r="D8233" s="313">
        <f t="shared" si="947"/>
        <v>45785</v>
      </c>
      <c r="E8233" s="314">
        <f t="shared" si="956"/>
        <v>45785</v>
      </c>
      <c r="F8233" s="522" t="s">
        <v>1477</v>
      </c>
      <c r="G8233" s="315" t="s">
        <v>1245</v>
      </c>
      <c r="H8233" s="316"/>
      <c r="I8233" s="316" t="s">
        <v>1253</v>
      </c>
      <c r="J8233" s="312" t="s">
        <v>1458</v>
      </c>
      <c r="K8233" s="317">
        <v>0</v>
      </c>
      <c r="L8233" s="317"/>
      <c r="M8233" s="120">
        <f>BS!$I$11</f>
        <v>5.9604644775390625E-8</v>
      </c>
    </row>
    <row r="8234" spans="1:13" ht="11.25" customHeight="1" x14ac:dyDescent="0.2">
      <c r="A8234" s="318">
        <v>2025</v>
      </c>
      <c r="B8234" s="318">
        <v>5</v>
      </c>
      <c r="C8234" s="318">
        <v>8</v>
      </c>
      <c r="D8234" s="319">
        <f t="shared" si="947"/>
        <v>45785</v>
      </c>
      <c r="E8234" s="320">
        <f t="shared" si="956"/>
        <v>45785</v>
      </c>
      <c r="F8234" s="523"/>
      <c r="G8234" s="321" t="s">
        <v>1245</v>
      </c>
      <c r="H8234" s="322"/>
      <c r="I8234" s="322" t="s">
        <v>1253</v>
      </c>
      <c r="J8234" s="318" t="s">
        <v>1460</v>
      </c>
      <c r="K8234" s="323"/>
      <c r="L8234" s="323">
        <f>K8233</f>
        <v>0</v>
      </c>
    </row>
    <row r="8235" spans="1:13" ht="11.25" customHeight="1" x14ac:dyDescent="0.2">
      <c r="A8235" s="312">
        <v>2025</v>
      </c>
      <c r="B8235" s="312">
        <v>5</v>
      </c>
      <c r="C8235" s="312">
        <v>8</v>
      </c>
      <c r="D8235" s="313">
        <f t="shared" si="947"/>
        <v>45785</v>
      </c>
      <c r="E8235" s="314">
        <f t="shared" si="956"/>
        <v>45785</v>
      </c>
      <c r="F8235" s="522" t="s">
        <v>1595</v>
      </c>
      <c r="G8235" s="315" t="s">
        <v>1245</v>
      </c>
      <c r="H8235" s="316"/>
      <c r="I8235" s="316" t="s">
        <v>1253</v>
      </c>
      <c r="J8235" s="312" t="s">
        <v>1461</v>
      </c>
      <c r="K8235" s="317">
        <v>1161205.0779999495</v>
      </c>
      <c r="L8235" s="317"/>
      <c r="M8235" s="120">
        <f>BS!$I$14</f>
        <v>0</v>
      </c>
    </row>
    <row r="8236" spans="1:13" ht="11.25" customHeight="1" x14ac:dyDescent="0.2">
      <c r="A8236" s="318">
        <v>2025</v>
      </c>
      <c r="B8236" s="318">
        <v>5</v>
      </c>
      <c r="C8236" s="318">
        <v>8</v>
      </c>
      <c r="D8236" s="319">
        <f t="shared" ref="D8236:D8299" si="957">DATE(A8236,B8236,C8236)</f>
        <v>45785</v>
      </c>
      <c r="E8236" s="320">
        <f t="shared" si="956"/>
        <v>45785</v>
      </c>
      <c r="F8236" s="523"/>
      <c r="G8236" s="321" t="s">
        <v>1245</v>
      </c>
      <c r="H8236" s="322"/>
      <c r="I8236" s="322" t="s">
        <v>1253</v>
      </c>
      <c r="J8236" s="318" t="s">
        <v>1459</v>
      </c>
      <c r="K8236" s="323"/>
      <c r="L8236" s="323">
        <f>K8235</f>
        <v>1161205.0779999495</v>
      </c>
    </row>
    <row r="8237" spans="1:13" ht="11.25" customHeight="1" x14ac:dyDescent="0.2">
      <c r="A8237" s="222">
        <v>2025</v>
      </c>
      <c r="B8237" s="222">
        <v>5</v>
      </c>
      <c r="C8237" s="222">
        <v>8</v>
      </c>
      <c r="D8237" s="223">
        <f t="shared" si="957"/>
        <v>45785</v>
      </c>
      <c r="E8237" s="240">
        <f t="shared" si="956"/>
        <v>45785</v>
      </c>
      <c r="F8237" s="511" t="s">
        <v>1244</v>
      </c>
      <c r="G8237" s="225" t="s">
        <v>1245</v>
      </c>
      <c r="H8237" s="226"/>
      <c r="I8237" s="226" t="s">
        <v>1253</v>
      </c>
      <c r="J8237" s="222" t="s">
        <v>87</v>
      </c>
      <c r="K8237" s="227">
        <v>5230</v>
      </c>
      <c r="L8237" s="227"/>
      <c r="M8237" s="120">
        <f>BS!$I$7</f>
        <v>0</v>
      </c>
    </row>
    <row r="8238" spans="1:13" ht="11.25" customHeight="1" x14ac:dyDescent="0.2">
      <c r="A8238" s="228">
        <v>2025</v>
      </c>
      <c r="B8238" s="228">
        <v>5</v>
      </c>
      <c r="C8238" s="228">
        <v>8</v>
      </c>
      <c r="D8238" s="229">
        <f t="shared" si="957"/>
        <v>45785</v>
      </c>
      <c r="E8238" s="241">
        <f t="shared" si="956"/>
        <v>45785</v>
      </c>
      <c r="F8238" s="512"/>
      <c r="G8238" s="231" t="s">
        <v>1245</v>
      </c>
      <c r="H8238" s="232"/>
      <c r="I8238" s="232" t="s">
        <v>1253</v>
      </c>
      <c r="J8238" s="228" t="s">
        <v>72</v>
      </c>
      <c r="K8238" s="233"/>
      <c r="L8238" s="233">
        <f>K8237</f>
        <v>5230</v>
      </c>
    </row>
    <row r="8239" spans="1:13" ht="11.25" customHeight="1" x14ac:dyDescent="0.2">
      <c r="A8239" s="222">
        <v>2025</v>
      </c>
      <c r="B8239" s="222">
        <v>5</v>
      </c>
      <c r="C8239" s="222">
        <v>8</v>
      </c>
      <c r="D8239" s="223">
        <f t="shared" si="957"/>
        <v>45785</v>
      </c>
      <c r="E8239" s="240">
        <f t="shared" si="956"/>
        <v>45785</v>
      </c>
      <c r="F8239" s="511" t="s">
        <v>1246</v>
      </c>
      <c r="G8239" s="225" t="s">
        <v>1245</v>
      </c>
      <c r="H8239" s="226"/>
      <c r="I8239" s="226" t="s">
        <v>1253</v>
      </c>
      <c r="J8239" s="222" t="s">
        <v>75</v>
      </c>
      <c r="K8239" s="227">
        <v>3623.123846153846</v>
      </c>
      <c r="L8239" s="227"/>
      <c r="M8239" s="130"/>
    </row>
    <row r="8240" spans="1:13" ht="11.25" customHeight="1" x14ac:dyDescent="0.2">
      <c r="A8240" s="228">
        <v>2025</v>
      </c>
      <c r="B8240" s="228">
        <v>5</v>
      </c>
      <c r="C8240" s="228">
        <v>8</v>
      </c>
      <c r="D8240" s="229">
        <f t="shared" si="957"/>
        <v>45785</v>
      </c>
      <c r="E8240" s="241">
        <f t="shared" si="956"/>
        <v>45785</v>
      </c>
      <c r="F8240" s="512"/>
      <c r="G8240" s="231" t="s">
        <v>1245</v>
      </c>
      <c r="H8240" s="232"/>
      <c r="I8240" s="232" t="s">
        <v>1253</v>
      </c>
      <c r="J8240" s="228" t="s">
        <v>55</v>
      </c>
      <c r="K8240" s="233"/>
      <c r="L8240" s="233">
        <v>3623.123846153846</v>
      </c>
    </row>
    <row r="8241" spans="1:14" ht="11.25" customHeight="1" x14ac:dyDescent="0.2">
      <c r="A8241" s="222">
        <v>2025</v>
      </c>
      <c r="B8241" s="222">
        <v>5</v>
      </c>
      <c r="C8241" s="222">
        <v>8</v>
      </c>
      <c r="D8241" s="223">
        <f t="shared" si="957"/>
        <v>45785</v>
      </c>
      <c r="E8241" s="240">
        <f t="shared" si="956"/>
        <v>45785</v>
      </c>
      <c r="F8241" s="511" t="s">
        <v>1247</v>
      </c>
      <c r="G8241" s="225" t="s">
        <v>1245</v>
      </c>
      <c r="H8241" s="226"/>
      <c r="I8241" s="226" t="s">
        <v>1253</v>
      </c>
      <c r="J8241" s="222" t="s">
        <v>77</v>
      </c>
      <c r="K8241" s="227">
        <f>M8241</f>
        <v>52078.949150071945</v>
      </c>
      <c r="L8241" s="227"/>
      <c r="M8241" s="130">
        <v>52078.949150071945</v>
      </c>
    </row>
    <row r="8242" spans="1:14" ht="11.25" customHeight="1" x14ac:dyDescent="0.2">
      <c r="A8242" s="228">
        <v>2025</v>
      </c>
      <c r="B8242" s="228">
        <v>5</v>
      </c>
      <c r="C8242" s="228">
        <v>8</v>
      </c>
      <c r="D8242" s="229">
        <f t="shared" si="957"/>
        <v>45785</v>
      </c>
      <c r="E8242" s="241">
        <f t="shared" si="956"/>
        <v>45785</v>
      </c>
      <c r="F8242" s="512"/>
      <c r="G8242" s="231" t="s">
        <v>1245</v>
      </c>
      <c r="H8242" s="232"/>
      <c r="I8242" s="232" t="s">
        <v>1253</v>
      </c>
      <c r="J8242" s="228" t="s">
        <v>41</v>
      </c>
      <c r="K8242" s="233"/>
      <c r="L8242" s="233">
        <f>K8241</f>
        <v>52078.949150071945</v>
      </c>
      <c r="M8242" s="130">
        <v>5207.8949150071949</v>
      </c>
    </row>
    <row r="8243" spans="1:14" ht="11.25" customHeight="1" x14ac:dyDescent="0.2">
      <c r="A8243" s="222">
        <v>2025</v>
      </c>
      <c r="B8243" s="222">
        <v>5</v>
      </c>
      <c r="C8243" s="222">
        <v>8</v>
      </c>
      <c r="D8243" s="223">
        <f t="shared" si="957"/>
        <v>45785</v>
      </c>
      <c r="E8243" s="240">
        <f t="shared" si="956"/>
        <v>45785</v>
      </c>
      <c r="F8243" s="511" t="s">
        <v>1248</v>
      </c>
      <c r="G8243" s="225" t="s">
        <v>1245</v>
      </c>
      <c r="H8243" s="226"/>
      <c r="I8243" s="226" t="s">
        <v>1253</v>
      </c>
      <c r="J8243" s="222" t="s">
        <v>80</v>
      </c>
      <c r="K8243" s="227">
        <f>M8242</f>
        <v>5207.8949150071949</v>
      </c>
      <c r="L8243" s="227"/>
    </row>
    <row r="8244" spans="1:14" ht="11.25" customHeight="1" x14ac:dyDescent="0.2">
      <c r="A8244" s="228">
        <v>2025</v>
      </c>
      <c r="B8244" s="228">
        <v>5</v>
      </c>
      <c r="C8244" s="228">
        <v>8</v>
      </c>
      <c r="D8244" s="229">
        <f t="shared" si="957"/>
        <v>45785</v>
      </c>
      <c r="E8244" s="241">
        <f t="shared" si="956"/>
        <v>45785</v>
      </c>
      <c r="F8244" s="512"/>
      <c r="G8244" s="231" t="s">
        <v>1245</v>
      </c>
      <c r="H8244" s="232"/>
      <c r="I8244" s="232" t="s">
        <v>1253</v>
      </c>
      <c r="J8244" s="228" t="s">
        <v>42</v>
      </c>
      <c r="K8244" s="233"/>
      <c r="L8244" s="233">
        <f>K8243</f>
        <v>5207.8949150071949</v>
      </c>
    </row>
    <row r="8245" spans="1:14" ht="11.25" customHeight="1" x14ac:dyDescent="0.2">
      <c r="A8245" s="197">
        <v>2025</v>
      </c>
      <c r="B8245" s="197">
        <v>5</v>
      </c>
      <c r="C8245" s="197">
        <v>10</v>
      </c>
      <c r="D8245" s="198">
        <f t="shared" si="957"/>
        <v>45787</v>
      </c>
      <c r="E8245" s="209">
        <f t="shared" si="956"/>
        <v>45787</v>
      </c>
      <c r="F8245" s="513" t="s">
        <v>1210</v>
      </c>
      <c r="G8245" s="200" t="s">
        <v>1209</v>
      </c>
      <c r="H8245" s="201"/>
      <c r="I8245" s="201"/>
      <c r="J8245" s="197" t="s">
        <v>46</v>
      </c>
      <c r="K8245" s="202">
        <v>50000</v>
      </c>
      <c r="L8245" s="202"/>
    </row>
    <row r="8246" spans="1:14" ht="11.25" customHeight="1" x14ac:dyDescent="0.2">
      <c r="A8246" s="120">
        <v>2025</v>
      </c>
      <c r="B8246" s="120">
        <v>5</v>
      </c>
      <c r="C8246" s="120">
        <v>10</v>
      </c>
      <c r="D8246" s="208">
        <f t="shared" si="957"/>
        <v>45787</v>
      </c>
      <c r="E8246" s="209">
        <f t="shared" si="956"/>
        <v>45787</v>
      </c>
      <c r="F8246" s="515"/>
      <c r="G8246" s="132" t="s">
        <v>1209</v>
      </c>
      <c r="J8246" s="120" t="s">
        <v>16</v>
      </c>
      <c r="K8246" s="207"/>
      <c r="L8246" s="207">
        <v>40260</v>
      </c>
    </row>
    <row r="8247" spans="1:14" ht="11.25" customHeight="1" x14ac:dyDescent="0.2">
      <c r="A8247" s="191">
        <v>2025</v>
      </c>
      <c r="B8247" s="191">
        <v>5</v>
      </c>
      <c r="C8247" s="191">
        <v>10</v>
      </c>
      <c r="D8247" s="192">
        <f t="shared" si="957"/>
        <v>45787</v>
      </c>
      <c r="E8247" s="193">
        <f t="shared" si="956"/>
        <v>45787</v>
      </c>
      <c r="F8247" s="514"/>
      <c r="G8247" s="194" t="s">
        <v>1209</v>
      </c>
      <c r="H8247" s="195"/>
      <c r="I8247" s="195"/>
      <c r="J8247" s="191" t="s">
        <v>47</v>
      </c>
      <c r="K8247" s="196"/>
      <c r="L8247" s="196">
        <v>9740</v>
      </c>
    </row>
    <row r="8248" spans="1:14" ht="11.25" customHeight="1" x14ac:dyDescent="0.2">
      <c r="A8248" s="120">
        <v>2025</v>
      </c>
      <c r="B8248" s="120">
        <v>5</v>
      </c>
      <c r="C8248" s="120">
        <v>12</v>
      </c>
      <c r="D8248" s="208">
        <f t="shared" si="957"/>
        <v>45789</v>
      </c>
      <c r="E8248" s="293">
        <f t="shared" si="956"/>
        <v>45789</v>
      </c>
      <c r="F8248" s="513" t="s">
        <v>1996</v>
      </c>
      <c r="G8248" s="132" t="s">
        <v>1209</v>
      </c>
      <c r="I8248" s="128" t="s">
        <v>1253</v>
      </c>
      <c r="J8248" s="120" t="s">
        <v>46</v>
      </c>
      <c r="K8248" s="207">
        <v>101666.67</v>
      </c>
      <c r="L8248" s="207"/>
      <c r="M8248" s="251"/>
    </row>
    <row r="8249" spans="1:14" ht="11.25" customHeight="1" x14ac:dyDescent="0.2">
      <c r="A8249" s="191">
        <v>2025</v>
      </c>
      <c r="B8249" s="191">
        <v>5</v>
      </c>
      <c r="C8249" s="191">
        <v>12</v>
      </c>
      <c r="D8249" s="192">
        <f t="shared" si="957"/>
        <v>45789</v>
      </c>
      <c r="E8249" s="291">
        <f t="shared" si="956"/>
        <v>45789</v>
      </c>
      <c r="F8249" s="513"/>
      <c r="G8249" s="194" t="s">
        <v>1209</v>
      </c>
      <c r="H8249" s="195"/>
      <c r="I8249" s="195" t="s">
        <v>1253</v>
      </c>
      <c r="J8249" s="191" t="s">
        <v>113</v>
      </c>
      <c r="K8249" s="196"/>
      <c r="L8249" s="379">
        <v>101666.67</v>
      </c>
      <c r="M8249" s="328"/>
      <c r="N8249" s="328"/>
    </row>
    <row r="8250" spans="1:14" ht="11.25" customHeight="1" x14ac:dyDescent="0.2">
      <c r="A8250" s="197">
        <v>2025</v>
      </c>
      <c r="B8250" s="120">
        <v>5</v>
      </c>
      <c r="C8250" s="120">
        <v>13</v>
      </c>
      <c r="D8250" s="198">
        <f t="shared" si="957"/>
        <v>45790</v>
      </c>
      <c r="E8250" s="290">
        <f t="shared" si="956"/>
        <v>45790</v>
      </c>
      <c r="F8250" s="513" t="s">
        <v>2013</v>
      </c>
      <c r="G8250" s="200" t="s">
        <v>1209</v>
      </c>
      <c r="H8250" s="201"/>
      <c r="I8250" s="201" t="s">
        <v>1253</v>
      </c>
      <c r="J8250" s="197" t="s">
        <v>46</v>
      </c>
      <c r="K8250" s="202">
        <v>305000</v>
      </c>
      <c r="L8250" s="202"/>
      <c r="M8250" s="251"/>
    </row>
    <row r="8251" spans="1:14" ht="11.25" customHeight="1" x14ac:dyDescent="0.2">
      <c r="A8251" s="191">
        <v>2025</v>
      </c>
      <c r="B8251" s="191">
        <v>5</v>
      </c>
      <c r="C8251" s="191">
        <v>13</v>
      </c>
      <c r="D8251" s="192">
        <f t="shared" si="957"/>
        <v>45790</v>
      </c>
      <c r="E8251" s="291">
        <f t="shared" si="956"/>
        <v>45790</v>
      </c>
      <c r="F8251" s="513"/>
      <c r="G8251" s="194" t="s">
        <v>1209</v>
      </c>
      <c r="H8251" s="195"/>
      <c r="I8251" s="195" t="s">
        <v>1253</v>
      </c>
      <c r="J8251" s="191" t="s">
        <v>113</v>
      </c>
      <c r="K8251" s="196"/>
      <c r="L8251" s="379">
        <v>305000</v>
      </c>
      <c r="N8251" s="130"/>
    </row>
    <row r="8252" spans="1:14" ht="11.25" customHeight="1" x14ac:dyDescent="0.2">
      <c r="A8252" s="197">
        <v>2025</v>
      </c>
      <c r="B8252" s="197">
        <v>5</v>
      </c>
      <c r="C8252" s="197">
        <v>13</v>
      </c>
      <c r="D8252" s="198">
        <f t="shared" si="957"/>
        <v>45790</v>
      </c>
      <c r="E8252" s="209">
        <f t="shared" ref="E8252:E8254" si="958">DATE(A8252,B8252,C8252)</f>
        <v>45790</v>
      </c>
      <c r="F8252" s="513" t="s">
        <v>1423</v>
      </c>
      <c r="G8252" s="200" t="s">
        <v>1209</v>
      </c>
      <c r="H8252" s="201"/>
      <c r="I8252" s="201" t="s">
        <v>347</v>
      </c>
      <c r="J8252" s="197" t="s">
        <v>16</v>
      </c>
      <c r="K8252" s="202">
        <v>58970</v>
      </c>
      <c r="L8252" s="202"/>
      <c r="M8252" s="130"/>
      <c r="N8252" s="130"/>
    </row>
    <row r="8253" spans="1:14" ht="11.25" customHeight="1" x14ac:dyDescent="0.2">
      <c r="A8253" s="120">
        <v>2025</v>
      </c>
      <c r="B8253" s="120">
        <v>5</v>
      </c>
      <c r="C8253" s="120">
        <v>13</v>
      </c>
      <c r="D8253" s="208">
        <f t="shared" si="957"/>
        <v>45790</v>
      </c>
      <c r="E8253" s="209">
        <f t="shared" si="958"/>
        <v>45790</v>
      </c>
      <c r="F8253" s="515"/>
      <c r="G8253" s="132" t="s">
        <v>1209</v>
      </c>
      <c r="I8253" s="128" t="s">
        <v>347</v>
      </c>
      <c r="J8253" s="120" t="s">
        <v>47</v>
      </c>
      <c r="K8253" s="207">
        <v>14264.839999999997</v>
      </c>
      <c r="L8253" s="207"/>
      <c r="M8253" s="130"/>
      <c r="N8253" s="130"/>
    </row>
    <row r="8254" spans="1:14" ht="11.25" customHeight="1" x14ac:dyDescent="0.2">
      <c r="A8254" s="191">
        <v>2025</v>
      </c>
      <c r="B8254" s="191">
        <v>5</v>
      </c>
      <c r="C8254" s="191">
        <v>13</v>
      </c>
      <c r="D8254" s="192">
        <f t="shared" si="957"/>
        <v>45790</v>
      </c>
      <c r="E8254" s="193">
        <f t="shared" si="958"/>
        <v>45790</v>
      </c>
      <c r="F8254" s="514"/>
      <c r="G8254" s="194" t="s">
        <v>1209</v>
      </c>
      <c r="H8254" s="195"/>
      <c r="I8254" s="195" t="s">
        <v>347</v>
      </c>
      <c r="J8254" s="191" t="s">
        <v>46</v>
      </c>
      <c r="K8254" s="196"/>
      <c r="L8254" s="196">
        <v>73234.84</v>
      </c>
      <c r="M8254" s="130"/>
      <c r="N8254" s="130"/>
    </row>
    <row r="8255" spans="1:14" ht="11.25" customHeight="1" x14ac:dyDescent="0.2">
      <c r="A8255" s="197">
        <v>2025</v>
      </c>
      <c r="B8255" s="197">
        <v>5</v>
      </c>
      <c r="C8255" s="197">
        <v>13</v>
      </c>
      <c r="D8255" s="198">
        <f t="shared" si="957"/>
        <v>45790</v>
      </c>
      <c r="E8255" s="209">
        <f t="shared" si="956"/>
        <v>45790</v>
      </c>
      <c r="F8255" s="513" t="s">
        <v>1280</v>
      </c>
      <c r="G8255" s="200" t="s">
        <v>1209</v>
      </c>
      <c r="H8255" s="201"/>
      <c r="I8255" s="201" t="s">
        <v>347</v>
      </c>
      <c r="J8255" s="197" t="s">
        <v>16</v>
      </c>
      <c r="K8255" s="202">
        <v>805220</v>
      </c>
      <c r="L8255" s="202"/>
      <c r="M8255" s="130"/>
      <c r="N8255" s="130"/>
    </row>
    <row r="8256" spans="1:14" ht="11.25" customHeight="1" x14ac:dyDescent="0.2">
      <c r="A8256" s="120">
        <v>2025</v>
      </c>
      <c r="B8256" s="120">
        <v>5</v>
      </c>
      <c r="C8256" s="120">
        <v>13</v>
      </c>
      <c r="D8256" s="208">
        <f t="shared" si="957"/>
        <v>45790</v>
      </c>
      <c r="E8256" s="209">
        <f t="shared" si="956"/>
        <v>45790</v>
      </c>
      <c r="F8256" s="515"/>
      <c r="G8256" s="132" t="s">
        <v>1209</v>
      </c>
      <c r="I8256" s="128" t="s">
        <v>347</v>
      </c>
      <c r="J8256" s="120" t="s">
        <v>47</v>
      </c>
      <c r="K8256" s="207">
        <v>194780</v>
      </c>
      <c r="L8256" s="207"/>
      <c r="M8256" s="130"/>
      <c r="N8256" s="130"/>
    </row>
    <row r="8257" spans="1:14" ht="11.25" customHeight="1" x14ac:dyDescent="0.2">
      <c r="A8257" s="191">
        <v>2025</v>
      </c>
      <c r="B8257" s="191">
        <v>5</v>
      </c>
      <c r="C8257" s="191">
        <v>13</v>
      </c>
      <c r="D8257" s="192">
        <f t="shared" si="957"/>
        <v>45790</v>
      </c>
      <c r="E8257" s="193">
        <f t="shared" si="956"/>
        <v>45790</v>
      </c>
      <c r="F8257" s="514"/>
      <c r="G8257" s="194" t="s">
        <v>1209</v>
      </c>
      <c r="H8257" s="195"/>
      <c r="I8257" s="195" t="s">
        <v>347</v>
      </c>
      <c r="J8257" s="191" t="s">
        <v>46</v>
      </c>
      <c r="K8257" s="196"/>
      <c r="L8257" s="196">
        <v>1000000</v>
      </c>
      <c r="M8257" s="130"/>
      <c r="N8257" s="130"/>
    </row>
    <row r="8258" spans="1:14" ht="11.25" customHeight="1" x14ac:dyDescent="0.2">
      <c r="A8258" s="197">
        <v>2025</v>
      </c>
      <c r="B8258" s="197">
        <v>5</v>
      </c>
      <c r="C8258" s="197">
        <v>15</v>
      </c>
      <c r="D8258" s="198">
        <f t="shared" si="957"/>
        <v>45792</v>
      </c>
      <c r="E8258" s="209">
        <f t="shared" ref="E8258:E8265" si="959">DATE(A8258,B8258,C8258)</f>
        <v>45792</v>
      </c>
      <c r="F8258" s="513" t="s">
        <v>1280</v>
      </c>
      <c r="G8258" s="200" t="s">
        <v>1209</v>
      </c>
      <c r="H8258" s="201"/>
      <c r="I8258" s="201" t="s">
        <v>1503</v>
      </c>
      <c r="J8258" s="197" t="s">
        <v>16</v>
      </c>
      <c r="K8258" s="202">
        <v>402610</v>
      </c>
      <c r="L8258" s="202"/>
      <c r="M8258" s="130"/>
      <c r="N8258" s="130"/>
    </row>
    <row r="8259" spans="1:14" ht="11.25" customHeight="1" x14ac:dyDescent="0.2">
      <c r="A8259" s="120">
        <v>2025</v>
      </c>
      <c r="B8259" s="120">
        <v>5</v>
      </c>
      <c r="C8259" s="120">
        <v>15</v>
      </c>
      <c r="D8259" s="208">
        <f t="shared" si="957"/>
        <v>45792</v>
      </c>
      <c r="E8259" s="209">
        <f t="shared" si="959"/>
        <v>45792</v>
      </c>
      <c r="F8259" s="515"/>
      <c r="G8259" s="132" t="s">
        <v>1209</v>
      </c>
      <c r="I8259" s="128" t="s">
        <v>1503</v>
      </c>
      <c r="J8259" s="120" t="s">
        <v>47</v>
      </c>
      <c r="K8259" s="207">
        <v>97390</v>
      </c>
      <c r="L8259" s="207"/>
      <c r="M8259" s="130"/>
      <c r="N8259" s="130"/>
    </row>
    <row r="8260" spans="1:14" ht="11.25" customHeight="1" x14ac:dyDescent="0.2">
      <c r="A8260" s="191">
        <v>2025</v>
      </c>
      <c r="B8260" s="191">
        <v>5</v>
      </c>
      <c r="C8260" s="191">
        <v>15</v>
      </c>
      <c r="D8260" s="192">
        <f t="shared" si="957"/>
        <v>45792</v>
      </c>
      <c r="E8260" s="193">
        <f t="shared" si="959"/>
        <v>45792</v>
      </c>
      <c r="F8260" s="514"/>
      <c r="G8260" s="194" t="s">
        <v>1209</v>
      </c>
      <c r="H8260" s="195"/>
      <c r="I8260" s="195" t="s">
        <v>1503</v>
      </c>
      <c r="J8260" s="191" t="s">
        <v>46</v>
      </c>
      <c r="K8260" s="196"/>
      <c r="L8260" s="196">
        <v>500000</v>
      </c>
      <c r="M8260" s="130"/>
      <c r="N8260" s="130"/>
    </row>
    <row r="8261" spans="1:14" ht="11.25" customHeight="1" x14ac:dyDescent="0.2">
      <c r="A8261" s="197">
        <v>2025</v>
      </c>
      <c r="B8261" s="197">
        <v>5</v>
      </c>
      <c r="C8261" s="197">
        <v>15</v>
      </c>
      <c r="D8261" s="198">
        <f t="shared" si="957"/>
        <v>45792</v>
      </c>
      <c r="E8261" s="290">
        <f t="shared" si="959"/>
        <v>45792</v>
      </c>
      <c r="F8261" s="513" t="s">
        <v>2029</v>
      </c>
      <c r="G8261" s="200" t="s">
        <v>1209</v>
      </c>
      <c r="H8261" s="201"/>
      <c r="I8261" s="201" t="s">
        <v>1253</v>
      </c>
      <c r="J8261" s="197" t="s">
        <v>46</v>
      </c>
      <c r="K8261" s="202">
        <v>1116000</v>
      </c>
      <c r="L8261" s="202"/>
    </row>
    <row r="8262" spans="1:14" ht="11.25" customHeight="1" x14ac:dyDescent="0.2">
      <c r="A8262" s="191">
        <v>2025</v>
      </c>
      <c r="B8262" s="191">
        <v>5</v>
      </c>
      <c r="C8262" s="191">
        <v>15</v>
      </c>
      <c r="D8262" s="192">
        <f t="shared" si="957"/>
        <v>45792</v>
      </c>
      <c r="E8262" s="291">
        <f t="shared" si="959"/>
        <v>45792</v>
      </c>
      <c r="F8262" s="514"/>
      <c r="G8262" s="194" t="s">
        <v>1209</v>
      </c>
      <c r="H8262" s="195"/>
      <c r="I8262" s="195"/>
      <c r="J8262" s="191" t="s">
        <v>1845</v>
      </c>
      <c r="K8262" s="196"/>
      <c r="L8262" s="196">
        <v>1116000</v>
      </c>
    </row>
    <row r="8263" spans="1:14" ht="11.25" customHeight="1" x14ac:dyDescent="0.2">
      <c r="A8263" s="197">
        <v>2025</v>
      </c>
      <c r="B8263" s="197">
        <v>5</v>
      </c>
      <c r="C8263" s="197">
        <v>15</v>
      </c>
      <c r="D8263" s="198">
        <f t="shared" si="957"/>
        <v>45792</v>
      </c>
      <c r="E8263" s="209">
        <f t="shared" si="959"/>
        <v>45792</v>
      </c>
      <c r="F8263" s="513" t="s">
        <v>1210</v>
      </c>
      <c r="G8263" s="200" t="s">
        <v>1209</v>
      </c>
      <c r="H8263" s="201"/>
      <c r="I8263" s="201" t="s">
        <v>596</v>
      </c>
      <c r="J8263" s="197" t="s">
        <v>46</v>
      </c>
      <c r="K8263" s="202">
        <v>500000</v>
      </c>
      <c r="L8263" s="202"/>
    </row>
    <row r="8264" spans="1:14" ht="11.25" customHeight="1" x14ac:dyDescent="0.2">
      <c r="A8264" s="120">
        <v>2025</v>
      </c>
      <c r="B8264" s="120">
        <v>5</v>
      </c>
      <c r="C8264" s="120">
        <v>15</v>
      </c>
      <c r="D8264" s="208">
        <f t="shared" si="957"/>
        <v>45792</v>
      </c>
      <c r="E8264" s="209">
        <f t="shared" si="959"/>
        <v>45792</v>
      </c>
      <c r="F8264" s="515"/>
      <c r="G8264" s="132" t="s">
        <v>1209</v>
      </c>
      <c r="I8264" s="128" t="s">
        <v>596</v>
      </c>
      <c r="J8264" s="120" t="s">
        <v>16</v>
      </c>
      <c r="K8264" s="207"/>
      <c r="L8264" s="207">
        <v>402610</v>
      </c>
    </row>
    <row r="8265" spans="1:14" ht="11.25" customHeight="1" x14ac:dyDescent="0.2">
      <c r="A8265" s="191">
        <v>2025</v>
      </c>
      <c r="B8265" s="191">
        <v>5</v>
      </c>
      <c r="C8265" s="191">
        <v>15</v>
      </c>
      <c r="D8265" s="192">
        <f t="shared" si="957"/>
        <v>45792</v>
      </c>
      <c r="E8265" s="193">
        <f t="shared" si="959"/>
        <v>45792</v>
      </c>
      <c r="F8265" s="514"/>
      <c r="G8265" s="194" t="s">
        <v>1209</v>
      </c>
      <c r="H8265" s="195"/>
      <c r="I8265" s="195" t="s">
        <v>596</v>
      </c>
      <c r="J8265" s="191" t="s">
        <v>47</v>
      </c>
      <c r="K8265" s="196"/>
      <c r="L8265" s="196">
        <v>97390</v>
      </c>
    </row>
    <row r="8266" spans="1:14" ht="11.25" customHeight="1" x14ac:dyDescent="0.2">
      <c r="A8266" s="197">
        <v>2025</v>
      </c>
      <c r="B8266" s="197">
        <v>5</v>
      </c>
      <c r="C8266" s="197">
        <v>15</v>
      </c>
      <c r="D8266" s="198">
        <f t="shared" si="957"/>
        <v>45792</v>
      </c>
      <c r="E8266" s="209">
        <f t="shared" ref="E8266:E8268" si="960">DATE(A8266,B8266,C8266)</f>
        <v>45792</v>
      </c>
      <c r="F8266" s="513" t="s">
        <v>1210</v>
      </c>
      <c r="G8266" s="200" t="s">
        <v>1209</v>
      </c>
      <c r="H8266" s="201"/>
      <c r="I8266" s="201" t="s">
        <v>791</v>
      </c>
      <c r="J8266" s="197" t="s">
        <v>46</v>
      </c>
      <c r="K8266" s="202">
        <v>500000</v>
      </c>
      <c r="L8266" s="202"/>
    </row>
    <row r="8267" spans="1:14" ht="11.25" customHeight="1" x14ac:dyDescent="0.2">
      <c r="A8267" s="120">
        <v>2025</v>
      </c>
      <c r="B8267" s="120">
        <v>5</v>
      </c>
      <c r="C8267" s="120">
        <v>15</v>
      </c>
      <c r="D8267" s="208">
        <f t="shared" si="957"/>
        <v>45792</v>
      </c>
      <c r="E8267" s="209">
        <f t="shared" si="960"/>
        <v>45792</v>
      </c>
      <c r="F8267" s="515"/>
      <c r="G8267" s="132" t="s">
        <v>1209</v>
      </c>
      <c r="I8267" s="128" t="s">
        <v>791</v>
      </c>
      <c r="J8267" s="120" t="s">
        <v>16</v>
      </c>
      <c r="K8267" s="207"/>
      <c r="L8267" s="207">
        <v>402610</v>
      </c>
    </row>
    <row r="8268" spans="1:14" ht="11.25" customHeight="1" x14ac:dyDescent="0.2">
      <c r="A8268" s="191">
        <v>2025</v>
      </c>
      <c r="B8268" s="191">
        <v>5</v>
      </c>
      <c r="C8268" s="191">
        <v>15</v>
      </c>
      <c r="D8268" s="192">
        <f t="shared" si="957"/>
        <v>45792</v>
      </c>
      <c r="E8268" s="193">
        <f t="shared" si="960"/>
        <v>45792</v>
      </c>
      <c r="F8268" s="514"/>
      <c r="G8268" s="194" t="s">
        <v>1209</v>
      </c>
      <c r="H8268" s="195"/>
      <c r="I8268" s="195" t="s">
        <v>791</v>
      </c>
      <c r="J8268" s="191" t="s">
        <v>47</v>
      </c>
      <c r="K8268" s="196"/>
      <c r="L8268" s="196">
        <v>97390</v>
      </c>
    </row>
    <row r="8269" spans="1:14" ht="11.25" customHeight="1" x14ac:dyDescent="0.2">
      <c r="A8269" s="197">
        <v>2025</v>
      </c>
      <c r="B8269" s="197">
        <v>5</v>
      </c>
      <c r="C8269" s="197">
        <v>15</v>
      </c>
      <c r="D8269" s="198">
        <f t="shared" si="957"/>
        <v>45792</v>
      </c>
      <c r="E8269" s="209">
        <f t="shared" ref="E8269:E8271" si="961">DATE(A8269,B8269,C8269)</f>
        <v>45792</v>
      </c>
      <c r="F8269" s="513" t="s">
        <v>1210</v>
      </c>
      <c r="G8269" s="200" t="s">
        <v>1209</v>
      </c>
      <c r="H8269" s="201"/>
      <c r="I8269" s="201" t="s">
        <v>1656</v>
      </c>
      <c r="J8269" s="197" t="s">
        <v>46</v>
      </c>
      <c r="K8269" s="202">
        <v>200000</v>
      </c>
      <c r="L8269" s="202"/>
    </row>
    <row r="8270" spans="1:14" ht="11.25" customHeight="1" x14ac:dyDescent="0.2">
      <c r="A8270" s="120">
        <v>2025</v>
      </c>
      <c r="B8270" s="120">
        <v>5</v>
      </c>
      <c r="C8270" s="120">
        <v>15</v>
      </c>
      <c r="D8270" s="208">
        <f t="shared" si="957"/>
        <v>45792</v>
      </c>
      <c r="E8270" s="209">
        <f t="shared" si="961"/>
        <v>45792</v>
      </c>
      <c r="F8270" s="515"/>
      <c r="G8270" s="132" t="s">
        <v>1209</v>
      </c>
      <c r="I8270" s="128" t="s">
        <v>1656</v>
      </c>
      <c r="J8270" s="120" t="s">
        <v>16</v>
      </c>
      <c r="K8270" s="207"/>
      <c r="L8270" s="207">
        <v>161040</v>
      </c>
    </row>
    <row r="8271" spans="1:14" ht="11.25" customHeight="1" x14ac:dyDescent="0.2">
      <c r="A8271" s="191">
        <v>2025</v>
      </c>
      <c r="B8271" s="191">
        <v>5</v>
      </c>
      <c r="C8271" s="191">
        <v>15</v>
      </c>
      <c r="D8271" s="192">
        <f t="shared" si="957"/>
        <v>45792</v>
      </c>
      <c r="E8271" s="193">
        <f t="shared" si="961"/>
        <v>45792</v>
      </c>
      <c r="F8271" s="514"/>
      <c r="G8271" s="194" t="s">
        <v>1209</v>
      </c>
      <c r="H8271" s="195"/>
      <c r="I8271" s="195" t="s">
        <v>1656</v>
      </c>
      <c r="J8271" s="191" t="s">
        <v>47</v>
      </c>
      <c r="K8271" s="196"/>
      <c r="L8271" s="196">
        <v>38960</v>
      </c>
    </row>
    <row r="8272" spans="1:14" ht="11.25" customHeight="1" x14ac:dyDescent="0.2">
      <c r="A8272" s="197">
        <v>2025</v>
      </c>
      <c r="B8272" s="197">
        <v>5</v>
      </c>
      <c r="C8272" s="197">
        <v>15</v>
      </c>
      <c r="D8272" s="198">
        <f t="shared" si="957"/>
        <v>45792</v>
      </c>
      <c r="E8272" s="209">
        <f t="shared" ref="E8272:E8274" si="962">DATE(A8272,B8272,C8272)</f>
        <v>45792</v>
      </c>
      <c r="F8272" s="513" t="s">
        <v>1210</v>
      </c>
      <c r="G8272" s="200" t="s">
        <v>1209</v>
      </c>
      <c r="H8272" s="201"/>
      <c r="I8272" s="201" t="s">
        <v>391</v>
      </c>
      <c r="J8272" s="197" t="s">
        <v>46</v>
      </c>
      <c r="K8272" s="202">
        <v>220000</v>
      </c>
      <c r="L8272" s="202"/>
    </row>
    <row r="8273" spans="1:15" ht="11.25" customHeight="1" x14ac:dyDescent="0.2">
      <c r="A8273" s="120">
        <v>2025</v>
      </c>
      <c r="B8273" s="120">
        <v>5</v>
      </c>
      <c r="C8273" s="120">
        <v>15</v>
      </c>
      <c r="D8273" s="208">
        <f t="shared" si="957"/>
        <v>45792</v>
      </c>
      <c r="E8273" s="209">
        <f t="shared" si="962"/>
        <v>45792</v>
      </c>
      <c r="F8273" s="515"/>
      <c r="G8273" s="132" t="s">
        <v>1209</v>
      </c>
      <c r="I8273" s="128" t="s">
        <v>391</v>
      </c>
      <c r="J8273" s="120" t="s">
        <v>16</v>
      </c>
      <c r="K8273" s="207"/>
      <c r="L8273" s="207">
        <v>177150</v>
      </c>
    </row>
    <row r="8274" spans="1:15" ht="11.25" customHeight="1" x14ac:dyDescent="0.2">
      <c r="A8274" s="191">
        <v>2025</v>
      </c>
      <c r="B8274" s="191">
        <v>5</v>
      </c>
      <c r="C8274" s="191">
        <v>15</v>
      </c>
      <c r="D8274" s="192">
        <f t="shared" si="957"/>
        <v>45792</v>
      </c>
      <c r="E8274" s="193">
        <f t="shared" si="962"/>
        <v>45792</v>
      </c>
      <c r="F8274" s="514"/>
      <c r="G8274" s="194" t="s">
        <v>1209</v>
      </c>
      <c r="H8274" s="195"/>
      <c r="I8274" s="195" t="s">
        <v>391</v>
      </c>
      <c r="J8274" s="191" t="s">
        <v>47</v>
      </c>
      <c r="K8274" s="196"/>
      <c r="L8274" s="196">
        <v>42850</v>
      </c>
    </row>
    <row r="8275" spans="1:15" ht="11.25" customHeight="1" x14ac:dyDescent="0.2">
      <c r="A8275" s="197">
        <v>2025</v>
      </c>
      <c r="B8275" s="197">
        <v>5</v>
      </c>
      <c r="C8275" s="197">
        <v>15</v>
      </c>
      <c r="D8275" s="198">
        <f t="shared" si="957"/>
        <v>45792</v>
      </c>
      <c r="E8275" s="209">
        <f t="shared" ref="E8275:E8277" si="963">DATE(A8275,B8275,C8275)</f>
        <v>45792</v>
      </c>
      <c r="F8275" s="513" t="s">
        <v>1210</v>
      </c>
      <c r="G8275" s="200" t="s">
        <v>1209</v>
      </c>
      <c r="H8275" s="201"/>
      <c r="I8275" s="201" t="s">
        <v>742</v>
      </c>
      <c r="J8275" s="197" t="s">
        <v>46</v>
      </c>
      <c r="K8275" s="202">
        <v>400000</v>
      </c>
      <c r="L8275" s="202"/>
    </row>
    <row r="8276" spans="1:15" ht="11.25" customHeight="1" x14ac:dyDescent="0.2">
      <c r="A8276" s="120">
        <v>2025</v>
      </c>
      <c r="B8276" s="120">
        <v>5</v>
      </c>
      <c r="C8276" s="120">
        <v>15</v>
      </c>
      <c r="D8276" s="208">
        <f t="shared" si="957"/>
        <v>45792</v>
      </c>
      <c r="E8276" s="209">
        <f t="shared" si="963"/>
        <v>45792</v>
      </c>
      <c r="F8276" s="515"/>
      <c r="G8276" s="132" t="s">
        <v>1209</v>
      </c>
      <c r="I8276" s="128" t="s">
        <v>742</v>
      </c>
      <c r="J8276" s="120" t="s">
        <v>16</v>
      </c>
      <c r="K8276" s="207"/>
      <c r="L8276" s="207">
        <v>322090</v>
      </c>
    </row>
    <row r="8277" spans="1:15" ht="11.25" customHeight="1" x14ac:dyDescent="0.2">
      <c r="A8277" s="191">
        <v>2025</v>
      </c>
      <c r="B8277" s="191">
        <v>5</v>
      </c>
      <c r="C8277" s="191">
        <v>15</v>
      </c>
      <c r="D8277" s="192">
        <f t="shared" si="957"/>
        <v>45792</v>
      </c>
      <c r="E8277" s="193">
        <f t="shared" si="963"/>
        <v>45792</v>
      </c>
      <c r="F8277" s="514"/>
      <c r="G8277" s="194" t="s">
        <v>1209</v>
      </c>
      <c r="H8277" s="195"/>
      <c r="I8277" s="195" t="s">
        <v>742</v>
      </c>
      <c r="J8277" s="191" t="s">
        <v>47</v>
      </c>
      <c r="K8277" s="196"/>
      <c r="L8277" s="196">
        <v>77910</v>
      </c>
    </row>
    <row r="8278" spans="1:15" ht="11.25" customHeight="1" x14ac:dyDescent="0.2">
      <c r="A8278" s="197">
        <v>2025</v>
      </c>
      <c r="B8278" s="197">
        <v>5</v>
      </c>
      <c r="C8278" s="197">
        <v>15</v>
      </c>
      <c r="D8278" s="198">
        <f t="shared" si="957"/>
        <v>45792</v>
      </c>
      <c r="E8278" s="209">
        <f t="shared" ref="E8278:E8280" si="964">DATE(A8278,B8278,C8278)</f>
        <v>45792</v>
      </c>
      <c r="F8278" s="513" t="s">
        <v>1296</v>
      </c>
      <c r="G8278" s="200" t="s">
        <v>1209</v>
      </c>
      <c r="H8278" s="201"/>
      <c r="I8278" s="201"/>
      <c r="J8278" s="197" t="s">
        <v>46</v>
      </c>
      <c r="K8278" s="202">
        <v>109000</v>
      </c>
      <c r="L8278" s="202"/>
    </row>
    <row r="8279" spans="1:15" ht="11.25" customHeight="1" x14ac:dyDescent="0.2">
      <c r="A8279" s="120">
        <v>2025</v>
      </c>
      <c r="B8279" s="120">
        <v>5</v>
      </c>
      <c r="C8279" s="120">
        <v>15</v>
      </c>
      <c r="D8279" s="208">
        <f t="shared" si="957"/>
        <v>45792</v>
      </c>
      <c r="E8279" s="209">
        <f t="shared" si="964"/>
        <v>45792</v>
      </c>
      <c r="F8279" s="515"/>
      <c r="G8279" s="132" t="s">
        <v>1209</v>
      </c>
      <c r="J8279" s="120" t="s">
        <v>16</v>
      </c>
      <c r="K8279" s="207"/>
      <c r="L8279" s="207">
        <v>87770</v>
      </c>
    </row>
    <row r="8280" spans="1:15" ht="11.25" customHeight="1" x14ac:dyDescent="0.2">
      <c r="A8280" s="191">
        <v>2025</v>
      </c>
      <c r="B8280" s="191">
        <v>5</v>
      </c>
      <c r="C8280" s="191">
        <v>15</v>
      </c>
      <c r="D8280" s="192">
        <f t="shared" si="957"/>
        <v>45792</v>
      </c>
      <c r="E8280" s="193">
        <f t="shared" si="964"/>
        <v>45792</v>
      </c>
      <c r="F8280" s="514"/>
      <c r="G8280" s="194" t="s">
        <v>1209</v>
      </c>
      <c r="H8280" s="195"/>
      <c r="I8280" s="195"/>
      <c r="J8280" s="191" t="s">
        <v>47</v>
      </c>
      <c r="K8280" s="196"/>
      <c r="L8280" s="196">
        <v>21230</v>
      </c>
    </row>
    <row r="8281" spans="1:15" ht="11.25" customHeight="1" x14ac:dyDescent="0.2">
      <c r="A8281" s="197">
        <v>2025</v>
      </c>
      <c r="B8281" s="197">
        <v>5</v>
      </c>
      <c r="C8281" s="197">
        <v>15</v>
      </c>
      <c r="D8281" s="198">
        <f t="shared" si="957"/>
        <v>45792</v>
      </c>
      <c r="E8281" s="290">
        <f>DATE(A8281,B8281,C8281)</f>
        <v>45792</v>
      </c>
      <c r="F8281" s="513" t="s">
        <v>1514</v>
      </c>
      <c r="G8281" s="200" t="s">
        <v>1209</v>
      </c>
      <c r="H8281" s="201"/>
      <c r="I8281" s="201"/>
      <c r="J8281" s="197" t="s">
        <v>54</v>
      </c>
      <c r="K8281" s="202">
        <v>80</v>
      </c>
      <c r="L8281" s="202"/>
      <c r="M8281" s="251"/>
      <c r="N8281" s="251"/>
      <c r="O8281" s="251"/>
    </row>
    <row r="8282" spans="1:15" ht="11.25" customHeight="1" x14ac:dyDescent="0.2">
      <c r="A8282" s="191">
        <v>2025</v>
      </c>
      <c r="B8282" s="191">
        <v>5</v>
      </c>
      <c r="C8282" s="191">
        <v>15</v>
      </c>
      <c r="D8282" s="192">
        <f t="shared" si="957"/>
        <v>45792</v>
      </c>
      <c r="E8282" s="291">
        <f>DATE(A8282,B8282,C8282)</f>
        <v>45792</v>
      </c>
      <c r="F8282" s="514"/>
      <c r="G8282" s="194" t="s">
        <v>1209</v>
      </c>
      <c r="H8282" s="195"/>
      <c r="I8282" s="195"/>
      <c r="J8282" s="191" t="s">
        <v>46</v>
      </c>
      <c r="K8282" s="196"/>
      <c r="L8282" s="196">
        <v>80</v>
      </c>
      <c r="M8282" s="251"/>
      <c r="N8282" s="251"/>
      <c r="O8282" s="251"/>
    </row>
    <row r="8283" spans="1:15" ht="11.25" customHeight="1" x14ac:dyDescent="0.2">
      <c r="A8283" s="424">
        <v>2025</v>
      </c>
      <c r="B8283" s="424">
        <v>5</v>
      </c>
      <c r="C8283" s="424">
        <v>15</v>
      </c>
      <c r="D8283" s="425">
        <f t="shared" si="957"/>
        <v>45792</v>
      </c>
      <c r="E8283" s="384">
        <f t="shared" si="956"/>
        <v>45792</v>
      </c>
      <c r="F8283" s="516" t="s">
        <v>1850</v>
      </c>
      <c r="G8283" s="426" t="s">
        <v>1209</v>
      </c>
      <c r="H8283" s="427"/>
      <c r="I8283" s="427"/>
      <c r="J8283" s="428" t="s">
        <v>81</v>
      </c>
      <c r="K8283" s="429">
        <v>6973.2450980392159</v>
      </c>
      <c r="L8283" s="429"/>
      <c r="M8283" s="130"/>
    </row>
    <row r="8284" spans="1:15" ht="11.25" customHeight="1" x14ac:dyDescent="0.2">
      <c r="A8284" s="389">
        <v>2025</v>
      </c>
      <c r="B8284" s="389">
        <v>5</v>
      </c>
      <c r="C8284" s="389">
        <v>15</v>
      </c>
      <c r="D8284" s="390">
        <f t="shared" si="957"/>
        <v>45792</v>
      </c>
      <c r="E8284" s="391">
        <f t="shared" si="956"/>
        <v>45792</v>
      </c>
      <c r="F8284" s="517"/>
      <c r="G8284" s="392" t="s">
        <v>1209</v>
      </c>
      <c r="H8284" s="393"/>
      <c r="I8284" s="393"/>
      <c r="J8284" s="394" t="s">
        <v>1847</v>
      </c>
      <c r="K8284" s="423"/>
      <c r="L8284" s="423">
        <v>6973.2450980392159</v>
      </c>
    </row>
    <row r="8285" spans="1:15" ht="11.25" customHeight="1" x14ac:dyDescent="0.2">
      <c r="A8285" s="382">
        <v>2025</v>
      </c>
      <c r="B8285" s="382">
        <v>5</v>
      </c>
      <c r="C8285" s="382">
        <v>15</v>
      </c>
      <c r="D8285" s="383">
        <f t="shared" si="957"/>
        <v>45792</v>
      </c>
      <c r="E8285" s="384">
        <f t="shared" si="956"/>
        <v>45792</v>
      </c>
      <c r="F8285" s="516" t="s">
        <v>1892</v>
      </c>
      <c r="G8285" s="385" t="s">
        <v>1209</v>
      </c>
      <c r="H8285" s="386"/>
      <c r="I8285" s="386"/>
      <c r="J8285" s="387" t="s">
        <v>173</v>
      </c>
      <c r="K8285" s="388">
        <v>4632.4914305729171</v>
      </c>
      <c r="L8285" s="388"/>
      <c r="M8285" s="130"/>
    </row>
    <row r="8286" spans="1:15" ht="11.25" customHeight="1" x14ac:dyDescent="0.2">
      <c r="A8286" s="389">
        <v>2025</v>
      </c>
      <c r="B8286" s="389">
        <v>5</v>
      </c>
      <c r="C8286" s="389">
        <v>15</v>
      </c>
      <c r="D8286" s="390">
        <f t="shared" si="957"/>
        <v>45792</v>
      </c>
      <c r="E8286" s="391">
        <f t="shared" si="956"/>
        <v>45792</v>
      </c>
      <c r="F8286" s="517"/>
      <c r="G8286" s="392" t="s">
        <v>1209</v>
      </c>
      <c r="H8286" s="393"/>
      <c r="I8286" s="393"/>
      <c r="J8286" s="394" t="s">
        <v>43</v>
      </c>
      <c r="K8286" s="388"/>
      <c r="L8286" s="388">
        <f>K8285</f>
        <v>4632.4914305729171</v>
      </c>
    </row>
    <row r="8287" spans="1:15" ht="11.25" customHeight="1" x14ac:dyDescent="0.2">
      <c r="A8287" s="344">
        <v>2025</v>
      </c>
      <c r="B8287" s="344">
        <v>5</v>
      </c>
      <c r="C8287" s="344">
        <v>15</v>
      </c>
      <c r="D8287" s="345">
        <f t="shared" si="957"/>
        <v>45792</v>
      </c>
      <c r="E8287" s="346">
        <f t="shared" si="956"/>
        <v>45792</v>
      </c>
      <c r="F8287" s="518" t="s">
        <v>1982</v>
      </c>
      <c r="G8287" s="347" t="s">
        <v>1245</v>
      </c>
      <c r="H8287" s="348"/>
      <c r="I8287" s="348" t="s">
        <v>1253</v>
      </c>
      <c r="J8287" s="344" t="s">
        <v>1978</v>
      </c>
      <c r="K8287" s="349">
        <v>145230.76923076922</v>
      </c>
      <c r="L8287" s="349"/>
      <c r="M8287" s="130"/>
    </row>
    <row r="8288" spans="1:15" ht="11.25" customHeight="1" x14ac:dyDescent="0.2">
      <c r="A8288" s="350">
        <v>2025</v>
      </c>
      <c r="B8288" s="350">
        <v>5</v>
      </c>
      <c r="C8288" s="350">
        <v>15</v>
      </c>
      <c r="D8288" s="351">
        <f t="shared" si="957"/>
        <v>45792</v>
      </c>
      <c r="E8288" s="352">
        <f t="shared" si="956"/>
        <v>45792</v>
      </c>
      <c r="F8288" s="519"/>
      <c r="G8288" s="353" t="s">
        <v>1245</v>
      </c>
      <c r="H8288" s="354"/>
      <c r="I8288" s="354" t="s">
        <v>1253</v>
      </c>
      <c r="J8288" s="350" t="s">
        <v>1979</v>
      </c>
      <c r="K8288" s="355"/>
      <c r="L8288" s="355">
        <f>K8287</f>
        <v>145230.76923076922</v>
      </c>
    </row>
    <row r="8289" spans="1:14" ht="11.25" customHeight="1" x14ac:dyDescent="0.2">
      <c r="A8289" s="344">
        <v>2025</v>
      </c>
      <c r="B8289" s="344">
        <v>5</v>
      </c>
      <c r="C8289" s="344">
        <v>15</v>
      </c>
      <c r="D8289" s="345">
        <f t="shared" si="957"/>
        <v>45792</v>
      </c>
      <c r="E8289" s="346">
        <f t="shared" si="956"/>
        <v>45792</v>
      </c>
      <c r="F8289" s="518" t="s">
        <v>2009</v>
      </c>
      <c r="G8289" s="347" t="s">
        <v>1245</v>
      </c>
      <c r="H8289" s="348"/>
      <c r="I8289" s="348" t="s">
        <v>1253</v>
      </c>
      <c r="J8289" s="344" t="s">
        <v>2004</v>
      </c>
      <c r="K8289" s="349">
        <v>49692.31</v>
      </c>
      <c r="L8289" s="349"/>
      <c r="M8289" s="130"/>
    </row>
    <row r="8290" spans="1:14" ht="11.25" customHeight="1" x14ac:dyDescent="0.2">
      <c r="A8290" s="350">
        <v>2025</v>
      </c>
      <c r="B8290" s="350">
        <v>5</v>
      </c>
      <c r="C8290" s="350">
        <v>15</v>
      </c>
      <c r="D8290" s="351">
        <f t="shared" si="957"/>
        <v>45792</v>
      </c>
      <c r="E8290" s="352">
        <f t="shared" si="956"/>
        <v>45792</v>
      </c>
      <c r="F8290" s="519"/>
      <c r="G8290" s="353" t="s">
        <v>1245</v>
      </c>
      <c r="H8290" s="354"/>
      <c r="I8290" s="354" t="s">
        <v>1253</v>
      </c>
      <c r="J8290" s="350" t="s">
        <v>2008</v>
      </c>
      <c r="K8290" s="355"/>
      <c r="L8290" s="355">
        <f>K8289</f>
        <v>49692.31</v>
      </c>
    </row>
    <row r="8291" spans="1:14" ht="11.25" customHeight="1" x14ac:dyDescent="0.2">
      <c r="A8291" s="344">
        <v>2025</v>
      </c>
      <c r="B8291" s="344">
        <v>5</v>
      </c>
      <c r="C8291" s="344">
        <v>15</v>
      </c>
      <c r="D8291" s="345">
        <f t="shared" si="957"/>
        <v>45792</v>
      </c>
      <c r="E8291" s="346">
        <f>DATE(A8291,B8291,C8291)</f>
        <v>45792</v>
      </c>
      <c r="F8291" s="518" t="s">
        <v>1988</v>
      </c>
      <c r="G8291" s="347" t="s">
        <v>1245</v>
      </c>
      <c r="H8291" s="348"/>
      <c r="I8291" s="348" t="s">
        <v>1253</v>
      </c>
      <c r="J8291" s="344" t="s">
        <v>113</v>
      </c>
      <c r="K8291" s="349">
        <v>32846.15</v>
      </c>
      <c r="L8291" s="349"/>
      <c r="M8291" s="130"/>
    </row>
    <row r="8292" spans="1:14" ht="11.25" customHeight="1" x14ac:dyDescent="0.2">
      <c r="A8292" s="350">
        <v>2025</v>
      </c>
      <c r="B8292" s="350">
        <v>5</v>
      </c>
      <c r="C8292" s="350">
        <v>15</v>
      </c>
      <c r="D8292" s="351">
        <f t="shared" si="957"/>
        <v>45792</v>
      </c>
      <c r="E8292" s="352">
        <f>DATE(A8292,B8292,C8292)</f>
        <v>45792</v>
      </c>
      <c r="F8292" s="519"/>
      <c r="G8292" s="353" t="s">
        <v>1245</v>
      </c>
      <c r="H8292" s="354"/>
      <c r="I8292" s="354" t="s">
        <v>1253</v>
      </c>
      <c r="J8292" s="350" t="s">
        <v>153</v>
      </c>
      <c r="K8292" s="355"/>
      <c r="L8292" s="355">
        <f>K8291</f>
        <v>32846.15</v>
      </c>
    </row>
    <row r="8293" spans="1:14" ht="11.25" customHeight="1" x14ac:dyDescent="0.2">
      <c r="A8293" s="344">
        <v>2025</v>
      </c>
      <c r="B8293" s="344">
        <v>5</v>
      </c>
      <c r="C8293" s="344">
        <v>15</v>
      </c>
      <c r="D8293" s="345">
        <f t="shared" si="957"/>
        <v>45792</v>
      </c>
      <c r="E8293" s="346">
        <f t="shared" ref="E8293:E8298" si="965">DATE(A8293,B8293,C8293)</f>
        <v>45792</v>
      </c>
      <c r="F8293" s="518" t="s">
        <v>1989</v>
      </c>
      <c r="G8293" s="347" t="s">
        <v>1245</v>
      </c>
      <c r="H8293" s="348"/>
      <c r="I8293" s="348" t="s">
        <v>1253</v>
      </c>
      <c r="J8293" s="344" t="s">
        <v>113</v>
      </c>
      <c r="K8293" s="349">
        <v>23461.538461538461</v>
      </c>
      <c r="L8293" s="349"/>
      <c r="M8293" s="130"/>
    </row>
    <row r="8294" spans="1:14" ht="11.25" customHeight="1" x14ac:dyDescent="0.2">
      <c r="A8294" s="350">
        <v>2025</v>
      </c>
      <c r="B8294" s="350">
        <v>5</v>
      </c>
      <c r="C8294" s="350">
        <v>15</v>
      </c>
      <c r="D8294" s="351">
        <f t="shared" si="957"/>
        <v>45792</v>
      </c>
      <c r="E8294" s="352">
        <f t="shared" si="965"/>
        <v>45792</v>
      </c>
      <c r="F8294" s="519"/>
      <c r="G8294" s="353" t="s">
        <v>1245</v>
      </c>
      <c r="H8294" s="354"/>
      <c r="I8294" s="354" t="s">
        <v>1253</v>
      </c>
      <c r="J8294" s="350" t="s">
        <v>153</v>
      </c>
      <c r="K8294" s="355"/>
      <c r="L8294" s="355">
        <f>K8293</f>
        <v>23461.538461538461</v>
      </c>
    </row>
    <row r="8295" spans="1:14" ht="11.25" customHeight="1" x14ac:dyDescent="0.2">
      <c r="A8295" s="344">
        <v>2025</v>
      </c>
      <c r="B8295" s="344">
        <v>5</v>
      </c>
      <c r="C8295" s="344">
        <v>15</v>
      </c>
      <c r="D8295" s="345">
        <f t="shared" si="957"/>
        <v>45792</v>
      </c>
      <c r="E8295" s="346">
        <f t="shared" si="965"/>
        <v>45792</v>
      </c>
      <c r="F8295" s="518" t="s">
        <v>1990</v>
      </c>
      <c r="G8295" s="347" t="s">
        <v>1245</v>
      </c>
      <c r="H8295" s="348"/>
      <c r="I8295" s="348" t="s">
        <v>1253</v>
      </c>
      <c r="J8295" s="344" t="s">
        <v>113</v>
      </c>
      <c r="K8295" s="349">
        <v>70384.62</v>
      </c>
      <c r="L8295" s="349"/>
      <c r="M8295" s="130"/>
      <c r="N8295" s="251"/>
    </row>
    <row r="8296" spans="1:14" ht="11.25" customHeight="1" x14ac:dyDescent="0.2">
      <c r="A8296" s="350">
        <v>2025</v>
      </c>
      <c r="B8296" s="350">
        <v>5</v>
      </c>
      <c r="C8296" s="350">
        <v>15</v>
      </c>
      <c r="D8296" s="351">
        <f t="shared" si="957"/>
        <v>45792</v>
      </c>
      <c r="E8296" s="352">
        <f t="shared" si="965"/>
        <v>45792</v>
      </c>
      <c r="F8296" s="519"/>
      <c r="G8296" s="353" t="s">
        <v>1245</v>
      </c>
      <c r="H8296" s="354"/>
      <c r="I8296" s="354" t="s">
        <v>1253</v>
      </c>
      <c r="J8296" s="350" t="s">
        <v>153</v>
      </c>
      <c r="K8296" s="355"/>
      <c r="L8296" s="355">
        <f>K8295</f>
        <v>70384.62</v>
      </c>
    </row>
    <row r="8297" spans="1:14" ht="11.25" customHeight="1" x14ac:dyDescent="0.2">
      <c r="A8297" s="344">
        <v>2025</v>
      </c>
      <c r="B8297" s="344">
        <v>5</v>
      </c>
      <c r="C8297" s="344">
        <v>15</v>
      </c>
      <c r="D8297" s="345">
        <f t="shared" si="957"/>
        <v>45792</v>
      </c>
      <c r="E8297" s="346">
        <f t="shared" si="965"/>
        <v>45792</v>
      </c>
      <c r="F8297" s="518" t="s">
        <v>2039</v>
      </c>
      <c r="G8297" s="347" t="s">
        <v>1245</v>
      </c>
      <c r="H8297" s="348"/>
      <c r="I8297" s="348" t="s">
        <v>1253</v>
      </c>
      <c r="J8297" s="344" t="s">
        <v>113</v>
      </c>
      <c r="K8297" s="349">
        <v>9384.6153846153848</v>
      </c>
      <c r="L8297" s="349"/>
      <c r="M8297" s="130"/>
    </row>
    <row r="8298" spans="1:14" ht="11.25" customHeight="1" x14ac:dyDescent="0.2">
      <c r="A8298" s="350">
        <v>2025</v>
      </c>
      <c r="B8298" s="350">
        <v>5</v>
      </c>
      <c r="C8298" s="350">
        <v>15</v>
      </c>
      <c r="D8298" s="351">
        <f t="shared" si="957"/>
        <v>45792</v>
      </c>
      <c r="E8298" s="352">
        <f t="shared" si="965"/>
        <v>45792</v>
      </c>
      <c r="F8298" s="519"/>
      <c r="G8298" s="353" t="s">
        <v>1245</v>
      </c>
      <c r="H8298" s="354"/>
      <c r="I8298" s="354" t="s">
        <v>1253</v>
      </c>
      <c r="J8298" s="350" t="s">
        <v>153</v>
      </c>
      <c r="K8298" s="355"/>
      <c r="L8298" s="355">
        <f>K8297</f>
        <v>9384.6153846153848</v>
      </c>
    </row>
    <row r="8299" spans="1:14" ht="11.25" customHeight="1" x14ac:dyDescent="0.2">
      <c r="A8299" s="344">
        <v>2025</v>
      </c>
      <c r="B8299" s="344">
        <v>5</v>
      </c>
      <c r="C8299" s="344">
        <v>15</v>
      </c>
      <c r="D8299" s="345">
        <f t="shared" si="957"/>
        <v>45792</v>
      </c>
      <c r="E8299" s="346">
        <f>DATE(A8299,B8299,C8299)</f>
        <v>45792</v>
      </c>
      <c r="F8299" s="518" t="s">
        <v>1991</v>
      </c>
      <c r="G8299" s="347" t="s">
        <v>1245</v>
      </c>
      <c r="H8299" s="348"/>
      <c r="I8299" s="348" t="s">
        <v>1253</v>
      </c>
      <c r="J8299" s="344" t="s">
        <v>113</v>
      </c>
      <c r="K8299" s="349">
        <v>39884.620000000003</v>
      </c>
      <c r="L8299" s="349"/>
      <c r="M8299" s="130"/>
    </row>
    <row r="8300" spans="1:14" ht="11.25" customHeight="1" x14ac:dyDescent="0.2">
      <c r="A8300" s="350">
        <v>2025</v>
      </c>
      <c r="B8300" s="350">
        <v>5</v>
      </c>
      <c r="C8300" s="350">
        <v>15</v>
      </c>
      <c r="D8300" s="351">
        <f t="shared" ref="D8300:D8363" si="966">DATE(A8300,B8300,C8300)</f>
        <v>45792</v>
      </c>
      <c r="E8300" s="352">
        <f>DATE(A8300,B8300,C8300)</f>
        <v>45792</v>
      </c>
      <c r="F8300" s="519"/>
      <c r="G8300" s="353" t="s">
        <v>1245</v>
      </c>
      <c r="H8300" s="354"/>
      <c r="I8300" s="354" t="s">
        <v>1253</v>
      </c>
      <c r="J8300" s="350" t="s">
        <v>153</v>
      </c>
      <c r="K8300" s="355"/>
      <c r="L8300" s="355">
        <f>K8299</f>
        <v>39884.620000000003</v>
      </c>
    </row>
    <row r="8301" spans="1:14" ht="11.25" customHeight="1" x14ac:dyDescent="0.2">
      <c r="A8301" s="344">
        <v>2025</v>
      </c>
      <c r="B8301" s="344">
        <v>5</v>
      </c>
      <c r="C8301" s="344">
        <v>15</v>
      </c>
      <c r="D8301" s="345">
        <f t="shared" si="966"/>
        <v>45792</v>
      </c>
      <c r="E8301" s="346">
        <f t="shared" ref="E8301:E8307" si="967">DATE(A8301,B8301,C8301)</f>
        <v>45792</v>
      </c>
      <c r="F8301" s="518" t="s">
        <v>1992</v>
      </c>
      <c r="G8301" s="347" t="s">
        <v>1245</v>
      </c>
      <c r="H8301" s="348"/>
      <c r="I8301" s="348" t="s">
        <v>1253</v>
      </c>
      <c r="J8301" s="344" t="s">
        <v>113</v>
      </c>
      <c r="K8301" s="349">
        <v>30128.22</v>
      </c>
      <c r="L8301" s="349"/>
      <c r="M8301" s="130"/>
    </row>
    <row r="8302" spans="1:14" ht="11.25" customHeight="1" x14ac:dyDescent="0.2">
      <c r="A8302" s="350">
        <v>2025</v>
      </c>
      <c r="B8302" s="350">
        <v>5</v>
      </c>
      <c r="C8302" s="350">
        <v>15</v>
      </c>
      <c r="D8302" s="351">
        <f t="shared" si="966"/>
        <v>45792</v>
      </c>
      <c r="E8302" s="352">
        <f t="shared" si="967"/>
        <v>45792</v>
      </c>
      <c r="F8302" s="519"/>
      <c r="G8302" s="353" t="s">
        <v>1245</v>
      </c>
      <c r="H8302" s="354"/>
      <c r="I8302" s="354" t="s">
        <v>1253</v>
      </c>
      <c r="J8302" s="350" t="s">
        <v>153</v>
      </c>
      <c r="K8302" s="355"/>
      <c r="L8302" s="355">
        <f>K8301</f>
        <v>30128.22</v>
      </c>
    </row>
    <row r="8303" spans="1:14" ht="11.25" customHeight="1" x14ac:dyDescent="0.2">
      <c r="A8303" s="344">
        <v>2025</v>
      </c>
      <c r="B8303" s="344">
        <v>5</v>
      </c>
      <c r="C8303" s="344">
        <v>15</v>
      </c>
      <c r="D8303" s="345">
        <f t="shared" si="966"/>
        <v>45792</v>
      </c>
      <c r="E8303" s="346">
        <f t="shared" si="967"/>
        <v>45792</v>
      </c>
      <c r="F8303" s="518" t="s">
        <v>1993</v>
      </c>
      <c r="G8303" s="347" t="s">
        <v>1245</v>
      </c>
      <c r="H8303" s="348"/>
      <c r="I8303" s="348" t="s">
        <v>1253</v>
      </c>
      <c r="J8303" s="344" t="s">
        <v>113</v>
      </c>
      <c r="K8303" s="349">
        <v>30733.09</v>
      </c>
      <c r="L8303" s="349"/>
      <c r="M8303" s="130"/>
    </row>
    <row r="8304" spans="1:14" ht="11.25" customHeight="1" x14ac:dyDescent="0.2">
      <c r="A8304" s="350">
        <v>2025</v>
      </c>
      <c r="B8304" s="350">
        <v>5</v>
      </c>
      <c r="C8304" s="350">
        <v>15</v>
      </c>
      <c r="D8304" s="351">
        <f t="shared" si="966"/>
        <v>45792</v>
      </c>
      <c r="E8304" s="352">
        <f t="shared" si="967"/>
        <v>45792</v>
      </c>
      <c r="F8304" s="519"/>
      <c r="G8304" s="353" t="s">
        <v>1245</v>
      </c>
      <c r="H8304" s="354"/>
      <c r="I8304" s="354" t="s">
        <v>1253</v>
      </c>
      <c r="J8304" s="350" t="s">
        <v>153</v>
      </c>
      <c r="K8304" s="355"/>
      <c r="L8304" s="355">
        <f>K8303</f>
        <v>30733.09</v>
      </c>
    </row>
    <row r="8305" spans="1:13" ht="11.25" customHeight="1" x14ac:dyDescent="0.2">
      <c r="A8305" s="210">
        <v>2025</v>
      </c>
      <c r="B8305" s="210">
        <v>5</v>
      </c>
      <c r="C8305" s="210">
        <v>15</v>
      </c>
      <c r="D8305" s="211">
        <f t="shared" si="966"/>
        <v>45792</v>
      </c>
      <c r="E8305" s="238">
        <f t="shared" si="967"/>
        <v>45792</v>
      </c>
      <c r="F8305" s="520" t="s">
        <v>1278</v>
      </c>
      <c r="G8305" s="213" t="s">
        <v>1245</v>
      </c>
      <c r="H8305" s="214"/>
      <c r="I8305" s="214" t="s">
        <v>1253</v>
      </c>
      <c r="J8305" s="210" t="s">
        <v>1529</v>
      </c>
      <c r="K8305" s="215">
        <v>510.40384615384613</v>
      </c>
      <c r="L8305" s="215"/>
      <c r="M8305" s="130"/>
    </row>
    <row r="8306" spans="1:13" ht="11.25" customHeight="1" x14ac:dyDescent="0.2">
      <c r="A8306" s="216">
        <v>2025</v>
      </c>
      <c r="B8306" s="216">
        <v>5</v>
      </c>
      <c r="C8306" s="216">
        <v>15</v>
      </c>
      <c r="D8306" s="217">
        <f t="shared" si="966"/>
        <v>45792</v>
      </c>
      <c r="E8306" s="239">
        <f t="shared" si="967"/>
        <v>45792</v>
      </c>
      <c r="F8306" s="521"/>
      <c r="G8306" s="219" t="s">
        <v>1245</v>
      </c>
      <c r="H8306" s="220"/>
      <c r="I8306" s="220" t="s">
        <v>1253</v>
      </c>
      <c r="J8306" s="216" t="s">
        <v>1581</v>
      </c>
      <c r="K8306" s="221"/>
      <c r="L8306" s="221">
        <v>510.40384615384613</v>
      </c>
    </row>
    <row r="8307" spans="1:13" ht="11.25" customHeight="1" x14ac:dyDescent="0.2">
      <c r="A8307" s="210">
        <v>2025</v>
      </c>
      <c r="B8307" s="210">
        <v>5</v>
      </c>
      <c r="C8307" s="210">
        <v>15</v>
      </c>
      <c r="D8307" s="211">
        <f t="shared" si="966"/>
        <v>45792</v>
      </c>
      <c r="E8307" s="238">
        <f t="shared" si="967"/>
        <v>45792</v>
      </c>
      <c r="F8307" s="520" t="s">
        <v>1857</v>
      </c>
      <c r="G8307" s="213" t="s">
        <v>1245</v>
      </c>
      <c r="H8307" s="214"/>
      <c r="I8307" s="214" t="s">
        <v>1253</v>
      </c>
      <c r="J8307" s="210" t="s">
        <v>1284</v>
      </c>
      <c r="K8307" s="215">
        <v>2341.8114143920593</v>
      </c>
      <c r="L8307" s="215"/>
      <c r="M8307" s="130"/>
    </row>
    <row r="8308" spans="1:13" ht="11.25" customHeight="1" x14ac:dyDescent="0.2">
      <c r="A8308" s="242">
        <v>2025</v>
      </c>
      <c r="B8308" s="242">
        <v>5</v>
      </c>
      <c r="C8308" s="242">
        <v>15</v>
      </c>
      <c r="D8308" s="243">
        <f t="shared" si="966"/>
        <v>45792</v>
      </c>
      <c r="E8308" s="244">
        <f>DATE(A8308,B8308,C8308)</f>
        <v>45792</v>
      </c>
      <c r="F8308" s="524"/>
      <c r="G8308" s="245" t="s">
        <v>1245</v>
      </c>
      <c r="H8308" s="246"/>
      <c r="I8308" s="246"/>
      <c r="J8308" s="242" t="s">
        <v>1582</v>
      </c>
      <c r="K8308" s="247"/>
      <c r="L8308" s="247">
        <f>K8307</f>
        <v>2341.8114143920593</v>
      </c>
    </row>
    <row r="8309" spans="1:13" ht="11.25" customHeight="1" x14ac:dyDescent="0.2">
      <c r="A8309" s="210">
        <v>2025</v>
      </c>
      <c r="B8309" s="210">
        <v>5</v>
      </c>
      <c r="C8309" s="210">
        <v>15</v>
      </c>
      <c r="D8309" s="211">
        <f t="shared" si="966"/>
        <v>45792</v>
      </c>
      <c r="E8309" s="238">
        <f t="shared" ref="E8309:E8335" si="968">DATE(A8309,B8309,C8309)</f>
        <v>45792</v>
      </c>
      <c r="F8309" s="520" t="s">
        <v>2055</v>
      </c>
      <c r="G8309" s="213" t="s">
        <v>1245</v>
      </c>
      <c r="H8309" s="214"/>
      <c r="I8309" s="214" t="s">
        <v>1253</v>
      </c>
      <c r="J8309" s="210" t="s">
        <v>58</v>
      </c>
      <c r="K8309" s="215">
        <v>17163.330000000002</v>
      </c>
      <c r="L8309" s="215"/>
    </row>
    <row r="8310" spans="1:13" ht="11.25" customHeight="1" x14ac:dyDescent="0.2">
      <c r="A8310" s="216">
        <v>2025</v>
      </c>
      <c r="B8310" s="216">
        <v>5</v>
      </c>
      <c r="C8310" s="216">
        <v>15</v>
      </c>
      <c r="D8310" s="217">
        <f t="shared" si="966"/>
        <v>45792</v>
      </c>
      <c r="E8310" s="239">
        <f t="shared" si="968"/>
        <v>45792</v>
      </c>
      <c r="F8310" s="521"/>
      <c r="G8310" s="219" t="s">
        <v>1245</v>
      </c>
      <c r="H8310" s="220"/>
      <c r="I8310" s="220" t="s">
        <v>1253</v>
      </c>
      <c r="J8310" s="216" t="s">
        <v>153</v>
      </c>
      <c r="K8310" s="221"/>
      <c r="L8310" s="221">
        <f>K8309</f>
        <v>17163.330000000002</v>
      </c>
    </row>
    <row r="8311" spans="1:13" ht="11.25" customHeight="1" x14ac:dyDescent="0.2">
      <c r="A8311" s="312">
        <v>2025</v>
      </c>
      <c r="B8311" s="312">
        <v>5</v>
      </c>
      <c r="C8311" s="312">
        <v>15</v>
      </c>
      <c r="D8311" s="313">
        <f t="shared" si="966"/>
        <v>45792</v>
      </c>
      <c r="E8311" s="314">
        <f t="shared" si="968"/>
        <v>45792</v>
      </c>
      <c r="F8311" s="522" t="s">
        <v>1477</v>
      </c>
      <c r="G8311" s="315" t="s">
        <v>1245</v>
      </c>
      <c r="H8311" s="316"/>
      <c r="I8311" s="316" t="s">
        <v>1253</v>
      </c>
      <c r="J8311" s="312" t="s">
        <v>1458</v>
      </c>
      <c r="K8311" s="317">
        <v>0</v>
      </c>
      <c r="L8311" s="317"/>
      <c r="M8311" s="120">
        <f>BS!$I$11</f>
        <v>5.9604644775390625E-8</v>
      </c>
    </row>
    <row r="8312" spans="1:13" ht="11.25" customHeight="1" x14ac:dyDescent="0.2">
      <c r="A8312" s="318">
        <v>2025</v>
      </c>
      <c r="B8312" s="318">
        <v>5</v>
      </c>
      <c r="C8312" s="318">
        <v>15</v>
      </c>
      <c r="D8312" s="319">
        <f t="shared" si="966"/>
        <v>45792</v>
      </c>
      <c r="E8312" s="320">
        <f t="shared" si="968"/>
        <v>45792</v>
      </c>
      <c r="F8312" s="523"/>
      <c r="G8312" s="321" t="s">
        <v>1245</v>
      </c>
      <c r="H8312" s="322"/>
      <c r="I8312" s="322" t="s">
        <v>1253</v>
      </c>
      <c r="J8312" s="318" t="s">
        <v>1460</v>
      </c>
      <c r="K8312" s="323"/>
      <c r="L8312" s="323">
        <f>K8311</f>
        <v>0</v>
      </c>
    </row>
    <row r="8313" spans="1:13" ht="11.25" customHeight="1" x14ac:dyDescent="0.2">
      <c r="A8313" s="312">
        <v>2025</v>
      </c>
      <c r="B8313" s="312">
        <v>5</v>
      </c>
      <c r="C8313" s="312">
        <v>15</v>
      </c>
      <c r="D8313" s="313">
        <f t="shared" si="966"/>
        <v>45792</v>
      </c>
      <c r="E8313" s="314">
        <f t="shared" si="968"/>
        <v>45792</v>
      </c>
      <c r="F8313" s="522" t="s">
        <v>1595</v>
      </c>
      <c r="G8313" s="315" t="s">
        <v>1245</v>
      </c>
      <c r="H8313" s="316"/>
      <c r="I8313" s="316" t="s">
        <v>1253</v>
      </c>
      <c r="J8313" s="312" t="s">
        <v>1461</v>
      </c>
      <c r="K8313" s="317">
        <v>783550.65899991989</v>
      </c>
      <c r="L8313" s="317"/>
      <c r="M8313" s="120">
        <f>BS!$I$14</f>
        <v>0</v>
      </c>
    </row>
    <row r="8314" spans="1:13" ht="11.25" customHeight="1" x14ac:dyDescent="0.2">
      <c r="A8314" s="318">
        <v>2025</v>
      </c>
      <c r="B8314" s="318">
        <v>5</v>
      </c>
      <c r="C8314" s="318">
        <v>15</v>
      </c>
      <c r="D8314" s="319">
        <f t="shared" si="966"/>
        <v>45792</v>
      </c>
      <c r="E8314" s="320">
        <f t="shared" si="968"/>
        <v>45792</v>
      </c>
      <c r="F8314" s="523"/>
      <c r="G8314" s="321" t="s">
        <v>1245</v>
      </c>
      <c r="H8314" s="322"/>
      <c r="I8314" s="322" t="s">
        <v>1253</v>
      </c>
      <c r="J8314" s="318" t="s">
        <v>1459</v>
      </c>
      <c r="K8314" s="323"/>
      <c r="L8314" s="323">
        <f>K8313</f>
        <v>783550.65899991989</v>
      </c>
    </row>
    <row r="8315" spans="1:13" ht="11.25" customHeight="1" x14ac:dyDescent="0.2">
      <c r="A8315" s="222">
        <v>2025</v>
      </c>
      <c r="B8315" s="222">
        <v>5</v>
      </c>
      <c r="C8315" s="222">
        <v>15</v>
      </c>
      <c r="D8315" s="223">
        <f t="shared" si="966"/>
        <v>45792</v>
      </c>
      <c r="E8315" s="240">
        <f t="shared" si="968"/>
        <v>45792</v>
      </c>
      <c r="F8315" s="511" t="s">
        <v>1244</v>
      </c>
      <c r="G8315" s="225" t="s">
        <v>1245</v>
      </c>
      <c r="H8315" s="226"/>
      <c r="I8315" s="226" t="s">
        <v>1253</v>
      </c>
      <c r="J8315" s="222" t="s">
        <v>87</v>
      </c>
      <c r="K8315" s="227">
        <v>15690</v>
      </c>
      <c r="L8315" s="227"/>
      <c r="M8315" s="120">
        <f>BS!$I$7</f>
        <v>0</v>
      </c>
    </row>
    <row r="8316" spans="1:13" ht="11.25" customHeight="1" x14ac:dyDescent="0.2">
      <c r="A8316" s="228">
        <v>2025</v>
      </c>
      <c r="B8316" s="228">
        <v>5</v>
      </c>
      <c r="C8316" s="228">
        <v>15</v>
      </c>
      <c r="D8316" s="229">
        <f t="shared" si="966"/>
        <v>45792</v>
      </c>
      <c r="E8316" s="241">
        <f t="shared" si="968"/>
        <v>45792</v>
      </c>
      <c r="F8316" s="512"/>
      <c r="G8316" s="231" t="s">
        <v>1245</v>
      </c>
      <c r="H8316" s="232"/>
      <c r="I8316" s="232" t="s">
        <v>1253</v>
      </c>
      <c r="J8316" s="228" t="s">
        <v>72</v>
      </c>
      <c r="K8316" s="233"/>
      <c r="L8316" s="233">
        <f>K8315</f>
        <v>15690</v>
      </c>
    </row>
    <row r="8317" spans="1:13" ht="11.25" customHeight="1" x14ac:dyDescent="0.2">
      <c r="A8317" s="222">
        <v>2025</v>
      </c>
      <c r="B8317" s="222">
        <v>5</v>
      </c>
      <c r="C8317" s="222">
        <v>15</v>
      </c>
      <c r="D8317" s="223">
        <f t="shared" si="966"/>
        <v>45792</v>
      </c>
      <c r="E8317" s="240">
        <f t="shared" si="968"/>
        <v>45792</v>
      </c>
      <c r="F8317" s="511" t="s">
        <v>1246</v>
      </c>
      <c r="G8317" s="225" t="s">
        <v>1245</v>
      </c>
      <c r="H8317" s="226"/>
      <c r="I8317" s="226" t="s">
        <v>1253</v>
      </c>
      <c r="J8317" s="222" t="s">
        <v>75</v>
      </c>
      <c r="K8317" s="227">
        <v>3623.123846153846</v>
      </c>
      <c r="L8317" s="227"/>
      <c r="M8317" s="130"/>
    </row>
    <row r="8318" spans="1:13" ht="11.25" customHeight="1" x14ac:dyDescent="0.2">
      <c r="A8318" s="228">
        <v>2025</v>
      </c>
      <c r="B8318" s="228">
        <v>5</v>
      </c>
      <c r="C8318" s="228">
        <v>15</v>
      </c>
      <c r="D8318" s="229">
        <f t="shared" si="966"/>
        <v>45792</v>
      </c>
      <c r="E8318" s="241">
        <f t="shared" si="968"/>
        <v>45792</v>
      </c>
      <c r="F8318" s="512"/>
      <c r="G8318" s="231" t="s">
        <v>1245</v>
      </c>
      <c r="H8318" s="232"/>
      <c r="I8318" s="232" t="s">
        <v>1253</v>
      </c>
      <c r="J8318" s="228" t="s">
        <v>55</v>
      </c>
      <c r="K8318" s="233"/>
      <c r="L8318" s="233">
        <v>3623.123846153846</v>
      </c>
    </row>
    <row r="8319" spans="1:13" ht="11.25" customHeight="1" x14ac:dyDescent="0.2">
      <c r="A8319" s="222">
        <v>2025</v>
      </c>
      <c r="B8319" s="222">
        <v>5</v>
      </c>
      <c r="C8319" s="222">
        <v>15</v>
      </c>
      <c r="D8319" s="223">
        <f t="shared" si="966"/>
        <v>45792</v>
      </c>
      <c r="E8319" s="240">
        <f t="shared" si="968"/>
        <v>45792</v>
      </c>
      <c r="F8319" s="511" t="s">
        <v>1247</v>
      </c>
      <c r="G8319" s="225" t="s">
        <v>1245</v>
      </c>
      <c r="H8319" s="226"/>
      <c r="I8319" s="226" t="s">
        <v>1253</v>
      </c>
      <c r="J8319" s="222" t="s">
        <v>77</v>
      </c>
      <c r="K8319" s="227">
        <f>M8319</f>
        <v>52149.817872613872</v>
      </c>
      <c r="L8319" s="227"/>
      <c r="M8319" s="130">
        <v>52149.817872613872</v>
      </c>
    </row>
    <row r="8320" spans="1:13" ht="11.25" customHeight="1" x14ac:dyDescent="0.2">
      <c r="A8320" s="228">
        <v>2025</v>
      </c>
      <c r="B8320" s="228">
        <v>5</v>
      </c>
      <c r="C8320" s="228">
        <v>15</v>
      </c>
      <c r="D8320" s="229">
        <f t="shared" si="966"/>
        <v>45792</v>
      </c>
      <c r="E8320" s="241">
        <f t="shared" si="968"/>
        <v>45792</v>
      </c>
      <c r="F8320" s="512"/>
      <c r="G8320" s="231" t="s">
        <v>1245</v>
      </c>
      <c r="H8320" s="232"/>
      <c r="I8320" s="232" t="s">
        <v>1253</v>
      </c>
      <c r="J8320" s="228" t="s">
        <v>41</v>
      </c>
      <c r="K8320" s="233"/>
      <c r="L8320" s="233">
        <f>K8319</f>
        <v>52149.817872613872</v>
      </c>
      <c r="M8320" s="130">
        <v>5214.9817872613876</v>
      </c>
    </row>
    <row r="8321" spans="1:15" ht="11.25" customHeight="1" x14ac:dyDescent="0.2">
      <c r="A8321" s="222">
        <v>2025</v>
      </c>
      <c r="B8321" s="222">
        <v>5</v>
      </c>
      <c r="C8321" s="222">
        <v>15</v>
      </c>
      <c r="D8321" s="223">
        <f t="shared" si="966"/>
        <v>45792</v>
      </c>
      <c r="E8321" s="240">
        <f t="shared" si="968"/>
        <v>45792</v>
      </c>
      <c r="F8321" s="511" t="s">
        <v>1248</v>
      </c>
      <c r="G8321" s="225" t="s">
        <v>1245</v>
      </c>
      <c r="H8321" s="226"/>
      <c r="I8321" s="226" t="s">
        <v>1253</v>
      </c>
      <c r="J8321" s="222" t="s">
        <v>80</v>
      </c>
      <c r="K8321" s="227">
        <f>M8320</f>
        <v>5214.9817872613876</v>
      </c>
      <c r="L8321" s="227"/>
    </row>
    <row r="8322" spans="1:15" ht="11.25" customHeight="1" x14ac:dyDescent="0.2">
      <c r="A8322" s="228">
        <v>2025</v>
      </c>
      <c r="B8322" s="228">
        <v>5</v>
      </c>
      <c r="C8322" s="228">
        <v>15</v>
      </c>
      <c r="D8322" s="229">
        <f t="shared" si="966"/>
        <v>45792</v>
      </c>
      <c r="E8322" s="241">
        <f t="shared" si="968"/>
        <v>45792</v>
      </c>
      <c r="F8322" s="512"/>
      <c r="G8322" s="231" t="s">
        <v>1245</v>
      </c>
      <c r="H8322" s="232"/>
      <c r="I8322" s="232" t="s">
        <v>1253</v>
      </c>
      <c r="J8322" s="228" t="s">
        <v>42</v>
      </c>
      <c r="K8322" s="233"/>
      <c r="L8322" s="233">
        <f>K8321</f>
        <v>5214.9817872613876</v>
      </c>
    </row>
    <row r="8323" spans="1:15" ht="11.25" customHeight="1" x14ac:dyDescent="0.2">
      <c r="A8323" s="197">
        <v>2025</v>
      </c>
      <c r="B8323" s="197">
        <v>5</v>
      </c>
      <c r="C8323" s="197">
        <v>17</v>
      </c>
      <c r="D8323" s="198">
        <f t="shared" si="966"/>
        <v>45794</v>
      </c>
      <c r="E8323" s="199">
        <f t="shared" si="968"/>
        <v>45794</v>
      </c>
      <c r="F8323" s="513" t="s">
        <v>2003</v>
      </c>
      <c r="G8323" s="200" t="s">
        <v>1209</v>
      </c>
      <c r="H8323" s="201"/>
      <c r="I8323" s="201" t="s">
        <v>1253</v>
      </c>
      <c r="J8323" s="197" t="s">
        <v>2003</v>
      </c>
      <c r="K8323" s="202">
        <v>10000000</v>
      </c>
      <c r="L8323" s="202"/>
    </row>
    <row r="8324" spans="1:15" ht="11.25" customHeight="1" x14ac:dyDescent="0.2">
      <c r="A8324" s="191">
        <v>2025</v>
      </c>
      <c r="B8324" s="191">
        <v>5</v>
      </c>
      <c r="C8324" s="191">
        <v>17</v>
      </c>
      <c r="D8324" s="192">
        <f t="shared" si="966"/>
        <v>45794</v>
      </c>
      <c r="E8324" s="193">
        <f t="shared" si="968"/>
        <v>45794</v>
      </c>
      <c r="F8324" s="514"/>
      <c r="G8324" s="194" t="s">
        <v>1209</v>
      </c>
      <c r="H8324" s="195"/>
      <c r="I8324" s="195" t="s">
        <v>1253</v>
      </c>
      <c r="J8324" s="191" t="s">
        <v>46</v>
      </c>
      <c r="K8324" s="196"/>
      <c r="L8324" s="196">
        <v>10000000</v>
      </c>
      <c r="N8324" s="130"/>
    </row>
    <row r="8325" spans="1:15" ht="11.25" customHeight="1" x14ac:dyDescent="0.2">
      <c r="A8325" s="197">
        <v>2025</v>
      </c>
      <c r="B8325" s="197">
        <v>4</v>
      </c>
      <c r="C8325" s="197">
        <v>30</v>
      </c>
      <c r="D8325" s="198">
        <f t="shared" si="966"/>
        <v>45777</v>
      </c>
      <c r="E8325" s="290">
        <f>DATE(A8325,B8325,C8325)</f>
        <v>45777</v>
      </c>
      <c r="F8325" s="513" t="s">
        <v>2051</v>
      </c>
      <c r="G8325" s="200" t="s">
        <v>1209</v>
      </c>
      <c r="H8325" s="201"/>
      <c r="I8325" s="201"/>
      <c r="J8325" s="197" t="s">
        <v>54</v>
      </c>
      <c r="K8325" s="202">
        <v>100</v>
      </c>
      <c r="L8325" s="202"/>
      <c r="M8325" s="251"/>
      <c r="N8325" s="251"/>
      <c r="O8325" s="251"/>
    </row>
    <row r="8326" spans="1:15" ht="11.25" customHeight="1" x14ac:dyDescent="0.2">
      <c r="A8326" s="191">
        <v>2025</v>
      </c>
      <c r="B8326" s="191">
        <v>4</v>
      </c>
      <c r="C8326" s="191">
        <v>30</v>
      </c>
      <c r="D8326" s="192">
        <f t="shared" si="966"/>
        <v>45777</v>
      </c>
      <c r="E8326" s="291">
        <f>DATE(A8326,B8326,C8326)</f>
        <v>45777</v>
      </c>
      <c r="F8326" s="514"/>
      <c r="G8326" s="194" t="s">
        <v>1209</v>
      </c>
      <c r="H8326" s="195"/>
      <c r="I8326" s="195"/>
      <c r="J8326" s="191" t="s">
        <v>46</v>
      </c>
      <c r="K8326" s="196"/>
      <c r="L8326" s="196">
        <v>100</v>
      </c>
      <c r="M8326" s="251"/>
      <c r="N8326" s="251"/>
      <c r="O8326" s="251"/>
    </row>
    <row r="8327" spans="1:15" ht="11.25" customHeight="1" x14ac:dyDescent="0.2">
      <c r="A8327" s="197">
        <v>2025</v>
      </c>
      <c r="B8327" s="197">
        <v>5</v>
      </c>
      <c r="C8327" s="197">
        <v>19</v>
      </c>
      <c r="D8327" s="198">
        <f t="shared" si="966"/>
        <v>45796</v>
      </c>
      <c r="E8327" s="209">
        <f t="shared" si="968"/>
        <v>45796</v>
      </c>
      <c r="F8327" s="513" t="s">
        <v>1423</v>
      </c>
      <c r="G8327" s="200" t="s">
        <v>1209</v>
      </c>
      <c r="H8327" s="201"/>
      <c r="I8327" s="201"/>
      <c r="J8327" s="197" t="s">
        <v>16</v>
      </c>
      <c r="K8327" s="202">
        <v>24030</v>
      </c>
      <c r="L8327" s="202"/>
      <c r="M8327" s="130"/>
      <c r="N8327" s="130"/>
    </row>
    <row r="8328" spans="1:15" ht="11.25" customHeight="1" x14ac:dyDescent="0.2">
      <c r="A8328" s="120">
        <v>2025</v>
      </c>
      <c r="B8328" s="120">
        <v>5</v>
      </c>
      <c r="C8328" s="120">
        <v>19</v>
      </c>
      <c r="D8328" s="208">
        <f t="shared" si="966"/>
        <v>45796</v>
      </c>
      <c r="E8328" s="209">
        <f t="shared" si="968"/>
        <v>45796</v>
      </c>
      <c r="F8328" s="515"/>
      <c r="G8328" s="132" t="s">
        <v>1209</v>
      </c>
      <c r="J8328" s="120" t="s">
        <v>47</v>
      </c>
      <c r="K8328" s="207">
        <v>5860.9199999999983</v>
      </c>
      <c r="L8328" s="207"/>
      <c r="M8328" s="130"/>
      <c r="N8328" s="130"/>
    </row>
    <row r="8329" spans="1:15" ht="11.25" customHeight="1" x14ac:dyDescent="0.2">
      <c r="A8329" s="191">
        <v>2025</v>
      </c>
      <c r="B8329" s="191">
        <v>5</v>
      </c>
      <c r="C8329" s="191">
        <v>19</v>
      </c>
      <c r="D8329" s="192">
        <f t="shared" si="966"/>
        <v>45796</v>
      </c>
      <c r="E8329" s="193">
        <f t="shared" si="968"/>
        <v>45796</v>
      </c>
      <c r="F8329" s="514"/>
      <c r="G8329" s="194" t="s">
        <v>1209</v>
      </c>
      <c r="H8329" s="195"/>
      <c r="I8329" s="195"/>
      <c r="J8329" s="191" t="s">
        <v>46</v>
      </c>
      <c r="K8329" s="196"/>
      <c r="L8329" s="196">
        <v>29890.92</v>
      </c>
      <c r="M8329" s="130"/>
      <c r="N8329" s="130"/>
    </row>
    <row r="8330" spans="1:15" ht="11.25" customHeight="1" x14ac:dyDescent="0.2">
      <c r="A8330" s="197">
        <v>2025</v>
      </c>
      <c r="B8330" s="197">
        <v>5</v>
      </c>
      <c r="C8330" s="197">
        <v>19</v>
      </c>
      <c r="D8330" s="198">
        <f t="shared" si="966"/>
        <v>45796</v>
      </c>
      <c r="E8330" s="209">
        <f t="shared" si="968"/>
        <v>45796</v>
      </c>
      <c r="F8330" s="513" t="s">
        <v>1210</v>
      </c>
      <c r="G8330" s="200" t="s">
        <v>1209</v>
      </c>
      <c r="H8330" s="201"/>
      <c r="I8330" s="201"/>
      <c r="J8330" s="197" t="s">
        <v>46</v>
      </c>
      <c r="K8330" s="202">
        <v>450000</v>
      </c>
      <c r="L8330" s="202"/>
    </row>
    <row r="8331" spans="1:15" ht="11.25" customHeight="1" x14ac:dyDescent="0.2">
      <c r="A8331" s="120">
        <v>2025</v>
      </c>
      <c r="B8331" s="120">
        <v>5</v>
      </c>
      <c r="C8331" s="120">
        <v>19</v>
      </c>
      <c r="D8331" s="208">
        <f t="shared" si="966"/>
        <v>45796</v>
      </c>
      <c r="E8331" s="209">
        <f t="shared" si="968"/>
        <v>45796</v>
      </c>
      <c r="F8331" s="515"/>
      <c r="G8331" s="132" t="s">
        <v>1209</v>
      </c>
      <c r="J8331" s="120" t="s">
        <v>16</v>
      </c>
      <c r="K8331" s="207"/>
      <c r="L8331" s="207">
        <v>361770</v>
      </c>
    </row>
    <row r="8332" spans="1:15" ht="11.25" customHeight="1" x14ac:dyDescent="0.2">
      <c r="A8332" s="191">
        <v>2025</v>
      </c>
      <c r="B8332" s="191">
        <v>5</v>
      </c>
      <c r="C8332" s="191">
        <v>19</v>
      </c>
      <c r="D8332" s="192">
        <f t="shared" si="966"/>
        <v>45796</v>
      </c>
      <c r="E8332" s="193">
        <f t="shared" si="968"/>
        <v>45796</v>
      </c>
      <c r="F8332" s="514"/>
      <c r="G8332" s="194" t="s">
        <v>1209</v>
      </c>
      <c r="H8332" s="195"/>
      <c r="I8332" s="195"/>
      <c r="J8332" s="191" t="s">
        <v>47</v>
      </c>
      <c r="K8332" s="196"/>
      <c r="L8332" s="196">
        <v>88230</v>
      </c>
    </row>
    <row r="8333" spans="1:15" ht="11.25" customHeight="1" x14ac:dyDescent="0.2">
      <c r="A8333" s="197">
        <v>2025</v>
      </c>
      <c r="B8333" s="197">
        <v>5</v>
      </c>
      <c r="C8333" s="197">
        <v>19</v>
      </c>
      <c r="D8333" s="198">
        <f t="shared" si="966"/>
        <v>45796</v>
      </c>
      <c r="E8333" s="209">
        <f t="shared" si="968"/>
        <v>45796</v>
      </c>
      <c r="F8333" s="513" t="s">
        <v>1280</v>
      </c>
      <c r="G8333" s="200" t="s">
        <v>1209</v>
      </c>
      <c r="H8333" s="201"/>
      <c r="I8333" s="201" t="s">
        <v>520</v>
      </c>
      <c r="J8333" s="197" t="s">
        <v>16</v>
      </c>
      <c r="K8333" s="202">
        <v>482350</v>
      </c>
      <c r="L8333" s="202"/>
      <c r="M8333" s="130"/>
      <c r="N8333" s="130"/>
    </row>
    <row r="8334" spans="1:15" ht="11.25" customHeight="1" x14ac:dyDescent="0.2">
      <c r="A8334" s="120">
        <v>2025</v>
      </c>
      <c r="B8334" s="120">
        <v>5</v>
      </c>
      <c r="C8334" s="120">
        <v>19</v>
      </c>
      <c r="D8334" s="208">
        <f t="shared" si="966"/>
        <v>45796</v>
      </c>
      <c r="E8334" s="209">
        <f t="shared" si="968"/>
        <v>45796</v>
      </c>
      <c r="F8334" s="515"/>
      <c r="G8334" s="132" t="s">
        <v>1209</v>
      </c>
      <c r="I8334" s="128" t="s">
        <v>520</v>
      </c>
      <c r="J8334" s="120" t="s">
        <v>47</v>
      </c>
      <c r="K8334" s="207">
        <v>117650</v>
      </c>
      <c r="L8334" s="207"/>
      <c r="M8334" s="130"/>
      <c r="N8334" s="130"/>
    </row>
    <row r="8335" spans="1:15" ht="11.25" customHeight="1" x14ac:dyDescent="0.2">
      <c r="A8335" s="191">
        <v>2025</v>
      </c>
      <c r="B8335" s="191">
        <v>5</v>
      </c>
      <c r="C8335" s="191">
        <v>19</v>
      </c>
      <c r="D8335" s="192">
        <f t="shared" si="966"/>
        <v>45796</v>
      </c>
      <c r="E8335" s="193">
        <f t="shared" si="968"/>
        <v>45796</v>
      </c>
      <c r="F8335" s="514"/>
      <c r="G8335" s="194" t="s">
        <v>1209</v>
      </c>
      <c r="H8335" s="195"/>
      <c r="I8335" s="195" t="s">
        <v>520</v>
      </c>
      <c r="J8335" s="191" t="s">
        <v>46</v>
      </c>
      <c r="K8335" s="196"/>
      <c r="L8335" s="196">
        <v>600000</v>
      </c>
      <c r="M8335" s="130"/>
      <c r="N8335" s="130"/>
    </row>
    <row r="8336" spans="1:15" ht="11.25" customHeight="1" x14ac:dyDescent="0.2">
      <c r="A8336" s="197">
        <v>2025</v>
      </c>
      <c r="B8336" s="197">
        <v>5</v>
      </c>
      <c r="C8336" s="197">
        <v>19</v>
      </c>
      <c r="D8336" s="198">
        <f t="shared" si="966"/>
        <v>45796</v>
      </c>
      <c r="E8336" s="209">
        <f t="shared" ref="E8336:E8338" si="969">DATE(A8336,B8336,C8336)</f>
        <v>45796</v>
      </c>
      <c r="F8336" s="513" t="s">
        <v>1210</v>
      </c>
      <c r="G8336" s="200" t="s">
        <v>1209</v>
      </c>
      <c r="H8336" s="201"/>
      <c r="I8336" s="201"/>
      <c r="J8336" s="197" t="s">
        <v>46</v>
      </c>
      <c r="K8336" s="202">
        <v>60000</v>
      </c>
      <c r="L8336" s="202"/>
    </row>
    <row r="8337" spans="1:15" ht="11.25" customHeight="1" x14ac:dyDescent="0.2">
      <c r="A8337" s="120">
        <v>2025</v>
      </c>
      <c r="B8337" s="120">
        <v>5</v>
      </c>
      <c r="C8337" s="120">
        <v>19</v>
      </c>
      <c r="D8337" s="208">
        <f t="shared" si="966"/>
        <v>45796</v>
      </c>
      <c r="E8337" s="209">
        <f t="shared" si="969"/>
        <v>45796</v>
      </c>
      <c r="F8337" s="515"/>
      <c r="G8337" s="132" t="s">
        <v>1209</v>
      </c>
      <c r="J8337" s="120" t="s">
        <v>16</v>
      </c>
      <c r="K8337" s="207"/>
      <c r="L8337" s="207">
        <v>48240</v>
      </c>
    </row>
    <row r="8338" spans="1:15" ht="11.25" customHeight="1" x14ac:dyDescent="0.2">
      <c r="A8338" s="191">
        <v>2025</v>
      </c>
      <c r="B8338" s="191">
        <v>5</v>
      </c>
      <c r="C8338" s="191">
        <v>19</v>
      </c>
      <c r="D8338" s="192">
        <f t="shared" si="966"/>
        <v>45796</v>
      </c>
      <c r="E8338" s="193">
        <f t="shared" si="969"/>
        <v>45796</v>
      </c>
      <c r="F8338" s="514"/>
      <c r="G8338" s="194" t="s">
        <v>1209</v>
      </c>
      <c r="H8338" s="195"/>
      <c r="I8338" s="195"/>
      <c r="J8338" s="191" t="s">
        <v>47</v>
      </c>
      <c r="K8338" s="196"/>
      <c r="L8338" s="196">
        <v>11760</v>
      </c>
    </row>
    <row r="8339" spans="1:15" ht="11.25" customHeight="1" x14ac:dyDescent="0.2">
      <c r="A8339" s="197">
        <v>2025</v>
      </c>
      <c r="B8339" s="197">
        <v>5</v>
      </c>
      <c r="C8339" s="197">
        <v>20</v>
      </c>
      <c r="D8339" s="198">
        <f t="shared" si="966"/>
        <v>45797</v>
      </c>
      <c r="E8339" s="209">
        <f t="shared" ref="E8339:E8341" si="970">DATE(A8339,B8339,C8339)</f>
        <v>45797</v>
      </c>
      <c r="F8339" s="513" t="s">
        <v>1210</v>
      </c>
      <c r="G8339" s="200" t="s">
        <v>1209</v>
      </c>
      <c r="H8339" s="201"/>
      <c r="I8339" s="201" t="s">
        <v>1218</v>
      </c>
      <c r="J8339" s="197" t="s">
        <v>46</v>
      </c>
      <c r="K8339" s="202">
        <v>5000000</v>
      </c>
      <c r="L8339" s="202"/>
    </row>
    <row r="8340" spans="1:15" ht="11.25" customHeight="1" x14ac:dyDescent="0.2">
      <c r="A8340" s="120">
        <v>2025</v>
      </c>
      <c r="B8340" s="120">
        <v>5</v>
      </c>
      <c r="C8340" s="120">
        <v>20</v>
      </c>
      <c r="D8340" s="208">
        <f t="shared" si="966"/>
        <v>45797</v>
      </c>
      <c r="E8340" s="209">
        <f t="shared" si="970"/>
        <v>45797</v>
      </c>
      <c r="F8340" s="515"/>
      <c r="G8340" s="132" t="s">
        <v>1209</v>
      </c>
      <c r="I8340" s="128" t="s">
        <v>1218</v>
      </c>
      <c r="J8340" s="120" t="s">
        <v>16</v>
      </c>
      <c r="K8340" s="207"/>
      <c r="L8340" s="207">
        <v>4019620</v>
      </c>
    </row>
    <row r="8341" spans="1:15" ht="11.25" customHeight="1" x14ac:dyDescent="0.2">
      <c r="A8341" s="191">
        <v>2025</v>
      </c>
      <c r="B8341" s="191">
        <v>5</v>
      </c>
      <c r="C8341" s="191">
        <v>20</v>
      </c>
      <c r="D8341" s="192">
        <f t="shared" si="966"/>
        <v>45797</v>
      </c>
      <c r="E8341" s="193">
        <f t="shared" si="970"/>
        <v>45797</v>
      </c>
      <c r="F8341" s="514"/>
      <c r="G8341" s="194" t="s">
        <v>1209</v>
      </c>
      <c r="H8341" s="195"/>
      <c r="I8341" s="195" t="s">
        <v>1218</v>
      </c>
      <c r="J8341" s="191" t="s">
        <v>47</v>
      </c>
      <c r="K8341" s="196"/>
      <c r="L8341" s="196">
        <v>980380</v>
      </c>
    </row>
    <row r="8342" spans="1:15" ht="11.25" customHeight="1" x14ac:dyDescent="0.2">
      <c r="A8342" s="197">
        <v>2025</v>
      </c>
      <c r="B8342" s="197">
        <v>5</v>
      </c>
      <c r="C8342" s="197">
        <v>20</v>
      </c>
      <c r="D8342" s="198">
        <f t="shared" si="966"/>
        <v>45797</v>
      </c>
      <c r="E8342" s="209">
        <f t="shared" ref="E8342:E8351" si="971">DATE(A8342,B8342,C8342)</f>
        <v>45797</v>
      </c>
      <c r="F8342" s="513" t="s">
        <v>1210</v>
      </c>
      <c r="G8342" s="200" t="s">
        <v>1209</v>
      </c>
      <c r="H8342" s="201"/>
      <c r="I8342" s="201" t="s">
        <v>1218</v>
      </c>
      <c r="J8342" s="197" t="s">
        <v>46</v>
      </c>
      <c r="K8342" s="202">
        <v>13000000</v>
      </c>
      <c r="L8342" s="202"/>
    </row>
    <row r="8343" spans="1:15" ht="11.25" customHeight="1" x14ac:dyDescent="0.2">
      <c r="A8343" s="120">
        <v>2025</v>
      </c>
      <c r="B8343" s="120">
        <v>5</v>
      </c>
      <c r="C8343" s="120">
        <v>20</v>
      </c>
      <c r="D8343" s="208">
        <f t="shared" si="966"/>
        <v>45797</v>
      </c>
      <c r="E8343" s="209">
        <f t="shared" si="971"/>
        <v>45797</v>
      </c>
      <c r="F8343" s="515"/>
      <c r="G8343" s="132" t="s">
        <v>1209</v>
      </c>
      <c r="I8343" s="128" t="s">
        <v>1218</v>
      </c>
      <c r="J8343" s="120" t="s">
        <v>16</v>
      </c>
      <c r="K8343" s="207"/>
      <c r="L8343" s="207">
        <v>10451000</v>
      </c>
    </row>
    <row r="8344" spans="1:15" ht="11.25" customHeight="1" x14ac:dyDescent="0.2">
      <c r="A8344" s="191">
        <v>2025</v>
      </c>
      <c r="B8344" s="191">
        <v>5</v>
      </c>
      <c r="C8344" s="191">
        <v>20</v>
      </c>
      <c r="D8344" s="192">
        <f t="shared" si="966"/>
        <v>45797</v>
      </c>
      <c r="E8344" s="193">
        <f t="shared" si="971"/>
        <v>45797</v>
      </c>
      <c r="F8344" s="514"/>
      <c r="G8344" s="194" t="s">
        <v>1209</v>
      </c>
      <c r="H8344" s="195"/>
      <c r="I8344" s="195" t="s">
        <v>1218</v>
      </c>
      <c r="J8344" s="191" t="s">
        <v>47</v>
      </c>
      <c r="K8344" s="196"/>
      <c r="L8344" s="196">
        <v>2549000</v>
      </c>
    </row>
    <row r="8345" spans="1:15" ht="11.25" customHeight="1" x14ac:dyDescent="0.2">
      <c r="A8345" s="197">
        <v>2025</v>
      </c>
      <c r="B8345" s="197">
        <v>5</v>
      </c>
      <c r="C8345" s="197">
        <v>20</v>
      </c>
      <c r="D8345" s="198">
        <f t="shared" si="966"/>
        <v>45797</v>
      </c>
      <c r="E8345" s="290">
        <f>DATE(A8345,B8345,C8345)</f>
        <v>45797</v>
      </c>
      <c r="F8345" s="513" t="s">
        <v>1514</v>
      </c>
      <c r="G8345" s="200" t="s">
        <v>1209</v>
      </c>
      <c r="H8345" s="201"/>
      <c r="I8345" s="201"/>
      <c r="J8345" s="197" t="s">
        <v>54</v>
      </c>
      <c r="K8345" s="202">
        <v>120</v>
      </c>
      <c r="L8345" s="202"/>
      <c r="M8345" s="251"/>
      <c r="N8345" s="251"/>
      <c r="O8345" s="251"/>
    </row>
    <row r="8346" spans="1:15" ht="11.25" customHeight="1" x14ac:dyDescent="0.2">
      <c r="A8346" s="191">
        <v>2025</v>
      </c>
      <c r="B8346" s="191">
        <v>5</v>
      </c>
      <c r="C8346" s="191">
        <v>20</v>
      </c>
      <c r="D8346" s="192">
        <f t="shared" si="966"/>
        <v>45797</v>
      </c>
      <c r="E8346" s="291">
        <f>DATE(A8346,B8346,C8346)</f>
        <v>45797</v>
      </c>
      <c r="F8346" s="514"/>
      <c r="G8346" s="194" t="s">
        <v>1209</v>
      </c>
      <c r="H8346" s="195"/>
      <c r="I8346" s="195"/>
      <c r="J8346" s="191" t="s">
        <v>46</v>
      </c>
      <c r="K8346" s="196"/>
      <c r="L8346" s="196">
        <v>120</v>
      </c>
      <c r="M8346" s="251"/>
      <c r="N8346" s="251"/>
      <c r="O8346" s="251"/>
    </row>
    <row r="8347" spans="1:15" ht="11.25" customHeight="1" x14ac:dyDescent="0.2">
      <c r="A8347" s="197">
        <v>2025</v>
      </c>
      <c r="B8347" s="197">
        <v>5</v>
      </c>
      <c r="C8347" s="197">
        <v>21</v>
      </c>
      <c r="D8347" s="198">
        <f t="shared" si="966"/>
        <v>45798</v>
      </c>
      <c r="E8347" s="209">
        <f t="shared" si="971"/>
        <v>45798</v>
      </c>
      <c r="F8347" s="513" t="s">
        <v>1280</v>
      </c>
      <c r="G8347" s="200" t="s">
        <v>1209</v>
      </c>
      <c r="H8347" s="201"/>
      <c r="I8347" s="201" t="s">
        <v>1236</v>
      </c>
      <c r="J8347" s="197" t="s">
        <v>16</v>
      </c>
      <c r="K8347" s="202">
        <v>192770</v>
      </c>
      <c r="L8347" s="202"/>
      <c r="M8347" s="130"/>
      <c r="N8347" s="130"/>
    </row>
    <row r="8348" spans="1:15" ht="11.25" customHeight="1" x14ac:dyDescent="0.2">
      <c r="A8348" s="120">
        <v>2025</v>
      </c>
      <c r="B8348" s="120">
        <v>5</v>
      </c>
      <c r="C8348" s="120">
        <v>21</v>
      </c>
      <c r="D8348" s="208">
        <f t="shared" si="966"/>
        <v>45798</v>
      </c>
      <c r="E8348" s="209">
        <f t="shared" si="971"/>
        <v>45798</v>
      </c>
      <c r="F8348" s="515"/>
      <c r="G8348" s="132" t="s">
        <v>1209</v>
      </c>
      <c r="I8348" s="128" t="s">
        <v>1236</v>
      </c>
      <c r="J8348" s="120" t="s">
        <v>47</v>
      </c>
      <c r="K8348" s="207">
        <v>47016.600000000006</v>
      </c>
      <c r="L8348" s="207"/>
      <c r="M8348" s="130"/>
      <c r="N8348" s="130"/>
    </row>
    <row r="8349" spans="1:15" ht="11.25" customHeight="1" x14ac:dyDescent="0.2">
      <c r="A8349" s="191">
        <v>2025</v>
      </c>
      <c r="B8349" s="191">
        <v>5</v>
      </c>
      <c r="C8349" s="191">
        <v>21</v>
      </c>
      <c r="D8349" s="192">
        <f t="shared" si="966"/>
        <v>45798</v>
      </c>
      <c r="E8349" s="193">
        <f t="shared" si="971"/>
        <v>45798</v>
      </c>
      <c r="F8349" s="514"/>
      <c r="G8349" s="194" t="s">
        <v>1209</v>
      </c>
      <c r="H8349" s="195"/>
      <c r="I8349" s="195" t="s">
        <v>1236</v>
      </c>
      <c r="J8349" s="191" t="s">
        <v>46</v>
      </c>
      <c r="K8349" s="196"/>
      <c r="L8349" s="196">
        <v>239786.6</v>
      </c>
      <c r="M8349" s="130"/>
      <c r="N8349" s="130"/>
    </row>
    <row r="8350" spans="1:15" ht="11.25" customHeight="1" x14ac:dyDescent="0.2">
      <c r="A8350" s="197">
        <v>2025</v>
      </c>
      <c r="B8350" s="197">
        <v>5</v>
      </c>
      <c r="C8350" s="197">
        <v>21</v>
      </c>
      <c r="D8350" s="198">
        <f t="shared" si="966"/>
        <v>45798</v>
      </c>
      <c r="E8350" s="199">
        <f t="shared" si="971"/>
        <v>45798</v>
      </c>
      <c r="F8350" s="513" t="s">
        <v>2003</v>
      </c>
      <c r="G8350" s="200" t="s">
        <v>1209</v>
      </c>
      <c r="H8350" s="201"/>
      <c r="I8350" s="201" t="s">
        <v>1253</v>
      </c>
      <c r="J8350" s="197" t="s">
        <v>2003</v>
      </c>
      <c r="K8350" s="202">
        <v>10000000</v>
      </c>
      <c r="L8350" s="202"/>
    </row>
    <row r="8351" spans="1:15" ht="11.25" customHeight="1" x14ac:dyDescent="0.2">
      <c r="A8351" s="191">
        <v>2025</v>
      </c>
      <c r="B8351" s="191">
        <v>5</v>
      </c>
      <c r="C8351" s="191">
        <v>21</v>
      </c>
      <c r="D8351" s="192">
        <f t="shared" si="966"/>
        <v>45798</v>
      </c>
      <c r="E8351" s="193">
        <f t="shared" si="971"/>
        <v>45798</v>
      </c>
      <c r="F8351" s="514"/>
      <c r="G8351" s="194" t="s">
        <v>1209</v>
      </c>
      <c r="H8351" s="195"/>
      <c r="I8351" s="195" t="s">
        <v>1253</v>
      </c>
      <c r="J8351" s="191" t="s">
        <v>46</v>
      </c>
      <c r="K8351" s="196"/>
      <c r="L8351" s="196">
        <v>10000000</v>
      </c>
      <c r="N8351" s="130"/>
    </row>
    <row r="8352" spans="1:15" ht="11.25" customHeight="1" x14ac:dyDescent="0.2">
      <c r="A8352" s="197">
        <v>2025</v>
      </c>
      <c r="B8352" s="197">
        <v>5</v>
      </c>
      <c r="C8352" s="197">
        <v>22</v>
      </c>
      <c r="D8352" s="198">
        <f t="shared" si="966"/>
        <v>45799</v>
      </c>
      <c r="E8352" s="209">
        <f t="shared" ref="E8352:E8357" si="972">DATE(A8352,B8352,C8352)</f>
        <v>45799</v>
      </c>
      <c r="F8352" s="513" t="s">
        <v>1210</v>
      </c>
      <c r="G8352" s="200" t="s">
        <v>1209</v>
      </c>
      <c r="H8352" s="201"/>
      <c r="I8352" s="201" t="s">
        <v>397</v>
      </c>
      <c r="J8352" s="197" t="s">
        <v>46</v>
      </c>
      <c r="K8352" s="202">
        <v>40000</v>
      </c>
      <c r="L8352" s="202"/>
    </row>
    <row r="8353" spans="1:15" ht="11.25" customHeight="1" x14ac:dyDescent="0.2">
      <c r="A8353" s="120">
        <v>2025</v>
      </c>
      <c r="B8353" s="120">
        <v>5</v>
      </c>
      <c r="C8353" s="120">
        <v>22</v>
      </c>
      <c r="D8353" s="208">
        <f t="shared" si="966"/>
        <v>45799</v>
      </c>
      <c r="E8353" s="209">
        <f t="shared" si="972"/>
        <v>45799</v>
      </c>
      <c r="F8353" s="515"/>
      <c r="G8353" s="132" t="s">
        <v>1209</v>
      </c>
      <c r="I8353" s="128" t="s">
        <v>397</v>
      </c>
      <c r="J8353" s="120" t="s">
        <v>16</v>
      </c>
      <c r="K8353" s="207"/>
      <c r="L8353" s="207">
        <v>32160</v>
      </c>
    </row>
    <row r="8354" spans="1:15" ht="11.25" customHeight="1" x14ac:dyDescent="0.2">
      <c r="A8354" s="191">
        <v>2025</v>
      </c>
      <c r="B8354" s="191">
        <v>5</v>
      </c>
      <c r="C8354" s="191">
        <v>22</v>
      </c>
      <c r="D8354" s="192">
        <f t="shared" si="966"/>
        <v>45799</v>
      </c>
      <c r="E8354" s="193">
        <f t="shared" si="972"/>
        <v>45799</v>
      </c>
      <c r="F8354" s="514"/>
      <c r="G8354" s="194" t="s">
        <v>1209</v>
      </c>
      <c r="H8354" s="195"/>
      <c r="I8354" s="195" t="s">
        <v>397</v>
      </c>
      <c r="J8354" s="191" t="s">
        <v>47</v>
      </c>
      <c r="K8354" s="196"/>
      <c r="L8354" s="196">
        <v>7840</v>
      </c>
    </row>
    <row r="8355" spans="1:15" ht="11.25" customHeight="1" x14ac:dyDescent="0.2">
      <c r="A8355" s="197">
        <v>2025</v>
      </c>
      <c r="B8355" s="197">
        <v>5</v>
      </c>
      <c r="C8355" s="197">
        <v>22</v>
      </c>
      <c r="D8355" s="198">
        <f t="shared" si="966"/>
        <v>45799</v>
      </c>
      <c r="E8355" s="209">
        <f t="shared" si="972"/>
        <v>45799</v>
      </c>
      <c r="F8355" s="513" t="s">
        <v>1280</v>
      </c>
      <c r="G8355" s="200" t="s">
        <v>1209</v>
      </c>
      <c r="H8355" s="201"/>
      <c r="I8355" s="201" t="s">
        <v>1589</v>
      </c>
      <c r="J8355" s="197" t="s">
        <v>16</v>
      </c>
      <c r="K8355" s="202">
        <v>401960</v>
      </c>
      <c r="L8355" s="202"/>
      <c r="M8355" s="130"/>
      <c r="N8355" s="130"/>
    </row>
    <row r="8356" spans="1:15" ht="11.25" customHeight="1" x14ac:dyDescent="0.2">
      <c r="A8356" s="120">
        <v>2025</v>
      </c>
      <c r="B8356" s="120">
        <v>5</v>
      </c>
      <c r="C8356" s="120">
        <v>22</v>
      </c>
      <c r="D8356" s="208">
        <f t="shared" si="966"/>
        <v>45799</v>
      </c>
      <c r="E8356" s="209">
        <f t="shared" si="972"/>
        <v>45799</v>
      </c>
      <c r="F8356" s="515"/>
      <c r="G8356" s="132" t="s">
        <v>1209</v>
      </c>
      <c r="I8356" s="128" t="s">
        <v>1589</v>
      </c>
      <c r="J8356" s="120" t="s">
        <v>47</v>
      </c>
      <c r="K8356" s="207">
        <v>98040</v>
      </c>
      <c r="L8356" s="207"/>
      <c r="M8356" s="130"/>
      <c r="N8356" s="130"/>
    </row>
    <row r="8357" spans="1:15" ht="11.25" customHeight="1" x14ac:dyDescent="0.2">
      <c r="A8357" s="191">
        <v>2025</v>
      </c>
      <c r="B8357" s="191">
        <v>5</v>
      </c>
      <c r="C8357" s="191">
        <v>22</v>
      </c>
      <c r="D8357" s="192">
        <f t="shared" si="966"/>
        <v>45799</v>
      </c>
      <c r="E8357" s="193">
        <f t="shared" si="972"/>
        <v>45799</v>
      </c>
      <c r="F8357" s="514"/>
      <c r="G8357" s="194" t="s">
        <v>1209</v>
      </c>
      <c r="H8357" s="195"/>
      <c r="I8357" s="195" t="s">
        <v>1589</v>
      </c>
      <c r="J8357" s="191" t="s">
        <v>46</v>
      </c>
      <c r="K8357" s="196"/>
      <c r="L8357" s="196">
        <v>500000</v>
      </c>
      <c r="M8357" s="130"/>
      <c r="N8357" s="130"/>
    </row>
    <row r="8358" spans="1:15" ht="11.25" customHeight="1" x14ac:dyDescent="0.2">
      <c r="A8358" s="197">
        <v>2025</v>
      </c>
      <c r="B8358" s="197">
        <v>5</v>
      </c>
      <c r="C8358" s="197">
        <v>22</v>
      </c>
      <c r="D8358" s="198">
        <f t="shared" si="966"/>
        <v>45799</v>
      </c>
      <c r="E8358" s="209">
        <f t="shared" ref="E8358:E8375" si="973">DATE(A8358,B8358,C8358)</f>
        <v>45799</v>
      </c>
      <c r="F8358" s="513" t="s">
        <v>1210</v>
      </c>
      <c r="G8358" s="200" t="s">
        <v>1209</v>
      </c>
      <c r="H8358" s="201"/>
      <c r="I8358" s="201" t="s">
        <v>1597</v>
      </c>
      <c r="J8358" s="197" t="s">
        <v>46</v>
      </c>
      <c r="K8358" s="202">
        <v>363500</v>
      </c>
      <c r="L8358" s="202"/>
    </row>
    <row r="8359" spans="1:15" ht="11.25" customHeight="1" x14ac:dyDescent="0.2">
      <c r="A8359" s="120">
        <v>2025</v>
      </c>
      <c r="B8359" s="120">
        <v>5</v>
      </c>
      <c r="C8359" s="120">
        <v>22</v>
      </c>
      <c r="D8359" s="208">
        <f t="shared" si="966"/>
        <v>45799</v>
      </c>
      <c r="E8359" s="209">
        <f t="shared" si="973"/>
        <v>45799</v>
      </c>
      <c r="F8359" s="515"/>
      <c r="G8359" s="132" t="s">
        <v>1209</v>
      </c>
      <c r="I8359" s="128" t="s">
        <v>1597</v>
      </c>
      <c r="J8359" s="120" t="s">
        <v>16</v>
      </c>
      <c r="K8359" s="207"/>
      <c r="L8359" s="207">
        <v>292230</v>
      </c>
    </row>
    <row r="8360" spans="1:15" ht="11.25" customHeight="1" x14ac:dyDescent="0.2">
      <c r="A8360" s="191">
        <v>2025</v>
      </c>
      <c r="B8360" s="191">
        <v>5</v>
      </c>
      <c r="C8360" s="191">
        <v>22</v>
      </c>
      <c r="D8360" s="192">
        <f t="shared" si="966"/>
        <v>45799</v>
      </c>
      <c r="E8360" s="193">
        <f t="shared" si="973"/>
        <v>45799</v>
      </c>
      <c r="F8360" s="514"/>
      <c r="G8360" s="194" t="s">
        <v>1209</v>
      </c>
      <c r="H8360" s="195"/>
      <c r="I8360" s="195" t="s">
        <v>1597</v>
      </c>
      <c r="J8360" s="191" t="s">
        <v>47</v>
      </c>
      <c r="K8360" s="196"/>
      <c r="L8360" s="196">
        <v>71270</v>
      </c>
    </row>
    <row r="8361" spans="1:15" ht="11.25" customHeight="1" x14ac:dyDescent="0.2">
      <c r="A8361" s="197">
        <v>2025</v>
      </c>
      <c r="B8361" s="197">
        <v>5</v>
      </c>
      <c r="C8361" s="197">
        <v>22</v>
      </c>
      <c r="D8361" s="198">
        <f t="shared" si="966"/>
        <v>45799</v>
      </c>
      <c r="E8361" s="209">
        <f t="shared" ref="E8361:E8363" si="974">DATE(A8361,B8361,C8361)</f>
        <v>45799</v>
      </c>
      <c r="F8361" s="513" t="s">
        <v>1210</v>
      </c>
      <c r="G8361" s="200" t="s">
        <v>1209</v>
      </c>
      <c r="H8361" s="201"/>
      <c r="I8361" s="201" t="s">
        <v>2030</v>
      </c>
      <c r="J8361" s="197" t="s">
        <v>46</v>
      </c>
      <c r="K8361" s="202">
        <v>500000</v>
      </c>
      <c r="L8361" s="202"/>
    </row>
    <row r="8362" spans="1:15" ht="11.25" customHeight="1" x14ac:dyDescent="0.2">
      <c r="A8362" s="120">
        <v>2025</v>
      </c>
      <c r="B8362" s="120">
        <v>5</v>
      </c>
      <c r="C8362" s="120">
        <v>22</v>
      </c>
      <c r="D8362" s="208">
        <f t="shared" si="966"/>
        <v>45799</v>
      </c>
      <c r="E8362" s="209">
        <f t="shared" si="974"/>
        <v>45799</v>
      </c>
      <c r="F8362" s="515"/>
      <c r="G8362" s="132" t="s">
        <v>1209</v>
      </c>
      <c r="I8362" s="128" t="s">
        <v>2030</v>
      </c>
      <c r="J8362" s="120" t="s">
        <v>16</v>
      </c>
      <c r="K8362" s="207"/>
      <c r="L8362" s="207">
        <v>401960</v>
      </c>
    </row>
    <row r="8363" spans="1:15" ht="11.25" customHeight="1" x14ac:dyDescent="0.2">
      <c r="A8363" s="191">
        <v>2025</v>
      </c>
      <c r="B8363" s="191">
        <v>5</v>
      </c>
      <c r="C8363" s="191">
        <v>22</v>
      </c>
      <c r="D8363" s="192">
        <f t="shared" si="966"/>
        <v>45799</v>
      </c>
      <c r="E8363" s="193">
        <f t="shared" si="974"/>
        <v>45799</v>
      </c>
      <c r="F8363" s="514"/>
      <c r="G8363" s="194" t="s">
        <v>1209</v>
      </c>
      <c r="H8363" s="195"/>
      <c r="I8363" s="195" t="s">
        <v>2030</v>
      </c>
      <c r="J8363" s="191" t="s">
        <v>47</v>
      </c>
      <c r="K8363" s="196"/>
      <c r="L8363" s="196">
        <v>98040</v>
      </c>
    </row>
    <row r="8364" spans="1:15" ht="11.25" customHeight="1" x14ac:dyDescent="0.2">
      <c r="A8364" s="197">
        <v>2025</v>
      </c>
      <c r="B8364" s="197">
        <v>5</v>
      </c>
      <c r="C8364" s="197">
        <v>22</v>
      </c>
      <c r="D8364" s="198">
        <f t="shared" ref="D8364:D8427" si="975">DATE(A8364,B8364,C8364)</f>
        <v>45799</v>
      </c>
      <c r="E8364" s="290">
        <f>DATE(A8364,B8364,C8364)</f>
        <v>45799</v>
      </c>
      <c r="F8364" s="513" t="s">
        <v>1527</v>
      </c>
      <c r="G8364" s="200" t="s">
        <v>1209</v>
      </c>
      <c r="H8364" s="201"/>
      <c r="I8364" s="201"/>
      <c r="J8364" s="197" t="s">
        <v>54</v>
      </c>
      <c r="K8364" s="202">
        <v>60</v>
      </c>
      <c r="L8364" s="202"/>
      <c r="M8364" s="251"/>
      <c r="N8364" s="251"/>
      <c r="O8364" s="251"/>
    </row>
    <row r="8365" spans="1:15" ht="11.25" customHeight="1" x14ac:dyDescent="0.2">
      <c r="A8365" s="191">
        <v>2025</v>
      </c>
      <c r="B8365" s="191">
        <v>5</v>
      </c>
      <c r="C8365" s="191">
        <v>22</v>
      </c>
      <c r="D8365" s="192">
        <f t="shared" si="975"/>
        <v>45799</v>
      </c>
      <c r="E8365" s="291">
        <f>DATE(A8365,B8365,C8365)</f>
        <v>45799</v>
      </c>
      <c r="F8365" s="514"/>
      <c r="G8365" s="194" t="s">
        <v>1209</v>
      </c>
      <c r="H8365" s="195"/>
      <c r="I8365" s="195"/>
      <c r="J8365" s="191" t="s">
        <v>46</v>
      </c>
      <c r="K8365" s="196"/>
      <c r="L8365" s="196">
        <v>60</v>
      </c>
      <c r="M8365" s="251"/>
      <c r="N8365" s="251"/>
      <c r="O8365" s="251"/>
    </row>
    <row r="8366" spans="1:15" ht="11.25" customHeight="1" x14ac:dyDescent="0.2">
      <c r="A8366" s="424">
        <v>2025</v>
      </c>
      <c r="B8366" s="424">
        <v>5</v>
      </c>
      <c r="C8366" s="424">
        <v>22</v>
      </c>
      <c r="D8366" s="425">
        <f t="shared" si="975"/>
        <v>45799</v>
      </c>
      <c r="E8366" s="384">
        <f t="shared" si="973"/>
        <v>45799</v>
      </c>
      <c r="F8366" s="516" t="s">
        <v>1850</v>
      </c>
      <c r="G8366" s="426" t="s">
        <v>1209</v>
      </c>
      <c r="H8366" s="427"/>
      <c r="I8366" s="427"/>
      <c r="J8366" s="428" t="s">
        <v>81</v>
      </c>
      <c r="K8366" s="429">
        <v>6973.2450980392159</v>
      </c>
      <c r="L8366" s="429"/>
      <c r="M8366" s="130"/>
    </row>
    <row r="8367" spans="1:15" ht="11.25" customHeight="1" x14ac:dyDescent="0.2">
      <c r="A8367" s="389">
        <v>2025</v>
      </c>
      <c r="B8367" s="389">
        <v>5</v>
      </c>
      <c r="C8367" s="389">
        <v>22</v>
      </c>
      <c r="D8367" s="390">
        <f t="shared" si="975"/>
        <v>45799</v>
      </c>
      <c r="E8367" s="391">
        <f t="shared" si="973"/>
        <v>45799</v>
      </c>
      <c r="F8367" s="517"/>
      <c r="G8367" s="392" t="s">
        <v>1209</v>
      </c>
      <c r="H8367" s="393"/>
      <c r="I8367" s="393"/>
      <c r="J8367" s="394" t="s">
        <v>1847</v>
      </c>
      <c r="K8367" s="423"/>
      <c r="L8367" s="423">
        <v>6973.2450980392159</v>
      </c>
    </row>
    <row r="8368" spans="1:15" ht="11.25" customHeight="1" x14ac:dyDescent="0.2">
      <c r="A8368" s="382">
        <v>2025</v>
      </c>
      <c r="B8368" s="382">
        <v>5</v>
      </c>
      <c r="C8368" s="382">
        <v>22</v>
      </c>
      <c r="D8368" s="383">
        <f t="shared" si="975"/>
        <v>45799</v>
      </c>
      <c r="E8368" s="384">
        <f t="shared" si="973"/>
        <v>45799</v>
      </c>
      <c r="F8368" s="516" t="s">
        <v>1892</v>
      </c>
      <c r="G8368" s="385" t="s">
        <v>1209</v>
      </c>
      <c r="H8368" s="386"/>
      <c r="I8368" s="386"/>
      <c r="J8368" s="387" t="s">
        <v>173</v>
      </c>
      <c r="K8368" s="388">
        <v>4632.4914305729171</v>
      </c>
      <c r="L8368" s="388"/>
      <c r="M8368" s="130"/>
    </row>
    <row r="8369" spans="1:14" ht="11.25" customHeight="1" x14ac:dyDescent="0.2">
      <c r="A8369" s="389">
        <v>2025</v>
      </c>
      <c r="B8369" s="389">
        <v>5</v>
      </c>
      <c r="C8369" s="389">
        <v>22</v>
      </c>
      <c r="D8369" s="390">
        <f t="shared" si="975"/>
        <v>45799</v>
      </c>
      <c r="E8369" s="391">
        <f t="shared" si="973"/>
        <v>45799</v>
      </c>
      <c r="F8369" s="517"/>
      <c r="G8369" s="392" t="s">
        <v>1209</v>
      </c>
      <c r="H8369" s="393"/>
      <c r="I8369" s="393"/>
      <c r="J8369" s="394" t="s">
        <v>43</v>
      </c>
      <c r="K8369" s="388"/>
      <c r="L8369" s="388">
        <f>K8368</f>
        <v>4632.4914305729171</v>
      </c>
    </row>
    <row r="8370" spans="1:14" ht="11.25" customHeight="1" x14ac:dyDescent="0.2">
      <c r="A8370" s="344">
        <v>2025</v>
      </c>
      <c r="B8370" s="344">
        <v>5</v>
      </c>
      <c r="C8370" s="344">
        <v>22</v>
      </c>
      <c r="D8370" s="345">
        <f t="shared" si="975"/>
        <v>45799</v>
      </c>
      <c r="E8370" s="346">
        <f t="shared" si="973"/>
        <v>45799</v>
      </c>
      <c r="F8370" s="518" t="s">
        <v>1982</v>
      </c>
      <c r="G8370" s="347" t="s">
        <v>1245</v>
      </c>
      <c r="H8370" s="348"/>
      <c r="I8370" s="348" t="s">
        <v>1253</v>
      </c>
      <c r="J8370" s="344" t="s">
        <v>1978</v>
      </c>
      <c r="K8370" s="349">
        <v>145230.76923076922</v>
      </c>
      <c r="L8370" s="349"/>
      <c r="M8370" s="130"/>
    </row>
    <row r="8371" spans="1:14" ht="11.25" customHeight="1" x14ac:dyDescent="0.2">
      <c r="A8371" s="350">
        <v>2025</v>
      </c>
      <c r="B8371" s="350">
        <v>5</v>
      </c>
      <c r="C8371" s="350">
        <v>22</v>
      </c>
      <c r="D8371" s="351">
        <f t="shared" si="975"/>
        <v>45799</v>
      </c>
      <c r="E8371" s="352">
        <f t="shared" si="973"/>
        <v>45799</v>
      </c>
      <c r="F8371" s="519"/>
      <c r="G8371" s="353" t="s">
        <v>1245</v>
      </c>
      <c r="H8371" s="354"/>
      <c r="I8371" s="354" t="s">
        <v>1253</v>
      </c>
      <c r="J8371" s="350" t="s">
        <v>1979</v>
      </c>
      <c r="K8371" s="355"/>
      <c r="L8371" s="355">
        <f>K8370</f>
        <v>145230.76923076922</v>
      </c>
    </row>
    <row r="8372" spans="1:14" ht="11.25" customHeight="1" x14ac:dyDescent="0.2">
      <c r="A8372" s="344">
        <v>2025</v>
      </c>
      <c r="B8372" s="344">
        <v>5</v>
      </c>
      <c r="C8372" s="344">
        <v>22</v>
      </c>
      <c r="D8372" s="345">
        <f t="shared" si="975"/>
        <v>45799</v>
      </c>
      <c r="E8372" s="346">
        <f t="shared" ref="E8372:E8373" si="976">DATE(A8372,B8372,C8372)</f>
        <v>45799</v>
      </c>
      <c r="F8372" s="518" t="s">
        <v>2009</v>
      </c>
      <c r="G8372" s="347" t="s">
        <v>1245</v>
      </c>
      <c r="H8372" s="348"/>
      <c r="I8372" s="348" t="s">
        <v>1253</v>
      </c>
      <c r="J8372" s="344" t="s">
        <v>2004</v>
      </c>
      <c r="K8372" s="349">
        <v>49692.31</v>
      </c>
      <c r="L8372" s="349"/>
      <c r="M8372" s="130"/>
    </row>
    <row r="8373" spans="1:14" ht="11.25" customHeight="1" x14ac:dyDescent="0.2">
      <c r="A8373" s="350">
        <v>2025</v>
      </c>
      <c r="B8373" s="350">
        <v>5</v>
      </c>
      <c r="C8373" s="350">
        <v>22</v>
      </c>
      <c r="D8373" s="351">
        <f t="shared" si="975"/>
        <v>45799</v>
      </c>
      <c r="E8373" s="352">
        <f t="shared" si="976"/>
        <v>45799</v>
      </c>
      <c r="F8373" s="519"/>
      <c r="G8373" s="353" t="s">
        <v>1245</v>
      </c>
      <c r="H8373" s="354"/>
      <c r="I8373" s="354" t="s">
        <v>1253</v>
      </c>
      <c r="J8373" s="350" t="s">
        <v>2008</v>
      </c>
      <c r="K8373" s="355"/>
      <c r="L8373" s="355">
        <f>K8372</f>
        <v>49692.31</v>
      </c>
    </row>
    <row r="8374" spans="1:14" ht="11.25" customHeight="1" x14ac:dyDescent="0.2">
      <c r="A8374" s="344">
        <v>2025</v>
      </c>
      <c r="B8374" s="344">
        <v>5</v>
      </c>
      <c r="C8374" s="344">
        <v>22</v>
      </c>
      <c r="D8374" s="345">
        <f t="shared" si="975"/>
        <v>45799</v>
      </c>
      <c r="E8374" s="346">
        <f t="shared" si="973"/>
        <v>45799</v>
      </c>
      <c r="F8374" s="518" t="s">
        <v>2009</v>
      </c>
      <c r="G8374" s="347" t="s">
        <v>1245</v>
      </c>
      <c r="H8374" s="348"/>
      <c r="I8374" s="348" t="s">
        <v>1253</v>
      </c>
      <c r="J8374" s="344" t="s">
        <v>2004</v>
      </c>
      <c r="K8374" s="349">
        <v>49692.31</v>
      </c>
      <c r="L8374" s="349"/>
      <c r="M8374" s="130"/>
    </row>
    <row r="8375" spans="1:14" ht="11.25" customHeight="1" x14ac:dyDescent="0.2">
      <c r="A8375" s="350">
        <v>2025</v>
      </c>
      <c r="B8375" s="350">
        <v>5</v>
      </c>
      <c r="C8375" s="350">
        <v>22</v>
      </c>
      <c r="D8375" s="351">
        <f t="shared" si="975"/>
        <v>45799</v>
      </c>
      <c r="E8375" s="352">
        <f t="shared" si="973"/>
        <v>45799</v>
      </c>
      <c r="F8375" s="519"/>
      <c r="G8375" s="353" t="s">
        <v>1245</v>
      </c>
      <c r="H8375" s="354"/>
      <c r="I8375" s="354" t="s">
        <v>1253</v>
      </c>
      <c r="J8375" s="350" t="s">
        <v>2008</v>
      </c>
      <c r="K8375" s="355"/>
      <c r="L8375" s="355">
        <f>K8374</f>
        <v>49692.31</v>
      </c>
    </row>
    <row r="8376" spans="1:14" ht="11.25" customHeight="1" x14ac:dyDescent="0.2">
      <c r="A8376" s="344">
        <v>2025</v>
      </c>
      <c r="B8376" s="344">
        <v>5</v>
      </c>
      <c r="C8376" s="344">
        <v>22</v>
      </c>
      <c r="D8376" s="345">
        <f t="shared" si="975"/>
        <v>45799</v>
      </c>
      <c r="E8376" s="346">
        <f>DATE(A8376,B8376,C8376)</f>
        <v>45799</v>
      </c>
      <c r="F8376" s="518" t="s">
        <v>1988</v>
      </c>
      <c r="G8376" s="347" t="s">
        <v>1245</v>
      </c>
      <c r="H8376" s="348"/>
      <c r="I8376" s="348" t="s">
        <v>1253</v>
      </c>
      <c r="J8376" s="344" t="s">
        <v>113</v>
      </c>
      <c r="K8376" s="349">
        <v>32846.15</v>
      </c>
      <c r="L8376" s="349"/>
      <c r="M8376" s="130"/>
    </row>
    <row r="8377" spans="1:14" ht="11.25" customHeight="1" x14ac:dyDescent="0.2">
      <c r="A8377" s="350">
        <v>2025</v>
      </c>
      <c r="B8377" s="350">
        <v>5</v>
      </c>
      <c r="C8377" s="350">
        <v>22</v>
      </c>
      <c r="D8377" s="351">
        <f t="shared" si="975"/>
        <v>45799</v>
      </c>
      <c r="E8377" s="352">
        <f>DATE(A8377,B8377,C8377)</f>
        <v>45799</v>
      </c>
      <c r="F8377" s="519"/>
      <c r="G8377" s="353" t="s">
        <v>1245</v>
      </c>
      <c r="H8377" s="354"/>
      <c r="I8377" s="354" t="s">
        <v>1253</v>
      </c>
      <c r="J8377" s="350" t="s">
        <v>153</v>
      </c>
      <c r="K8377" s="355"/>
      <c r="L8377" s="355">
        <f>K8376</f>
        <v>32846.15</v>
      </c>
    </row>
    <row r="8378" spans="1:14" ht="11.25" customHeight="1" x14ac:dyDescent="0.2">
      <c r="A8378" s="344">
        <v>2025</v>
      </c>
      <c r="B8378" s="344">
        <v>5</v>
      </c>
      <c r="C8378" s="344">
        <v>22</v>
      </c>
      <c r="D8378" s="345">
        <f t="shared" si="975"/>
        <v>45799</v>
      </c>
      <c r="E8378" s="346">
        <f t="shared" ref="E8378:E8383" si="977">DATE(A8378,B8378,C8378)</f>
        <v>45799</v>
      </c>
      <c r="F8378" s="518" t="s">
        <v>1989</v>
      </c>
      <c r="G8378" s="347" t="s">
        <v>1245</v>
      </c>
      <c r="H8378" s="348"/>
      <c r="I8378" s="348" t="s">
        <v>1253</v>
      </c>
      <c r="J8378" s="344" t="s">
        <v>113</v>
      </c>
      <c r="K8378" s="349">
        <v>23461.538461538461</v>
      </c>
      <c r="L8378" s="349"/>
      <c r="M8378" s="130"/>
    </row>
    <row r="8379" spans="1:14" ht="11.25" customHeight="1" x14ac:dyDescent="0.2">
      <c r="A8379" s="350">
        <v>2025</v>
      </c>
      <c r="B8379" s="350">
        <v>5</v>
      </c>
      <c r="C8379" s="350">
        <v>22</v>
      </c>
      <c r="D8379" s="351">
        <f t="shared" si="975"/>
        <v>45799</v>
      </c>
      <c r="E8379" s="352">
        <f t="shared" si="977"/>
        <v>45799</v>
      </c>
      <c r="F8379" s="519"/>
      <c r="G8379" s="353" t="s">
        <v>1245</v>
      </c>
      <c r="H8379" s="354"/>
      <c r="I8379" s="354" t="s">
        <v>1253</v>
      </c>
      <c r="J8379" s="350" t="s">
        <v>153</v>
      </c>
      <c r="K8379" s="355"/>
      <c r="L8379" s="355">
        <f>K8378</f>
        <v>23461.538461538461</v>
      </c>
    </row>
    <row r="8380" spans="1:14" ht="11.25" customHeight="1" x14ac:dyDescent="0.2">
      <c r="A8380" s="344">
        <v>2025</v>
      </c>
      <c r="B8380" s="344">
        <v>5</v>
      </c>
      <c r="C8380" s="344">
        <v>22</v>
      </c>
      <c r="D8380" s="345">
        <f t="shared" si="975"/>
        <v>45799</v>
      </c>
      <c r="E8380" s="346">
        <f t="shared" si="977"/>
        <v>45799</v>
      </c>
      <c r="F8380" s="518" t="s">
        <v>1990</v>
      </c>
      <c r="G8380" s="347" t="s">
        <v>1245</v>
      </c>
      <c r="H8380" s="348"/>
      <c r="I8380" s="348" t="s">
        <v>1253</v>
      </c>
      <c r="J8380" s="344" t="s">
        <v>113</v>
      </c>
      <c r="K8380" s="349">
        <v>70384.62</v>
      </c>
      <c r="L8380" s="349"/>
      <c r="M8380" s="130"/>
      <c r="N8380" s="251"/>
    </row>
    <row r="8381" spans="1:14" ht="11.25" customHeight="1" x14ac:dyDescent="0.2">
      <c r="A8381" s="350">
        <v>2025</v>
      </c>
      <c r="B8381" s="350">
        <v>5</v>
      </c>
      <c r="C8381" s="350">
        <v>22</v>
      </c>
      <c r="D8381" s="351">
        <f t="shared" si="975"/>
        <v>45799</v>
      </c>
      <c r="E8381" s="352">
        <f t="shared" si="977"/>
        <v>45799</v>
      </c>
      <c r="F8381" s="519"/>
      <c r="G8381" s="353" t="s">
        <v>1245</v>
      </c>
      <c r="H8381" s="354"/>
      <c r="I8381" s="354" t="s">
        <v>1253</v>
      </c>
      <c r="J8381" s="350" t="s">
        <v>153</v>
      </c>
      <c r="K8381" s="355"/>
      <c r="L8381" s="355">
        <f>K8380</f>
        <v>70384.62</v>
      </c>
    </row>
    <row r="8382" spans="1:14" ht="11.25" customHeight="1" x14ac:dyDescent="0.2">
      <c r="A8382" s="344">
        <v>2025</v>
      </c>
      <c r="B8382" s="344">
        <v>5</v>
      </c>
      <c r="C8382" s="344">
        <v>22</v>
      </c>
      <c r="D8382" s="345">
        <f t="shared" si="975"/>
        <v>45799</v>
      </c>
      <c r="E8382" s="346">
        <f t="shared" si="977"/>
        <v>45799</v>
      </c>
      <c r="F8382" s="518" t="s">
        <v>2039</v>
      </c>
      <c r="G8382" s="347" t="s">
        <v>1245</v>
      </c>
      <c r="H8382" s="348"/>
      <c r="I8382" s="348" t="s">
        <v>1253</v>
      </c>
      <c r="J8382" s="344" t="s">
        <v>113</v>
      </c>
      <c r="K8382" s="349">
        <v>9384.6153846153848</v>
      </c>
      <c r="L8382" s="349"/>
      <c r="M8382" s="130"/>
    </row>
    <row r="8383" spans="1:14" ht="11.25" customHeight="1" x14ac:dyDescent="0.2">
      <c r="A8383" s="350">
        <v>2025</v>
      </c>
      <c r="B8383" s="350">
        <v>5</v>
      </c>
      <c r="C8383" s="350">
        <v>22</v>
      </c>
      <c r="D8383" s="351">
        <f t="shared" si="975"/>
        <v>45799</v>
      </c>
      <c r="E8383" s="352">
        <f t="shared" si="977"/>
        <v>45799</v>
      </c>
      <c r="F8383" s="519"/>
      <c r="G8383" s="353" t="s">
        <v>1245</v>
      </c>
      <c r="H8383" s="354"/>
      <c r="I8383" s="354" t="s">
        <v>1253</v>
      </c>
      <c r="J8383" s="350" t="s">
        <v>153</v>
      </c>
      <c r="K8383" s="355"/>
      <c r="L8383" s="355">
        <f>K8382</f>
        <v>9384.6153846153848</v>
      </c>
    </row>
    <row r="8384" spans="1:14" ht="11.25" customHeight="1" x14ac:dyDescent="0.2">
      <c r="A8384" s="344">
        <v>2025</v>
      </c>
      <c r="B8384" s="344">
        <v>5</v>
      </c>
      <c r="C8384" s="344">
        <v>22</v>
      </c>
      <c r="D8384" s="345">
        <f t="shared" si="975"/>
        <v>45799</v>
      </c>
      <c r="E8384" s="346">
        <f>DATE(A8384,B8384,C8384)</f>
        <v>45799</v>
      </c>
      <c r="F8384" s="518" t="s">
        <v>1991</v>
      </c>
      <c r="G8384" s="347" t="s">
        <v>1245</v>
      </c>
      <c r="H8384" s="348"/>
      <c r="I8384" s="348" t="s">
        <v>1253</v>
      </c>
      <c r="J8384" s="344" t="s">
        <v>113</v>
      </c>
      <c r="K8384" s="349">
        <v>39884.620000000003</v>
      </c>
      <c r="L8384" s="349"/>
      <c r="M8384" s="130"/>
    </row>
    <row r="8385" spans="1:13" ht="11.25" customHeight="1" x14ac:dyDescent="0.2">
      <c r="A8385" s="350">
        <v>2025</v>
      </c>
      <c r="B8385" s="350">
        <v>5</v>
      </c>
      <c r="C8385" s="350">
        <v>22</v>
      </c>
      <c r="D8385" s="351">
        <f t="shared" si="975"/>
        <v>45799</v>
      </c>
      <c r="E8385" s="352">
        <f>DATE(A8385,B8385,C8385)</f>
        <v>45799</v>
      </c>
      <c r="F8385" s="519"/>
      <c r="G8385" s="353" t="s">
        <v>1245</v>
      </c>
      <c r="H8385" s="354"/>
      <c r="I8385" s="354" t="s">
        <v>1253</v>
      </c>
      <c r="J8385" s="350" t="s">
        <v>153</v>
      </c>
      <c r="K8385" s="355"/>
      <c r="L8385" s="355">
        <f>K8384</f>
        <v>39884.620000000003</v>
      </c>
    </row>
    <row r="8386" spans="1:13" ht="11.25" customHeight="1" x14ac:dyDescent="0.2">
      <c r="A8386" s="344">
        <v>2025</v>
      </c>
      <c r="B8386" s="344">
        <v>5</v>
      </c>
      <c r="C8386" s="344">
        <v>22</v>
      </c>
      <c r="D8386" s="345">
        <f t="shared" si="975"/>
        <v>45799</v>
      </c>
      <c r="E8386" s="346">
        <f t="shared" ref="E8386:E8392" si="978">DATE(A8386,B8386,C8386)</f>
        <v>45799</v>
      </c>
      <c r="F8386" s="518" t="s">
        <v>1992</v>
      </c>
      <c r="G8386" s="347" t="s">
        <v>1245</v>
      </c>
      <c r="H8386" s="348"/>
      <c r="I8386" s="348" t="s">
        <v>1253</v>
      </c>
      <c r="J8386" s="344" t="s">
        <v>113</v>
      </c>
      <c r="K8386" s="349">
        <v>22596.15</v>
      </c>
      <c r="L8386" s="349"/>
      <c r="M8386" s="130"/>
    </row>
    <row r="8387" spans="1:13" ht="11.25" customHeight="1" x14ac:dyDescent="0.2">
      <c r="A8387" s="350">
        <v>2025</v>
      </c>
      <c r="B8387" s="350">
        <v>5</v>
      </c>
      <c r="C8387" s="350">
        <v>22</v>
      </c>
      <c r="D8387" s="351">
        <f t="shared" si="975"/>
        <v>45799</v>
      </c>
      <c r="E8387" s="352">
        <f t="shared" si="978"/>
        <v>45799</v>
      </c>
      <c r="F8387" s="519"/>
      <c r="G8387" s="353" t="s">
        <v>1245</v>
      </c>
      <c r="H8387" s="354"/>
      <c r="I8387" s="354" t="s">
        <v>1253</v>
      </c>
      <c r="J8387" s="350" t="s">
        <v>153</v>
      </c>
      <c r="K8387" s="355"/>
      <c r="L8387" s="355">
        <f>K8386</f>
        <v>22596.15</v>
      </c>
    </row>
    <row r="8388" spans="1:13" ht="11.25" customHeight="1" x14ac:dyDescent="0.2">
      <c r="A8388" s="344">
        <v>2025</v>
      </c>
      <c r="B8388" s="344">
        <v>5</v>
      </c>
      <c r="C8388" s="344">
        <v>22</v>
      </c>
      <c r="D8388" s="345">
        <f t="shared" si="975"/>
        <v>45799</v>
      </c>
      <c r="E8388" s="346">
        <f t="shared" si="978"/>
        <v>45799</v>
      </c>
      <c r="F8388" s="518" t="s">
        <v>1993</v>
      </c>
      <c r="G8388" s="347" t="s">
        <v>1245</v>
      </c>
      <c r="H8388" s="348"/>
      <c r="I8388" s="348" t="s">
        <v>1253</v>
      </c>
      <c r="J8388" s="344" t="s">
        <v>113</v>
      </c>
      <c r="K8388" s="349">
        <v>23048.080000000002</v>
      </c>
      <c r="L8388" s="349"/>
      <c r="M8388" s="130"/>
    </row>
    <row r="8389" spans="1:13" ht="11.25" customHeight="1" x14ac:dyDescent="0.2">
      <c r="A8389" s="350">
        <v>2025</v>
      </c>
      <c r="B8389" s="350">
        <v>5</v>
      </c>
      <c r="C8389" s="350">
        <v>22</v>
      </c>
      <c r="D8389" s="351">
        <f t="shared" si="975"/>
        <v>45799</v>
      </c>
      <c r="E8389" s="352">
        <f t="shared" si="978"/>
        <v>45799</v>
      </c>
      <c r="F8389" s="519"/>
      <c r="G8389" s="353" t="s">
        <v>1245</v>
      </c>
      <c r="H8389" s="354"/>
      <c r="I8389" s="354" t="s">
        <v>1253</v>
      </c>
      <c r="J8389" s="350" t="s">
        <v>153</v>
      </c>
      <c r="K8389" s="355"/>
      <c r="L8389" s="355">
        <f>K8388</f>
        <v>23048.080000000002</v>
      </c>
    </row>
    <row r="8390" spans="1:13" ht="11.25" customHeight="1" x14ac:dyDescent="0.2">
      <c r="A8390" s="210">
        <v>2025</v>
      </c>
      <c r="B8390" s="210">
        <v>5</v>
      </c>
      <c r="C8390" s="210">
        <v>22</v>
      </c>
      <c r="D8390" s="211">
        <f t="shared" si="975"/>
        <v>45799</v>
      </c>
      <c r="E8390" s="238">
        <f t="shared" si="978"/>
        <v>45799</v>
      </c>
      <c r="F8390" s="520" t="s">
        <v>1278</v>
      </c>
      <c r="G8390" s="213" t="s">
        <v>1245</v>
      </c>
      <c r="H8390" s="214"/>
      <c r="I8390" s="214" t="s">
        <v>1253</v>
      </c>
      <c r="J8390" s="210" t="s">
        <v>1529</v>
      </c>
      <c r="K8390" s="215">
        <v>510.40384615384613</v>
      </c>
      <c r="L8390" s="215"/>
      <c r="M8390" s="130"/>
    </row>
    <row r="8391" spans="1:13" ht="11.25" customHeight="1" x14ac:dyDescent="0.2">
      <c r="A8391" s="216">
        <v>2025</v>
      </c>
      <c r="B8391" s="216">
        <v>5</v>
      </c>
      <c r="C8391" s="216">
        <v>22</v>
      </c>
      <c r="D8391" s="217">
        <f t="shared" si="975"/>
        <v>45799</v>
      </c>
      <c r="E8391" s="239">
        <f t="shared" si="978"/>
        <v>45799</v>
      </c>
      <c r="F8391" s="521"/>
      <c r="G8391" s="219" t="s">
        <v>1245</v>
      </c>
      <c r="H8391" s="220"/>
      <c r="I8391" s="220" t="s">
        <v>1253</v>
      </c>
      <c r="J8391" s="216" t="s">
        <v>1581</v>
      </c>
      <c r="K8391" s="221"/>
      <c r="L8391" s="221">
        <v>510.40384615384613</v>
      </c>
    </row>
    <row r="8392" spans="1:13" ht="11.25" customHeight="1" x14ac:dyDescent="0.2">
      <c r="A8392" s="210">
        <v>2025</v>
      </c>
      <c r="B8392" s="210">
        <v>5</v>
      </c>
      <c r="C8392" s="210">
        <v>22</v>
      </c>
      <c r="D8392" s="211">
        <f t="shared" si="975"/>
        <v>45799</v>
      </c>
      <c r="E8392" s="238">
        <f t="shared" si="978"/>
        <v>45799</v>
      </c>
      <c r="F8392" s="520" t="s">
        <v>1857</v>
      </c>
      <c r="G8392" s="213" t="s">
        <v>1245</v>
      </c>
      <c r="H8392" s="214"/>
      <c r="I8392" s="214" t="s">
        <v>1253</v>
      </c>
      <c r="J8392" s="210" t="s">
        <v>1284</v>
      </c>
      <c r="K8392" s="215">
        <v>2341.8114143920593</v>
      </c>
      <c r="L8392" s="215"/>
      <c r="M8392" s="130"/>
    </row>
    <row r="8393" spans="1:13" ht="11.25" customHeight="1" x14ac:dyDescent="0.2">
      <c r="A8393" s="242">
        <v>2025</v>
      </c>
      <c r="B8393" s="242">
        <v>5</v>
      </c>
      <c r="C8393" s="242">
        <v>22</v>
      </c>
      <c r="D8393" s="243">
        <f t="shared" si="975"/>
        <v>45799</v>
      </c>
      <c r="E8393" s="244">
        <f>DATE(A8393,B8393,C8393)</f>
        <v>45799</v>
      </c>
      <c r="F8393" s="524"/>
      <c r="G8393" s="245" t="s">
        <v>1245</v>
      </c>
      <c r="H8393" s="246"/>
      <c r="I8393" s="246"/>
      <c r="J8393" s="242" t="s">
        <v>1582</v>
      </c>
      <c r="K8393" s="247"/>
      <c r="L8393" s="247">
        <f>K8392</f>
        <v>2341.8114143920593</v>
      </c>
    </row>
    <row r="8394" spans="1:13" ht="11.25" customHeight="1" x14ac:dyDescent="0.2">
      <c r="A8394" s="210">
        <v>2025</v>
      </c>
      <c r="B8394" s="210">
        <v>5</v>
      </c>
      <c r="C8394" s="210">
        <v>22</v>
      </c>
      <c r="D8394" s="211">
        <f t="shared" si="975"/>
        <v>45799</v>
      </c>
      <c r="E8394" s="238">
        <f t="shared" ref="E8394:E8410" si="979">DATE(A8394,B8394,C8394)</f>
        <v>45799</v>
      </c>
      <c r="F8394" s="520" t="s">
        <v>2055</v>
      </c>
      <c r="G8394" s="213" t="s">
        <v>1245</v>
      </c>
      <c r="H8394" s="214"/>
      <c r="I8394" s="214" t="s">
        <v>1253</v>
      </c>
      <c r="J8394" s="210" t="s">
        <v>58</v>
      </c>
      <c r="K8394" s="215">
        <v>16678.53</v>
      </c>
      <c r="L8394" s="215"/>
    </row>
    <row r="8395" spans="1:13" ht="11.25" customHeight="1" x14ac:dyDescent="0.2">
      <c r="A8395" s="216">
        <v>2025</v>
      </c>
      <c r="B8395" s="216">
        <v>5</v>
      </c>
      <c r="C8395" s="216">
        <v>22</v>
      </c>
      <c r="D8395" s="217">
        <f t="shared" si="975"/>
        <v>45799</v>
      </c>
      <c r="E8395" s="239">
        <f t="shared" si="979"/>
        <v>45799</v>
      </c>
      <c r="F8395" s="521"/>
      <c r="G8395" s="219" t="s">
        <v>1245</v>
      </c>
      <c r="H8395" s="220"/>
      <c r="I8395" s="220" t="s">
        <v>1253</v>
      </c>
      <c r="J8395" s="216" t="s">
        <v>153</v>
      </c>
      <c r="K8395" s="221"/>
      <c r="L8395" s="221">
        <f>K8394</f>
        <v>16678.53</v>
      </c>
    </row>
    <row r="8396" spans="1:13" ht="11.25" customHeight="1" x14ac:dyDescent="0.2">
      <c r="A8396" s="312">
        <v>2025</v>
      </c>
      <c r="B8396" s="312">
        <v>5</v>
      </c>
      <c r="C8396" s="312">
        <v>22</v>
      </c>
      <c r="D8396" s="313">
        <f t="shared" si="975"/>
        <v>45799</v>
      </c>
      <c r="E8396" s="314">
        <f t="shared" si="979"/>
        <v>45799</v>
      </c>
      <c r="F8396" s="522" t="s">
        <v>1477</v>
      </c>
      <c r="G8396" s="315" t="s">
        <v>1245</v>
      </c>
      <c r="H8396" s="316"/>
      <c r="I8396" s="316" t="s">
        <v>1253</v>
      </c>
      <c r="J8396" s="312" t="s">
        <v>1458</v>
      </c>
      <c r="K8396" s="317">
        <v>0</v>
      </c>
      <c r="L8396" s="317"/>
      <c r="M8396" s="120">
        <f>BS!$I$11</f>
        <v>5.9604644775390625E-8</v>
      </c>
    </row>
    <row r="8397" spans="1:13" ht="11.25" customHeight="1" x14ac:dyDescent="0.2">
      <c r="A8397" s="318">
        <v>2025</v>
      </c>
      <c r="B8397" s="318">
        <v>5</v>
      </c>
      <c r="C8397" s="318">
        <v>22</v>
      </c>
      <c r="D8397" s="319">
        <f t="shared" si="975"/>
        <v>45799</v>
      </c>
      <c r="E8397" s="320">
        <f t="shared" si="979"/>
        <v>45799</v>
      </c>
      <c r="F8397" s="523"/>
      <c r="G8397" s="321" t="s">
        <v>1245</v>
      </c>
      <c r="H8397" s="322"/>
      <c r="I8397" s="322" t="s">
        <v>1253</v>
      </c>
      <c r="J8397" s="318" t="s">
        <v>1460</v>
      </c>
      <c r="K8397" s="323"/>
      <c r="L8397" s="323">
        <f>K8396</f>
        <v>0</v>
      </c>
    </row>
    <row r="8398" spans="1:13" ht="11.25" customHeight="1" x14ac:dyDescent="0.2">
      <c r="A8398" s="312">
        <v>2025</v>
      </c>
      <c r="B8398" s="312">
        <v>5</v>
      </c>
      <c r="C8398" s="312">
        <v>22</v>
      </c>
      <c r="D8398" s="313">
        <f t="shared" si="975"/>
        <v>45799</v>
      </c>
      <c r="E8398" s="314">
        <f t="shared" si="979"/>
        <v>45799</v>
      </c>
      <c r="F8398" s="522" t="s">
        <v>1595</v>
      </c>
      <c r="G8398" s="315" t="s">
        <v>1245</v>
      </c>
      <c r="H8398" s="316"/>
      <c r="I8398" s="316" t="s">
        <v>1253</v>
      </c>
      <c r="J8398" s="312" t="s">
        <v>1461</v>
      </c>
      <c r="K8398" s="317">
        <v>4485513.9790001512</v>
      </c>
      <c r="L8398" s="317"/>
      <c r="M8398" s="120">
        <f>BS!$I$14</f>
        <v>0</v>
      </c>
    </row>
    <row r="8399" spans="1:13" ht="11.25" customHeight="1" x14ac:dyDescent="0.2">
      <c r="A8399" s="318">
        <v>2025</v>
      </c>
      <c r="B8399" s="318">
        <v>5</v>
      </c>
      <c r="C8399" s="318">
        <v>22</v>
      </c>
      <c r="D8399" s="319">
        <f t="shared" si="975"/>
        <v>45799</v>
      </c>
      <c r="E8399" s="320">
        <f t="shared" si="979"/>
        <v>45799</v>
      </c>
      <c r="F8399" s="523"/>
      <c r="G8399" s="321" t="s">
        <v>1245</v>
      </c>
      <c r="H8399" s="322"/>
      <c r="I8399" s="322" t="s">
        <v>1253</v>
      </c>
      <c r="J8399" s="318" t="s">
        <v>1459</v>
      </c>
      <c r="K8399" s="323"/>
      <c r="L8399" s="323">
        <f>K8398</f>
        <v>4485513.9790001512</v>
      </c>
    </row>
    <row r="8400" spans="1:13" ht="11.25" customHeight="1" x14ac:dyDescent="0.2">
      <c r="A8400" s="222">
        <v>2025</v>
      </c>
      <c r="B8400" s="222">
        <v>5</v>
      </c>
      <c r="C8400" s="222">
        <v>22</v>
      </c>
      <c r="D8400" s="223">
        <f t="shared" si="975"/>
        <v>45799</v>
      </c>
      <c r="E8400" s="240">
        <f t="shared" si="979"/>
        <v>45799</v>
      </c>
      <c r="F8400" s="511" t="s">
        <v>1244</v>
      </c>
      <c r="G8400" s="225" t="s">
        <v>1245</v>
      </c>
      <c r="H8400" s="226"/>
      <c r="I8400" s="226" t="s">
        <v>1253</v>
      </c>
      <c r="J8400" s="222" t="s">
        <v>87</v>
      </c>
      <c r="K8400" s="227">
        <v>7845</v>
      </c>
      <c r="L8400" s="227"/>
      <c r="M8400" s="120">
        <f>BS!$I$7</f>
        <v>0</v>
      </c>
    </row>
    <row r="8401" spans="1:15" ht="11.25" customHeight="1" x14ac:dyDescent="0.2">
      <c r="A8401" s="228">
        <v>2025</v>
      </c>
      <c r="B8401" s="228">
        <v>5</v>
      </c>
      <c r="C8401" s="228">
        <v>22</v>
      </c>
      <c r="D8401" s="229">
        <f t="shared" si="975"/>
        <v>45799</v>
      </c>
      <c r="E8401" s="241">
        <f t="shared" si="979"/>
        <v>45799</v>
      </c>
      <c r="F8401" s="512"/>
      <c r="G8401" s="231" t="s">
        <v>1245</v>
      </c>
      <c r="H8401" s="232"/>
      <c r="I8401" s="232" t="s">
        <v>1253</v>
      </c>
      <c r="J8401" s="228" t="s">
        <v>72</v>
      </c>
      <c r="K8401" s="233"/>
      <c r="L8401" s="233">
        <f>K8400</f>
        <v>7845</v>
      </c>
    </row>
    <row r="8402" spans="1:15" ht="11.25" customHeight="1" x14ac:dyDescent="0.2">
      <c r="A8402" s="222">
        <v>2025</v>
      </c>
      <c r="B8402" s="222">
        <v>5</v>
      </c>
      <c r="C8402" s="222">
        <v>22</v>
      </c>
      <c r="D8402" s="223">
        <f t="shared" si="975"/>
        <v>45799</v>
      </c>
      <c r="E8402" s="240">
        <f t="shared" si="979"/>
        <v>45799</v>
      </c>
      <c r="F8402" s="511" t="s">
        <v>1246</v>
      </c>
      <c r="G8402" s="225" t="s">
        <v>1245</v>
      </c>
      <c r="H8402" s="226"/>
      <c r="I8402" s="226" t="s">
        <v>1253</v>
      </c>
      <c r="J8402" s="222" t="s">
        <v>75</v>
      </c>
      <c r="K8402" s="227">
        <v>3623.123846153846</v>
      </c>
      <c r="L8402" s="227"/>
      <c r="M8402" s="130"/>
    </row>
    <row r="8403" spans="1:15" ht="11.25" customHeight="1" x14ac:dyDescent="0.2">
      <c r="A8403" s="228">
        <v>2025</v>
      </c>
      <c r="B8403" s="228">
        <v>5</v>
      </c>
      <c r="C8403" s="228">
        <v>22</v>
      </c>
      <c r="D8403" s="229">
        <f t="shared" si="975"/>
        <v>45799</v>
      </c>
      <c r="E8403" s="241">
        <f t="shared" si="979"/>
        <v>45799</v>
      </c>
      <c r="F8403" s="512"/>
      <c r="G8403" s="231" t="s">
        <v>1245</v>
      </c>
      <c r="H8403" s="232"/>
      <c r="I8403" s="232" t="s">
        <v>1253</v>
      </c>
      <c r="J8403" s="228" t="s">
        <v>55</v>
      </c>
      <c r="K8403" s="233"/>
      <c r="L8403" s="233">
        <v>3623.123846153846</v>
      </c>
    </row>
    <row r="8404" spans="1:15" ht="11.25" customHeight="1" x14ac:dyDescent="0.2">
      <c r="A8404" s="222">
        <v>2025</v>
      </c>
      <c r="B8404" s="222">
        <v>5</v>
      </c>
      <c r="C8404" s="222">
        <v>22</v>
      </c>
      <c r="D8404" s="223">
        <f t="shared" si="975"/>
        <v>45799</v>
      </c>
      <c r="E8404" s="240">
        <f t="shared" si="979"/>
        <v>45799</v>
      </c>
      <c r="F8404" s="511" t="s">
        <v>1247</v>
      </c>
      <c r="G8404" s="225" t="s">
        <v>1245</v>
      </c>
      <c r="H8404" s="226"/>
      <c r="I8404" s="226" t="s">
        <v>1253</v>
      </c>
      <c r="J8404" s="222" t="s">
        <v>77</v>
      </c>
      <c r="K8404" s="227">
        <f>M8404</f>
        <v>54495.294650239164</v>
      </c>
      <c r="L8404" s="227"/>
      <c r="M8404" s="130">
        <v>54495.294650239164</v>
      </c>
    </row>
    <row r="8405" spans="1:15" ht="11.25" customHeight="1" x14ac:dyDescent="0.2">
      <c r="A8405" s="228">
        <v>2025</v>
      </c>
      <c r="B8405" s="228">
        <v>5</v>
      </c>
      <c r="C8405" s="228">
        <v>22</v>
      </c>
      <c r="D8405" s="229">
        <f t="shared" si="975"/>
        <v>45799</v>
      </c>
      <c r="E8405" s="241">
        <f t="shared" si="979"/>
        <v>45799</v>
      </c>
      <c r="F8405" s="512"/>
      <c r="G8405" s="231" t="s">
        <v>1245</v>
      </c>
      <c r="H8405" s="232"/>
      <c r="I8405" s="232" t="s">
        <v>1253</v>
      </c>
      <c r="J8405" s="228" t="s">
        <v>41</v>
      </c>
      <c r="K8405" s="233"/>
      <c r="L8405" s="233">
        <f>K8404</f>
        <v>54495.294650239164</v>
      </c>
      <c r="M8405" s="130">
        <v>5449.5294650239166</v>
      </c>
    </row>
    <row r="8406" spans="1:15" ht="11.25" customHeight="1" x14ac:dyDescent="0.2">
      <c r="A8406" s="222">
        <v>2025</v>
      </c>
      <c r="B8406" s="222">
        <v>5</v>
      </c>
      <c r="C8406" s="222">
        <v>22</v>
      </c>
      <c r="D8406" s="223">
        <f t="shared" si="975"/>
        <v>45799</v>
      </c>
      <c r="E8406" s="240">
        <f t="shared" si="979"/>
        <v>45799</v>
      </c>
      <c r="F8406" s="511" t="s">
        <v>1248</v>
      </c>
      <c r="G8406" s="225" t="s">
        <v>1245</v>
      </c>
      <c r="H8406" s="226"/>
      <c r="I8406" s="226" t="s">
        <v>1253</v>
      </c>
      <c r="J8406" s="222" t="s">
        <v>80</v>
      </c>
      <c r="K8406" s="227">
        <f>M8405</f>
        <v>5449.5294650239166</v>
      </c>
      <c r="L8406" s="227"/>
    </row>
    <row r="8407" spans="1:15" ht="11.25" customHeight="1" x14ac:dyDescent="0.2">
      <c r="A8407" s="228">
        <v>2025</v>
      </c>
      <c r="B8407" s="228">
        <v>5</v>
      </c>
      <c r="C8407" s="228">
        <v>22</v>
      </c>
      <c r="D8407" s="229">
        <f t="shared" si="975"/>
        <v>45799</v>
      </c>
      <c r="E8407" s="241">
        <f t="shared" si="979"/>
        <v>45799</v>
      </c>
      <c r="F8407" s="512"/>
      <c r="G8407" s="231" t="s">
        <v>1245</v>
      </c>
      <c r="H8407" s="232"/>
      <c r="I8407" s="232" t="s">
        <v>1253</v>
      </c>
      <c r="J8407" s="228" t="s">
        <v>42</v>
      </c>
      <c r="K8407" s="233"/>
      <c r="L8407" s="233">
        <f>K8406</f>
        <v>5449.5294650239166</v>
      </c>
    </row>
    <row r="8408" spans="1:15" ht="11.25" customHeight="1" x14ac:dyDescent="0.2">
      <c r="A8408" s="197">
        <v>2025</v>
      </c>
      <c r="B8408" s="197">
        <v>5</v>
      </c>
      <c r="C8408" s="197">
        <v>24</v>
      </c>
      <c r="D8408" s="198">
        <f t="shared" si="975"/>
        <v>45801</v>
      </c>
      <c r="E8408" s="209">
        <f t="shared" si="979"/>
        <v>45801</v>
      </c>
      <c r="F8408" s="513" t="s">
        <v>1210</v>
      </c>
      <c r="G8408" s="200" t="s">
        <v>1209</v>
      </c>
      <c r="H8408" s="201"/>
      <c r="I8408" s="201"/>
      <c r="J8408" s="197" t="s">
        <v>46</v>
      </c>
      <c r="K8408" s="202">
        <v>490000</v>
      </c>
      <c r="L8408" s="202"/>
    </row>
    <row r="8409" spans="1:15" ht="11.25" customHeight="1" x14ac:dyDescent="0.2">
      <c r="A8409" s="120">
        <v>2025</v>
      </c>
      <c r="B8409" s="120">
        <v>5</v>
      </c>
      <c r="C8409" s="120">
        <v>24</v>
      </c>
      <c r="D8409" s="208">
        <f t="shared" si="975"/>
        <v>45801</v>
      </c>
      <c r="E8409" s="209">
        <f t="shared" si="979"/>
        <v>45801</v>
      </c>
      <c r="F8409" s="515"/>
      <c r="G8409" s="132" t="s">
        <v>1209</v>
      </c>
      <c r="J8409" s="120" t="s">
        <v>16</v>
      </c>
      <c r="K8409" s="207"/>
      <c r="L8409" s="207">
        <v>393010</v>
      </c>
    </row>
    <row r="8410" spans="1:15" ht="11.25" customHeight="1" x14ac:dyDescent="0.2">
      <c r="A8410" s="191">
        <v>2025</v>
      </c>
      <c r="B8410" s="191">
        <v>5</v>
      </c>
      <c r="C8410" s="191">
        <v>24</v>
      </c>
      <c r="D8410" s="192">
        <f t="shared" si="975"/>
        <v>45801</v>
      </c>
      <c r="E8410" s="193">
        <f t="shared" si="979"/>
        <v>45801</v>
      </c>
      <c r="F8410" s="514"/>
      <c r="G8410" s="194" t="s">
        <v>1209</v>
      </c>
      <c r="H8410" s="195"/>
      <c r="I8410" s="195"/>
      <c r="J8410" s="191" t="s">
        <v>47</v>
      </c>
      <c r="K8410" s="196"/>
      <c r="L8410" s="196">
        <v>96990</v>
      </c>
    </row>
    <row r="8411" spans="1:15" ht="11.25" customHeight="1" x14ac:dyDescent="0.2">
      <c r="A8411" s="197">
        <v>2025</v>
      </c>
      <c r="B8411" s="197">
        <v>5</v>
      </c>
      <c r="C8411" s="197">
        <v>24</v>
      </c>
      <c r="D8411" s="198">
        <f t="shared" si="975"/>
        <v>45801</v>
      </c>
      <c r="E8411" s="290">
        <f>DATE(A8411,B8411,C8411)</f>
        <v>45801</v>
      </c>
      <c r="F8411" s="513" t="s">
        <v>1527</v>
      </c>
      <c r="G8411" s="200" t="s">
        <v>1209</v>
      </c>
      <c r="H8411" s="201"/>
      <c r="I8411" s="201"/>
      <c r="J8411" s="197" t="s">
        <v>54</v>
      </c>
      <c r="K8411" s="202">
        <v>10</v>
      </c>
      <c r="L8411" s="202"/>
      <c r="M8411" s="251"/>
      <c r="N8411" s="251"/>
      <c r="O8411" s="251"/>
    </row>
    <row r="8412" spans="1:15" ht="11.25" customHeight="1" x14ac:dyDescent="0.2">
      <c r="A8412" s="191">
        <v>2025</v>
      </c>
      <c r="B8412" s="191">
        <v>5</v>
      </c>
      <c r="C8412" s="191">
        <v>24</v>
      </c>
      <c r="D8412" s="192">
        <f t="shared" si="975"/>
        <v>45801</v>
      </c>
      <c r="E8412" s="291">
        <f>DATE(A8412,B8412,C8412)</f>
        <v>45801</v>
      </c>
      <c r="F8412" s="514"/>
      <c r="G8412" s="194" t="s">
        <v>1209</v>
      </c>
      <c r="H8412" s="195"/>
      <c r="I8412" s="195"/>
      <c r="J8412" s="191" t="s">
        <v>46</v>
      </c>
      <c r="K8412" s="196"/>
      <c r="L8412" s="196">
        <v>10</v>
      </c>
      <c r="M8412" s="251"/>
      <c r="N8412" s="251"/>
      <c r="O8412" s="251"/>
    </row>
    <row r="8413" spans="1:15" ht="11.25" customHeight="1" x14ac:dyDescent="0.2">
      <c r="A8413" s="197">
        <v>2025</v>
      </c>
      <c r="B8413" s="197">
        <v>5</v>
      </c>
      <c r="C8413" s="197">
        <v>25</v>
      </c>
      <c r="D8413" s="198">
        <f t="shared" si="975"/>
        <v>45802</v>
      </c>
      <c r="E8413" s="209">
        <f t="shared" ref="E8413:E8424" si="980">DATE(A8413,B8413,C8413)</f>
        <v>45802</v>
      </c>
      <c r="F8413" s="513" t="s">
        <v>1423</v>
      </c>
      <c r="G8413" s="200" t="s">
        <v>1209</v>
      </c>
      <c r="H8413" s="201"/>
      <c r="I8413" s="201" t="s">
        <v>1572</v>
      </c>
      <c r="J8413" s="197" t="s">
        <v>16</v>
      </c>
      <c r="K8413" s="202">
        <v>4030</v>
      </c>
      <c r="L8413" s="202"/>
      <c r="M8413" s="130"/>
      <c r="N8413" s="130"/>
    </row>
    <row r="8414" spans="1:15" ht="11.25" customHeight="1" x14ac:dyDescent="0.2">
      <c r="A8414" s="120">
        <v>2025</v>
      </c>
      <c r="B8414" s="120">
        <v>5</v>
      </c>
      <c r="C8414" s="120">
        <v>25</v>
      </c>
      <c r="D8414" s="208">
        <f t="shared" si="975"/>
        <v>45802</v>
      </c>
      <c r="E8414" s="209">
        <f t="shared" si="980"/>
        <v>45802</v>
      </c>
      <c r="F8414" s="515"/>
      <c r="G8414" s="132" t="s">
        <v>1209</v>
      </c>
      <c r="I8414" s="128" t="s">
        <v>1572</v>
      </c>
      <c r="J8414" s="120" t="s">
        <v>47</v>
      </c>
      <c r="K8414" s="207">
        <v>970</v>
      </c>
      <c r="L8414" s="207"/>
      <c r="M8414" s="130"/>
      <c r="N8414" s="130"/>
    </row>
    <row r="8415" spans="1:15" ht="11.25" customHeight="1" x14ac:dyDescent="0.2">
      <c r="A8415" s="191">
        <v>2025</v>
      </c>
      <c r="B8415" s="191">
        <v>5</v>
      </c>
      <c r="C8415" s="191">
        <v>25</v>
      </c>
      <c r="D8415" s="192">
        <f t="shared" si="975"/>
        <v>45802</v>
      </c>
      <c r="E8415" s="193">
        <f t="shared" si="980"/>
        <v>45802</v>
      </c>
      <c r="F8415" s="514"/>
      <c r="G8415" s="194" t="s">
        <v>1209</v>
      </c>
      <c r="H8415" s="195"/>
      <c r="I8415" s="195" t="s">
        <v>1572</v>
      </c>
      <c r="J8415" s="191" t="s">
        <v>46</v>
      </c>
      <c r="K8415" s="196"/>
      <c r="L8415" s="196">
        <v>5000</v>
      </c>
      <c r="M8415" s="130"/>
      <c r="N8415" s="130"/>
    </row>
    <row r="8416" spans="1:15" ht="11.25" customHeight="1" x14ac:dyDescent="0.2">
      <c r="A8416" s="197">
        <v>2025</v>
      </c>
      <c r="B8416" s="197">
        <v>5</v>
      </c>
      <c r="C8416" s="197">
        <v>25</v>
      </c>
      <c r="D8416" s="198">
        <f t="shared" si="975"/>
        <v>45802</v>
      </c>
      <c r="E8416" s="209">
        <f t="shared" si="980"/>
        <v>45802</v>
      </c>
      <c r="F8416" s="513" t="s">
        <v>1280</v>
      </c>
      <c r="G8416" s="200" t="s">
        <v>1209</v>
      </c>
      <c r="H8416" s="201"/>
      <c r="I8416" s="201" t="s">
        <v>379</v>
      </c>
      <c r="J8416" s="197" t="s">
        <v>16</v>
      </c>
      <c r="K8416" s="202">
        <v>240620</v>
      </c>
      <c r="L8416" s="202"/>
    </row>
    <row r="8417" spans="1:15" ht="11.25" customHeight="1" x14ac:dyDescent="0.2">
      <c r="A8417" s="120">
        <v>2025</v>
      </c>
      <c r="B8417" s="120">
        <v>5</v>
      </c>
      <c r="C8417" s="120">
        <v>25</v>
      </c>
      <c r="D8417" s="208">
        <f t="shared" si="975"/>
        <v>45802</v>
      </c>
      <c r="E8417" s="209">
        <f t="shared" si="980"/>
        <v>45802</v>
      </c>
      <c r="F8417" s="515"/>
      <c r="G8417" s="132" t="s">
        <v>1209</v>
      </c>
      <c r="I8417" s="128" t="s">
        <v>379</v>
      </c>
      <c r="J8417" s="120" t="s">
        <v>47</v>
      </c>
      <c r="K8417" s="207">
        <v>59380</v>
      </c>
      <c r="L8417" s="207"/>
    </row>
    <row r="8418" spans="1:15" ht="11.25" customHeight="1" x14ac:dyDescent="0.2">
      <c r="A8418" s="191">
        <v>2025</v>
      </c>
      <c r="B8418" s="191">
        <v>5</v>
      </c>
      <c r="C8418" s="191">
        <v>25</v>
      </c>
      <c r="D8418" s="192">
        <f t="shared" si="975"/>
        <v>45802</v>
      </c>
      <c r="E8418" s="193">
        <f t="shared" si="980"/>
        <v>45802</v>
      </c>
      <c r="F8418" s="514"/>
      <c r="G8418" s="194" t="s">
        <v>1209</v>
      </c>
      <c r="H8418" s="195"/>
      <c r="I8418" s="195" t="s">
        <v>379</v>
      </c>
      <c r="J8418" s="191" t="s">
        <v>46</v>
      </c>
      <c r="K8418" s="196"/>
      <c r="L8418" s="196">
        <v>300000</v>
      </c>
    </row>
    <row r="8419" spans="1:15" ht="11.25" customHeight="1" x14ac:dyDescent="0.2">
      <c r="A8419" s="197">
        <v>2025</v>
      </c>
      <c r="B8419" s="197">
        <v>5</v>
      </c>
      <c r="C8419" s="197">
        <v>25</v>
      </c>
      <c r="D8419" s="198">
        <f t="shared" si="975"/>
        <v>45802</v>
      </c>
      <c r="E8419" s="209">
        <f t="shared" si="980"/>
        <v>45802</v>
      </c>
      <c r="F8419" s="513" t="s">
        <v>1210</v>
      </c>
      <c r="G8419" s="200" t="s">
        <v>1209</v>
      </c>
      <c r="H8419" s="201"/>
      <c r="I8419" s="201"/>
      <c r="J8419" s="197" t="s">
        <v>46</v>
      </c>
      <c r="K8419" s="202">
        <v>70000</v>
      </c>
      <c r="L8419" s="202"/>
    </row>
    <row r="8420" spans="1:15" ht="11.25" customHeight="1" x14ac:dyDescent="0.2">
      <c r="A8420" s="120">
        <v>2025</v>
      </c>
      <c r="B8420" s="120">
        <v>5</v>
      </c>
      <c r="C8420" s="120">
        <v>25</v>
      </c>
      <c r="D8420" s="208">
        <f t="shared" si="975"/>
        <v>45802</v>
      </c>
      <c r="E8420" s="209">
        <f t="shared" si="980"/>
        <v>45802</v>
      </c>
      <c r="F8420" s="515"/>
      <c r="G8420" s="132" t="s">
        <v>1209</v>
      </c>
      <c r="J8420" s="120" t="s">
        <v>16</v>
      </c>
      <c r="K8420" s="207"/>
      <c r="L8420" s="207">
        <v>56140</v>
      </c>
    </row>
    <row r="8421" spans="1:15" ht="11.25" customHeight="1" x14ac:dyDescent="0.2">
      <c r="A8421" s="191">
        <v>2025</v>
      </c>
      <c r="B8421" s="191">
        <v>5</v>
      </c>
      <c r="C8421" s="191">
        <v>25</v>
      </c>
      <c r="D8421" s="192">
        <f t="shared" si="975"/>
        <v>45802</v>
      </c>
      <c r="E8421" s="193">
        <f t="shared" si="980"/>
        <v>45802</v>
      </c>
      <c r="F8421" s="514"/>
      <c r="G8421" s="194" t="s">
        <v>1209</v>
      </c>
      <c r="H8421" s="195"/>
      <c r="I8421" s="195"/>
      <c r="J8421" s="191" t="s">
        <v>47</v>
      </c>
      <c r="K8421" s="196"/>
      <c r="L8421" s="196">
        <v>13860</v>
      </c>
    </row>
    <row r="8422" spans="1:15" ht="11.25" customHeight="1" x14ac:dyDescent="0.2">
      <c r="A8422" s="197">
        <v>2025</v>
      </c>
      <c r="B8422" s="197">
        <v>5</v>
      </c>
      <c r="C8422" s="197">
        <v>26</v>
      </c>
      <c r="D8422" s="198">
        <f t="shared" si="975"/>
        <v>45803</v>
      </c>
      <c r="E8422" s="209">
        <f t="shared" si="980"/>
        <v>45803</v>
      </c>
      <c r="F8422" s="513" t="s">
        <v>1296</v>
      </c>
      <c r="G8422" s="200" t="s">
        <v>1209</v>
      </c>
      <c r="H8422" s="201"/>
      <c r="I8422" s="201" t="s">
        <v>2030</v>
      </c>
      <c r="J8422" s="197" t="s">
        <v>46</v>
      </c>
      <c r="K8422" s="202">
        <v>384640</v>
      </c>
      <c r="L8422" s="202"/>
    </row>
    <row r="8423" spans="1:15" ht="11.25" customHeight="1" x14ac:dyDescent="0.2">
      <c r="A8423" s="120">
        <v>2025</v>
      </c>
      <c r="B8423" s="120">
        <v>5</v>
      </c>
      <c r="C8423" s="120">
        <v>26</v>
      </c>
      <c r="D8423" s="208">
        <f t="shared" si="975"/>
        <v>45803</v>
      </c>
      <c r="E8423" s="209">
        <f t="shared" si="980"/>
        <v>45803</v>
      </c>
      <c r="F8423" s="515"/>
      <c r="G8423" s="132" t="s">
        <v>1209</v>
      </c>
      <c r="I8423" s="128" t="s">
        <v>2030</v>
      </c>
      <c r="J8423" s="120" t="s">
        <v>16</v>
      </c>
      <c r="K8423" s="207"/>
      <c r="L8423" s="207">
        <v>308480</v>
      </c>
    </row>
    <row r="8424" spans="1:15" ht="11.25" customHeight="1" x14ac:dyDescent="0.2">
      <c r="A8424" s="191">
        <v>2025</v>
      </c>
      <c r="B8424" s="191">
        <v>5</v>
      </c>
      <c r="C8424" s="191">
        <v>26</v>
      </c>
      <c r="D8424" s="192">
        <f t="shared" si="975"/>
        <v>45803</v>
      </c>
      <c r="E8424" s="193">
        <f t="shared" si="980"/>
        <v>45803</v>
      </c>
      <c r="F8424" s="514"/>
      <c r="G8424" s="194" t="s">
        <v>1209</v>
      </c>
      <c r="H8424" s="195"/>
      <c r="I8424" s="195" t="s">
        <v>2030</v>
      </c>
      <c r="J8424" s="191" t="s">
        <v>47</v>
      </c>
      <c r="K8424" s="196"/>
      <c r="L8424" s="196">
        <v>76160</v>
      </c>
    </row>
    <row r="8425" spans="1:15" ht="11.25" customHeight="1" x14ac:dyDescent="0.2">
      <c r="A8425" s="197">
        <v>2025</v>
      </c>
      <c r="B8425" s="197">
        <v>5</v>
      </c>
      <c r="C8425" s="197">
        <v>26</v>
      </c>
      <c r="D8425" s="198">
        <f t="shared" si="975"/>
        <v>45803</v>
      </c>
      <c r="E8425" s="209">
        <f t="shared" ref="E8425:E8427" si="981">DATE(A8425,B8425,C8425)</f>
        <v>45803</v>
      </c>
      <c r="F8425" s="513" t="s">
        <v>1280</v>
      </c>
      <c r="G8425" s="200" t="s">
        <v>1209</v>
      </c>
      <c r="H8425" s="201"/>
      <c r="I8425" s="201" t="s">
        <v>1427</v>
      </c>
      <c r="J8425" s="197" t="s">
        <v>16</v>
      </c>
      <c r="K8425" s="202">
        <v>241900</v>
      </c>
      <c r="L8425" s="202"/>
    </row>
    <row r="8426" spans="1:15" ht="11.25" customHeight="1" x14ac:dyDescent="0.2">
      <c r="A8426" s="120">
        <v>2025</v>
      </c>
      <c r="B8426" s="120">
        <v>5</v>
      </c>
      <c r="C8426" s="120">
        <v>26</v>
      </c>
      <c r="D8426" s="208">
        <f t="shared" si="975"/>
        <v>45803</v>
      </c>
      <c r="E8426" s="209">
        <f t="shared" si="981"/>
        <v>45803</v>
      </c>
      <c r="F8426" s="515"/>
      <c r="G8426" s="132" t="s">
        <v>1209</v>
      </c>
      <c r="I8426" s="128" t="s">
        <v>1427</v>
      </c>
      <c r="J8426" s="120" t="s">
        <v>47</v>
      </c>
      <c r="K8426" s="207">
        <v>59700.919999999984</v>
      </c>
      <c r="L8426" s="207"/>
    </row>
    <row r="8427" spans="1:15" ht="11.25" customHeight="1" x14ac:dyDescent="0.2">
      <c r="A8427" s="191">
        <v>2025</v>
      </c>
      <c r="B8427" s="191">
        <v>5</v>
      </c>
      <c r="C8427" s="191">
        <v>26</v>
      </c>
      <c r="D8427" s="192">
        <f t="shared" si="975"/>
        <v>45803</v>
      </c>
      <c r="E8427" s="193">
        <f t="shared" si="981"/>
        <v>45803</v>
      </c>
      <c r="F8427" s="514"/>
      <c r="G8427" s="194" t="s">
        <v>1209</v>
      </c>
      <c r="H8427" s="195"/>
      <c r="I8427" s="195" t="s">
        <v>1427</v>
      </c>
      <c r="J8427" s="191" t="s">
        <v>46</v>
      </c>
      <c r="K8427" s="196"/>
      <c r="L8427" s="196">
        <v>301600.92</v>
      </c>
    </row>
    <row r="8428" spans="1:15" ht="11.25" customHeight="1" x14ac:dyDescent="0.2">
      <c r="A8428" s="197">
        <v>2025</v>
      </c>
      <c r="B8428" s="197">
        <v>5</v>
      </c>
      <c r="C8428" s="197">
        <v>26</v>
      </c>
      <c r="D8428" s="198">
        <f t="shared" ref="D8428:D8491" si="982">DATE(A8428,B8428,C8428)</f>
        <v>45803</v>
      </c>
      <c r="E8428" s="199">
        <f>DATE(A8428,B8428,C8428)</f>
        <v>45803</v>
      </c>
      <c r="F8428" s="513" t="s">
        <v>1279</v>
      </c>
      <c r="G8428" s="200" t="s">
        <v>1209</v>
      </c>
      <c r="H8428" s="201"/>
      <c r="I8428" s="201" t="s">
        <v>1253</v>
      </c>
      <c r="J8428" s="197" t="s">
        <v>76</v>
      </c>
      <c r="K8428" s="202">
        <v>5000000</v>
      </c>
      <c r="L8428" s="202"/>
    </row>
    <row r="8429" spans="1:15" ht="11.25" customHeight="1" x14ac:dyDescent="0.2">
      <c r="A8429" s="191">
        <v>2025</v>
      </c>
      <c r="B8429" s="191">
        <v>5</v>
      </c>
      <c r="C8429" s="191">
        <v>26</v>
      </c>
      <c r="D8429" s="192">
        <f t="shared" si="982"/>
        <v>45803</v>
      </c>
      <c r="E8429" s="193">
        <f>DATE(A8429,B8429,C8429)</f>
        <v>45803</v>
      </c>
      <c r="F8429" s="514"/>
      <c r="G8429" s="194" t="s">
        <v>1209</v>
      </c>
      <c r="H8429" s="195"/>
      <c r="I8429" s="195" t="s">
        <v>1253</v>
      </c>
      <c r="J8429" s="191" t="s">
        <v>46</v>
      </c>
      <c r="K8429" s="196"/>
      <c r="L8429" s="196">
        <v>5000000</v>
      </c>
    </row>
    <row r="8430" spans="1:15" ht="11.25" customHeight="1" x14ac:dyDescent="0.2">
      <c r="A8430" s="197">
        <v>2025</v>
      </c>
      <c r="B8430" s="197">
        <v>5</v>
      </c>
      <c r="C8430" s="197">
        <v>27</v>
      </c>
      <c r="D8430" s="198">
        <f t="shared" si="982"/>
        <v>45804</v>
      </c>
      <c r="E8430" s="290">
        <f>DATE(A8430,B8430,C8430)</f>
        <v>45804</v>
      </c>
      <c r="F8430" s="513" t="s">
        <v>1527</v>
      </c>
      <c r="G8430" s="200" t="s">
        <v>1209</v>
      </c>
      <c r="H8430" s="201"/>
      <c r="I8430" s="201"/>
      <c r="J8430" s="197" t="s">
        <v>54</v>
      </c>
      <c r="K8430" s="202">
        <v>120</v>
      </c>
      <c r="L8430" s="202"/>
      <c r="M8430" s="251"/>
      <c r="N8430" s="251"/>
      <c r="O8430" s="251"/>
    </row>
    <row r="8431" spans="1:15" ht="11.25" customHeight="1" x14ac:dyDescent="0.2">
      <c r="A8431" s="191">
        <v>2025</v>
      </c>
      <c r="B8431" s="191">
        <v>5</v>
      </c>
      <c r="C8431" s="191">
        <v>27</v>
      </c>
      <c r="D8431" s="192">
        <f t="shared" si="982"/>
        <v>45804</v>
      </c>
      <c r="E8431" s="291">
        <f>DATE(A8431,B8431,C8431)</f>
        <v>45804</v>
      </c>
      <c r="F8431" s="514"/>
      <c r="G8431" s="194" t="s">
        <v>1209</v>
      </c>
      <c r="H8431" s="195"/>
      <c r="I8431" s="195"/>
      <c r="J8431" s="191" t="s">
        <v>46</v>
      </c>
      <c r="K8431" s="196"/>
      <c r="L8431" s="196">
        <v>120</v>
      </c>
      <c r="M8431" s="251"/>
      <c r="N8431" s="251"/>
      <c r="O8431" s="251"/>
    </row>
    <row r="8432" spans="1:15" ht="11.25" customHeight="1" x14ac:dyDescent="0.2">
      <c r="A8432" s="197">
        <v>2025</v>
      </c>
      <c r="B8432" s="197">
        <v>5</v>
      </c>
      <c r="C8432" s="197">
        <v>27</v>
      </c>
      <c r="D8432" s="198">
        <f t="shared" si="982"/>
        <v>45804</v>
      </c>
      <c r="E8432" s="209">
        <f t="shared" ref="E8432:E8434" si="983">DATE(A8432,B8432,C8432)</f>
        <v>45804</v>
      </c>
      <c r="F8432" s="513" t="s">
        <v>1210</v>
      </c>
      <c r="G8432" s="200" t="s">
        <v>1209</v>
      </c>
      <c r="H8432" s="201"/>
      <c r="I8432" s="201"/>
      <c r="J8432" s="197" t="s">
        <v>46</v>
      </c>
      <c r="K8432" s="202">
        <v>1010000</v>
      </c>
      <c r="L8432" s="202"/>
    </row>
    <row r="8433" spans="1:15" ht="11.25" customHeight="1" x14ac:dyDescent="0.2">
      <c r="A8433" s="120">
        <v>2025</v>
      </c>
      <c r="B8433" s="120">
        <v>5</v>
      </c>
      <c r="C8433" s="120">
        <v>27</v>
      </c>
      <c r="D8433" s="208">
        <f t="shared" si="982"/>
        <v>45804</v>
      </c>
      <c r="E8433" s="209">
        <f t="shared" si="983"/>
        <v>45804</v>
      </c>
      <c r="F8433" s="515"/>
      <c r="G8433" s="132" t="s">
        <v>1209</v>
      </c>
      <c r="J8433" s="120" t="s">
        <v>16</v>
      </c>
      <c r="K8433" s="207"/>
      <c r="L8433" s="207">
        <v>810070</v>
      </c>
    </row>
    <row r="8434" spans="1:15" ht="11.25" customHeight="1" x14ac:dyDescent="0.2">
      <c r="A8434" s="191">
        <v>2025</v>
      </c>
      <c r="B8434" s="191">
        <v>5</v>
      </c>
      <c r="C8434" s="191">
        <v>27</v>
      </c>
      <c r="D8434" s="192">
        <f t="shared" si="982"/>
        <v>45804</v>
      </c>
      <c r="E8434" s="193">
        <f t="shared" si="983"/>
        <v>45804</v>
      </c>
      <c r="F8434" s="514"/>
      <c r="G8434" s="194" t="s">
        <v>1209</v>
      </c>
      <c r="H8434" s="195"/>
      <c r="I8434" s="195"/>
      <c r="J8434" s="191" t="s">
        <v>47</v>
      </c>
      <c r="K8434" s="196"/>
      <c r="L8434" s="196">
        <v>199930</v>
      </c>
    </row>
    <row r="8435" spans="1:15" ht="11.25" customHeight="1" x14ac:dyDescent="0.2">
      <c r="A8435" s="197">
        <v>2025</v>
      </c>
      <c r="B8435" s="197">
        <v>5</v>
      </c>
      <c r="C8435" s="197">
        <v>28</v>
      </c>
      <c r="D8435" s="198">
        <f t="shared" si="982"/>
        <v>45805</v>
      </c>
      <c r="E8435" s="209">
        <f t="shared" ref="E8435:E8437" si="984">DATE(A8435,B8435,C8435)</f>
        <v>45805</v>
      </c>
      <c r="F8435" s="513" t="s">
        <v>1210</v>
      </c>
      <c r="G8435" s="200" t="s">
        <v>1209</v>
      </c>
      <c r="H8435" s="201"/>
      <c r="I8435" s="201" t="s">
        <v>349</v>
      </c>
      <c r="J8435" s="197" t="s">
        <v>46</v>
      </c>
      <c r="K8435" s="202">
        <v>200000</v>
      </c>
      <c r="L8435" s="202"/>
    </row>
    <row r="8436" spans="1:15" ht="11.25" customHeight="1" x14ac:dyDescent="0.2">
      <c r="A8436" s="120">
        <v>2025</v>
      </c>
      <c r="B8436" s="120">
        <v>5</v>
      </c>
      <c r="C8436" s="120">
        <v>28</v>
      </c>
      <c r="D8436" s="208">
        <f t="shared" si="982"/>
        <v>45805</v>
      </c>
      <c r="E8436" s="209">
        <f t="shared" si="984"/>
        <v>45805</v>
      </c>
      <c r="F8436" s="515"/>
      <c r="G8436" s="132" t="s">
        <v>1209</v>
      </c>
      <c r="I8436" s="128" t="s">
        <v>349</v>
      </c>
      <c r="J8436" s="120" t="s">
        <v>16</v>
      </c>
      <c r="K8436" s="207"/>
      <c r="L8436" s="207">
        <v>160410</v>
      </c>
    </row>
    <row r="8437" spans="1:15" ht="11.25" customHeight="1" x14ac:dyDescent="0.2">
      <c r="A8437" s="191">
        <v>2025</v>
      </c>
      <c r="B8437" s="191">
        <v>5</v>
      </c>
      <c r="C8437" s="191">
        <v>28</v>
      </c>
      <c r="D8437" s="192">
        <f t="shared" si="982"/>
        <v>45805</v>
      </c>
      <c r="E8437" s="193">
        <f t="shared" si="984"/>
        <v>45805</v>
      </c>
      <c r="F8437" s="514"/>
      <c r="G8437" s="194" t="s">
        <v>1209</v>
      </c>
      <c r="H8437" s="195"/>
      <c r="I8437" s="195" t="s">
        <v>349</v>
      </c>
      <c r="J8437" s="191" t="s">
        <v>47</v>
      </c>
      <c r="K8437" s="196"/>
      <c r="L8437" s="196">
        <v>39590</v>
      </c>
    </row>
    <row r="8438" spans="1:15" ht="11.25" customHeight="1" x14ac:dyDescent="0.2">
      <c r="A8438" s="197">
        <v>2025</v>
      </c>
      <c r="B8438" s="197">
        <v>5</v>
      </c>
      <c r="C8438" s="197">
        <v>28</v>
      </c>
      <c r="D8438" s="198">
        <f t="shared" si="982"/>
        <v>45805</v>
      </c>
      <c r="E8438" s="209">
        <f t="shared" ref="E8438:E8440" si="985">DATE(A8438,B8438,C8438)</f>
        <v>45805</v>
      </c>
      <c r="F8438" s="513" t="s">
        <v>1210</v>
      </c>
      <c r="G8438" s="200" t="s">
        <v>1209</v>
      </c>
      <c r="H8438" s="201"/>
      <c r="I8438" s="201"/>
      <c r="J8438" s="197" t="s">
        <v>46</v>
      </c>
      <c r="K8438" s="202">
        <v>300000</v>
      </c>
      <c r="L8438" s="202"/>
    </row>
    <row r="8439" spans="1:15" ht="11.25" customHeight="1" x14ac:dyDescent="0.2">
      <c r="A8439" s="120">
        <v>2025</v>
      </c>
      <c r="B8439" s="120">
        <v>5</v>
      </c>
      <c r="C8439" s="120">
        <v>28</v>
      </c>
      <c r="D8439" s="208">
        <f t="shared" si="982"/>
        <v>45805</v>
      </c>
      <c r="E8439" s="209">
        <f t="shared" si="985"/>
        <v>45805</v>
      </c>
      <c r="F8439" s="515"/>
      <c r="G8439" s="132" t="s">
        <v>1209</v>
      </c>
      <c r="J8439" s="120" t="s">
        <v>16</v>
      </c>
      <c r="K8439" s="207"/>
      <c r="L8439" s="207">
        <v>240620</v>
      </c>
    </row>
    <row r="8440" spans="1:15" ht="11.25" customHeight="1" x14ac:dyDescent="0.2">
      <c r="A8440" s="191">
        <v>2025</v>
      </c>
      <c r="B8440" s="191">
        <v>5</v>
      </c>
      <c r="C8440" s="191">
        <v>28</v>
      </c>
      <c r="D8440" s="192">
        <f t="shared" si="982"/>
        <v>45805</v>
      </c>
      <c r="E8440" s="193">
        <f t="shared" si="985"/>
        <v>45805</v>
      </c>
      <c r="F8440" s="514"/>
      <c r="G8440" s="194" t="s">
        <v>1209</v>
      </c>
      <c r="H8440" s="195"/>
      <c r="I8440" s="195"/>
      <c r="J8440" s="191" t="s">
        <v>47</v>
      </c>
      <c r="K8440" s="196"/>
      <c r="L8440" s="196">
        <v>59380</v>
      </c>
    </row>
    <row r="8441" spans="1:15" ht="11.25" customHeight="1" x14ac:dyDescent="0.2">
      <c r="A8441" s="197">
        <v>2025</v>
      </c>
      <c r="B8441" s="197">
        <v>5</v>
      </c>
      <c r="C8441" s="197">
        <v>28</v>
      </c>
      <c r="D8441" s="198">
        <f t="shared" si="982"/>
        <v>45805</v>
      </c>
      <c r="E8441" s="209">
        <f t="shared" ref="E8441:E8443" si="986">DATE(A8441,B8441,C8441)</f>
        <v>45805</v>
      </c>
      <c r="F8441" s="513" t="s">
        <v>1210</v>
      </c>
      <c r="G8441" s="200" t="s">
        <v>1209</v>
      </c>
      <c r="H8441" s="201"/>
      <c r="I8441" s="201" t="s">
        <v>1647</v>
      </c>
      <c r="J8441" s="197" t="s">
        <v>46</v>
      </c>
      <c r="K8441" s="202">
        <v>110000</v>
      </c>
      <c r="L8441" s="202"/>
    </row>
    <row r="8442" spans="1:15" ht="11.25" customHeight="1" x14ac:dyDescent="0.2">
      <c r="A8442" s="120">
        <v>2025</v>
      </c>
      <c r="B8442" s="120">
        <v>5</v>
      </c>
      <c r="C8442" s="120">
        <v>28</v>
      </c>
      <c r="D8442" s="208">
        <f t="shared" si="982"/>
        <v>45805</v>
      </c>
      <c r="E8442" s="209">
        <f t="shared" si="986"/>
        <v>45805</v>
      </c>
      <c r="F8442" s="515"/>
      <c r="G8442" s="132" t="s">
        <v>1209</v>
      </c>
      <c r="I8442" s="128" t="s">
        <v>1647</v>
      </c>
      <c r="J8442" s="120" t="s">
        <v>16</v>
      </c>
      <c r="K8442" s="207"/>
      <c r="L8442" s="207">
        <v>88230</v>
      </c>
    </row>
    <row r="8443" spans="1:15" ht="11.25" customHeight="1" x14ac:dyDescent="0.2">
      <c r="A8443" s="191">
        <v>2025</v>
      </c>
      <c r="B8443" s="191">
        <v>5</v>
      </c>
      <c r="C8443" s="191">
        <v>28</v>
      </c>
      <c r="D8443" s="192">
        <f t="shared" si="982"/>
        <v>45805</v>
      </c>
      <c r="E8443" s="193">
        <f t="shared" si="986"/>
        <v>45805</v>
      </c>
      <c r="F8443" s="514"/>
      <c r="G8443" s="194" t="s">
        <v>1209</v>
      </c>
      <c r="H8443" s="195"/>
      <c r="I8443" s="195" t="s">
        <v>1647</v>
      </c>
      <c r="J8443" s="191" t="s">
        <v>47</v>
      </c>
      <c r="K8443" s="196"/>
      <c r="L8443" s="196">
        <v>21770</v>
      </c>
    </row>
    <row r="8444" spans="1:15" ht="11.25" customHeight="1" x14ac:dyDescent="0.2">
      <c r="A8444" s="197">
        <v>2025</v>
      </c>
      <c r="B8444" s="197">
        <v>5</v>
      </c>
      <c r="C8444" s="197">
        <v>28</v>
      </c>
      <c r="D8444" s="198">
        <f t="shared" si="982"/>
        <v>45805</v>
      </c>
      <c r="E8444" s="209">
        <f t="shared" ref="E8444:E8446" si="987">DATE(A8444,B8444,C8444)</f>
        <v>45805</v>
      </c>
      <c r="F8444" s="513" t="s">
        <v>1210</v>
      </c>
      <c r="G8444" s="200" t="s">
        <v>1209</v>
      </c>
      <c r="H8444" s="201"/>
      <c r="I8444" s="201" t="s">
        <v>1235</v>
      </c>
      <c r="J8444" s="197" t="s">
        <v>46</v>
      </c>
      <c r="K8444" s="202">
        <v>70000</v>
      </c>
      <c r="L8444" s="202"/>
    </row>
    <row r="8445" spans="1:15" ht="11.25" customHeight="1" x14ac:dyDescent="0.2">
      <c r="A8445" s="120">
        <v>2025</v>
      </c>
      <c r="B8445" s="120">
        <v>5</v>
      </c>
      <c r="C8445" s="120">
        <v>28</v>
      </c>
      <c r="D8445" s="208">
        <f t="shared" si="982"/>
        <v>45805</v>
      </c>
      <c r="E8445" s="209">
        <f t="shared" si="987"/>
        <v>45805</v>
      </c>
      <c r="F8445" s="515"/>
      <c r="G8445" s="132" t="s">
        <v>1209</v>
      </c>
      <c r="I8445" s="128" t="s">
        <v>1235</v>
      </c>
      <c r="J8445" s="120" t="s">
        <v>16</v>
      </c>
      <c r="K8445" s="207"/>
      <c r="L8445" s="207">
        <v>56140</v>
      </c>
    </row>
    <row r="8446" spans="1:15" ht="11.25" customHeight="1" x14ac:dyDescent="0.2">
      <c r="A8446" s="191">
        <v>2025</v>
      </c>
      <c r="B8446" s="191">
        <v>5</v>
      </c>
      <c r="C8446" s="191">
        <v>28</v>
      </c>
      <c r="D8446" s="192">
        <f t="shared" si="982"/>
        <v>45805</v>
      </c>
      <c r="E8446" s="193">
        <f t="shared" si="987"/>
        <v>45805</v>
      </c>
      <c r="F8446" s="514"/>
      <c r="G8446" s="194" t="s">
        <v>1209</v>
      </c>
      <c r="H8446" s="195"/>
      <c r="I8446" s="195" t="s">
        <v>1235</v>
      </c>
      <c r="J8446" s="191" t="s">
        <v>47</v>
      </c>
      <c r="K8446" s="196"/>
      <c r="L8446" s="196">
        <v>13860</v>
      </c>
    </row>
    <row r="8447" spans="1:15" ht="11.25" customHeight="1" x14ac:dyDescent="0.2">
      <c r="A8447" s="197">
        <v>2025</v>
      </c>
      <c r="B8447" s="197">
        <v>5</v>
      </c>
      <c r="C8447" s="197">
        <v>28</v>
      </c>
      <c r="D8447" s="198">
        <f t="shared" si="982"/>
        <v>45805</v>
      </c>
      <c r="E8447" s="290">
        <f>DATE(A8447,B8447,C8447)</f>
        <v>45805</v>
      </c>
      <c r="F8447" s="513" t="s">
        <v>1514</v>
      </c>
      <c r="G8447" s="200" t="s">
        <v>1209</v>
      </c>
      <c r="H8447" s="201"/>
      <c r="I8447" s="201"/>
      <c r="J8447" s="197" t="s">
        <v>54</v>
      </c>
      <c r="K8447" s="202">
        <v>10</v>
      </c>
      <c r="L8447" s="202"/>
      <c r="M8447" s="251"/>
      <c r="N8447" s="251"/>
      <c r="O8447" s="251"/>
    </row>
    <row r="8448" spans="1:15" ht="11.25" customHeight="1" x14ac:dyDescent="0.2">
      <c r="A8448" s="191">
        <v>2025</v>
      </c>
      <c r="B8448" s="191">
        <v>5</v>
      </c>
      <c r="C8448" s="191">
        <v>28</v>
      </c>
      <c r="D8448" s="192">
        <f t="shared" si="982"/>
        <v>45805</v>
      </c>
      <c r="E8448" s="291">
        <f>DATE(A8448,B8448,C8448)</f>
        <v>45805</v>
      </c>
      <c r="F8448" s="514"/>
      <c r="G8448" s="194" t="s">
        <v>1209</v>
      </c>
      <c r="H8448" s="195"/>
      <c r="I8448" s="195"/>
      <c r="J8448" s="191" t="s">
        <v>46</v>
      </c>
      <c r="K8448" s="196"/>
      <c r="L8448" s="196">
        <v>10</v>
      </c>
      <c r="M8448" s="251"/>
      <c r="N8448" s="251"/>
      <c r="O8448" s="251"/>
    </row>
    <row r="8449" spans="1:14" ht="11.25" customHeight="1" x14ac:dyDescent="0.2">
      <c r="A8449" s="197">
        <v>2025</v>
      </c>
      <c r="B8449" s="197">
        <v>5</v>
      </c>
      <c r="C8449" s="197">
        <v>29</v>
      </c>
      <c r="D8449" s="198">
        <f t="shared" si="982"/>
        <v>45806</v>
      </c>
      <c r="E8449" s="199">
        <f>DATE(A8449,B8449,C8449)</f>
        <v>45806</v>
      </c>
      <c r="F8449" s="513" t="s">
        <v>2054</v>
      </c>
      <c r="G8449" s="200" t="s">
        <v>1209</v>
      </c>
      <c r="H8449" s="201"/>
      <c r="I8449" s="201" t="s">
        <v>1253</v>
      </c>
      <c r="J8449" s="197" t="s">
        <v>76</v>
      </c>
      <c r="K8449" s="202">
        <v>5000000</v>
      </c>
      <c r="L8449" s="202"/>
    </row>
    <row r="8450" spans="1:14" ht="11.25" customHeight="1" x14ac:dyDescent="0.2">
      <c r="A8450" s="191">
        <v>2025</v>
      </c>
      <c r="B8450" s="191">
        <v>5</v>
      </c>
      <c r="C8450" s="191">
        <v>29</v>
      </c>
      <c r="D8450" s="192">
        <f t="shared" si="982"/>
        <v>45806</v>
      </c>
      <c r="E8450" s="193">
        <f>DATE(A8450,B8450,C8450)</f>
        <v>45806</v>
      </c>
      <c r="F8450" s="514"/>
      <c r="G8450" s="194" t="s">
        <v>1209</v>
      </c>
      <c r="H8450" s="195"/>
      <c r="I8450" s="195" t="s">
        <v>1253</v>
      </c>
      <c r="J8450" s="191" t="s">
        <v>46</v>
      </c>
      <c r="K8450" s="196"/>
      <c r="L8450" s="196">
        <v>5000000</v>
      </c>
    </row>
    <row r="8451" spans="1:14" ht="11.25" customHeight="1" x14ac:dyDescent="0.2">
      <c r="A8451" s="120">
        <v>2025</v>
      </c>
      <c r="B8451" s="120">
        <v>5</v>
      </c>
      <c r="C8451" s="197">
        <v>29</v>
      </c>
      <c r="D8451" s="208">
        <f t="shared" si="982"/>
        <v>45806</v>
      </c>
      <c r="E8451" s="293">
        <f t="shared" ref="E8451:E8464" si="988">DATE(A8451,B8451,C8451)</f>
        <v>45806</v>
      </c>
      <c r="F8451" s="513" t="s">
        <v>2000</v>
      </c>
      <c r="G8451" s="132" t="s">
        <v>1209</v>
      </c>
      <c r="I8451" s="128" t="s">
        <v>1253</v>
      </c>
      <c r="J8451" s="120" t="s">
        <v>46</v>
      </c>
      <c r="K8451" s="207">
        <v>97916.67</v>
      </c>
      <c r="L8451" s="207"/>
      <c r="M8451" s="251"/>
    </row>
    <row r="8452" spans="1:14" ht="11.25" customHeight="1" x14ac:dyDescent="0.2">
      <c r="A8452" s="191">
        <v>2025</v>
      </c>
      <c r="B8452" s="191">
        <v>5</v>
      </c>
      <c r="C8452" s="191">
        <v>29</v>
      </c>
      <c r="D8452" s="192">
        <f t="shared" si="982"/>
        <v>45806</v>
      </c>
      <c r="E8452" s="291">
        <f t="shared" si="988"/>
        <v>45806</v>
      </c>
      <c r="F8452" s="513"/>
      <c r="G8452" s="194" t="s">
        <v>1209</v>
      </c>
      <c r="H8452" s="195"/>
      <c r="I8452" s="195" t="s">
        <v>1253</v>
      </c>
      <c r="J8452" s="191" t="s">
        <v>113</v>
      </c>
      <c r="K8452" s="196"/>
      <c r="L8452" s="196">
        <v>97916.67</v>
      </c>
      <c r="M8452" s="328"/>
      <c r="N8452" s="328"/>
    </row>
    <row r="8453" spans="1:14" ht="11.25" customHeight="1" x14ac:dyDescent="0.2">
      <c r="A8453" s="197">
        <v>2025</v>
      </c>
      <c r="B8453" s="120">
        <v>5</v>
      </c>
      <c r="C8453" s="197">
        <v>29</v>
      </c>
      <c r="D8453" s="198">
        <f t="shared" si="982"/>
        <v>45806</v>
      </c>
      <c r="E8453" s="290">
        <f t="shared" si="988"/>
        <v>45806</v>
      </c>
      <c r="F8453" s="513" t="s">
        <v>2001</v>
      </c>
      <c r="G8453" s="200" t="s">
        <v>1209</v>
      </c>
      <c r="H8453" s="201"/>
      <c r="I8453" s="201" t="s">
        <v>1253</v>
      </c>
      <c r="J8453" s="197" t="s">
        <v>46</v>
      </c>
      <c r="K8453" s="202">
        <v>99877.33</v>
      </c>
      <c r="L8453" s="202"/>
      <c r="M8453" s="251"/>
    </row>
    <row r="8454" spans="1:14" ht="11.25" customHeight="1" x14ac:dyDescent="0.2">
      <c r="A8454" s="191">
        <v>2025</v>
      </c>
      <c r="B8454" s="191">
        <v>5</v>
      </c>
      <c r="C8454" s="191">
        <v>29</v>
      </c>
      <c r="D8454" s="192">
        <f t="shared" si="982"/>
        <v>45806</v>
      </c>
      <c r="E8454" s="291">
        <f t="shared" si="988"/>
        <v>45806</v>
      </c>
      <c r="F8454" s="513"/>
      <c r="G8454" s="194" t="s">
        <v>1209</v>
      </c>
      <c r="H8454" s="195"/>
      <c r="I8454" s="195" t="s">
        <v>1253</v>
      </c>
      <c r="J8454" s="191" t="s">
        <v>113</v>
      </c>
      <c r="K8454" s="196"/>
      <c r="L8454" s="196">
        <v>99877.33</v>
      </c>
      <c r="N8454" s="130"/>
    </row>
    <row r="8455" spans="1:14" ht="11.25" customHeight="1" x14ac:dyDescent="0.2">
      <c r="A8455" s="424">
        <v>2025</v>
      </c>
      <c r="B8455" s="424">
        <v>5</v>
      </c>
      <c r="C8455" s="424">
        <v>29</v>
      </c>
      <c r="D8455" s="425">
        <f t="shared" si="982"/>
        <v>45806</v>
      </c>
      <c r="E8455" s="384">
        <f t="shared" si="988"/>
        <v>45806</v>
      </c>
      <c r="F8455" s="516" t="s">
        <v>1850</v>
      </c>
      <c r="G8455" s="426" t="s">
        <v>1209</v>
      </c>
      <c r="H8455" s="427"/>
      <c r="I8455" s="427"/>
      <c r="J8455" s="428" t="s">
        <v>81</v>
      </c>
      <c r="K8455" s="429">
        <v>6973.2450980392159</v>
      </c>
      <c r="L8455" s="429"/>
      <c r="M8455" s="130"/>
    </row>
    <row r="8456" spans="1:14" ht="11.25" customHeight="1" x14ac:dyDescent="0.2">
      <c r="A8456" s="389">
        <v>2025</v>
      </c>
      <c r="B8456" s="389">
        <v>5</v>
      </c>
      <c r="C8456" s="389">
        <v>29</v>
      </c>
      <c r="D8456" s="390">
        <f t="shared" si="982"/>
        <v>45806</v>
      </c>
      <c r="E8456" s="391">
        <f t="shared" si="988"/>
        <v>45806</v>
      </c>
      <c r="F8456" s="517"/>
      <c r="G8456" s="392" t="s">
        <v>1209</v>
      </c>
      <c r="H8456" s="393"/>
      <c r="I8456" s="393"/>
      <c r="J8456" s="394" t="s">
        <v>1847</v>
      </c>
      <c r="K8456" s="423"/>
      <c r="L8456" s="423">
        <v>6973.2450980392159</v>
      </c>
    </row>
    <row r="8457" spans="1:14" ht="11.25" customHeight="1" x14ac:dyDescent="0.2">
      <c r="A8457" s="382">
        <v>2025</v>
      </c>
      <c r="B8457" s="382">
        <v>5</v>
      </c>
      <c r="C8457" s="382">
        <v>29</v>
      </c>
      <c r="D8457" s="383">
        <f t="shared" si="982"/>
        <v>45806</v>
      </c>
      <c r="E8457" s="384">
        <f t="shared" si="988"/>
        <v>45806</v>
      </c>
      <c r="F8457" s="516" t="s">
        <v>1892</v>
      </c>
      <c r="G8457" s="385" t="s">
        <v>1209</v>
      </c>
      <c r="H8457" s="386"/>
      <c r="I8457" s="386"/>
      <c r="J8457" s="387" t="s">
        <v>173</v>
      </c>
      <c r="K8457" s="388">
        <v>4632.4914305729171</v>
      </c>
      <c r="L8457" s="388"/>
      <c r="M8457" s="130"/>
    </row>
    <row r="8458" spans="1:14" ht="11.25" customHeight="1" x14ac:dyDescent="0.2">
      <c r="A8458" s="389">
        <v>2025</v>
      </c>
      <c r="B8458" s="389">
        <v>5</v>
      </c>
      <c r="C8458" s="389">
        <v>29</v>
      </c>
      <c r="D8458" s="390">
        <f t="shared" si="982"/>
        <v>45806</v>
      </c>
      <c r="E8458" s="391">
        <f t="shared" si="988"/>
        <v>45806</v>
      </c>
      <c r="F8458" s="517"/>
      <c r="G8458" s="392" t="s">
        <v>1209</v>
      </c>
      <c r="H8458" s="393"/>
      <c r="I8458" s="393"/>
      <c r="J8458" s="394" t="s">
        <v>43</v>
      </c>
      <c r="K8458" s="388"/>
      <c r="L8458" s="388">
        <f>K8457</f>
        <v>4632.4914305729171</v>
      </c>
    </row>
    <row r="8459" spans="1:14" ht="11.25" customHeight="1" x14ac:dyDescent="0.2">
      <c r="A8459" s="344">
        <v>2025</v>
      </c>
      <c r="B8459" s="344">
        <v>5</v>
      </c>
      <c r="C8459" s="344">
        <v>29</v>
      </c>
      <c r="D8459" s="345">
        <f t="shared" si="982"/>
        <v>45806</v>
      </c>
      <c r="E8459" s="346">
        <f t="shared" si="988"/>
        <v>45806</v>
      </c>
      <c r="F8459" s="518" t="s">
        <v>1982</v>
      </c>
      <c r="G8459" s="347" t="s">
        <v>1245</v>
      </c>
      <c r="H8459" s="348"/>
      <c r="I8459" s="348" t="s">
        <v>1253</v>
      </c>
      <c r="J8459" s="344" t="s">
        <v>1978</v>
      </c>
      <c r="K8459" s="349">
        <v>145230.76923076922</v>
      </c>
      <c r="L8459" s="349"/>
      <c r="M8459" s="130"/>
    </row>
    <row r="8460" spans="1:14" ht="11.25" customHeight="1" x14ac:dyDescent="0.2">
      <c r="A8460" s="350">
        <v>2025</v>
      </c>
      <c r="B8460" s="350">
        <v>5</v>
      </c>
      <c r="C8460" s="350">
        <v>29</v>
      </c>
      <c r="D8460" s="351">
        <f t="shared" si="982"/>
        <v>45806</v>
      </c>
      <c r="E8460" s="352">
        <f t="shared" si="988"/>
        <v>45806</v>
      </c>
      <c r="F8460" s="519"/>
      <c r="G8460" s="353" t="s">
        <v>1245</v>
      </c>
      <c r="H8460" s="354"/>
      <c r="I8460" s="354" t="s">
        <v>1253</v>
      </c>
      <c r="J8460" s="350" t="s">
        <v>1979</v>
      </c>
      <c r="K8460" s="355"/>
      <c r="L8460" s="355">
        <f>K8459</f>
        <v>145230.76923076922</v>
      </c>
    </row>
    <row r="8461" spans="1:14" ht="11.25" customHeight="1" x14ac:dyDescent="0.2">
      <c r="A8461" s="344">
        <v>2025</v>
      </c>
      <c r="B8461" s="344">
        <v>5</v>
      </c>
      <c r="C8461" s="344">
        <v>29</v>
      </c>
      <c r="D8461" s="345">
        <f t="shared" si="982"/>
        <v>45806</v>
      </c>
      <c r="E8461" s="346">
        <f t="shared" si="988"/>
        <v>45806</v>
      </c>
      <c r="F8461" s="518" t="s">
        <v>2009</v>
      </c>
      <c r="G8461" s="347" t="s">
        <v>1245</v>
      </c>
      <c r="H8461" s="348"/>
      <c r="I8461" s="348" t="s">
        <v>1253</v>
      </c>
      <c r="J8461" s="344" t="s">
        <v>2004</v>
      </c>
      <c r="K8461" s="349">
        <v>49692.31</v>
      </c>
      <c r="L8461" s="349"/>
      <c r="M8461" s="130"/>
    </row>
    <row r="8462" spans="1:14" ht="11.25" customHeight="1" x14ac:dyDescent="0.2">
      <c r="A8462" s="350">
        <v>2025</v>
      </c>
      <c r="B8462" s="350">
        <v>5</v>
      </c>
      <c r="C8462" s="350">
        <v>29</v>
      </c>
      <c r="D8462" s="351">
        <f t="shared" si="982"/>
        <v>45806</v>
      </c>
      <c r="E8462" s="352">
        <f t="shared" si="988"/>
        <v>45806</v>
      </c>
      <c r="F8462" s="519"/>
      <c r="G8462" s="353" t="s">
        <v>1245</v>
      </c>
      <c r="H8462" s="354"/>
      <c r="I8462" s="354" t="s">
        <v>1253</v>
      </c>
      <c r="J8462" s="350" t="s">
        <v>2008</v>
      </c>
      <c r="K8462" s="355"/>
      <c r="L8462" s="355">
        <f>K8461</f>
        <v>49692.31</v>
      </c>
    </row>
    <row r="8463" spans="1:14" ht="11.25" customHeight="1" x14ac:dyDescent="0.2">
      <c r="A8463" s="344">
        <v>2025</v>
      </c>
      <c r="B8463" s="344">
        <v>5</v>
      </c>
      <c r="C8463" s="344">
        <v>29</v>
      </c>
      <c r="D8463" s="345">
        <f t="shared" si="982"/>
        <v>45806</v>
      </c>
      <c r="E8463" s="346">
        <f t="shared" si="988"/>
        <v>45806</v>
      </c>
      <c r="F8463" s="518" t="s">
        <v>2009</v>
      </c>
      <c r="G8463" s="347" t="s">
        <v>1245</v>
      </c>
      <c r="H8463" s="348"/>
      <c r="I8463" s="348" t="s">
        <v>1253</v>
      </c>
      <c r="J8463" s="344" t="s">
        <v>2004</v>
      </c>
      <c r="K8463" s="349">
        <v>49692.31</v>
      </c>
      <c r="L8463" s="349"/>
      <c r="M8463" s="130"/>
    </row>
    <row r="8464" spans="1:14" ht="11.25" customHeight="1" x14ac:dyDescent="0.2">
      <c r="A8464" s="350">
        <v>2025</v>
      </c>
      <c r="B8464" s="350">
        <v>5</v>
      </c>
      <c r="C8464" s="350">
        <v>29</v>
      </c>
      <c r="D8464" s="351">
        <f t="shared" si="982"/>
        <v>45806</v>
      </c>
      <c r="E8464" s="352">
        <f t="shared" si="988"/>
        <v>45806</v>
      </c>
      <c r="F8464" s="519"/>
      <c r="G8464" s="353" t="s">
        <v>1245</v>
      </c>
      <c r="H8464" s="354"/>
      <c r="I8464" s="354" t="s">
        <v>1253</v>
      </c>
      <c r="J8464" s="350" t="s">
        <v>2008</v>
      </c>
      <c r="K8464" s="355"/>
      <c r="L8464" s="355">
        <f>K8463</f>
        <v>49692.31</v>
      </c>
    </row>
    <row r="8465" spans="1:14" ht="11.25" customHeight="1" x14ac:dyDescent="0.2">
      <c r="A8465" s="344">
        <v>2025</v>
      </c>
      <c r="B8465" s="344">
        <v>5</v>
      </c>
      <c r="C8465" s="344">
        <v>29</v>
      </c>
      <c r="D8465" s="345">
        <f t="shared" si="982"/>
        <v>45806</v>
      </c>
      <c r="E8465" s="346">
        <f>DATE(A8465,B8465,C8465)</f>
        <v>45806</v>
      </c>
      <c r="F8465" s="518" t="s">
        <v>1988</v>
      </c>
      <c r="G8465" s="347" t="s">
        <v>1245</v>
      </c>
      <c r="H8465" s="348"/>
      <c r="I8465" s="348" t="s">
        <v>1253</v>
      </c>
      <c r="J8465" s="344" t="s">
        <v>113</v>
      </c>
      <c r="K8465" s="349">
        <v>20505.583333333117</v>
      </c>
      <c r="L8465" s="349"/>
      <c r="M8465" s="130"/>
    </row>
    <row r="8466" spans="1:14" ht="11.25" customHeight="1" x14ac:dyDescent="0.2">
      <c r="A8466" s="350">
        <v>2025</v>
      </c>
      <c r="B8466" s="350">
        <v>5</v>
      </c>
      <c r="C8466" s="350">
        <v>29</v>
      </c>
      <c r="D8466" s="351">
        <f t="shared" si="982"/>
        <v>45806</v>
      </c>
      <c r="E8466" s="352">
        <f>DATE(A8466,B8466,C8466)</f>
        <v>45806</v>
      </c>
      <c r="F8466" s="519"/>
      <c r="G8466" s="353" t="s">
        <v>1245</v>
      </c>
      <c r="H8466" s="354"/>
      <c r="I8466" s="354" t="s">
        <v>1253</v>
      </c>
      <c r="J8466" s="350" t="s">
        <v>153</v>
      </c>
      <c r="K8466" s="355"/>
      <c r="L8466" s="355">
        <f>K8465</f>
        <v>20505.583333333117</v>
      </c>
    </row>
    <row r="8467" spans="1:14" ht="11.25" customHeight="1" x14ac:dyDescent="0.2">
      <c r="A8467" s="344">
        <v>2025</v>
      </c>
      <c r="B8467" s="344">
        <v>5</v>
      </c>
      <c r="C8467" s="344">
        <v>29</v>
      </c>
      <c r="D8467" s="345">
        <f t="shared" si="982"/>
        <v>45806</v>
      </c>
      <c r="E8467" s="346">
        <f t="shared" ref="E8467:E8472" si="989">DATE(A8467,B8467,C8467)</f>
        <v>45806</v>
      </c>
      <c r="F8467" s="518" t="s">
        <v>1989</v>
      </c>
      <c r="G8467" s="347" t="s">
        <v>1245</v>
      </c>
      <c r="H8467" s="348"/>
      <c r="I8467" s="348" t="s">
        <v>1253</v>
      </c>
      <c r="J8467" s="344" t="s">
        <v>113</v>
      </c>
      <c r="K8467" s="349">
        <v>23461.538461538461</v>
      </c>
      <c r="L8467" s="349"/>
      <c r="M8467" s="130"/>
    </row>
    <row r="8468" spans="1:14" ht="11.25" customHeight="1" x14ac:dyDescent="0.2">
      <c r="A8468" s="350">
        <v>2025</v>
      </c>
      <c r="B8468" s="350">
        <v>5</v>
      </c>
      <c r="C8468" s="350">
        <v>29</v>
      </c>
      <c r="D8468" s="351">
        <f t="shared" si="982"/>
        <v>45806</v>
      </c>
      <c r="E8468" s="352">
        <f t="shared" si="989"/>
        <v>45806</v>
      </c>
      <c r="F8468" s="519"/>
      <c r="G8468" s="353" t="s">
        <v>1245</v>
      </c>
      <c r="H8468" s="354"/>
      <c r="I8468" s="354" t="s">
        <v>1253</v>
      </c>
      <c r="J8468" s="350" t="s">
        <v>153</v>
      </c>
      <c r="K8468" s="355"/>
      <c r="L8468" s="355">
        <f>K8467</f>
        <v>23461.538461538461</v>
      </c>
    </row>
    <row r="8469" spans="1:14" ht="11.25" customHeight="1" x14ac:dyDescent="0.2">
      <c r="A8469" s="344">
        <v>2025</v>
      </c>
      <c r="B8469" s="344">
        <v>5</v>
      </c>
      <c r="C8469" s="344">
        <v>29</v>
      </c>
      <c r="D8469" s="345">
        <f t="shared" si="982"/>
        <v>45806</v>
      </c>
      <c r="E8469" s="346">
        <f t="shared" si="989"/>
        <v>45806</v>
      </c>
      <c r="F8469" s="518" t="s">
        <v>1990</v>
      </c>
      <c r="G8469" s="347" t="s">
        <v>1245</v>
      </c>
      <c r="H8469" s="348"/>
      <c r="I8469" s="348" t="s">
        <v>1253</v>
      </c>
      <c r="J8469" s="344" t="s">
        <v>113</v>
      </c>
      <c r="K8469" s="349">
        <v>70384.62</v>
      </c>
      <c r="L8469" s="349"/>
      <c r="M8469" s="130"/>
      <c r="N8469" s="251"/>
    </row>
    <row r="8470" spans="1:14" ht="11.25" customHeight="1" x14ac:dyDescent="0.2">
      <c r="A8470" s="350">
        <v>2025</v>
      </c>
      <c r="B8470" s="350">
        <v>5</v>
      </c>
      <c r="C8470" s="350">
        <v>29</v>
      </c>
      <c r="D8470" s="351">
        <f t="shared" si="982"/>
        <v>45806</v>
      </c>
      <c r="E8470" s="352">
        <f t="shared" si="989"/>
        <v>45806</v>
      </c>
      <c r="F8470" s="519"/>
      <c r="G8470" s="353" t="s">
        <v>1245</v>
      </c>
      <c r="H8470" s="354"/>
      <c r="I8470" s="354" t="s">
        <v>1253</v>
      </c>
      <c r="J8470" s="350" t="s">
        <v>153</v>
      </c>
      <c r="K8470" s="355"/>
      <c r="L8470" s="355">
        <f>K8469</f>
        <v>70384.62</v>
      </c>
    </row>
    <row r="8471" spans="1:14" ht="11.25" customHeight="1" x14ac:dyDescent="0.2">
      <c r="A8471" s="344">
        <v>2025</v>
      </c>
      <c r="B8471" s="344">
        <v>5</v>
      </c>
      <c r="C8471" s="344">
        <v>29</v>
      </c>
      <c r="D8471" s="345">
        <f t="shared" si="982"/>
        <v>45806</v>
      </c>
      <c r="E8471" s="346">
        <f t="shared" si="989"/>
        <v>45806</v>
      </c>
      <c r="F8471" s="518" t="s">
        <v>2039</v>
      </c>
      <c r="G8471" s="347" t="s">
        <v>1245</v>
      </c>
      <c r="H8471" s="348"/>
      <c r="I8471" s="348" t="s">
        <v>1253</v>
      </c>
      <c r="J8471" s="344" t="s">
        <v>113</v>
      </c>
      <c r="K8471" s="349">
        <v>9384.6153846153848</v>
      </c>
      <c r="L8471" s="349"/>
      <c r="M8471" s="130"/>
    </row>
    <row r="8472" spans="1:14" ht="11.25" customHeight="1" x14ac:dyDescent="0.2">
      <c r="A8472" s="350">
        <v>2025</v>
      </c>
      <c r="B8472" s="350">
        <v>5</v>
      </c>
      <c r="C8472" s="350">
        <v>29</v>
      </c>
      <c r="D8472" s="351">
        <f t="shared" si="982"/>
        <v>45806</v>
      </c>
      <c r="E8472" s="352">
        <f t="shared" si="989"/>
        <v>45806</v>
      </c>
      <c r="F8472" s="519"/>
      <c r="G8472" s="353" t="s">
        <v>1245</v>
      </c>
      <c r="H8472" s="354"/>
      <c r="I8472" s="354" t="s">
        <v>1253</v>
      </c>
      <c r="J8472" s="350" t="s">
        <v>153</v>
      </c>
      <c r="K8472" s="355"/>
      <c r="L8472" s="355">
        <f>K8471</f>
        <v>9384.6153846153848</v>
      </c>
    </row>
    <row r="8473" spans="1:14" ht="11.25" customHeight="1" x14ac:dyDescent="0.2">
      <c r="A8473" s="344">
        <v>2025</v>
      </c>
      <c r="B8473" s="344">
        <v>5</v>
      </c>
      <c r="C8473" s="344">
        <v>29</v>
      </c>
      <c r="D8473" s="345">
        <f t="shared" si="982"/>
        <v>45806</v>
      </c>
      <c r="E8473" s="346">
        <f>DATE(A8473,B8473,C8473)</f>
        <v>45806</v>
      </c>
      <c r="F8473" s="518" t="s">
        <v>1991</v>
      </c>
      <c r="G8473" s="347" t="s">
        <v>1245</v>
      </c>
      <c r="H8473" s="348"/>
      <c r="I8473" s="348" t="s">
        <v>1253</v>
      </c>
      <c r="J8473" s="344" t="s">
        <v>113</v>
      </c>
      <c r="K8473" s="349">
        <v>39884.620000000003</v>
      </c>
      <c r="L8473" s="349"/>
      <c r="M8473" s="130"/>
    </row>
    <row r="8474" spans="1:14" ht="11.25" customHeight="1" x14ac:dyDescent="0.2">
      <c r="A8474" s="350">
        <v>2025</v>
      </c>
      <c r="B8474" s="350">
        <v>5</v>
      </c>
      <c r="C8474" s="350">
        <v>29</v>
      </c>
      <c r="D8474" s="351">
        <f t="shared" si="982"/>
        <v>45806</v>
      </c>
      <c r="E8474" s="352">
        <f>DATE(A8474,B8474,C8474)</f>
        <v>45806</v>
      </c>
      <c r="F8474" s="519"/>
      <c r="G8474" s="353" t="s">
        <v>1245</v>
      </c>
      <c r="H8474" s="354"/>
      <c r="I8474" s="354" t="s">
        <v>1253</v>
      </c>
      <c r="J8474" s="350" t="s">
        <v>153</v>
      </c>
      <c r="K8474" s="355"/>
      <c r="L8474" s="355">
        <f>K8473</f>
        <v>39884.620000000003</v>
      </c>
    </row>
    <row r="8475" spans="1:14" ht="11.25" customHeight="1" x14ac:dyDescent="0.2">
      <c r="A8475" s="344">
        <v>2025</v>
      </c>
      <c r="B8475" s="344">
        <v>5</v>
      </c>
      <c r="C8475" s="344">
        <v>29</v>
      </c>
      <c r="D8475" s="345">
        <f t="shared" si="982"/>
        <v>45806</v>
      </c>
      <c r="E8475" s="346">
        <f t="shared" ref="E8475:E8476" si="990">DATE(A8475,B8475,C8475)</f>
        <v>45806</v>
      </c>
      <c r="F8475" s="518" t="s">
        <v>2052</v>
      </c>
      <c r="G8475" s="347" t="s">
        <v>1245</v>
      </c>
      <c r="H8475" s="348"/>
      <c r="I8475" s="348" t="s">
        <v>1253</v>
      </c>
      <c r="J8475" s="344" t="s">
        <v>113</v>
      </c>
      <c r="K8475" s="349">
        <v>11442.307692307691</v>
      </c>
      <c r="L8475" s="349"/>
      <c r="M8475" s="130"/>
    </row>
    <row r="8476" spans="1:14" ht="11.25" customHeight="1" x14ac:dyDescent="0.2">
      <c r="A8476" s="350">
        <v>2025</v>
      </c>
      <c r="B8476" s="350">
        <v>5</v>
      </c>
      <c r="C8476" s="350">
        <v>29</v>
      </c>
      <c r="D8476" s="351">
        <f t="shared" si="982"/>
        <v>45806</v>
      </c>
      <c r="E8476" s="352">
        <f t="shared" si="990"/>
        <v>45806</v>
      </c>
      <c r="F8476" s="519"/>
      <c r="G8476" s="353" t="s">
        <v>1245</v>
      </c>
      <c r="H8476" s="354"/>
      <c r="I8476" s="354" t="s">
        <v>1253</v>
      </c>
      <c r="J8476" s="350" t="s">
        <v>153</v>
      </c>
      <c r="K8476" s="355"/>
      <c r="L8476" s="355">
        <f>K8475</f>
        <v>11442.307692307691</v>
      </c>
    </row>
    <row r="8477" spans="1:14" ht="11.25" customHeight="1" x14ac:dyDescent="0.2">
      <c r="A8477" s="344">
        <v>2025</v>
      </c>
      <c r="B8477" s="344">
        <v>5</v>
      </c>
      <c r="C8477" s="344">
        <v>29</v>
      </c>
      <c r="D8477" s="345">
        <f t="shared" si="982"/>
        <v>45806</v>
      </c>
      <c r="E8477" s="346">
        <f t="shared" ref="E8477:E8485" si="991">DATE(A8477,B8477,C8477)</f>
        <v>45806</v>
      </c>
      <c r="F8477" s="518" t="s">
        <v>1992</v>
      </c>
      <c r="G8477" s="347" t="s">
        <v>1245</v>
      </c>
      <c r="H8477" s="348"/>
      <c r="I8477" s="348" t="s">
        <v>1253</v>
      </c>
      <c r="J8477" s="344" t="s">
        <v>113</v>
      </c>
      <c r="K8477" s="349">
        <v>22596.15</v>
      </c>
      <c r="L8477" s="349"/>
      <c r="M8477" s="130"/>
    </row>
    <row r="8478" spans="1:14" ht="11.25" customHeight="1" x14ac:dyDescent="0.2">
      <c r="A8478" s="350">
        <v>2025</v>
      </c>
      <c r="B8478" s="350">
        <v>5</v>
      </c>
      <c r="C8478" s="350">
        <v>29</v>
      </c>
      <c r="D8478" s="351">
        <f t="shared" si="982"/>
        <v>45806</v>
      </c>
      <c r="E8478" s="352">
        <f t="shared" si="991"/>
        <v>45806</v>
      </c>
      <c r="F8478" s="519"/>
      <c r="G8478" s="353" t="s">
        <v>1245</v>
      </c>
      <c r="H8478" s="354"/>
      <c r="I8478" s="354" t="s">
        <v>1253</v>
      </c>
      <c r="J8478" s="350" t="s">
        <v>153</v>
      </c>
      <c r="K8478" s="355"/>
      <c r="L8478" s="355">
        <f>K8477</f>
        <v>22596.15</v>
      </c>
    </row>
    <row r="8479" spans="1:14" ht="11.25" customHeight="1" x14ac:dyDescent="0.2">
      <c r="A8479" s="344">
        <v>2025</v>
      </c>
      <c r="B8479" s="344">
        <v>5</v>
      </c>
      <c r="C8479" s="344">
        <v>29</v>
      </c>
      <c r="D8479" s="345">
        <f t="shared" si="982"/>
        <v>45806</v>
      </c>
      <c r="E8479" s="346">
        <f t="shared" si="991"/>
        <v>45806</v>
      </c>
      <c r="F8479" s="518" t="s">
        <v>1993</v>
      </c>
      <c r="G8479" s="347" t="s">
        <v>1245</v>
      </c>
      <c r="H8479" s="348"/>
      <c r="I8479" s="348" t="s">
        <v>1253</v>
      </c>
      <c r="J8479" s="344" t="s">
        <v>113</v>
      </c>
      <c r="K8479" s="349">
        <v>23048.080000000002</v>
      </c>
      <c r="L8479" s="349"/>
      <c r="M8479" s="130"/>
    </row>
    <row r="8480" spans="1:14" ht="11.25" customHeight="1" x14ac:dyDescent="0.2">
      <c r="A8480" s="350">
        <v>2025</v>
      </c>
      <c r="B8480" s="350">
        <v>5</v>
      </c>
      <c r="C8480" s="350">
        <v>29</v>
      </c>
      <c r="D8480" s="351">
        <f t="shared" si="982"/>
        <v>45806</v>
      </c>
      <c r="E8480" s="352">
        <f t="shared" si="991"/>
        <v>45806</v>
      </c>
      <c r="F8480" s="519"/>
      <c r="G8480" s="353" t="s">
        <v>1245</v>
      </c>
      <c r="H8480" s="354"/>
      <c r="I8480" s="354" t="s">
        <v>1253</v>
      </c>
      <c r="J8480" s="350" t="s">
        <v>153</v>
      </c>
      <c r="K8480" s="355"/>
      <c r="L8480" s="355">
        <f>K8479</f>
        <v>23048.080000000002</v>
      </c>
    </row>
    <row r="8481" spans="1:13" ht="11.25" customHeight="1" x14ac:dyDescent="0.2">
      <c r="A8481" s="344">
        <v>2025</v>
      </c>
      <c r="B8481" s="344">
        <v>5</v>
      </c>
      <c r="C8481" s="344">
        <v>29</v>
      </c>
      <c r="D8481" s="345">
        <f t="shared" si="982"/>
        <v>45806</v>
      </c>
      <c r="E8481" s="346">
        <f t="shared" si="991"/>
        <v>45806</v>
      </c>
      <c r="F8481" s="518" t="s">
        <v>2053</v>
      </c>
      <c r="G8481" s="347" t="s">
        <v>1245</v>
      </c>
      <c r="H8481" s="348"/>
      <c r="I8481" s="348" t="s">
        <v>1253</v>
      </c>
      <c r="J8481" s="344" t="s">
        <v>113</v>
      </c>
      <c r="K8481" s="349">
        <v>11634.615384615385</v>
      </c>
      <c r="L8481" s="349"/>
      <c r="M8481" s="130"/>
    </row>
    <row r="8482" spans="1:13" ht="11.25" customHeight="1" x14ac:dyDescent="0.2">
      <c r="A8482" s="350">
        <v>2025</v>
      </c>
      <c r="B8482" s="350">
        <v>5</v>
      </c>
      <c r="C8482" s="350">
        <v>29</v>
      </c>
      <c r="D8482" s="351">
        <f t="shared" si="982"/>
        <v>45806</v>
      </c>
      <c r="E8482" s="352">
        <f t="shared" si="991"/>
        <v>45806</v>
      </c>
      <c r="F8482" s="519"/>
      <c r="G8482" s="353" t="s">
        <v>1245</v>
      </c>
      <c r="H8482" s="354"/>
      <c r="I8482" s="354" t="s">
        <v>1253</v>
      </c>
      <c r="J8482" s="350" t="s">
        <v>153</v>
      </c>
      <c r="K8482" s="355"/>
      <c r="L8482" s="355">
        <f>K8481</f>
        <v>11634.615384615385</v>
      </c>
    </row>
    <row r="8483" spans="1:13" ht="11.25" customHeight="1" x14ac:dyDescent="0.2">
      <c r="A8483" s="210">
        <v>2025</v>
      </c>
      <c r="B8483" s="210">
        <v>5</v>
      </c>
      <c r="C8483" s="210">
        <v>29</v>
      </c>
      <c r="D8483" s="211">
        <f t="shared" si="982"/>
        <v>45806</v>
      </c>
      <c r="E8483" s="238">
        <f t="shared" si="991"/>
        <v>45806</v>
      </c>
      <c r="F8483" s="520" t="s">
        <v>1278</v>
      </c>
      <c r="G8483" s="213" t="s">
        <v>1245</v>
      </c>
      <c r="H8483" s="214"/>
      <c r="I8483" s="214" t="s">
        <v>1253</v>
      </c>
      <c r="J8483" s="210" t="s">
        <v>1529</v>
      </c>
      <c r="K8483" s="215">
        <v>510.40384615384613</v>
      </c>
      <c r="L8483" s="215"/>
      <c r="M8483" s="130"/>
    </row>
    <row r="8484" spans="1:13" ht="11.25" customHeight="1" x14ac:dyDescent="0.2">
      <c r="A8484" s="216">
        <v>2025</v>
      </c>
      <c r="B8484" s="216">
        <v>5</v>
      </c>
      <c r="C8484" s="216">
        <v>29</v>
      </c>
      <c r="D8484" s="217">
        <f t="shared" si="982"/>
        <v>45806</v>
      </c>
      <c r="E8484" s="239">
        <f t="shared" si="991"/>
        <v>45806</v>
      </c>
      <c r="F8484" s="521"/>
      <c r="G8484" s="219" t="s">
        <v>1245</v>
      </c>
      <c r="H8484" s="220"/>
      <c r="I8484" s="220" t="s">
        <v>1253</v>
      </c>
      <c r="J8484" s="216" t="s">
        <v>1581</v>
      </c>
      <c r="K8484" s="221"/>
      <c r="L8484" s="221">
        <v>510.40384615384613</v>
      </c>
    </row>
    <row r="8485" spans="1:13" ht="11.25" customHeight="1" x14ac:dyDescent="0.2">
      <c r="A8485" s="210">
        <v>2025</v>
      </c>
      <c r="B8485" s="210">
        <v>5</v>
      </c>
      <c r="C8485" s="210">
        <v>29</v>
      </c>
      <c r="D8485" s="211">
        <f t="shared" si="982"/>
        <v>45806</v>
      </c>
      <c r="E8485" s="238">
        <f t="shared" si="991"/>
        <v>45806</v>
      </c>
      <c r="F8485" s="520" t="s">
        <v>1857</v>
      </c>
      <c r="G8485" s="213" t="s">
        <v>1245</v>
      </c>
      <c r="H8485" s="214"/>
      <c r="I8485" s="214" t="s">
        <v>1253</v>
      </c>
      <c r="J8485" s="210" t="s">
        <v>1284</v>
      </c>
      <c r="K8485" s="215">
        <v>2341.8114143920593</v>
      </c>
      <c r="L8485" s="215"/>
      <c r="M8485" s="130"/>
    </row>
    <row r="8486" spans="1:13" ht="11.25" customHeight="1" x14ac:dyDescent="0.2">
      <c r="A8486" s="242">
        <v>2025</v>
      </c>
      <c r="B8486" s="242">
        <v>5</v>
      </c>
      <c r="C8486" s="242">
        <v>29</v>
      </c>
      <c r="D8486" s="243">
        <f t="shared" si="982"/>
        <v>45806</v>
      </c>
      <c r="E8486" s="244">
        <f>DATE(A8486,B8486,C8486)</f>
        <v>45806</v>
      </c>
      <c r="F8486" s="524"/>
      <c r="G8486" s="245" t="s">
        <v>1245</v>
      </c>
      <c r="H8486" s="246"/>
      <c r="I8486" s="246"/>
      <c r="J8486" s="242" t="s">
        <v>1582</v>
      </c>
      <c r="K8486" s="247"/>
      <c r="L8486" s="247">
        <f>K8485</f>
        <v>2341.8114143920593</v>
      </c>
    </row>
    <row r="8487" spans="1:13" ht="11.25" customHeight="1" x14ac:dyDescent="0.2">
      <c r="A8487" s="210">
        <v>2025</v>
      </c>
      <c r="B8487" s="210">
        <v>5</v>
      </c>
      <c r="C8487" s="210">
        <v>29</v>
      </c>
      <c r="D8487" s="211">
        <f t="shared" si="982"/>
        <v>45806</v>
      </c>
      <c r="E8487" s="238">
        <f t="shared" ref="E8487:E8506" si="992">DATE(A8487,B8487,C8487)</f>
        <v>45806</v>
      </c>
      <c r="F8487" s="520" t="s">
        <v>2055</v>
      </c>
      <c r="G8487" s="213" t="s">
        <v>1245</v>
      </c>
      <c r="H8487" s="214"/>
      <c r="I8487" s="214" t="s">
        <v>1253</v>
      </c>
      <c r="J8487" s="210" t="s">
        <v>58</v>
      </c>
      <c r="K8487" s="215">
        <v>14077.12</v>
      </c>
      <c r="L8487" s="215"/>
    </row>
    <row r="8488" spans="1:13" ht="11.25" customHeight="1" x14ac:dyDescent="0.2">
      <c r="A8488" s="216">
        <v>2025</v>
      </c>
      <c r="B8488" s="216">
        <v>5</v>
      </c>
      <c r="C8488" s="216">
        <v>29</v>
      </c>
      <c r="D8488" s="217">
        <f t="shared" si="982"/>
        <v>45806</v>
      </c>
      <c r="E8488" s="239">
        <f t="shared" si="992"/>
        <v>45806</v>
      </c>
      <c r="F8488" s="521"/>
      <c r="G8488" s="219" t="s">
        <v>1245</v>
      </c>
      <c r="H8488" s="220"/>
      <c r="I8488" s="220" t="s">
        <v>1253</v>
      </c>
      <c r="J8488" s="216" t="s">
        <v>153</v>
      </c>
      <c r="K8488" s="221"/>
      <c r="L8488" s="221">
        <f>K8487</f>
        <v>14077.12</v>
      </c>
    </row>
    <row r="8489" spans="1:13" ht="11.25" customHeight="1" x14ac:dyDescent="0.2">
      <c r="A8489" s="312">
        <v>2025</v>
      </c>
      <c r="B8489" s="312">
        <v>5</v>
      </c>
      <c r="C8489" s="312">
        <v>29</v>
      </c>
      <c r="D8489" s="313">
        <f t="shared" si="982"/>
        <v>45806</v>
      </c>
      <c r="E8489" s="314">
        <f t="shared" si="992"/>
        <v>45806</v>
      </c>
      <c r="F8489" s="522" t="s">
        <v>1477</v>
      </c>
      <c r="G8489" s="315" t="s">
        <v>1245</v>
      </c>
      <c r="H8489" s="316"/>
      <c r="I8489" s="316" t="s">
        <v>1253</v>
      </c>
      <c r="J8489" s="312" t="s">
        <v>1458</v>
      </c>
      <c r="K8489" s="317">
        <v>0</v>
      </c>
      <c r="L8489" s="317"/>
      <c r="M8489" s="120">
        <f>BS!$I$11</f>
        <v>5.9604644775390625E-8</v>
      </c>
    </row>
    <row r="8490" spans="1:13" ht="11.25" customHeight="1" x14ac:dyDescent="0.2">
      <c r="A8490" s="318">
        <v>2025</v>
      </c>
      <c r="B8490" s="318">
        <v>5</v>
      </c>
      <c r="C8490" s="318">
        <v>29</v>
      </c>
      <c r="D8490" s="319">
        <f t="shared" si="982"/>
        <v>45806</v>
      </c>
      <c r="E8490" s="320">
        <f t="shared" si="992"/>
        <v>45806</v>
      </c>
      <c r="F8490" s="523"/>
      <c r="G8490" s="321" t="s">
        <v>1245</v>
      </c>
      <c r="H8490" s="322"/>
      <c r="I8490" s="322" t="s">
        <v>1253</v>
      </c>
      <c r="J8490" s="318" t="s">
        <v>1460</v>
      </c>
      <c r="K8490" s="323"/>
      <c r="L8490" s="323">
        <f>K8489</f>
        <v>0</v>
      </c>
    </row>
    <row r="8491" spans="1:13" ht="11.25" customHeight="1" x14ac:dyDescent="0.2">
      <c r="A8491" s="312">
        <v>2025</v>
      </c>
      <c r="B8491" s="312">
        <v>5</v>
      </c>
      <c r="C8491" s="312">
        <v>29</v>
      </c>
      <c r="D8491" s="313">
        <f t="shared" si="982"/>
        <v>45806</v>
      </c>
      <c r="E8491" s="314">
        <f t="shared" si="992"/>
        <v>45806</v>
      </c>
      <c r="F8491" s="522" t="s">
        <v>1595</v>
      </c>
      <c r="G8491" s="315" t="s">
        <v>1245</v>
      </c>
      <c r="H8491" s="316"/>
      <c r="I8491" s="316" t="s">
        <v>1253</v>
      </c>
      <c r="J8491" s="312" t="s">
        <v>1461</v>
      </c>
      <c r="K8491" s="317">
        <v>1559668.4079999924</v>
      </c>
      <c r="L8491" s="317"/>
      <c r="M8491" s="120">
        <f>BS!$I$14</f>
        <v>0</v>
      </c>
    </row>
    <row r="8492" spans="1:13" ht="11.25" customHeight="1" x14ac:dyDescent="0.2">
      <c r="A8492" s="318">
        <v>2025</v>
      </c>
      <c r="B8492" s="318">
        <v>5</v>
      </c>
      <c r="C8492" s="318">
        <v>29</v>
      </c>
      <c r="D8492" s="319">
        <f t="shared" ref="D8492:D8555" si="993">DATE(A8492,B8492,C8492)</f>
        <v>45806</v>
      </c>
      <c r="E8492" s="320">
        <f t="shared" si="992"/>
        <v>45806</v>
      </c>
      <c r="F8492" s="523"/>
      <c r="G8492" s="321" t="s">
        <v>1245</v>
      </c>
      <c r="H8492" s="322"/>
      <c r="I8492" s="322" t="s">
        <v>1253</v>
      </c>
      <c r="J8492" s="318" t="s">
        <v>1459</v>
      </c>
      <c r="K8492" s="323"/>
      <c r="L8492" s="323">
        <f>K8491</f>
        <v>1559668.4079999924</v>
      </c>
    </row>
    <row r="8493" spans="1:13" ht="11.25" customHeight="1" x14ac:dyDescent="0.2">
      <c r="A8493" s="222">
        <v>2025</v>
      </c>
      <c r="B8493" s="222">
        <v>5</v>
      </c>
      <c r="C8493" s="222">
        <v>29</v>
      </c>
      <c r="D8493" s="223">
        <f t="shared" si="993"/>
        <v>45806</v>
      </c>
      <c r="E8493" s="240">
        <f t="shared" si="992"/>
        <v>45806</v>
      </c>
      <c r="F8493" s="511" t="s">
        <v>1244</v>
      </c>
      <c r="G8493" s="225" t="s">
        <v>1245</v>
      </c>
      <c r="H8493" s="226"/>
      <c r="I8493" s="226" t="s">
        <v>1253</v>
      </c>
      <c r="J8493" s="222" t="s">
        <v>87</v>
      </c>
      <c r="K8493" s="227">
        <v>44455</v>
      </c>
      <c r="L8493" s="227"/>
      <c r="M8493" s="120">
        <f>BS!$I$7</f>
        <v>0</v>
      </c>
    </row>
    <row r="8494" spans="1:13" ht="11.25" customHeight="1" x14ac:dyDescent="0.2">
      <c r="A8494" s="228">
        <v>2025</v>
      </c>
      <c r="B8494" s="228">
        <v>5</v>
      </c>
      <c r="C8494" s="228">
        <v>29</v>
      </c>
      <c r="D8494" s="229">
        <f t="shared" si="993"/>
        <v>45806</v>
      </c>
      <c r="E8494" s="241">
        <f t="shared" si="992"/>
        <v>45806</v>
      </c>
      <c r="F8494" s="512"/>
      <c r="G8494" s="231" t="s">
        <v>1245</v>
      </c>
      <c r="H8494" s="232"/>
      <c r="I8494" s="232" t="s">
        <v>1253</v>
      </c>
      <c r="J8494" s="228" t="s">
        <v>72</v>
      </c>
      <c r="K8494" s="233"/>
      <c r="L8494" s="233">
        <f>K8493</f>
        <v>44455</v>
      </c>
    </row>
    <row r="8495" spans="1:13" ht="11.25" customHeight="1" x14ac:dyDescent="0.2">
      <c r="A8495" s="222">
        <v>2025</v>
      </c>
      <c r="B8495" s="222">
        <v>5</v>
      </c>
      <c r="C8495" s="222">
        <v>29</v>
      </c>
      <c r="D8495" s="223">
        <f t="shared" si="993"/>
        <v>45806</v>
      </c>
      <c r="E8495" s="240">
        <f t="shared" si="992"/>
        <v>45806</v>
      </c>
      <c r="F8495" s="511" t="s">
        <v>1246</v>
      </c>
      <c r="G8495" s="225" t="s">
        <v>1245</v>
      </c>
      <c r="H8495" s="226"/>
      <c r="I8495" s="226" t="s">
        <v>1253</v>
      </c>
      <c r="J8495" s="222" t="s">
        <v>75</v>
      </c>
      <c r="K8495" s="227">
        <v>3623.123846153846</v>
      </c>
      <c r="L8495" s="227"/>
      <c r="M8495" s="130"/>
    </row>
    <row r="8496" spans="1:13" ht="11.25" customHeight="1" x14ac:dyDescent="0.2">
      <c r="A8496" s="228">
        <v>2025</v>
      </c>
      <c r="B8496" s="228">
        <v>5</v>
      </c>
      <c r="C8496" s="228">
        <v>29</v>
      </c>
      <c r="D8496" s="229">
        <f t="shared" si="993"/>
        <v>45806</v>
      </c>
      <c r="E8496" s="241">
        <f t="shared" si="992"/>
        <v>45806</v>
      </c>
      <c r="F8496" s="512"/>
      <c r="G8496" s="231" t="s">
        <v>1245</v>
      </c>
      <c r="H8496" s="232"/>
      <c r="I8496" s="232" t="s">
        <v>1253</v>
      </c>
      <c r="J8496" s="228" t="s">
        <v>55</v>
      </c>
      <c r="K8496" s="233"/>
      <c r="L8496" s="233">
        <v>3623.123846153846</v>
      </c>
    </row>
    <row r="8497" spans="1:13" ht="11.25" customHeight="1" x14ac:dyDescent="0.2">
      <c r="A8497" s="222">
        <v>2025</v>
      </c>
      <c r="B8497" s="222">
        <v>5</v>
      </c>
      <c r="C8497" s="222">
        <v>29</v>
      </c>
      <c r="D8497" s="223">
        <f t="shared" si="993"/>
        <v>45806</v>
      </c>
      <c r="E8497" s="240">
        <f t="shared" si="992"/>
        <v>45806</v>
      </c>
      <c r="F8497" s="511" t="s">
        <v>1247</v>
      </c>
      <c r="G8497" s="225" t="s">
        <v>1245</v>
      </c>
      <c r="H8497" s="226"/>
      <c r="I8497" s="226" t="s">
        <v>1253</v>
      </c>
      <c r="J8497" s="222" t="s">
        <v>77</v>
      </c>
      <c r="K8497" s="227">
        <f>M8497</f>
        <v>54935.515160328039</v>
      </c>
      <c r="L8497" s="227"/>
      <c r="M8497" s="130">
        <v>54935.515160328039</v>
      </c>
    </row>
    <row r="8498" spans="1:13" ht="11.25" customHeight="1" x14ac:dyDescent="0.2">
      <c r="A8498" s="228">
        <v>2025</v>
      </c>
      <c r="B8498" s="228">
        <v>5</v>
      </c>
      <c r="C8498" s="228">
        <v>29</v>
      </c>
      <c r="D8498" s="229">
        <f t="shared" si="993"/>
        <v>45806</v>
      </c>
      <c r="E8498" s="241">
        <f t="shared" si="992"/>
        <v>45806</v>
      </c>
      <c r="F8498" s="512"/>
      <c r="G8498" s="231" t="s">
        <v>1245</v>
      </c>
      <c r="H8498" s="232"/>
      <c r="I8498" s="232" t="s">
        <v>1253</v>
      </c>
      <c r="J8498" s="228" t="s">
        <v>41</v>
      </c>
      <c r="K8498" s="233"/>
      <c r="L8498" s="233">
        <f>K8497</f>
        <v>54935.515160328039</v>
      </c>
      <c r="M8498" s="130">
        <v>5493.5515160328032</v>
      </c>
    </row>
    <row r="8499" spans="1:13" ht="11.25" customHeight="1" x14ac:dyDescent="0.2">
      <c r="A8499" s="222">
        <v>2025</v>
      </c>
      <c r="B8499" s="222">
        <v>5</v>
      </c>
      <c r="C8499" s="222">
        <v>29</v>
      </c>
      <c r="D8499" s="223">
        <f t="shared" si="993"/>
        <v>45806</v>
      </c>
      <c r="E8499" s="240">
        <f t="shared" si="992"/>
        <v>45806</v>
      </c>
      <c r="F8499" s="511" t="s">
        <v>1248</v>
      </c>
      <c r="G8499" s="225" t="s">
        <v>1245</v>
      </c>
      <c r="H8499" s="226"/>
      <c r="I8499" s="226" t="s">
        <v>1253</v>
      </c>
      <c r="J8499" s="222" t="s">
        <v>80</v>
      </c>
      <c r="K8499" s="227">
        <f>M8498</f>
        <v>5493.5515160328032</v>
      </c>
      <c r="L8499" s="227"/>
    </row>
    <row r="8500" spans="1:13" ht="11.25" customHeight="1" x14ac:dyDescent="0.2">
      <c r="A8500" s="228">
        <v>2025</v>
      </c>
      <c r="B8500" s="228">
        <v>5</v>
      </c>
      <c r="C8500" s="228">
        <v>29</v>
      </c>
      <c r="D8500" s="229">
        <f t="shared" si="993"/>
        <v>45806</v>
      </c>
      <c r="E8500" s="241">
        <f t="shared" si="992"/>
        <v>45806</v>
      </c>
      <c r="F8500" s="512"/>
      <c r="G8500" s="231" t="s">
        <v>1245</v>
      </c>
      <c r="H8500" s="232"/>
      <c r="I8500" s="232" t="s">
        <v>1253</v>
      </c>
      <c r="J8500" s="228" t="s">
        <v>42</v>
      </c>
      <c r="K8500" s="233"/>
      <c r="L8500" s="233">
        <f>K8499</f>
        <v>5493.5515160328032</v>
      </c>
    </row>
    <row r="8501" spans="1:13" ht="11.25" customHeight="1" x14ac:dyDescent="0.2">
      <c r="A8501" s="197">
        <v>2025</v>
      </c>
      <c r="B8501" s="197">
        <v>6</v>
      </c>
      <c r="C8501" s="197">
        <v>1</v>
      </c>
      <c r="D8501" s="198">
        <f t="shared" si="993"/>
        <v>45809</v>
      </c>
      <c r="E8501" s="209">
        <f t="shared" si="992"/>
        <v>45809</v>
      </c>
      <c r="F8501" s="513" t="s">
        <v>1210</v>
      </c>
      <c r="G8501" s="200" t="s">
        <v>1209</v>
      </c>
      <c r="H8501" s="201"/>
      <c r="I8501" s="201" t="s">
        <v>1235</v>
      </c>
      <c r="J8501" s="197" t="s">
        <v>46</v>
      </c>
      <c r="K8501" s="202">
        <v>80000</v>
      </c>
      <c r="L8501" s="202"/>
    </row>
    <row r="8502" spans="1:13" ht="11.25" customHeight="1" x14ac:dyDescent="0.2">
      <c r="A8502" s="120">
        <v>2025</v>
      </c>
      <c r="B8502" s="120">
        <v>6</v>
      </c>
      <c r="C8502" s="120">
        <v>1</v>
      </c>
      <c r="D8502" s="208">
        <f t="shared" si="993"/>
        <v>45809</v>
      </c>
      <c r="E8502" s="209">
        <f t="shared" si="992"/>
        <v>45809</v>
      </c>
      <c r="F8502" s="515"/>
      <c r="G8502" s="132" t="s">
        <v>1209</v>
      </c>
      <c r="I8502" s="128" t="s">
        <v>1235</v>
      </c>
      <c r="J8502" s="120" t="s">
        <v>16</v>
      </c>
      <c r="K8502" s="207"/>
      <c r="L8502" s="207">
        <v>64020</v>
      </c>
    </row>
    <row r="8503" spans="1:13" ht="11.25" customHeight="1" x14ac:dyDescent="0.2">
      <c r="A8503" s="191">
        <v>2025</v>
      </c>
      <c r="B8503" s="191">
        <v>6</v>
      </c>
      <c r="C8503" s="191">
        <v>1</v>
      </c>
      <c r="D8503" s="192">
        <f t="shared" si="993"/>
        <v>45809</v>
      </c>
      <c r="E8503" s="193">
        <f t="shared" si="992"/>
        <v>45809</v>
      </c>
      <c r="F8503" s="514"/>
      <c r="G8503" s="194" t="s">
        <v>1209</v>
      </c>
      <c r="H8503" s="195"/>
      <c r="I8503" s="195" t="s">
        <v>1235</v>
      </c>
      <c r="J8503" s="191" t="s">
        <v>47</v>
      </c>
      <c r="K8503" s="196"/>
      <c r="L8503" s="196">
        <v>15980</v>
      </c>
    </row>
    <row r="8504" spans="1:13" ht="11.25" customHeight="1" x14ac:dyDescent="0.2">
      <c r="A8504" s="197">
        <v>2025</v>
      </c>
      <c r="B8504" s="197">
        <v>6</v>
      </c>
      <c r="C8504" s="197">
        <v>1</v>
      </c>
      <c r="D8504" s="198">
        <f t="shared" si="993"/>
        <v>45809</v>
      </c>
      <c r="E8504" s="209">
        <f t="shared" si="992"/>
        <v>45809</v>
      </c>
      <c r="F8504" s="513" t="s">
        <v>1423</v>
      </c>
      <c r="G8504" s="200" t="s">
        <v>1209</v>
      </c>
      <c r="H8504" s="201"/>
      <c r="I8504" s="201" t="s">
        <v>1704</v>
      </c>
      <c r="J8504" s="197" t="s">
        <v>16</v>
      </c>
      <c r="K8504" s="202">
        <v>8020</v>
      </c>
      <c r="L8504" s="202"/>
    </row>
    <row r="8505" spans="1:13" ht="11.25" customHeight="1" x14ac:dyDescent="0.2">
      <c r="A8505" s="120">
        <v>2025</v>
      </c>
      <c r="B8505" s="120">
        <v>6</v>
      </c>
      <c r="C8505" s="120">
        <v>1</v>
      </c>
      <c r="D8505" s="208">
        <f t="shared" si="993"/>
        <v>45809</v>
      </c>
      <c r="E8505" s="209">
        <f t="shared" si="992"/>
        <v>45809</v>
      </c>
      <c r="F8505" s="515"/>
      <c r="G8505" s="132" t="s">
        <v>1209</v>
      </c>
      <c r="I8505" s="128" t="s">
        <v>1704</v>
      </c>
      <c r="J8505" s="120" t="s">
        <v>47</v>
      </c>
      <c r="K8505" s="207">
        <v>2001.7900000000009</v>
      </c>
      <c r="L8505" s="207"/>
    </row>
    <row r="8506" spans="1:13" ht="11.25" customHeight="1" x14ac:dyDescent="0.2">
      <c r="A8506" s="191">
        <v>2025</v>
      </c>
      <c r="B8506" s="191">
        <v>6</v>
      </c>
      <c r="C8506" s="191">
        <v>1</v>
      </c>
      <c r="D8506" s="192">
        <f t="shared" si="993"/>
        <v>45809</v>
      </c>
      <c r="E8506" s="193">
        <f t="shared" si="992"/>
        <v>45809</v>
      </c>
      <c r="F8506" s="514"/>
      <c r="G8506" s="194" t="s">
        <v>1209</v>
      </c>
      <c r="H8506" s="195"/>
      <c r="I8506" s="195" t="s">
        <v>1704</v>
      </c>
      <c r="J8506" s="191" t="s">
        <v>46</v>
      </c>
      <c r="K8506" s="196"/>
      <c r="L8506" s="196">
        <v>10021.790000000001</v>
      </c>
    </row>
    <row r="8507" spans="1:13" ht="11.25" customHeight="1" x14ac:dyDescent="0.2">
      <c r="A8507" s="197">
        <v>2025</v>
      </c>
      <c r="B8507" s="197">
        <v>6</v>
      </c>
      <c r="C8507" s="197">
        <v>2</v>
      </c>
      <c r="D8507" s="198">
        <f t="shared" si="993"/>
        <v>45810</v>
      </c>
      <c r="E8507" s="209">
        <f t="shared" ref="E8507:E8509" si="994">DATE(A8507,B8507,C8507)</f>
        <v>45810</v>
      </c>
      <c r="F8507" s="513" t="s">
        <v>1210</v>
      </c>
      <c r="G8507" s="200" t="s">
        <v>1209</v>
      </c>
      <c r="H8507" s="201"/>
      <c r="I8507" s="201" t="s">
        <v>1333</v>
      </c>
      <c r="J8507" s="197" t="s">
        <v>46</v>
      </c>
      <c r="K8507" s="202">
        <v>300000</v>
      </c>
      <c r="L8507" s="202"/>
    </row>
    <row r="8508" spans="1:13" ht="11.25" customHeight="1" x14ac:dyDescent="0.2">
      <c r="A8508" s="120">
        <v>2025</v>
      </c>
      <c r="B8508" s="120">
        <v>6</v>
      </c>
      <c r="C8508" s="120">
        <v>2</v>
      </c>
      <c r="D8508" s="208">
        <f t="shared" si="993"/>
        <v>45810</v>
      </c>
      <c r="E8508" s="209">
        <f t="shared" si="994"/>
        <v>45810</v>
      </c>
      <c r="F8508" s="515"/>
      <c r="G8508" s="132" t="s">
        <v>1209</v>
      </c>
      <c r="I8508" s="128" t="s">
        <v>1333</v>
      </c>
      <c r="J8508" s="120" t="s">
        <v>16</v>
      </c>
      <c r="K8508" s="207"/>
      <c r="L8508" s="207">
        <v>240080</v>
      </c>
    </row>
    <row r="8509" spans="1:13" ht="11.25" customHeight="1" x14ac:dyDescent="0.2">
      <c r="A8509" s="191">
        <v>2025</v>
      </c>
      <c r="B8509" s="191">
        <v>6</v>
      </c>
      <c r="C8509" s="191">
        <v>2</v>
      </c>
      <c r="D8509" s="192">
        <f t="shared" si="993"/>
        <v>45810</v>
      </c>
      <c r="E8509" s="193">
        <f t="shared" si="994"/>
        <v>45810</v>
      </c>
      <c r="F8509" s="514"/>
      <c r="G8509" s="194" t="s">
        <v>1209</v>
      </c>
      <c r="H8509" s="195"/>
      <c r="I8509" s="195" t="s">
        <v>1333</v>
      </c>
      <c r="J8509" s="191" t="s">
        <v>47</v>
      </c>
      <c r="K8509" s="196"/>
      <c r="L8509" s="196">
        <v>59920</v>
      </c>
    </row>
    <row r="8510" spans="1:13" ht="11.25" customHeight="1" x14ac:dyDescent="0.2">
      <c r="A8510" s="197">
        <v>2025</v>
      </c>
      <c r="B8510" s="197">
        <v>6</v>
      </c>
      <c r="C8510" s="197">
        <v>2</v>
      </c>
      <c r="D8510" s="198">
        <f t="shared" si="993"/>
        <v>45810</v>
      </c>
      <c r="E8510" s="209">
        <f t="shared" ref="E8510:E8515" si="995">DATE(A8510,B8510,C8510)</f>
        <v>45810</v>
      </c>
      <c r="F8510" s="513" t="s">
        <v>1210</v>
      </c>
      <c r="G8510" s="200" t="s">
        <v>1209</v>
      </c>
      <c r="H8510" s="201"/>
      <c r="I8510" s="201" t="s">
        <v>1333</v>
      </c>
      <c r="J8510" s="197" t="s">
        <v>46</v>
      </c>
      <c r="K8510" s="202">
        <v>200000</v>
      </c>
      <c r="L8510" s="202"/>
    </row>
    <row r="8511" spans="1:13" ht="11.25" customHeight="1" x14ac:dyDescent="0.2">
      <c r="A8511" s="120">
        <v>2025</v>
      </c>
      <c r="B8511" s="120">
        <v>6</v>
      </c>
      <c r="C8511" s="120">
        <v>2</v>
      </c>
      <c r="D8511" s="208">
        <f t="shared" si="993"/>
        <v>45810</v>
      </c>
      <c r="E8511" s="209">
        <f t="shared" si="995"/>
        <v>45810</v>
      </c>
      <c r="F8511" s="515"/>
      <c r="G8511" s="132" t="s">
        <v>1209</v>
      </c>
      <c r="I8511" s="128" t="s">
        <v>1333</v>
      </c>
      <c r="J8511" s="120" t="s">
        <v>16</v>
      </c>
      <c r="K8511" s="207"/>
      <c r="L8511" s="207">
        <v>160050</v>
      </c>
    </row>
    <row r="8512" spans="1:13" ht="11.25" customHeight="1" x14ac:dyDescent="0.2">
      <c r="A8512" s="191">
        <v>2025</v>
      </c>
      <c r="B8512" s="191">
        <v>6</v>
      </c>
      <c r="C8512" s="191">
        <v>2</v>
      </c>
      <c r="D8512" s="192">
        <f t="shared" si="993"/>
        <v>45810</v>
      </c>
      <c r="E8512" s="193">
        <f t="shared" si="995"/>
        <v>45810</v>
      </c>
      <c r="F8512" s="514"/>
      <c r="G8512" s="194" t="s">
        <v>1209</v>
      </c>
      <c r="H8512" s="195"/>
      <c r="I8512" s="195" t="s">
        <v>1333</v>
      </c>
      <c r="J8512" s="191" t="s">
        <v>47</v>
      </c>
      <c r="K8512" s="196"/>
      <c r="L8512" s="196">
        <v>39950</v>
      </c>
    </row>
    <row r="8513" spans="1:12" ht="11.25" customHeight="1" x14ac:dyDescent="0.2">
      <c r="A8513" s="197">
        <v>2025</v>
      </c>
      <c r="B8513" s="197">
        <v>6</v>
      </c>
      <c r="C8513" s="197">
        <v>2</v>
      </c>
      <c r="D8513" s="198">
        <f t="shared" si="993"/>
        <v>45810</v>
      </c>
      <c r="E8513" s="209">
        <f t="shared" si="995"/>
        <v>45810</v>
      </c>
      <c r="F8513" s="513" t="s">
        <v>1210</v>
      </c>
      <c r="G8513" s="200" t="s">
        <v>1209</v>
      </c>
      <c r="H8513" s="201"/>
      <c r="I8513" s="201" t="s">
        <v>2032</v>
      </c>
      <c r="J8513" s="197" t="s">
        <v>46</v>
      </c>
      <c r="K8513" s="202">
        <v>300000</v>
      </c>
      <c r="L8513" s="202"/>
    </row>
    <row r="8514" spans="1:12" ht="11.25" customHeight="1" x14ac:dyDescent="0.2">
      <c r="A8514" s="120">
        <v>2025</v>
      </c>
      <c r="B8514" s="120">
        <v>6</v>
      </c>
      <c r="C8514" s="120">
        <v>2</v>
      </c>
      <c r="D8514" s="208">
        <f t="shared" si="993"/>
        <v>45810</v>
      </c>
      <c r="E8514" s="209">
        <f t="shared" si="995"/>
        <v>45810</v>
      </c>
      <c r="F8514" s="515"/>
      <c r="G8514" s="132" t="s">
        <v>1209</v>
      </c>
      <c r="I8514" s="128" t="s">
        <v>2032</v>
      </c>
      <c r="J8514" s="120" t="s">
        <v>16</v>
      </c>
      <c r="K8514" s="207"/>
      <c r="L8514" s="207">
        <v>240080</v>
      </c>
    </row>
    <row r="8515" spans="1:12" ht="11.25" customHeight="1" x14ac:dyDescent="0.2">
      <c r="A8515" s="191">
        <v>2025</v>
      </c>
      <c r="B8515" s="191">
        <v>6</v>
      </c>
      <c r="C8515" s="191">
        <v>2</v>
      </c>
      <c r="D8515" s="192">
        <f t="shared" si="993"/>
        <v>45810</v>
      </c>
      <c r="E8515" s="193">
        <f t="shared" si="995"/>
        <v>45810</v>
      </c>
      <c r="F8515" s="514"/>
      <c r="G8515" s="194" t="s">
        <v>1209</v>
      </c>
      <c r="H8515" s="195"/>
      <c r="I8515" s="195" t="s">
        <v>2032</v>
      </c>
      <c r="J8515" s="191" t="s">
        <v>47</v>
      </c>
      <c r="K8515" s="196"/>
      <c r="L8515" s="196">
        <v>59920</v>
      </c>
    </row>
    <row r="8516" spans="1:12" ht="11.25" customHeight="1" x14ac:dyDescent="0.2">
      <c r="A8516" s="197">
        <v>2025</v>
      </c>
      <c r="B8516" s="197">
        <v>6</v>
      </c>
      <c r="C8516" s="197">
        <v>2</v>
      </c>
      <c r="D8516" s="198">
        <f t="shared" si="993"/>
        <v>45810</v>
      </c>
      <c r="E8516" s="209">
        <f t="shared" ref="E8516:E8521" si="996">DATE(A8516,B8516,C8516)</f>
        <v>45810</v>
      </c>
      <c r="F8516" s="513" t="s">
        <v>1210</v>
      </c>
      <c r="G8516" s="200" t="s">
        <v>1209</v>
      </c>
      <c r="H8516" s="201"/>
      <c r="I8516" s="201" t="s">
        <v>2032</v>
      </c>
      <c r="J8516" s="197" t="s">
        <v>46</v>
      </c>
      <c r="K8516" s="202">
        <v>200000</v>
      </c>
      <c r="L8516" s="202"/>
    </row>
    <row r="8517" spans="1:12" ht="11.25" customHeight="1" x14ac:dyDescent="0.2">
      <c r="A8517" s="120">
        <v>2025</v>
      </c>
      <c r="B8517" s="120">
        <v>6</v>
      </c>
      <c r="C8517" s="120">
        <v>2</v>
      </c>
      <c r="D8517" s="208">
        <f t="shared" si="993"/>
        <v>45810</v>
      </c>
      <c r="E8517" s="209">
        <f t="shared" si="996"/>
        <v>45810</v>
      </c>
      <c r="F8517" s="515"/>
      <c r="G8517" s="132" t="s">
        <v>1209</v>
      </c>
      <c r="I8517" s="128" t="s">
        <v>2032</v>
      </c>
      <c r="J8517" s="120" t="s">
        <v>16</v>
      </c>
      <c r="K8517" s="207"/>
      <c r="L8517" s="207">
        <v>160050</v>
      </c>
    </row>
    <row r="8518" spans="1:12" ht="11.25" customHeight="1" x14ac:dyDescent="0.2">
      <c r="A8518" s="191">
        <v>2025</v>
      </c>
      <c r="B8518" s="191">
        <v>6</v>
      </c>
      <c r="C8518" s="191">
        <v>2</v>
      </c>
      <c r="D8518" s="192">
        <f t="shared" si="993"/>
        <v>45810</v>
      </c>
      <c r="E8518" s="193">
        <f t="shared" si="996"/>
        <v>45810</v>
      </c>
      <c r="F8518" s="514"/>
      <c r="G8518" s="194" t="s">
        <v>1209</v>
      </c>
      <c r="H8518" s="195"/>
      <c r="I8518" s="195" t="s">
        <v>2032</v>
      </c>
      <c r="J8518" s="191" t="s">
        <v>47</v>
      </c>
      <c r="K8518" s="196"/>
      <c r="L8518" s="196">
        <v>39950</v>
      </c>
    </row>
    <row r="8519" spans="1:12" ht="11.25" customHeight="1" x14ac:dyDescent="0.2">
      <c r="A8519" s="197">
        <v>2025</v>
      </c>
      <c r="B8519" s="197">
        <v>6</v>
      </c>
      <c r="C8519" s="197">
        <v>3</v>
      </c>
      <c r="D8519" s="198">
        <f t="shared" si="993"/>
        <v>45811</v>
      </c>
      <c r="E8519" s="209">
        <f t="shared" si="996"/>
        <v>45811</v>
      </c>
      <c r="F8519" s="513" t="s">
        <v>1280</v>
      </c>
      <c r="G8519" s="200" t="s">
        <v>1209</v>
      </c>
      <c r="H8519" s="201"/>
      <c r="I8519" s="201" t="s">
        <v>648</v>
      </c>
      <c r="J8519" s="197" t="s">
        <v>16</v>
      </c>
      <c r="K8519" s="202">
        <v>998650</v>
      </c>
      <c r="L8519" s="202"/>
    </row>
    <row r="8520" spans="1:12" ht="11.25" customHeight="1" x14ac:dyDescent="0.2">
      <c r="A8520" s="120">
        <v>2025</v>
      </c>
      <c r="B8520" s="120">
        <v>6</v>
      </c>
      <c r="C8520" s="120">
        <v>3</v>
      </c>
      <c r="D8520" s="208">
        <f t="shared" si="993"/>
        <v>45811</v>
      </c>
      <c r="E8520" s="209">
        <f t="shared" si="996"/>
        <v>45811</v>
      </c>
      <c r="F8520" s="515"/>
      <c r="G8520" s="132" t="s">
        <v>1209</v>
      </c>
      <c r="I8520" s="128" t="s">
        <v>648</v>
      </c>
      <c r="J8520" s="120" t="s">
        <v>47</v>
      </c>
      <c r="K8520" s="207">
        <v>249263.04000000004</v>
      </c>
      <c r="L8520" s="207"/>
    </row>
    <row r="8521" spans="1:12" ht="11.25" customHeight="1" x14ac:dyDescent="0.2">
      <c r="A8521" s="191">
        <v>2025</v>
      </c>
      <c r="B8521" s="191">
        <v>6</v>
      </c>
      <c r="C8521" s="191">
        <v>3</v>
      </c>
      <c r="D8521" s="192">
        <f t="shared" si="993"/>
        <v>45811</v>
      </c>
      <c r="E8521" s="193">
        <f t="shared" si="996"/>
        <v>45811</v>
      </c>
      <c r="F8521" s="514"/>
      <c r="G8521" s="194" t="s">
        <v>1209</v>
      </c>
      <c r="H8521" s="195"/>
      <c r="I8521" s="195" t="s">
        <v>648</v>
      </c>
      <c r="J8521" s="191" t="s">
        <v>46</v>
      </c>
      <c r="K8521" s="196"/>
      <c r="L8521" s="196">
        <v>1247913.04</v>
      </c>
    </row>
    <row r="8522" spans="1:12" ht="11.25" customHeight="1" x14ac:dyDescent="0.2">
      <c r="A8522" s="197">
        <v>2025</v>
      </c>
      <c r="B8522" s="197">
        <v>6</v>
      </c>
      <c r="C8522" s="197">
        <v>3</v>
      </c>
      <c r="D8522" s="198">
        <f t="shared" si="993"/>
        <v>45811</v>
      </c>
      <c r="E8522" s="209">
        <f t="shared" ref="E8522:E8524" si="997">DATE(A8522,B8522,C8522)</f>
        <v>45811</v>
      </c>
      <c r="F8522" s="513" t="s">
        <v>1280</v>
      </c>
      <c r="G8522" s="200" t="s">
        <v>1209</v>
      </c>
      <c r="H8522" s="201"/>
      <c r="I8522" s="201" t="s">
        <v>1438</v>
      </c>
      <c r="J8522" s="197" t="s">
        <v>16</v>
      </c>
      <c r="K8522" s="202">
        <v>350000</v>
      </c>
      <c r="L8522" s="202"/>
    </row>
    <row r="8523" spans="1:12" ht="11.25" customHeight="1" x14ac:dyDescent="0.2">
      <c r="A8523" s="120">
        <v>2025</v>
      </c>
      <c r="B8523" s="120">
        <v>6</v>
      </c>
      <c r="C8523" s="120">
        <v>3</v>
      </c>
      <c r="D8523" s="208">
        <f t="shared" si="993"/>
        <v>45811</v>
      </c>
      <c r="E8523" s="209">
        <f t="shared" si="997"/>
        <v>45811</v>
      </c>
      <c r="F8523" s="515"/>
      <c r="G8523" s="132" t="s">
        <v>1209</v>
      </c>
      <c r="I8523" s="128" t="s">
        <v>1438</v>
      </c>
      <c r="J8523" s="120" t="s">
        <v>47</v>
      </c>
      <c r="K8523" s="207">
        <v>87360</v>
      </c>
      <c r="L8523" s="207"/>
    </row>
    <row r="8524" spans="1:12" ht="11.25" customHeight="1" x14ac:dyDescent="0.2">
      <c r="A8524" s="191">
        <v>2025</v>
      </c>
      <c r="B8524" s="191">
        <v>6</v>
      </c>
      <c r="C8524" s="191">
        <v>3</v>
      </c>
      <c r="D8524" s="192">
        <f t="shared" si="993"/>
        <v>45811</v>
      </c>
      <c r="E8524" s="193">
        <f t="shared" si="997"/>
        <v>45811</v>
      </c>
      <c r="F8524" s="514"/>
      <c r="G8524" s="194" t="s">
        <v>1209</v>
      </c>
      <c r="H8524" s="195"/>
      <c r="I8524" s="195" t="s">
        <v>1438</v>
      </c>
      <c r="J8524" s="191" t="s">
        <v>46</v>
      </c>
      <c r="K8524" s="196"/>
      <c r="L8524" s="196">
        <v>437360</v>
      </c>
    </row>
    <row r="8525" spans="1:12" ht="11.25" customHeight="1" x14ac:dyDescent="0.2">
      <c r="A8525" s="197">
        <v>2025</v>
      </c>
      <c r="B8525" s="197">
        <v>6</v>
      </c>
      <c r="C8525" s="197">
        <v>3</v>
      </c>
      <c r="D8525" s="198">
        <f t="shared" si="993"/>
        <v>45811</v>
      </c>
      <c r="E8525" s="209">
        <f t="shared" ref="E8525:E8530" si="998">DATE(A8525,B8525,C8525)</f>
        <v>45811</v>
      </c>
      <c r="F8525" s="513" t="s">
        <v>1280</v>
      </c>
      <c r="G8525" s="200" t="s">
        <v>1209</v>
      </c>
      <c r="H8525" s="201"/>
      <c r="I8525" s="201" t="s">
        <v>1619</v>
      </c>
      <c r="J8525" s="197" t="s">
        <v>16</v>
      </c>
      <c r="K8525" s="202">
        <v>1248340</v>
      </c>
      <c r="L8525" s="202"/>
    </row>
    <row r="8526" spans="1:12" ht="11.25" customHeight="1" x14ac:dyDescent="0.2">
      <c r="A8526" s="120">
        <v>2025</v>
      </c>
      <c r="B8526" s="120">
        <v>6</v>
      </c>
      <c r="C8526" s="120">
        <v>3</v>
      </c>
      <c r="D8526" s="208">
        <f t="shared" si="993"/>
        <v>45811</v>
      </c>
      <c r="E8526" s="209">
        <f t="shared" si="998"/>
        <v>45811</v>
      </c>
      <c r="F8526" s="515"/>
      <c r="G8526" s="132" t="s">
        <v>1209</v>
      </c>
      <c r="I8526" s="128" t="s">
        <v>1619</v>
      </c>
      <c r="J8526" s="120" t="s">
        <v>47</v>
      </c>
      <c r="K8526" s="207">
        <v>311585.65999999992</v>
      </c>
      <c r="L8526" s="207"/>
    </row>
    <row r="8527" spans="1:12" ht="11.25" customHeight="1" x14ac:dyDescent="0.2">
      <c r="A8527" s="191">
        <v>2025</v>
      </c>
      <c r="B8527" s="191">
        <v>6</v>
      </c>
      <c r="C8527" s="191">
        <v>3</v>
      </c>
      <c r="D8527" s="192">
        <f t="shared" si="993"/>
        <v>45811</v>
      </c>
      <c r="E8527" s="193">
        <f t="shared" si="998"/>
        <v>45811</v>
      </c>
      <c r="F8527" s="514"/>
      <c r="G8527" s="194" t="s">
        <v>1209</v>
      </c>
      <c r="H8527" s="195"/>
      <c r="I8527" s="195" t="s">
        <v>1619</v>
      </c>
      <c r="J8527" s="191" t="s">
        <v>46</v>
      </c>
      <c r="K8527" s="196"/>
      <c r="L8527" s="196">
        <v>1559925.66</v>
      </c>
    </row>
    <row r="8528" spans="1:12" ht="11.25" customHeight="1" x14ac:dyDescent="0.2">
      <c r="A8528" s="197">
        <v>2025</v>
      </c>
      <c r="B8528" s="197">
        <v>6</v>
      </c>
      <c r="C8528" s="197">
        <v>3</v>
      </c>
      <c r="D8528" s="198">
        <f t="shared" si="993"/>
        <v>45811</v>
      </c>
      <c r="E8528" s="209">
        <f t="shared" si="998"/>
        <v>45811</v>
      </c>
      <c r="F8528" s="513" t="s">
        <v>1210</v>
      </c>
      <c r="G8528" s="200" t="s">
        <v>1209</v>
      </c>
      <c r="H8528" s="201"/>
      <c r="I8528" s="201" t="s">
        <v>658</v>
      </c>
      <c r="J8528" s="197" t="s">
        <v>46</v>
      </c>
      <c r="K8528" s="202">
        <v>1500000</v>
      </c>
      <c r="L8528" s="202"/>
    </row>
    <row r="8529" spans="1:15" ht="11.25" customHeight="1" x14ac:dyDescent="0.2">
      <c r="A8529" s="120">
        <v>2025</v>
      </c>
      <c r="B8529" s="120">
        <v>6</v>
      </c>
      <c r="C8529" s="120">
        <v>3</v>
      </c>
      <c r="D8529" s="208">
        <f t="shared" si="993"/>
        <v>45811</v>
      </c>
      <c r="E8529" s="209">
        <f t="shared" si="998"/>
        <v>45811</v>
      </c>
      <c r="F8529" s="515"/>
      <c r="G8529" s="132" t="s">
        <v>1209</v>
      </c>
      <c r="I8529" s="128" t="s">
        <v>658</v>
      </c>
      <c r="J8529" s="120" t="s">
        <v>16</v>
      </c>
      <c r="K8529" s="207"/>
      <c r="L8529" s="207">
        <v>1200380</v>
      </c>
    </row>
    <row r="8530" spans="1:15" ht="11.25" customHeight="1" x14ac:dyDescent="0.2">
      <c r="A8530" s="191">
        <v>2025</v>
      </c>
      <c r="B8530" s="191">
        <v>6</v>
      </c>
      <c r="C8530" s="191">
        <v>3</v>
      </c>
      <c r="D8530" s="192">
        <f t="shared" si="993"/>
        <v>45811</v>
      </c>
      <c r="E8530" s="193">
        <f t="shared" si="998"/>
        <v>45811</v>
      </c>
      <c r="F8530" s="514"/>
      <c r="G8530" s="194" t="s">
        <v>1209</v>
      </c>
      <c r="H8530" s="195"/>
      <c r="I8530" s="195" t="s">
        <v>658</v>
      </c>
      <c r="J8530" s="191" t="s">
        <v>47</v>
      </c>
      <c r="K8530" s="196"/>
      <c r="L8530" s="196">
        <v>299620</v>
      </c>
    </row>
    <row r="8531" spans="1:15" ht="11.25" customHeight="1" x14ac:dyDescent="0.2">
      <c r="A8531" s="197">
        <v>2025</v>
      </c>
      <c r="B8531" s="197">
        <v>6</v>
      </c>
      <c r="C8531" s="197">
        <v>3</v>
      </c>
      <c r="D8531" s="198">
        <f t="shared" si="993"/>
        <v>45811</v>
      </c>
      <c r="E8531" s="209">
        <f t="shared" ref="E8531:E8533" si="999">DATE(A8531,B8531,C8531)</f>
        <v>45811</v>
      </c>
      <c r="F8531" s="513" t="s">
        <v>1210</v>
      </c>
      <c r="G8531" s="200" t="s">
        <v>1209</v>
      </c>
      <c r="H8531" s="201"/>
      <c r="I8531" s="201" t="s">
        <v>658</v>
      </c>
      <c r="J8531" s="197" t="s">
        <v>46</v>
      </c>
      <c r="K8531" s="202">
        <v>1500000</v>
      </c>
      <c r="L8531" s="202"/>
    </row>
    <row r="8532" spans="1:15" ht="11.25" customHeight="1" x14ac:dyDescent="0.2">
      <c r="A8532" s="120">
        <v>2025</v>
      </c>
      <c r="B8532" s="120">
        <v>6</v>
      </c>
      <c r="C8532" s="120">
        <v>3</v>
      </c>
      <c r="D8532" s="208">
        <f t="shared" si="993"/>
        <v>45811</v>
      </c>
      <c r="E8532" s="209">
        <f t="shared" si="999"/>
        <v>45811</v>
      </c>
      <c r="F8532" s="515"/>
      <c r="G8532" s="132" t="s">
        <v>1209</v>
      </c>
      <c r="I8532" s="128" t="s">
        <v>658</v>
      </c>
      <c r="J8532" s="120" t="s">
        <v>16</v>
      </c>
      <c r="K8532" s="207"/>
      <c r="L8532" s="207">
        <v>1200380</v>
      </c>
    </row>
    <row r="8533" spans="1:15" ht="11.25" customHeight="1" x14ac:dyDescent="0.2">
      <c r="A8533" s="191">
        <v>2025</v>
      </c>
      <c r="B8533" s="191">
        <v>6</v>
      </c>
      <c r="C8533" s="191">
        <v>3</v>
      </c>
      <c r="D8533" s="192">
        <f t="shared" si="993"/>
        <v>45811</v>
      </c>
      <c r="E8533" s="193">
        <f t="shared" si="999"/>
        <v>45811</v>
      </c>
      <c r="F8533" s="514"/>
      <c r="G8533" s="194" t="s">
        <v>1209</v>
      </c>
      <c r="H8533" s="195"/>
      <c r="I8533" s="195" t="s">
        <v>658</v>
      </c>
      <c r="J8533" s="191" t="s">
        <v>47</v>
      </c>
      <c r="K8533" s="196"/>
      <c r="L8533" s="196">
        <v>299620</v>
      </c>
    </row>
    <row r="8534" spans="1:15" ht="11.25" customHeight="1" x14ac:dyDescent="0.2">
      <c r="A8534" s="197">
        <v>2025</v>
      </c>
      <c r="B8534" s="197">
        <v>6</v>
      </c>
      <c r="C8534" s="197">
        <v>3</v>
      </c>
      <c r="D8534" s="198">
        <f t="shared" si="993"/>
        <v>45811</v>
      </c>
      <c r="E8534" s="209">
        <f t="shared" ref="E8534:E8536" si="1000">DATE(A8534,B8534,C8534)</f>
        <v>45811</v>
      </c>
      <c r="F8534" s="513" t="s">
        <v>1210</v>
      </c>
      <c r="G8534" s="200" t="s">
        <v>1209</v>
      </c>
      <c r="H8534" s="201"/>
      <c r="I8534" s="201" t="s">
        <v>658</v>
      </c>
      <c r="J8534" s="197" t="s">
        <v>46</v>
      </c>
      <c r="K8534" s="202">
        <v>1600000</v>
      </c>
      <c r="L8534" s="202"/>
    </row>
    <row r="8535" spans="1:15" ht="11.25" customHeight="1" x14ac:dyDescent="0.2">
      <c r="A8535" s="120">
        <v>2025</v>
      </c>
      <c r="B8535" s="120">
        <v>6</v>
      </c>
      <c r="C8535" s="120">
        <v>3</v>
      </c>
      <c r="D8535" s="208">
        <f t="shared" si="993"/>
        <v>45811</v>
      </c>
      <c r="E8535" s="209">
        <f t="shared" si="1000"/>
        <v>45811</v>
      </c>
      <c r="F8535" s="515"/>
      <c r="G8535" s="132" t="s">
        <v>1209</v>
      </c>
      <c r="I8535" s="128" t="s">
        <v>658</v>
      </c>
      <c r="J8535" s="120" t="s">
        <v>16</v>
      </c>
      <c r="K8535" s="207"/>
      <c r="L8535" s="207">
        <v>1280410</v>
      </c>
    </row>
    <row r="8536" spans="1:15" ht="11.25" customHeight="1" x14ac:dyDescent="0.2">
      <c r="A8536" s="191">
        <v>2025</v>
      </c>
      <c r="B8536" s="191">
        <v>6</v>
      </c>
      <c r="C8536" s="191">
        <v>3</v>
      </c>
      <c r="D8536" s="192">
        <f t="shared" si="993"/>
        <v>45811</v>
      </c>
      <c r="E8536" s="193">
        <f t="shared" si="1000"/>
        <v>45811</v>
      </c>
      <c r="F8536" s="514"/>
      <c r="G8536" s="194" t="s">
        <v>1209</v>
      </c>
      <c r="H8536" s="195"/>
      <c r="I8536" s="195" t="s">
        <v>658</v>
      </c>
      <c r="J8536" s="191" t="s">
        <v>47</v>
      </c>
      <c r="K8536" s="196"/>
      <c r="L8536" s="196">
        <v>319590</v>
      </c>
    </row>
    <row r="8537" spans="1:15" ht="11.25" customHeight="1" x14ac:dyDescent="0.2">
      <c r="A8537" s="197">
        <v>2025</v>
      </c>
      <c r="B8537" s="197">
        <v>6</v>
      </c>
      <c r="C8537" s="197">
        <v>3</v>
      </c>
      <c r="D8537" s="198">
        <f t="shared" si="993"/>
        <v>45811</v>
      </c>
      <c r="E8537" s="290">
        <f>DATE(A8537,B8537,C8537)</f>
        <v>45811</v>
      </c>
      <c r="F8537" s="513" t="s">
        <v>1514</v>
      </c>
      <c r="G8537" s="200" t="s">
        <v>1209</v>
      </c>
      <c r="H8537" s="201"/>
      <c r="I8537" s="201"/>
      <c r="J8537" s="197" t="s">
        <v>54</v>
      </c>
      <c r="K8537" s="202">
        <v>120</v>
      </c>
      <c r="L8537" s="202"/>
      <c r="M8537" s="251"/>
      <c r="N8537" s="251"/>
      <c r="O8537" s="251"/>
    </row>
    <row r="8538" spans="1:15" ht="11.25" customHeight="1" x14ac:dyDescent="0.2">
      <c r="A8538" s="191">
        <v>2025</v>
      </c>
      <c r="B8538" s="191">
        <v>6</v>
      </c>
      <c r="C8538" s="191">
        <v>3</v>
      </c>
      <c r="D8538" s="192">
        <f t="shared" si="993"/>
        <v>45811</v>
      </c>
      <c r="E8538" s="291">
        <f>DATE(A8538,B8538,C8538)</f>
        <v>45811</v>
      </c>
      <c r="F8538" s="514"/>
      <c r="G8538" s="194" t="s">
        <v>1209</v>
      </c>
      <c r="H8538" s="195"/>
      <c r="I8538" s="195"/>
      <c r="J8538" s="191" t="s">
        <v>46</v>
      </c>
      <c r="K8538" s="196"/>
      <c r="L8538" s="196">
        <v>120</v>
      </c>
      <c r="M8538" s="251"/>
      <c r="N8538" s="251"/>
      <c r="O8538" s="251"/>
    </row>
    <row r="8539" spans="1:15" ht="11.25" customHeight="1" x14ac:dyDescent="0.2">
      <c r="A8539" s="197">
        <v>2025</v>
      </c>
      <c r="B8539" s="197">
        <v>6</v>
      </c>
      <c r="C8539" s="197">
        <v>4</v>
      </c>
      <c r="D8539" s="198">
        <f t="shared" si="993"/>
        <v>45812</v>
      </c>
      <c r="E8539" s="209">
        <f t="shared" ref="E8539:E8541" si="1001">DATE(A8539,B8539,C8539)</f>
        <v>45812</v>
      </c>
      <c r="F8539" s="513" t="s">
        <v>1210</v>
      </c>
      <c r="G8539" s="200" t="s">
        <v>1209</v>
      </c>
      <c r="H8539" s="201"/>
      <c r="I8539" s="201" t="s">
        <v>2031</v>
      </c>
      <c r="J8539" s="197" t="s">
        <v>46</v>
      </c>
      <c r="K8539" s="202">
        <v>10000</v>
      </c>
      <c r="L8539" s="202"/>
    </row>
    <row r="8540" spans="1:15" ht="11.25" customHeight="1" x14ac:dyDescent="0.2">
      <c r="A8540" s="120">
        <v>2025</v>
      </c>
      <c r="B8540" s="120">
        <v>6</v>
      </c>
      <c r="C8540" s="120">
        <v>4</v>
      </c>
      <c r="D8540" s="208">
        <f t="shared" si="993"/>
        <v>45812</v>
      </c>
      <c r="E8540" s="209">
        <f t="shared" si="1001"/>
        <v>45812</v>
      </c>
      <c r="F8540" s="515"/>
      <c r="G8540" s="132" t="s">
        <v>1209</v>
      </c>
      <c r="I8540" s="128" t="s">
        <v>2031</v>
      </c>
      <c r="J8540" s="120" t="s">
        <v>16</v>
      </c>
      <c r="K8540" s="207"/>
      <c r="L8540" s="207">
        <v>8000</v>
      </c>
    </row>
    <row r="8541" spans="1:15" ht="11.25" customHeight="1" x14ac:dyDescent="0.2">
      <c r="A8541" s="191">
        <v>2025</v>
      </c>
      <c r="B8541" s="191">
        <v>6</v>
      </c>
      <c r="C8541" s="191">
        <v>4</v>
      </c>
      <c r="D8541" s="192">
        <f t="shared" si="993"/>
        <v>45812</v>
      </c>
      <c r="E8541" s="193">
        <f t="shared" si="1001"/>
        <v>45812</v>
      </c>
      <c r="F8541" s="514"/>
      <c r="G8541" s="194" t="s">
        <v>1209</v>
      </c>
      <c r="H8541" s="195"/>
      <c r="I8541" s="195" t="s">
        <v>2031</v>
      </c>
      <c r="J8541" s="191" t="s">
        <v>47</v>
      </c>
      <c r="K8541" s="196"/>
      <c r="L8541" s="196">
        <v>2000</v>
      </c>
    </row>
    <row r="8542" spans="1:15" ht="11.25" customHeight="1" x14ac:dyDescent="0.2">
      <c r="A8542" s="197">
        <v>2025</v>
      </c>
      <c r="B8542" s="197">
        <v>6</v>
      </c>
      <c r="C8542" s="197">
        <v>4</v>
      </c>
      <c r="D8542" s="198">
        <f t="shared" si="993"/>
        <v>45812</v>
      </c>
      <c r="E8542" s="209">
        <f t="shared" ref="E8542:E8566" si="1002">DATE(A8542,B8542,C8542)</f>
        <v>45812</v>
      </c>
      <c r="F8542" s="513" t="s">
        <v>1210</v>
      </c>
      <c r="G8542" s="200" t="s">
        <v>1209</v>
      </c>
      <c r="H8542" s="201"/>
      <c r="I8542" s="201" t="s">
        <v>1223</v>
      </c>
      <c r="J8542" s="197" t="s">
        <v>46</v>
      </c>
      <c r="K8542" s="202">
        <v>1500000</v>
      </c>
      <c r="L8542" s="202"/>
    </row>
    <row r="8543" spans="1:15" ht="11.25" customHeight="1" x14ac:dyDescent="0.2">
      <c r="A8543" s="120">
        <v>2025</v>
      </c>
      <c r="B8543" s="120">
        <v>6</v>
      </c>
      <c r="C8543" s="120">
        <v>4</v>
      </c>
      <c r="D8543" s="208">
        <f t="shared" si="993"/>
        <v>45812</v>
      </c>
      <c r="E8543" s="209">
        <f t="shared" si="1002"/>
        <v>45812</v>
      </c>
      <c r="F8543" s="515"/>
      <c r="G8543" s="132" t="s">
        <v>1209</v>
      </c>
      <c r="I8543" s="128" t="s">
        <v>1223</v>
      </c>
      <c r="J8543" s="120" t="s">
        <v>16</v>
      </c>
      <c r="K8543" s="207"/>
      <c r="L8543" s="207">
        <v>1200380</v>
      </c>
    </row>
    <row r="8544" spans="1:15" ht="11.25" customHeight="1" x14ac:dyDescent="0.2">
      <c r="A8544" s="191">
        <v>2025</v>
      </c>
      <c r="B8544" s="191">
        <v>6</v>
      </c>
      <c r="C8544" s="191">
        <v>4</v>
      </c>
      <c r="D8544" s="192">
        <f t="shared" si="993"/>
        <v>45812</v>
      </c>
      <c r="E8544" s="193">
        <f t="shared" si="1002"/>
        <v>45812</v>
      </c>
      <c r="F8544" s="514"/>
      <c r="G8544" s="194" t="s">
        <v>1209</v>
      </c>
      <c r="H8544" s="195"/>
      <c r="I8544" s="195" t="s">
        <v>1223</v>
      </c>
      <c r="J8544" s="191" t="s">
        <v>47</v>
      </c>
      <c r="K8544" s="196"/>
      <c r="L8544" s="196">
        <v>299620</v>
      </c>
    </row>
    <row r="8545" spans="1:15" ht="11.25" customHeight="1" x14ac:dyDescent="0.2">
      <c r="A8545" s="197">
        <v>2025</v>
      </c>
      <c r="B8545" s="197">
        <v>6</v>
      </c>
      <c r="C8545" s="197">
        <v>4</v>
      </c>
      <c r="D8545" s="198">
        <f t="shared" si="993"/>
        <v>45812</v>
      </c>
      <c r="E8545" s="290">
        <f t="shared" si="1002"/>
        <v>45812</v>
      </c>
      <c r="F8545" s="513" t="s">
        <v>2037</v>
      </c>
      <c r="G8545" s="200" t="s">
        <v>1209</v>
      </c>
      <c r="H8545" s="201"/>
      <c r="I8545" s="201" t="s">
        <v>1253</v>
      </c>
      <c r="J8545" s="197" t="s">
        <v>178</v>
      </c>
      <c r="K8545" s="202">
        <v>2047225</v>
      </c>
      <c r="L8545" s="202"/>
    </row>
    <row r="8546" spans="1:15" ht="11.25" customHeight="1" x14ac:dyDescent="0.2">
      <c r="A8546" s="191">
        <v>2025</v>
      </c>
      <c r="B8546" s="191">
        <v>6</v>
      </c>
      <c r="C8546" s="191">
        <v>4</v>
      </c>
      <c r="D8546" s="192">
        <f t="shared" si="993"/>
        <v>45812</v>
      </c>
      <c r="E8546" s="291">
        <f t="shared" si="1002"/>
        <v>45812</v>
      </c>
      <c r="F8546" s="514"/>
      <c r="G8546" s="194" t="s">
        <v>1209</v>
      </c>
      <c r="H8546" s="195"/>
      <c r="I8546" s="195"/>
      <c r="J8546" s="191" t="s">
        <v>1845</v>
      </c>
      <c r="K8546" s="196"/>
      <c r="L8546" s="196">
        <v>2047225</v>
      </c>
    </row>
    <row r="8547" spans="1:15" ht="11.25" customHeight="1" x14ac:dyDescent="0.2">
      <c r="A8547" s="197">
        <v>2025</v>
      </c>
      <c r="B8547" s="197">
        <v>6</v>
      </c>
      <c r="C8547" s="197">
        <v>4</v>
      </c>
      <c r="D8547" s="198">
        <f t="shared" si="993"/>
        <v>45812</v>
      </c>
      <c r="E8547" s="209">
        <f t="shared" si="1002"/>
        <v>45812</v>
      </c>
      <c r="F8547" s="513" t="s">
        <v>1280</v>
      </c>
      <c r="G8547" s="200" t="s">
        <v>1209</v>
      </c>
      <c r="H8547" s="201"/>
      <c r="I8547" s="201" t="s">
        <v>349</v>
      </c>
      <c r="J8547" s="197" t="s">
        <v>16</v>
      </c>
      <c r="K8547" s="202">
        <v>400130</v>
      </c>
      <c r="L8547" s="202"/>
    </row>
    <row r="8548" spans="1:15" ht="11.25" customHeight="1" x14ac:dyDescent="0.2">
      <c r="A8548" s="120">
        <v>2025</v>
      </c>
      <c r="B8548" s="120">
        <v>6</v>
      </c>
      <c r="C8548" s="120">
        <v>4</v>
      </c>
      <c r="D8548" s="208">
        <f t="shared" si="993"/>
        <v>45812</v>
      </c>
      <c r="E8548" s="209">
        <f t="shared" si="1002"/>
        <v>45812</v>
      </c>
      <c r="F8548" s="515"/>
      <c r="G8548" s="132" t="s">
        <v>1209</v>
      </c>
      <c r="I8548" s="128" t="s">
        <v>349</v>
      </c>
      <c r="J8548" s="120" t="s">
        <v>47</v>
      </c>
      <c r="K8548" s="207">
        <v>99870</v>
      </c>
      <c r="L8548" s="207"/>
    </row>
    <row r="8549" spans="1:15" ht="11.25" customHeight="1" x14ac:dyDescent="0.2">
      <c r="A8549" s="191">
        <v>2025</v>
      </c>
      <c r="B8549" s="191">
        <v>6</v>
      </c>
      <c r="C8549" s="191">
        <v>4</v>
      </c>
      <c r="D8549" s="192">
        <f t="shared" si="993"/>
        <v>45812</v>
      </c>
      <c r="E8549" s="193">
        <f t="shared" si="1002"/>
        <v>45812</v>
      </c>
      <c r="F8549" s="514"/>
      <c r="G8549" s="194" t="s">
        <v>1209</v>
      </c>
      <c r="H8549" s="195"/>
      <c r="I8549" s="195" t="s">
        <v>349</v>
      </c>
      <c r="J8549" s="191" t="s">
        <v>46</v>
      </c>
      <c r="K8549" s="196"/>
      <c r="L8549" s="196">
        <v>500000</v>
      </c>
    </row>
    <row r="8550" spans="1:15" ht="11.25" customHeight="1" x14ac:dyDescent="0.2">
      <c r="A8550" s="197">
        <v>2025</v>
      </c>
      <c r="B8550" s="197">
        <v>6</v>
      </c>
      <c r="C8550" s="197">
        <v>4</v>
      </c>
      <c r="D8550" s="198">
        <f t="shared" si="993"/>
        <v>45812</v>
      </c>
      <c r="E8550" s="209">
        <f t="shared" si="1002"/>
        <v>45812</v>
      </c>
      <c r="F8550" s="513" t="s">
        <v>1210</v>
      </c>
      <c r="G8550" s="200" t="s">
        <v>1209</v>
      </c>
      <c r="H8550" s="201"/>
      <c r="I8550" s="201" t="s">
        <v>1333</v>
      </c>
      <c r="J8550" s="197" t="s">
        <v>46</v>
      </c>
      <c r="K8550" s="202">
        <v>200000</v>
      </c>
      <c r="L8550" s="202"/>
    </row>
    <row r="8551" spans="1:15" ht="11.25" customHeight="1" x14ac:dyDescent="0.2">
      <c r="A8551" s="120">
        <v>2025</v>
      </c>
      <c r="B8551" s="120">
        <v>6</v>
      </c>
      <c r="C8551" s="120">
        <v>4</v>
      </c>
      <c r="D8551" s="208">
        <f t="shared" si="993"/>
        <v>45812</v>
      </c>
      <c r="E8551" s="209">
        <f t="shared" si="1002"/>
        <v>45812</v>
      </c>
      <c r="F8551" s="515"/>
      <c r="G8551" s="132" t="s">
        <v>1209</v>
      </c>
      <c r="I8551" s="128" t="s">
        <v>1333</v>
      </c>
      <c r="J8551" s="120" t="s">
        <v>16</v>
      </c>
      <c r="K8551" s="207"/>
      <c r="L8551" s="207">
        <v>160050</v>
      </c>
    </row>
    <row r="8552" spans="1:15" ht="11.25" customHeight="1" x14ac:dyDescent="0.2">
      <c r="A8552" s="191">
        <v>2025</v>
      </c>
      <c r="B8552" s="191">
        <v>6</v>
      </c>
      <c r="C8552" s="191">
        <v>4</v>
      </c>
      <c r="D8552" s="192">
        <f t="shared" si="993"/>
        <v>45812</v>
      </c>
      <c r="E8552" s="193">
        <f t="shared" si="1002"/>
        <v>45812</v>
      </c>
      <c r="F8552" s="514"/>
      <c r="G8552" s="194" t="s">
        <v>1209</v>
      </c>
      <c r="H8552" s="195"/>
      <c r="I8552" s="195" t="s">
        <v>1333</v>
      </c>
      <c r="J8552" s="191" t="s">
        <v>47</v>
      </c>
      <c r="K8552" s="196"/>
      <c r="L8552" s="196">
        <v>39950</v>
      </c>
    </row>
    <row r="8553" spans="1:15" ht="11.25" customHeight="1" x14ac:dyDescent="0.2">
      <c r="A8553" s="197">
        <v>2025</v>
      </c>
      <c r="B8553" s="197">
        <v>6</v>
      </c>
      <c r="C8553" s="197">
        <v>4</v>
      </c>
      <c r="D8553" s="198">
        <f t="shared" si="993"/>
        <v>45812</v>
      </c>
      <c r="E8553" s="290">
        <f t="shared" si="1002"/>
        <v>45812</v>
      </c>
      <c r="F8553" s="513" t="s">
        <v>2035</v>
      </c>
      <c r="G8553" s="200" t="s">
        <v>1245</v>
      </c>
      <c r="H8553" s="201"/>
      <c r="I8553" s="201" t="s">
        <v>1253</v>
      </c>
      <c r="J8553" s="197" t="s">
        <v>46</v>
      </c>
      <c r="K8553" s="202">
        <v>142333.32999999999</v>
      </c>
      <c r="L8553" s="202"/>
      <c r="M8553" s="130"/>
    </row>
    <row r="8554" spans="1:15" ht="11.25" customHeight="1" x14ac:dyDescent="0.2">
      <c r="A8554" s="191">
        <v>2025</v>
      </c>
      <c r="B8554" s="191">
        <v>6</v>
      </c>
      <c r="C8554" s="191">
        <v>4</v>
      </c>
      <c r="D8554" s="192">
        <f t="shared" si="993"/>
        <v>45812</v>
      </c>
      <c r="E8554" s="291">
        <f t="shared" si="1002"/>
        <v>45812</v>
      </c>
      <c r="F8554" s="513"/>
      <c r="G8554" s="194" t="s">
        <v>1245</v>
      </c>
      <c r="H8554" s="195"/>
      <c r="I8554" s="195" t="s">
        <v>1253</v>
      </c>
      <c r="J8554" s="191" t="s">
        <v>113</v>
      </c>
      <c r="K8554" s="196"/>
      <c r="L8554" s="379">
        <v>142333.32999999999</v>
      </c>
    </row>
    <row r="8555" spans="1:15" ht="11.25" customHeight="1" x14ac:dyDescent="0.2">
      <c r="A8555" s="197">
        <v>2025</v>
      </c>
      <c r="B8555" s="197">
        <v>6</v>
      </c>
      <c r="C8555" s="197">
        <v>4</v>
      </c>
      <c r="D8555" s="198">
        <f t="shared" si="993"/>
        <v>45812</v>
      </c>
      <c r="E8555" s="290">
        <f>DATE(A8555,B8555,C8555)</f>
        <v>45812</v>
      </c>
      <c r="F8555" s="513" t="s">
        <v>1514</v>
      </c>
      <c r="G8555" s="200" t="s">
        <v>1209</v>
      </c>
      <c r="H8555" s="201"/>
      <c r="I8555" s="201"/>
      <c r="J8555" s="197" t="s">
        <v>54</v>
      </c>
      <c r="K8555" s="202">
        <v>25</v>
      </c>
      <c r="L8555" s="202"/>
      <c r="M8555" s="251"/>
      <c r="N8555" s="251"/>
      <c r="O8555" s="251"/>
    </row>
    <row r="8556" spans="1:15" ht="11.25" customHeight="1" x14ac:dyDescent="0.2">
      <c r="A8556" s="191">
        <v>2025</v>
      </c>
      <c r="B8556" s="191">
        <v>6</v>
      </c>
      <c r="C8556" s="191">
        <v>4</v>
      </c>
      <c r="D8556" s="192">
        <f t="shared" ref="D8556:D8619" si="1003">DATE(A8556,B8556,C8556)</f>
        <v>45812</v>
      </c>
      <c r="E8556" s="291">
        <f>DATE(A8556,B8556,C8556)</f>
        <v>45812</v>
      </c>
      <c r="F8556" s="514"/>
      <c r="G8556" s="194" t="s">
        <v>1209</v>
      </c>
      <c r="H8556" s="195"/>
      <c r="I8556" s="195"/>
      <c r="J8556" s="191" t="s">
        <v>46</v>
      </c>
      <c r="K8556" s="196"/>
      <c r="L8556" s="196">
        <v>25</v>
      </c>
      <c r="M8556" s="251"/>
      <c r="N8556" s="251"/>
      <c r="O8556" s="251"/>
    </row>
    <row r="8557" spans="1:15" ht="11.25" customHeight="1" x14ac:dyDescent="0.2">
      <c r="A8557" s="424">
        <v>2025</v>
      </c>
      <c r="B8557" s="424">
        <v>6</v>
      </c>
      <c r="C8557" s="424">
        <v>4</v>
      </c>
      <c r="D8557" s="425">
        <f t="shared" si="1003"/>
        <v>45812</v>
      </c>
      <c r="E8557" s="384">
        <f t="shared" si="1002"/>
        <v>45812</v>
      </c>
      <c r="F8557" s="516" t="s">
        <v>1850</v>
      </c>
      <c r="G8557" s="426" t="s">
        <v>1209</v>
      </c>
      <c r="H8557" s="427"/>
      <c r="I8557" s="427"/>
      <c r="J8557" s="428" t="s">
        <v>81</v>
      </c>
      <c r="K8557" s="429">
        <v>13946.490196078432</v>
      </c>
      <c r="L8557" s="429"/>
      <c r="M8557" s="130"/>
    </row>
    <row r="8558" spans="1:15" ht="11.25" customHeight="1" x14ac:dyDescent="0.2">
      <c r="A8558" s="389">
        <v>2025</v>
      </c>
      <c r="B8558" s="389">
        <v>6</v>
      </c>
      <c r="C8558" s="389">
        <v>4</v>
      </c>
      <c r="D8558" s="390">
        <f t="shared" si="1003"/>
        <v>45812</v>
      </c>
      <c r="E8558" s="391">
        <f t="shared" si="1002"/>
        <v>45812</v>
      </c>
      <c r="F8558" s="517"/>
      <c r="G8558" s="392" t="s">
        <v>1209</v>
      </c>
      <c r="H8558" s="393"/>
      <c r="I8558" s="393"/>
      <c r="J8558" s="394" t="s">
        <v>1847</v>
      </c>
      <c r="K8558" s="423"/>
      <c r="L8558" s="423">
        <v>13946.490196078432</v>
      </c>
    </row>
    <row r="8559" spans="1:15" ht="11.25" customHeight="1" x14ac:dyDescent="0.2">
      <c r="A8559" s="382">
        <v>2025</v>
      </c>
      <c r="B8559" s="382">
        <v>6</v>
      </c>
      <c r="C8559" s="382">
        <v>4</v>
      </c>
      <c r="D8559" s="383">
        <f t="shared" si="1003"/>
        <v>45812</v>
      </c>
      <c r="E8559" s="384">
        <f t="shared" si="1002"/>
        <v>45812</v>
      </c>
      <c r="F8559" s="516" t="s">
        <v>1892</v>
      </c>
      <c r="G8559" s="385" t="s">
        <v>1209</v>
      </c>
      <c r="H8559" s="386"/>
      <c r="I8559" s="386"/>
      <c r="J8559" s="387" t="s">
        <v>173</v>
      </c>
      <c r="K8559" s="388">
        <v>9650.4171622708345</v>
      </c>
      <c r="L8559" s="388"/>
      <c r="M8559" s="130"/>
    </row>
    <row r="8560" spans="1:15" ht="11.25" customHeight="1" x14ac:dyDescent="0.2">
      <c r="A8560" s="389">
        <v>2025</v>
      </c>
      <c r="B8560" s="389">
        <v>6</v>
      </c>
      <c r="C8560" s="389">
        <v>4</v>
      </c>
      <c r="D8560" s="390">
        <f t="shared" si="1003"/>
        <v>45812</v>
      </c>
      <c r="E8560" s="391">
        <f t="shared" si="1002"/>
        <v>45812</v>
      </c>
      <c r="F8560" s="517"/>
      <c r="G8560" s="392" t="s">
        <v>1209</v>
      </c>
      <c r="H8560" s="393"/>
      <c r="I8560" s="393"/>
      <c r="J8560" s="394" t="s">
        <v>43</v>
      </c>
      <c r="K8560" s="388"/>
      <c r="L8560" s="388">
        <v>9650.4171622708345</v>
      </c>
    </row>
    <row r="8561" spans="1:14" ht="11.25" customHeight="1" x14ac:dyDescent="0.2">
      <c r="A8561" s="344">
        <v>2025</v>
      </c>
      <c r="B8561" s="344">
        <v>6</v>
      </c>
      <c r="C8561" s="344">
        <v>4</v>
      </c>
      <c r="D8561" s="345">
        <f t="shared" si="1003"/>
        <v>45812</v>
      </c>
      <c r="E8561" s="346">
        <f t="shared" si="1002"/>
        <v>45812</v>
      </c>
      <c r="F8561" s="518" t="s">
        <v>1982</v>
      </c>
      <c r="G8561" s="347" t="s">
        <v>1245</v>
      </c>
      <c r="H8561" s="348"/>
      <c r="I8561" s="348" t="s">
        <v>1253</v>
      </c>
      <c r="J8561" s="344" t="s">
        <v>1978</v>
      </c>
      <c r="K8561" s="349">
        <v>290461.53846153844</v>
      </c>
      <c r="L8561" s="349"/>
      <c r="M8561" s="130"/>
    </row>
    <row r="8562" spans="1:14" ht="11.25" customHeight="1" x14ac:dyDescent="0.2">
      <c r="A8562" s="350">
        <v>2025</v>
      </c>
      <c r="B8562" s="350">
        <v>6</v>
      </c>
      <c r="C8562" s="350">
        <v>4</v>
      </c>
      <c r="D8562" s="351">
        <f t="shared" si="1003"/>
        <v>45812</v>
      </c>
      <c r="E8562" s="352">
        <f t="shared" si="1002"/>
        <v>45812</v>
      </c>
      <c r="F8562" s="519"/>
      <c r="G8562" s="353" t="s">
        <v>1245</v>
      </c>
      <c r="H8562" s="354"/>
      <c r="I8562" s="354" t="s">
        <v>1253</v>
      </c>
      <c r="J8562" s="350" t="s">
        <v>1979</v>
      </c>
      <c r="K8562" s="355"/>
      <c r="L8562" s="355">
        <v>290461.53846153844</v>
      </c>
    </row>
    <row r="8563" spans="1:14" ht="11.25" customHeight="1" x14ac:dyDescent="0.2">
      <c r="A8563" s="344">
        <v>2025</v>
      </c>
      <c r="B8563" s="344">
        <v>6</v>
      </c>
      <c r="C8563" s="344">
        <v>4</v>
      </c>
      <c r="D8563" s="345">
        <f t="shared" si="1003"/>
        <v>45812</v>
      </c>
      <c r="E8563" s="346">
        <f t="shared" si="1002"/>
        <v>45812</v>
      </c>
      <c r="F8563" s="518" t="s">
        <v>2009</v>
      </c>
      <c r="G8563" s="347" t="s">
        <v>1245</v>
      </c>
      <c r="H8563" s="348"/>
      <c r="I8563" s="348" t="s">
        <v>1253</v>
      </c>
      <c r="J8563" s="344" t="s">
        <v>2004</v>
      </c>
      <c r="K8563" s="349">
        <v>99384.62</v>
      </c>
      <c r="L8563" s="349"/>
      <c r="M8563" s="130"/>
    </row>
    <row r="8564" spans="1:14" ht="11.25" customHeight="1" x14ac:dyDescent="0.2">
      <c r="A8564" s="350">
        <v>2025</v>
      </c>
      <c r="B8564" s="350">
        <v>6</v>
      </c>
      <c r="C8564" s="350">
        <v>4</v>
      </c>
      <c r="D8564" s="351">
        <f t="shared" si="1003"/>
        <v>45812</v>
      </c>
      <c r="E8564" s="352">
        <f t="shared" si="1002"/>
        <v>45812</v>
      </c>
      <c r="F8564" s="519"/>
      <c r="G8564" s="353" t="s">
        <v>1245</v>
      </c>
      <c r="H8564" s="354"/>
      <c r="I8564" s="354" t="s">
        <v>1253</v>
      </c>
      <c r="J8564" s="350" t="s">
        <v>2008</v>
      </c>
      <c r="K8564" s="355"/>
      <c r="L8564" s="355">
        <v>99384.62</v>
      </c>
    </row>
    <row r="8565" spans="1:14" ht="11.25" customHeight="1" x14ac:dyDescent="0.2">
      <c r="A8565" s="344">
        <v>2025</v>
      </c>
      <c r="B8565" s="344">
        <v>6</v>
      </c>
      <c r="C8565" s="344">
        <v>4</v>
      </c>
      <c r="D8565" s="345">
        <f t="shared" si="1003"/>
        <v>45812</v>
      </c>
      <c r="E8565" s="346">
        <f t="shared" si="1002"/>
        <v>45812</v>
      </c>
      <c r="F8565" s="518" t="s">
        <v>2009</v>
      </c>
      <c r="G8565" s="347" t="s">
        <v>1245</v>
      </c>
      <c r="H8565" s="348"/>
      <c r="I8565" s="348" t="s">
        <v>1253</v>
      </c>
      <c r="J8565" s="344" t="s">
        <v>2004</v>
      </c>
      <c r="K8565" s="349">
        <v>99384.62</v>
      </c>
      <c r="L8565" s="349"/>
      <c r="M8565" s="130"/>
    </row>
    <row r="8566" spans="1:14" ht="11.25" customHeight="1" x14ac:dyDescent="0.2">
      <c r="A8566" s="350">
        <v>2025</v>
      </c>
      <c r="B8566" s="350">
        <v>6</v>
      </c>
      <c r="C8566" s="350">
        <v>4</v>
      </c>
      <c r="D8566" s="351">
        <f t="shared" si="1003"/>
        <v>45812</v>
      </c>
      <c r="E8566" s="352">
        <f t="shared" si="1002"/>
        <v>45812</v>
      </c>
      <c r="F8566" s="519"/>
      <c r="G8566" s="353" t="s">
        <v>1245</v>
      </c>
      <c r="H8566" s="354"/>
      <c r="I8566" s="354" t="s">
        <v>1253</v>
      </c>
      <c r="J8566" s="350" t="s">
        <v>2008</v>
      </c>
      <c r="K8566" s="355"/>
      <c r="L8566" s="355">
        <v>99384.62</v>
      </c>
    </row>
    <row r="8567" spans="1:14" ht="11.25" customHeight="1" x14ac:dyDescent="0.2">
      <c r="A8567" s="344">
        <v>2025</v>
      </c>
      <c r="B8567" s="344">
        <v>6</v>
      </c>
      <c r="C8567" s="344">
        <v>4</v>
      </c>
      <c r="D8567" s="345">
        <f t="shared" si="1003"/>
        <v>45812</v>
      </c>
      <c r="E8567" s="346">
        <f>DATE(A8567,B8567,C8567)</f>
        <v>45812</v>
      </c>
      <c r="F8567" s="518" t="s">
        <v>1988</v>
      </c>
      <c r="G8567" s="347" t="s">
        <v>1245</v>
      </c>
      <c r="H8567" s="348"/>
      <c r="I8567" s="348" t="s">
        <v>1253</v>
      </c>
      <c r="J8567" s="344" t="s">
        <v>113</v>
      </c>
      <c r="K8567" s="349">
        <v>10948.73</v>
      </c>
      <c r="L8567" s="349"/>
      <c r="M8567" s="130"/>
    </row>
    <row r="8568" spans="1:14" ht="11.25" customHeight="1" x14ac:dyDescent="0.2">
      <c r="A8568" s="350">
        <v>2025</v>
      </c>
      <c r="B8568" s="350">
        <v>6</v>
      </c>
      <c r="C8568" s="350">
        <v>4</v>
      </c>
      <c r="D8568" s="351">
        <f t="shared" si="1003"/>
        <v>45812</v>
      </c>
      <c r="E8568" s="352">
        <f>DATE(A8568,B8568,C8568)</f>
        <v>45812</v>
      </c>
      <c r="F8568" s="519"/>
      <c r="G8568" s="353" t="s">
        <v>1245</v>
      </c>
      <c r="H8568" s="354"/>
      <c r="I8568" s="354" t="s">
        <v>1253</v>
      </c>
      <c r="J8568" s="350" t="s">
        <v>153</v>
      </c>
      <c r="K8568" s="355"/>
      <c r="L8568" s="355">
        <f>K8567</f>
        <v>10948.73</v>
      </c>
    </row>
    <row r="8569" spans="1:14" ht="11.25" customHeight="1" x14ac:dyDescent="0.2">
      <c r="A8569" s="344">
        <v>2025</v>
      </c>
      <c r="B8569" s="344">
        <v>6</v>
      </c>
      <c r="C8569" s="344">
        <v>4</v>
      </c>
      <c r="D8569" s="345">
        <f t="shared" si="1003"/>
        <v>45812</v>
      </c>
      <c r="E8569" s="346">
        <f t="shared" ref="E8569:E8574" si="1004">DATE(A8569,B8569,C8569)</f>
        <v>45812</v>
      </c>
      <c r="F8569" s="518" t="s">
        <v>1989</v>
      </c>
      <c r="G8569" s="347" t="s">
        <v>1245</v>
      </c>
      <c r="H8569" s="348"/>
      <c r="I8569" s="348" t="s">
        <v>1253</v>
      </c>
      <c r="J8569" s="344" t="s">
        <v>113</v>
      </c>
      <c r="K8569" s="349">
        <f>31282.06+7820.49</f>
        <v>39102.550000000003</v>
      </c>
      <c r="L8569" s="349"/>
      <c r="M8569" s="130"/>
    </row>
    <row r="8570" spans="1:14" ht="11.25" customHeight="1" x14ac:dyDescent="0.2">
      <c r="A8570" s="350">
        <v>2025</v>
      </c>
      <c r="B8570" s="350">
        <v>6</v>
      </c>
      <c r="C8570" s="350">
        <v>4</v>
      </c>
      <c r="D8570" s="351">
        <f t="shared" si="1003"/>
        <v>45812</v>
      </c>
      <c r="E8570" s="352">
        <f t="shared" si="1004"/>
        <v>45812</v>
      </c>
      <c r="F8570" s="519"/>
      <c r="G8570" s="353" t="s">
        <v>1245</v>
      </c>
      <c r="H8570" s="354"/>
      <c r="I8570" s="354" t="s">
        <v>1253</v>
      </c>
      <c r="J8570" s="350" t="s">
        <v>153</v>
      </c>
      <c r="K8570" s="355"/>
      <c r="L8570" s="355">
        <f>K8569</f>
        <v>39102.550000000003</v>
      </c>
    </row>
    <row r="8571" spans="1:14" ht="11.25" customHeight="1" x14ac:dyDescent="0.2">
      <c r="A8571" s="344">
        <v>2025</v>
      </c>
      <c r="B8571" s="344">
        <v>6</v>
      </c>
      <c r="C8571" s="344">
        <v>4</v>
      </c>
      <c r="D8571" s="345">
        <f t="shared" si="1003"/>
        <v>45812</v>
      </c>
      <c r="E8571" s="346">
        <f t="shared" si="1004"/>
        <v>45812</v>
      </c>
      <c r="F8571" s="518" t="s">
        <v>1990</v>
      </c>
      <c r="G8571" s="347" t="s">
        <v>1245</v>
      </c>
      <c r="H8571" s="348"/>
      <c r="I8571" s="348" t="s">
        <v>1253</v>
      </c>
      <c r="J8571" s="344" t="s">
        <v>113</v>
      </c>
      <c r="K8571" s="349">
        <v>117307.65000000001</v>
      </c>
      <c r="L8571" s="349"/>
      <c r="M8571" s="130"/>
      <c r="N8571" s="251"/>
    </row>
    <row r="8572" spans="1:14" ht="11.25" customHeight="1" x14ac:dyDescent="0.2">
      <c r="A8572" s="350">
        <v>2025</v>
      </c>
      <c r="B8572" s="350">
        <v>6</v>
      </c>
      <c r="C8572" s="350">
        <v>4</v>
      </c>
      <c r="D8572" s="351">
        <f t="shared" si="1003"/>
        <v>45812</v>
      </c>
      <c r="E8572" s="352">
        <f t="shared" si="1004"/>
        <v>45812</v>
      </c>
      <c r="F8572" s="519"/>
      <c r="G8572" s="353" t="s">
        <v>1245</v>
      </c>
      <c r="H8572" s="354"/>
      <c r="I8572" s="354" t="s">
        <v>1253</v>
      </c>
      <c r="J8572" s="350" t="s">
        <v>153</v>
      </c>
      <c r="K8572" s="355"/>
      <c r="L8572" s="355">
        <f>K8571</f>
        <v>117307.65000000001</v>
      </c>
    </row>
    <row r="8573" spans="1:14" ht="11.25" customHeight="1" x14ac:dyDescent="0.2">
      <c r="A8573" s="344">
        <v>2025</v>
      </c>
      <c r="B8573" s="344">
        <v>6</v>
      </c>
      <c r="C8573" s="344">
        <v>4</v>
      </c>
      <c r="D8573" s="345">
        <f t="shared" si="1003"/>
        <v>45812</v>
      </c>
      <c r="E8573" s="346">
        <f t="shared" si="1004"/>
        <v>45812</v>
      </c>
      <c r="F8573" s="518" t="s">
        <v>2039</v>
      </c>
      <c r="G8573" s="347" t="s">
        <v>1245</v>
      </c>
      <c r="H8573" s="348"/>
      <c r="I8573" s="348" t="s">
        <v>1253</v>
      </c>
      <c r="J8573" s="344" t="s">
        <v>113</v>
      </c>
      <c r="K8573" s="349">
        <v>18769.23076923077</v>
      </c>
      <c r="L8573" s="349"/>
      <c r="M8573" s="130"/>
    </row>
    <row r="8574" spans="1:14" ht="11.25" customHeight="1" x14ac:dyDescent="0.2">
      <c r="A8574" s="350">
        <v>2025</v>
      </c>
      <c r="B8574" s="350">
        <v>6</v>
      </c>
      <c r="C8574" s="350">
        <v>4</v>
      </c>
      <c r="D8574" s="351">
        <f t="shared" si="1003"/>
        <v>45812</v>
      </c>
      <c r="E8574" s="352">
        <f t="shared" si="1004"/>
        <v>45812</v>
      </c>
      <c r="F8574" s="519"/>
      <c r="G8574" s="353" t="s">
        <v>1245</v>
      </c>
      <c r="H8574" s="354"/>
      <c r="I8574" s="354" t="s">
        <v>1253</v>
      </c>
      <c r="J8574" s="350" t="s">
        <v>153</v>
      </c>
      <c r="K8574" s="355"/>
      <c r="L8574" s="355">
        <v>18769.23076923077</v>
      </c>
    </row>
    <row r="8575" spans="1:14" ht="11.25" customHeight="1" x14ac:dyDescent="0.2">
      <c r="A8575" s="344">
        <v>2025</v>
      </c>
      <c r="B8575" s="344">
        <v>6</v>
      </c>
      <c r="C8575" s="344">
        <v>4</v>
      </c>
      <c r="D8575" s="345">
        <f t="shared" si="1003"/>
        <v>45812</v>
      </c>
      <c r="E8575" s="346">
        <f>DATE(A8575,B8575,C8575)</f>
        <v>45812</v>
      </c>
      <c r="F8575" s="518" t="s">
        <v>1991</v>
      </c>
      <c r="G8575" s="347" t="s">
        <v>1245</v>
      </c>
      <c r="H8575" s="348"/>
      <c r="I8575" s="348" t="s">
        <v>1253</v>
      </c>
      <c r="J8575" s="344" t="s">
        <v>113</v>
      </c>
      <c r="K8575" s="349">
        <v>79769.240000000005</v>
      </c>
      <c r="L8575" s="349"/>
      <c r="M8575" s="130"/>
    </row>
    <row r="8576" spans="1:14" ht="11.25" customHeight="1" x14ac:dyDescent="0.2">
      <c r="A8576" s="350">
        <v>2025</v>
      </c>
      <c r="B8576" s="350">
        <v>6</v>
      </c>
      <c r="C8576" s="350">
        <v>4</v>
      </c>
      <c r="D8576" s="351">
        <f t="shared" si="1003"/>
        <v>45812</v>
      </c>
      <c r="E8576" s="352">
        <f>DATE(A8576,B8576,C8576)</f>
        <v>45812</v>
      </c>
      <c r="F8576" s="519"/>
      <c r="G8576" s="353" t="s">
        <v>1245</v>
      </c>
      <c r="H8576" s="354"/>
      <c r="I8576" s="354" t="s">
        <v>1253</v>
      </c>
      <c r="J8576" s="350" t="s">
        <v>153</v>
      </c>
      <c r="K8576" s="355"/>
      <c r="L8576" s="355">
        <v>79769.240000000005</v>
      </c>
    </row>
    <row r="8577" spans="1:13" ht="11.25" customHeight="1" x14ac:dyDescent="0.2">
      <c r="A8577" s="344">
        <v>2025</v>
      </c>
      <c r="B8577" s="344">
        <v>6</v>
      </c>
      <c r="C8577" s="344">
        <v>4</v>
      </c>
      <c r="D8577" s="345">
        <f t="shared" si="1003"/>
        <v>45812</v>
      </c>
      <c r="E8577" s="346">
        <f t="shared" ref="E8577:E8587" si="1005">DATE(A8577,B8577,C8577)</f>
        <v>45812</v>
      </c>
      <c r="F8577" s="518" t="s">
        <v>2052</v>
      </c>
      <c r="G8577" s="347" t="s">
        <v>1245</v>
      </c>
      <c r="H8577" s="348"/>
      <c r="I8577" s="348" t="s">
        <v>1253</v>
      </c>
      <c r="J8577" s="344" t="s">
        <v>113</v>
      </c>
      <c r="K8577" s="349">
        <v>22884.615384615383</v>
      </c>
      <c r="L8577" s="349"/>
      <c r="M8577" s="130"/>
    </row>
    <row r="8578" spans="1:13" ht="11.25" customHeight="1" x14ac:dyDescent="0.2">
      <c r="A8578" s="350">
        <v>2025</v>
      </c>
      <c r="B8578" s="350">
        <v>6</v>
      </c>
      <c r="C8578" s="350">
        <v>4</v>
      </c>
      <c r="D8578" s="351">
        <f t="shared" si="1003"/>
        <v>45812</v>
      </c>
      <c r="E8578" s="352">
        <f t="shared" si="1005"/>
        <v>45812</v>
      </c>
      <c r="F8578" s="519"/>
      <c r="G8578" s="353" t="s">
        <v>1245</v>
      </c>
      <c r="H8578" s="354"/>
      <c r="I8578" s="354" t="s">
        <v>1253</v>
      </c>
      <c r="J8578" s="350" t="s">
        <v>153</v>
      </c>
      <c r="K8578" s="355"/>
      <c r="L8578" s="355">
        <v>22884.615384615383</v>
      </c>
    </row>
    <row r="8579" spans="1:13" ht="11.25" customHeight="1" x14ac:dyDescent="0.2">
      <c r="A8579" s="344">
        <v>2025</v>
      </c>
      <c r="B8579" s="344">
        <v>6</v>
      </c>
      <c r="C8579" s="344">
        <v>4</v>
      </c>
      <c r="D8579" s="345">
        <f t="shared" si="1003"/>
        <v>45812</v>
      </c>
      <c r="E8579" s="346">
        <f t="shared" si="1005"/>
        <v>45812</v>
      </c>
      <c r="F8579" s="518" t="s">
        <v>1992</v>
      </c>
      <c r="G8579" s="347" t="s">
        <v>1245</v>
      </c>
      <c r="H8579" s="348"/>
      <c r="I8579" s="348" t="s">
        <v>1253</v>
      </c>
      <c r="J8579" s="344" t="s">
        <v>113</v>
      </c>
      <c r="K8579" s="349">
        <v>45192.3</v>
      </c>
      <c r="L8579" s="349"/>
      <c r="M8579" s="130"/>
    </row>
    <row r="8580" spans="1:13" ht="11.25" customHeight="1" x14ac:dyDescent="0.2">
      <c r="A8580" s="350">
        <v>2025</v>
      </c>
      <c r="B8580" s="350">
        <v>6</v>
      </c>
      <c r="C8580" s="350">
        <v>4</v>
      </c>
      <c r="D8580" s="351">
        <f t="shared" si="1003"/>
        <v>45812</v>
      </c>
      <c r="E8580" s="352">
        <f t="shared" si="1005"/>
        <v>45812</v>
      </c>
      <c r="F8580" s="519"/>
      <c r="G8580" s="353" t="s">
        <v>1245</v>
      </c>
      <c r="H8580" s="354"/>
      <c r="I8580" s="354" t="s">
        <v>1253</v>
      </c>
      <c r="J8580" s="350" t="s">
        <v>153</v>
      </c>
      <c r="K8580" s="355"/>
      <c r="L8580" s="355">
        <v>45192.3</v>
      </c>
    </row>
    <row r="8581" spans="1:13" ht="11.25" customHeight="1" x14ac:dyDescent="0.2">
      <c r="A8581" s="344">
        <v>2025</v>
      </c>
      <c r="B8581" s="344">
        <v>6</v>
      </c>
      <c r="C8581" s="344">
        <v>4</v>
      </c>
      <c r="D8581" s="345">
        <f t="shared" si="1003"/>
        <v>45812</v>
      </c>
      <c r="E8581" s="346">
        <f t="shared" si="1005"/>
        <v>45812</v>
      </c>
      <c r="F8581" s="518" t="s">
        <v>1993</v>
      </c>
      <c r="G8581" s="347" t="s">
        <v>1245</v>
      </c>
      <c r="H8581" s="348"/>
      <c r="I8581" s="348" t="s">
        <v>1253</v>
      </c>
      <c r="J8581" s="344" t="s">
        <v>113</v>
      </c>
      <c r="K8581" s="349">
        <v>46096.160000000003</v>
      </c>
      <c r="L8581" s="349"/>
      <c r="M8581" s="130"/>
    </row>
    <row r="8582" spans="1:13" ht="11.25" customHeight="1" x14ac:dyDescent="0.2">
      <c r="A8582" s="350">
        <v>2025</v>
      </c>
      <c r="B8582" s="350">
        <v>6</v>
      </c>
      <c r="C8582" s="350">
        <v>4</v>
      </c>
      <c r="D8582" s="351">
        <f t="shared" si="1003"/>
        <v>45812</v>
      </c>
      <c r="E8582" s="352">
        <f t="shared" si="1005"/>
        <v>45812</v>
      </c>
      <c r="F8582" s="519"/>
      <c r="G8582" s="353" t="s">
        <v>1245</v>
      </c>
      <c r="H8582" s="354"/>
      <c r="I8582" s="354" t="s">
        <v>1253</v>
      </c>
      <c r="J8582" s="350" t="s">
        <v>153</v>
      </c>
      <c r="K8582" s="355"/>
      <c r="L8582" s="355">
        <v>46096.160000000003</v>
      </c>
    </row>
    <row r="8583" spans="1:13" ht="11.25" customHeight="1" x14ac:dyDescent="0.2">
      <c r="A8583" s="344">
        <v>2025</v>
      </c>
      <c r="B8583" s="344">
        <v>6</v>
      </c>
      <c r="C8583" s="344">
        <v>4</v>
      </c>
      <c r="D8583" s="345">
        <f t="shared" si="1003"/>
        <v>45812</v>
      </c>
      <c r="E8583" s="346">
        <f t="shared" si="1005"/>
        <v>45812</v>
      </c>
      <c r="F8583" s="518" t="s">
        <v>2053</v>
      </c>
      <c r="G8583" s="347" t="s">
        <v>1245</v>
      </c>
      <c r="H8583" s="348"/>
      <c r="I8583" s="348" t="s">
        <v>1253</v>
      </c>
      <c r="J8583" s="344" t="s">
        <v>113</v>
      </c>
      <c r="K8583" s="349">
        <v>23269.23076923077</v>
      </c>
      <c r="L8583" s="349"/>
      <c r="M8583" s="130"/>
    </row>
    <row r="8584" spans="1:13" ht="11.25" customHeight="1" x14ac:dyDescent="0.2">
      <c r="A8584" s="350">
        <v>2025</v>
      </c>
      <c r="B8584" s="350">
        <v>6</v>
      </c>
      <c r="C8584" s="350">
        <v>4</v>
      </c>
      <c r="D8584" s="351">
        <f t="shared" si="1003"/>
        <v>45812</v>
      </c>
      <c r="E8584" s="352">
        <f t="shared" si="1005"/>
        <v>45812</v>
      </c>
      <c r="F8584" s="519"/>
      <c r="G8584" s="353" t="s">
        <v>1245</v>
      </c>
      <c r="H8584" s="354"/>
      <c r="I8584" s="354" t="s">
        <v>1253</v>
      </c>
      <c r="J8584" s="350" t="s">
        <v>153</v>
      </c>
      <c r="K8584" s="355"/>
      <c r="L8584" s="355">
        <v>23269.23076923077</v>
      </c>
    </row>
    <row r="8585" spans="1:13" ht="11.25" customHeight="1" x14ac:dyDescent="0.2">
      <c r="A8585" s="210">
        <v>2025</v>
      </c>
      <c r="B8585" s="210">
        <v>6</v>
      </c>
      <c r="C8585" s="210">
        <v>4</v>
      </c>
      <c r="D8585" s="211">
        <f t="shared" si="1003"/>
        <v>45812</v>
      </c>
      <c r="E8585" s="238">
        <f t="shared" si="1005"/>
        <v>45812</v>
      </c>
      <c r="F8585" s="520" t="s">
        <v>1278</v>
      </c>
      <c r="G8585" s="213" t="s">
        <v>1245</v>
      </c>
      <c r="H8585" s="214"/>
      <c r="I8585" s="214" t="s">
        <v>1253</v>
      </c>
      <c r="J8585" s="210" t="s">
        <v>1529</v>
      </c>
      <c r="K8585" s="215">
        <v>1020.8076923076923</v>
      </c>
      <c r="L8585" s="215"/>
      <c r="M8585" s="130"/>
    </row>
    <row r="8586" spans="1:13" ht="11.25" customHeight="1" x14ac:dyDescent="0.2">
      <c r="A8586" s="216">
        <v>2025</v>
      </c>
      <c r="B8586" s="216">
        <v>6</v>
      </c>
      <c r="C8586" s="216">
        <v>4</v>
      </c>
      <c r="D8586" s="217">
        <f t="shared" si="1003"/>
        <v>45812</v>
      </c>
      <c r="E8586" s="239">
        <f t="shared" si="1005"/>
        <v>45812</v>
      </c>
      <c r="F8586" s="521"/>
      <c r="G8586" s="219" t="s">
        <v>1245</v>
      </c>
      <c r="H8586" s="220"/>
      <c r="I8586" s="220" t="s">
        <v>1253</v>
      </c>
      <c r="J8586" s="216" t="s">
        <v>1581</v>
      </c>
      <c r="K8586" s="221"/>
      <c r="L8586" s="221">
        <v>1020.8076923076923</v>
      </c>
    </row>
    <row r="8587" spans="1:13" ht="11.25" customHeight="1" x14ac:dyDescent="0.2">
      <c r="A8587" s="210">
        <v>2025</v>
      </c>
      <c r="B8587" s="210">
        <v>6</v>
      </c>
      <c r="C8587" s="210">
        <v>4</v>
      </c>
      <c r="D8587" s="211">
        <f t="shared" si="1003"/>
        <v>45812</v>
      </c>
      <c r="E8587" s="238">
        <f t="shared" si="1005"/>
        <v>45812</v>
      </c>
      <c r="F8587" s="520" t="s">
        <v>1857</v>
      </c>
      <c r="G8587" s="213" t="s">
        <v>1245</v>
      </c>
      <c r="H8587" s="214"/>
      <c r="I8587" s="214" t="s">
        <v>1253</v>
      </c>
      <c r="J8587" s="210" t="s">
        <v>1284</v>
      </c>
      <c r="K8587" s="215">
        <v>4683.6228287841186</v>
      </c>
      <c r="L8587" s="215"/>
      <c r="M8587" s="130"/>
    </row>
    <row r="8588" spans="1:13" ht="11.25" customHeight="1" x14ac:dyDescent="0.2">
      <c r="A8588" s="242">
        <v>2025</v>
      </c>
      <c r="B8588" s="242">
        <v>6</v>
      </c>
      <c r="C8588" s="242">
        <v>4</v>
      </c>
      <c r="D8588" s="243">
        <f t="shared" si="1003"/>
        <v>45812</v>
      </c>
      <c r="E8588" s="244">
        <f>DATE(A8588,B8588,C8588)</f>
        <v>45812</v>
      </c>
      <c r="F8588" s="524"/>
      <c r="G8588" s="245" t="s">
        <v>1245</v>
      </c>
      <c r="H8588" s="246"/>
      <c r="I8588" s="246"/>
      <c r="J8588" s="242" t="s">
        <v>1582</v>
      </c>
      <c r="K8588" s="247"/>
      <c r="L8588" s="247">
        <v>4683.6228287841186</v>
      </c>
    </row>
    <row r="8589" spans="1:13" ht="11.25" customHeight="1" x14ac:dyDescent="0.2">
      <c r="A8589" s="210">
        <v>2025</v>
      </c>
      <c r="B8589" s="210">
        <v>6</v>
      </c>
      <c r="C8589" s="210">
        <v>4</v>
      </c>
      <c r="D8589" s="211">
        <f t="shared" si="1003"/>
        <v>45812</v>
      </c>
      <c r="E8589" s="238">
        <f t="shared" ref="E8589:E8615" si="1006">DATE(A8589,B8589,C8589)</f>
        <v>45812</v>
      </c>
      <c r="F8589" s="520" t="s">
        <v>2055</v>
      </c>
      <c r="G8589" s="213" t="s">
        <v>1245</v>
      </c>
      <c r="H8589" s="214"/>
      <c r="I8589" s="214" t="s">
        <v>1253</v>
      </c>
      <c r="J8589" s="210" t="s">
        <v>58</v>
      </c>
      <c r="K8589" s="215">
        <v>27912.89</v>
      </c>
      <c r="L8589" s="215"/>
    </row>
    <row r="8590" spans="1:13" ht="11.25" customHeight="1" x14ac:dyDescent="0.2">
      <c r="A8590" s="216">
        <v>2025</v>
      </c>
      <c r="B8590" s="216">
        <v>6</v>
      </c>
      <c r="C8590" s="216">
        <v>4</v>
      </c>
      <c r="D8590" s="217">
        <f t="shared" si="1003"/>
        <v>45812</v>
      </c>
      <c r="E8590" s="239">
        <f t="shared" si="1006"/>
        <v>45812</v>
      </c>
      <c r="F8590" s="521"/>
      <c r="G8590" s="219" t="s">
        <v>1245</v>
      </c>
      <c r="H8590" s="220"/>
      <c r="I8590" s="220" t="s">
        <v>1253</v>
      </c>
      <c r="J8590" s="216" t="s">
        <v>153</v>
      </c>
      <c r="K8590" s="221"/>
      <c r="L8590" s="221">
        <v>27912.89</v>
      </c>
    </row>
    <row r="8591" spans="1:13" ht="11.25" customHeight="1" x14ac:dyDescent="0.2">
      <c r="A8591" s="312">
        <v>2025</v>
      </c>
      <c r="B8591" s="312">
        <v>6</v>
      </c>
      <c r="C8591" s="312">
        <v>4</v>
      </c>
      <c r="D8591" s="313">
        <f t="shared" si="1003"/>
        <v>45812</v>
      </c>
      <c r="E8591" s="314">
        <f t="shared" si="1006"/>
        <v>45812</v>
      </c>
      <c r="F8591" s="522" t="s">
        <v>1477</v>
      </c>
      <c r="G8591" s="315" t="s">
        <v>1245</v>
      </c>
      <c r="H8591" s="316"/>
      <c r="I8591" s="316" t="s">
        <v>1253</v>
      </c>
      <c r="J8591" s="312" t="s">
        <v>1458</v>
      </c>
      <c r="K8591" s="317">
        <v>0</v>
      </c>
      <c r="L8591" s="317"/>
      <c r="M8591" s="120">
        <f>BS!$I$11</f>
        <v>5.9604644775390625E-8</v>
      </c>
    </row>
    <row r="8592" spans="1:13" ht="11.25" customHeight="1" x14ac:dyDescent="0.2">
      <c r="A8592" s="318">
        <v>2025</v>
      </c>
      <c r="B8592" s="318">
        <v>6</v>
      </c>
      <c r="C8592" s="318">
        <v>4</v>
      </c>
      <c r="D8592" s="319">
        <f t="shared" si="1003"/>
        <v>45812</v>
      </c>
      <c r="E8592" s="320">
        <f t="shared" si="1006"/>
        <v>45812</v>
      </c>
      <c r="F8592" s="523"/>
      <c r="G8592" s="321" t="s">
        <v>1245</v>
      </c>
      <c r="H8592" s="322"/>
      <c r="I8592" s="322" t="s">
        <v>1253</v>
      </c>
      <c r="J8592" s="318" t="s">
        <v>1460</v>
      </c>
      <c r="K8592" s="323"/>
      <c r="L8592" s="323">
        <f>K8591</f>
        <v>0</v>
      </c>
    </row>
    <row r="8593" spans="1:15" ht="11.25" customHeight="1" x14ac:dyDescent="0.2">
      <c r="A8593" s="312">
        <v>2025</v>
      </c>
      <c r="B8593" s="312">
        <v>6</v>
      </c>
      <c r="C8593" s="312">
        <v>4</v>
      </c>
      <c r="D8593" s="313">
        <f t="shared" si="1003"/>
        <v>45812</v>
      </c>
      <c r="E8593" s="314">
        <f t="shared" si="1006"/>
        <v>45812</v>
      </c>
      <c r="F8593" s="522" t="s">
        <v>1595</v>
      </c>
      <c r="G8593" s="315" t="s">
        <v>1245</v>
      </c>
      <c r="H8593" s="316"/>
      <c r="I8593" s="316" t="s">
        <v>1253</v>
      </c>
      <c r="J8593" s="312" t="s">
        <v>1459</v>
      </c>
      <c r="K8593" s="317">
        <v>879540.02500015497</v>
      </c>
      <c r="L8593" s="317"/>
      <c r="M8593" s="120">
        <f>BS!$I$14</f>
        <v>0</v>
      </c>
    </row>
    <row r="8594" spans="1:15" ht="11.25" customHeight="1" x14ac:dyDescent="0.2">
      <c r="A8594" s="318">
        <v>2025</v>
      </c>
      <c r="B8594" s="318">
        <v>6</v>
      </c>
      <c r="C8594" s="318">
        <v>4</v>
      </c>
      <c r="D8594" s="319">
        <f t="shared" si="1003"/>
        <v>45812</v>
      </c>
      <c r="E8594" s="320">
        <f t="shared" si="1006"/>
        <v>45812</v>
      </c>
      <c r="F8594" s="523"/>
      <c r="G8594" s="321" t="s">
        <v>1245</v>
      </c>
      <c r="H8594" s="322"/>
      <c r="I8594" s="322" t="s">
        <v>1253</v>
      </c>
      <c r="J8594" s="318" t="s">
        <v>1461</v>
      </c>
      <c r="K8594" s="323"/>
      <c r="L8594" s="323">
        <f>K8593</f>
        <v>879540.02500015497</v>
      </c>
    </row>
    <row r="8595" spans="1:15" ht="11.25" customHeight="1" x14ac:dyDescent="0.2">
      <c r="A8595" s="222">
        <v>2025</v>
      </c>
      <c r="B8595" s="222">
        <v>6</v>
      </c>
      <c r="C8595" s="222">
        <v>4</v>
      </c>
      <c r="D8595" s="223">
        <f t="shared" si="1003"/>
        <v>45812</v>
      </c>
      <c r="E8595" s="240">
        <f t="shared" si="1006"/>
        <v>45812</v>
      </c>
      <c r="F8595" s="511" t="s">
        <v>1244</v>
      </c>
      <c r="G8595" s="225" t="s">
        <v>1245</v>
      </c>
      <c r="H8595" s="226"/>
      <c r="I8595" s="226" t="s">
        <v>1253</v>
      </c>
      <c r="J8595" s="222" t="s">
        <v>87</v>
      </c>
      <c r="K8595" s="227">
        <v>31380</v>
      </c>
      <c r="L8595" s="227"/>
      <c r="M8595" s="120">
        <f>BS!$I$7</f>
        <v>0</v>
      </c>
    </row>
    <row r="8596" spans="1:15" ht="11.25" customHeight="1" x14ac:dyDescent="0.2">
      <c r="A8596" s="228">
        <v>2025</v>
      </c>
      <c r="B8596" s="228">
        <v>6</v>
      </c>
      <c r="C8596" s="228">
        <v>4</v>
      </c>
      <c r="D8596" s="229">
        <f t="shared" si="1003"/>
        <v>45812</v>
      </c>
      <c r="E8596" s="241">
        <f t="shared" si="1006"/>
        <v>45812</v>
      </c>
      <c r="F8596" s="512"/>
      <c r="G8596" s="231" t="s">
        <v>1245</v>
      </c>
      <c r="H8596" s="232"/>
      <c r="I8596" s="232" t="s">
        <v>1253</v>
      </c>
      <c r="J8596" s="228" t="s">
        <v>72</v>
      </c>
      <c r="K8596" s="233"/>
      <c r="L8596" s="233">
        <f>K8595</f>
        <v>31380</v>
      </c>
    </row>
    <row r="8597" spans="1:15" ht="11.25" customHeight="1" x14ac:dyDescent="0.2">
      <c r="A8597" s="222">
        <v>2025</v>
      </c>
      <c r="B8597" s="222">
        <v>6</v>
      </c>
      <c r="C8597" s="222">
        <v>4</v>
      </c>
      <c r="D8597" s="223">
        <f t="shared" si="1003"/>
        <v>45812</v>
      </c>
      <c r="E8597" s="240">
        <f t="shared" si="1006"/>
        <v>45812</v>
      </c>
      <c r="F8597" s="511" t="s">
        <v>1246</v>
      </c>
      <c r="G8597" s="225" t="s">
        <v>1245</v>
      </c>
      <c r="H8597" s="226"/>
      <c r="I8597" s="226" t="s">
        <v>1253</v>
      </c>
      <c r="J8597" s="222" t="s">
        <v>75</v>
      </c>
      <c r="K8597" s="227">
        <v>7246.247692307692</v>
      </c>
      <c r="L8597" s="227"/>
      <c r="M8597" s="130"/>
      <c r="N8597" s="455"/>
    </row>
    <row r="8598" spans="1:15" ht="11.25" customHeight="1" x14ac:dyDescent="0.2">
      <c r="A8598" s="228">
        <v>2025</v>
      </c>
      <c r="B8598" s="228">
        <v>6</v>
      </c>
      <c r="C8598" s="228">
        <v>4</v>
      </c>
      <c r="D8598" s="229">
        <f t="shared" si="1003"/>
        <v>45812</v>
      </c>
      <c r="E8598" s="241">
        <f t="shared" si="1006"/>
        <v>45812</v>
      </c>
      <c r="F8598" s="512"/>
      <c r="G8598" s="231" t="s">
        <v>1245</v>
      </c>
      <c r="H8598" s="232"/>
      <c r="I8598" s="232" t="s">
        <v>1253</v>
      </c>
      <c r="J8598" s="228" t="s">
        <v>55</v>
      </c>
      <c r="K8598" s="233"/>
      <c r="L8598" s="233">
        <v>7246.247692307692</v>
      </c>
    </row>
    <row r="8599" spans="1:15" ht="11.25" customHeight="1" x14ac:dyDescent="0.2">
      <c r="A8599" s="222">
        <v>2025</v>
      </c>
      <c r="B8599" s="222">
        <v>6</v>
      </c>
      <c r="C8599" s="222">
        <v>4</v>
      </c>
      <c r="D8599" s="223">
        <f t="shared" si="1003"/>
        <v>45812</v>
      </c>
      <c r="E8599" s="240">
        <f t="shared" si="1006"/>
        <v>45812</v>
      </c>
      <c r="F8599" s="511" t="s">
        <v>1247</v>
      </c>
      <c r="G8599" s="225" t="s">
        <v>1245</v>
      </c>
      <c r="H8599" s="226"/>
      <c r="I8599" s="226" t="s">
        <v>1253</v>
      </c>
      <c r="J8599" s="222" t="s">
        <v>77</v>
      </c>
      <c r="K8599" s="227">
        <v>110941.18455762004</v>
      </c>
      <c r="L8599" s="227"/>
      <c r="M8599" s="130">
        <v>55470.592278810022</v>
      </c>
      <c r="N8599" s="455"/>
    </row>
    <row r="8600" spans="1:15" ht="11.25" customHeight="1" x14ac:dyDescent="0.2">
      <c r="A8600" s="228">
        <v>2025</v>
      </c>
      <c r="B8600" s="228">
        <v>6</v>
      </c>
      <c r="C8600" s="228">
        <v>4</v>
      </c>
      <c r="D8600" s="229">
        <f t="shared" si="1003"/>
        <v>45812</v>
      </c>
      <c r="E8600" s="241">
        <f t="shared" si="1006"/>
        <v>45812</v>
      </c>
      <c r="F8600" s="512"/>
      <c r="G8600" s="231" t="s">
        <v>1245</v>
      </c>
      <c r="H8600" s="232"/>
      <c r="I8600" s="232" t="s">
        <v>1253</v>
      </c>
      <c r="J8600" s="228" t="s">
        <v>41</v>
      </c>
      <c r="K8600" s="233"/>
      <c r="L8600" s="233">
        <v>110941.18455762004</v>
      </c>
      <c r="M8600" s="130">
        <v>5547.0592278810018</v>
      </c>
    </row>
    <row r="8601" spans="1:15" ht="11.25" customHeight="1" x14ac:dyDescent="0.2">
      <c r="A8601" s="222">
        <v>2025</v>
      </c>
      <c r="B8601" s="222">
        <v>6</v>
      </c>
      <c r="C8601" s="222">
        <v>4</v>
      </c>
      <c r="D8601" s="223">
        <f t="shared" si="1003"/>
        <v>45812</v>
      </c>
      <c r="E8601" s="240">
        <f t="shared" si="1006"/>
        <v>45812</v>
      </c>
      <c r="F8601" s="511" t="s">
        <v>1248</v>
      </c>
      <c r="G8601" s="225" t="s">
        <v>1245</v>
      </c>
      <c r="H8601" s="226"/>
      <c r="I8601" s="226" t="s">
        <v>1253</v>
      </c>
      <c r="J8601" s="222" t="s">
        <v>80</v>
      </c>
      <c r="K8601" s="227">
        <v>11094.118455762004</v>
      </c>
      <c r="L8601" s="227"/>
      <c r="N8601" s="455"/>
    </row>
    <row r="8602" spans="1:15" ht="11.25" customHeight="1" x14ac:dyDescent="0.2">
      <c r="A8602" s="228">
        <v>2025</v>
      </c>
      <c r="B8602" s="228">
        <v>6</v>
      </c>
      <c r="C8602" s="228">
        <v>4</v>
      </c>
      <c r="D8602" s="229">
        <f t="shared" si="1003"/>
        <v>45812</v>
      </c>
      <c r="E8602" s="241">
        <f t="shared" si="1006"/>
        <v>45812</v>
      </c>
      <c r="F8602" s="512"/>
      <c r="G8602" s="231" t="s">
        <v>1245</v>
      </c>
      <c r="H8602" s="232"/>
      <c r="I8602" s="232" t="s">
        <v>1253</v>
      </c>
      <c r="J8602" s="228" t="s">
        <v>42</v>
      </c>
      <c r="K8602" s="233"/>
      <c r="L8602" s="233">
        <v>11094.118455762004</v>
      </c>
    </row>
    <row r="8603" spans="1:15" ht="11.25" customHeight="1" x14ac:dyDescent="0.2">
      <c r="A8603" s="197">
        <v>2025</v>
      </c>
      <c r="B8603" s="197">
        <v>6</v>
      </c>
      <c r="C8603" s="197">
        <v>5</v>
      </c>
      <c r="D8603" s="198">
        <f t="shared" si="1003"/>
        <v>45813</v>
      </c>
      <c r="E8603" s="209">
        <f t="shared" si="1006"/>
        <v>45813</v>
      </c>
      <c r="F8603" s="513" t="s">
        <v>1296</v>
      </c>
      <c r="G8603" s="200" t="s">
        <v>1209</v>
      </c>
      <c r="H8603" s="201"/>
      <c r="I8603" s="201"/>
      <c r="J8603" s="197" t="s">
        <v>46</v>
      </c>
      <c r="K8603" s="202">
        <v>142000</v>
      </c>
      <c r="L8603" s="202"/>
    </row>
    <row r="8604" spans="1:15" ht="11.25" customHeight="1" x14ac:dyDescent="0.2">
      <c r="A8604" s="120">
        <v>2025</v>
      </c>
      <c r="B8604" s="120">
        <v>6</v>
      </c>
      <c r="C8604" s="120">
        <v>5</v>
      </c>
      <c r="D8604" s="208">
        <f t="shared" si="1003"/>
        <v>45813</v>
      </c>
      <c r="E8604" s="209">
        <f t="shared" si="1006"/>
        <v>45813</v>
      </c>
      <c r="F8604" s="515"/>
      <c r="G8604" s="132" t="s">
        <v>1209</v>
      </c>
      <c r="J8604" s="120" t="s">
        <v>16</v>
      </c>
      <c r="K8604" s="207"/>
      <c r="L8604" s="207">
        <v>113190</v>
      </c>
    </row>
    <row r="8605" spans="1:15" ht="11.25" customHeight="1" x14ac:dyDescent="0.2">
      <c r="A8605" s="191">
        <v>2025</v>
      </c>
      <c r="B8605" s="191">
        <v>6</v>
      </c>
      <c r="C8605" s="191">
        <v>5</v>
      </c>
      <c r="D8605" s="192">
        <f t="shared" si="1003"/>
        <v>45813</v>
      </c>
      <c r="E8605" s="193">
        <f t="shared" si="1006"/>
        <v>45813</v>
      </c>
      <c r="F8605" s="514"/>
      <c r="G8605" s="194" t="s">
        <v>1209</v>
      </c>
      <c r="H8605" s="195"/>
      <c r="I8605" s="195"/>
      <c r="J8605" s="191" t="s">
        <v>47</v>
      </c>
      <c r="K8605" s="196"/>
      <c r="L8605" s="196">
        <v>28810</v>
      </c>
    </row>
    <row r="8606" spans="1:15" ht="11.25" customHeight="1" x14ac:dyDescent="0.2">
      <c r="A8606" s="197">
        <v>2025</v>
      </c>
      <c r="B8606" s="197">
        <v>6</v>
      </c>
      <c r="C8606" s="197">
        <v>15</v>
      </c>
      <c r="D8606" s="198">
        <f t="shared" si="1003"/>
        <v>45823</v>
      </c>
      <c r="E8606" s="290">
        <f>DATE(A8606,B8606,C8606)</f>
        <v>45823</v>
      </c>
      <c r="F8606" s="513" t="s">
        <v>2051</v>
      </c>
      <c r="G8606" s="200" t="s">
        <v>1209</v>
      </c>
      <c r="H8606" s="201"/>
      <c r="I8606" s="201"/>
      <c r="J8606" s="197" t="s">
        <v>54</v>
      </c>
      <c r="K8606" s="202">
        <v>100</v>
      </c>
      <c r="L8606" s="202"/>
      <c r="M8606" s="251"/>
      <c r="N8606" s="251"/>
      <c r="O8606" s="251"/>
    </row>
    <row r="8607" spans="1:15" ht="11.25" customHeight="1" x14ac:dyDescent="0.2">
      <c r="A8607" s="191">
        <v>2025</v>
      </c>
      <c r="B8607" s="191">
        <v>6</v>
      </c>
      <c r="C8607" s="191">
        <v>15</v>
      </c>
      <c r="D8607" s="192">
        <f t="shared" si="1003"/>
        <v>45823</v>
      </c>
      <c r="E8607" s="291">
        <f>DATE(A8607,B8607,C8607)</f>
        <v>45823</v>
      </c>
      <c r="F8607" s="514"/>
      <c r="G8607" s="194" t="s">
        <v>1209</v>
      </c>
      <c r="H8607" s="195"/>
      <c r="I8607" s="195"/>
      <c r="J8607" s="191" t="s">
        <v>46</v>
      </c>
      <c r="K8607" s="196"/>
      <c r="L8607" s="196">
        <v>100</v>
      </c>
      <c r="M8607" s="251"/>
      <c r="N8607" s="251"/>
      <c r="O8607" s="251"/>
    </row>
    <row r="8608" spans="1:15" ht="11.25" customHeight="1" x14ac:dyDescent="0.2">
      <c r="A8608" s="197">
        <v>2025</v>
      </c>
      <c r="B8608" s="197">
        <v>6</v>
      </c>
      <c r="C8608" s="197">
        <v>15</v>
      </c>
      <c r="D8608" s="198">
        <f t="shared" si="1003"/>
        <v>45823</v>
      </c>
      <c r="E8608" s="209">
        <f t="shared" ref="E8608:E8612" si="1007">DATE(A8608,B8608,C8608)</f>
        <v>45823</v>
      </c>
      <c r="F8608" s="513" t="s">
        <v>1296</v>
      </c>
      <c r="G8608" s="200" t="s">
        <v>1209</v>
      </c>
      <c r="H8608" s="201"/>
      <c r="I8608" s="201"/>
      <c r="J8608" s="197" t="s">
        <v>46</v>
      </c>
      <c r="K8608" s="202">
        <v>109000</v>
      </c>
      <c r="L8608" s="202"/>
    </row>
    <row r="8609" spans="1:12" ht="11.25" customHeight="1" x14ac:dyDescent="0.2">
      <c r="A8609" s="120">
        <v>2025</v>
      </c>
      <c r="B8609" s="120">
        <v>6</v>
      </c>
      <c r="C8609" s="120">
        <v>15</v>
      </c>
      <c r="D8609" s="208">
        <f t="shared" si="1003"/>
        <v>45823</v>
      </c>
      <c r="E8609" s="209">
        <f t="shared" si="1007"/>
        <v>45823</v>
      </c>
      <c r="F8609" s="515"/>
      <c r="G8609" s="132" t="s">
        <v>1209</v>
      </c>
      <c r="J8609" s="120" t="s">
        <v>16</v>
      </c>
      <c r="K8609" s="207"/>
      <c r="L8609" s="207">
        <v>86890</v>
      </c>
    </row>
    <row r="8610" spans="1:12" ht="11.25" customHeight="1" x14ac:dyDescent="0.2">
      <c r="A8610" s="191">
        <v>2025</v>
      </c>
      <c r="B8610" s="191">
        <v>6</v>
      </c>
      <c r="C8610" s="191">
        <v>15</v>
      </c>
      <c r="D8610" s="192">
        <f t="shared" si="1003"/>
        <v>45823</v>
      </c>
      <c r="E8610" s="193">
        <f t="shared" si="1007"/>
        <v>45823</v>
      </c>
      <c r="F8610" s="514"/>
      <c r="G8610" s="194" t="s">
        <v>1209</v>
      </c>
      <c r="H8610" s="195"/>
      <c r="I8610" s="195"/>
      <c r="J8610" s="191" t="s">
        <v>47</v>
      </c>
      <c r="K8610" s="196"/>
      <c r="L8610" s="196">
        <v>22110</v>
      </c>
    </row>
    <row r="8611" spans="1:12" ht="11.25" customHeight="1" x14ac:dyDescent="0.2">
      <c r="A8611" s="197">
        <v>2025</v>
      </c>
      <c r="B8611" s="197">
        <v>6</v>
      </c>
      <c r="C8611" s="197">
        <v>15</v>
      </c>
      <c r="D8611" s="198">
        <f t="shared" si="1003"/>
        <v>45823</v>
      </c>
      <c r="E8611" s="290">
        <f t="shared" si="1007"/>
        <v>45823</v>
      </c>
      <c r="F8611" s="513" t="s">
        <v>2036</v>
      </c>
      <c r="G8611" s="200" t="s">
        <v>1209</v>
      </c>
      <c r="H8611" s="201"/>
      <c r="I8611" s="201" t="s">
        <v>1253</v>
      </c>
      <c r="J8611" s="197" t="s">
        <v>46</v>
      </c>
      <c r="K8611" s="202">
        <v>2047225</v>
      </c>
      <c r="L8611" s="202"/>
    </row>
    <row r="8612" spans="1:12" ht="11.25" customHeight="1" x14ac:dyDescent="0.2">
      <c r="A8612" s="191">
        <v>2025</v>
      </c>
      <c r="B8612" s="191">
        <v>6</v>
      </c>
      <c r="C8612" s="191">
        <v>15</v>
      </c>
      <c r="D8612" s="192">
        <f t="shared" si="1003"/>
        <v>45823</v>
      </c>
      <c r="E8612" s="291">
        <f t="shared" si="1007"/>
        <v>45823</v>
      </c>
      <c r="F8612" s="514"/>
      <c r="G8612" s="194" t="s">
        <v>1209</v>
      </c>
      <c r="H8612" s="195"/>
      <c r="I8612" s="195"/>
      <c r="J8612" s="191" t="s">
        <v>178</v>
      </c>
      <c r="K8612" s="196"/>
      <c r="L8612" s="196">
        <v>2047225</v>
      </c>
    </row>
    <row r="8613" spans="1:12" ht="11.25" customHeight="1" x14ac:dyDescent="0.2">
      <c r="A8613" s="197">
        <v>2025</v>
      </c>
      <c r="B8613" s="197">
        <v>6</v>
      </c>
      <c r="C8613" s="197">
        <v>15</v>
      </c>
      <c r="D8613" s="198">
        <f t="shared" si="1003"/>
        <v>45823</v>
      </c>
      <c r="E8613" s="209">
        <f t="shared" si="1006"/>
        <v>45823</v>
      </c>
      <c r="F8613" s="513" t="s">
        <v>1280</v>
      </c>
      <c r="G8613" s="200" t="s">
        <v>1209</v>
      </c>
      <c r="H8613" s="201"/>
      <c r="I8613" s="201" t="s">
        <v>1808</v>
      </c>
      <c r="J8613" s="197" t="s">
        <v>16</v>
      </c>
      <c r="K8613" s="202">
        <v>313850</v>
      </c>
      <c r="L8613" s="202"/>
    </row>
    <row r="8614" spans="1:12" ht="11.25" customHeight="1" x14ac:dyDescent="0.2">
      <c r="A8614" s="120">
        <v>2025</v>
      </c>
      <c r="B8614" s="120">
        <v>6</v>
      </c>
      <c r="C8614" s="120">
        <v>15</v>
      </c>
      <c r="D8614" s="208">
        <f t="shared" si="1003"/>
        <v>45823</v>
      </c>
      <c r="E8614" s="209">
        <f t="shared" si="1006"/>
        <v>45823</v>
      </c>
      <c r="F8614" s="515"/>
      <c r="G8614" s="132" t="s">
        <v>1209</v>
      </c>
      <c r="I8614" s="128" t="s">
        <v>1808</v>
      </c>
      <c r="J8614" s="120" t="s">
        <v>47</v>
      </c>
      <c r="K8614" s="207">
        <v>79874.830000000016</v>
      </c>
      <c r="L8614" s="207"/>
    </row>
    <row r="8615" spans="1:12" ht="11.25" customHeight="1" x14ac:dyDescent="0.2">
      <c r="A8615" s="191">
        <v>2025</v>
      </c>
      <c r="B8615" s="191">
        <v>6</v>
      </c>
      <c r="C8615" s="191">
        <v>15</v>
      </c>
      <c r="D8615" s="192">
        <f t="shared" si="1003"/>
        <v>45823</v>
      </c>
      <c r="E8615" s="193">
        <f t="shared" si="1006"/>
        <v>45823</v>
      </c>
      <c r="F8615" s="514"/>
      <c r="G8615" s="194" t="s">
        <v>1209</v>
      </c>
      <c r="H8615" s="195"/>
      <c r="I8615" s="195" t="s">
        <v>1808</v>
      </c>
      <c r="J8615" s="191" t="s">
        <v>46</v>
      </c>
      <c r="K8615" s="196"/>
      <c r="L8615" s="196">
        <v>393724.83</v>
      </c>
    </row>
    <row r="8616" spans="1:12" ht="11.25" customHeight="1" x14ac:dyDescent="0.2">
      <c r="A8616" s="197">
        <v>2025</v>
      </c>
      <c r="B8616" s="197">
        <v>6</v>
      </c>
      <c r="C8616" s="197">
        <v>16</v>
      </c>
      <c r="D8616" s="198">
        <f t="shared" si="1003"/>
        <v>45824</v>
      </c>
      <c r="E8616" s="209">
        <f t="shared" ref="E8616:E8621" si="1008">DATE(A8616,B8616,C8616)</f>
        <v>45824</v>
      </c>
      <c r="F8616" s="513" t="s">
        <v>1280</v>
      </c>
      <c r="G8616" s="200" t="s">
        <v>1209</v>
      </c>
      <c r="H8616" s="201"/>
      <c r="I8616" s="201" t="s">
        <v>1218</v>
      </c>
      <c r="J8616" s="197" t="s">
        <v>16</v>
      </c>
      <c r="K8616" s="202">
        <v>8369870</v>
      </c>
      <c r="L8616" s="202"/>
    </row>
    <row r="8617" spans="1:12" ht="11.25" customHeight="1" x14ac:dyDescent="0.2">
      <c r="A8617" s="120">
        <v>2025</v>
      </c>
      <c r="B8617" s="120">
        <v>6</v>
      </c>
      <c r="C8617" s="120">
        <v>16</v>
      </c>
      <c r="D8617" s="208">
        <f t="shared" si="1003"/>
        <v>45824</v>
      </c>
      <c r="E8617" s="209">
        <f t="shared" si="1008"/>
        <v>45824</v>
      </c>
      <c r="F8617" s="515"/>
      <c r="G8617" s="132" t="s">
        <v>1209</v>
      </c>
      <c r="I8617" s="128" t="s">
        <v>1218</v>
      </c>
      <c r="J8617" s="120" t="s">
        <v>47</v>
      </c>
      <c r="K8617" s="207">
        <v>2130130</v>
      </c>
      <c r="L8617" s="207"/>
    </row>
    <row r="8618" spans="1:12" ht="11.25" customHeight="1" x14ac:dyDescent="0.2">
      <c r="A8618" s="191">
        <v>2025</v>
      </c>
      <c r="B8618" s="191">
        <v>6</v>
      </c>
      <c r="C8618" s="191">
        <v>16</v>
      </c>
      <c r="D8618" s="192">
        <f t="shared" si="1003"/>
        <v>45824</v>
      </c>
      <c r="E8618" s="193">
        <f t="shared" si="1008"/>
        <v>45824</v>
      </c>
      <c r="F8618" s="514"/>
      <c r="G8618" s="194" t="s">
        <v>1209</v>
      </c>
      <c r="H8618" s="195"/>
      <c r="I8618" s="195" t="s">
        <v>1218</v>
      </c>
      <c r="J8618" s="191" t="s">
        <v>46</v>
      </c>
      <c r="K8618" s="196"/>
      <c r="L8618" s="196">
        <v>10500000</v>
      </c>
    </row>
    <row r="8619" spans="1:12" ht="11.25" customHeight="1" x14ac:dyDescent="0.2">
      <c r="A8619" s="197">
        <v>2025</v>
      </c>
      <c r="B8619" s="197">
        <v>6</v>
      </c>
      <c r="C8619" s="197">
        <v>16</v>
      </c>
      <c r="D8619" s="198">
        <f t="shared" si="1003"/>
        <v>45824</v>
      </c>
      <c r="E8619" s="209">
        <f t="shared" si="1008"/>
        <v>45824</v>
      </c>
      <c r="F8619" s="513" t="s">
        <v>1210</v>
      </c>
      <c r="G8619" s="200" t="s">
        <v>1209</v>
      </c>
      <c r="H8619" s="201"/>
      <c r="I8619" s="201" t="s">
        <v>1807</v>
      </c>
      <c r="J8619" s="197" t="s">
        <v>46</v>
      </c>
      <c r="K8619" s="202">
        <v>200000</v>
      </c>
      <c r="L8619" s="202"/>
    </row>
    <row r="8620" spans="1:12" ht="11.25" customHeight="1" x14ac:dyDescent="0.2">
      <c r="A8620" s="120">
        <v>2025</v>
      </c>
      <c r="B8620" s="120">
        <v>6</v>
      </c>
      <c r="C8620" s="120">
        <v>16</v>
      </c>
      <c r="D8620" s="208">
        <f t="shared" ref="D8620:D8683" si="1009">DATE(A8620,B8620,C8620)</f>
        <v>45824</v>
      </c>
      <c r="E8620" s="209">
        <f t="shared" si="1008"/>
        <v>45824</v>
      </c>
      <c r="F8620" s="515"/>
      <c r="G8620" s="132" t="s">
        <v>1209</v>
      </c>
      <c r="I8620" s="128" t="s">
        <v>1807</v>
      </c>
      <c r="J8620" s="120" t="s">
        <v>16</v>
      </c>
      <c r="K8620" s="207"/>
      <c r="L8620" s="207">
        <v>159430</v>
      </c>
    </row>
    <row r="8621" spans="1:12" ht="11.25" customHeight="1" x14ac:dyDescent="0.2">
      <c r="A8621" s="191">
        <v>2025</v>
      </c>
      <c r="B8621" s="191">
        <v>6</v>
      </c>
      <c r="C8621" s="191">
        <v>16</v>
      </c>
      <c r="D8621" s="192">
        <f t="shared" si="1009"/>
        <v>45824</v>
      </c>
      <c r="E8621" s="193">
        <f t="shared" si="1008"/>
        <v>45824</v>
      </c>
      <c r="F8621" s="514"/>
      <c r="G8621" s="194" t="s">
        <v>1209</v>
      </c>
      <c r="H8621" s="195"/>
      <c r="I8621" s="195" t="s">
        <v>1807</v>
      </c>
      <c r="J8621" s="191" t="s">
        <v>47</v>
      </c>
      <c r="K8621" s="196"/>
      <c r="L8621" s="196">
        <v>40570</v>
      </c>
    </row>
    <row r="8622" spans="1:12" ht="11.25" customHeight="1" x14ac:dyDescent="0.2">
      <c r="A8622" s="197">
        <v>2025</v>
      </c>
      <c r="B8622" s="197">
        <v>6</v>
      </c>
      <c r="C8622" s="197">
        <v>16</v>
      </c>
      <c r="D8622" s="198">
        <f t="shared" si="1009"/>
        <v>45824</v>
      </c>
      <c r="E8622" s="209">
        <f t="shared" ref="E8622:E8624" si="1010">DATE(A8622,B8622,C8622)</f>
        <v>45824</v>
      </c>
      <c r="F8622" s="513" t="s">
        <v>1210</v>
      </c>
      <c r="G8622" s="200" t="s">
        <v>1209</v>
      </c>
      <c r="H8622" s="201"/>
      <c r="I8622" s="201" t="s">
        <v>1218</v>
      </c>
      <c r="J8622" s="197" t="s">
        <v>46</v>
      </c>
      <c r="K8622" s="202">
        <v>10500000</v>
      </c>
      <c r="L8622" s="202"/>
    </row>
    <row r="8623" spans="1:12" ht="11.25" customHeight="1" x14ac:dyDescent="0.2">
      <c r="A8623" s="120">
        <v>2025</v>
      </c>
      <c r="B8623" s="120">
        <v>6</v>
      </c>
      <c r="C8623" s="120">
        <v>16</v>
      </c>
      <c r="D8623" s="208">
        <f t="shared" si="1009"/>
        <v>45824</v>
      </c>
      <c r="E8623" s="209">
        <f t="shared" si="1010"/>
        <v>45824</v>
      </c>
      <c r="F8623" s="515"/>
      <c r="G8623" s="132" t="s">
        <v>1209</v>
      </c>
      <c r="I8623" s="128" t="s">
        <v>1218</v>
      </c>
      <c r="J8623" s="120" t="s">
        <v>16</v>
      </c>
      <c r="K8623" s="207"/>
      <c r="L8623" s="207">
        <v>8369870</v>
      </c>
    </row>
    <row r="8624" spans="1:12" ht="11.25" customHeight="1" x14ac:dyDescent="0.2">
      <c r="A8624" s="191">
        <v>2025</v>
      </c>
      <c r="B8624" s="191">
        <v>6</v>
      </c>
      <c r="C8624" s="191">
        <v>16</v>
      </c>
      <c r="D8624" s="192">
        <f t="shared" si="1009"/>
        <v>45824</v>
      </c>
      <c r="E8624" s="193">
        <f t="shared" si="1010"/>
        <v>45824</v>
      </c>
      <c r="F8624" s="514"/>
      <c r="G8624" s="194" t="s">
        <v>1209</v>
      </c>
      <c r="H8624" s="195"/>
      <c r="I8624" s="195" t="s">
        <v>1218</v>
      </c>
      <c r="J8624" s="191" t="s">
        <v>47</v>
      </c>
      <c r="K8624" s="196"/>
      <c r="L8624" s="196">
        <v>2130130</v>
      </c>
    </row>
    <row r="8625" spans="1:15" ht="11.25" customHeight="1" x14ac:dyDescent="0.2">
      <c r="A8625" s="197">
        <v>2025</v>
      </c>
      <c r="B8625" s="197">
        <v>6</v>
      </c>
      <c r="C8625" s="197">
        <v>16</v>
      </c>
      <c r="D8625" s="198">
        <f t="shared" si="1009"/>
        <v>45824</v>
      </c>
      <c r="E8625" s="209">
        <f t="shared" ref="E8625:E8627" si="1011">DATE(A8625,B8625,C8625)</f>
        <v>45824</v>
      </c>
      <c r="F8625" s="513" t="s">
        <v>1210</v>
      </c>
      <c r="G8625" s="200" t="s">
        <v>1209</v>
      </c>
      <c r="H8625" s="201"/>
      <c r="I8625" s="201" t="s">
        <v>2030</v>
      </c>
      <c r="J8625" s="197" t="s">
        <v>46</v>
      </c>
      <c r="K8625" s="202">
        <v>500000</v>
      </c>
      <c r="L8625" s="202"/>
    </row>
    <row r="8626" spans="1:15" ht="11.25" customHeight="1" x14ac:dyDescent="0.2">
      <c r="A8626" s="120">
        <v>2025</v>
      </c>
      <c r="B8626" s="120">
        <v>6</v>
      </c>
      <c r="C8626" s="120">
        <v>16</v>
      </c>
      <c r="D8626" s="208">
        <f t="shared" si="1009"/>
        <v>45824</v>
      </c>
      <c r="E8626" s="209">
        <f t="shared" si="1011"/>
        <v>45824</v>
      </c>
      <c r="F8626" s="515"/>
      <c r="G8626" s="132" t="s">
        <v>1209</v>
      </c>
      <c r="I8626" s="128" t="s">
        <v>2030</v>
      </c>
      <c r="J8626" s="120" t="s">
        <v>16</v>
      </c>
      <c r="K8626" s="207"/>
      <c r="L8626" s="207">
        <v>398570</v>
      </c>
    </row>
    <row r="8627" spans="1:15" ht="11.25" customHeight="1" x14ac:dyDescent="0.2">
      <c r="A8627" s="191">
        <v>2025</v>
      </c>
      <c r="B8627" s="191">
        <v>6</v>
      </c>
      <c r="C8627" s="191">
        <v>16</v>
      </c>
      <c r="D8627" s="192">
        <f t="shared" si="1009"/>
        <v>45824</v>
      </c>
      <c r="E8627" s="193">
        <f t="shared" si="1011"/>
        <v>45824</v>
      </c>
      <c r="F8627" s="514"/>
      <c r="G8627" s="194" t="s">
        <v>1209</v>
      </c>
      <c r="H8627" s="195"/>
      <c r="I8627" s="195" t="s">
        <v>2030</v>
      </c>
      <c r="J8627" s="191" t="s">
        <v>47</v>
      </c>
      <c r="K8627" s="196"/>
      <c r="L8627" s="196">
        <v>101430</v>
      </c>
    </row>
    <row r="8628" spans="1:15" ht="11.25" customHeight="1" x14ac:dyDescent="0.2">
      <c r="A8628" s="197">
        <v>2025</v>
      </c>
      <c r="B8628" s="197">
        <v>6</v>
      </c>
      <c r="C8628" s="197">
        <v>16</v>
      </c>
      <c r="D8628" s="198">
        <f t="shared" si="1009"/>
        <v>45824</v>
      </c>
      <c r="E8628" s="209">
        <f t="shared" ref="E8628:E8632" si="1012">DATE(A8628,B8628,C8628)</f>
        <v>45824</v>
      </c>
      <c r="F8628" s="513" t="s">
        <v>1210</v>
      </c>
      <c r="G8628" s="200" t="s">
        <v>1209</v>
      </c>
      <c r="H8628" s="201"/>
      <c r="I8628" s="201" t="s">
        <v>1637</v>
      </c>
      <c r="J8628" s="197" t="s">
        <v>46</v>
      </c>
      <c r="K8628" s="202">
        <v>100000</v>
      </c>
      <c r="L8628" s="202"/>
    </row>
    <row r="8629" spans="1:15" ht="11.25" customHeight="1" x14ac:dyDescent="0.2">
      <c r="A8629" s="120">
        <v>2025</v>
      </c>
      <c r="B8629" s="120">
        <v>6</v>
      </c>
      <c r="C8629" s="120">
        <v>16</v>
      </c>
      <c r="D8629" s="208">
        <f t="shared" si="1009"/>
        <v>45824</v>
      </c>
      <c r="E8629" s="209">
        <f t="shared" si="1012"/>
        <v>45824</v>
      </c>
      <c r="F8629" s="515"/>
      <c r="G8629" s="132" t="s">
        <v>1209</v>
      </c>
      <c r="I8629" s="128" t="s">
        <v>1637</v>
      </c>
      <c r="J8629" s="120" t="s">
        <v>16</v>
      </c>
      <c r="K8629" s="207"/>
      <c r="L8629" s="207">
        <v>79710</v>
      </c>
    </row>
    <row r="8630" spans="1:15" ht="11.25" customHeight="1" x14ac:dyDescent="0.2">
      <c r="A8630" s="191">
        <v>2025</v>
      </c>
      <c r="B8630" s="191">
        <v>6</v>
      </c>
      <c r="C8630" s="191">
        <v>16</v>
      </c>
      <c r="D8630" s="192">
        <f t="shared" si="1009"/>
        <v>45824</v>
      </c>
      <c r="E8630" s="193">
        <f t="shared" si="1012"/>
        <v>45824</v>
      </c>
      <c r="F8630" s="514"/>
      <c r="G8630" s="194" t="s">
        <v>1209</v>
      </c>
      <c r="H8630" s="195"/>
      <c r="I8630" s="195" t="s">
        <v>1637</v>
      </c>
      <c r="J8630" s="191" t="s">
        <v>47</v>
      </c>
      <c r="K8630" s="196"/>
      <c r="L8630" s="196">
        <v>20290</v>
      </c>
    </row>
    <row r="8631" spans="1:15" ht="11.25" customHeight="1" x14ac:dyDescent="0.2">
      <c r="A8631" s="197">
        <v>2025</v>
      </c>
      <c r="B8631" s="197">
        <v>6</v>
      </c>
      <c r="C8631" s="197">
        <v>16</v>
      </c>
      <c r="D8631" s="198">
        <f t="shared" si="1009"/>
        <v>45824</v>
      </c>
      <c r="E8631" s="290">
        <f t="shared" si="1012"/>
        <v>45824</v>
      </c>
      <c r="F8631" s="513" t="s">
        <v>2033</v>
      </c>
      <c r="G8631" s="200" t="s">
        <v>1245</v>
      </c>
      <c r="H8631" s="201"/>
      <c r="I8631" s="201" t="s">
        <v>1253</v>
      </c>
      <c r="J8631" s="197" t="s">
        <v>46</v>
      </c>
      <c r="K8631" s="202">
        <v>101666.67</v>
      </c>
      <c r="L8631" s="202"/>
      <c r="M8631" s="130"/>
    </row>
    <row r="8632" spans="1:15" ht="11.25" customHeight="1" x14ac:dyDescent="0.2">
      <c r="A8632" s="191">
        <v>2025</v>
      </c>
      <c r="B8632" s="191">
        <v>6</v>
      </c>
      <c r="C8632" s="191">
        <v>16</v>
      </c>
      <c r="D8632" s="192">
        <f t="shared" si="1009"/>
        <v>45824</v>
      </c>
      <c r="E8632" s="291">
        <f t="shared" si="1012"/>
        <v>45824</v>
      </c>
      <c r="F8632" s="513"/>
      <c r="G8632" s="194" t="s">
        <v>1245</v>
      </c>
      <c r="H8632" s="195"/>
      <c r="I8632" s="195" t="s">
        <v>1253</v>
      </c>
      <c r="J8632" s="191" t="s">
        <v>113</v>
      </c>
      <c r="K8632" s="196"/>
      <c r="L8632" s="379">
        <v>101666.67</v>
      </c>
    </row>
    <row r="8633" spans="1:15" ht="11.25" customHeight="1" x14ac:dyDescent="0.2">
      <c r="A8633" s="197">
        <v>2025</v>
      </c>
      <c r="B8633" s="197">
        <v>6</v>
      </c>
      <c r="C8633" s="197">
        <v>16</v>
      </c>
      <c r="D8633" s="198">
        <f t="shared" si="1009"/>
        <v>45824</v>
      </c>
      <c r="E8633" s="290">
        <f t="shared" ref="E8633:E8634" si="1013">DATE(A8633,B8633,C8633)</f>
        <v>45824</v>
      </c>
      <c r="F8633" s="513" t="s">
        <v>2034</v>
      </c>
      <c r="G8633" s="200" t="s">
        <v>1245</v>
      </c>
      <c r="H8633" s="201"/>
      <c r="I8633" s="201" t="s">
        <v>1253</v>
      </c>
      <c r="J8633" s="197" t="s">
        <v>46</v>
      </c>
      <c r="K8633" s="202">
        <v>305000</v>
      </c>
      <c r="L8633" s="202"/>
      <c r="M8633" s="130"/>
    </row>
    <row r="8634" spans="1:15" ht="11.25" customHeight="1" x14ac:dyDescent="0.2">
      <c r="A8634" s="191">
        <v>2025</v>
      </c>
      <c r="B8634" s="191">
        <v>6</v>
      </c>
      <c r="C8634" s="191">
        <v>16</v>
      </c>
      <c r="D8634" s="192">
        <f t="shared" si="1009"/>
        <v>45824</v>
      </c>
      <c r="E8634" s="291">
        <f t="shared" si="1013"/>
        <v>45824</v>
      </c>
      <c r="F8634" s="513"/>
      <c r="G8634" s="194" t="s">
        <v>1245</v>
      </c>
      <c r="H8634" s="195"/>
      <c r="I8634" s="195" t="s">
        <v>1253</v>
      </c>
      <c r="J8634" s="191" t="s">
        <v>113</v>
      </c>
      <c r="K8634" s="196"/>
      <c r="L8634" s="379">
        <v>305000</v>
      </c>
    </row>
    <row r="8635" spans="1:15" ht="11.25" customHeight="1" x14ac:dyDescent="0.2">
      <c r="A8635" s="197">
        <v>2025</v>
      </c>
      <c r="B8635" s="197">
        <v>6</v>
      </c>
      <c r="C8635" s="197">
        <v>16</v>
      </c>
      <c r="D8635" s="198">
        <f t="shared" si="1009"/>
        <v>45824</v>
      </c>
      <c r="E8635" s="290">
        <f>DATE(A8635,B8635,C8635)</f>
        <v>45824</v>
      </c>
      <c r="F8635" s="513" t="s">
        <v>1514</v>
      </c>
      <c r="G8635" s="200" t="s">
        <v>1209</v>
      </c>
      <c r="H8635" s="201"/>
      <c r="I8635" s="201"/>
      <c r="J8635" s="197" t="s">
        <v>54</v>
      </c>
      <c r="K8635" s="202">
        <v>25</v>
      </c>
      <c r="L8635" s="202"/>
      <c r="M8635" s="251"/>
      <c r="N8635" s="251"/>
      <c r="O8635" s="251"/>
    </row>
    <row r="8636" spans="1:15" ht="11.25" customHeight="1" x14ac:dyDescent="0.2">
      <c r="A8636" s="191">
        <v>2025</v>
      </c>
      <c r="B8636" s="191">
        <v>6</v>
      </c>
      <c r="C8636" s="191">
        <v>16</v>
      </c>
      <c r="D8636" s="192">
        <f t="shared" si="1009"/>
        <v>45824</v>
      </c>
      <c r="E8636" s="291">
        <f>DATE(A8636,B8636,C8636)</f>
        <v>45824</v>
      </c>
      <c r="F8636" s="514"/>
      <c r="G8636" s="194" t="s">
        <v>1209</v>
      </c>
      <c r="H8636" s="195"/>
      <c r="I8636" s="195"/>
      <c r="J8636" s="191" t="s">
        <v>46</v>
      </c>
      <c r="K8636" s="196"/>
      <c r="L8636" s="196">
        <v>25</v>
      </c>
      <c r="M8636" s="251"/>
      <c r="N8636" s="251"/>
      <c r="O8636" s="251"/>
    </row>
    <row r="8637" spans="1:15" ht="11.25" customHeight="1" x14ac:dyDescent="0.2">
      <c r="A8637" s="197">
        <v>2025</v>
      </c>
      <c r="B8637" s="197">
        <v>6</v>
      </c>
      <c r="C8637" s="197">
        <v>18</v>
      </c>
      <c r="D8637" s="198">
        <f t="shared" si="1009"/>
        <v>45826</v>
      </c>
      <c r="E8637" s="209">
        <f t="shared" ref="E8637:E8639" si="1014">DATE(A8637,B8637,C8637)</f>
        <v>45826</v>
      </c>
      <c r="F8637" s="513" t="s">
        <v>1280</v>
      </c>
      <c r="G8637" s="200" t="s">
        <v>1209</v>
      </c>
      <c r="H8637" s="201"/>
      <c r="I8637" s="201" t="s">
        <v>1239</v>
      </c>
      <c r="J8637" s="197" t="s">
        <v>16</v>
      </c>
      <c r="K8637" s="202">
        <v>5100000</v>
      </c>
      <c r="L8637" s="202"/>
    </row>
    <row r="8638" spans="1:15" ht="11.25" customHeight="1" x14ac:dyDescent="0.2">
      <c r="A8638" s="120">
        <v>2025</v>
      </c>
      <c r="B8638" s="120">
        <v>6</v>
      </c>
      <c r="C8638" s="120">
        <v>18</v>
      </c>
      <c r="D8638" s="208">
        <f t="shared" si="1009"/>
        <v>45826</v>
      </c>
      <c r="E8638" s="209">
        <f t="shared" si="1014"/>
        <v>45826</v>
      </c>
      <c r="F8638" s="515"/>
      <c r="G8638" s="132" t="s">
        <v>1209</v>
      </c>
      <c r="I8638" s="128" t="s">
        <v>1239</v>
      </c>
      <c r="J8638" s="120" t="s">
        <v>47</v>
      </c>
      <c r="K8638" s="207">
        <v>1297950</v>
      </c>
      <c r="L8638" s="207"/>
    </row>
    <row r="8639" spans="1:15" ht="11.25" customHeight="1" x14ac:dyDescent="0.2">
      <c r="A8639" s="191">
        <v>2025</v>
      </c>
      <c r="B8639" s="191">
        <v>6</v>
      </c>
      <c r="C8639" s="191">
        <v>18</v>
      </c>
      <c r="D8639" s="192">
        <f t="shared" si="1009"/>
        <v>45826</v>
      </c>
      <c r="E8639" s="193">
        <f t="shared" si="1014"/>
        <v>45826</v>
      </c>
      <c r="F8639" s="514"/>
      <c r="G8639" s="194" t="s">
        <v>1209</v>
      </c>
      <c r="H8639" s="195"/>
      <c r="I8639" s="195" t="s">
        <v>1239</v>
      </c>
      <c r="J8639" s="191" t="s">
        <v>46</v>
      </c>
      <c r="K8639" s="196"/>
      <c r="L8639" s="196">
        <v>6397950</v>
      </c>
    </row>
    <row r="8640" spans="1:15" ht="11.25" customHeight="1" x14ac:dyDescent="0.2">
      <c r="A8640" s="197">
        <v>2025</v>
      </c>
      <c r="B8640" s="197">
        <v>6</v>
      </c>
      <c r="C8640" s="197">
        <v>18</v>
      </c>
      <c r="D8640" s="198">
        <f t="shared" si="1009"/>
        <v>45826</v>
      </c>
      <c r="E8640" s="290">
        <f>DATE(A8640,B8640,C8640)</f>
        <v>45826</v>
      </c>
      <c r="F8640" s="513" t="s">
        <v>1514</v>
      </c>
      <c r="G8640" s="200" t="s">
        <v>1209</v>
      </c>
      <c r="H8640" s="201"/>
      <c r="I8640" s="201"/>
      <c r="J8640" s="197" t="s">
        <v>54</v>
      </c>
      <c r="K8640" s="202">
        <v>100</v>
      </c>
      <c r="L8640" s="202"/>
      <c r="M8640" s="251"/>
      <c r="N8640" s="251"/>
      <c r="O8640" s="251"/>
    </row>
    <row r="8641" spans="1:15" ht="11.25" customHeight="1" x14ac:dyDescent="0.2">
      <c r="A8641" s="191">
        <v>2025</v>
      </c>
      <c r="B8641" s="191">
        <v>6</v>
      </c>
      <c r="C8641" s="191">
        <v>18</v>
      </c>
      <c r="D8641" s="192">
        <f t="shared" si="1009"/>
        <v>45826</v>
      </c>
      <c r="E8641" s="291">
        <f>DATE(A8641,B8641,C8641)</f>
        <v>45826</v>
      </c>
      <c r="F8641" s="514"/>
      <c r="G8641" s="194" t="s">
        <v>1209</v>
      </c>
      <c r="H8641" s="195"/>
      <c r="I8641" s="195"/>
      <c r="J8641" s="191" t="s">
        <v>46</v>
      </c>
      <c r="K8641" s="196"/>
      <c r="L8641" s="196">
        <v>100</v>
      </c>
      <c r="M8641" s="251"/>
      <c r="N8641" s="251"/>
      <c r="O8641" s="251"/>
    </row>
    <row r="8642" spans="1:15" ht="11.25" customHeight="1" x14ac:dyDescent="0.2">
      <c r="A8642" s="197">
        <v>2025</v>
      </c>
      <c r="B8642" s="197">
        <v>6</v>
      </c>
      <c r="C8642" s="197">
        <v>19</v>
      </c>
      <c r="D8642" s="198">
        <f t="shared" si="1009"/>
        <v>45827</v>
      </c>
      <c r="E8642" s="209">
        <f t="shared" ref="E8642:E8644" si="1015">DATE(A8642,B8642,C8642)</f>
        <v>45827</v>
      </c>
      <c r="F8642" s="513" t="s">
        <v>1280</v>
      </c>
      <c r="G8642" s="200" t="s">
        <v>1209</v>
      </c>
      <c r="H8642" s="201"/>
      <c r="I8642" s="201" t="s">
        <v>1218</v>
      </c>
      <c r="J8642" s="197" t="s">
        <v>16</v>
      </c>
      <c r="K8642" s="202">
        <v>1195700</v>
      </c>
      <c r="L8642" s="202"/>
    </row>
    <row r="8643" spans="1:15" ht="11.25" customHeight="1" x14ac:dyDescent="0.2">
      <c r="A8643" s="120">
        <v>2025</v>
      </c>
      <c r="B8643" s="120">
        <v>6</v>
      </c>
      <c r="C8643" s="120">
        <v>19</v>
      </c>
      <c r="D8643" s="208">
        <f t="shared" si="1009"/>
        <v>45827</v>
      </c>
      <c r="E8643" s="209">
        <f t="shared" si="1015"/>
        <v>45827</v>
      </c>
      <c r="F8643" s="515"/>
      <c r="G8643" s="132" t="s">
        <v>1209</v>
      </c>
      <c r="I8643" s="128" t="s">
        <v>1218</v>
      </c>
      <c r="J8643" s="120" t="s">
        <v>47</v>
      </c>
      <c r="K8643" s="207">
        <v>304300</v>
      </c>
      <c r="L8643" s="207"/>
    </row>
    <row r="8644" spans="1:15" ht="11.25" customHeight="1" x14ac:dyDescent="0.2">
      <c r="A8644" s="191">
        <v>2025</v>
      </c>
      <c r="B8644" s="191">
        <v>6</v>
      </c>
      <c r="C8644" s="191">
        <v>19</v>
      </c>
      <c r="D8644" s="192">
        <f t="shared" si="1009"/>
        <v>45827</v>
      </c>
      <c r="E8644" s="193">
        <f t="shared" si="1015"/>
        <v>45827</v>
      </c>
      <c r="F8644" s="514"/>
      <c r="G8644" s="194" t="s">
        <v>1209</v>
      </c>
      <c r="H8644" s="195"/>
      <c r="I8644" s="195" t="s">
        <v>1218</v>
      </c>
      <c r="J8644" s="191" t="s">
        <v>46</v>
      </c>
      <c r="K8644" s="196"/>
      <c r="L8644" s="196">
        <v>1500000</v>
      </c>
    </row>
    <row r="8645" spans="1:15" ht="11.25" customHeight="1" x14ac:dyDescent="0.2">
      <c r="A8645" s="197">
        <v>2025</v>
      </c>
      <c r="B8645" s="197">
        <v>6</v>
      </c>
      <c r="C8645" s="197">
        <v>19</v>
      </c>
      <c r="D8645" s="198">
        <f t="shared" si="1009"/>
        <v>45827</v>
      </c>
      <c r="E8645" s="209">
        <f t="shared" ref="E8645:E8647" si="1016">DATE(A8645,B8645,C8645)</f>
        <v>45827</v>
      </c>
      <c r="F8645" s="513" t="s">
        <v>1280</v>
      </c>
      <c r="G8645" s="200" t="s">
        <v>1209</v>
      </c>
      <c r="H8645" s="201"/>
      <c r="I8645" s="201" t="s">
        <v>520</v>
      </c>
      <c r="J8645" s="197" t="s">
        <v>16</v>
      </c>
      <c r="K8645" s="202">
        <v>404680</v>
      </c>
      <c r="L8645" s="202"/>
    </row>
    <row r="8646" spans="1:15" ht="11.25" customHeight="1" x14ac:dyDescent="0.2">
      <c r="A8646" s="120">
        <v>2025</v>
      </c>
      <c r="B8646" s="120">
        <v>6</v>
      </c>
      <c r="C8646" s="120">
        <v>19</v>
      </c>
      <c r="D8646" s="208">
        <f t="shared" si="1009"/>
        <v>45827</v>
      </c>
      <c r="E8646" s="209">
        <f t="shared" si="1016"/>
        <v>45827</v>
      </c>
      <c r="F8646" s="515"/>
      <c r="G8646" s="132" t="s">
        <v>1209</v>
      </c>
      <c r="I8646" s="128" t="s">
        <v>520</v>
      </c>
      <c r="J8646" s="120" t="s">
        <v>47</v>
      </c>
      <c r="K8646" s="207">
        <v>102991.06</v>
      </c>
      <c r="L8646" s="207"/>
    </row>
    <row r="8647" spans="1:15" ht="11.25" customHeight="1" x14ac:dyDescent="0.2">
      <c r="A8647" s="191">
        <v>2025</v>
      </c>
      <c r="B8647" s="191">
        <v>6</v>
      </c>
      <c r="C8647" s="191">
        <v>19</v>
      </c>
      <c r="D8647" s="192">
        <f t="shared" si="1009"/>
        <v>45827</v>
      </c>
      <c r="E8647" s="193">
        <f t="shared" si="1016"/>
        <v>45827</v>
      </c>
      <c r="F8647" s="514"/>
      <c r="G8647" s="194" t="s">
        <v>1209</v>
      </c>
      <c r="H8647" s="195"/>
      <c r="I8647" s="195" t="s">
        <v>520</v>
      </c>
      <c r="J8647" s="191" t="s">
        <v>46</v>
      </c>
      <c r="K8647" s="196"/>
      <c r="L8647" s="196">
        <v>507671.06</v>
      </c>
    </row>
    <row r="8648" spans="1:15" ht="11.25" customHeight="1" x14ac:dyDescent="0.2">
      <c r="A8648" s="197">
        <v>2025</v>
      </c>
      <c r="B8648" s="197">
        <v>6</v>
      </c>
      <c r="C8648" s="197">
        <v>19</v>
      </c>
      <c r="D8648" s="198">
        <f t="shared" si="1009"/>
        <v>45827</v>
      </c>
      <c r="E8648" s="209">
        <f t="shared" ref="E8648:E8650" si="1017">DATE(A8648,B8648,C8648)</f>
        <v>45827</v>
      </c>
      <c r="F8648" s="513" t="s">
        <v>1280</v>
      </c>
      <c r="G8648" s="200" t="s">
        <v>1209</v>
      </c>
      <c r="H8648" s="201"/>
      <c r="I8648" s="201" t="s">
        <v>648</v>
      </c>
      <c r="J8648" s="197" t="s">
        <v>16</v>
      </c>
      <c r="K8648" s="202">
        <v>1462470</v>
      </c>
      <c r="L8648" s="202"/>
    </row>
    <row r="8649" spans="1:15" ht="11.25" customHeight="1" x14ac:dyDescent="0.2">
      <c r="A8649" s="120">
        <v>2025</v>
      </c>
      <c r="B8649" s="120">
        <v>6</v>
      </c>
      <c r="C8649" s="120">
        <v>19</v>
      </c>
      <c r="D8649" s="208">
        <f t="shared" si="1009"/>
        <v>45827</v>
      </c>
      <c r="E8649" s="209">
        <f t="shared" si="1017"/>
        <v>45827</v>
      </c>
      <c r="F8649" s="515"/>
      <c r="G8649" s="132" t="s">
        <v>1209</v>
      </c>
      <c r="I8649" s="128" t="s">
        <v>648</v>
      </c>
      <c r="J8649" s="120" t="s">
        <v>47</v>
      </c>
      <c r="K8649" s="207">
        <v>372198.62000000011</v>
      </c>
      <c r="L8649" s="207"/>
    </row>
    <row r="8650" spans="1:15" ht="11.25" customHeight="1" x14ac:dyDescent="0.2">
      <c r="A8650" s="191">
        <v>2025</v>
      </c>
      <c r="B8650" s="191">
        <v>6</v>
      </c>
      <c r="C8650" s="191">
        <v>19</v>
      </c>
      <c r="D8650" s="192">
        <f t="shared" si="1009"/>
        <v>45827</v>
      </c>
      <c r="E8650" s="193">
        <f t="shared" si="1017"/>
        <v>45827</v>
      </c>
      <c r="F8650" s="514"/>
      <c r="G8650" s="194" t="s">
        <v>1209</v>
      </c>
      <c r="H8650" s="195"/>
      <c r="I8650" s="195" t="s">
        <v>648</v>
      </c>
      <c r="J8650" s="191" t="s">
        <v>46</v>
      </c>
      <c r="K8650" s="196"/>
      <c r="L8650" s="196">
        <v>1834668.62</v>
      </c>
    </row>
    <row r="8651" spans="1:15" ht="11.25" customHeight="1" x14ac:dyDescent="0.2">
      <c r="A8651" s="197">
        <v>2025</v>
      </c>
      <c r="B8651" s="197">
        <v>6</v>
      </c>
      <c r="C8651" s="197">
        <v>19</v>
      </c>
      <c r="D8651" s="198">
        <f t="shared" si="1009"/>
        <v>45827</v>
      </c>
      <c r="E8651" s="209">
        <f t="shared" ref="E8651:E8658" si="1018">DATE(A8651,B8651,C8651)</f>
        <v>45827</v>
      </c>
      <c r="F8651" s="513" t="s">
        <v>1423</v>
      </c>
      <c r="G8651" s="200" t="s">
        <v>1209</v>
      </c>
      <c r="H8651" s="201"/>
      <c r="I8651" s="201" t="s">
        <v>2038</v>
      </c>
      <c r="J8651" s="197" t="s">
        <v>16</v>
      </c>
      <c r="K8651" s="202">
        <v>16770</v>
      </c>
      <c r="L8651" s="202"/>
    </row>
    <row r="8652" spans="1:15" ht="11.25" customHeight="1" x14ac:dyDescent="0.2">
      <c r="A8652" s="120">
        <v>2025</v>
      </c>
      <c r="B8652" s="120">
        <v>6</v>
      </c>
      <c r="C8652" s="120">
        <v>19</v>
      </c>
      <c r="D8652" s="208">
        <f t="shared" si="1009"/>
        <v>45827</v>
      </c>
      <c r="E8652" s="209">
        <f t="shared" si="1018"/>
        <v>45827</v>
      </c>
      <c r="F8652" s="515"/>
      <c r="G8652" s="132" t="s">
        <v>1209</v>
      </c>
      <c r="I8652" s="128" t="s">
        <v>2038</v>
      </c>
      <c r="J8652" s="120" t="s">
        <v>47</v>
      </c>
      <c r="K8652" s="207">
        <v>4267.9700000000012</v>
      </c>
      <c r="L8652" s="207"/>
    </row>
    <row r="8653" spans="1:15" ht="11.25" customHeight="1" x14ac:dyDescent="0.2">
      <c r="A8653" s="191">
        <v>2025</v>
      </c>
      <c r="B8653" s="191">
        <v>6</v>
      </c>
      <c r="C8653" s="191">
        <v>19</v>
      </c>
      <c r="D8653" s="192">
        <f t="shared" si="1009"/>
        <v>45827</v>
      </c>
      <c r="E8653" s="193">
        <f t="shared" si="1018"/>
        <v>45827</v>
      </c>
      <c r="F8653" s="514"/>
      <c r="G8653" s="194" t="s">
        <v>1209</v>
      </c>
      <c r="H8653" s="195"/>
      <c r="I8653" s="195" t="s">
        <v>2038</v>
      </c>
      <c r="J8653" s="191" t="s">
        <v>46</v>
      </c>
      <c r="K8653" s="196"/>
      <c r="L8653" s="196">
        <v>21037.97</v>
      </c>
    </row>
    <row r="8654" spans="1:15" ht="11.25" customHeight="1" x14ac:dyDescent="0.2">
      <c r="A8654" s="197">
        <v>2025</v>
      </c>
      <c r="B8654" s="197">
        <v>6</v>
      </c>
      <c r="C8654" s="197">
        <v>19</v>
      </c>
      <c r="D8654" s="198">
        <f t="shared" si="1009"/>
        <v>45827</v>
      </c>
      <c r="E8654" s="199">
        <f t="shared" si="1018"/>
        <v>45827</v>
      </c>
      <c r="F8654" s="513" t="s">
        <v>2024</v>
      </c>
      <c r="G8654" s="200" t="s">
        <v>1209</v>
      </c>
      <c r="H8654" s="201"/>
      <c r="I8654" s="201" t="s">
        <v>1253</v>
      </c>
      <c r="J8654" s="197" t="s">
        <v>1837</v>
      </c>
      <c r="K8654" s="202">
        <v>2017851.48</v>
      </c>
      <c r="L8654" s="202"/>
    </row>
    <row r="8655" spans="1:15" ht="11.25" customHeight="1" x14ac:dyDescent="0.2">
      <c r="A8655" s="191">
        <v>2025</v>
      </c>
      <c r="B8655" s="191">
        <v>6</v>
      </c>
      <c r="C8655" s="191">
        <v>19</v>
      </c>
      <c r="D8655" s="192">
        <f t="shared" si="1009"/>
        <v>45827</v>
      </c>
      <c r="E8655" s="193">
        <f t="shared" si="1018"/>
        <v>45827</v>
      </c>
      <c r="F8655" s="514"/>
      <c r="G8655" s="194" t="s">
        <v>1209</v>
      </c>
      <c r="H8655" s="195"/>
      <c r="I8655" s="195" t="s">
        <v>1253</v>
      </c>
      <c r="J8655" s="191" t="s">
        <v>46</v>
      </c>
      <c r="K8655" s="196"/>
      <c r="L8655" s="196">
        <v>2017851.48</v>
      </c>
      <c r="N8655" s="130"/>
    </row>
    <row r="8656" spans="1:15" ht="11.25" customHeight="1" x14ac:dyDescent="0.2">
      <c r="A8656" s="197">
        <v>2025</v>
      </c>
      <c r="B8656" s="197">
        <v>6</v>
      </c>
      <c r="C8656" s="197">
        <v>19</v>
      </c>
      <c r="D8656" s="198">
        <f t="shared" si="1009"/>
        <v>45827</v>
      </c>
      <c r="E8656" s="199">
        <f t="shared" si="1018"/>
        <v>45827</v>
      </c>
      <c r="F8656" s="513" t="s">
        <v>2012</v>
      </c>
      <c r="G8656" s="200" t="s">
        <v>1209</v>
      </c>
      <c r="H8656" s="201"/>
      <c r="I8656" s="201" t="s">
        <v>1253</v>
      </c>
      <c r="J8656" s="197" t="s">
        <v>46</v>
      </c>
      <c r="K8656" s="202">
        <v>3326060.5</v>
      </c>
      <c r="L8656" s="202"/>
    </row>
    <row r="8657" spans="1:15" ht="11.25" customHeight="1" x14ac:dyDescent="0.2">
      <c r="A8657" s="120">
        <v>2025</v>
      </c>
      <c r="B8657" s="120">
        <v>6</v>
      </c>
      <c r="C8657" s="120">
        <v>19</v>
      </c>
      <c r="D8657" s="208">
        <f t="shared" si="1009"/>
        <v>45827</v>
      </c>
      <c r="E8657" s="209">
        <f t="shared" si="1018"/>
        <v>45827</v>
      </c>
      <c r="F8657" s="515"/>
      <c r="G8657" s="132" t="s">
        <v>1209</v>
      </c>
      <c r="J8657" s="120" t="s">
        <v>1463</v>
      </c>
      <c r="K8657" s="328">
        <v>83699.53</v>
      </c>
      <c r="L8657" s="207"/>
    </row>
    <row r="8658" spans="1:15" ht="11.25" customHeight="1" x14ac:dyDescent="0.2">
      <c r="A8658" s="191">
        <v>2025</v>
      </c>
      <c r="B8658" s="191">
        <v>6</v>
      </c>
      <c r="C8658" s="191">
        <v>19</v>
      </c>
      <c r="D8658" s="192">
        <f t="shared" si="1009"/>
        <v>45827</v>
      </c>
      <c r="E8658" s="193">
        <f t="shared" si="1018"/>
        <v>45827</v>
      </c>
      <c r="F8658" s="514"/>
      <c r="G8658" s="194" t="s">
        <v>1209</v>
      </c>
      <c r="H8658" s="195"/>
      <c r="I8658" s="195" t="s">
        <v>1253</v>
      </c>
      <c r="J8658" s="191" t="s">
        <v>1837</v>
      </c>
      <c r="K8658" s="196"/>
      <c r="L8658" s="196">
        <v>3409760.03</v>
      </c>
      <c r="N8658" s="130"/>
    </row>
    <row r="8659" spans="1:15" ht="11.25" customHeight="1" x14ac:dyDescent="0.2">
      <c r="A8659" s="197">
        <v>2025</v>
      </c>
      <c r="B8659" s="197">
        <v>6</v>
      </c>
      <c r="C8659" s="197">
        <v>19</v>
      </c>
      <c r="D8659" s="198">
        <f t="shared" si="1009"/>
        <v>45827</v>
      </c>
      <c r="E8659" s="290">
        <f>DATE(A8659,B8659,C8659)</f>
        <v>45827</v>
      </c>
      <c r="F8659" s="513" t="s">
        <v>1514</v>
      </c>
      <c r="G8659" s="200" t="s">
        <v>1209</v>
      </c>
      <c r="H8659" s="201"/>
      <c r="I8659" s="201"/>
      <c r="J8659" s="197" t="s">
        <v>54</v>
      </c>
      <c r="K8659" s="202">
        <v>200</v>
      </c>
      <c r="L8659" s="202"/>
      <c r="M8659" s="251"/>
      <c r="N8659" s="251"/>
      <c r="O8659" s="251"/>
    </row>
    <row r="8660" spans="1:15" ht="11.25" customHeight="1" x14ac:dyDescent="0.2">
      <c r="A8660" s="191">
        <v>2025</v>
      </c>
      <c r="B8660" s="191">
        <v>6</v>
      </c>
      <c r="C8660" s="191">
        <v>19</v>
      </c>
      <c r="D8660" s="192">
        <f t="shared" si="1009"/>
        <v>45827</v>
      </c>
      <c r="E8660" s="291">
        <f>DATE(A8660,B8660,C8660)</f>
        <v>45827</v>
      </c>
      <c r="F8660" s="514"/>
      <c r="G8660" s="194" t="s">
        <v>1209</v>
      </c>
      <c r="H8660" s="195"/>
      <c r="I8660" s="195"/>
      <c r="J8660" s="191" t="s">
        <v>46</v>
      </c>
      <c r="K8660" s="196"/>
      <c r="L8660" s="196">
        <v>200</v>
      </c>
      <c r="M8660" s="251"/>
      <c r="N8660" s="251"/>
      <c r="O8660" s="251"/>
    </row>
    <row r="8661" spans="1:15" ht="11.25" customHeight="1" x14ac:dyDescent="0.2">
      <c r="A8661" s="424">
        <v>2025</v>
      </c>
      <c r="B8661" s="424">
        <v>6</v>
      </c>
      <c r="C8661" s="424">
        <v>19</v>
      </c>
      <c r="D8661" s="425">
        <f t="shared" si="1009"/>
        <v>45827</v>
      </c>
      <c r="E8661" s="384">
        <f t="shared" ref="E8661:E8670" si="1019">DATE(A8661,B8661,C8661)</f>
        <v>45827</v>
      </c>
      <c r="F8661" s="516" t="s">
        <v>1850</v>
      </c>
      <c r="G8661" s="426" t="s">
        <v>1209</v>
      </c>
      <c r="H8661" s="427"/>
      <c r="I8661" s="427"/>
      <c r="J8661" s="428" t="s">
        <v>81</v>
      </c>
      <c r="K8661" s="429">
        <v>6973.2450980392159</v>
      </c>
      <c r="L8661" s="429"/>
      <c r="M8661" s="130"/>
    </row>
    <row r="8662" spans="1:15" ht="11.25" customHeight="1" x14ac:dyDescent="0.2">
      <c r="A8662" s="389">
        <v>2025</v>
      </c>
      <c r="B8662" s="389">
        <v>6</v>
      </c>
      <c r="C8662" s="389">
        <v>19</v>
      </c>
      <c r="D8662" s="390">
        <f t="shared" si="1009"/>
        <v>45827</v>
      </c>
      <c r="E8662" s="391">
        <f t="shared" si="1019"/>
        <v>45827</v>
      </c>
      <c r="F8662" s="517"/>
      <c r="G8662" s="392" t="s">
        <v>1209</v>
      </c>
      <c r="H8662" s="393"/>
      <c r="I8662" s="393"/>
      <c r="J8662" s="394" t="s">
        <v>1847</v>
      </c>
      <c r="K8662" s="423"/>
      <c r="L8662" s="423">
        <v>6973.2450980392159</v>
      </c>
    </row>
    <row r="8663" spans="1:15" ht="11.25" customHeight="1" x14ac:dyDescent="0.2">
      <c r="A8663" s="382">
        <v>2025</v>
      </c>
      <c r="B8663" s="382">
        <v>6</v>
      </c>
      <c r="C8663" s="382">
        <v>19</v>
      </c>
      <c r="D8663" s="383">
        <f t="shared" si="1009"/>
        <v>45827</v>
      </c>
      <c r="E8663" s="384">
        <f t="shared" si="1019"/>
        <v>45827</v>
      </c>
      <c r="F8663" s="516" t="s">
        <v>1892</v>
      </c>
      <c r="G8663" s="385" t="s">
        <v>1209</v>
      </c>
      <c r="H8663" s="386"/>
      <c r="I8663" s="386"/>
      <c r="J8663" s="387" t="s">
        <v>173</v>
      </c>
      <c r="K8663" s="388">
        <v>4762.86417265625</v>
      </c>
      <c r="L8663" s="388"/>
      <c r="M8663" s="130"/>
    </row>
    <row r="8664" spans="1:15" ht="11.25" customHeight="1" x14ac:dyDescent="0.2">
      <c r="A8664" s="389">
        <v>2025</v>
      </c>
      <c r="B8664" s="389">
        <v>6</v>
      </c>
      <c r="C8664" s="389">
        <v>19</v>
      </c>
      <c r="D8664" s="390">
        <f t="shared" si="1009"/>
        <v>45827</v>
      </c>
      <c r="E8664" s="391">
        <f t="shared" si="1019"/>
        <v>45827</v>
      </c>
      <c r="F8664" s="517"/>
      <c r="G8664" s="392" t="s">
        <v>1209</v>
      </c>
      <c r="H8664" s="393"/>
      <c r="I8664" s="393"/>
      <c r="J8664" s="394" t="s">
        <v>43</v>
      </c>
      <c r="K8664" s="388"/>
      <c r="L8664" s="388">
        <f>K8663</f>
        <v>4762.86417265625</v>
      </c>
    </row>
    <row r="8665" spans="1:15" ht="11.25" customHeight="1" x14ac:dyDescent="0.2">
      <c r="A8665" s="344">
        <v>2025</v>
      </c>
      <c r="B8665" s="344">
        <v>6</v>
      </c>
      <c r="C8665" s="344">
        <v>19</v>
      </c>
      <c r="D8665" s="345">
        <f t="shared" si="1009"/>
        <v>45827</v>
      </c>
      <c r="E8665" s="346">
        <f t="shared" si="1019"/>
        <v>45827</v>
      </c>
      <c r="F8665" s="518" t="s">
        <v>1982</v>
      </c>
      <c r="G8665" s="347" t="s">
        <v>1245</v>
      </c>
      <c r="H8665" s="348"/>
      <c r="I8665" s="348" t="s">
        <v>1253</v>
      </c>
      <c r="J8665" s="344" t="s">
        <v>1978</v>
      </c>
      <c r="K8665" s="349">
        <v>145230.76923076922</v>
      </c>
      <c r="L8665" s="349"/>
      <c r="M8665" s="130"/>
    </row>
    <row r="8666" spans="1:15" ht="11.25" customHeight="1" x14ac:dyDescent="0.2">
      <c r="A8666" s="350">
        <v>2025</v>
      </c>
      <c r="B8666" s="350">
        <v>6</v>
      </c>
      <c r="C8666" s="350">
        <v>19</v>
      </c>
      <c r="D8666" s="351">
        <f t="shared" si="1009"/>
        <v>45827</v>
      </c>
      <c r="E8666" s="352">
        <f t="shared" si="1019"/>
        <v>45827</v>
      </c>
      <c r="F8666" s="519"/>
      <c r="G8666" s="353" t="s">
        <v>1245</v>
      </c>
      <c r="H8666" s="354"/>
      <c r="I8666" s="354" t="s">
        <v>1253</v>
      </c>
      <c r="J8666" s="350" t="s">
        <v>1979</v>
      </c>
      <c r="K8666" s="355"/>
      <c r="L8666" s="355">
        <f>K8665</f>
        <v>145230.76923076922</v>
      </c>
    </row>
    <row r="8667" spans="1:15" ht="11.25" customHeight="1" x14ac:dyDescent="0.2">
      <c r="A8667" s="344">
        <v>2025</v>
      </c>
      <c r="B8667" s="344">
        <v>6</v>
      </c>
      <c r="C8667" s="344">
        <v>19</v>
      </c>
      <c r="D8667" s="345">
        <f t="shared" si="1009"/>
        <v>45827</v>
      </c>
      <c r="E8667" s="346">
        <f t="shared" si="1019"/>
        <v>45827</v>
      </c>
      <c r="F8667" s="518" t="s">
        <v>2009</v>
      </c>
      <c r="G8667" s="347" t="s">
        <v>1245</v>
      </c>
      <c r="H8667" s="348"/>
      <c r="I8667" s="348" t="s">
        <v>1253</v>
      </c>
      <c r="J8667" s="344" t="s">
        <v>2004</v>
      </c>
      <c r="K8667" s="349">
        <v>49692.31</v>
      </c>
      <c r="L8667" s="349"/>
      <c r="M8667" s="130"/>
    </row>
    <row r="8668" spans="1:15" ht="11.25" customHeight="1" x14ac:dyDescent="0.2">
      <c r="A8668" s="350">
        <v>2025</v>
      </c>
      <c r="B8668" s="350">
        <v>6</v>
      </c>
      <c r="C8668" s="350">
        <v>19</v>
      </c>
      <c r="D8668" s="351">
        <f t="shared" si="1009"/>
        <v>45827</v>
      </c>
      <c r="E8668" s="352">
        <f t="shared" si="1019"/>
        <v>45827</v>
      </c>
      <c r="F8668" s="519"/>
      <c r="G8668" s="353" t="s">
        <v>1245</v>
      </c>
      <c r="H8668" s="354"/>
      <c r="I8668" s="354" t="s">
        <v>1253</v>
      </c>
      <c r="J8668" s="350" t="s">
        <v>2008</v>
      </c>
      <c r="K8668" s="355"/>
      <c r="L8668" s="355">
        <f>K8667</f>
        <v>49692.31</v>
      </c>
    </row>
    <row r="8669" spans="1:15" ht="11.25" customHeight="1" x14ac:dyDescent="0.2">
      <c r="A8669" s="344">
        <v>2025</v>
      </c>
      <c r="B8669" s="344">
        <v>6</v>
      </c>
      <c r="C8669" s="344">
        <v>19</v>
      </c>
      <c r="D8669" s="345">
        <f t="shared" si="1009"/>
        <v>45827</v>
      </c>
      <c r="E8669" s="346">
        <f t="shared" si="1019"/>
        <v>45827</v>
      </c>
      <c r="F8669" s="518" t="s">
        <v>2009</v>
      </c>
      <c r="G8669" s="347" t="s">
        <v>1245</v>
      </c>
      <c r="H8669" s="348"/>
      <c r="I8669" s="348" t="s">
        <v>1253</v>
      </c>
      <c r="J8669" s="344" t="s">
        <v>2004</v>
      </c>
      <c r="K8669" s="349">
        <v>49692.31</v>
      </c>
      <c r="L8669" s="349"/>
      <c r="M8669" s="130"/>
    </row>
    <row r="8670" spans="1:15" ht="11.25" customHeight="1" x14ac:dyDescent="0.2">
      <c r="A8670" s="350">
        <v>2025</v>
      </c>
      <c r="B8670" s="350">
        <v>6</v>
      </c>
      <c r="C8670" s="350">
        <v>19</v>
      </c>
      <c r="D8670" s="351">
        <f t="shared" si="1009"/>
        <v>45827</v>
      </c>
      <c r="E8670" s="352">
        <f t="shared" si="1019"/>
        <v>45827</v>
      </c>
      <c r="F8670" s="519"/>
      <c r="G8670" s="353" t="s">
        <v>1245</v>
      </c>
      <c r="H8670" s="354"/>
      <c r="I8670" s="354" t="s">
        <v>1253</v>
      </c>
      <c r="J8670" s="350" t="s">
        <v>2008</v>
      </c>
      <c r="K8670" s="355"/>
      <c r="L8670" s="355">
        <f>K8669</f>
        <v>49692.31</v>
      </c>
    </row>
    <row r="8671" spans="1:15" ht="11.25" customHeight="1" x14ac:dyDescent="0.2">
      <c r="A8671" s="344">
        <v>2025</v>
      </c>
      <c r="B8671" s="344">
        <v>6</v>
      </c>
      <c r="C8671" s="344">
        <v>19</v>
      </c>
      <c r="D8671" s="345">
        <f t="shared" si="1009"/>
        <v>45827</v>
      </c>
      <c r="E8671" s="346">
        <f>DATE(A8671,B8671,C8671)</f>
        <v>45827</v>
      </c>
      <c r="F8671" s="518" t="s">
        <v>1988</v>
      </c>
      <c r="G8671" s="347" t="s">
        <v>1245</v>
      </c>
      <c r="H8671" s="348"/>
      <c r="I8671" s="348" t="s">
        <v>1253</v>
      </c>
      <c r="J8671" s="344" t="s">
        <v>113</v>
      </c>
      <c r="K8671" s="349">
        <v>32846.15</v>
      </c>
      <c r="L8671" s="349"/>
      <c r="M8671" s="130"/>
    </row>
    <row r="8672" spans="1:15" ht="11.25" customHeight="1" x14ac:dyDescent="0.2">
      <c r="A8672" s="350">
        <v>2025</v>
      </c>
      <c r="B8672" s="350">
        <v>6</v>
      </c>
      <c r="C8672" s="350">
        <v>19</v>
      </c>
      <c r="D8672" s="351">
        <f t="shared" si="1009"/>
        <v>45827</v>
      </c>
      <c r="E8672" s="352">
        <f>DATE(A8672,B8672,C8672)</f>
        <v>45827</v>
      </c>
      <c r="F8672" s="519"/>
      <c r="G8672" s="353" t="s">
        <v>1245</v>
      </c>
      <c r="H8672" s="354"/>
      <c r="I8672" s="354" t="s">
        <v>1253</v>
      </c>
      <c r="J8672" s="350" t="s">
        <v>153</v>
      </c>
      <c r="K8672" s="355"/>
      <c r="L8672" s="355">
        <f>K8671</f>
        <v>32846.15</v>
      </c>
    </row>
    <row r="8673" spans="1:14" ht="11.25" customHeight="1" x14ac:dyDescent="0.2">
      <c r="A8673" s="344">
        <v>2025</v>
      </c>
      <c r="B8673" s="344">
        <v>6</v>
      </c>
      <c r="C8673" s="344">
        <v>19</v>
      </c>
      <c r="D8673" s="345">
        <f t="shared" si="1009"/>
        <v>45827</v>
      </c>
      <c r="E8673" s="346">
        <f t="shared" ref="E8673:E8678" si="1020">DATE(A8673,B8673,C8673)</f>
        <v>45827</v>
      </c>
      <c r="F8673" s="518" t="s">
        <v>1989</v>
      </c>
      <c r="G8673" s="347" t="s">
        <v>1245</v>
      </c>
      <c r="H8673" s="348"/>
      <c r="I8673" s="348" t="s">
        <v>1253</v>
      </c>
      <c r="J8673" s="344" t="s">
        <v>113</v>
      </c>
      <c r="K8673" s="349">
        <v>23461.538461538461</v>
      </c>
      <c r="L8673" s="349"/>
      <c r="M8673" s="130"/>
    </row>
    <row r="8674" spans="1:14" ht="11.25" customHeight="1" x14ac:dyDescent="0.2">
      <c r="A8674" s="350">
        <v>2025</v>
      </c>
      <c r="B8674" s="350">
        <v>6</v>
      </c>
      <c r="C8674" s="350">
        <v>19</v>
      </c>
      <c r="D8674" s="351">
        <f t="shared" si="1009"/>
        <v>45827</v>
      </c>
      <c r="E8674" s="352">
        <f t="shared" si="1020"/>
        <v>45827</v>
      </c>
      <c r="F8674" s="519"/>
      <c r="G8674" s="353" t="s">
        <v>1245</v>
      </c>
      <c r="H8674" s="354"/>
      <c r="I8674" s="354" t="s">
        <v>1253</v>
      </c>
      <c r="J8674" s="350" t="s">
        <v>153</v>
      </c>
      <c r="K8674" s="355"/>
      <c r="L8674" s="355">
        <f>K8673</f>
        <v>23461.538461538461</v>
      </c>
    </row>
    <row r="8675" spans="1:14" ht="11.25" customHeight="1" x14ac:dyDescent="0.2">
      <c r="A8675" s="344">
        <v>2025</v>
      </c>
      <c r="B8675" s="344">
        <v>6</v>
      </c>
      <c r="C8675" s="344">
        <v>19</v>
      </c>
      <c r="D8675" s="345">
        <f t="shared" si="1009"/>
        <v>45827</v>
      </c>
      <c r="E8675" s="346">
        <f t="shared" si="1020"/>
        <v>45827</v>
      </c>
      <c r="F8675" s="518" t="s">
        <v>1990</v>
      </c>
      <c r="G8675" s="347" t="s">
        <v>1245</v>
      </c>
      <c r="H8675" s="348"/>
      <c r="I8675" s="348" t="s">
        <v>1253</v>
      </c>
      <c r="J8675" s="344" t="s">
        <v>113</v>
      </c>
      <c r="K8675" s="349">
        <v>70384.62</v>
      </c>
      <c r="L8675" s="349"/>
      <c r="M8675" s="130"/>
      <c r="N8675" s="251"/>
    </row>
    <row r="8676" spans="1:14" ht="11.25" customHeight="1" x14ac:dyDescent="0.2">
      <c r="A8676" s="350">
        <v>2025</v>
      </c>
      <c r="B8676" s="350">
        <v>6</v>
      </c>
      <c r="C8676" s="350">
        <v>19</v>
      </c>
      <c r="D8676" s="351">
        <f t="shared" si="1009"/>
        <v>45827</v>
      </c>
      <c r="E8676" s="352">
        <f t="shared" si="1020"/>
        <v>45827</v>
      </c>
      <c r="F8676" s="519"/>
      <c r="G8676" s="353" t="s">
        <v>1245</v>
      </c>
      <c r="H8676" s="354"/>
      <c r="I8676" s="354" t="s">
        <v>1253</v>
      </c>
      <c r="J8676" s="350" t="s">
        <v>153</v>
      </c>
      <c r="K8676" s="355"/>
      <c r="L8676" s="355">
        <f>K8675</f>
        <v>70384.62</v>
      </c>
    </row>
    <row r="8677" spans="1:14" ht="11.25" customHeight="1" x14ac:dyDescent="0.2">
      <c r="A8677" s="344">
        <v>2025</v>
      </c>
      <c r="B8677" s="344">
        <v>6</v>
      </c>
      <c r="C8677" s="344">
        <v>19</v>
      </c>
      <c r="D8677" s="345">
        <f t="shared" si="1009"/>
        <v>45827</v>
      </c>
      <c r="E8677" s="346">
        <f t="shared" si="1020"/>
        <v>45827</v>
      </c>
      <c r="F8677" s="518" t="s">
        <v>2039</v>
      </c>
      <c r="G8677" s="347" t="s">
        <v>1245</v>
      </c>
      <c r="H8677" s="348"/>
      <c r="I8677" s="348" t="s">
        <v>1253</v>
      </c>
      <c r="J8677" s="344" t="s">
        <v>113</v>
      </c>
      <c r="K8677" s="349">
        <v>9384.6153846153848</v>
      </c>
      <c r="L8677" s="349"/>
      <c r="M8677" s="130"/>
    </row>
    <row r="8678" spans="1:14" ht="11.25" customHeight="1" x14ac:dyDescent="0.2">
      <c r="A8678" s="350">
        <v>2025</v>
      </c>
      <c r="B8678" s="350">
        <v>6</v>
      </c>
      <c r="C8678" s="350">
        <v>19</v>
      </c>
      <c r="D8678" s="351">
        <f t="shared" si="1009"/>
        <v>45827</v>
      </c>
      <c r="E8678" s="352">
        <f t="shared" si="1020"/>
        <v>45827</v>
      </c>
      <c r="F8678" s="519"/>
      <c r="G8678" s="353" t="s">
        <v>1245</v>
      </c>
      <c r="H8678" s="354"/>
      <c r="I8678" s="354" t="s">
        <v>1253</v>
      </c>
      <c r="J8678" s="350" t="s">
        <v>153</v>
      </c>
      <c r="K8678" s="355"/>
      <c r="L8678" s="355">
        <f>K8677</f>
        <v>9384.6153846153848</v>
      </c>
    </row>
    <row r="8679" spans="1:14" ht="11.25" customHeight="1" x14ac:dyDescent="0.2">
      <c r="A8679" s="344">
        <v>2025</v>
      </c>
      <c r="B8679" s="344">
        <v>6</v>
      </c>
      <c r="C8679" s="344">
        <v>19</v>
      </c>
      <c r="D8679" s="345">
        <f t="shared" si="1009"/>
        <v>45827</v>
      </c>
      <c r="E8679" s="346">
        <f>DATE(A8679,B8679,C8679)</f>
        <v>45827</v>
      </c>
      <c r="F8679" s="518" t="s">
        <v>1991</v>
      </c>
      <c r="G8679" s="347" t="s">
        <v>1245</v>
      </c>
      <c r="H8679" s="348"/>
      <c r="I8679" s="348" t="s">
        <v>1253</v>
      </c>
      <c r="J8679" s="344" t="s">
        <v>113</v>
      </c>
      <c r="K8679" s="349">
        <v>39884.620000000003</v>
      </c>
      <c r="L8679" s="349"/>
      <c r="M8679" s="130"/>
    </row>
    <row r="8680" spans="1:14" ht="11.25" customHeight="1" x14ac:dyDescent="0.2">
      <c r="A8680" s="350">
        <v>2025</v>
      </c>
      <c r="B8680" s="350">
        <v>6</v>
      </c>
      <c r="C8680" s="350">
        <v>19</v>
      </c>
      <c r="D8680" s="351">
        <f t="shared" si="1009"/>
        <v>45827</v>
      </c>
      <c r="E8680" s="352">
        <f>DATE(A8680,B8680,C8680)</f>
        <v>45827</v>
      </c>
      <c r="F8680" s="519"/>
      <c r="G8680" s="353" t="s">
        <v>1245</v>
      </c>
      <c r="H8680" s="354"/>
      <c r="I8680" s="354" t="s">
        <v>1253</v>
      </c>
      <c r="J8680" s="350" t="s">
        <v>153</v>
      </c>
      <c r="K8680" s="355"/>
      <c r="L8680" s="355">
        <f>K8679</f>
        <v>39884.620000000003</v>
      </c>
    </row>
    <row r="8681" spans="1:14" ht="11.25" customHeight="1" x14ac:dyDescent="0.2">
      <c r="A8681" s="344">
        <v>2025</v>
      </c>
      <c r="B8681" s="344">
        <v>6</v>
      </c>
      <c r="C8681" s="344">
        <v>19</v>
      </c>
      <c r="D8681" s="345">
        <f t="shared" si="1009"/>
        <v>45827</v>
      </c>
      <c r="E8681" s="346">
        <f t="shared" ref="E8681:E8687" si="1021">DATE(A8681,B8681,C8681)</f>
        <v>45827</v>
      </c>
      <c r="F8681" s="518" t="s">
        <v>2052</v>
      </c>
      <c r="G8681" s="347" t="s">
        <v>1245</v>
      </c>
      <c r="H8681" s="348"/>
      <c r="I8681" s="348" t="s">
        <v>1253</v>
      </c>
      <c r="J8681" s="344" t="s">
        <v>113</v>
      </c>
      <c r="K8681" s="349">
        <v>11442.307692307691</v>
      </c>
      <c r="L8681" s="349"/>
      <c r="M8681" s="130"/>
    </row>
    <row r="8682" spans="1:14" ht="11.25" customHeight="1" x14ac:dyDescent="0.2">
      <c r="A8682" s="350">
        <v>2025</v>
      </c>
      <c r="B8682" s="350">
        <v>6</v>
      </c>
      <c r="C8682" s="350">
        <v>19</v>
      </c>
      <c r="D8682" s="351">
        <f t="shared" si="1009"/>
        <v>45827</v>
      </c>
      <c r="E8682" s="352">
        <f t="shared" si="1021"/>
        <v>45827</v>
      </c>
      <c r="F8682" s="519"/>
      <c r="G8682" s="353" t="s">
        <v>1245</v>
      </c>
      <c r="H8682" s="354"/>
      <c r="I8682" s="354" t="s">
        <v>1253</v>
      </c>
      <c r="J8682" s="350" t="s">
        <v>153</v>
      </c>
      <c r="K8682" s="355"/>
      <c r="L8682" s="355">
        <f>K8681</f>
        <v>11442.307692307691</v>
      </c>
    </row>
    <row r="8683" spans="1:14" ht="11.25" customHeight="1" x14ac:dyDescent="0.2">
      <c r="A8683" s="344">
        <v>2025</v>
      </c>
      <c r="B8683" s="344">
        <v>6</v>
      </c>
      <c r="C8683" s="344">
        <v>19</v>
      </c>
      <c r="D8683" s="345">
        <f t="shared" si="1009"/>
        <v>45827</v>
      </c>
      <c r="E8683" s="346">
        <f t="shared" si="1021"/>
        <v>45827</v>
      </c>
      <c r="F8683" s="518" t="s">
        <v>2053</v>
      </c>
      <c r="G8683" s="347" t="s">
        <v>1245</v>
      </c>
      <c r="H8683" s="348"/>
      <c r="I8683" s="348" t="s">
        <v>1253</v>
      </c>
      <c r="J8683" s="344" t="s">
        <v>113</v>
      </c>
      <c r="K8683" s="349">
        <v>11634.615384615385</v>
      </c>
      <c r="L8683" s="349"/>
      <c r="M8683" s="130"/>
    </row>
    <row r="8684" spans="1:14" ht="11.25" customHeight="1" x14ac:dyDescent="0.2">
      <c r="A8684" s="350">
        <v>2025</v>
      </c>
      <c r="B8684" s="350">
        <v>6</v>
      </c>
      <c r="C8684" s="350">
        <v>19</v>
      </c>
      <c r="D8684" s="351">
        <f t="shared" ref="D8684:D8747" si="1022">DATE(A8684,B8684,C8684)</f>
        <v>45827</v>
      </c>
      <c r="E8684" s="352">
        <f t="shared" si="1021"/>
        <v>45827</v>
      </c>
      <c r="F8684" s="519"/>
      <c r="G8684" s="353" t="s">
        <v>1245</v>
      </c>
      <c r="H8684" s="354"/>
      <c r="I8684" s="354" t="s">
        <v>1253</v>
      </c>
      <c r="J8684" s="350" t="s">
        <v>153</v>
      </c>
      <c r="K8684" s="355"/>
      <c r="L8684" s="355">
        <f>K8683</f>
        <v>11634.615384615385</v>
      </c>
    </row>
    <row r="8685" spans="1:14" ht="11.25" customHeight="1" x14ac:dyDescent="0.2">
      <c r="A8685" s="210">
        <v>2025</v>
      </c>
      <c r="B8685" s="210">
        <v>6</v>
      </c>
      <c r="C8685" s="210">
        <v>19</v>
      </c>
      <c r="D8685" s="211">
        <f t="shared" si="1022"/>
        <v>45827</v>
      </c>
      <c r="E8685" s="238">
        <f t="shared" si="1021"/>
        <v>45827</v>
      </c>
      <c r="F8685" s="520" t="s">
        <v>1278</v>
      </c>
      <c r="G8685" s="213" t="s">
        <v>1245</v>
      </c>
      <c r="H8685" s="214"/>
      <c r="I8685" s="214" t="s">
        <v>1253</v>
      </c>
      <c r="J8685" s="210" t="s">
        <v>1529</v>
      </c>
      <c r="K8685" s="215">
        <v>510.40384615384613</v>
      </c>
      <c r="L8685" s="215"/>
      <c r="M8685" s="130"/>
    </row>
    <row r="8686" spans="1:14" ht="11.25" customHeight="1" x14ac:dyDescent="0.2">
      <c r="A8686" s="216">
        <v>2025</v>
      </c>
      <c r="B8686" s="216">
        <v>6</v>
      </c>
      <c r="C8686" s="216">
        <v>19</v>
      </c>
      <c r="D8686" s="217">
        <f t="shared" si="1022"/>
        <v>45827</v>
      </c>
      <c r="E8686" s="239">
        <f t="shared" si="1021"/>
        <v>45827</v>
      </c>
      <c r="F8686" s="521"/>
      <c r="G8686" s="219" t="s">
        <v>1245</v>
      </c>
      <c r="H8686" s="220"/>
      <c r="I8686" s="220" t="s">
        <v>1253</v>
      </c>
      <c r="J8686" s="216" t="s">
        <v>1581</v>
      </c>
      <c r="K8686" s="221"/>
      <c r="L8686" s="221">
        <v>510.40384615384613</v>
      </c>
    </row>
    <row r="8687" spans="1:14" ht="11.25" customHeight="1" x14ac:dyDescent="0.2">
      <c r="A8687" s="210">
        <v>2025</v>
      </c>
      <c r="B8687" s="210">
        <v>6</v>
      </c>
      <c r="C8687" s="210">
        <v>19</v>
      </c>
      <c r="D8687" s="211">
        <f t="shared" si="1022"/>
        <v>45827</v>
      </c>
      <c r="E8687" s="238">
        <f t="shared" si="1021"/>
        <v>45827</v>
      </c>
      <c r="F8687" s="520" t="s">
        <v>1857</v>
      </c>
      <c r="G8687" s="213" t="s">
        <v>1245</v>
      </c>
      <c r="H8687" s="214"/>
      <c r="I8687" s="214" t="s">
        <v>1253</v>
      </c>
      <c r="J8687" s="210" t="s">
        <v>1284</v>
      </c>
      <c r="K8687" s="215">
        <v>2341.8114143920593</v>
      </c>
      <c r="L8687" s="215"/>
      <c r="M8687" s="130"/>
    </row>
    <row r="8688" spans="1:14" ht="11.25" customHeight="1" x14ac:dyDescent="0.2">
      <c r="A8688" s="242">
        <v>2025</v>
      </c>
      <c r="B8688" s="242">
        <v>6</v>
      </c>
      <c r="C8688" s="242">
        <v>19</v>
      </c>
      <c r="D8688" s="243">
        <f t="shared" si="1022"/>
        <v>45827</v>
      </c>
      <c r="E8688" s="244">
        <f>DATE(A8688,B8688,C8688)</f>
        <v>45827</v>
      </c>
      <c r="F8688" s="524"/>
      <c r="G8688" s="245" t="s">
        <v>1245</v>
      </c>
      <c r="H8688" s="246"/>
      <c r="I8688" s="246"/>
      <c r="J8688" s="242" t="s">
        <v>1582</v>
      </c>
      <c r="K8688" s="247"/>
      <c r="L8688" s="247">
        <f>K8687</f>
        <v>2341.8114143920593</v>
      </c>
    </row>
    <row r="8689" spans="1:13" ht="11.25" customHeight="1" x14ac:dyDescent="0.2">
      <c r="A8689" s="210">
        <v>2025</v>
      </c>
      <c r="B8689" s="210">
        <v>6</v>
      </c>
      <c r="C8689" s="210">
        <v>19</v>
      </c>
      <c r="D8689" s="211">
        <f t="shared" si="1022"/>
        <v>45827</v>
      </c>
      <c r="E8689" s="238">
        <f t="shared" ref="E8689:E8705" si="1023">DATE(A8689,B8689,C8689)</f>
        <v>45827</v>
      </c>
      <c r="F8689" s="520" t="s">
        <v>2055</v>
      </c>
      <c r="G8689" s="213" t="s">
        <v>1245</v>
      </c>
      <c r="H8689" s="214"/>
      <c r="I8689" s="214" t="s">
        <v>1253</v>
      </c>
      <c r="J8689" s="210" t="s">
        <v>58</v>
      </c>
      <c r="K8689" s="215">
        <v>9984.7900000000009</v>
      </c>
      <c r="L8689" s="215"/>
    </row>
    <row r="8690" spans="1:13" ht="11.25" customHeight="1" x14ac:dyDescent="0.2">
      <c r="A8690" s="216">
        <v>2025</v>
      </c>
      <c r="B8690" s="216">
        <v>6</v>
      </c>
      <c r="C8690" s="216">
        <v>19</v>
      </c>
      <c r="D8690" s="217">
        <f t="shared" si="1022"/>
        <v>45827</v>
      </c>
      <c r="E8690" s="239">
        <f t="shared" si="1023"/>
        <v>45827</v>
      </c>
      <c r="F8690" s="521"/>
      <c r="G8690" s="219" t="s">
        <v>1245</v>
      </c>
      <c r="H8690" s="220"/>
      <c r="I8690" s="220" t="s">
        <v>1253</v>
      </c>
      <c r="J8690" s="216" t="s">
        <v>153</v>
      </c>
      <c r="K8690" s="221"/>
      <c r="L8690" s="221">
        <f>K8689</f>
        <v>9984.7900000000009</v>
      </c>
    </row>
    <row r="8691" spans="1:13" ht="11.25" customHeight="1" x14ac:dyDescent="0.2">
      <c r="A8691" s="312">
        <v>2025</v>
      </c>
      <c r="B8691" s="312">
        <v>6</v>
      </c>
      <c r="C8691" s="312">
        <v>19</v>
      </c>
      <c r="D8691" s="313">
        <f t="shared" si="1022"/>
        <v>45827</v>
      </c>
      <c r="E8691" s="314">
        <f t="shared" si="1023"/>
        <v>45827</v>
      </c>
      <c r="F8691" s="522" t="s">
        <v>1477</v>
      </c>
      <c r="G8691" s="315" t="s">
        <v>1245</v>
      </c>
      <c r="H8691" s="316"/>
      <c r="I8691" s="316" t="s">
        <v>1253</v>
      </c>
      <c r="J8691" s="312" t="s">
        <v>1458</v>
      </c>
      <c r="K8691" s="317">
        <v>0</v>
      </c>
      <c r="L8691" s="317"/>
      <c r="M8691" s="120">
        <f>BS!$I$11</f>
        <v>5.9604644775390625E-8</v>
      </c>
    </row>
    <row r="8692" spans="1:13" ht="11.25" customHeight="1" x14ac:dyDescent="0.2">
      <c r="A8692" s="318">
        <v>2025</v>
      </c>
      <c r="B8692" s="318">
        <v>6</v>
      </c>
      <c r="C8692" s="318">
        <v>19</v>
      </c>
      <c r="D8692" s="319">
        <f t="shared" si="1022"/>
        <v>45827</v>
      </c>
      <c r="E8692" s="320">
        <f t="shared" si="1023"/>
        <v>45827</v>
      </c>
      <c r="F8692" s="523"/>
      <c r="G8692" s="321" t="s">
        <v>1245</v>
      </c>
      <c r="H8692" s="322"/>
      <c r="I8692" s="322" t="s">
        <v>1253</v>
      </c>
      <c r="J8692" s="318" t="s">
        <v>1460</v>
      </c>
      <c r="K8692" s="323"/>
      <c r="L8692" s="323">
        <f>K8691</f>
        <v>0</v>
      </c>
    </row>
    <row r="8693" spans="1:13" ht="11.25" customHeight="1" x14ac:dyDescent="0.2">
      <c r="A8693" s="312">
        <v>2025</v>
      </c>
      <c r="B8693" s="312">
        <v>6</v>
      </c>
      <c r="C8693" s="312">
        <v>19</v>
      </c>
      <c r="D8693" s="313">
        <f t="shared" si="1022"/>
        <v>45827</v>
      </c>
      <c r="E8693" s="314">
        <f t="shared" si="1023"/>
        <v>45827</v>
      </c>
      <c r="F8693" s="522" t="s">
        <v>1595</v>
      </c>
      <c r="G8693" s="315" t="s">
        <v>1245</v>
      </c>
      <c r="H8693" s="316"/>
      <c r="I8693" s="316" t="s">
        <v>1253</v>
      </c>
      <c r="J8693" s="312" t="s">
        <v>1459</v>
      </c>
      <c r="K8693" s="317">
        <v>2119951.2309999466</v>
      </c>
      <c r="L8693" s="317"/>
      <c r="M8693" s="120">
        <f>BS!$I$14</f>
        <v>0</v>
      </c>
    </row>
    <row r="8694" spans="1:13" ht="11.25" customHeight="1" x14ac:dyDescent="0.2">
      <c r="A8694" s="318">
        <v>2025</v>
      </c>
      <c r="B8694" s="318">
        <v>6</v>
      </c>
      <c r="C8694" s="318">
        <v>19</v>
      </c>
      <c r="D8694" s="319">
        <f t="shared" si="1022"/>
        <v>45827</v>
      </c>
      <c r="E8694" s="320">
        <f t="shared" si="1023"/>
        <v>45827</v>
      </c>
      <c r="F8694" s="523"/>
      <c r="G8694" s="321" t="s">
        <v>1245</v>
      </c>
      <c r="H8694" s="322"/>
      <c r="I8694" s="322" t="s">
        <v>1253</v>
      </c>
      <c r="J8694" s="318" t="s">
        <v>1461</v>
      </c>
      <c r="K8694" s="323"/>
      <c r="L8694" s="323">
        <f>K8693</f>
        <v>2119951.2309999466</v>
      </c>
    </row>
    <row r="8695" spans="1:13" ht="11.25" customHeight="1" x14ac:dyDescent="0.2">
      <c r="A8695" s="222">
        <v>2025</v>
      </c>
      <c r="B8695" s="222">
        <v>6</v>
      </c>
      <c r="C8695" s="222">
        <v>19</v>
      </c>
      <c r="D8695" s="223">
        <f t="shared" si="1022"/>
        <v>45827</v>
      </c>
      <c r="E8695" s="240">
        <f t="shared" si="1023"/>
        <v>45827</v>
      </c>
      <c r="F8695" s="511" t="s">
        <v>1244</v>
      </c>
      <c r="G8695" s="225" t="s">
        <v>1245</v>
      </c>
      <c r="H8695" s="226"/>
      <c r="I8695" s="226" t="s">
        <v>1253</v>
      </c>
      <c r="J8695" s="222" t="s">
        <v>72</v>
      </c>
      <c r="K8695" s="227">
        <v>20920</v>
      </c>
      <c r="L8695" s="227"/>
      <c r="M8695" s="120">
        <f>BS!$I$7</f>
        <v>0</v>
      </c>
    </row>
    <row r="8696" spans="1:13" ht="11.25" customHeight="1" x14ac:dyDescent="0.2">
      <c r="A8696" s="228">
        <v>2025</v>
      </c>
      <c r="B8696" s="228">
        <v>6</v>
      </c>
      <c r="C8696" s="228">
        <v>19</v>
      </c>
      <c r="D8696" s="229">
        <f t="shared" si="1022"/>
        <v>45827</v>
      </c>
      <c r="E8696" s="241">
        <f t="shared" si="1023"/>
        <v>45827</v>
      </c>
      <c r="F8696" s="512"/>
      <c r="G8696" s="231" t="s">
        <v>1245</v>
      </c>
      <c r="H8696" s="232"/>
      <c r="I8696" s="232" t="s">
        <v>1253</v>
      </c>
      <c r="J8696" s="228" t="s">
        <v>87</v>
      </c>
      <c r="K8696" s="233"/>
      <c r="L8696" s="233">
        <f>K8695</f>
        <v>20920</v>
      </c>
    </row>
    <row r="8697" spans="1:13" ht="11.25" customHeight="1" x14ac:dyDescent="0.2">
      <c r="A8697" s="222">
        <v>2025</v>
      </c>
      <c r="B8697" s="222">
        <v>6</v>
      </c>
      <c r="C8697" s="222">
        <v>19</v>
      </c>
      <c r="D8697" s="223">
        <f t="shared" si="1022"/>
        <v>45827</v>
      </c>
      <c r="E8697" s="240">
        <f t="shared" si="1023"/>
        <v>45827</v>
      </c>
      <c r="F8697" s="511" t="s">
        <v>1246</v>
      </c>
      <c r="G8697" s="225" t="s">
        <v>1245</v>
      </c>
      <c r="H8697" s="226"/>
      <c r="I8697" s="226" t="s">
        <v>1253</v>
      </c>
      <c r="J8697" s="222" t="s">
        <v>75</v>
      </c>
      <c r="K8697" s="227">
        <v>3623.123846153846</v>
      </c>
      <c r="L8697" s="227"/>
      <c r="M8697" s="130"/>
    </row>
    <row r="8698" spans="1:13" ht="11.25" customHeight="1" x14ac:dyDescent="0.2">
      <c r="A8698" s="228">
        <v>2025</v>
      </c>
      <c r="B8698" s="228">
        <v>6</v>
      </c>
      <c r="C8698" s="228">
        <v>19</v>
      </c>
      <c r="D8698" s="229">
        <f t="shared" si="1022"/>
        <v>45827</v>
      </c>
      <c r="E8698" s="241">
        <f t="shared" si="1023"/>
        <v>45827</v>
      </c>
      <c r="F8698" s="512"/>
      <c r="G8698" s="231" t="s">
        <v>1245</v>
      </c>
      <c r="H8698" s="232"/>
      <c r="I8698" s="232" t="s">
        <v>1253</v>
      </c>
      <c r="J8698" s="228" t="s">
        <v>55</v>
      </c>
      <c r="K8698" s="233"/>
      <c r="L8698" s="233">
        <v>3623.123846153846</v>
      </c>
    </row>
    <row r="8699" spans="1:13" ht="11.25" customHeight="1" x14ac:dyDescent="0.2">
      <c r="A8699" s="222">
        <v>2025</v>
      </c>
      <c r="B8699" s="222">
        <v>6</v>
      </c>
      <c r="C8699" s="222">
        <v>19</v>
      </c>
      <c r="D8699" s="223">
        <f t="shared" si="1022"/>
        <v>45827</v>
      </c>
      <c r="E8699" s="240">
        <f t="shared" si="1023"/>
        <v>45827</v>
      </c>
      <c r="F8699" s="511" t="s">
        <v>1247</v>
      </c>
      <c r="G8699" s="225" t="s">
        <v>1245</v>
      </c>
      <c r="H8699" s="226"/>
      <c r="I8699" s="226" t="s">
        <v>1253</v>
      </c>
      <c r="J8699" s="222" t="s">
        <v>77</v>
      </c>
      <c r="K8699" s="227">
        <f>M8699</f>
        <v>54468.338205853317</v>
      </c>
      <c r="L8699" s="227"/>
      <c r="M8699" s="130">
        <v>54468.338205853317</v>
      </c>
    </row>
    <row r="8700" spans="1:13" ht="11.25" customHeight="1" x14ac:dyDescent="0.2">
      <c r="A8700" s="228">
        <v>2025</v>
      </c>
      <c r="B8700" s="228">
        <v>6</v>
      </c>
      <c r="C8700" s="228">
        <v>19</v>
      </c>
      <c r="D8700" s="229">
        <f t="shared" si="1022"/>
        <v>45827</v>
      </c>
      <c r="E8700" s="241">
        <f t="shared" si="1023"/>
        <v>45827</v>
      </c>
      <c r="F8700" s="512"/>
      <c r="G8700" s="231" t="s">
        <v>1245</v>
      </c>
      <c r="H8700" s="232"/>
      <c r="I8700" s="232" t="s">
        <v>1253</v>
      </c>
      <c r="J8700" s="228" t="s">
        <v>41</v>
      </c>
      <c r="K8700" s="233"/>
      <c r="L8700" s="233">
        <f>K8699</f>
        <v>54468.338205853317</v>
      </c>
      <c r="M8700" s="130">
        <v>5446.8338205853315</v>
      </c>
    </row>
    <row r="8701" spans="1:13" ht="11.25" customHeight="1" x14ac:dyDescent="0.2">
      <c r="A8701" s="222">
        <v>2025</v>
      </c>
      <c r="B8701" s="222">
        <v>6</v>
      </c>
      <c r="C8701" s="222">
        <v>19</v>
      </c>
      <c r="D8701" s="223">
        <f t="shared" si="1022"/>
        <v>45827</v>
      </c>
      <c r="E8701" s="240">
        <f t="shared" si="1023"/>
        <v>45827</v>
      </c>
      <c r="F8701" s="511" t="s">
        <v>1248</v>
      </c>
      <c r="G8701" s="225" t="s">
        <v>1245</v>
      </c>
      <c r="H8701" s="226"/>
      <c r="I8701" s="226" t="s">
        <v>1253</v>
      </c>
      <c r="J8701" s="222" t="s">
        <v>80</v>
      </c>
      <c r="K8701" s="227">
        <f>M8700</f>
        <v>5446.8338205853315</v>
      </c>
      <c r="L8701" s="227"/>
    </row>
    <row r="8702" spans="1:13" ht="11.25" customHeight="1" x14ac:dyDescent="0.2">
      <c r="A8702" s="228">
        <v>2025</v>
      </c>
      <c r="B8702" s="228">
        <v>6</v>
      </c>
      <c r="C8702" s="228">
        <v>19</v>
      </c>
      <c r="D8702" s="229">
        <f t="shared" si="1022"/>
        <v>45827</v>
      </c>
      <c r="E8702" s="241">
        <f t="shared" si="1023"/>
        <v>45827</v>
      </c>
      <c r="F8702" s="512"/>
      <c r="G8702" s="231" t="s">
        <v>1245</v>
      </c>
      <c r="H8702" s="232"/>
      <c r="I8702" s="232" t="s">
        <v>1253</v>
      </c>
      <c r="J8702" s="228" t="s">
        <v>42</v>
      </c>
      <c r="K8702" s="233"/>
      <c r="L8702" s="233">
        <f>K8701</f>
        <v>5446.8338205853315</v>
      </c>
    </row>
    <row r="8703" spans="1:13" ht="11.25" customHeight="1" x14ac:dyDescent="0.2">
      <c r="A8703" s="197">
        <v>2025</v>
      </c>
      <c r="B8703" s="197">
        <v>6</v>
      </c>
      <c r="C8703" s="197">
        <v>22</v>
      </c>
      <c r="D8703" s="198">
        <f t="shared" si="1022"/>
        <v>45830</v>
      </c>
      <c r="E8703" s="209">
        <f t="shared" si="1023"/>
        <v>45830</v>
      </c>
      <c r="F8703" s="513" t="s">
        <v>1423</v>
      </c>
      <c r="G8703" s="200" t="s">
        <v>1209</v>
      </c>
      <c r="H8703" s="201"/>
      <c r="I8703" s="201" t="s">
        <v>386</v>
      </c>
      <c r="J8703" s="197" t="s">
        <v>16</v>
      </c>
      <c r="K8703" s="202">
        <v>23910</v>
      </c>
      <c r="L8703" s="202"/>
    </row>
    <row r="8704" spans="1:13" ht="11.25" customHeight="1" x14ac:dyDescent="0.2">
      <c r="A8704" s="120">
        <v>2025</v>
      </c>
      <c r="B8704" s="120">
        <v>6</v>
      </c>
      <c r="C8704" s="120">
        <v>22</v>
      </c>
      <c r="D8704" s="208">
        <f t="shared" si="1022"/>
        <v>45830</v>
      </c>
      <c r="E8704" s="209">
        <f t="shared" si="1023"/>
        <v>45830</v>
      </c>
      <c r="F8704" s="515"/>
      <c r="G8704" s="132" t="s">
        <v>1209</v>
      </c>
      <c r="I8704" s="128" t="s">
        <v>386</v>
      </c>
      <c r="J8704" s="120" t="s">
        <v>47</v>
      </c>
      <c r="K8704" s="207">
        <v>6075.5299999999988</v>
      </c>
      <c r="L8704" s="207"/>
    </row>
    <row r="8705" spans="1:15" ht="11.25" customHeight="1" x14ac:dyDescent="0.2">
      <c r="A8705" s="191">
        <v>2025</v>
      </c>
      <c r="B8705" s="191">
        <v>6</v>
      </c>
      <c r="C8705" s="191">
        <v>22</v>
      </c>
      <c r="D8705" s="192">
        <f t="shared" si="1022"/>
        <v>45830</v>
      </c>
      <c r="E8705" s="193">
        <f t="shared" si="1023"/>
        <v>45830</v>
      </c>
      <c r="F8705" s="514"/>
      <c r="G8705" s="194" t="s">
        <v>1209</v>
      </c>
      <c r="H8705" s="195"/>
      <c r="I8705" s="195" t="s">
        <v>386</v>
      </c>
      <c r="J8705" s="191" t="s">
        <v>46</v>
      </c>
      <c r="K8705" s="196"/>
      <c r="L8705" s="196">
        <v>29985.53</v>
      </c>
    </row>
    <row r="8706" spans="1:15" ht="11.25" customHeight="1" x14ac:dyDescent="0.2">
      <c r="A8706" s="197">
        <v>2025</v>
      </c>
      <c r="B8706" s="197">
        <v>6</v>
      </c>
      <c r="C8706" s="197">
        <v>22</v>
      </c>
      <c r="D8706" s="198">
        <f t="shared" si="1022"/>
        <v>45830</v>
      </c>
      <c r="E8706" s="290">
        <f>DATE(A8706,B8706,C8706)</f>
        <v>45830</v>
      </c>
      <c r="F8706" s="513" t="s">
        <v>1948</v>
      </c>
      <c r="G8706" s="200" t="s">
        <v>1209</v>
      </c>
      <c r="H8706" s="201"/>
      <c r="I8706" s="201" t="s">
        <v>1253</v>
      </c>
      <c r="J8706" s="197" t="s">
        <v>46</v>
      </c>
      <c r="K8706" s="202">
        <v>1165500</v>
      </c>
      <c r="L8706" s="202"/>
    </row>
    <row r="8707" spans="1:15" ht="11.25" customHeight="1" x14ac:dyDescent="0.2">
      <c r="A8707" s="191">
        <v>2025</v>
      </c>
      <c r="B8707" s="191">
        <v>6</v>
      </c>
      <c r="C8707" s="191">
        <v>22</v>
      </c>
      <c r="D8707" s="192">
        <f t="shared" si="1022"/>
        <v>45830</v>
      </c>
      <c r="E8707" s="291">
        <f>DATE(A8707,B8707,C8707)</f>
        <v>45830</v>
      </c>
      <c r="F8707" s="514"/>
      <c r="G8707" s="194" t="s">
        <v>1209</v>
      </c>
      <c r="H8707" s="195"/>
      <c r="I8707" s="195"/>
      <c r="J8707" s="191" t="s">
        <v>1845</v>
      </c>
      <c r="K8707" s="196"/>
      <c r="L8707" s="196">
        <v>1165500</v>
      </c>
    </row>
    <row r="8708" spans="1:15" ht="11.25" customHeight="1" x14ac:dyDescent="0.2">
      <c r="A8708" s="197">
        <v>2025</v>
      </c>
      <c r="B8708" s="197">
        <v>6</v>
      </c>
      <c r="C8708" s="197">
        <v>22</v>
      </c>
      <c r="D8708" s="198">
        <f t="shared" si="1022"/>
        <v>45830</v>
      </c>
      <c r="E8708" s="199">
        <f>DATE(A8708,B8708,C8708)</f>
        <v>45830</v>
      </c>
      <c r="F8708" s="513" t="s">
        <v>2042</v>
      </c>
      <c r="G8708" s="200" t="s">
        <v>1209</v>
      </c>
      <c r="H8708" s="201"/>
      <c r="I8708" s="201" t="s">
        <v>1253</v>
      </c>
      <c r="J8708" s="197" t="s">
        <v>46</v>
      </c>
      <c r="K8708" s="202">
        <v>20178575</v>
      </c>
      <c r="L8708" s="202"/>
    </row>
    <row r="8709" spans="1:15" ht="11.25" customHeight="1" x14ac:dyDescent="0.2">
      <c r="A8709" s="120">
        <v>2025</v>
      </c>
      <c r="B8709" s="120">
        <v>6</v>
      </c>
      <c r="C8709" s="120">
        <v>22</v>
      </c>
      <c r="D8709" s="208">
        <f t="shared" si="1022"/>
        <v>45830</v>
      </c>
      <c r="E8709" s="293">
        <f>DATE(A8709,B8709,C8709)</f>
        <v>45830</v>
      </c>
      <c r="F8709" s="515"/>
      <c r="G8709" s="132" t="s">
        <v>1209</v>
      </c>
      <c r="J8709" s="120" t="s">
        <v>54</v>
      </c>
      <c r="K8709" s="207">
        <v>21425</v>
      </c>
      <c r="L8709" s="207"/>
      <c r="M8709" s="251"/>
      <c r="N8709" s="251"/>
      <c r="O8709" s="251"/>
    </row>
    <row r="8710" spans="1:15" ht="11.25" customHeight="1" x14ac:dyDescent="0.2">
      <c r="A8710" s="191">
        <v>2025</v>
      </c>
      <c r="B8710" s="191">
        <v>6</v>
      </c>
      <c r="C8710" s="191">
        <v>22</v>
      </c>
      <c r="D8710" s="192">
        <f t="shared" si="1022"/>
        <v>45830</v>
      </c>
      <c r="E8710" s="193">
        <f>DATE(A8710,B8710,C8710)</f>
        <v>45830</v>
      </c>
      <c r="F8710" s="514"/>
      <c r="G8710" s="194" t="s">
        <v>1209</v>
      </c>
      <c r="H8710" s="195"/>
      <c r="I8710" s="195" t="s">
        <v>1253</v>
      </c>
      <c r="J8710" s="191" t="s">
        <v>76</v>
      </c>
      <c r="K8710" s="196"/>
      <c r="L8710" s="196">
        <v>20200000</v>
      </c>
    </row>
    <row r="8711" spans="1:15" ht="11.25" customHeight="1" x14ac:dyDescent="0.2">
      <c r="A8711" s="197">
        <v>2025</v>
      </c>
      <c r="B8711" s="197">
        <v>6</v>
      </c>
      <c r="C8711" s="197">
        <v>22</v>
      </c>
      <c r="D8711" s="198">
        <f t="shared" si="1022"/>
        <v>45830</v>
      </c>
      <c r="E8711" s="290">
        <f t="shared" ref="E8711:E8726" si="1024">DATE(A8711,B8711,C8711)</f>
        <v>45830</v>
      </c>
      <c r="F8711" s="513" t="s">
        <v>2040</v>
      </c>
      <c r="G8711" s="200" t="s">
        <v>1245</v>
      </c>
      <c r="H8711" s="201"/>
      <c r="I8711" s="201" t="s">
        <v>1253</v>
      </c>
      <c r="J8711" s="197" t="s">
        <v>153</v>
      </c>
      <c r="K8711" s="202">
        <v>52309.794999999984</v>
      </c>
      <c r="L8711" s="202"/>
      <c r="M8711" s="130"/>
    </row>
    <row r="8712" spans="1:15" ht="11.25" customHeight="1" x14ac:dyDescent="0.2">
      <c r="A8712" s="191">
        <v>2025</v>
      </c>
      <c r="B8712" s="191">
        <v>6</v>
      </c>
      <c r="C8712" s="191">
        <v>22</v>
      </c>
      <c r="D8712" s="192">
        <f t="shared" si="1022"/>
        <v>45830</v>
      </c>
      <c r="E8712" s="291">
        <f t="shared" si="1024"/>
        <v>45830</v>
      </c>
      <c r="F8712" s="514"/>
      <c r="G8712" s="194" t="s">
        <v>1245</v>
      </c>
      <c r="H8712" s="195"/>
      <c r="I8712" s="195" t="s">
        <v>1253</v>
      </c>
      <c r="J8712" s="191" t="s">
        <v>113</v>
      </c>
      <c r="K8712" s="196"/>
      <c r="L8712" s="196">
        <v>52309.794999999984</v>
      </c>
    </row>
    <row r="8713" spans="1:15" ht="11.25" customHeight="1" x14ac:dyDescent="0.2">
      <c r="A8713" s="197">
        <v>2025</v>
      </c>
      <c r="B8713" s="197">
        <v>6</v>
      </c>
      <c r="C8713" s="197">
        <v>22</v>
      </c>
      <c r="D8713" s="198">
        <f t="shared" si="1022"/>
        <v>45830</v>
      </c>
      <c r="E8713" s="290">
        <f t="shared" si="1024"/>
        <v>45830</v>
      </c>
      <c r="F8713" s="513" t="s">
        <v>2041</v>
      </c>
      <c r="G8713" s="200" t="s">
        <v>1245</v>
      </c>
      <c r="H8713" s="201"/>
      <c r="I8713" s="201" t="s">
        <v>1253</v>
      </c>
      <c r="J8713" s="197" t="s">
        <v>153</v>
      </c>
      <c r="K8713" s="202">
        <v>52309.794999999984</v>
      </c>
      <c r="L8713" s="202"/>
      <c r="M8713" s="130"/>
    </row>
    <row r="8714" spans="1:15" ht="11.25" customHeight="1" x14ac:dyDescent="0.2">
      <c r="A8714" s="191">
        <v>2025</v>
      </c>
      <c r="B8714" s="191">
        <v>6</v>
      </c>
      <c r="C8714" s="191">
        <v>22</v>
      </c>
      <c r="D8714" s="192">
        <f t="shared" si="1022"/>
        <v>45830</v>
      </c>
      <c r="E8714" s="291">
        <f t="shared" si="1024"/>
        <v>45830</v>
      </c>
      <c r="F8714" s="514"/>
      <c r="G8714" s="194" t="s">
        <v>1245</v>
      </c>
      <c r="H8714" s="195"/>
      <c r="I8714" s="195" t="s">
        <v>1253</v>
      </c>
      <c r="J8714" s="191" t="s">
        <v>113</v>
      </c>
      <c r="K8714" s="196"/>
      <c r="L8714" s="196">
        <v>52309.794999999984</v>
      </c>
    </row>
    <row r="8715" spans="1:15" ht="11.25" customHeight="1" x14ac:dyDescent="0.2">
      <c r="A8715" s="197">
        <v>2025</v>
      </c>
      <c r="B8715" s="197">
        <v>6</v>
      </c>
      <c r="C8715" s="197">
        <v>22</v>
      </c>
      <c r="D8715" s="198">
        <f t="shared" si="1022"/>
        <v>45830</v>
      </c>
      <c r="E8715" s="209">
        <f t="shared" ref="E8715:E8717" si="1025">DATE(A8715,B8715,C8715)</f>
        <v>45830</v>
      </c>
      <c r="F8715" s="513" t="s">
        <v>1210</v>
      </c>
      <c r="G8715" s="200" t="s">
        <v>1209</v>
      </c>
      <c r="H8715" s="201"/>
      <c r="I8715" s="201" t="s">
        <v>2047</v>
      </c>
      <c r="J8715" s="197" t="s">
        <v>46</v>
      </c>
      <c r="K8715" s="202">
        <v>300000</v>
      </c>
      <c r="L8715" s="202"/>
    </row>
    <row r="8716" spans="1:15" ht="11.25" customHeight="1" x14ac:dyDescent="0.2">
      <c r="A8716" s="120">
        <v>2025</v>
      </c>
      <c r="B8716" s="120">
        <v>6</v>
      </c>
      <c r="C8716" s="120">
        <v>22</v>
      </c>
      <c r="D8716" s="208">
        <f t="shared" si="1022"/>
        <v>45830</v>
      </c>
      <c r="E8716" s="209">
        <f t="shared" si="1025"/>
        <v>45830</v>
      </c>
      <c r="F8716" s="515"/>
      <c r="G8716" s="132" t="s">
        <v>1209</v>
      </c>
      <c r="I8716" s="128" t="s">
        <v>2047</v>
      </c>
      <c r="J8716" s="120" t="s">
        <v>16</v>
      </c>
      <c r="K8716" s="207"/>
      <c r="L8716" s="207">
        <v>239220</v>
      </c>
    </row>
    <row r="8717" spans="1:15" ht="11.25" customHeight="1" x14ac:dyDescent="0.2">
      <c r="A8717" s="191">
        <v>2025</v>
      </c>
      <c r="B8717" s="191">
        <v>6</v>
      </c>
      <c r="C8717" s="191">
        <v>22</v>
      </c>
      <c r="D8717" s="192">
        <f t="shared" si="1022"/>
        <v>45830</v>
      </c>
      <c r="E8717" s="193">
        <f t="shared" si="1025"/>
        <v>45830</v>
      </c>
      <c r="F8717" s="514"/>
      <c r="G8717" s="194" t="s">
        <v>1209</v>
      </c>
      <c r="H8717" s="195"/>
      <c r="I8717" s="195" t="s">
        <v>2047</v>
      </c>
      <c r="J8717" s="191" t="s">
        <v>47</v>
      </c>
      <c r="K8717" s="196"/>
      <c r="L8717" s="196">
        <v>60780</v>
      </c>
    </row>
    <row r="8718" spans="1:15" ht="11.25" customHeight="1" x14ac:dyDescent="0.2">
      <c r="A8718" s="197">
        <v>2025</v>
      </c>
      <c r="B8718" s="197">
        <v>6</v>
      </c>
      <c r="C8718" s="197">
        <v>22</v>
      </c>
      <c r="D8718" s="198">
        <f t="shared" si="1022"/>
        <v>45830</v>
      </c>
      <c r="E8718" s="209">
        <f t="shared" si="1024"/>
        <v>45830</v>
      </c>
      <c r="F8718" s="513" t="s">
        <v>1210</v>
      </c>
      <c r="G8718" s="200" t="s">
        <v>1209</v>
      </c>
      <c r="H8718" s="201"/>
      <c r="I8718" s="201" t="s">
        <v>1814</v>
      </c>
      <c r="J8718" s="197" t="s">
        <v>46</v>
      </c>
      <c r="K8718" s="202">
        <v>500000</v>
      </c>
      <c r="L8718" s="202"/>
    </row>
    <row r="8719" spans="1:15" ht="11.25" customHeight="1" x14ac:dyDescent="0.2">
      <c r="A8719" s="120">
        <v>2025</v>
      </c>
      <c r="B8719" s="120">
        <v>6</v>
      </c>
      <c r="C8719" s="120">
        <v>22</v>
      </c>
      <c r="D8719" s="208">
        <f t="shared" si="1022"/>
        <v>45830</v>
      </c>
      <c r="E8719" s="209">
        <f t="shared" si="1024"/>
        <v>45830</v>
      </c>
      <c r="F8719" s="515"/>
      <c r="G8719" s="132" t="s">
        <v>1209</v>
      </c>
      <c r="I8719" s="128" t="s">
        <v>1814</v>
      </c>
      <c r="J8719" s="120" t="s">
        <v>16</v>
      </c>
      <c r="K8719" s="207"/>
      <c r="L8719" s="207">
        <v>398690</v>
      </c>
    </row>
    <row r="8720" spans="1:15" ht="11.25" customHeight="1" x14ac:dyDescent="0.2">
      <c r="A8720" s="191">
        <v>2025</v>
      </c>
      <c r="B8720" s="191">
        <v>6</v>
      </c>
      <c r="C8720" s="191">
        <v>22</v>
      </c>
      <c r="D8720" s="192">
        <f t="shared" si="1022"/>
        <v>45830</v>
      </c>
      <c r="E8720" s="193">
        <f t="shared" si="1024"/>
        <v>45830</v>
      </c>
      <c r="F8720" s="514"/>
      <c r="G8720" s="194" t="s">
        <v>1209</v>
      </c>
      <c r="H8720" s="195"/>
      <c r="I8720" s="195" t="s">
        <v>1814</v>
      </c>
      <c r="J8720" s="191" t="s">
        <v>47</v>
      </c>
      <c r="K8720" s="196"/>
      <c r="L8720" s="196">
        <v>101310</v>
      </c>
    </row>
    <row r="8721" spans="1:15" ht="11.25" customHeight="1" x14ac:dyDescent="0.2">
      <c r="A8721" s="197">
        <v>2025</v>
      </c>
      <c r="B8721" s="197">
        <v>6</v>
      </c>
      <c r="C8721" s="197">
        <v>22</v>
      </c>
      <c r="D8721" s="198">
        <f t="shared" si="1022"/>
        <v>45830</v>
      </c>
      <c r="E8721" s="209">
        <f t="shared" ref="E8721:E8723" si="1026">DATE(A8721,B8721,C8721)</f>
        <v>45830</v>
      </c>
      <c r="F8721" s="513" t="s">
        <v>1210</v>
      </c>
      <c r="G8721" s="200" t="s">
        <v>1209</v>
      </c>
      <c r="H8721" s="201"/>
      <c r="I8721" s="201" t="s">
        <v>1805</v>
      </c>
      <c r="J8721" s="197" t="s">
        <v>46</v>
      </c>
      <c r="K8721" s="202">
        <v>200000</v>
      </c>
      <c r="L8721" s="202"/>
    </row>
    <row r="8722" spans="1:15" ht="11.25" customHeight="1" x14ac:dyDescent="0.2">
      <c r="A8722" s="120">
        <v>2025</v>
      </c>
      <c r="B8722" s="120">
        <v>6</v>
      </c>
      <c r="C8722" s="120">
        <v>22</v>
      </c>
      <c r="D8722" s="208">
        <f t="shared" si="1022"/>
        <v>45830</v>
      </c>
      <c r="E8722" s="209">
        <f t="shared" si="1026"/>
        <v>45830</v>
      </c>
      <c r="F8722" s="515"/>
      <c r="G8722" s="132" t="s">
        <v>1209</v>
      </c>
      <c r="I8722" s="128" t="s">
        <v>1805</v>
      </c>
      <c r="J8722" s="120" t="s">
        <v>16</v>
      </c>
      <c r="K8722" s="207"/>
      <c r="L8722" s="207">
        <v>159480</v>
      </c>
    </row>
    <row r="8723" spans="1:15" ht="11.25" customHeight="1" x14ac:dyDescent="0.2">
      <c r="A8723" s="191">
        <v>2025</v>
      </c>
      <c r="B8723" s="191">
        <v>6</v>
      </c>
      <c r="C8723" s="191">
        <v>22</v>
      </c>
      <c r="D8723" s="192">
        <f t="shared" si="1022"/>
        <v>45830</v>
      </c>
      <c r="E8723" s="193">
        <f t="shared" si="1026"/>
        <v>45830</v>
      </c>
      <c r="F8723" s="514"/>
      <c r="G8723" s="194" t="s">
        <v>1209</v>
      </c>
      <c r="H8723" s="195"/>
      <c r="I8723" s="195" t="s">
        <v>1805</v>
      </c>
      <c r="J8723" s="191" t="s">
        <v>47</v>
      </c>
      <c r="K8723" s="196"/>
      <c r="L8723" s="196">
        <v>40520</v>
      </c>
    </row>
    <row r="8724" spans="1:15" ht="11.25" customHeight="1" x14ac:dyDescent="0.2">
      <c r="A8724" s="197">
        <v>2025</v>
      </c>
      <c r="B8724" s="197">
        <v>6</v>
      </c>
      <c r="C8724" s="197">
        <v>22</v>
      </c>
      <c r="D8724" s="198">
        <f t="shared" si="1022"/>
        <v>45830</v>
      </c>
      <c r="E8724" s="209">
        <f t="shared" si="1024"/>
        <v>45830</v>
      </c>
      <c r="F8724" s="513" t="s">
        <v>1210</v>
      </c>
      <c r="G8724" s="200" t="s">
        <v>1209</v>
      </c>
      <c r="H8724" s="201"/>
      <c r="I8724" s="201" t="s">
        <v>2048</v>
      </c>
      <c r="J8724" s="197" t="s">
        <v>46</v>
      </c>
      <c r="K8724" s="202">
        <v>200000</v>
      </c>
      <c r="L8724" s="202"/>
    </row>
    <row r="8725" spans="1:15" ht="11.25" customHeight="1" x14ac:dyDescent="0.2">
      <c r="A8725" s="120">
        <v>2025</v>
      </c>
      <c r="B8725" s="120">
        <v>6</v>
      </c>
      <c r="C8725" s="120">
        <v>22</v>
      </c>
      <c r="D8725" s="208">
        <f t="shared" si="1022"/>
        <v>45830</v>
      </c>
      <c r="E8725" s="209">
        <f t="shared" si="1024"/>
        <v>45830</v>
      </c>
      <c r="F8725" s="515"/>
      <c r="G8725" s="132" t="s">
        <v>1209</v>
      </c>
      <c r="I8725" s="128" t="s">
        <v>2048</v>
      </c>
      <c r="J8725" s="120" t="s">
        <v>16</v>
      </c>
      <c r="K8725" s="207"/>
      <c r="L8725" s="207">
        <v>159480</v>
      </c>
    </row>
    <row r="8726" spans="1:15" ht="11.25" customHeight="1" x14ac:dyDescent="0.2">
      <c r="A8726" s="191">
        <v>2025</v>
      </c>
      <c r="B8726" s="191">
        <v>6</v>
      </c>
      <c r="C8726" s="191">
        <v>22</v>
      </c>
      <c r="D8726" s="192">
        <f t="shared" si="1022"/>
        <v>45830</v>
      </c>
      <c r="E8726" s="193">
        <f t="shared" si="1024"/>
        <v>45830</v>
      </c>
      <c r="F8726" s="514"/>
      <c r="G8726" s="194" t="s">
        <v>1209</v>
      </c>
      <c r="H8726" s="195"/>
      <c r="I8726" s="195" t="s">
        <v>2048</v>
      </c>
      <c r="J8726" s="191" t="s">
        <v>47</v>
      </c>
      <c r="K8726" s="196"/>
      <c r="L8726" s="196">
        <v>40520</v>
      </c>
    </row>
    <row r="8727" spans="1:15" ht="11.25" customHeight="1" x14ac:dyDescent="0.2">
      <c r="A8727" s="197">
        <v>2025</v>
      </c>
      <c r="B8727" s="197">
        <v>6</v>
      </c>
      <c r="C8727" s="197">
        <v>23</v>
      </c>
      <c r="D8727" s="198">
        <f t="shared" si="1022"/>
        <v>45831</v>
      </c>
      <c r="E8727" s="290">
        <f>DATE(A8727,B8727,C8727)</f>
        <v>45831</v>
      </c>
      <c r="F8727" s="513" t="s">
        <v>1514</v>
      </c>
      <c r="G8727" s="200" t="s">
        <v>1209</v>
      </c>
      <c r="H8727" s="201"/>
      <c r="I8727" s="201"/>
      <c r="J8727" s="197" t="s">
        <v>54</v>
      </c>
      <c r="K8727" s="202">
        <v>60</v>
      </c>
      <c r="L8727" s="202"/>
      <c r="M8727" s="251"/>
      <c r="N8727" s="251"/>
      <c r="O8727" s="251"/>
    </row>
    <row r="8728" spans="1:15" ht="11.25" customHeight="1" x14ac:dyDescent="0.2">
      <c r="A8728" s="191">
        <v>2025</v>
      </c>
      <c r="B8728" s="191">
        <v>6</v>
      </c>
      <c r="C8728" s="191">
        <v>23</v>
      </c>
      <c r="D8728" s="192">
        <f t="shared" si="1022"/>
        <v>45831</v>
      </c>
      <c r="E8728" s="291">
        <f>DATE(A8728,B8728,C8728)</f>
        <v>45831</v>
      </c>
      <c r="F8728" s="514"/>
      <c r="G8728" s="194" t="s">
        <v>1209</v>
      </c>
      <c r="H8728" s="195"/>
      <c r="I8728" s="195"/>
      <c r="J8728" s="191" t="s">
        <v>46</v>
      </c>
      <c r="K8728" s="196"/>
      <c r="L8728" s="196">
        <v>60</v>
      </c>
      <c r="M8728" s="251"/>
      <c r="N8728" s="251"/>
      <c r="O8728" s="251"/>
    </row>
    <row r="8729" spans="1:15" ht="11.25" customHeight="1" x14ac:dyDescent="0.2">
      <c r="A8729" s="197">
        <v>2025</v>
      </c>
      <c r="B8729" s="197">
        <v>6</v>
      </c>
      <c r="C8729" s="197">
        <v>23</v>
      </c>
      <c r="D8729" s="198">
        <f t="shared" si="1022"/>
        <v>45831</v>
      </c>
      <c r="E8729" s="209">
        <f t="shared" ref="E8729:E8731" si="1027">DATE(A8729,B8729,C8729)</f>
        <v>45831</v>
      </c>
      <c r="F8729" s="513" t="s">
        <v>1210</v>
      </c>
      <c r="G8729" s="200" t="s">
        <v>1209</v>
      </c>
      <c r="H8729" s="201"/>
      <c r="I8729" s="201"/>
      <c r="J8729" s="197" t="s">
        <v>46</v>
      </c>
      <c r="K8729" s="202">
        <v>100000</v>
      </c>
      <c r="L8729" s="202"/>
    </row>
    <row r="8730" spans="1:15" ht="11.25" customHeight="1" x14ac:dyDescent="0.2">
      <c r="A8730" s="120">
        <v>2025</v>
      </c>
      <c r="B8730" s="120">
        <v>6</v>
      </c>
      <c r="C8730" s="120">
        <v>23</v>
      </c>
      <c r="D8730" s="208">
        <f t="shared" si="1022"/>
        <v>45831</v>
      </c>
      <c r="E8730" s="209">
        <f t="shared" si="1027"/>
        <v>45831</v>
      </c>
      <c r="F8730" s="515"/>
      <c r="G8730" s="132" t="s">
        <v>1209</v>
      </c>
      <c r="J8730" s="120" t="s">
        <v>16</v>
      </c>
      <c r="K8730" s="207"/>
      <c r="L8730" s="207">
        <v>79740</v>
      </c>
    </row>
    <row r="8731" spans="1:15" ht="11.25" customHeight="1" x14ac:dyDescent="0.2">
      <c r="A8731" s="191">
        <v>2025</v>
      </c>
      <c r="B8731" s="191">
        <v>6</v>
      </c>
      <c r="C8731" s="191">
        <v>23</v>
      </c>
      <c r="D8731" s="192">
        <f t="shared" si="1022"/>
        <v>45831</v>
      </c>
      <c r="E8731" s="193">
        <f t="shared" si="1027"/>
        <v>45831</v>
      </c>
      <c r="F8731" s="514"/>
      <c r="G8731" s="194" t="s">
        <v>1209</v>
      </c>
      <c r="H8731" s="195"/>
      <c r="I8731" s="195"/>
      <c r="J8731" s="191" t="s">
        <v>47</v>
      </c>
      <c r="K8731" s="196"/>
      <c r="L8731" s="196">
        <v>20260</v>
      </c>
    </row>
    <row r="8732" spans="1:15" ht="11.25" customHeight="1" x14ac:dyDescent="0.2">
      <c r="A8732" s="197">
        <v>2025</v>
      </c>
      <c r="B8732" s="197">
        <v>6</v>
      </c>
      <c r="C8732" s="197">
        <v>23</v>
      </c>
      <c r="D8732" s="198">
        <f t="shared" si="1022"/>
        <v>45831</v>
      </c>
      <c r="E8732" s="209">
        <f t="shared" ref="E8732:E8740" si="1028">DATE(A8732,B8732,C8732)</f>
        <v>45831</v>
      </c>
      <c r="F8732" s="513" t="s">
        <v>1210</v>
      </c>
      <c r="G8732" s="200" t="s">
        <v>1209</v>
      </c>
      <c r="H8732" s="201"/>
      <c r="I8732" s="201"/>
      <c r="J8732" s="197" t="s">
        <v>46</v>
      </c>
      <c r="K8732" s="202">
        <v>50000</v>
      </c>
      <c r="L8732" s="202"/>
    </row>
    <row r="8733" spans="1:15" ht="11.25" customHeight="1" x14ac:dyDescent="0.2">
      <c r="A8733" s="120">
        <v>2025</v>
      </c>
      <c r="B8733" s="120">
        <v>6</v>
      </c>
      <c r="C8733" s="120">
        <v>23</v>
      </c>
      <c r="D8733" s="208">
        <f t="shared" si="1022"/>
        <v>45831</v>
      </c>
      <c r="E8733" s="209">
        <f t="shared" si="1028"/>
        <v>45831</v>
      </c>
      <c r="F8733" s="515"/>
      <c r="G8733" s="132" t="s">
        <v>1209</v>
      </c>
      <c r="J8733" s="120" t="s">
        <v>16</v>
      </c>
      <c r="K8733" s="207"/>
      <c r="L8733" s="207">
        <v>39870</v>
      </c>
    </row>
    <row r="8734" spans="1:15" ht="11.25" customHeight="1" x14ac:dyDescent="0.2">
      <c r="A8734" s="191">
        <v>2025</v>
      </c>
      <c r="B8734" s="191">
        <v>6</v>
      </c>
      <c r="C8734" s="191">
        <v>23</v>
      </c>
      <c r="D8734" s="192">
        <f t="shared" si="1022"/>
        <v>45831</v>
      </c>
      <c r="E8734" s="193">
        <f t="shared" si="1028"/>
        <v>45831</v>
      </c>
      <c r="F8734" s="514"/>
      <c r="G8734" s="194" t="s">
        <v>1209</v>
      </c>
      <c r="H8734" s="195"/>
      <c r="I8734" s="195"/>
      <c r="J8734" s="191" t="s">
        <v>47</v>
      </c>
      <c r="K8734" s="196"/>
      <c r="L8734" s="196">
        <v>10130</v>
      </c>
    </row>
    <row r="8735" spans="1:15" ht="11.25" customHeight="1" x14ac:dyDescent="0.2">
      <c r="A8735" s="197">
        <v>2025</v>
      </c>
      <c r="B8735" s="197">
        <v>6</v>
      </c>
      <c r="C8735" s="197">
        <v>23</v>
      </c>
      <c r="D8735" s="198">
        <f t="shared" si="1022"/>
        <v>45831</v>
      </c>
      <c r="E8735" s="209">
        <f t="shared" si="1028"/>
        <v>45831</v>
      </c>
      <c r="F8735" s="513" t="s">
        <v>1280</v>
      </c>
      <c r="G8735" s="200" t="s">
        <v>1209</v>
      </c>
      <c r="H8735" s="201"/>
      <c r="I8735" s="201" t="s">
        <v>1293</v>
      </c>
      <c r="J8735" s="197" t="s">
        <v>16</v>
      </c>
      <c r="K8735" s="202">
        <v>2392150</v>
      </c>
      <c r="L8735" s="202"/>
    </row>
    <row r="8736" spans="1:15" ht="11.25" customHeight="1" x14ac:dyDescent="0.2">
      <c r="A8736" s="120">
        <v>2025</v>
      </c>
      <c r="B8736" s="120">
        <v>6</v>
      </c>
      <c r="C8736" s="120">
        <v>23</v>
      </c>
      <c r="D8736" s="208">
        <f t="shared" si="1022"/>
        <v>45831</v>
      </c>
      <c r="E8736" s="209">
        <f t="shared" si="1028"/>
        <v>45831</v>
      </c>
      <c r="F8736" s="515"/>
      <c r="G8736" s="132" t="s">
        <v>1209</v>
      </c>
      <c r="I8736" s="128" t="s">
        <v>1293</v>
      </c>
      <c r="J8736" s="120" t="s">
        <v>47</v>
      </c>
      <c r="K8736" s="207">
        <v>607850</v>
      </c>
      <c r="L8736" s="207"/>
    </row>
    <row r="8737" spans="1:12" ht="11.25" customHeight="1" x14ac:dyDescent="0.2">
      <c r="A8737" s="191">
        <v>2025</v>
      </c>
      <c r="B8737" s="191">
        <v>6</v>
      </c>
      <c r="C8737" s="191">
        <v>23</v>
      </c>
      <c r="D8737" s="192">
        <f t="shared" si="1022"/>
        <v>45831</v>
      </c>
      <c r="E8737" s="193">
        <f t="shared" si="1028"/>
        <v>45831</v>
      </c>
      <c r="F8737" s="514"/>
      <c r="G8737" s="194" t="s">
        <v>1209</v>
      </c>
      <c r="H8737" s="195"/>
      <c r="I8737" s="195" t="s">
        <v>1293</v>
      </c>
      <c r="J8737" s="191" t="s">
        <v>46</v>
      </c>
      <c r="K8737" s="196"/>
      <c r="L8737" s="196">
        <v>3000000</v>
      </c>
    </row>
    <row r="8738" spans="1:12" ht="11.25" customHeight="1" x14ac:dyDescent="0.2">
      <c r="A8738" s="197">
        <v>2025</v>
      </c>
      <c r="B8738" s="197">
        <v>6</v>
      </c>
      <c r="C8738" s="197">
        <v>23</v>
      </c>
      <c r="D8738" s="198">
        <f t="shared" si="1022"/>
        <v>45831</v>
      </c>
      <c r="E8738" s="209">
        <f t="shared" si="1028"/>
        <v>45831</v>
      </c>
      <c r="F8738" s="513" t="s">
        <v>1210</v>
      </c>
      <c r="G8738" s="200" t="s">
        <v>1209</v>
      </c>
      <c r="H8738" s="201"/>
      <c r="I8738" s="201"/>
      <c r="J8738" s="197" t="s">
        <v>46</v>
      </c>
      <c r="K8738" s="202">
        <v>5000</v>
      </c>
      <c r="L8738" s="202"/>
    </row>
    <row r="8739" spans="1:12" ht="11.25" customHeight="1" x14ac:dyDescent="0.2">
      <c r="A8739" s="120">
        <v>2025</v>
      </c>
      <c r="B8739" s="120">
        <v>6</v>
      </c>
      <c r="C8739" s="120">
        <v>23</v>
      </c>
      <c r="D8739" s="208">
        <f t="shared" si="1022"/>
        <v>45831</v>
      </c>
      <c r="E8739" s="209">
        <f t="shared" si="1028"/>
        <v>45831</v>
      </c>
      <c r="F8739" s="515"/>
      <c r="G8739" s="132" t="s">
        <v>1209</v>
      </c>
      <c r="J8739" s="120" t="s">
        <v>16</v>
      </c>
      <c r="K8739" s="207"/>
      <c r="L8739" s="207">
        <v>3990</v>
      </c>
    </row>
    <row r="8740" spans="1:12" ht="11.25" customHeight="1" x14ac:dyDescent="0.2">
      <c r="A8740" s="191">
        <v>2025</v>
      </c>
      <c r="B8740" s="191">
        <v>6</v>
      </c>
      <c r="C8740" s="191">
        <v>23</v>
      </c>
      <c r="D8740" s="192">
        <f t="shared" si="1022"/>
        <v>45831</v>
      </c>
      <c r="E8740" s="193">
        <f t="shared" si="1028"/>
        <v>45831</v>
      </c>
      <c r="F8740" s="514"/>
      <c r="G8740" s="194" t="s">
        <v>1209</v>
      </c>
      <c r="H8740" s="195"/>
      <c r="I8740" s="195"/>
      <c r="J8740" s="191" t="s">
        <v>47</v>
      </c>
      <c r="K8740" s="196"/>
      <c r="L8740" s="196">
        <v>1010</v>
      </c>
    </row>
    <row r="8741" spans="1:12" ht="11.25" customHeight="1" x14ac:dyDescent="0.2">
      <c r="A8741" s="197">
        <v>2025</v>
      </c>
      <c r="B8741" s="197">
        <v>6</v>
      </c>
      <c r="C8741" s="197">
        <v>23</v>
      </c>
      <c r="D8741" s="198">
        <f t="shared" si="1022"/>
        <v>45831</v>
      </c>
      <c r="E8741" s="209">
        <f t="shared" ref="E8741:E8743" si="1029">DATE(A8741,B8741,C8741)</f>
        <v>45831</v>
      </c>
      <c r="F8741" s="513" t="s">
        <v>1210</v>
      </c>
      <c r="G8741" s="200" t="s">
        <v>1209</v>
      </c>
      <c r="H8741" s="201"/>
      <c r="I8741" s="201"/>
      <c r="J8741" s="197" t="s">
        <v>46</v>
      </c>
      <c r="K8741" s="202">
        <v>500000</v>
      </c>
      <c r="L8741" s="202"/>
    </row>
    <row r="8742" spans="1:12" ht="11.25" customHeight="1" x14ac:dyDescent="0.2">
      <c r="A8742" s="120">
        <v>2025</v>
      </c>
      <c r="B8742" s="120">
        <v>6</v>
      </c>
      <c r="C8742" s="120">
        <v>23</v>
      </c>
      <c r="D8742" s="208">
        <f t="shared" si="1022"/>
        <v>45831</v>
      </c>
      <c r="E8742" s="209">
        <f t="shared" si="1029"/>
        <v>45831</v>
      </c>
      <c r="F8742" s="515"/>
      <c r="G8742" s="132" t="s">
        <v>1209</v>
      </c>
      <c r="J8742" s="120" t="s">
        <v>16</v>
      </c>
      <c r="K8742" s="207"/>
      <c r="L8742" s="207">
        <v>398690</v>
      </c>
    </row>
    <row r="8743" spans="1:12" ht="11.25" customHeight="1" x14ac:dyDescent="0.2">
      <c r="A8743" s="191">
        <v>2025</v>
      </c>
      <c r="B8743" s="191">
        <v>6</v>
      </c>
      <c r="C8743" s="191">
        <v>23</v>
      </c>
      <c r="D8743" s="192">
        <f t="shared" si="1022"/>
        <v>45831</v>
      </c>
      <c r="E8743" s="193">
        <f t="shared" si="1029"/>
        <v>45831</v>
      </c>
      <c r="F8743" s="514"/>
      <c r="G8743" s="194" t="s">
        <v>1209</v>
      </c>
      <c r="H8743" s="195"/>
      <c r="I8743" s="195"/>
      <c r="J8743" s="191" t="s">
        <v>47</v>
      </c>
      <c r="K8743" s="196"/>
      <c r="L8743" s="196">
        <v>101310</v>
      </c>
    </row>
    <row r="8744" spans="1:12" ht="11.25" customHeight="1" x14ac:dyDescent="0.2">
      <c r="A8744" s="197">
        <v>2025</v>
      </c>
      <c r="B8744" s="197">
        <v>6</v>
      </c>
      <c r="C8744" s="197">
        <v>23</v>
      </c>
      <c r="D8744" s="198">
        <f t="shared" si="1022"/>
        <v>45831</v>
      </c>
      <c r="E8744" s="209">
        <f t="shared" ref="E8744:E8746" si="1030">DATE(A8744,B8744,C8744)</f>
        <v>45831</v>
      </c>
      <c r="F8744" s="513" t="s">
        <v>1210</v>
      </c>
      <c r="G8744" s="200" t="s">
        <v>1209</v>
      </c>
      <c r="H8744" s="201"/>
      <c r="I8744" s="201"/>
      <c r="J8744" s="197" t="s">
        <v>46</v>
      </c>
      <c r="K8744" s="202">
        <v>500000</v>
      </c>
      <c r="L8744" s="202"/>
    </row>
    <row r="8745" spans="1:12" ht="11.25" customHeight="1" x14ac:dyDescent="0.2">
      <c r="A8745" s="120">
        <v>2025</v>
      </c>
      <c r="B8745" s="120">
        <v>6</v>
      </c>
      <c r="C8745" s="120">
        <v>23</v>
      </c>
      <c r="D8745" s="208">
        <f t="shared" si="1022"/>
        <v>45831</v>
      </c>
      <c r="E8745" s="209">
        <f t="shared" si="1030"/>
        <v>45831</v>
      </c>
      <c r="F8745" s="515"/>
      <c r="G8745" s="132" t="s">
        <v>1209</v>
      </c>
      <c r="J8745" s="120" t="s">
        <v>16</v>
      </c>
      <c r="K8745" s="207"/>
      <c r="L8745" s="207">
        <v>398690</v>
      </c>
    </row>
    <row r="8746" spans="1:12" ht="11.25" customHeight="1" x14ac:dyDescent="0.2">
      <c r="A8746" s="191">
        <v>2025</v>
      </c>
      <c r="B8746" s="191">
        <v>6</v>
      </c>
      <c r="C8746" s="191">
        <v>23</v>
      </c>
      <c r="D8746" s="192">
        <f t="shared" si="1022"/>
        <v>45831</v>
      </c>
      <c r="E8746" s="193">
        <f t="shared" si="1030"/>
        <v>45831</v>
      </c>
      <c r="F8746" s="514"/>
      <c r="G8746" s="194" t="s">
        <v>1209</v>
      </c>
      <c r="H8746" s="195"/>
      <c r="I8746" s="195"/>
      <c r="J8746" s="191" t="s">
        <v>47</v>
      </c>
      <c r="K8746" s="196"/>
      <c r="L8746" s="196">
        <v>101310</v>
      </c>
    </row>
    <row r="8747" spans="1:12" ht="11.25" customHeight="1" x14ac:dyDescent="0.2">
      <c r="A8747" s="197">
        <v>2025</v>
      </c>
      <c r="B8747" s="197">
        <v>6</v>
      </c>
      <c r="C8747" s="197">
        <v>23</v>
      </c>
      <c r="D8747" s="198">
        <f t="shared" si="1022"/>
        <v>45831</v>
      </c>
      <c r="E8747" s="209">
        <f t="shared" ref="E8747:E8749" si="1031">DATE(A8747,B8747,C8747)</f>
        <v>45831</v>
      </c>
      <c r="F8747" s="513" t="s">
        <v>1210</v>
      </c>
      <c r="G8747" s="200" t="s">
        <v>1209</v>
      </c>
      <c r="H8747" s="201"/>
      <c r="I8747" s="201"/>
      <c r="J8747" s="197" t="s">
        <v>46</v>
      </c>
      <c r="K8747" s="202">
        <v>500000</v>
      </c>
      <c r="L8747" s="202"/>
    </row>
    <row r="8748" spans="1:12" ht="11.25" customHeight="1" x14ac:dyDescent="0.2">
      <c r="A8748" s="120">
        <v>2025</v>
      </c>
      <c r="B8748" s="120">
        <v>6</v>
      </c>
      <c r="C8748" s="120">
        <v>23</v>
      </c>
      <c r="D8748" s="208">
        <f t="shared" ref="D8748:D8811" si="1032">DATE(A8748,B8748,C8748)</f>
        <v>45831</v>
      </c>
      <c r="E8748" s="209">
        <f t="shared" si="1031"/>
        <v>45831</v>
      </c>
      <c r="F8748" s="515"/>
      <c r="G8748" s="132" t="s">
        <v>1209</v>
      </c>
      <c r="J8748" s="120" t="s">
        <v>16</v>
      </c>
      <c r="K8748" s="207"/>
      <c r="L8748" s="207">
        <v>398690</v>
      </c>
    </row>
    <row r="8749" spans="1:12" ht="11.25" customHeight="1" x14ac:dyDescent="0.2">
      <c r="A8749" s="191">
        <v>2025</v>
      </c>
      <c r="B8749" s="191">
        <v>6</v>
      </c>
      <c r="C8749" s="191">
        <v>23</v>
      </c>
      <c r="D8749" s="192">
        <f t="shared" si="1032"/>
        <v>45831</v>
      </c>
      <c r="E8749" s="193">
        <f t="shared" si="1031"/>
        <v>45831</v>
      </c>
      <c r="F8749" s="514"/>
      <c r="G8749" s="194" t="s">
        <v>1209</v>
      </c>
      <c r="H8749" s="195"/>
      <c r="I8749" s="195"/>
      <c r="J8749" s="191" t="s">
        <v>47</v>
      </c>
      <c r="K8749" s="196"/>
      <c r="L8749" s="196">
        <v>101310</v>
      </c>
    </row>
    <row r="8750" spans="1:12" ht="11.25" customHeight="1" x14ac:dyDescent="0.2">
      <c r="A8750" s="197">
        <v>2025</v>
      </c>
      <c r="B8750" s="197">
        <v>6</v>
      </c>
      <c r="C8750" s="197">
        <v>23</v>
      </c>
      <c r="D8750" s="198">
        <f t="shared" si="1032"/>
        <v>45831</v>
      </c>
      <c r="E8750" s="209">
        <f t="shared" ref="E8750:E8752" si="1033">DATE(A8750,B8750,C8750)</f>
        <v>45831</v>
      </c>
      <c r="F8750" s="513" t="s">
        <v>1210</v>
      </c>
      <c r="G8750" s="200" t="s">
        <v>1209</v>
      </c>
      <c r="H8750" s="201"/>
      <c r="I8750" s="201"/>
      <c r="J8750" s="197" t="s">
        <v>46</v>
      </c>
      <c r="K8750" s="202">
        <v>400000</v>
      </c>
      <c r="L8750" s="202"/>
    </row>
    <row r="8751" spans="1:12" ht="11.25" customHeight="1" x14ac:dyDescent="0.2">
      <c r="A8751" s="120">
        <v>2025</v>
      </c>
      <c r="B8751" s="120">
        <v>6</v>
      </c>
      <c r="C8751" s="120">
        <v>23</v>
      </c>
      <c r="D8751" s="208">
        <f t="shared" si="1032"/>
        <v>45831</v>
      </c>
      <c r="E8751" s="209">
        <f t="shared" si="1033"/>
        <v>45831</v>
      </c>
      <c r="F8751" s="515"/>
      <c r="G8751" s="132" t="s">
        <v>1209</v>
      </c>
      <c r="J8751" s="120" t="s">
        <v>16</v>
      </c>
      <c r="K8751" s="207"/>
      <c r="L8751" s="207">
        <v>318950</v>
      </c>
    </row>
    <row r="8752" spans="1:12" ht="11.25" customHeight="1" x14ac:dyDescent="0.2">
      <c r="A8752" s="191">
        <v>2025</v>
      </c>
      <c r="B8752" s="191">
        <v>6</v>
      </c>
      <c r="C8752" s="191">
        <v>23</v>
      </c>
      <c r="D8752" s="192">
        <f t="shared" si="1032"/>
        <v>45831</v>
      </c>
      <c r="E8752" s="193">
        <f t="shared" si="1033"/>
        <v>45831</v>
      </c>
      <c r="F8752" s="514"/>
      <c r="G8752" s="194" t="s">
        <v>1209</v>
      </c>
      <c r="H8752" s="195"/>
      <c r="I8752" s="195"/>
      <c r="J8752" s="191" t="s">
        <v>47</v>
      </c>
      <c r="K8752" s="196"/>
      <c r="L8752" s="196">
        <v>81050</v>
      </c>
    </row>
    <row r="8753" spans="1:15" ht="11.25" customHeight="1" x14ac:dyDescent="0.2">
      <c r="A8753" s="197">
        <v>2025</v>
      </c>
      <c r="B8753" s="197">
        <v>6</v>
      </c>
      <c r="C8753" s="197">
        <v>24</v>
      </c>
      <c r="D8753" s="198">
        <f t="shared" si="1032"/>
        <v>45832</v>
      </c>
      <c r="E8753" s="290">
        <f>DATE(A8753,B8753,C8753)</f>
        <v>45832</v>
      </c>
      <c r="F8753" s="513" t="s">
        <v>1950</v>
      </c>
      <c r="G8753" s="200" t="s">
        <v>1209</v>
      </c>
      <c r="H8753" s="201"/>
      <c r="I8753" s="201" t="s">
        <v>1253</v>
      </c>
      <c r="J8753" s="197" t="s">
        <v>46</v>
      </c>
      <c r="K8753" s="202">
        <v>217500</v>
      </c>
      <c r="L8753" s="202"/>
    </row>
    <row r="8754" spans="1:15" ht="11.25" customHeight="1" x14ac:dyDescent="0.2">
      <c r="A8754" s="191">
        <v>2025</v>
      </c>
      <c r="B8754" s="191">
        <v>6</v>
      </c>
      <c r="C8754" s="191">
        <v>24</v>
      </c>
      <c r="D8754" s="192">
        <f t="shared" si="1032"/>
        <v>45832</v>
      </c>
      <c r="E8754" s="291">
        <f>DATE(A8754,B8754,C8754)</f>
        <v>45832</v>
      </c>
      <c r="F8754" s="514"/>
      <c r="G8754" s="194" t="s">
        <v>1209</v>
      </c>
      <c r="H8754" s="195"/>
      <c r="I8754" s="195"/>
      <c r="J8754" s="191" t="s">
        <v>1845</v>
      </c>
      <c r="K8754" s="196"/>
      <c r="L8754" s="196">
        <v>217499.99999999997</v>
      </c>
    </row>
    <row r="8755" spans="1:15" ht="11.25" customHeight="1" x14ac:dyDescent="0.2">
      <c r="A8755" s="197">
        <v>2025</v>
      </c>
      <c r="B8755" s="197">
        <v>6</v>
      </c>
      <c r="C8755" s="197">
        <v>24</v>
      </c>
      <c r="D8755" s="198">
        <f t="shared" si="1032"/>
        <v>45832</v>
      </c>
      <c r="E8755" s="290">
        <f>DATE(A8755,B8755,C8755)</f>
        <v>45832</v>
      </c>
      <c r="F8755" s="513" t="s">
        <v>1514</v>
      </c>
      <c r="G8755" s="200" t="s">
        <v>1209</v>
      </c>
      <c r="H8755" s="201"/>
      <c r="I8755" s="201"/>
      <c r="J8755" s="197" t="s">
        <v>54</v>
      </c>
      <c r="K8755" s="202">
        <v>120</v>
      </c>
      <c r="L8755" s="202"/>
      <c r="M8755" s="251"/>
      <c r="N8755" s="251"/>
      <c r="O8755" s="251"/>
    </row>
    <row r="8756" spans="1:15" ht="11.25" customHeight="1" x14ac:dyDescent="0.2">
      <c r="A8756" s="191">
        <v>2025</v>
      </c>
      <c r="B8756" s="191">
        <v>6</v>
      </c>
      <c r="C8756" s="191">
        <v>24</v>
      </c>
      <c r="D8756" s="192">
        <f t="shared" si="1032"/>
        <v>45832</v>
      </c>
      <c r="E8756" s="291">
        <f>DATE(A8756,B8756,C8756)</f>
        <v>45832</v>
      </c>
      <c r="F8756" s="514"/>
      <c r="G8756" s="194" t="s">
        <v>1209</v>
      </c>
      <c r="H8756" s="195"/>
      <c r="I8756" s="195"/>
      <c r="J8756" s="191" t="s">
        <v>46</v>
      </c>
      <c r="K8756" s="196"/>
      <c r="L8756" s="196">
        <v>120</v>
      </c>
      <c r="M8756" s="251"/>
      <c r="N8756" s="251"/>
      <c r="O8756" s="251"/>
    </row>
    <row r="8757" spans="1:15" ht="11.25" customHeight="1" x14ac:dyDescent="0.2">
      <c r="A8757" s="197">
        <v>2025</v>
      </c>
      <c r="B8757" s="197">
        <v>6</v>
      </c>
      <c r="C8757" s="197">
        <v>24</v>
      </c>
      <c r="D8757" s="198">
        <f t="shared" si="1032"/>
        <v>45832</v>
      </c>
      <c r="E8757" s="209">
        <f t="shared" ref="E8757:E8768" si="1034">DATE(A8757,B8757,C8757)</f>
        <v>45832</v>
      </c>
      <c r="F8757" s="513" t="s">
        <v>1210</v>
      </c>
      <c r="G8757" s="200" t="s">
        <v>1209</v>
      </c>
      <c r="H8757" s="201"/>
      <c r="I8757" s="201"/>
      <c r="J8757" s="197" t="s">
        <v>46</v>
      </c>
      <c r="K8757" s="202">
        <v>500000</v>
      </c>
      <c r="L8757" s="202"/>
    </row>
    <row r="8758" spans="1:15" ht="11.25" customHeight="1" x14ac:dyDescent="0.2">
      <c r="A8758" s="120">
        <v>2025</v>
      </c>
      <c r="B8758" s="120">
        <v>6</v>
      </c>
      <c r="C8758" s="120">
        <v>24</v>
      </c>
      <c r="D8758" s="208">
        <f t="shared" si="1032"/>
        <v>45832</v>
      </c>
      <c r="E8758" s="209">
        <f t="shared" si="1034"/>
        <v>45832</v>
      </c>
      <c r="F8758" s="515"/>
      <c r="G8758" s="132" t="s">
        <v>1209</v>
      </c>
      <c r="J8758" s="120" t="s">
        <v>16</v>
      </c>
      <c r="K8758" s="207"/>
      <c r="L8758" s="207">
        <v>398690</v>
      </c>
    </row>
    <row r="8759" spans="1:15" ht="11.25" customHeight="1" x14ac:dyDescent="0.2">
      <c r="A8759" s="191">
        <v>2025</v>
      </c>
      <c r="B8759" s="191">
        <v>6</v>
      </c>
      <c r="C8759" s="191">
        <v>24</v>
      </c>
      <c r="D8759" s="192">
        <f t="shared" si="1032"/>
        <v>45832</v>
      </c>
      <c r="E8759" s="193">
        <f t="shared" si="1034"/>
        <v>45832</v>
      </c>
      <c r="F8759" s="514"/>
      <c r="G8759" s="194" t="s">
        <v>1209</v>
      </c>
      <c r="H8759" s="195"/>
      <c r="I8759" s="195"/>
      <c r="J8759" s="191" t="s">
        <v>47</v>
      </c>
      <c r="K8759" s="196"/>
      <c r="L8759" s="196">
        <v>101310</v>
      </c>
    </row>
    <row r="8760" spans="1:15" ht="11.25" customHeight="1" x14ac:dyDescent="0.2">
      <c r="A8760" s="197">
        <v>2025</v>
      </c>
      <c r="B8760" s="197">
        <v>6</v>
      </c>
      <c r="C8760" s="197">
        <v>24</v>
      </c>
      <c r="D8760" s="198">
        <f t="shared" si="1032"/>
        <v>45832</v>
      </c>
      <c r="E8760" s="209">
        <f t="shared" si="1034"/>
        <v>45832</v>
      </c>
      <c r="F8760" s="513" t="s">
        <v>1210</v>
      </c>
      <c r="G8760" s="200" t="s">
        <v>1209</v>
      </c>
      <c r="H8760" s="201"/>
      <c r="I8760" s="201"/>
      <c r="J8760" s="197" t="s">
        <v>46</v>
      </c>
      <c r="K8760" s="202">
        <v>290000</v>
      </c>
      <c r="L8760" s="202"/>
    </row>
    <row r="8761" spans="1:15" ht="11.25" customHeight="1" x14ac:dyDescent="0.2">
      <c r="A8761" s="120">
        <v>2025</v>
      </c>
      <c r="B8761" s="120">
        <v>6</v>
      </c>
      <c r="C8761" s="120">
        <v>24</v>
      </c>
      <c r="D8761" s="208">
        <f t="shared" si="1032"/>
        <v>45832</v>
      </c>
      <c r="E8761" s="209">
        <f t="shared" si="1034"/>
        <v>45832</v>
      </c>
      <c r="F8761" s="515"/>
      <c r="G8761" s="132" t="s">
        <v>1209</v>
      </c>
      <c r="J8761" s="120" t="s">
        <v>16</v>
      </c>
      <c r="K8761" s="207"/>
      <c r="L8761" s="207">
        <v>231240</v>
      </c>
    </row>
    <row r="8762" spans="1:15" ht="11.25" customHeight="1" x14ac:dyDescent="0.2">
      <c r="A8762" s="191">
        <v>2025</v>
      </c>
      <c r="B8762" s="191">
        <v>6</v>
      </c>
      <c r="C8762" s="191">
        <v>24</v>
      </c>
      <c r="D8762" s="192">
        <f t="shared" si="1032"/>
        <v>45832</v>
      </c>
      <c r="E8762" s="193">
        <f t="shared" si="1034"/>
        <v>45832</v>
      </c>
      <c r="F8762" s="514"/>
      <c r="G8762" s="194" t="s">
        <v>1209</v>
      </c>
      <c r="H8762" s="195"/>
      <c r="I8762" s="195"/>
      <c r="J8762" s="191" t="s">
        <v>47</v>
      </c>
      <c r="K8762" s="196"/>
      <c r="L8762" s="196">
        <v>58760</v>
      </c>
    </row>
    <row r="8763" spans="1:15" ht="11.25" customHeight="1" x14ac:dyDescent="0.2">
      <c r="A8763" s="197">
        <v>2025</v>
      </c>
      <c r="B8763" s="197">
        <v>6</v>
      </c>
      <c r="C8763" s="197">
        <v>24</v>
      </c>
      <c r="D8763" s="198">
        <f t="shared" si="1032"/>
        <v>45832</v>
      </c>
      <c r="E8763" s="209">
        <f t="shared" ref="E8763:E8765" si="1035">DATE(A8763,B8763,C8763)</f>
        <v>45832</v>
      </c>
      <c r="F8763" s="513" t="s">
        <v>1210</v>
      </c>
      <c r="G8763" s="200" t="s">
        <v>1209</v>
      </c>
      <c r="H8763" s="201"/>
      <c r="I8763" s="201"/>
      <c r="J8763" s="197" t="s">
        <v>46</v>
      </c>
      <c r="K8763" s="202">
        <v>300000</v>
      </c>
      <c r="L8763" s="202"/>
    </row>
    <row r="8764" spans="1:15" ht="11.25" customHeight="1" x14ac:dyDescent="0.2">
      <c r="A8764" s="120">
        <v>2025</v>
      </c>
      <c r="B8764" s="120">
        <v>6</v>
      </c>
      <c r="C8764" s="120">
        <v>24</v>
      </c>
      <c r="D8764" s="208">
        <f t="shared" si="1032"/>
        <v>45832</v>
      </c>
      <c r="E8764" s="209">
        <f t="shared" si="1035"/>
        <v>45832</v>
      </c>
      <c r="F8764" s="515"/>
      <c r="G8764" s="132" t="s">
        <v>1209</v>
      </c>
      <c r="J8764" s="120" t="s">
        <v>16</v>
      </c>
      <c r="K8764" s="207"/>
      <c r="L8764" s="207">
        <v>239220</v>
      </c>
    </row>
    <row r="8765" spans="1:15" ht="11.25" customHeight="1" x14ac:dyDescent="0.2">
      <c r="A8765" s="191">
        <v>2025</v>
      </c>
      <c r="B8765" s="191">
        <v>6</v>
      </c>
      <c r="C8765" s="191">
        <v>24</v>
      </c>
      <c r="D8765" s="192">
        <f t="shared" si="1032"/>
        <v>45832</v>
      </c>
      <c r="E8765" s="193">
        <f t="shared" si="1035"/>
        <v>45832</v>
      </c>
      <c r="F8765" s="514"/>
      <c r="G8765" s="194" t="s">
        <v>1209</v>
      </c>
      <c r="H8765" s="195"/>
      <c r="I8765" s="195"/>
      <c r="J8765" s="191" t="s">
        <v>47</v>
      </c>
      <c r="K8765" s="196"/>
      <c r="L8765" s="196">
        <v>60780</v>
      </c>
    </row>
    <row r="8766" spans="1:15" ht="11.25" customHeight="1" x14ac:dyDescent="0.2">
      <c r="A8766" s="197">
        <v>2025</v>
      </c>
      <c r="B8766" s="197">
        <v>6</v>
      </c>
      <c r="C8766" s="197">
        <v>24</v>
      </c>
      <c r="D8766" s="198">
        <f t="shared" si="1032"/>
        <v>45832</v>
      </c>
      <c r="E8766" s="209">
        <f t="shared" si="1034"/>
        <v>45832</v>
      </c>
      <c r="F8766" s="513" t="s">
        <v>1210</v>
      </c>
      <c r="G8766" s="200" t="s">
        <v>1209</v>
      </c>
      <c r="H8766" s="201"/>
      <c r="I8766" s="201"/>
      <c r="J8766" s="197" t="s">
        <v>46</v>
      </c>
      <c r="K8766" s="202">
        <v>150000</v>
      </c>
      <c r="L8766" s="202"/>
    </row>
    <row r="8767" spans="1:15" ht="11.25" customHeight="1" x14ac:dyDescent="0.2">
      <c r="A8767" s="120">
        <v>2025</v>
      </c>
      <c r="B8767" s="120">
        <v>6</v>
      </c>
      <c r="C8767" s="120">
        <v>24</v>
      </c>
      <c r="D8767" s="208">
        <f t="shared" si="1032"/>
        <v>45832</v>
      </c>
      <c r="E8767" s="209">
        <f t="shared" si="1034"/>
        <v>45832</v>
      </c>
      <c r="F8767" s="515"/>
      <c r="G8767" s="132" t="s">
        <v>1209</v>
      </c>
      <c r="J8767" s="120" t="s">
        <v>16</v>
      </c>
      <c r="K8767" s="207"/>
      <c r="L8767" s="207">
        <v>119610</v>
      </c>
    </row>
    <row r="8768" spans="1:15" ht="11.25" customHeight="1" x14ac:dyDescent="0.2">
      <c r="A8768" s="191">
        <v>2025</v>
      </c>
      <c r="B8768" s="191">
        <v>6</v>
      </c>
      <c r="C8768" s="191">
        <v>24</v>
      </c>
      <c r="D8768" s="192">
        <f t="shared" si="1032"/>
        <v>45832</v>
      </c>
      <c r="E8768" s="193">
        <f t="shared" si="1034"/>
        <v>45832</v>
      </c>
      <c r="F8768" s="514"/>
      <c r="G8768" s="194" t="s">
        <v>1209</v>
      </c>
      <c r="H8768" s="195"/>
      <c r="I8768" s="195"/>
      <c r="J8768" s="191" t="s">
        <v>47</v>
      </c>
      <c r="K8768" s="196"/>
      <c r="L8768" s="196">
        <v>30390</v>
      </c>
    </row>
    <row r="8769" spans="1:15" ht="11.25" customHeight="1" x14ac:dyDescent="0.2">
      <c r="A8769" s="197">
        <v>2025</v>
      </c>
      <c r="B8769" s="197">
        <v>6</v>
      </c>
      <c r="C8769" s="197">
        <v>24</v>
      </c>
      <c r="D8769" s="198">
        <f t="shared" si="1032"/>
        <v>45832</v>
      </c>
      <c r="E8769" s="209">
        <f t="shared" ref="E8769:E8771" si="1036">DATE(A8769,B8769,C8769)</f>
        <v>45832</v>
      </c>
      <c r="F8769" s="513" t="s">
        <v>1210</v>
      </c>
      <c r="G8769" s="200" t="s">
        <v>1209</v>
      </c>
      <c r="H8769" s="201"/>
      <c r="I8769" s="201"/>
      <c r="J8769" s="197" t="s">
        <v>46</v>
      </c>
      <c r="K8769" s="202">
        <v>55000</v>
      </c>
      <c r="L8769" s="202"/>
    </row>
    <row r="8770" spans="1:15" ht="11.25" customHeight="1" x14ac:dyDescent="0.2">
      <c r="A8770" s="120">
        <v>2025</v>
      </c>
      <c r="B8770" s="120">
        <v>6</v>
      </c>
      <c r="C8770" s="120">
        <v>24</v>
      </c>
      <c r="D8770" s="208">
        <f t="shared" si="1032"/>
        <v>45832</v>
      </c>
      <c r="E8770" s="209">
        <f t="shared" si="1036"/>
        <v>45832</v>
      </c>
      <c r="F8770" s="515"/>
      <c r="G8770" s="132" t="s">
        <v>1209</v>
      </c>
      <c r="J8770" s="120" t="s">
        <v>16</v>
      </c>
      <c r="K8770" s="207"/>
      <c r="L8770" s="207">
        <v>43860</v>
      </c>
    </row>
    <row r="8771" spans="1:15" ht="11.25" customHeight="1" x14ac:dyDescent="0.2">
      <c r="A8771" s="191">
        <v>2025</v>
      </c>
      <c r="B8771" s="191">
        <v>6</v>
      </c>
      <c r="C8771" s="191">
        <v>24</v>
      </c>
      <c r="D8771" s="192">
        <f t="shared" si="1032"/>
        <v>45832</v>
      </c>
      <c r="E8771" s="193">
        <f t="shared" si="1036"/>
        <v>45832</v>
      </c>
      <c r="F8771" s="514"/>
      <c r="G8771" s="194" t="s">
        <v>1209</v>
      </c>
      <c r="H8771" s="195"/>
      <c r="I8771" s="195"/>
      <c r="J8771" s="191" t="s">
        <v>47</v>
      </c>
      <c r="K8771" s="196"/>
      <c r="L8771" s="196">
        <v>11140</v>
      </c>
    </row>
    <row r="8772" spans="1:15" ht="11.25" customHeight="1" x14ac:dyDescent="0.2">
      <c r="A8772" s="197">
        <v>2025</v>
      </c>
      <c r="B8772" s="197">
        <v>6</v>
      </c>
      <c r="C8772" s="197">
        <v>25</v>
      </c>
      <c r="D8772" s="198">
        <f t="shared" si="1032"/>
        <v>45833</v>
      </c>
      <c r="E8772" s="290">
        <f t="shared" ref="E8772" si="1037">DATE(A8772,B8772,C8772)</f>
        <v>45833</v>
      </c>
      <c r="F8772" s="513" t="s">
        <v>2049</v>
      </c>
      <c r="G8772" s="200" t="s">
        <v>1209</v>
      </c>
      <c r="H8772" s="201"/>
      <c r="I8772" s="201" t="s">
        <v>1253</v>
      </c>
      <c r="J8772" s="197" t="s">
        <v>41</v>
      </c>
      <c r="K8772" s="202">
        <v>687605.22360916995</v>
      </c>
      <c r="L8772" s="202"/>
      <c r="M8772" s="130"/>
      <c r="N8772" s="130"/>
    </row>
    <row r="8773" spans="1:15" ht="11.25" customHeight="1" x14ac:dyDescent="0.2">
      <c r="A8773" s="120">
        <v>2025</v>
      </c>
      <c r="B8773" s="120">
        <v>6</v>
      </c>
      <c r="C8773" s="120">
        <v>25</v>
      </c>
      <c r="D8773" s="208">
        <f t="shared" si="1032"/>
        <v>45833</v>
      </c>
      <c r="E8773" s="209">
        <f>DATE(A8773,B8773,C8773)</f>
        <v>45833</v>
      </c>
      <c r="F8773" s="515"/>
      <c r="G8773" s="132" t="s">
        <v>1209</v>
      </c>
      <c r="H8773" s="132"/>
      <c r="J8773" s="120" t="s">
        <v>457</v>
      </c>
      <c r="K8773" s="120"/>
      <c r="L8773" s="207">
        <v>103140.78354137549</v>
      </c>
    </row>
    <row r="8774" spans="1:15" ht="11.25" customHeight="1" x14ac:dyDescent="0.2">
      <c r="A8774" s="191">
        <v>2025</v>
      </c>
      <c r="B8774" s="191">
        <v>6</v>
      </c>
      <c r="C8774" s="191">
        <v>25</v>
      </c>
      <c r="D8774" s="192">
        <f t="shared" si="1032"/>
        <v>45833</v>
      </c>
      <c r="E8774" s="291">
        <f t="shared" ref="E8774:E8776" si="1038">DATE(A8774,B8774,C8774)</f>
        <v>45833</v>
      </c>
      <c r="F8774" s="514"/>
      <c r="G8774" s="194" t="s">
        <v>1209</v>
      </c>
      <c r="H8774" s="195"/>
      <c r="I8774" s="195" t="s">
        <v>1253</v>
      </c>
      <c r="J8774" s="191" t="s">
        <v>46</v>
      </c>
      <c r="K8774" s="196"/>
      <c r="L8774" s="196">
        <v>584464.43999999994</v>
      </c>
    </row>
    <row r="8775" spans="1:15" ht="11.25" customHeight="1" x14ac:dyDescent="0.2">
      <c r="A8775" s="197">
        <v>2025</v>
      </c>
      <c r="B8775" s="197">
        <v>6</v>
      </c>
      <c r="C8775" s="197">
        <v>25</v>
      </c>
      <c r="D8775" s="198">
        <f t="shared" si="1032"/>
        <v>45833</v>
      </c>
      <c r="E8775" s="199">
        <f t="shared" si="1038"/>
        <v>45833</v>
      </c>
      <c r="F8775" s="513" t="s">
        <v>2043</v>
      </c>
      <c r="G8775" s="200" t="s">
        <v>1209</v>
      </c>
      <c r="H8775" s="201"/>
      <c r="I8775" s="201" t="s">
        <v>1253</v>
      </c>
      <c r="J8775" s="197" t="s">
        <v>1837</v>
      </c>
      <c r="K8775" s="202">
        <v>12629452.050000001</v>
      </c>
      <c r="L8775" s="202"/>
    </row>
    <row r="8776" spans="1:15" ht="11.25" customHeight="1" x14ac:dyDescent="0.2">
      <c r="A8776" s="191">
        <v>2025</v>
      </c>
      <c r="B8776" s="191">
        <v>6</v>
      </c>
      <c r="C8776" s="191">
        <v>25</v>
      </c>
      <c r="D8776" s="192">
        <f t="shared" si="1032"/>
        <v>45833</v>
      </c>
      <c r="E8776" s="193">
        <f t="shared" si="1038"/>
        <v>45833</v>
      </c>
      <c r="F8776" s="514"/>
      <c r="G8776" s="194" t="s">
        <v>1209</v>
      </c>
      <c r="H8776" s="195"/>
      <c r="I8776" s="195" t="s">
        <v>1253</v>
      </c>
      <c r="J8776" s="191" t="s">
        <v>46</v>
      </c>
      <c r="K8776" s="196"/>
      <c r="L8776" s="196">
        <v>12629452.050000001</v>
      </c>
      <c r="N8776" s="130"/>
    </row>
    <row r="8777" spans="1:15" ht="11.25" customHeight="1" x14ac:dyDescent="0.2">
      <c r="A8777" s="197">
        <v>2025</v>
      </c>
      <c r="B8777" s="197">
        <v>6</v>
      </c>
      <c r="C8777" s="197">
        <v>25</v>
      </c>
      <c r="D8777" s="198">
        <f t="shared" si="1032"/>
        <v>45833</v>
      </c>
      <c r="E8777" s="199">
        <f t="shared" ref="E8777:E8778" si="1039">DATE(A8777,B8777,C8777)</f>
        <v>45833</v>
      </c>
      <c r="F8777" s="513" t="s">
        <v>2044</v>
      </c>
      <c r="G8777" s="200" t="s">
        <v>1209</v>
      </c>
      <c r="H8777" s="201"/>
      <c r="I8777" s="201" t="s">
        <v>1253</v>
      </c>
      <c r="J8777" s="197" t="s">
        <v>1837</v>
      </c>
      <c r="K8777" s="202">
        <v>12549973.800000001</v>
      </c>
      <c r="L8777" s="202"/>
    </row>
    <row r="8778" spans="1:15" ht="11.25" customHeight="1" x14ac:dyDescent="0.2">
      <c r="A8778" s="191">
        <v>2025</v>
      </c>
      <c r="B8778" s="191">
        <v>6</v>
      </c>
      <c r="C8778" s="191">
        <v>25</v>
      </c>
      <c r="D8778" s="192">
        <f t="shared" si="1032"/>
        <v>45833</v>
      </c>
      <c r="E8778" s="193">
        <f t="shared" si="1039"/>
        <v>45833</v>
      </c>
      <c r="F8778" s="514"/>
      <c r="G8778" s="194" t="s">
        <v>1209</v>
      </c>
      <c r="H8778" s="195"/>
      <c r="I8778" s="195" t="s">
        <v>1253</v>
      </c>
      <c r="J8778" s="191" t="s">
        <v>46</v>
      </c>
      <c r="K8778" s="196"/>
      <c r="L8778" s="196">
        <v>12549973.800000001</v>
      </c>
      <c r="N8778" s="130"/>
    </row>
    <row r="8779" spans="1:15" ht="11.25" customHeight="1" x14ac:dyDescent="0.2">
      <c r="A8779" s="197">
        <v>2025</v>
      </c>
      <c r="B8779" s="197">
        <v>6</v>
      </c>
      <c r="C8779" s="197">
        <v>25</v>
      </c>
      <c r="D8779" s="198">
        <f t="shared" si="1032"/>
        <v>45833</v>
      </c>
      <c r="E8779" s="199">
        <f t="shared" ref="E8779:E8782" si="1040">DATE(A8779,B8779,C8779)</f>
        <v>45833</v>
      </c>
      <c r="F8779" s="513" t="s">
        <v>2046</v>
      </c>
      <c r="G8779" s="200" t="s">
        <v>1209</v>
      </c>
      <c r="H8779" s="200"/>
      <c r="I8779" s="201" t="s">
        <v>1253</v>
      </c>
      <c r="J8779" s="376" t="s">
        <v>178</v>
      </c>
      <c r="K8779" s="377">
        <v>134104.5</v>
      </c>
      <c r="L8779" s="202"/>
    </row>
    <row r="8780" spans="1:15" ht="11.25" customHeight="1" x14ac:dyDescent="0.2">
      <c r="A8780" s="120">
        <v>2025</v>
      </c>
      <c r="B8780" s="120">
        <v>6</v>
      </c>
      <c r="C8780" s="120">
        <v>25</v>
      </c>
      <c r="D8780" s="208">
        <f t="shared" si="1032"/>
        <v>45833</v>
      </c>
      <c r="E8780" s="209">
        <f t="shared" si="1040"/>
        <v>45833</v>
      </c>
      <c r="F8780" s="515"/>
      <c r="G8780" s="132" t="s">
        <v>1209</v>
      </c>
      <c r="H8780" s="132"/>
      <c r="J8780" s="120" t="s">
        <v>71</v>
      </c>
      <c r="K8780" s="207">
        <v>75</v>
      </c>
      <c r="L8780" s="207"/>
    </row>
    <row r="8781" spans="1:15" ht="11.25" customHeight="1" x14ac:dyDescent="0.2">
      <c r="A8781" s="120">
        <v>2025</v>
      </c>
      <c r="B8781" s="120">
        <v>6</v>
      </c>
      <c r="C8781" s="120">
        <v>25</v>
      </c>
      <c r="D8781" s="208">
        <f t="shared" si="1032"/>
        <v>45833</v>
      </c>
      <c r="E8781" s="209">
        <f t="shared" si="1040"/>
        <v>45833</v>
      </c>
      <c r="F8781" s="515"/>
      <c r="G8781" s="132" t="s">
        <v>1209</v>
      </c>
      <c r="H8781" s="132"/>
      <c r="I8781" s="128" t="s">
        <v>1253</v>
      </c>
      <c r="J8781" s="120" t="s">
        <v>179</v>
      </c>
      <c r="K8781" s="207">
        <v>119056.8</v>
      </c>
      <c r="L8781" s="207"/>
    </row>
    <row r="8782" spans="1:15" ht="11.25" customHeight="1" x14ac:dyDescent="0.2">
      <c r="A8782" s="191">
        <v>2025</v>
      </c>
      <c r="B8782" s="191">
        <v>6</v>
      </c>
      <c r="C8782" s="191">
        <v>25</v>
      </c>
      <c r="D8782" s="192">
        <f t="shared" si="1032"/>
        <v>45833</v>
      </c>
      <c r="E8782" s="193">
        <f t="shared" si="1040"/>
        <v>45833</v>
      </c>
      <c r="F8782" s="514"/>
      <c r="G8782" s="194" t="s">
        <v>1209</v>
      </c>
      <c r="H8782" s="194"/>
      <c r="I8782" s="195"/>
      <c r="J8782" s="191" t="s">
        <v>1580</v>
      </c>
      <c r="K8782" s="196"/>
      <c r="L8782" s="196">
        <v>253236.3</v>
      </c>
    </row>
    <row r="8783" spans="1:15" ht="11.25" customHeight="1" x14ac:dyDescent="0.2">
      <c r="A8783" s="197">
        <v>2025</v>
      </c>
      <c r="B8783" s="197">
        <v>6</v>
      </c>
      <c r="C8783" s="197">
        <v>25</v>
      </c>
      <c r="D8783" s="198">
        <f t="shared" si="1032"/>
        <v>45833</v>
      </c>
      <c r="E8783" s="290">
        <f>DATE(A8783,B8783,C8783)</f>
        <v>45833</v>
      </c>
      <c r="F8783" s="513" t="s">
        <v>1514</v>
      </c>
      <c r="G8783" s="200" t="s">
        <v>1209</v>
      </c>
      <c r="H8783" s="201"/>
      <c r="I8783" s="201"/>
      <c r="J8783" s="197" t="s">
        <v>54</v>
      </c>
      <c r="K8783" s="202">
        <v>395</v>
      </c>
      <c r="L8783" s="202"/>
      <c r="M8783" s="251"/>
      <c r="N8783" s="251"/>
      <c r="O8783" s="251"/>
    </row>
    <row r="8784" spans="1:15" ht="11.25" customHeight="1" x14ac:dyDescent="0.2">
      <c r="A8784" s="191">
        <v>2025</v>
      </c>
      <c r="B8784" s="191">
        <v>6</v>
      </c>
      <c r="C8784" s="191">
        <v>25</v>
      </c>
      <c r="D8784" s="192">
        <f t="shared" si="1032"/>
        <v>45833</v>
      </c>
      <c r="E8784" s="291">
        <f>DATE(A8784,B8784,C8784)</f>
        <v>45833</v>
      </c>
      <c r="F8784" s="514"/>
      <c r="G8784" s="194" t="s">
        <v>1209</v>
      </c>
      <c r="H8784" s="195"/>
      <c r="I8784" s="195"/>
      <c r="J8784" s="191" t="s">
        <v>46</v>
      </c>
      <c r="K8784" s="196"/>
      <c r="L8784" s="196">
        <v>395</v>
      </c>
      <c r="M8784" s="251"/>
      <c r="N8784" s="251"/>
      <c r="O8784" s="251"/>
    </row>
    <row r="8785" spans="1:12" ht="11.25" customHeight="1" x14ac:dyDescent="0.2">
      <c r="A8785" s="197">
        <v>2025</v>
      </c>
      <c r="B8785" s="197">
        <v>6</v>
      </c>
      <c r="C8785" s="197">
        <v>25</v>
      </c>
      <c r="D8785" s="198">
        <f t="shared" si="1032"/>
        <v>45833</v>
      </c>
      <c r="E8785" s="209">
        <f t="shared" ref="E8785:E8802" si="1041">DATE(A8785,B8785,C8785)</f>
        <v>45833</v>
      </c>
      <c r="F8785" s="513" t="s">
        <v>1210</v>
      </c>
      <c r="G8785" s="200" t="s">
        <v>1209</v>
      </c>
      <c r="H8785" s="201"/>
      <c r="I8785" s="201"/>
      <c r="J8785" s="197" t="s">
        <v>46</v>
      </c>
      <c r="K8785" s="202">
        <v>50000</v>
      </c>
      <c r="L8785" s="202"/>
    </row>
    <row r="8786" spans="1:12" ht="11.25" customHeight="1" x14ac:dyDescent="0.2">
      <c r="A8786" s="120">
        <v>2025</v>
      </c>
      <c r="B8786" s="120">
        <v>6</v>
      </c>
      <c r="C8786" s="120">
        <v>25</v>
      </c>
      <c r="D8786" s="208">
        <f t="shared" si="1032"/>
        <v>45833</v>
      </c>
      <c r="E8786" s="209">
        <f t="shared" si="1041"/>
        <v>45833</v>
      </c>
      <c r="F8786" s="515"/>
      <c r="G8786" s="132" t="s">
        <v>1209</v>
      </c>
      <c r="J8786" s="120" t="s">
        <v>16</v>
      </c>
      <c r="K8786" s="207"/>
      <c r="L8786" s="207">
        <v>39870</v>
      </c>
    </row>
    <row r="8787" spans="1:12" ht="11.25" customHeight="1" x14ac:dyDescent="0.2">
      <c r="A8787" s="191">
        <v>2025</v>
      </c>
      <c r="B8787" s="191">
        <v>6</v>
      </c>
      <c r="C8787" s="191">
        <v>25</v>
      </c>
      <c r="D8787" s="192">
        <f t="shared" si="1032"/>
        <v>45833</v>
      </c>
      <c r="E8787" s="193">
        <f t="shared" si="1041"/>
        <v>45833</v>
      </c>
      <c r="F8787" s="514"/>
      <c r="G8787" s="194" t="s">
        <v>1209</v>
      </c>
      <c r="H8787" s="195"/>
      <c r="I8787" s="195"/>
      <c r="J8787" s="191" t="s">
        <v>47</v>
      </c>
      <c r="K8787" s="196"/>
      <c r="L8787" s="196">
        <v>10130</v>
      </c>
    </row>
    <row r="8788" spans="1:12" ht="11.25" customHeight="1" x14ac:dyDescent="0.2">
      <c r="A8788" s="197">
        <v>2025</v>
      </c>
      <c r="B8788" s="197">
        <v>6</v>
      </c>
      <c r="C8788" s="197">
        <v>25</v>
      </c>
      <c r="D8788" s="198">
        <f t="shared" si="1032"/>
        <v>45833</v>
      </c>
      <c r="E8788" s="209">
        <f t="shared" si="1041"/>
        <v>45833</v>
      </c>
      <c r="F8788" s="513" t="s">
        <v>1210</v>
      </c>
      <c r="G8788" s="200" t="s">
        <v>1209</v>
      </c>
      <c r="H8788" s="201"/>
      <c r="I8788" s="201"/>
      <c r="J8788" s="197" t="s">
        <v>46</v>
      </c>
      <c r="K8788" s="202">
        <v>500000</v>
      </c>
      <c r="L8788" s="202"/>
    </row>
    <row r="8789" spans="1:12" ht="11.25" customHeight="1" x14ac:dyDescent="0.2">
      <c r="A8789" s="120">
        <v>2025</v>
      </c>
      <c r="B8789" s="120">
        <v>6</v>
      </c>
      <c r="C8789" s="120">
        <v>25</v>
      </c>
      <c r="D8789" s="208">
        <f t="shared" si="1032"/>
        <v>45833</v>
      </c>
      <c r="E8789" s="209">
        <f t="shared" si="1041"/>
        <v>45833</v>
      </c>
      <c r="F8789" s="515"/>
      <c r="G8789" s="132" t="s">
        <v>1209</v>
      </c>
      <c r="J8789" s="120" t="s">
        <v>16</v>
      </c>
      <c r="K8789" s="207"/>
      <c r="L8789" s="207">
        <v>398690</v>
      </c>
    </row>
    <row r="8790" spans="1:12" ht="11.25" customHeight="1" x14ac:dyDescent="0.2">
      <c r="A8790" s="191">
        <v>2025</v>
      </c>
      <c r="B8790" s="191">
        <v>6</v>
      </c>
      <c r="C8790" s="191">
        <v>25</v>
      </c>
      <c r="D8790" s="192">
        <f t="shared" si="1032"/>
        <v>45833</v>
      </c>
      <c r="E8790" s="193">
        <f t="shared" si="1041"/>
        <v>45833</v>
      </c>
      <c r="F8790" s="514"/>
      <c r="G8790" s="194" t="s">
        <v>1209</v>
      </c>
      <c r="H8790" s="195"/>
      <c r="I8790" s="195"/>
      <c r="J8790" s="191" t="s">
        <v>47</v>
      </c>
      <c r="K8790" s="196"/>
      <c r="L8790" s="196">
        <v>101310</v>
      </c>
    </row>
    <row r="8791" spans="1:12" ht="11.25" customHeight="1" x14ac:dyDescent="0.2">
      <c r="A8791" s="197">
        <v>2025</v>
      </c>
      <c r="B8791" s="197">
        <v>6</v>
      </c>
      <c r="C8791" s="197">
        <v>25</v>
      </c>
      <c r="D8791" s="198">
        <f t="shared" si="1032"/>
        <v>45833</v>
      </c>
      <c r="E8791" s="209">
        <f t="shared" si="1041"/>
        <v>45833</v>
      </c>
      <c r="F8791" s="513" t="s">
        <v>1210</v>
      </c>
      <c r="G8791" s="200" t="s">
        <v>1209</v>
      </c>
      <c r="H8791" s="201"/>
      <c r="I8791" s="201"/>
      <c r="J8791" s="197" t="s">
        <v>46</v>
      </c>
      <c r="K8791" s="202">
        <v>500000</v>
      </c>
      <c r="L8791" s="202"/>
    </row>
    <row r="8792" spans="1:12" ht="11.25" customHeight="1" x14ac:dyDescent="0.2">
      <c r="A8792" s="120">
        <v>2025</v>
      </c>
      <c r="B8792" s="120">
        <v>6</v>
      </c>
      <c r="C8792" s="120">
        <v>25</v>
      </c>
      <c r="D8792" s="208">
        <f t="shared" si="1032"/>
        <v>45833</v>
      </c>
      <c r="E8792" s="209">
        <f t="shared" si="1041"/>
        <v>45833</v>
      </c>
      <c r="F8792" s="515"/>
      <c r="G8792" s="132" t="s">
        <v>1209</v>
      </c>
      <c r="J8792" s="120" t="s">
        <v>16</v>
      </c>
      <c r="K8792" s="207"/>
      <c r="L8792" s="207">
        <v>398690</v>
      </c>
    </row>
    <row r="8793" spans="1:12" ht="11.25" customHeight="1" x14ac:dyDescent="0.2">
      <c r="A8793" s="191">
        <v>2025</v>
      </c>
      <c r="B8793" s="191">
        <v>6</v>
      </c>
      <c r="C8793" s="191">
        <v>25</v>
      </c>
      <c r="D8793" s="192">
        <f t="shared" si="1032"/>
        <v>45833</v>
      </c>
      <c r="E8793" s="193">
        <f t="shared" si="1041"/>
        <v>45833</v>
      </c>
      <c r="F8793" s="514"/>
      <c r="G8793" s="194" t="s">
        <v>1209</v>
      </c>
      <c r="H8793" s="195"/>
      <c r="I8793" s="195"/>
      <c r="J8793" s="191" t="s">
        <v>47</v>
      </c>
      <c r="K8793" s="196"/>
      <c r="L8793" s="196">
        <v>101310</v>
      </c>
    </row>
    <row r="8794" spans="1:12" ht="11.25" customHeight="1" x14ac:dyDescent="0.2">
      <c r="A8794" s="197">
        <v>2025</v>
      </c>
      <c r="B8794" s="197">
        <v>6</v>
      </c>
      <c r="C8794" s="197">
        <v>25</v>
      </c>
      <c r="D8794" s="198">
        <f t="shared" si="1032"/>
        <v>45833</v>
      </c>
      <c r="E8794" s="209">
        <f t="shared" si="1041"/>
        <v>45833</v>
      </c>
      <c r="F8794" s="513" t="s">
        <v>1210</v>
      </c>
      <c r="G8794" s="200" t="s">
        <v>1209</v>
      </c>
      <c r="H8794" s="201"/>
      <c r="I8794" s="201"/>
      <c r="J8794" s="197" t="s">
        <v>46</v>
      </c>
      <c r="K8794" s="202">
        <v>500000</v>
      </c>
      <c r="L8794" s="202"/>
    </row>
    <row r="8795" spans="1:12" ht="11.25" customHeight="1" x14ac:dyDescent="0.2">
      <c r="A8795" s="120">
        <v>2025</v>
      </c>
      <c r="B8795" s="120">
        <v>6</v>
      </c>
      <c r="C8795" s="120">
        <v>25</v>
      </c>
      <c r="D8795" s="208">
        <f t="shared" si="1032"/>
        <v>45833</v>
      </c>
      <c r="E8795" s="209">
        <f t="shared" si="1041"/>
        <v>45833</v>
      </c>
      <c r="F8795" s="515"/>
      <c r="G8795" s="132" t="s">
        <v>1209</v>
      </c>
      <c r="J8795" s="120" t="s">
        <v>16</v>
      </c>
      <c r="K8795" s="207"/>
      <c r="L8795" s="207">
        <v>398690</v>
      </c>
    </row>
    <row r="8796" spans="1:12" ht="11.25" customHeight="1" x14ac:dyDescent="0.2">
      <c r="A8796" s="191">
        <v>2025</v>
      </c>
      <c r="B8796" s="191">
        <v>6</v>
      </c>
      <c r="C8796" s="191">
        <v>25</v>
      </c>
      <c r="D8796" s="192">
        <f t="shared" si="1032"/>
        <v>45833</v>
      </c>
      <c r="E8796" s="193">
        <f t="shared" si="1041"/>
        <v>45833</v>
      </c>
      <c r="F8796" s="514"/>
      <c r="G8796" s="194" t="s">
        <v>1209</v>
      </c>
      <c r="H8796" s="195"/>
      <c r="I8796" s="195"/>
      <c r="J8796" s="191" t="s">
        <v>47</v>
      </c>
      <c r="K8796" s="196"/>
      <c r="L8796" s="196">
        <v>101310</v>
      </c>
    </row>
    <row r="8797" spans="1:12" ht="11.25" customHeight="1" x14ac:dyDescent="0.2">
      <c r="A8797" s="197">
        <v>2025</v>
      </c>
      <c r="B8797" s="197">
        <v>6</v>
      </c>
      <c r="C8797" s="197">
        <v>25</v>
      </c>
      <c r="D8797" s="198">
        <f t="shared" si="1032"/>
        <v>45833</v>
      </c>
      <c r="E8797" s="209">
        <f t="shared" si="1041"/>
        <v>45833</v>
      </c>
      <c r="F8797" s="513" t="s">
        <v>1210</v>
      </c>
      <c r="G8797" s="200" t="s">
        <v>1209</v>
      </c>
      <c r="H8797" s="201"/>
      <c r="I8797" s="201"/>
      <c r="J8797" s="197" t="s">
        <v>46</v>
      </c>
      <c r="K8797" s="202">
        <v>500000</v>
      </c>
      <c r="L8797" s="202"/>
    </row>
    <row r="8798" spans="1:12" ht="11.25" customHeight="1" x14ac:dyDescent="0.2">
      <c r="A8798" s="120">
        <v>2025</v>
      </c>
      <c r="B8798" s="120">
        <v>6</v>
      </c>
      <c r="C8798" s="120">
        <v>25</v>
      </c>
      <c r="D8798" s="208">
        <f t="shared" si="1032"/>
        <v>45833</v>
      </c>
      <c r="E8798" s="209">
        <f t="shared" si="1041"/>
        <v>45833</v>
      </c>
      <c r="F8798" s="515"/>
      <c r="G8798" s="132" t="s">
        <v>1209</v>
      </c>
      <c r="J8798" s="120" t="s">
        <v>16</v>
      </c>
      <c r="K8798" s="207"/>
      <c r="L8798" s="207">
        <v>398690</v>
      </c>
    </row>
    <row r="8799" spans="1:12" ht="11.25" customHeight="1" x14ac:dyDescent="0.2">
      <c r="A8799" s="191">
        <v>2025</v>
      </c>
      <c r="B8799" s="191">
        <v>6</v>
      </c>
      <c r="C8799" s="191">
        <v>25</v>
      </c>
      <c r="D8799" s="192">
        <f t="shared" si="1032"/>
        <v>45833</v>
      </c>
      <c r="E8799" s="193">
        <f t="shared" si="1041"/>
        <v>45833</v>
      </c>
      <c r="F8799" s="514"/>
      <c r="G8799" s="194" t="s">
        <v>1209</v>
      </c>
      <c r="H8799" s="195"/>
      <c r="I8799" s="195"/>
      <c r="J8799" s="191" t="s">
        <v>47</v>
      </c>
      <c r="K8799" s="196"/>
      <c r="L8799" s="196">
        <v>101310</v>
      </c>
    </row>
    <row r="8800" spans="1:12" ht="11.25" customHeight="1" x14ac:dyDescent="0.2">
      <c r="A8800" s="197">
        <v>2025</v>
      </c>
      <c r="B8800" s="197">
        <v>6</v>
      </c>
      <c r="C8800" s="197">
        <v>25</v>
      </c>
      <c r="D8800" s="198">
        <f t="shared" si="1032"/>
        <v>45833</v>
      </c>
      <c r="E8800" s="209">
        <f t="shared" si="1041"/>
        <v>45833</v>
      </c>
      <c r="F8800" s="513" t="s">
        <v>1210</v>
      </c>
      <c r="G8800" s="200" t="s">
        <v>1209</v>
      </c>
      <c r="H8800" s="201"/>
      <c r="I8800" s="201"/>
      <c r="J8800" s="197" t="s">
        <v>46</v>
      </c>
      <c r="K8800" s="202">
        <v>500000</v>
      </c>
      <c r="L8800" s="202"/>
    </row>
    <row r="8801" spans="1:12" ht="11.25" customHeight="1" x14ac:dyDescent="0.2">
      <c r="A8801" s="120">
        <v>2025</v>
      </c>
      <c r="B8801" s="120">
        <v>6</v>
      </c>
      <c r="C8801" s="120">
        <v>25</v>
      </c>
      <c r="D8801" s="208">
        <f t="shared" si="1032"/>
        <v>45833</v>
      </c>
      <c r="E8801" s="209">
        <f t="shared" si="1041"/>
        <v>45833</v>
      </c>
      <c r="F8801" s="515"/>
      <c r="G8801" s="132" t="s">
        <v>1209</v>
      </c>
      <c r="J8801" s="120" t="s">
        <v>16</v>
      </c>
      <c r="K8801" s="207"/>
      <c r="L8801" s="207">
        <v>398690</v>
      </c>
    </row>
    <row r="8802" spans="1:12" ht="11.25" customHeight="1" x14ac:dyDescent="0.2">
      <c r="A8802" s="191">
        <v>2025</v>
      </c>
      <c r="B8802" s="191">
        <v>6</v>
      </c>
      <c r="C8802" s="191">
        <v>25</v>
      </c>
      <c r="D8802" s="192">
        <f t="shared" si="1032"/>
        <v>45833</v>
      </c>
      <c r="E8802" s="193">
        <f t="shared" si="1041"/>
        <v>45833</v>
      </c>
      <c r="F8802" s="514"/>
      <c r="G8802" s="194" t="s">
        <v>1209</v>
      </c>
      <c r="H8802" s="195"/>
      <c r="I8802" s="195"/>
      <c r="J8802" s="191" t="s">
        <v>47</v>
      </c>
      <c r="K8802" s="196"/>
      <c r="L8802" s="196">
        <v>101310</v>
      </c>
    </row>
    <row r="8803" spans="1:12" ht="11.25" customHeight="1" x14ac:dyDescent="0.2">
      <c r="A8803" s="197">
        <v>2025</v>
      </c>
      <c r="B8803" s="197">
        <v>6</v>
      </c>
      <c r="C8803" s="197">
        <v>25</v>
      </c>
      <c r="D8803" s="198">
        <f t="shared" si="1032"/>
        <v>45833</v>
      </c>
      <c r="E8803" s="209">
        <f t="shared" ref="E8803:E8805" si="1042">DATE(A8803,B8803,C8803)</f>
        <v>45833</v>
      </c>
      <c r="F8803" s="513" t="s">
        <v>1210</v>
      </c>
      <c r="G8803" s="200" t="s">
        <v>1209</v>
      </c>
      <c r="H8803" s="201"/>
      <c r="I8803" s="201"/>
      <c r="J8803" s="197" t="s">
        <v>46</v>
      </c>
      <c r="K8803" s="202">
        <v>500000</v>
      </c>
      <c r="L8803" s="202"/>
    </row>
    <row r="8804" spans="1:12" ht="11.25" customHeight="1" x14ac:dyDescent="0.2">
      <c r="A8804" s="120">
        <v>2025</v>
      </c>
      <c r="B8804" s="120">
        <v>6</v>
      </c>
      <c r="C8804" s="120">
        <v>25</v>
      </c>
      <c r="D8804" s="208">
        <f t="shared" si="1032"/>
        <v>45833</v>
      </c>
      <c r="E8804" s="209">
        <f t="shared" si="1042"/>
        <v>45833</v>
      </c>
      <c r="F8804" s="515"/>
      <c r="G8804" s="132" t="s">
        <v>1209</v>
      </c>
      <c r="J8804" s="120" t="s">
        <v>16</v>
      </c>
      <c r="K8804" s="207"/>
      <c r="L8804" s="207">
        <v>398690</v>
      </c>
    </row>
    <row r="8805" spans="1:12" ht="11.25" customHeight="1" x14ac:dyDescent="0.2">
      <c r="A8805" s="191">
        <v>2025</v>
      </c>
      <c r="B8805" s="191">
        <v>6</v>
      </c>
      <c r="C8805" s="191">
        <v>25</v>
      </c>
      <c r="D8805" s="192">
        <f t="shared" si="1032"/>
        <v>45833</v>
      </c>
      <c r="E8805" s="193">
        <f t="shared" si="1042"/>
        <v>45833</v>
      </c>
      <c r="F8805" s="514"/>
      <c r="G8805" s="194" t="s">
        <v>1209</v>
      </c>
      <c r="H8805" s="195"/>
      <c r="I8805" s="195"/>
      <c r="J8805" s="191" t="s">
        <v>47</v>
      </c>
      <c r="K8805" s="196"/>
      <c r="L8805" s="196">
        <v>101310</v>
      </c>
    </row>
    <row r="8806" spans="1:12" ht="11.25" customHeight="1" x14ac:dyDescent="0.2">
      <c r="A8806" s="197">
        <v>2025</v>
      </c>
      <c r="B8806" s="197">
        <v>6</v>
      </c>
      <c r="C8806" s="197">
        <v>25</v>
      </c>
      <c r="D8806" s="198">
        <f t="shared" si="1032"/>
        <v>45833</v>
      </c>
      <c r="E8806" s="209">
        <f t="shared" ref="E8806:E8808" si="1043">DATE(A8806,B8806,C8806)</f>
        <v>45833</v>
      </c>
      <c r="F8806" s="513" t="s">
        <v>1210</v>
      </c>
      <c r="G8806" s="200" t="s">
        <v>1209</v>
      </c>
      <c r="H8806" s="201"/>
      <c r="I8806" s="201"/>
      <c r="J8806" s="197" t="s">
        <v>46</v>
      </c>
      <c r="K8806" s="202">
        <v>300000</v>
      </c>
      <c r="L8806" s="202"/>
    </row>
    <row r="8807" spans="1:12" ht="11.25" customHeight="1" x14ac:dyDescent="0.2">
      <c r="A8807" s="120">
        <v>2025</v>
      </c>
      <c r="B8807" s="120">
        <v>6</v>
      </c>
      <c r="C8807" s="120">
        <v>25</v>
      </c>
      <c r="D8807" s="208">
        <f t="shared" si="1032"/>
        <v>45833</v>
      </c>
      <c r="E8807" s="209">
        <f t="shared" si="1043"/>
        <v>45833</v>
      </c>
      <c r="F8807" s="515"/>
      <c r="G8807" s="132" t="s">
        <v>1209</v>
      </c>
      <c r="J8807" s="120" t="s">
        <v>16</v>
      </c>
      <c r="K8807" s="207"/>
      <c r="L8807" s="207">
        <v>239220</v>
      </c>
    </row>
    <row r="8808" spans="1:12" ht="11.25" customHeight="1" x14ac:dyDescent="0.2">
      <c r="A8808" s="191">
        <v>2025</v>
      </c>
      <c r="B8808" s="191">
        <v>6</v>
      </c>
      <c r="C8808" s="191">
        <v>25</v>
      </c>
      <c r="D8808" s="192">
        <f t="shared" si="1032"/>
        <v>45833</v>
      </c>
      <c r="E8808" s="193">
        <f t="shared" si="1043"/>
        <v>45833</v>
      </c>
      <c r="F8808" s="514"/>
      <c r="G8808" s="194" t="s">
        <v>1209</v>
      </c>
      <c r="H8808" s="195"/>
      <c r="I8808" s="195"/>
      <c r="J8808" s="191" t="s">
        <v>47</v>
      </c>
      <c r="K8808" s="196"/>
      <c r="L8808" s="196">
        <v>60780</v>
      </c>
    </row>
    <row r="8809" spans="1:12" ht="11.25" customHeight="1" x14ac:dyDescent="0.2">
      <c r="A8809" s="197">
        <v>2025</v>
      </c>
      <c r="B8809" s="197">
        <v>6</v>
      </c>
      <c r="C8809" s="197">
        <v>25</v>
      </c>
      <c r="D8809" s="198">
        <f t="shared" si="1032"/>
        <v>45833</v>
      </c>
      <c r="E8809" s="209">
        <f t="shared" ref="E8809:E8811" si="1044">DATE(A8809,B8809,C8809)</f>
        <v>45833</v>
      </c>
      <c r="F8809" s="513" t="s">
        <v>1210</v>
      </c>
      <c r="G8809" s="200" t="s">
        <v>1209</v>
      </c>
      <c r="H8809" s="201"/>
      <c r="I8809" s="201"/>
      <c r="J8809" s="197" t="s">
        <v>46</v>
      </c>
      <c r="K8809" s="202">
        <v>500000</v>
      </c>
      <c r="L8809" s="202"/>
    </row>
    <row r="8810" spans="1:12" ht="11.25" customHeight="1" x14ac:dyDescent="0.2">
      <c r="A8810" s="120">
        <v>2025</v>
      </c>
      <c r="B8810" s="120">
        <v>6</v>
      </c>
      <c r="C8810" s="120">
        <v>25</v>
      </c>
      <c r="D8810" s="208">
        <f t="shared" si="1032"/>
        <v>45833</v>
      </c>
      <c r="E8810" s="209">
        <f t="shared" si="1044"/>
        <v>45833</v>
      </c>
      <c r="F8810" s="515"/>
      <c r="G8810" s="132" t="s">
        <v>1209</v>
      </c>
      <c r="J8810" s="120" t="s">
        <v>16</v>
      </c>
      <c r="K8810" s="207"/>
      <c r="L8810" s="207">
        <v>398690</v>
      </c>
    </row>
    <row r="8811" spans="1:12" ht="11.25" customHeight="1" x14ac:dyDescent="0.2">
      <c r="A8811" s="191">
        <v>2025</v>
      </c>
      <c r="B8811" s="191">
        <v>6</v>
      </c>
      <c r="C8811" s="191">
        <v>25</v>
      </c>
      <c r="D8811" s="192">
        <f t="shared" si="1032"/>
        <v>45833</v>
      </c>
      <c r="E8811" s="193">
        <f t="shared" si="1044"/>
        <v>45833</v>
      </c>
      <c r="F8811" s="514"/>
      <c r="G8811" s="194" t="s">
        <v>1209</v>
      </c>
      <c r="H8811" s="195"/>
      <c r="I8811" s="195"/>
      <c r="J8811" s="191" t="s">
        <v>47</v>
      </c>
      <c r="K8811" s="196"/>
      <c r="L8811" s="196">
        <v>101310</v>
      </c>
    </row>
    <row r="8812" spans="1:12" ht="11.25" customHeight="1" x14ac:dyDescent="0.2">
      <c r="A8812" s="197">
        <v>2025</v>
      </c>
      <c r="B8812" s="197">
        <v>6</v>
      </c>
      <c r="C8812" s="197">
        <v>25</v>
      </c>
      <c r="D8812" s="198">
        <f t="shared" ref="D8812:D8875" si="1045">DATE(A8812,B8812,C8812)</f>
        <v>45833</v>
      </c>
      <c r="E8812" s="209">
        <f t="shared" ref="E8812:E8814" si="1046">DATE(A8812,B8812,C8812)</f>
        <v>45833</v>
      </c>
      <c r="F8812" s="513" t="s">
        <v>1210</v>
      </c>
      <c r="G8812" s="200" t="s">
        <v>1209</v>
      </c>
      <c r="H8812" s="201"/>
      <c r="I8812" s="201"/>
      <c r="J8812" s="197" t="s">
        <v>46</v>
      </c>
      <c r="K8812" s="202">
        <v>250000</v>
      </c>
      <c r="L8812" s="202"/>
    </row>
    <row r="8813" spans="1:12" ht="11.25" customHeight="1" x14ac:dyDescent="0.2">
      <c r="A8813" s="120">
        <v>2025</v>
      </c>
      <c r="B8813" s="120">
        <v>6</v>
      </c>
      <c r="C8813" s="120">
        <v>25</v>
      </c>
      <c r="D8813" s="208">
        <f t="shared" si="1045"/>
        <v>45833</v>
      </c>
      <c r="E8813" s="209">
        <f t="shared" si="1046"/>
        <v>45833</v>
      </c>
      <c r="F8813" s="515"/>
      <c r="G8813" s="132" t="s">
        <v>1209</v>
      </c>
      <c r="J8813" s="120" t="s">
        <v>16</v>
      </c>
      <c r="K8813" s="207"/>
      <c r="L8813" s="207">
        <v>199350</v>
      </c>
    </row>
    <row r="8814" spans="1:12" ht="11.25" customHeight="1" x14ac:dyDescent="0.2">
      <c r="A8814" s="191">
        <v>2025</v>
      </c>
      <c r="B8814" s="191">
        <v>6</v>
      </c>
      <c r="C8814" s="191">
        <v>25</v>
      </c>
      <c r="D8814" s="192">
        <f t="shared" si="1045"/>
        <v>45833</v>
      </c>
      <c r="E8814" s="193">
        <f t="shared" si="1046"/>
        <v>45833</v>
      </c>
      <c r="F8814" s="514"/>
      <c r="G8814" s="194" t="s">
        <v>1209</v>
      </c>
      <c r="H8814" s="195"/>
      <c r="I8814" s="195"/>
      <c r="J8814" s="191" t="s">
        <v>47</v>
      </c>
      <c r="K8814" s="196"/>
      <c r="L8814" s="196">
        <v>50650</v>
      </c>
    </row>
    <row r="8815" spans="1:12" ht="11.25" customHeight="1" x14ac:dyDescent="0.2">
      <c r="A8815" s="197">
        <v>2025</v>
      </c>
      <c r="B8815" s="197">
        <v>6</v>
      </c>
      <c r="C8815" s="197">
        <v>25</v>
      </c>
      <c r="D8815" s="198">
        <f t="shared" si="1045"/>
        <v>45833</v>
      </c>
      <c r="E8815" s="209">
        <f t="shared" ref="E8815:E8817" si="1047">DATE(A8815,B8815,C8815)</f>
        <v>45833</v>
      </c>
      <c r="F8815" s="513" t="s">
        <v>1210</v>
      </c>
      <c r="G8815" s="200" t="s">
        <v>1209</v>
      </c>
      <c r="H8815" s="201"/>
      <c r="I8815" s="201"/>
      <c r="J8815" s="197" t="s">
        <v>46</v>
      </c>
      <c r="K8815" s="202">
        <v>100000</v>
      </c>
      <c r="L8815" s="202"/>
    </row>
    <row r="8816" spans="1:12" ht="11.25" customHeight="1" x14ac:dyDescent="0.2">
      <c r="A8816" s="120">
        <v>2025</v>
      </c>
      <c r="B8816" s="120">
        <v>6</v>
      </c>
      <c r="C8816" s="120">
        <v>25</v>
      </c>
      <c r="D8816" s="208">
        <f t="shared" si="1045"/>
        <v>45833</v>
      </c>
      <c r="E8816" s="209">
        <f t="shared" si="1047"/>
        <v>45833</v>
      </c>
      <c r="F8816" s="515"/>
      <c r="G8816" s="132" t="s">
        <v>1209</v>
      </c>
      <c r="J8816" s="120" t="s">
        <v>16</v>
      </c>
      <c r="K8816" s="207"/>
      <c r="L8816" s="207">
        <v>79740</v>
      </c>
    </row>
    <row r="8817" spans="1:12" ht="11.25" customHeight="1" x14ac:dyDescent="0.2">
      <c r="A8817" s="191">
        <v>2025</v>
      </c>
      <c r="B8817" s="191">
        <v>6</v>
      </c>
      <c r="C8817" s="191">
        <v>25</v>
      </c>
      <c r="D8817" s="192">
        <f t="shared" si="1045"/>
        <v>45833</v>
      </c>
      <c r="E8817" s="193">
        <f t="shared" si="1047"/>
        <v>45833</v>
      </c>
      <c r="F8817" s="514"/>
      <c r="G8817" s="194" t="s">
        <v>1209</v>
      </c>
      <c r="H8817" s="195"/>
      <c r="I8817" s="195"/>
      <c r="J8817" s="191" t="s">
        <v>47</v>
      </c>
      <c r="K8817" s="196"/>
      <c r="L8817" s="196">
        <v>20260</v>
      </c>
    </row>
    <row r="8818" spans="1:12" ht="11.25" customHeight="1" x14ac:dyDescent="0.2">
      <c r="A8818" s="197">
        <v>2025</v>
      </c>
      <c r="B8818" s="197">
        <v>6</v>
      </c>
      <c r="C8818" s="197">
        <v>25</v>
      </c>
      <c r="D8818" s="198">
        <f t="shared" si="1045"/>
        <v>45833</v>
      </c>
      <c r="E8818" s="209">
        <f t="shared" ref="E8818:E8820" si="1048">DATE(A8818,B8818,C8818)</f>
        <v>45833</v>
      </c>
      <c r="F8818" s="513" t="s">
        <v>1210</v>
      </c>
      <c r="G8818" s="200" t="s">
        <v>1209</v>
      </c>
      <c r="H8818" s="201"/>
      <c r="I8818" s="201"/>
      <c r="J8818" s="197" t="s">
        <v>46</v>
      </c>
      <c r="K8818" s="202">
        <v>200000</v>
      </c>
      <c r="L8818" s="202"/>
    </row>
    <row r="8819" spans="1:12" ht="11.25" customHeight="1" x14ac:dyDescent="0.2">
      <c r="A8819" s="120">
        <v>2025</v>
      </c>
      <c r="B8819" s="120">
        <v>6</v>
      </c>
      <c r="C8819" s="120">
        <v>25</v>
      </c>
      <c r="D8819" s="208">
        <f t="shared" si="1045"/>
        <v>45833</v>
      </c>
      <c r="E8819" s="209">
        <f t="shared" si="1048"/>
        <v>45833</v>
      </c>
      <c r="F8819" s="515"/>
      <c r="G8819" s="132" t="s">
        <v>1209</v>
      </c>
      <c r="J8819" s="120" t="s">
        <v>16</v>
      </c>
      <c r="K8819" s="207"/>
      <c r="L8819" s="207">
        <v>159480</v>
      </c>
    </row>
    <row r="8820" spans="1:12" ht="11.25" customHeight="1" x14ac:dyDescent="0.2">
      <c r="A8820" s="191">
        <v>2025</v>
      </c>
      <c r="B8820" s="191">
        <v>6</v>
      </c>
      <c r="C8820" s="191">
        <v>25</v>
      </c>
      <c r="D8820" s="192">
        <f t="shared" si="1045"/>
        <v>45833</v>
      </c>
      <c r="E8820" s="193">
        <f t="shared" si="1048"/>
        <v>45833</v>
      </c>
      <c r="F8820" s="514"/>
      <c r="G8820" s="194" t="s">
        <v>1209</v>
      </c>
      <c r="H8820" s="195"/>
      <c r="I8820" s="195"/>
      <c r="J8820" s="191" t="s">
        <v>47</v>
      </c>
      <c r="K8820" s="196"/>
      <c r="L8820" s="196">
        <v>40520</v>
      </c>
    </row>
    <row r="8821" spans="1:12" ht="11.25" customHeight="1" x14ac:dyDescent="0.2">
      <c r="A8821" s="197">
        <v>2025</v>
      </c>
      <c r="B8821" s="197">
        <v>6</v>
      </c>
      <c r="C8821" s="197">
        <v>25</v>
      </c>
      <c r="D8821" s="198">
        <f t="shared" si="1045"/>
        <v>45833</v>
      </c>
      <c r="E8821" s="209">
        <f t="shared" ref="E8821:E8823" si="1049">DATE(A8821,B8821,C8821)</f>
        <v>45833</v>
      </c>
      <c r="F8821" s="513" t="s">
        <v>1210</v>
      </c>
      <c r="G8821" s="200" t="s">
        <v>1209</v>
      </c>
      <c r="H8821" s="201"/>
      <c r="I8821" s="201"/>
      <c r="J8821" s="197" t="s">
        <v>46</v>
      </c>
      <c r="K8821" s="202">
        <v>200000</v>
      </c>
      <c r="L8821" s="202"/>
    </row>
    <row r="8822" spans="1:12" ht="11.25" customHeight="1" x14ac:dyDescent="0.2">
      <c r="A8822" s="120">
        <v>2025</v>
      </c>
      <c r="B8822" s="120">
        <v>6</v>
      </c>
      <c r="C8822" s="120">
        <v>25</v>
      </c>
      <c r="D8822" s="208">
        <f t="shared" si="1045"/>
        <v>45833</v>
      </c>
      <c r="E8822" s="209">
        <f t="shared" si="1049"/>
        <v>45833</v>
      </c>
      <c r="F8822" s="515"/>
      <c r="G8822" s="132" t="s">
        <v>1209</v>
      </c>
      <c r="J8822" s="120" t="s">
        <v>16</v>
      </c>
      <c r="K8822" s="207"/>
      <c r="L8822" s="207">
        <v>159480</v>
      </c>
    </row>
    <row r="8823" spans="1:12" ht="11.25" customHeight="1" x14ac:dyDescent="0.2">
      <c r="A8823" s="191">
        <v>2025</v>
      </c>
      <c r="B8823" s="191">
        <v>6</v>
      </c>
      <c r="C8823" s="191">
        <v>25</v>
      </c>
      <c r="D8823" s="192">
        <f t="shared" si="1045"/>
        <v>45833</v>
      </c>
      <c r="E8823" s="193">
        <f t="shared" si="1049"/>
        <v>45833</v>
      </c>
      <c r="F8823" s="514"/>
      <c r="G8823" s="194" t="s">
        <v>1209</v>
      </c>
      <c r="H8823" s="195"/>
      <c r="I8823" s="195"/>
      <c r="J8823" s="191" t="s">
        <v>47</v>
      </c>
      <c r="K8823" s="196"/>
      <c r="L8823" s="196">
        <v>40520</v>
      </c>
    </row>
    <row r="8824" spans="1:12" ht="11.25" customHeight="1" x14ac:dyDescent="0.2">
      <c r="A8824" s="197">
        <v>2025</v>
      </c>
      <c r="B8824" s="197">
        <v>6</v>
      </c>
      <c r="C8824" s="197">
        <v>25</v>
      </c>
      <c r="D8824" s="198">
        <f t="shared" si="1045"/>
        <v>45833</v>
      </c>
      <c r="E8824" s="209">
        <f t="shared" ref="E8824:E8826" si="1050">DATE(A8824,B8824,C8824)</f>
        <v>45833</v>
      </c>
      <c r="F8824" s="513" t="s">
        <v>1210</v>
      </c>
      <c r="G8824" s="200" t="s">
        <v>1209</v>
      </c>
      <c r="H8824" s="201"/>
      <c r="I8824" s="201"/>
      <c r="J8824" s="197" t="s">
        <v>46</v>
      </c>
      <c r="K8824" s="202">
        <v>500000</v>
      </c>
      <c r="L8824" s="202"/>
    </row>
    <row r="8825" spans="1:12" ht="11.25" customHeight="1" x14ac:dyDescent="0.2">
      <c r="A8825" s="120">
        <v>2025</v>
      </c>
      <c r="B8825" s="120">
        <v>6</v>
      </c>
      <c r="C8825" s="120">
        <v>25</v>
      </c>
      <c r="D8825" s="208">
        <f t="shared" si="1045"/>
        <v>45833</v>
      </c>
      <c r="E8825" s="209">
        <f t="shared" si="1050"/>
        <v>45833</v>
      </c>
      <c r="F8825" s="515"/>
      <c r="G8825" s="132" t="s">
        <v>1209</v>
      </c>
      <c r="J8825" s="120" t="s">
        <v>16</v>
      </c>
      <c r="K8825" s="207"/>
      <c r="L8825" s="207">
        <v>398690</v>
      </c>
    </row>
    <row r="8826" spans="1:12" ht="11.25" customHeight="1" x14ac:dyDescent="0.2">
      <c r="A8826" s="191">
        <v>2025</v>
      </c>
      <c r="B8826" s="191">
        <v>6</v>
      </c>
      <c r="C8826" s="191">
        <v>25</v>
      </c>
      <c r="D8826" s="192">
        <f t="shared" si="1045"/>
        <v>45833</v>
      </c>
      <c r="E8826" s="193">
        <f t="shared" si="1050"/>
        <v>45833</v>
      </c>
      <c r="F8826" s="514"/>
      <c r="G8826" s="194" t="s">
        <v>1209</v>
      </c>
      <c r="H8826" s="195"/>
      <c r="I8826" s="195"/>
      <c r="J8826" s="191" t="s">
        <v>47</v>
      </c>
      <c r="K8826" s="196"/>
      <c r="L8826" s="196">
        <v>101310</v>
      </c>
    </row>
    <row r="8827" spans="1:12" ht="11.25" customHeight="1" x14ac:dyDescent="0.2">
      <c r="A8827" s="197">
        <v>2025</v>
      </c>
      <c r="B8827" s="197">
        <v>6</v>
      </c>
      <c r="C8827" s="197">
        <v>25</v>
      </c>
      <c r="D8827" s="198">
        <f t="shared" si="1045"/>
        <v>45833</v>
      </c>
      <c r="E8827" s="209">
        <f t="shared" ref="E8827:E8829" si="1051">DATE(A8827,B8827,C8827)</f>
        <v>45833</v>
      </c>
      <c r="F8827" s="513" t="s">
        <v>1210</v>
      </c>
      <c r="G8827" s="200" t="s">
        <v>1209</v>
      </c>
      <c r="H8827" s="201"/>
      <c r="I8827" s="201"/>
      <c r="J8827" s="197" t="s">
        <v>46</v>
      </c>
      <c r="K8827" s="202">
        <v>50000</v>
      </c>
      <c r="L8827" s="202"/>
    </row>
    <row r="8828" spans="1:12" ht="11.25" customHeight="1" x14ac:dyDescent="0.2">
      <c r="A8828" s="120">
        <v>2025</v>
      </c>
      <c r="B8828" s="120">
        <v>6</v>
      </c>
      <c r="C8828" s="120">
        <v>25</v>
      </c>
      <c r="D8828" s="208">
        <f t="shared" si="1045"/>
        <v>45833</v>
      </c>
      <c r="E8828" s="209">
        <f t="shared" si="1051"/>
        <v>45833</v>
      </c>
      <c r="F8828" s="515"/>
      <c r="G8828" s="132" t="s">
        <v>1209</v>
      </c>
      <c r="J8828" s="120" t="s">
        <v>16</v>
      </c>
      <c r="K8828" s="207"/>
      <c r="L8828" s="207">
        <v>39870</v>
      </c>
    </row>
    <row r="8829" spans="1:12" ht="11.25" customHeight="1" x14ac:dyDescent="0.2">
      <c r="A8829" s="191">
        <v>2025</v>
      </c>
      <c r="B8829" s="191">
        <v>6</v>
      </c>
      <c r="C8829" s="191">
        <v>25</v>
      </c>
      <c r="D8829" s="192">
        <f t="shared" si="1045"/>
        <v>45833</v>
      </c>
      <c r="E8829" s="193">
        <f t="shared" si="1051"/>
        <v>45833</v>
      </c>
      <c r="F8829" s="514"/>
      <c r="G8829" s="194" t="s">
        <v>1209</v>
      </c>
      <c r="H8829" s="195"/>
      <c r="I8829" s="195"/>
      <c r="J8829" s="191" t="s">
        <v>47</v>
      </c>
      <c r="K8829" s="196"/>
      <c r="L8829" s="196">
        <v>10130</v>
      </c>
    </row>
    <row r="8830" spans="1:12" ht="11.25" customHeight="1" x14ac:dyDescent="0.2">
      <c r="A8830" s="197">
        <v>2025</v>
      </c>
      <c r="B8830" s="197">
        <v>6</v>
      </c>
      <c r="C8830" s="197">
        <v>25</v>
      </c>
      <c r="D8830" s="198">
        <f t="shared" si="1045"/>
        <v>45833</v>
      </c>
      <c r="E8830" s="209">
        <f t="shared" ref="E8830:E8832" si="1052">DATE(A8830,B8830,C8830)</f>
        <v>45833</v>
      </c>
      <c r="F8830" s="513" t="s">
        <v>1210</v>
      </c>
      <c r="G8830" s="200" t="s">
        <v>1209</v>
      </c>
      <c r="H8830" s="201"/>
      <c r="I8830" s="201"/>
      <c r="J8830" s="197" t="s">
        <v>46</v>
      </c>
      <c r="K8830" s="202">
        <v>250000</v>
      </c>
      <c r="L8830" s="202"/>
    </row>
    <row r="8831" spans="1:12" ht="11.25" customHeight="1" x14ac:dyDescent="0.2">
      <c r="A8831" s="120">
        <v>2025</v>
      </c>
      <c r="B8831" s="120">
        <v>6</v>
      </c>
      <c r="C8831" s="120">
        <v>25</v>
      </c>
      <c r="D8831" s="208">
        <f t="shared" si="1045"/>
        <v>45833</v>
      </c>
      <c r="E8831" s="209">
        <f t="shared" si="1052"/>
        <v>45833</v>
      </c>
      <c r="F8831" s="515"/>
      <c r="G8831" s="132" t="s">
        <v>1209</v>
      </c>
      <c r="J8831" s="120" t="s">
        <v>16</v>
      </c>
      <c r="K8831" s="207"/>
      <c r="L8831" s="207">
        <v>199350</v>
      </c>
    </row>
    <row r="8832" spans="1:12" ht="11.25" customHeight="1" x14ac:dyDescent="0.2">
      <c r="A8832" s="191">
        <v>2025</v>
      </c>
      <c r="B8832" s="191">
        <v>6</v>
      </c>
      <c r="C8832" s="191">
        <v>25</v>
      </c>
      <c r="D8832" s="192">
        <f t="shared" si="1045"/>
        <v>45833</v>
      </c>
      <c r="E8832" s="193">
        <f t="shared" si="1052"/>
        <v>45833</v>
      </c>
      <c r="F8832" s="514"/>
      <c r="G8832" s="194" t="s">
        <v>1209</v>
      </c>
      <c r="H8832" s="195"/>
      <c r="I8832" s="195"/>
      <c r="J8832" s="191" t="s">
        <v>47</v>
      </c>
      <c r="K8832" s="196"/>
      <c r="L8832" s="196">
        <v>50650</v>
      </c>
    </row>
    <row r="8833" spans="1:12" ht="11.25" customHeight="1" x14ac:dyDescent="0.2">
      <c r="A8833" s="197">
        <v>2025</v>
      </c>
      <c r="B8833" s="197">
        <v>6</v>
      </c>
      <c r="C8833" s="197">
        <v>26</v>
      </c>
      <c r="D8833" s="198">
        <f t="shared" si="1045"/>
        <v>45834</v>
      </c>
      <c r="E8833" s="209">
        <f t="shared" ref="E8833:E8844" si="1053">DATE(A8833,B8833,C8833)</f>
        <v>45834</v>
      </c>
      <c r="F8833" s="513" t="s">
        <v>1296</v>
      </c>
      <c r="G8833" s="200" t="s">
        <v>1209</v>
      </c>
      <c r="H8833" s="201"/>
      <c r="I8833" s="201"/>
      <c r="J8833" s="197" t="s">
        <v>46</v>
      </c>
      <c r="K8833" s="202">
        <v>606680</v>
      </c>
      <c r="L8833" s="202"/>
    </row>
    <row r="8834" spans="1:12" ht="11.25" customHeight="1" x14ac:dyDescent="0.2">
      <c r="A8834" s="120">
        <v>2025</v>
      </c>
      <c r="B8834" s="120">
        <v>6</v>
      </c>
      <c r="C8834" s="120">
        <v>26</v>
      </c>
      <c r="D8834" s="208">
        <f t="shared" si="1045"/>
        <v>45834</v>
      </c>
      <c r="E8834" s="209">
        <f t="shared" si="1053"/>
        <v>45834</v>
      </c>
      <c r="F8834" s="515"/>
      <c r="G8834" s="132" t="s">
        <v>1209</v>
      </c>
      <c r="J8834" s="120" t="s">
        <v>16</v>
      </c>
      <c r="K8834" s="207"/>
      <c r="L8834" s="207">
        <v>483760</v>
      </c>
    </row>
    <row r="8835" spans="1:12" ht="11.25" customHeight="1" x14ac:dyDescent="0.2">
      <c r="A8835" s="191">
        <v>2025</v>
      </c>
      <c r="B8835" s="191">
        <v>6</v>
      </c>
      <c r="C8835" s="191">
        <v>26</v>
      </c>
      <c r="D8835" s="192">
        <f t="shared" si="1045"/>
        <v>45834</v>
      </c>
      <c r="E8835" s="193">
        <f t="shared" si="1053"/>
        <v>45834</v>
      </c>
      <c r="F8835" s="514"/>
      <c r="G8835" s="194" t="s">
        <v>1209</v>
      </c>
      <c r="H8835" s="195"/>
      <c r="I8835" s="195"/>
      <c r="J8835" s="191" t="s">
        <v>47</v>
      </c>
      <c r="K8835" s="196"/>
      <c r="L8835" s="196">
        <v>122920</v>
      </c>
    </row>
    <row r="8836" spans="1:12" ht="11.25" customHeight="1" x14ac:dyDescent="0.2">
      <c r="A8836" s="197">
        <v>2025</v>
      </c>
      <c r="B8836" s="197">
        <v>6</v>
      </c>
      <c r="C8836" s="197">
        <v>26</v>
      </c>
      <c r="D8836" s="198">
        <f t="shared" si="1045"/>
        <v>45834</v>
      </c>
      <c r="E8836" s="209">
        <f t="shared" si="1053"/>
        <v>45834</v>
      </c>
      <c r="F8836" s="513" t="s">
        <v>1210</v>
      </c>
      <c r="G8836" s="200" t="s">
        <v>1209</v>
      </c>
      <c r="H8836" s="201"/>
      <c r="I8836" s="201"/>
      <c r="J8836" s="197" t="s">
        <v>46</v>
      </c>
      <c r="K8836" s="202">
        <v>500000</v>
      </c>
      <c r="L8836" s="202"/>
    </row>
    <row r="8837" spans="1:12" ht="11.25" customHeight="1" x14ac:dyDescent="0.2">
      <c r="A8837" s="120">
        <v>2025</v>
      </c>
      <c r="B8837" s="120">
        <v>6</v>
      </c>
      <c r="C8837" s="120">
        <v>26</v>
      </c>
      <c r="D8837" s="208">
        <f t="shared" si="1045"/>
        <v>45834</v>
      </c>
      <c r="E8837" s="209">
        <f t="shared" si="1053"/>
        <v>45834</v>
      </c>
      <c r="F8837" s="515"/>
      <c r="G8837" s="132" t="s">
        <v>1209</v>
      </c>
      <c r="J8837" s="120" t="s">
        <v>16</v>
      </c>
      <c r="K8837" s="207"/>
      <c r="L8837" s="207">
        <v>398690</v>
      </c>
    </row>
    <row r="8838" spans="1:12" ht="11.25" customHeight="1" x14ac:dyDescent="0.2">
      <c r="A8838" s="191">
        <v>2025</v>
      </c>
      <c r="B8838" s="191">
        <v>6</v>
      </c>
      <c r="C8838" s="191">
        <v>26</v>
      </c>
      <c r="D8838" s="192">
        <f t="shared" si="1045"/>
        <v>45834</v>
      </c>
      <c r="E8838" s="193">
        <f t="shared" si="1053"/>
        <v>45834</v>
      </c>
      <c r="F8838" s="514"/>
      <c r="G8838" s="194" t="s">
        <v>1209</v>
      </c>
      <c r="H8838" s="195"/>
      <c r="I8838" s="195"/>
      <c r="J8838" s="191" t="s">
        <v>47</v>
      </c>
      <c r="K8838" s="196"/>
      <c r="L8838" s="196">
        <v>101310</v>
      </c>
    </row>
    <row r="8839" spans="1:12" ht="11.25" customHeight="1" x14ac:dyDescent="0.2">
      <c r="A8839" s="197">
        <v>2025</v>
      </c>
      <c r="B8839" s="197">
        <v>6</v>
      </c>
      <c r="C8839" s="197">
        <v>26</v>
      </c>
      <c r="D8839" s="198">
        <f t="shared" si="1045"/>
        <v>45834</v>
      </c>
      <c r="E8839" s="209">
        <f t="shared" ref="E8839:E8841" si="1054">DATE(A8839,B8839,C8839)</f>
        <v>45834</v>
      </c>
      <c r="F8839" s="513" t="s">
        <v>1210</v>
      </c>
      <c r="G8839" s="200" t="s">
        <v>1209</v>
      </c>
      <c r="H8839" s="201"/>
      <c r="I8839" s="201"/>
      <c r="J8839" s="197" t="s">
        <v>46</v>
      </c>
      <c r="K8839" s="202">
        <v>390000</v>
      </c>
      <c r="L8839" s="202"/>
    </row>
    <row r="8840" spans="1:12" ht="11.25" customHeight="1" x14ac:dyDescent="0.2">
      <c r="A8840" s="120">
        <v>2025</v>
      </c>
      <c r="B8840" s="120">
        <v>6</v>
      </c>
      <c r="C8840" s="120">
        <v>26</v>
      </c>
      <c r="D8840" s="208">
        <f t="shared" si="1045"/>
        <v>45834</v>
      </c>
      <c r="E8840" s="209">
        <f t="shared" si="1054"/>
        <v>45834</v>
      </c>
      <c r="F8840" s="515"/>
      <c r="G8840" s="132" t="s">
        <v>1209</v>
      </c>
      <c r="J8840" s="120" t="s">
        <v>16</v>
      </c>
      <c r="K8840" s="207"/>
      <c r="L8840" s="207">
        <v>310980</v>
      </c>
    </row>
    <row r="8841" spans="1:12" ht="11.25" customHeight="1" x14ac:dyDescent="0.2">
      <c r="A8841" s="191">
        <v>2025</v>
      </c>
      <c r="B8841" s="191">
        <v>6</v>
      </c>
      <c r="C8841" s="191">
        <v>26</v>
      </c>
      <c r="D8841" s="192">
        <f t="shared" si="1045"/>
        <v>45834</v>
      </c>
      <c r="E8841" s="193">
        <f t="shared" si="1054"/>
        <v>45834</v>
      </c>
      <c r="F8841" s="514"/>
      <c r="G8841" s="194" t="s">
        <v>1209</v>
      </c>
      <c r="H8841" s="195"/>
      <c r="I8841" s="195"/>
      <c r="J8841" s="191" t="s">
        <v>47</v>
      </c>
      <c r="K8841" s="196"/>
      <c r="L8841" s="196">
        <v>79020</v>
      </c>
    </row>
    <row r="8842" spans="1:12" ht="11.25" customHeight="1" x14ac:dyDescent="0.2">
      <c r="A8842" s="197">
        <v>2025</v>
      </c>
      <c r="B8842" s="197">
        <v>6</v>
      </c>
      <c r="C8842" s="197">
        <v>26</v>
      </c>
      <c r="D8842" s="198">
        <f t="shared" si="1045"/>
        <v>45834</v>
      </c>
      <c r="E8842" s="209">
        <f t="shared" si="1053"/>
        <v>45834</v>
      </c>
      <c r="F8842" s="513" t="s">
        <v>1210</v>
      </c>
      <c r="G8842" s="200" t="s">
        <v>1209</v>
      </c>
      <c r="H8842" s="201"/>
      <c r="I8842" s="201"/>
      <c r="J8842" s="197" t="s">
        <v>46</v>
      </c>
      <c r="K8842" s="202">
        <v>500000</v>
      </c>
      <c r="L8842" s="202"/>
    </row>
    <row r="8843" spans="1:12" ht="11.25" customHeight="1" x14ac:dyDescent="0.2">
      <c r="A8843" s="120">
        <v>2025</v>
      </c>
      <c r="B8843" s="120">
        <v>6</v>
      </c>
      <c r="C8843" s="120">
        <v>26</v>
      </c>
      <c r="D8843" s="208">
        <f t="shared" si="1045"/>
        <v>45834</v>
      </c>
      <c r="E8843" s="209">
        <f t="shared" si="1053"/>
        <v>45834</v>
      </c>
      <c r="F8843" s="515"/>
      <c r="G8843" s="132" t="s">
        <v>1209</v>
      </c>
      <c r="J8843" s="120" t="s">
        <v>16</v>
      </c>
      <c r="K8843" s="207"/>
      <c r="L8843" s="207">
        <v>398690</v>
      </c>
    </row>
    <row r="8844" spans="1:12" ht="11.25" customHeight="1" x14ac:dyDescent="0.2">
      <c r="A8844" s="191">
        <v>2025</v>
      </c>
      <c r="B8844" s="191">
        <v>6</v>
      </c>
      <c r="C8844" s="191">
        <v>26</v>
      </c>
      <c r="D8844" s="192">
        <f t="shared" si="1045"/>
        <v>45834</v>
      </c>
      <c r="E8844" s="193">
        <f t="shared" si="1053"/>
        <v>45834</v>
      </c>
      <c r="F8844" s="514"/>
      <c r="G8844" s="194" t="s">
        <v>1209</v>
      </c>
      <c r="H8844" s="195"/>
      <c r="I8844" s="195"/>
      <c r="J8844" s="191" t="s">
        <v>47</v>
      </c>
      <c r="K8844" s="196"/>
      <c r="L8844" s="196">
        <v>101310</v>
      </c>
    </row>
    <row r="8845" spans="1:12" ht="11.25" customHeight="1" x14ac:dyDescent="0.2">
      <c r="A8845" s="197">
        <v>2025</v>
      </c>
      <c r="B8845" s="197">
        <v>6</v>
      </c>
      <c r="C8845" s="197">
        <v>26</v>
      </c>
      <c r="D8845" s="198">
        <f t="shared" si="1045"/>
        <v>45834</v>
      </c>
      <c r="E8845" s="209">
        <f t="shared" ref="E8845:E8847" si="1055">DATE(A8845,B8845,C8845)</f>
        <v>45834</v>
      </c>
      <c r="F8845" s="513" t="s">
        <v>1210</v>
      </c>
      <c r="G8845" s="200" t="s">
        <v>1209</v>
      </c>
      <c r="H8845" s="201"/>
      <c r="I8845" s="201"/>
      <c r="J8845" s="197" t="s">
        <v>46</v>
      </c>
      <c r="K8845" s="202">
        <v>110000</v>
      </c>
      <c r="L8845" s="202"/>
    </row>
    <row r="8846" spans="1:12" ht="11.25" customHeight="1" x14ac:dyDescent="0.2">
      <c r="A8846" s="120">
        <v>2025</v>
      </c>
      <c r="B8846" s="120">
        <v>6</v>
      </c>
      <c r="C8846" s="120">
        <v>26</v>
      </c>
      <c r="D8846" s="208">
        <f t="shared" si="1045"/>
        <v>45834</v>
      </c>
      <c r="E8846" s="209">
        <f t="shared" si="1055"/>
        <v>45834</v>
      </c>
      <c r="F8846" s="515"/>
      <c r="G8846" s="132" t="s">
        <v>1209</v>
      </c>
      <c r="J8846" s="120" t="s">
        <v>16</v>
      </c>
      <c r="K8846" s="207"/>
      <c r="L8846" s="207">
        <v>87710</v>
      </c>
    </row>
    <row r="8847" spans="1:12" ht="11.25" customHeight="1" x14ac:dyDescent="0.2">
      <c r="A8847" s="191">
        <v>2025</v>
      </c>
      <c r="B8847" s="191">
        <v>6</v>
      </c>
      <c r="C8847" s="191">
        <v>26</v>
      </c>
      <c r="D8847" s="192">
        <f t="shared" si="1045"/>
        <v>45834</v>
      </c>
      <c r="E8847" s="193">
        <f t="shared" si="1055"/>
        <v>45834</v>
      </c>
      <c r="F8847" s="514"/>
      <c r="G8847" s="194" t="s">
        <v>1209</v>
      </c>
      <c r="H8847" s="195"/>
      <c r="I8847" s="195"/>
      <c r="J8847" s="191" t="s">
        <v>47</v>
      </c>
      <c r="K8847" s="196"/>
      <c r="L8847" s="196">
        <v>22290</v>
      </c>
    </row>
    <row r="8848" spans="1:12" ht="11.25" customHeight="1" x14ac:dyDescent="0.2">
      <c r="A8848" s="197">
        <v>2025</v>
      </c>
      <c r="B8848" s="197">
        <v>6</v>
      </c>
      <c r="C8848" s="197">
        <v>26</v>
      </c>
      <c r="D8848" s="198">
        <f t="shared" si="1045"/>
        <v>45834</v>
      </c>
      <c r="E8848" s="209">
        <f t="shared" ref="E8848:E8850" si="1056">DATE(A8848,B8848,C8848)</f>
        <v>45834</v>
      </c>
      <c r="F8848" s="513" t="s">
        <v>1210</v>
      </c>
      <c r="G8848" s="200" t="s">
        <v>1209</v>
      </c>
      <c r="H8848" s="201"/>
      <c r="I8848" s="201"/>
      <c r="J8848" s="197" t="s">
        <v>46</v>
      </c>
      <c r="K8848" s="202">
        <v>200000</v>
      </c>
      <c r="L8848" s="202"/>
    </row>
    <row r="8849" spans="1:15" ht="11.25" customHeight="1" x14ac:dyDescent="0.2">
      <c r="A8849" s="120">
        <v>2025</v>
      </c>
      <c r="B8849" s="120">
        <v>6</v>
      </c>
      <c r="C8849" s="120">
        <v>26</v>
      </c>
      <c r="D8849" s="208">
        <f t="shared" si="1045"/>
        <v>45834</v>
      </c>
      <c r="E8849" s="209">
        <f t="shared" si="1056"/>
        <v>45834</v>
      </c>
      <c r="F8849" s="515"/>
      <c r="G8849" s="132" t="s">
        <v>1209</v>
      </c>
      <c r="J8849" s="120" t="s">
        <v>16</v>
      </c>
      <c r="K8849" s="207"/>
      <c r="L8849" s="207">
        <v>159480</v>
      </c>
    </row>
    <row r="8850" spans="1:15" ht="11.25" customHeight="1" x14ac:dyDescent="0.2">
      <c r="A8850" s="191">
        <v>2025</v>
      </c>
      <c r="B8850" s="191">
        <v>6</v>
      </c>
      <c r="C8850" s="191">
        <v>26</v>
      </c>
      <c r="D8850" s="192">
        <f t="shared" si="1045"/>
        <v>45834</v>
      </c>
      <c r="E8850" s="193">
        <f t="shared" si="1056"/>
        <v>45834</v>
      </c>
      <c r="F8850" s="514"/>
      <c r="G8850" s="194" t="s">
        <v>1209</v>
      </c>
      <c r="H8850" s="195"/>
      <c r="I8850" s="195"/>
      <c r="J8850" s="191" t="s">
        <v>47</v>
      </c>
      <c r="K8850" s="196"/>
      <c r="L8850" s="196">
        <v>40520</v>
      </c>
    </row>
    <row r="8851" spans="1:15" ht="11.25" customHeight="1" x14ac:dyDescent="0.2">
      <c r="A8851" s="197">
        <v>2025</v>
      </c>
      <c r="B8851" s="197">
        <v>6</v>
      </c>
      <c r="C8851" s="197">
        <v>26</v>
      </c>
      <c r="D8851" s="198">
        <f t="shared" si="1045"/>
        <v>45834</v>
      </c>
      <c r="E8851" s="290">
        <f>DATE(A8851,B8851,C8851)</f>
        <v>45834</v>
      </c>
      <c r="F8851" s="513" t="s">
        <v>1514</v>
      </c>
      <c r="G8851" s="200" t="s">
        <v>1209</v>
      </c>
      <c r="H8851" s="201"/>
      <c r="I8851" s="201"/>
      <c r="J8851" s="197" t="s">
        <v>54</v>
      </c>
      <c r="K8851" s="202">
        <v>70</v>
      </c>
      <c r="L8851" s="202"/>
      <c r="M8851" s="251"/>
      <c r="N8851" s="251"/>
      <c r="O8851" s="251"/>
    </row>
    <row r="8852" spans="1:15" ht="11.25" customHeight="1" x14ac:dyDescent="0.2">
      <c r="A8852" s="191">
        <v>2025</v>
      </c>
      <c r="B8852" s="191">
        <v>6</v>
      </c>
      <c r="C8852" s="191">
        <v>26</v>
      </c>
      <c r="D8852" s="192">
        <f t="shared" si="1045"/>
        <v>45834</v>
      </c>
      <c r="E8852" s="291">
        <f>DATE(A8852,B8852,C8852)</f>
        <v>45834</v>
      </c>
      <c r="F8852" s="514"/>
      <c r="G8852" s="194" t="s">
        <v>1209</v>
      </c>
      <c r="H8852" s="195"/>
      <c r="I8852" s="195"/>
      <c r="J8852" s="191" t="s">
        <v>46</v>
      </c>
      <c r="K8852" s="196"/>
      <c r="L8852" s="196">
        <v>70</v>
      </c>
      <c r="M8852" s="251"/>
      <c r="N8852" s="251"/>
      <c r="O8852" s="251"/>
    </row>
    <row r="8853" spans="1:15" ht="11.25" customHeight="1" x14ac:dyDescent="0.2">
      <c r="A8853" s="197">
        <v>2025</v>
      </c>
      <c r="B8853" s="197">
        <v>6</v>
      </c>
      <c r="C8853" s="197">
        <v>26</v>
      </c>
      <c r="D8853" s="198">
        <f t="shared" si="1045"/>
        <v>45834</v>
      </c>
      <c r="E8853" s="290">
        <f t="shared" ref="E8853:E8854" si="1057">DATE(A8853,B8853,C8853)</f>
        <v>45834</v>
      </c>
      <c r="F8853" s="513" t="s">
        <v>1843</v>
      </c>
      <c r="G8853" s="200" t="s">
        <v>1209</v>
      </c>
      <c r="H8853" s="201"/>
      <c r="I8853" s="201"/>
      <c r="J8853" s="197" t="s">
        <v>46</v>
      </c>
      <c r="K8853" s="202">
        <v>13270.5</v>
      </c>
      <c r="L8853" s="202"/>
      <c r="M8853" s="251"/>
      <c r="N8853" s="251"/>
      <c r="O8853" s="251"/>
    </row>
    <row r="8854" spans="1:15" ht="11.25" customHeight="1" x14ac:dyDescent="0.2">
      <c r="A8854" s="191">
        <v>2025</v>
      </c>
      <c r="B8854" s="191">
        <v>6</v>
      </c>
      <c r="C8854" s="191">
        <v>26</v>
      </c>
      <c r="D8854" s="192">
        <f t="shared" si="1045"/>
        <v>45834</v>
      </c>
      <c r="E8854" s="291">
        <f t="shared" si="1057"/>
        <v>45834</v>
      </c>
      <c r="F8854" s="514"/>
      <c r="G8854" s="194" t="s">
        <v>1209</v>
      </c>
      <c r="H8854" s="195"/>
      <c r="I8854" s="195"/>
      <c r="J8854" s="191" t="s">
        <v>1529</v>
      </c>
      <c r="K8854" s="196"/>
      <c r="L8854" s="196">
        <v>13270.5</v>
      </c>
      <c r="M8854" s="251"/>
      <c r="N8854" s="251"/>
      <c r="O8854" s="251"/>
    </row>
    <row r="8855" spans="1:15" ht="11.25" customHeight="1" x14ac:dyDescent="0.2">
      <c r="A8855" s="197">
        <v>2025</v>
      </c>
      <c r="B8855" s="197">
        <v>6</v>
      </c>
      <c r="C8855" s="197">
        <v>26</v>
      </c>
      <c r="D8855" s="198">
        <f t="shared" si="1045"/>
        <v>45834</v>
      </c>
      <c r="E8855" s="290">
        <f>DATE(A8855,B8855,C8855)</f>
        <v>45834</v>
      </c>
      <c r="F8855" s="513" t="s">
        <v>1527</v>
      </c>
      <c r="G8855" s="200" t="s">
        <v>1209</v>
      </c>
      <c r="H8855" s="201"/>
      <c r="I8855" s="201"/>
      <c r="J8855" s="197" t="s">
        <v>54</v>
      </c>
      <c r="K8855" s="202">
        <v>20</v>
      </c>
      <c r="L8855" s="202"/>
      <c r="M8855" s="251"/>
      <c r="N8855" s="251"/>
      <c r="O8855" s="251"/>
    </row>
    <row r="8856" spans="1:15" ht="11.25" customHeight="1" x14ac:dyDescent="0.2">
      <c r="A8856" s="191">
        <v>2025</v>
      </c>
      <c r="B8856" s="191">
        <v>6</v>
      </c>
      <c r="C8856" s="191">
        <v>26</v>
      </c>
      <c r="D8856" s="192">
        <f t="shared" si="1045"/>
        <v>45834</v>
      </c>
      <c r="E8856" s="291">
        <f>DATE(A8856,B8856,C8856)</f>
        <v>45834</v>
      </c>
      <c r="F8856" s="514"/>
      <c r="G8856" s="194" t="s">
        <v>1209</v>
      </c>
      <c r="H8856" s="195"/>
      <c r="I8856" s="195"/>
      <c r="J8856" s="191" t="s">
        <v>46</v>
      </c>
      <c r="K8856" s="196"/>
      <c r="L8856" s="196">
        <v>20</v>
      </c>
      <c r="M8856" s="251"/>
      <c r="N8856" s="251"/>
      <c r="O8856" s="251"/>
    </row>
    <row r="8857" spans="1:15" ht="11.25" customHeight="1" x14ac:dyDescent="0.2">
      <c r="A8857" s="197">
        <v>2025</v>
      </c>
      <c r="B8857" s="197">
        <v>6</v>
      </c>
      <c r="C8857" s="197">
        <v>26</v>
      </c>
      <c r="D8857" s="198">
        <f t="shared" si="1045"/>
        <v>45834</v>
      </c>
      <c r="E8857" s="290">
        <f>DATE(A8857,B8857,C8857)</f>
        <v>45834</v>
      </c>
      <c r="F8857" s="513" t="s">
        <v>2051</v>
      </c>
      <c r="G8857" s="200" t="s">
        <v>1209</v>
      </c>
      <c r="H8857" s="201"/>
      <c r="I8857" s="201"/>
      <c r="J8857" s="197" t="s">
        <v>54</v>
      </c>
      <c r="K8857" s="202">
        <v>345</v>
      </c>
      <c r="L8857" s="202"/>
      <c r="M8857" s="251"/>
      <c r="N8857" s="251"/>
      <c r="O8857" s="251"/>
    </row>
    <row r="8858" spans="1:15" ht="11.25" customHeight="1" x14ac:dyDescent="0.2">
      <c r="A8858" s="191">
        <v>2025</v>
      </c>
      <c r="B8858" s="191">
        <v>6</v>
      </c>
      <c r="C8858" s="191">
        <v>26</v>
      </c>
      <c r="D8858" s="192">
        <f t="shared" si="1045"/>
        <v>45834</v>
      </c>
      <c r="E8858" s="291">
        <f>DATE(A8858,B8858,C8858)</f>
        <v>45834</v>
      </c>
      <c r="F8858" s="514"/>
      <c r="G8858" s="194" t="s">
        <v>1209</v>
      </c>
      <c r="H8858" s="195"/>
      <c r="I8858" s="195"/>
      <c r="J8858" s="191" t="s">
        <v>46</v>
      </c>
      <c r="K8858" s="196"/>
      <c r="L8858" s="196">
        <v>345</v>
      </c>
      <c r="M8858" s="251"/>
      <c r="N8858" s="251"/>
      <c r="O8858" s="251"/>
    </row>
    <row r="8859" spans="1:15" ht="11.25" customHeight="1" x14ac:dyDescent="0.2">
      <c r="A8859" s="424">
        <v>2025</v>
      </c>
      <c r="B8859" s="424">
        <v>6</v>
      </c>
      <c r="C8859" s="424">
        <v>26</v>
      </c>
      <c r="D8859" s="425">
        <f t="shared" si="1045"/>
        <v>45834</v>
      </c>
      <c r="E8859" s="384">
        <f t="shared" ref="E8859:E8868" si="1058">DATE(A8859,B8859,C8859)</f>
        <v>45834</v>
      </c>
      <c r="F8859" s="516" t="s">
        <v>1850</v>
      </c>
      <c r="G8859" s="426" t="s">
        <v>1209</v>
      </c>
      <c r="H8859" s="427"/>
      <c r="I8859" s="427"/>
      <c r="J8859" s="428" t="s">
        <v>81</v>
      </c>
      <c r="K8859" s="429">
        <v>6973.2450980392159</v>
      </c>
      <c r="L8859" s="429"/>
      <c r="M8859" s="130"/>
    </row>
    <row r="8860" spans="1:15" ht="11.25" customHeight="1" x14ac:dyDescent="0.2">
      <c r="A8860" s="389">
        <v>2025</v>
      </c>
      <c r="B8860" s="389">
        <v>6</v>
      </c>
      <c r="C8860" s="389">
        <v>26</v>
      </c>
      <c r="D8860" s="390">
        <f t="shared" si="1045"/>
        <v>45834</v>
      </c>
      <c r="E8860" s="391">
        <f t="shared" si="1058"/>
        <v>45834</v>
      </c>
      <c r="F8860" s="517"/>
      <c r="G8860" s="392" t="s">
        <v>1209</v>
      </c>
      <c r="H8860" s="393"/>
      <c r="I8860" s="393"/>
      <c r="J8860" s="394" t="s">
        <v>1847</v>
      </c>
      <c r="K8860" s="423"/>
      <c r="L8860" s="423">
        <v>6973.2450980392159</v>
      </c>
    </row>
    <row r="8861" spans="1:15" ht="11.25" customHeight="1" x14ac:dyDescent="0.2">
      <c r="A8861" s="382">
        <v>2025</v>
      </c>
      <c r="B8861" s="382">
        <v>6</v>
      </c>
      <c r="C8861" s="382">
        <v>26</v>
      </c>
      <c r="D8861" s="383">
        <f t="shared" si="1045"/>
        <v>45834</v>
      </c>
      <c r="E8861" s="384">
        <f t="shared" si="1058"/>
        <v>45834</v>
      </c>
      <c r="F8861" s="516" t="s">
        <v>1892</v>
      </c>
      <c r="G8861" s="385" t="s">
        <v>1209</v>
      </c>
      <c r="H8861" s="386"/>
      <c r="I8861" s="386"/>
      <c r="J8861" s="387" t="s">
        <v>173</v>
      </c>
      <c r="K8861" s="388">
        <v>4812.0953138020832</v>
      </c>
      <c r="L8861" s="388"/>
      <c r="M8861" s="130"/>
    </row>
    <row r="8862" spans="1:15" ht="11.25" customHeight="1" x14ac:dyDescent="0.2">
      <c r="A8862" s="389">
        <v>2025</v>
      </c>
      <c r="B8862" s="389">
        <v>6</v>
      </c>
      <c r="C8862" s="389">
        <v>26</v>
      </c>
      <c r="D8862" s="390">
        <f t="shared" si="1045"/>
        <v>45834</v>
      </c>
      <c r="E8862" s="391">
        <f t="shared" si="1058"/>
        <v>45834</v>
      </c>
      <c r="F8862" s="517"/>
      <c r="G8862" s="392" t="s">
        <v>1209</v>
      </c>
      <c r="H8862" s="393"/>
      <c r="I8862" s="393"/>
      <c r="J8862" s="394" t="s">
        <v>43</v>
      </c>
      <c r="K8862" s="388"/>
      <c r="L8862" s="388">
        <f>K8861</f>
        <v>4812.0953138020832</v>
      </c>
    </row>
    <row r="8863" spans="1:15" ht="11.25" customHeight="1" x14ac:dyDescent="0.2">
      <c r="A8863" s="344">
        <v>2025</v>
      </c>
      <c r="B8863" s="344">
        <v>6</v>
      </c>
      <c r="C8863" s="344">
        <v>26</v>
      </c>
      <c r="D8863" s="345">
        <f t="shared" si="1045"/>
        <v>45834</v>
      </c>
      <c r="E8863" s="346">
        <f t="shared" si="1058"/>
        <v>45834</v>
      </c>
      <c r="F8863" s="518" t="s">
        <v>1982</v>
      </c>
      <c r="G8863" s="347" t="s">
        <v>1245</v>
      </c>
      <c r="H8863" s="348"/>
      <c r="I8863" s="348" t="s">
        <v>1253</v>
      </c>
      <c r="J8863" s="344" t="s">
        <v>1978</v>
      </c>
      <c r="K8863" s="349">
        <v>145230.76923076922</v>
      </c>
      <c r="L8863" s="349"/>
      <c r="M8863" s="130"/>
    </row>
    <row r="8864" spans="1:15" ht="11.25" customHeight="1" x14ac:dyDescent="0.2">
      <c r="A8864" s="350">
        <v>2025</v>
      </c>
      <c r="B8864" s="350">
        <v>6</v>
      </c>
      <c r="C8864" s="350">
        <v>26</v>
      </c>
      <c r="D8864" s="351">
        <f t="shared" si="1045"/>
        <v>45834</v>
      </c>
      <c r="E8864" s="352">
        <f t="shared" si="1058"/>
        <v>45834</v>
      </c>
      <c r="F8864" s="519"/>
      <c r="G8864" s="353" t="s">
        <v>1245</v>
      </c>
      <c r="H8864" s="354"/>
      <c r="I8864" s="354" t="s">
        <v>1253</v>
      </c>
      <c r="J8864" s="350" t="s">
        <v>1979</v>
      </c>
      <c r="K8864" s="355"/>
      <c r="L8864" s="355">
        <f>K8863</f>
        <v>145230.76923076922</v>
      </c>
    </row>
    <row r="8865" spans="1:14" ht="11.25" customHeight="1" x14ac:dyDescent="0.2">
      <c r="A8865" s="344">
        <v>2025</v>
      </c>
      <c r="B8865" s="344">
        <v>6</v>
      </c>
      <c r="C8865" s="344">
        <v>26</v>
      </c>
      <c r="D8865" s="345">
        <f t="shared" si="1045"/>
        <v>45834</v>
      </c>
      <c r="E8865" s="346">
        <f t="shared" si="1058"/>
        <v>45834</v>
      </c>
      <c r="F8865" s="518" t="s">
        <v>2009</v>
      </c>
      <c r="G8865" s="347" t="s">
        <v>1245</v>
      </c>
      <c r="H8865" s="348"/>
      <c r="I8865" s="348" t="s">
        <v>1253</v>
      </c>
      <c r="J8865" s="344" t="s">
        <v>2004</v>
      </c>
      <c r="K8865" s="349">
        <v>49692.31</v>
      </c>
      <c r="L8865" s="349"/>
      <c r="M8865" s="130"/>
    </row>
    <row r="8866" spans="1:14" ht="11.25" customHeight="1" x14ac:dyDescent="0.2">
      <c r="A8866" s="350">
        <v>2025</v>
      </c>
      <c r="B8866" s="350">
        <v>6</v>
      </c>
      <c r="C8866" s="350">
        <v>26</v>
      </c>
      <c r="D8866" s="351">
        <f t="shared" si="1045"/>
        <v>45834</v>
      </c>
      <c r="E8866" s="352">
        <f t="shared" si="1058"/>
        <v>45834</v>
      </c>
      <c r="F8866" s="519"/>
      <c r="G8866" s="353" t="s">
        <v>1245</v>
      </c>
      <c r="H8866" s="354"/>
      <c r="I8866" s="354" t="s">
        <v>1253</v>
      </c>
      <c r="J8866" s="350" t="s">
        <v>2008</v>
      </c>
      <c r="K8866" s="355"/>
      <c r="L8866" s="355">
        <f>K8865</f>
        <v>49692.31</v>
      </c>
    </row>
    <row r="8867" spans="1:14" ht="11.25" customHeight="1" x14ac:dyDescent="0.2">
      <c r="A8867" s="344">
        <v>2025</v>
      </c>
      <c r="B8867" s="344">
        <v>6</v>
      </c>
      <c r="C8867" s="344">
        <v>26</v>
      </c>
      <c r="D8867" s="345">
        <f t="shared" si="1045"/>
        <v>45834</v>
      </c>
      <c r="E8867" s="346">
        <f t="shared" si="1058"/>
        <v>45834</v>
      </c>
      <c r="F8867" s="518" t="s">
        <v>2009</v>
      </c>
      <c r="G8867" s="347" t="s">
        <v>1245</v>
      </c>
      <c r="H8867" s="348"/>
      <c r="I8867" s="348" t="s">
        <v>1253</v>
      </c>
      <c r="J8867" s="344" t="s">
        <v>2004</v>
      </c>
      <c r="K8867" s="349">
        <v>49692.31</v>
      </c>
      <c r="L8867" s="349"/>
      <c r="M8867" s="130"/>
    </row>
    <row r="8868" spans="1:14" ht="11.25" customHeight="1" x14ac:dyDescent="0.2">
      <c r="A8868" s="350">
        <v>2025</v>
      </c>
      <c r="B8868" s="350">
        <v>6</v>
      </c>
      <c r="C8868" s="350">
        <v>26</v>
      </c>
      <c r="D8868" s="351">
        <f t="shared" si="1045"/>
        <v>45834</v>
      </c>
      <c r="E8868" s="352">
        <f t="shared" si="1058"/>
        <v>45834</v>
      </c>
      <c r="F8868" s="519"/>
      <c r="G8868" s="353" t="s">
        <v>1245</v>
      </c>
      <c r="H8868" s="354"/>
      <c r="I8868" s="354" t="s">
        <v>1253</v>
      </c>
      <c r="J8868" s="350" t="s">
        <v>2008</v>
      </c>
      <c r="K8868" s="355"/>
      <c r="L8868" s="355">
        <f>K8867</f>
        <v>49692.31</v>
      </c>
    </row>
    <row r="8869" spans="1:14" ht="11.25" customHeight="1" x14ac:dyDescent="0.2">
      <c r="A8869" s="344">
        <v>2025</v>
      </c>
      <c r="B8869" s="344">
        <v>6</v>
      </c>
      <c r="C8869" s="344">
        <v>26</v>
      </c>
      <c r="D8869" s="345">
        <f t="shared" si="1045"/>
        <v>45834</v>
      </c>
      <c r="E8869" s="346">
        <f>DATE(A8869,B8869,C8869)</f>
        <v>45834</v>
      </c>
      <c r="F8869" s="518" t="s">
        <v>1988</v>
      </c>
      <c r="G8869" s="347" t="s">
        <v>1245</v>
      </c>
      <c r="H8869" s="348"/>
      <c r="I8869" s="348" t="s">
        <v>1253</v>
      </c>
      <c r="J8869" s="344" t="s">
        <v>113</v>
      </c>
      <c r="K8869" s="349">
        <v>32846.15</v>
      </c>
      <c r="L8869" s="349"/>
      <c r="M8869" s="130"/>
    </row>
    <row r="8870" spans="1:14" ht="11.25" customHeight="1" x14ac:dyDescent="0.2">
      <c r="A8870" s="350">
        <v>2025</v>
      </c>
      <c r="B8870" s="350">
        <v>6</v>
      </c>
      <c r="C8870" s="350">
        <v>26</v>
      </c>
      <c r="D8870" s="351">
        <f t="shared" si="1045"/>
        <v>45834</v>
      </c>
      <c r="E8870" s="352">
        <f>DATE(A8870,B8870,C8870)</f>
        <v>45834</v>
      </c>
      <c r="F8870" s="519"/>
      <c r="G8870" s="353" t="s">
        <v>1245</v>
      </c>
      <c r="H8870" s="354"/>
      <c r="I8870" s="354" t="s">
        <v>1253</v>
      </c>
      <c r="J8870" s="350" t="s">
        <v>153</v>
      </c>
      <c r="K8870" s="355"/>
      <c r="L8870" s="355">
        <f>K8869</f>
        <v>32846.15</v>
      </c>
    </row>
    <row r="8871" spans="1:14" ht="11.25" customHeight="1" x14ac:dyDescent="0.2">
      <c r="A8871" s="344">
        <v>2025</v>
      </c>
      <c r="B8871" s="344">
        <v>6</v>
      </c>
      <c r="C8871" s="344">
        <v>26</v>
      </c>
      <c r="D8871" s="345">
        <f t="shared" si="1045"/>
        <v>45834</v>
      </c>
      <c r="E8871" s="346">
        <f t="shared" ref="E8871:E8876" si="1059">DATE(A8871,B8871,C8871)</f>
        <v>45834</v>
      </c>
      <c r="F8871" s="518" t="s">
        <v>1989</v>
      </c>
      <c r="G8871" s="347" t="s">
        <v>1245</v>
      </c>
      <c r="H8871" s="348"/>
      <c r="I8871" s="348" t="s">
        <v>1253</v>
      </c>
      <c r="J8871" s="344" t="s">
        <v>113</v>
      </c>
      <c r="K8871" s="349">
        <v>23461.538461538461</v>
      </c>
      <c r="L8871" s="349"/>
      <c r="M8871" s="130"/>
    </row>
    <row r="8872" spans="1:14" ht="11.25" customHeight="1" x14ac:dyDescent="0.2">
      <c r="A8872" s="350">
        <v>2025</v>
      </c>
      <c r="B8872" s="350">
        <v>6</v>
      </c>
      <c r="C8872" s="350">
        <v>26</v>
      </c>
      <c r="D8872" s="351">
        <f t="shared" si="1045"/>
        <v>45834</v>
      </c>
      <c r="E8872" s="352">
        <f t="shared" si="1059"/>
        <v>45834</v>
      </c>
      <c r="F8872" s="519"/>
      <c r="G8872" s="353" t="s">
        <v>1245</v>
      </c>
      <c r="H8872" s="354"/>
      <c r="I8872" s="354" t="s">
        <v>1253</v>
      </c>
      <c r="J8872" s="350" t="s">
        <v>153</v>
      </c>
      <c r="K8872" s="355"/>
      <c r="L8872" s="355">
        <f>K8871</f>
        <v>23461.538461538461</v>
      </c>
    </row>
    <row r="8873" spans="1:14" ht="11.25" customHeight="1" x14ac:dyDescent="0.2">
      <c r="A8873" s="344">
        <v>2025</v>
      </c>
      <c r="B8873" s="344">
        <v>6</v>
      </c>
      <c r="C8873" s="344">
        <v>26</v>
      </c>
      <c r="D8873" s="345">
        <f t="shared" si="1045"/>
        <v>45834</v>
      </c>
      <c r="E8873" s="346">
        <f t="shared" si="1059"/>
        <v>45834</v>
      </c>
      <c r="F8873" s="518" t="s">
        <v>1990</v>
      </c>
      <c r="G8873" s="347" t="s">
        <v>1245</v>
      </c>
      <c r="H8873" s="348"/>
      <c r="I8873" s="348" t="s">
        <v>1253</v>
      </c>
      <c r="J8873" s="344" t="s">
        <v>113</v>
      </c>
      <c r="K8873" s="349">
        <v>70384.62</v>
      </c>
      <c r="L8873" s="349"/>
      <c r="M8873" s="130"/>
      <c r="N8873" s="251"/>
    </row>
    <row r="8874" spans="1:14" ht="11.25" customHeight="1" x14ac:dyDescent="0.2">
      <c r="A8874" s="350">
        <v>2025</v>
      </c>
      <c r="B8874" s="350">
        <v>6</v>
      </c>
      <c r="C8874" s="350">
        <v>26</v>
      </c>
      <c r="D8874" s="351">
        <f t="shared" si="1045"/>
        <v>45834</v>
      </c>
      <c r="E8874" s="352">
        <f t="shared" si="1059"/>
        <v>45834</v>
      </c>
      <c r="F8874" s="519"/>
      <c r="G8874" s="353" t="s">
        <v>1245</v>
      </c>
      <c r="H8874" s="354"/>
      <c r="I8874" s="354" t="s">
        <v>1253</v>
      </c>
      <c r="J8874" s="350" t="s">
        <v>153</v>
      </c>
      <c r="K8874" s="355"/>
      <c r="L8874" s="355">
        <f>K8873</f>
        <v>70384.62</v>
      </c>
    </row>
    <row r="8875" spans="1:14" ht="11.25" customHeight="1" x14ac:dyDescent="0.2">
      <c r="A8875" s="344">
        <v>2025</v>
      </c>
      <c r="B8875" s="344">
        <v>6</v>
      </c>
      <c r="C8875" s="344">
        <v>26</v>
      </c>
      <c r="D8875" s="345">
        <f t="shared" si="1045"/>
        <v>45834</v>
      </c>
      <c r="E8875" s="346">
        <f t="shared" si="1059"/>
        <v>45834</v>
      </c>
      <c r="F8875" s="518" t="s">
        <v>2039</v>
      </c>
      <c r="G8875" s="347" t="s">
        <v>1245</v>
      </c>
      <c r="H8875" s="348"/>
      <c r="I8875" s="348" t="s">
        <v>1253</v>
      </c>
      <c r="J8875" s="344" t="s">
        <v>113</v>
      </c>
      <c r="K8875" s="349">
        <v>9384.6153846153848</v>
      </c>
      <c r="L8875" s="349"/>
      <c r="M8875" s="130"/>
    </row>
    <row r="8876" spans="1:14" ht="11.25" customHeight="1" x14ac:dyDescent="0.2">
      <c r="A8876" s="350">
        <v>2025</v>
      </c>
      <c r="B8876" s="350">
        <v>6</v>
      </c>
      <c r="C8876" s="350">
        <v>26</v>
      </c>
      <c r="D8876" s="351">
        <f t="shared" ref="D8876:D8939" si="1060">DATE(A8876,B8876,C8876)</f>
        <v>45834</v>
      </c>
      <c r="E8876" s="352">
        <f t="shared" si="1059"/>
        <v>45834</v>
      </c>
      <c r="F8876" s="519"/>
      <c r="G8876" s="353" t="s">
        <v>1245</v>
      </c>
      <c r="H8876" s="354"/>
      <c r="I8876" s="354" t="s">
        <v>1253</v>
      </c>
      <c r="J8876" s="350" t="s">
        <v>153</v>
      </c>
      <c r="K8876" s="355"/>
      <c r="L8876" s="355">
        <f>K8875</f>
        <v>9384.6153846153848</v>
      </c>
    </row>
    <row r="8877" spans="1:14" ht="11.25" customHeight="1" x14ac:dyDescent="0.2">
      <c r="A8877" s="344">
        <v>2025</v>
      </c>
      <c r="B8877" s="344">
        <v>6</v>
      </c>
      <c r="C8877" s="344">
        <v>26</v>
      </c>
      <c r="D8877" s="345">
        <f t="shared" si="1060"/>
        <v>45834</v>
      </c>
      <c r="E8877" s="346">
        <f>DATE(A8877,B8877,C8877)</f>
        <v>45834</v>
      </c>
      <c r="F8877" s="518" t="s">
        <v>1991</v>
      </c>
      <c r="G8877" s="347" t="s">
        <v>1245</v>
      </c>
      <c r="H8877" s="348"/>
      <c r="I8877" s="348" t="s">
        <v>1253</v>
      </c>
      <c r="J8877" s="344" t="s">
        <v>113</v>
      </c>
      <c r="K8877" s="349">
        <v>39884.620000000003</v>
      </c>
      <c r="L8877" s="349"/>
      <c r="M8877" s="130"/>
    </row>
    <row r="8878" spans="1:14" ht="11.25" customHeight="1" x14ac:dyDescent="0.2">
      <c r="A8878" s="350">
        <v>2025</v>
      </c>
      <c r="B8878" s="350">
        <v>6</v>
      </c>
      <c r="C8878" s="350">
        <v>26</v>
      </c>
      <c r="D8878" s="351">
        <f t="shared" si="1060"/>
        <v>45834</v>
      </c>
      <c r="E8878" s="352">
        <f>DATE(A8878,B8878,C8878)</f>
        <v>45834</v>
      </c>
      <c r="F8878" s="519"/>
      <c r="G8878" s="353" t="s">
        <v>1245</v>
      </c>
      <c r="H8878" s="354"/>
      <c r="I8878" s="354" t="s">
        <v>1253</v>
      </c>
      <c r="J8878" s="350" t="s">
        <v>153</v>
      </c>
      <c r="K8878" s="355"/>
      <c r="L8878" s="355">
        <f>K8877</f>
        <v>39884.620000000003</v>
      </c>
    </row>
    <row r="8879" spans="1:14" ht="11.25" customHeight="1" x14ac:dyDescent="0.2">
      <c r="A8879" s="344">
        <v>2025</v>
      </c>
      <c r="B8879" s="344">
        <v>6</v>
      </c>
      <c r="C8879" s="344">
        <v>26</v>
      </c>
      <c r="D8879" s="345">
        <f t="shared" si="1060"/>
        <v>45834</v>
      </c>
      <c r="E8879" s="346">
        <f t="shared" ref="E8879:E8883" si="1061">DATE(A8879,B8879,C8879)</f>
        <v>45834</v>
      </c>
      <c r="F8879" s="518" t="s">
        <v>2052</v>
      </c>
      <c r="G8879" s="347" t="s">
        <v>1245</v>
      </c>
      <c r="H8879" s="348"/>
      <c r="I8879" s="348" t="s">
        <v>1253</v>
      </c>
      <c r="J8879" s="344" t="s">
        <v>113</v>
      </c>
      <c r="K8879" s="349">
        <v>11442.307692307691</v>
      </c>
      <c r="L8879" s="349"/>
      <c r="M8879" s="130"/>
    </row>
    <row r="8880" spans="1:14" ht="11.25" customHeight="1" x14ac:dyDescent="0.2">
      <c r="A8880" s="350">
        <v>2025</v>
      </c>
      <c r="B8880" s="350">
        <v>6</v>
      </c>
      <c r="C8880" s="350">
        <v>26</v>
      </c>
      <c r="D8880" s="351">
        <f t="shared" si="1060"/>
        <v>45834</v>
      </c>
      <c r="E8880" s="352">
        <f t="shared" si="1061"/>
        <v>45834</v>
      </c>
      <c r="F8880" s="519"/>
      <c r="G8880" s="353" t="s">
        <v>1245</v>
      </c>
      <c r="H8880" s="354"/>
      <c r="I8880" s="354" t="s">
        <v>1253</v>
      </c>
      <c r="J8880" s="350" t="s">
        <v>153</v>
      </c>
      <c r="K8880" s="355"/>
      <c r="L8880" s="355">
        <f>K8879</f>
        <v>11442.307692307691</v>
      </c>
    </row>
    <row r="8881" spans="1:13" ht="11.25" customHeight="1" x14ac:dyDescent="0.2">
      <c r="A8881" s="344">
        <v>2025</v>
      </c>
      <c r="B8881" s="344">
        <v>6</v>
      </c>
      <c r="C8881" s="344">
        <v>26</v>
      </c>
      <c r="D8881" s="345">
        <f t="shared" si="1060"/>
        <v>45834</v>
      </c>
      <c r="E8881" s="346">
        <f t="shared" si="1061"/>
        <v>45834</v>
      </c>
      <c r="F8881" s="518" t="s">
        <v>2053</v>
      </c>
      <c r="G8881" s="347" t="s">
        <v>1245</v>
      </c>
      <c r="H8881" s="348"/>
      <c r="I8881" s="348" t="s">
        <v>1253</v>
      </c>
      <c r="J8881" s="344" t="s">
        <v>113</v>
      </c>
      <c r="K8881" s="349">
        <v>11634.615384615385</v>
      </c>
      <c r="L8881" s="349"/>
      <c r="M8881" s="130"/>
    </row>
    <row r="8882" spans="1:13" ht="11.25" customHeight="1" x14ac:dyDescent="0.2">
      <c r="A8882" s="350">
        <v>2025</v>
      </c>
      <c r="B8882" s="350">
        <v>6</v>
      </c>
      <c r="C8882" s="350">
        <v>26</v>
      </c>
      <c r="D8882" s="351">
        <f t="shared" si="1060"/>
        <v>45834</v>
      </c>
      <c r="E8882" s="352">
        <f t="shared" si="1061"/>
        <v>45834</v>
      </c>
      <c r="F8882" s="519"/>
      <c r="G8882" s="353" t="s">
        <v>1245</v>
      </c>
      <c r="H8882" s="354"/>
      <c r="I8882" s="354" t="s">
        <v>1253</v>
      </c>
      <c r="J8882" s="350" t="s">
        <v>153</v>
      </c>
      <c r="K8882" s="355"/>
      <c r="L8882" s="355">
        <f>K8881</f>
        <v>11634.615384615385</v>
      </c>
    </row>
    <row r="8883" spans="1:13" ht="11.25" customHeight="1" x14ac:dyDescent="0.2">
      <c r="A8883" s="210">
        <v>2025</v>
      </c>
      <c r="B8883" s="210">
        <v>6</v>
      </c>
      <c r="C8883" s="210">
        <v>26</v>
      </c>
      <c r="D8883" s="211">
        <f t="shared" si="1060"/>
        <v>45834</v>
      </c>
      <c r="E8883" s="238">
        <f t="shared" si="1061"/>
        <v>45834</v>
      </c>
      <c r="F8883" s="520" t="s">
        <v>1857</v>
      </c>
      <c r="G8883" s="213" t="s">
        <v>1245</v>
      </c>
      <c r="H8883" s="214"/>
      <c r="I8883" s="214" t="s">
        <v>1253</v>
      </c>
      <c r="J8883" s="210" t="s">
        <v>1284</v>
      </c>
      <c r="K8883" s="215">
        <v>2341.8114143920593</v>
      </c>
      <c r="L8883" s="215"/>
      <c r="M8883" s="130"/>
    </row>
    <row r="8884" spans="1:13" ht="11.25" customHeight="1" x14ac:dyDescent="0.2">
      <c r="A8884" s="242">
        <v>2025</v>
      </c>
      <c r="B8884" s="242">
        <v>6</v>
      </c>
      <c r="C8884" s="242">
        <v>26</v>
      </c>
      <c r="D8884" s="243">
        <f t="shared" si="1060"/>
        <v>45834</v>
      </c>
      <c r="E8884" s="244">
        <f>DATE(A8884,B8884,C8884)</f>
        <v>45834</v>
      </c>
      <c r="F8884" s="524"/>
      <c r="G8884" s="245" t="s">
        <v>1245</v>
      </c>
      <c r="H8884" s="246"/>
      <c r="I8884" s="246"/>
      <c r="J8884" s="242" t="s">
        <v>1582</v>
      </c>
      <c r="K8884" s="247"/>
      <c r="L8884" s="247">
        <f>K8883</f>
        <v>2341.8114143920593</v>
      </c>
    </row>
    <row r="8885" spans="1:13" ht="11.25" customHeight="1" x14ac:dyDescent="0.2">
      <c r="A8885" s="210">
        <v>2025</v>
      </c>
      <c r="B8885" s="210">
        <v>6</v>
      </c>
      <c r="C8885" s="210">
        <v>26</v>
      </c>
      <c r="D8885" s="211">
        <f t="shared" si="1060"/>
        <v>45834</v>
      </c>
      <c r="E8885" s="238">
        <f t="shared" ref="E8885:E8901" si="1062">DATE(A8885,B8885,C8885)</f>
        <v>45834</v>
      </c>
      <c r="F8885" s="520" t="s">
        <v>2055</v>
      </c>
      <c r="G8885" s="213" t="s">
        <v>1245</v>
      </c>
      <c r="H8885" s="214"/>
      <c r="I8885" s="214" t="s">
        <v>1253</v>
      </c>
      <c r="J8885" s="210" t="s">
        <v>58</v>
      </c>
      <c r="K8885" s="215">
        <v>17916.79</v>
      </c>
      <c r="L8885" s="215"/>
    </row>
    <row r="8886" spans="1:13" ht="11.25" customHeight="1" x14ac:dyDescent="0.2">
      <c r="A8886" s="216">
        <v>2025</v>
      </c>
      <c r="B8886" s="216">
        <v>6</v>
      </c>
      <c r="C8886" s="216">
        <v>26</v>
      </c>
      <c r="D8886" s="217">
        <f t="shared" si="1060"/>
        <v>45834</v>
      </c>
      <c r="E8886" s="239">
        <f t="shared" si="1062"/>
        <v>45834</v>
      </c>
      <c r="F8886" s="521"/>
      <c r="G8886" s="219" t="s">
        <v>1245</v>
      </c>
      <c r="H8886" s="220"/>
      <c r="I8886" s="220" t="s">
        <v>1253</v>
      </c>
      <c r="J8886" s="216" t="s">
        <v>153</v>
      </c>
      <c r="K8886" s="221"/>
      <c r="L8886" s="221">
        <f>K8885</f>
        <v>17916.79</v>
      </c>
    </row>
    <row r="8887" spans="1:13" ht="11.25" customHeight="1" x14ac:dyDescent="0.2">
      <c r="A8887" s="312">
        <v>2025</v>
      </c>
      <c r="B8887" s="312">
        <v>6</v>
      </c>
      <c r="C8887" s="312">
        <v>26</v>
      </c>
      <c r="D8887" s="313">
        <f t="shared" si="1060"/>
        <v>45834</v>
      </c>
      <c r="E8887" s="314">
        <f t="shared" si="1062"/>
        <v>45834</v>
      </c>
      <c r="F8887" s="522" t="s">
        <v>1477</v>
      </c>
      <c r="G8887" s="315" t="s">
        <v>1245</v>
      </c>
      <c r="H8887" s="316"/>
      <c r="I8887" s="316" t="s">
        <v>1253</v>
      </c>
      <c r="J8887" s="312" t="s">
        <v>1458</v>
      </c>
      <c r="K8887" s="317">
        <v>0</v>
      </c>
      <c r="L8887" s="317"/>
      <c r="M8887" s="120">
        <f>BS!$I$11</f>
        <v>5.9604644775390625E-8</v>
      </c>
    </row>
    <row r="8888" spans="1:13" ht="11.25" customHeight="1" x14ac:dyDescent="0.2">
      <c r="A8888" s="318">
        <v>2025</v>
      </c>
      <c r="B8888" s="318">
        <v>6</v>
      </c>
      <c r="C8888" s="318">
        <v>26</v>
      </c>
      <c r="D8888" s="319">
        <f t="shared" si="1060"/>
        <v>45834</v>
      </c>
      <c r="E8888" s="320">
        <f t="shared" si="1062"/>
        <v>45834</v>
      </c>
      <c r="F8888" s="523"/>
      <c r="G8888" s="321" t="s">
        <v>1245</v>
      </c>
      <c r="H8888" s="322"/>
      <c r="I8888" s="322" t="s">
        <v>1253</v>
      </c>
      <c r="J8888" s="318" t="s">
        <v>1460</v>
      </c>
      <c r="K8888" s="323"/>
      <c r="L8888" s="323">
        <f>K8887</f>
        <v>0</v>
      </c>
    </row>
    <row r="8889" spans="1:13" ht="11.25" customHeight="1" x14ac:dyDescent="0.2">
      <c r="A8889" s="312">
        <v>2025</v>
      </c>
      <c r="B8889" s="312">
        <v>6</v>
      </c>
      <c r="C8889" s="312">
        <v>26</v>
      </c>
      <c r="D8889" s="313">
        <f t="shared" si="1060"/>
        <v>45834</v>
      </c>
      <c r="E8889" s="314">
        <f t="shared" si="1062"/>
        <v>45834</v>
      </c>
      <c r="F8889" s="522" t="s">
        <v>1595</v>
      </c>
      <c r="G8889" s="315" t="s">
        <v>1245</v>
      </c>
      <c r="H8889" s="316"/>
      <c r="I8889" s="316" t="s">
        <v>1253</v>
      </c>
      <c r="J8889" s="312" t="s">
        <v>1459</v>
      </c>
      <c r="K8889" s="317">
        <v>3800366.1090000272</v>
      </c>
      <c r="L8889" s="317"/>
      <c r="M8889" s="120">
        <f>BS!$I$14</f>
        <v>0</v>
      </c>
    </row>
    <row r="8890" spans="1:13" ht="11.25" customHeight="1" x14ac:dyDescent="0.2">
      <c r="A8890" s="318">
        <v>2025</v>
      </c>
      <c r="B8890" s="318">
        <v>6</v>
      </c>
      <c r="C8890" s="318">
        <v>26</v>
      </c>
      <c r="D8890" s="319">
        <f t="shared" si="1060"/>
        <v>45834</v>
      </c>
      <c r="E8890" s="320">
        <f t="shared" si="1062"/>
        <v>45834</v>
      </c>
      <c r="F8890" s="523"/>
      <c r="G8890" s="321" t="s">
        <v>1245</v>
      </c>
      <c r="H8890" s="322"/>
      <c r="I8890" s="322" t="s">
        <v>1253</v>
      </c>
      <c r="J8890" s="318" t="s">
        <v>1461</v>
      </c>
      <c r="K8890" s="323"/>
      <c r="L8890" s="323">
        <f>K8889</f>
        <v>3800366.1090000272</v>
      </c>
    </row>
    <row r="8891" spans="1:13" ht="11.25" customHeight="1" x14ac:dyDescent="0.2">
      <c r="A8891" s="222">
        <v>2025</v>
      </c>
      <c r="B8891" s="222">
        <v>6</v>
      </c>
      <c r="C8891" s="222">
        <v>26</v>
      </c>
      <c r="D8891" s="223">
        <f t="shared" si="1060"/>
        <v>45834</v>
      </c>
      <c r="E8891" s="240">
        <f t="shared" si="1062"/>
        <v>45834</v>
      </c>
      <c r="F8891" s="511" t="s">
        <v>1244</v>
      </c>
      <c r="G8891" s="225" t="s">
        <v>1245</v>
      </c>
      <c r="H8891" s="226"/>
      <c r="I8891" s="226" t="s">
        <v>1253</v>
      </c>
      <c r="J8891" s="222" t="s">
        <v>87</v>
      </c>
      <c r="K8891" s="227">
        <v>114633.29999999981</v>
      </c>
      <c r="L8891" s="227"/>
      <c r="M8891" s="120">
        <f>BS!$I$7</f>
        <v>0</v>
      </c>
    </row>
    <row r="8892" spans="1:13" ht="11.25" customHeight="1" x14ac:dyDescent="0.2">
      <c r="A8892" s="228">
        <v>2025</v>
      </c>
      <c r="B8892" s="228">
        <v>6</v>
      </c>
      <c r="C8892" s="228">
        <v>26</v>
      </c>
      <c r="D8892" s="229">
        <f t="shared" si="1060"/>
        <v>45834</v>
      </c>
      <c r="E8892" s="241">
        <f t="shared" si="1062"/>
        <v>45834</v>
      </c>
      <c r="F8892" s="512"/>
      <c r="G8892" s="231" t="s">
        <v>1245</v>
      </c>
      <c r="H8892" s="232"/>
      <c r="I8892" s="232" t="s">
        <v>1253</v>
      </c>
      <c r="J8892" s="228" t="s">
        <v>72</v>
      </c>
      <c r="K8892" s="233"/>
      <c r="L8892" s="233">
        <f>K8891</f>
        <v>114633.29999999981</v>
      </c>
    </row>
    <row r="8893" spans="1:13" ht="11.25" customHeight="1" x14ac:dyDescent="0.2">
      <c r="A8893" s="222">
        <v>2025</v>
      </c>
      <c r="B8893" s="222">
        <v>6</v>
      </c>
      <c r="C8893" s="222">
        <v>26</v>
      </c>
      <c r="D8893" s="223">
        <f t="shared" si="1060"/>
        <v>45834</v>
      </c>
      <c r="E8893" s="240">
        <f t="shared" si="1062"/>
        <v>45834</v>
      </c>
      <c r="F8893" s="511" t="s">
        <v>1246</v>
      </c>
      <c r="G8893" s="225" t="s">
        <v>1245</v>
      </c>
      <c r="H8893" s="226"/>
      <c r="I8893" s="226" t="s">
        <v>1253</v>
      </c>
      <c r="J8893" s="222" t="s">
        <v>75</v>
      </c>
      <c r="K8893" s="227">
        <v>3623.123846153846</v>
      </c>
      <c r="L8893" s="227"/>
      <c r="M8893" s="130"/>
    </row>
    <row r="8894" spans="1:13" ht="11.25" customHeight="1" x14ac:dyDescent="0.2">
      <c r="A8894" s="228">
        <v>2025</v>
      </c>
      <c r="B8894" s="228">
        <v>6</v>
      </c>
      <c r="C8894" s="228">
        <v>26</v>
      </c>
      <c r="D8894" s="229">
        <f t="shared" si="1060"/>
        <v>45834</v>
      </c>
      <c r="E8894" s="241">
        <f t="shared" si="1062"/>
        <v>45834</v>
      </c>
      <c r="F8894" s="512"/>
      <c r="G8894" s="231" t="s">
        <v>1245</v>
      </c>
      <c r="H8894" s="232"/>
      <c r="I8894" s="232" t="s">
        <v>1253</v>
      </c>
      <c r="J8894" s="228" t="s">
        <v>55</v>
      </c>
      <c r="K8894" s="233"/>
      <c r="L8894" s="233">
        <v>3623.123846153846</v>
      </c>
    </row>
    <row r="8895" spans="1:13" ht="11.25" customHeight="1" x14ac:dyDescent="0.2">
      <c r="A8895" s="222">
        <v>2025</v>
      </c>
      <c r="B8895" s="222">
        <v>6</v>
      </c>
      <c r="C8895" s="222">
        <v>26</v>
      </c>
      <c r="D8895" s="223">
        <f t="shared" si="1060"/>
        <v>45834</v>
      </c>
      <c r="E8895" s="240">
        <f t="shared" si="1062"/>
        <v>45834</v>
      </c>
      <c r="F8895" s="511" t="s">
        <v>1247</v>
      </c>
      <c r="G8895" s="225" t="s">
        <v>1245</v>
      </c>
      <c r="H8895" s="226"/>
      <c r="I8895" s="226" t="s">
        <v>1253</v>
      </c>
      <c r="J8895" s="222" t="s">
        <v>77</v>
      </c>
      <c r="K8895" s="227">
        <f>M8895</f>
        <v>55186.093552226746</v>
      </c>
      <c r="L8895" s="227"/>
      <c r="M8895" s="130">
        <v>55186.093552226746</v>
      </c>
    </row>
    <row r="8896" spans="1:13" ht="11.25" customHeight="1" x14ac:dyDescent="0.2">
      <c r="A8896" s="228">
        <v>2025</v>
      </c>
      <c r="B8896" s="228">
        <v>6</v>
      </c>
      <c r="C8896" s="228">
        <v>26</v>
      </c>
      <c r="D8896" s="229">
        <f t="shared" si="1060"/>
        <v>45834</v>
      </c>
      <c r="E8896" s="241">
        <f t="shared" si="1062"/>
        <v>45834</v>
      </c>
      <c r="F8896" s="512"/>
      <c r="G8896" s="231" t="s">
        <v>1245</v>
      </c>
      <c r="H8896" s="232"/>
      <c r="I8896" s="232" t="s">
        <v>1253</v>
      </c>
      <c r="J8896" s="228" t="s">
        <v>41</v>
      </c>
      <c r="K8896" s="233"/>
      <c r="L8896" s="233">
        <f>K8895</f>
        <v>55186.093552226746</v>
      </c>
      <c r="M8896" s="130">
        <v>5518.6093552226748</v>
      </c>
    </row>
    <row r="8897" spans="1:16" ht="11.25" customHeight="1" x14ac:dyDescent="0.2">
      <c r="A8897" s="222">
        <v>2025</v>
      </c>
      <c r="B8897" s="222">
        <v>6</v>
      </c>
      <c r="C8897" s="222">
        <v>26</v>
      </c>
      <c r="D8897" s="223">
        <f t="shared" si="1060"/>
        <v>45834</v>
      </c>
      <c r="E8897" s="240">
        <f t="shared" si="1062"/>
        <v>45834</v>
      </c>
      <c r="F8897" s="511" t="s">
        <v>1248</v>
      </c>
      <c r="G8897" s="225" t="s">
        <v>1245</v>
      </c>
      <c r="H8897" s="226"/>
      <c r="I8897" s="226" t="s">
        <v>1253</v>
      </c>
      <c r="J8897" s="222" t="s">
        <v>80</v>
      </c>
      <c r="K8897" s="227">
        <f>M8896</f>
        <v>5518.6093552226748</v>
      </c>
      <c r="L8897" s="227"/>
    </row>
    <row r="8898" spans="1:16" ht="11.25" customHeight="1" x14ac:dyDescent="0.2">
      <c r="A8898" s="228">
        <v>2025</v>
      </c>
      <c r="B8898" s="228">
        <v>6</v>
      </c>
      <c r="C8898" s="228">
        <v>26</v>
      </c>
      <c r="D8898" s="229">
        <f t="shared" si="1060"/>
        <v>45834</v>
      </c>
      <c r="E8898" s="241">
        <f t="shared" si="1062"/>
        <v>45834</v>
      </c>
      <c r="F8898" s="512"/>
      <c r="G8898" s="231" t="s">
        <v>1245</v>
      </c>
      <c r="H8898" s="232"/>
      <c r="I8898" s="232" t="s">
        <v>1253</v>
      </c>
      <c r="J8898" s="228" t="s">
        <v>42</v>
      </c>
      <c r="K8898" s="233"/>
      <c r="L8898" s="233">
        <f>K8897</f>
        <v>5518.6093552226748</v>
      </c>
    </row>
    <row r="8899" spans="1:16" ht="11.25" customHeight="1" x14ac:dyDescent="0.2">
      <c r="A8899" s="197">
        <v>2025</v>
      </c>
      <c r="B8899" s="197">
        <v>6</v>
      </c>
      <c r="C8899" s="197">
        <v>29</v>
      </c>
      <c r="D8899" s="198">
        <f t="shared" si="1060"/>
        <v>45837</v>
      </c>
      <c r="E8899" s="209">
        <f t="shared" si="1062"/>
        <v>45837</v>
      </c>
      <c r="F8899" s="513" t="s">
        <v>2050</v>
      </c>
      <c r="G8899" s="200" t="s">
        <v>1209</v>
      </c>
      <c r="H8899" s="201"/>
      <c r="I8899" s="201"/>
      <c r="J8899" s="197" t="s">
        <v>16</v>
      </c>
      <c r="K8899" s="202">
        <v>17540</v>
      </c>
      <c r="L8899" s="202"/>
      <c r="M8899" s="328"/>
      <c r="N8899" s="328"/>
      <c r="O8899" s="455"/>
    </row>
    <row r="8900" spans="1:16" ht="11.25" customHeight="1" x14ac:dyDescent="0.2">
      <c r="A8900" s="120">
        <v>2025</v>
      </c>
      <c r="B8900" s="120">
        <v>6</v>
      </c>
      <c r="C8900" s="120">
        <v>29</v>
      </c>
      <c r="D8900" s="208">
        <f t="shared" si="1060"/>
        <v>45837</v>
      </c>
      <c r="E8900" s="209">
        <f t="shared" si="1062"/>
        <v>45837</v>
      </c>
      <c r="F8900" s="515"/>
      <c r="G8900" s="132" t="s">
        <v>1209</v>
      </c>
      <c r="J8900" s="120" t="s">
        <v>47</v>
      </c>
      <c r="K8900" s="207">
        <v>4460</v>
      </c>
      <c r="L8900" s="207"/>
      <c r="M8900" s="328"/>
      <c r="N8900" s="328"/>
      <c r="P8900" s="455"/>
    </row>
    <row r="8901" spans="1:16" ht="11.25" customHeight="1" x14ac:dyDescent="0.2">
      <c r="A8901" s="191">
        <v>2025</v>
      </c>
      <c r="B8901" s="191">
        <v>6</v>
      </c>
      <c r="C8901" s="191">
        <v>29</v>
      </c>
      <c r="D8901" s="192">
        <f t="shared" si="1060"/>
        <v>45837</v>
      </c>
      <c r="E8901" s="193">
        <f t="shared" si="1062"/>
        <v>45837</v>
      </c>
      <c r="F8901" s="514"/>
      <c r="G8901" s="194" t="s">
        <v>1209</v>
      </c>
      <c r="H8901" s="195"/>
      <c r="I8901" s="195"/>
      <c r="J8901" s="191" t="s">
        <v>46</v>
      </c>
      <c r="K8901" s="196"/>
      <c r="L8901" s="196">
        <v>22000</v>
      </c>
      <c r="M8901" s="328"/>
      <c r="N8901" s="328"/>
      <c r="P8901" s="455"/>
    </row>
    <row r="8902" spans="1:16" ht="11.25" customHeight="1" x14ac:dyDescent="0.2">
      <c r="A8902" s="197">
        <v>2025</v>
      </c>
      <c r="B8902" s="197">
        <v>6</v>
      </c>
      <c r="C8902" s="197">
        <v>29</v>
      </c>
      <c r="D8902" s="198">
        <f t="shared" si="1060"/>
        <v>45837</v>
      </c>
      <c r="E8902" s="290">
        <f>DATE(A8902,B8902,C8902)</f>
        <v>45837</v>
      </c>
      <c r="F8902" s="513" t="s">
        <v>2045</v>
      </c>
      <c r="G8902" s="200" t="s">
        <v>1209</v>
      </c>
      <c r="H8902" s="201"/>
      <c r="I8902" s="201" t="s">
        <v>1253</v>
      </c>
      <c r="J8902" s="197" t="s">
        <v>46</v>
      </c>
      <c r="K8902" s="202">
        <v>1118750</v>
      </c>
      <c r="L8902" s="202"/>
    </row>
    <row r="8903" spans="1:16" ht="11.25" customHeight="1" x14ac:dyDescent="0.2">
      <c r="A8903" s="191">
        <v>2025</v>
      </c>
      <c r="B8903" s="191">
        <v>6</v>
      </c>
      <c r="C8903" s="191">
        <v>29</v>
      </c>
      <c r="D8903" s="192">
        <f t="shared" si="1060"/>
        <v>45837</v>
      </c>
      <c r="E8903" s="291">
        <f>DATE(A8903,B8903,C8903)</f>
        <v>45837</v>
      </c>
      <c r="F8903" s="514"/>
      <c r="G8903" s="194" t="s">
        <v>1209</v>
      </c>
      <c r="H8903" s="195"/>
      <c r="I8903" s="195"/>
      <c r="J8903" s="191" t="s">
        <v>1845</v>
      </c>
      <c r="K8903" s="196"/>
      <c r="L8903" s="196">
        <v>1118750</v>
      </c>
    </row>
    <row r="8904" spans="1:16" ht="11.25" customHeight="1" x14ac:dyDescent="0.2">
      <c r="A8904" s="197">
        <v>2025</v>
      </c>
      <c r="B8904" s="197">
        <v>6</v>
      </c>
      <c r="C8904" s="197">
        <v>29</v>
      </c>
      <c r="D8904" s="198">
        <f t="shared" si="1060"/>
        <v>45837</v>
      </c>
      <c r="E8904" s="290">
        <f>DATE(A8904,B8904,C8904)</f>
        <v>45837</v>
      </c>
      <c r="F8904" s="513" t="s">
        <v>1954</v>
      </c>
      <c r="G8904" s="200" t="s">
        <v>1209</v>
      </c>
      <c r="H8904" s="201"/>
      <c r="I8904" s="201" t="s">
        <v>1253</v>
      </c>
      <c r="J8904" s="197" t="s">
        <v>46</v>
      </c>
      <c r="K8904" s="202">
        <v>1346625</v>
      </c>
      <c r="L8904" s="202"/>
    </row>
    <row r="8905" spans="1:16" ht="11.25" customHeight="1" x14ac:dyDescent="0.2">
      <c r="A8905" s="191">
        <v>2025</v>
      </c>
      <c r="B8905" s="191">
        <v>6</v>
      </c>
      <c r="C8905" s="191">
        <v>29</v>
      </c>
      <c r="D8905" s="192">
        <f t="shared" si="1060"/>
        <v>45837</v>
      </c>
      <c r="E8905" s="291">
        <f>DATE(A8905,B8905,C8905)</f>
        <v>45837</v>
      </c>
      <c r="F8905" s="514"/>
      <c r="G8905" s="194" t="s">
        <v>1209</v>
      </c>
      <c r="H8905" s="195"/>
      <c r="I8905" s="195"/>
      <c r="J8905" s="191" t="s">
        <v>1845</v>
      </c>
      <c r="K8905" s="196"/>
      <c r="L8905" s="196">
        <v>1346625</v>
      </c>
    </row>
    <row r="8906" spans="1:16" ht="11.25" customHeight="1" x14ac:dyDescent="0.2">
      <c r="A8906" s="197">
        <v>2025</v>
      </c>
      <c r="B8906" s="197">
        <v>6</v>
      </c>
      <c r="C8906" s="197">
        <v>29</v>
      </c>
      <c r="D8906" s="198">
        <f t="shared" si="1060"/>
        <v>45837</v>
      </c>
      <c r="E8906" s="209">
        <f t="shared" ref="E8906:E8908" si="1063">DATE(A8906,B8906,C8906)</f>
        <v>45837</v>
      </c>
      <c r="F8906" s="513" t="s">
        <v>1210</v>
      </c>
      <c r="G8906" s="200" t="s">
        <v>1209</v>
      </c>
      <c r="H8906" s="201"/>
      <c r="I8906" s="201"/>
      <c r="J8906" s="197" t="s">
        <v>46</v>
      </c>
      <c r="K8906" s="202">
        <v>300000</v>
      </c>
      <c r="L8906" s="202"/>
    </row>
    <row r="8907" spans="1:16" ht="11.25" customHeight="1" x14ac:dyDescent="0.2">
      <c r="A8907" s="120">
        <v>2025</v>
      </c>
      <c r="B8907" s="120">
        <v>6</v>
      </c>
      <c r="C8907" s="120">
        <v>29</v>
      </c>
      <c r="D8907" s="208">
        <f t="shared" si="1060"/>
        <v>45837</v>
      </c>
      <c r="E8907" s="209">
        <f t="shared" si="1063"/>
        <v>45837</v>
      </c>
      <c r="F8907" s="515"/>
      <c r="G8907" s="132" t="s">
        <v>1209</v>
      </c>
      <c r="J8907" s="120" t="s">
        <v>16</v>
      </c>
      <c r="K8907" s="207"/>
      <c r="L8907" s="207">
        <v>238820</v>
      </c>
    </row>
    <row r="8908" spans="1:16" ht="11.25" customHeight="1" x14ac:dyDescent="0.2">
      <c r="A8908" s="191">
        <v>2025</v>
      </c>
      <c r="B8908" s="191">
        <v>6</v>
      </c>
      <c r="C8908" s="191">
        <v>29</v>
      </c>
      <c r="D8908" s="192">
        <f t="shared" si="1060"/>
        <v>45837</v>
      </c>
      <c r="E8908" s="193">
        <f t="shared" si="1063"/>
        <v>45837</v>
      </c>
      <c r="F8908" s="514"/>
      <c r="G8908" s="194" t="s">
        <v>1209</v>
      </c>
      <c r="H8908" s="195"/>
      <c r="I8908" s="195"/>
      <c r="J8908" s="191" t="s">
        <v>47</v>
      </c>
      <c r="K8908" s="196"/>
      <c r="L8908" s="196">
        <v>61180</v>
      </c>
    </row>
    <row r="8909" spans="1:16" ht="11.25" customHeight="1" x14ac:dyDescent="0.2">
      <c r="A8909" s="197">
        <v>2025</v>
      </c>
      <c r="B8909" s="197">
        <v>6</v>
      </c>
      <c r="C8909" s="197">
        <v>29</v>
      </c>
      <c r="D8909" s="198">
        <f t="shared" si="1060"/>
        <v>45837</v>
      </c>
      <c r="E8909" s="209">
        <f t="shared" ref="E8909:E8911" si="1064">DATE(A8909,B8909,C8909)</f>
        <v>45837</v>
      </c>
      <c r="F8909" s="513" t="s">
        <v>1210</v>
      </c>
      <c r="G8909" s="200" t="s">
        <v>1209</v>
      </c>
      <c r="H8909" s="201"/>
      <c r="I8909" s="201"/>
      <c r="J8909" s="197" t="s">
        <v>46</v>
      </c>
      <c r="K8909" s="202">
        <v>250000</v>
      </c>
      <c r="L8909" s="202"/>
    </row>
    <row r="8910" spans="1:16" ht="11.25" customHeight="1" x14ac:dyDescent="0.2">
      <c r="A8910" s="120">
        <v>2025</v>
      </c>
      <c r="B8910" s="120">
        <v>6</v>
      </c>
      <c r="C8910" s="120">
        <v>29</v>
      </c>
      <c r="D8910" s="208">
        <f t="shared" si="1060"/>
        <v>45837</v>
      </c>
      <c r="E8910" s="209">
        <f t="shared" si="1064"/>
        <v>45837</v>
      </c>
      <c r="F8910" s="515"/>
      <c r="G8910" s="132" t="s">
        <v>1209</v>
      </c>
      <c r="J8910" s="120" t="s">
        <v>16</v>
      </c>
      <c r="K8910" s="207"/>
      <c r="L8910" s="207">
        <v>199010</v>
      </c>
    </row>
    <row r="8911" spans="1:16" ht="11.25" customHeight="1" x14ac:dyDescent="0.2">
      <c r="A8911" s="191">
        <v>2025</v>
      </c>
      <c r="B8911" s="191">
        <v>6</v>
      </c>
      <c r="C8911" s="191">
        <v>29</v>
      </c>
      <c r="D8911" s="192">
        <f t="shared" si="1060"/>
        <v>45837</v>
      </c>
      <c r="E8911" s="193">
        <f t="shared" si="1064"/>
        <v>45837</v>
      </c>
      <c r="F8911" s="514"/>
      <c r="G8911" s="194" t="s">
        <v>1209</v>
      </c>
      <c r="H8911" s="195"/>
      <c r="I8911" s="195"/>
      <c r="J8911" s="191" t="s">
        <v>47</v>
      </c>
      <c r="K8911" s="196"/>
      <c r="L8911" s="196">
        <v>50990</v>
      </c>
    </row>
    <row r="8912" spans="1:16" ht="11.25" customHeight="1" x14ac:dyDescent="0.2">
      <c r="A8912" s="197">
        <v>2025</v>
      </c>
      <c r="B8912" s="197">
        <v>6</v>
      </c>
      <c r="C8912" s="197">
        <v>29</v>
      </c>
      <c r="D8912" s="198">
        <f t="shared" si="1060"/>
        <v>45837</v>
      </c>
      <c r="E8912" s="209">
        <f t="shared" ref="E8912:E8914" si="1065">DATE(A8912,B8912,C8912)</f>
        <v>45837</v>
      </c>
      <c r="F8912" s="513" t="s">
        <v>1210</v>
      </c>
      <c r="G8912" s="200" t="s">
        <v>1209</v>
      </c>
      <c r="H8912" s="201"/>
      <c r="I8912" s="201"/>
      <c r="J8912" s="197" t="s">
        <v>46</v>
      </c>
      <c r="K8912" s="202">
        <v>200000</v>
      </c>
      <c r="L8912" s="202"/>
    </row>
    <row r="8913" spans="1:12" ht="11.25" customHeight="1" x14ac:dyDescent="0.2">
      <c r="A8913" s="120">
        <v>2025</v>
      </c>
      <c r="B8913" s="120">
        <v>6</v>
      </c>
      <c r="C8913" s="120">
        <v>29</v>
      </c>
      <c r="D8913" s="208">
        <f t="shared" si="1060"/>
        <v>45837</v>
      </c>
      <c r="E8913" s="209">
        <f t="shared" si="1065"/>
        <v>45837</v>
      </c>
      <c r="F8913" s="515"/>
      <c r="G8913" s="132" t="s">
        <v>1209</v>
      </c>
      <c r="J8913" s="120" t="s">
        <v>16</v>
      </c>
      <c r="K8913" s="207"/>
      <c r="L8913" s="207">
        <v>159210</v>
      </c>
    </row>
    <row r="8914" spans="1:12" ht="11.25" customHeight="1" x14ac:dyDescent="0.2">
      <c r="A8914" s="191">
        <v>2025</v>
      </c>
      <c r="B8914" s="191">
        <v>6</v>
      </c>
      <c r="C8914" s="191">
        <v>29</v>
      </c>
      <c r="D8914" s="192">
        <f t="shared" si="1060"/>
        <v>45837</v>
      </c>
      <c r="E8914" s="193">
        <f t="shared" si="1065"/>
        <v>45837</v>
      </c>
      <c r="F8914" s="514"/>
      <c r="G8914" s="194" t="s">
        <v>1209</v>
      </c>
      <c r="H8914" s="195"/>
      <c r="I8914" s="195"/>
      <c r="J8914" s="191" t="s">
        <v>47</v>
      </c>
      <c r="K8914" s="196"/>
      <c r="L8914" s="196">
        <v>40790</v>
      </c>
    </row>
    <row r="8915" spans="1:12" ht="11.25" customHeight="1" x14ac:dyDescent="0.2">
      <c r="A8915" s="197">
        <v>2025</v>
      </c>
      <c r="B8915" s="197">
        <v>6</v>
      </c>
      <c r="C8915" s="197">
        <v>29</v>
      </c>
      <c r="D8915" s="198">
        <f t="shared" si="1060"/>
        <v>45837</v>
      </c>
      <c r="E8915" s="209">
        <f t="shared" ref="E8915:E8917" si="1066">DATE(A8915,B8915,C8915)</f>
        <v>45837</v>
      </c>
      <c r="F8915" s="513" t="s">
        <v>1210</v>
      </c>
      <c r="G8915" s="200" t="s">
        <v>1209</v>
      </c>
      <c r="H8915" s="201"/>
      <c r="I8915" s="201"/>
      <c r="J8915" s="197" t="s">
        <v>46</v>
      </c>
      <c r="K8915" s="202">
        <v>300000</v>
      </c>
      <c r="L8915" s="202"/>
    </row>
    <row r="8916" spans="1:12" ht="11.25" customHeight="1" x14ac:dyDescent="0.2">
      <c r="A8916" s="120">
        <v>2025</v>
      </c>
      <c r="B8916" s="120">
        <v>6</v>
      </c>
      <c r="C8916" s="120">
        <v>29</v>
      </c>
      <c r="D8916" s="208">
        <f t="shared" si="1060"/>
        <v>45837</v>
      </c>
      <c r="E8916" s="209">
        <f t="shared" si="1066"/>
        <v>45837</v>
      </c>
      <c r="F8916" s="515"/>
      <c r="G8916" s="132" t="s">
        <v>1209</v>
      </c>
      <c r="J8916" s="120" t="s">
        <v>16</v>
      </c>
      <c r="K8916" s="207"/>
      <c r="L8916" s="207">
        <v>238820</v>
      </c>
    </row>
    <row r="8917" spans="1:12" ht="11.25" customHeight="1" x14ac:dyDescent="0.2">
      <c r="A8917" s="191">
        <v>2025</v>
      </c>
      <c r="B8917" s="191">
        <v>6</v>
      </c>
      <c r="C8917" s="191">
        <v>29</v>
      </c>
      <c r="D8917" s="192">
        <f t="shared" si="1060"/>
        <v>45837</v>
      </c>
      <c r="E8917" s="193">
        <f t="shared" si="1066"/>
        <v>45837</v>
      </c>
      <c r="F8917" s="514"/>
      <c r="G8917" s="194" t="s">
        <v>1209</v>
      </c>
      <c r="H8917" s="195"/>
      <c r="I8917" s="195"/>
      <c r="J8917" s="191" t="s">
        <v>47</v>
      </c>
      <c r="K8917" s="196"/>
      <c r="L8917" s="196">
        <v>61180</v>
      </c>
    </row>
    <row r="8918" spans="1:12" ht="11.25" customHeight="1" x14ac:dyDescent="0.2">
      <c r="A8918" s="197">
        <v>2025</v>
      </c>
      <c r="B8918" s="197">
        <v>6</v>
      </c>
      <c r="C8918" s="197">
        <v>29</v>
      </c>
      <c r="D8918" s="198">
        <f t="shared" si="1060"/>
        <v>45837</v>
      </c>
      <c r="E8918" s="209">
        <f t="shared" ref="E8918:E8920" si="1067">DATE(A8918,B8918,C8918)</f>
        <v>45837</v>
      </c>
      <c r="F8918" s="513" t="s">
        <v>1210</v>
      </c>
      <c r="G8918" s="200" t="s">
        <v>1209</v>
      </c>
      <c r="H8918" s="201"/>
      <c r="I8918" s="201"/>
      <c r="J8918" s="197" t="s">
        <v>46</v>
      </c>
      <c r="K8918" s="202">
        <v>300000</v>
      </c>
      <c r="L8918" s="202"/>
    </row>
    <row r="8919" spans="1:12" ht="11.25" customHeight="1" x14ac:dyDescent="0.2">
      <c r="A8919" s="120">
        <v>2025</v>
      </c>
      <c r="B8919" s="120">
        <v>6</v>
      </c>
      <c r="C8919" s="120">
        <v>29</v>
      </c>
      <c r="D8919" s="208">
        <f t="shared" si="1060"/>
        <v>45837</v>
      </c>
      <c r="E8919" s="209">
        <f t="shared" si="1067"/>
        <v>45837</v>
      </c>
      <c r="F8919" s="515"/>
      <c r="G8919" s="132" t="s">
        <v>1209</v>
      </c>
      <c r="J8919" s="120" t="s">
        <v>16</v>
      </c>
      <c r="K8919" s="207"/>
      <c r="L8919" s="207">
        <v>238820</v>
      </c>
    </row>
    <row r="8920" spans="1:12" ht="11.25" customHeight="1" x14ac:dyDescent="0.2">
      <c r="A8920" s="191">
        <v>2025</v>
      </c>
      <c r="B8920" s="191">
        <v>6</v>
      </c>
      <c r="C8920" s="191">
        <v>29</v>
      </c>
      <c r="D8920" s="192">
        <f t="shared" si="1060"/>
        <v>45837</v>
      </c>
      <c r="E8920" s="193">
        <f t="shared" si="1067"/>
        <v>45837</v>
      </c>
      <c r="F8920" s="514"/>
      <c r="G8920" s="194" t="s">
        <v>1209</v>
      </c>
      <c r="H8920" s="195"/>
      <c r="I8920" s="195"/>
      <c r="J8920" s="191" t="s">
        <v>47</v>
      </c>
      <c r="K8920" s="196"/>
      <c r="L8920" s="196">
        <v>61180</v>
      </c>
    </row>
    <row r="8921" spans="1:12" ht="11.25" customHeight="1" x14ac:dyDescent="0.2">
      <c r="A8921" s="197">
        <v>2025</v>
      </c>
      <c r="B8921" s="197">
        <v>6</v>
      </c>
      <c r="C8921" s="197">
        <v>29</v>
      </c>
      <c r="D8921" s="198">
        <f t="shared" si="1060"/>
        <v>45837</v>
      </c>
      <c r="E8921" s="209">
        <f t="shared" ref="E8921:E8923" si="1068">DATE(A8921,B8921,C8921)</f>
        <v>45837</v>
      </c>
      <c r="F8921" s="513" t="s">
        <v>1210</v>
      </c>
      <c r="G8921" s="200" t="s">
        <v>1209</v>
      </c>
      <c r="H8921" s="201"/>
      <c r="I8921" s="201"/>
      <c r="J8921" s="197" t="s">
        <v>46</v>
      </c>
      <c r="K8921" s="202">
        <v>200000</v>
      </c>
      <c r="L8921" s="202"/>
    </row>
    <row r="8922" spans="1:12" ht="11.25" customHeight="1" x14ac:dyDescent="0.2">
      <c r="A8922" s="120">
        <v>2025</v>
      </c>
      <c r="B8922" s="120">
        <v>6</v>
      </c>
      <c r="C8922" s="120">
        <v>29</v>
      </c>
      <c r="D8922" s="208">
        <f t="shared" si="1060"/>
        <v>45837</v>
      </c>
      <c r="E8922" s="209">
        <f t="shared" si="1068"/>
        <v>45837</v>
      </c>
      <c r="F8922" s="515"/>
      <c r="G8922" s="132" t="s">
        <v>1209</v>
      </c>
      <c r="J8922" s="120" t="s">
        <v>16</v>
      </c>
      <c r="K8922" s="207"/>
      <c r="L8922" s="207">
        <v>159210</v>
      </c>
    </row>
    <row r="8923" spans="1:12" ht="11.25" customHeight="1" x14ac:dyDescent="0.2">
      <c r="A8923" s="191">
        <v>2025</v>
      </c>
      <c r="B8923" s="191">
        <v>6</v>
      </c>
      <c r="C8923" s="191">
        <v>29</v>
      </c>
      <c r="D8923" s="192">
        <f t="shared" si="1060"/>
        <v>45837</v>
      </c>
      <c r="E8923" s="193">
        <f t="shared" si="1068"/>
        <v>45837</v>
      </c>
      <c r="F8923" s="514"/>
      <c r="G8923" s="194" t="s">
        <v>1209</v>
      </c>
      <c r="H8923" s="195"/>
      <c r="I8923" s="195"/>
      <c r="J8923" s="191" t="s">
        <v>47</v>
      </c>
      <c r="K8923" s="196"/>
      <c r="L8923" s="196">
        <v>40790</v>
      </c>
    </row>
    <row r="8924" spans="1:12" ht="11.25" customHeight="1" x14ac:dyDescent="0.2">
      <c r="A8924" s="197">
        <v>2025</v>
      </c>
      <c r="B8924" s="197">
        <v>6</v>
      </c>
      <c r="C8924" s="197">
        <v>29</v>
      </c>
      <c r="D8924" s="198">
        <f t="shared" si="1060"/>
        <v>45837</v>
      </c>
      <c r="E8924" s="209">
        <f t="shared" ref="E8924:E8926" si="1069">DATE(A8924,B8924,C8924)</f>
        <v>45837</v>
      </c>
      <c r="F8924" s="513" t="s">
        <v>1210</v>
      </c>
      <c r="G8924" s="200" t="s">
        <v>1209</v>
      </c>
      <c r="H8924" s="201"/>
      <c r="I8924" s="201"/>
      <c r="J8924" s="197" t="s">
        <v>46</v>
      </c>
      <c r="K8924" s="202">
        <v>600000</v>
      </c>
      <c r="L8924" s="202"/>
    </row>
    <row r="8925" spans="1:12" ht="11.25" customHeight="1" x14ac:dyDescent="0.2">
      <c r="A8925" s="120">
        <v>2025</v>
      </c>
      <c r="B8925" s="120">
        <v>6</v>
      </c>
      <c r="C8925" s="120">
        <v>29</v>
      </c>
      <c r="D8925" s="208">
        <f t="shared" si="1060"/>
        <v>45837</v>
      </c>
      <c r="E8925" s="209">
        <f t="shared" si="1069"/>
        <v>45837</v>
      </c>
      <c r="F8925" s="515"/>
      <c r="G8925" s="132" t="s">
        <v>1209</v>
      </c>
      <c r="J8925" s="120" t="s">
        <v>16</v>
      </c>
      <c r="K8925" s="207"/>
      <c r="L8925" s="207">
        <v>477630</v>
      </c>
    </row>
    <row r="8926" spans="1:12" ht="11.25" customHeight="1" x14ac:dyDescent="0.2">
      <c r="A8926" s="191">
        <v>2025</v>
      </c>
      <c r="B8926" s="191">
        <v>6</v>
      </c>
      <c r="C8926" s="191">
        <v>29</v>
      </c>
      <c r="D8926" s="192">
        <f t="shared" si="1060"/>
        <v>45837</v>
      </c>
      <c r="E8926" s="193">
        <f t="shared" si="1069"/>
        <v>45837</v>
      </c>
      <c r="F8926" s="514"/>
      <c r="G8926" s="194" t="s">
        <v>1209</v>
      </c>
      <c r="H8926" s="195"/>
      <c r="I8926" s="195"/>
      <c r="J8926" s="191" t="s">
        <v>47</v>
      </c>
      <c r="K8926" s="196"/>
      <c r="L8926" s="196">
        <v>122370</v>
      </c>
    </row>
    <row r="8927" spans="1:12" ht="11.25" customHeight="1" x14ac:dyDescent="0.2">
      <c r="A8927" s="197">
        <v>2025</v>
      </c>
      <c r="B8927" s="197">
        <v>6</v>
      </c>
      <c r="C8927" s="197">
        <v>29</v>
      </c>
      <c r="D8927" s="198">
        <f t="shared" si="1060"/>
        <v>45837</v>
      </c>
      <c r="E8927" s="209">
        <f t="shared" ref="E8927:E8929" si="1070">DATE(A8927,B8927,C8927)</f>
        <v>45837</v>
      </c>
      <c r="F8927" s="513" t="s">
        <v>1210</v>
      </c>
      <c r="G8927" s="200" t="s">
        <v>1209</v>
      </c>
      <c r="H8927" s="201"/>
      <c r="I8927" s="201"/>
      <c r="J8927" s="197" t="s">
        <v>46</v>
      </c>
      <c r="K8927" s="202">
        <v>100000</v>
      </c>
      <c r="L8927" s="202"/>
    </row>
    <row r="8928" spans="1:12" ht="11.25" customHeight="1" x14ac:dyDescent="0.2">
      <c r="A8928" s="120">
        <v>2025</v>
      </c>
      <c r="B8928" s="120">
        <v>6</v>
      </c>
      <c r="C8928" s="120">
        <v>29</v>
      </c>
      <c r="D8928" s="208">
        <f t="shared" si="1060"/>
        <v>45837</v>
      </c>
      <c r="E8928" s="209">
        <f t="shared" si="1070"/>
        <v>45837</v>
      </c>
      <c r="F8928" s="515"/>
      <c r="G8928" s="132" t="s">
        <v>1209</v>
      </c>
      <c r="J8928" s="120" t="s">
        <v>16</v>
      </c>
      <c r="K8928" s="207"/>
      <c r="L8928" s="207">
        <v>79610</v>
      </c>
    </row>
    <row r="8929" spans="1:15" ht="11.25" customHeight="1" x14ac:dyDescent="0.2">
      <c r="A8929" s="191">
        <v>2025</v>
      </c>
      <c r="B8929" s="191">
        <v>6</v>
      </c>
      <c r="C8929" s="191">
        <v>29</v>
      </c>
      <c r="D8929" s="192">
        <f t="shared" si="1060"/>
        <v>45837</v>
      </c>
      <c r="E8929" s="193">
        <f t="shared" si="1070"/>
        <v>45837</v>
      </c>
      <c r="F8929" s="514"/>
      <c r="G8929" s="194" t="s">
        <v>1209</v>
      </c>
      <c r="H8929" s="195"/>
      <c r="I8929" s="195"/>
      <c r="J8929" s="191" t="s">
        <v>47</v>
      </c>
      <c r="K8929" s="196"/>
      <c r="L8929" s="196">
        <v>20390</v>
      </c>
    </row>
    <row r="8930" spans="1:15" ht="11.25" customHeight="1" x14ac:dyDescent="0.2">
      <c r="A8930" s="197">
        <v>2025</v>
      </c>
      <c r="B8930" s="197">
        <v>6</v>
      </c>
      <c r="C8930" s="197">
        <v>29</v>
      </c>
      <c r="D8930" s="198">
        <f t="shared" si="1060"/>
        <v>45837</v>
      </c>
      <c r="E8930" s="209">
        <f t="shared" ref="E8930:E8932" si="1071">DATE(A8930,B8930,C8930)</f>
        <v>45837</v>
      </c>
      <c r="F8930" s="513" t="s">
        <v>1210</v>
      </c>
      <c r="G8930" s="200" t="s">
        <v>1209</v>
      </c>
      <c r="H8930" s="201"/>
      <c r="I8930" s="201"/>
      <c r="J8930" s="197" t="s">
        <v>46</v>
      </c>
      <c r="K8930" s="202">
        <v>100000</v>
      </c>
      <c r="L8930" s="202"/>
    </row>
    <row r="8931" spans="1:15" ht="11.25" customHeight="1" x14ac:dyDescent="0.2">
      <c r="A8931" s="120">
        <v>2025</v>
      </c>
      <c r="B8931" s="120">
        <v>6</v>
      </c>
      <c r="C8931" s="120">
        <v>29</v>
      </c>
      <c r="D8931" s="208">
        <f t="shared" si="1060"/>
        <v>45837</v>
      </c>
      <c r="E8931" s="209">
        <f t="shared" si="1071"/>
        <v>45837</v>
      </c>
      <c r="F8931" s="515"/>
      <c r="G8931" s="132" t="s">
        <v>1209</v>
      </c>
      <c r="J8931" s="120" t="s">
        <v>16</v>
      </c>
      <c r="K8931" s="207"/>
      <c r="L8931" s="207">
        <v>79610</v>
      </c>
    </row>
    <row r="8932" spans="1:15" ht="11.25" customHeight="1" x14ac:dyDescent="0.2">
      <c r="A8932" s="191">
        <v>2025</v>
      </c>
      <c r="B8932" s="191">
        <v>6</v>
      </c>
      <c r="C8932" s="191">
        <v>29</v>
      </c>
      <c r="D8932" s="192">
        <f t="shared" si="1060"/>
        <v>45837</v>
      </c>
      <c r="E8932" s="193">
        <f t="shared" si="1071"/>
        <v>45837</v>
      </c>
      <c r="F8932" s="514"/>
      <c r="G8932" s="194" t="s">
        <v>1209</v>
      </c>
      <c r="H8932" s="195"/>
      <c r="I8932" s="195"/>
      <c r="J8932" s="191" t="s">
        <v>47</v>
      </c>
      <c r="K8932" s="196"/>
      <c r="L8932" s="196">
        <v>20390</v>
      </c>
    </row>
    <row r="8933" spans="1:15" ht="11.25" customHeight="1" x14ac:dyDescent="0.2">
      <c r="A8933" s="197">
        <v>2025</v>
      </c>
      <c r="B8933" s="197">
        <v>6</v>
      </c>
      <c r="C8933" s="197">
        <v>29</v>
      </c>
      <c r="D8933" s="198">
        <f t="shared" si="1060"/>
        <v>45837</v>
      </c>
      <c r="E8933" s="209">
        <f t="shared" ref="E8933:E8935" si="1072">DATE(A8933,B8933,C8933)</f>
        <v>45837</v>
      </c>
      <c r="F8933" s="513" t="s">
        <v>1210</v>
      </c>
      <c r="G8933" s="200" t="s">
        <v>1209</v>
      </c>
      <c r="H8933" s="201"/>
      <c r="I8933" s="201"/>
      <c r="J8933" s="197" t="s">
        <v>46</v>
      </c>
      <c r="K8933" s="202">
        <v>60000</v>
      </c>
      <c r="L8933" s="202"/>
    </row>
    <row r="8934" spans="1:15" ht="11.25" customHeight="1" x14ac:dyDescent="0.2">
      <c r="A8934" s="120">
        <v>2025</v>
      </c>
      <c r="B8934" s="120">
        <v>6</v>
      </c>
      <c r="C8934" s="120">
        <v>29</v>
      </c>
      <c r="D8934" s="208">
        <f t="shared" si="1060"/>
        <v>45837</v>
      </c>
      <c r="E8934" s="209">
        <f t="shared" si="1072"/>
        <v>45837</v>
      </c>
      <c r="F8934" s="515"/>
      <c r="G8934" s="132" t="s">
        <v>1209</v>
      </c>
      <c r="J8934" s="120" t="s">
        <v>16</v>
      </c>
      <c r="K8934" s="207"/>
      <c r="L8934" s="207">
        <v>47760</v>
      </c>
    </row>
    <row r="8935" spans="1:15" ht="11.25" customHeight="1" x14ac:dyDescent="0.2">
      <c r="A8935" s="191">
        <v>2025</v>
      </c>
      <c r="B8935" s="191">
        <v>6</v>
      </c>
      <c r="C8935" s="191">
        <v>29</v>
      </c>
      <c r="D8935" s="192">
        <f t="shared" si="1060"/>
        <v>45837</v>
      </c>
      <c r="E8935" s="193">
        <f t="shared" si="1072"/>
        <v>45837</v>
      </c>
      <c r="F8935" s="514"/>
      <c r="G8935" s="194" t="s">
        <v>1209</v>
      </c>
      <c r="H8935" s="195"/>
      <c r="I8935" s="195"/>
      <c r="J8935" s="191" t="s">
        <v>47</v>
      </c>
      <c r="K8935" s="196"/>
      <c r="L8935" s="196">
        <v>12240</v>
      </c>
    </row>
    <row r="8936" spans="1:15" ht="11.25" customHeight="1" x14ac:dyDescent="0.2">
      <c r="A8936" s="197">
        <v>2025</v>
      </c>
      <c r="B8936" s="197">
        <v>6</v>
      </c>
      <c r="C8936" s="197">
        <v>29</v>
      </c>
      <c r="D8936" s="198">
        <f t="shared" si="1060"/>
        <v>45837</v>
      </c>
      <c r="E8936" s="290">
        <f>DATE(A8936,B8936,C8936)</f>
        <v>45837</v>
      </c>
      <c r="F8936" s="513" t="s">
        <v>1514</v>
      </c>
      <c r="G8936" s="200" t="s">
        <v>1209</v>
      </c>
      <c r="H8936" s="201"/>
      <c r="I8936" s="201"/>
      <c r="J8936" s="197" t="s">
        <v>54</v>
      </c>
      <c r="K8936" s="202">
        <v>25</v>
      </c>
      <c r="L8936" s="202"/>
      <c r="M8936" s="251"/>
      <c r="N8936" s="251"/>
      <c r="O8936" s="251"/>
    </row>
    <row r="8937" spans="1:15" ht="11.25" customHeight="1" x14ac:dyDescent="0.2">
      <c r="A8937" s="191">
        <v>2025</v>
      </c>
      <c r="B8937" s="191">
        <v>6</v>
      </c>
      <c r="C8937" s="191">
        <v>29</v>
      </c>
      <c r="D8937" s="192">
        <f t="shared" si="1060"/>
        <v>45837</v>
      </c>
      <c r="E8937" s="291">
        <f>DATE(A8937,B8937,C8937)</f>
        <v>45837</v>
      </c>
      <c r="F8937" s="514"/>
      <c r="G8937" s="194" t="s">
        <v>1209</v>
      </c>
      <c r="H8937" s="195"/>
      <c r="I8937" s="195"/>
      <c r="J8937" s="191" t="s">
        <v>46</v>
      </c>
      <c r="K8937" s="196"/>
      <c r="L8937" s="196">
        <v>25</v>
      </c>
      <c r="M8937" s="251"/>
      <c r="N8937" s="251"/>
      <c r="O8937" s="251"/>
    </row>
    <row r="8938" spans="1:15" ht="11.25" customHeight="1" x14ac:dyDescent="0.2">
      <c r="A8938" s="197">
        <v>2025</v>
      </c>
      <c r="B8938" s="197">
        <v>6</v>
      </c>
      <c r="C8938" s="197">
        <v>30</v>
      </c>
      <c r="D8938" s="198">
        <f t="shared" si="1060"/>
        <v>45838</v>
      </c>
      <c r="E8938" s="209">
        <f t="shared" ref="E8938:E8940" si="1073">DATE(A8938,B8938,C8938)</f>
        <v>45838</v>
      </c>
      <c r="F8938" s="513" t="s">
        <v>1210</v>
      </c>
      <c r="G8938" s="200" t="s">
        <v>1209</v>
      </c>
      <c r="H8938" s="201"/>
      <c r="I8938" s="201"/>
      <c r="J8938" s="197" t="s">
        <v>46</v>
      </c>
      <c r="K8938" s="202">
        <v>70000</v>
      </c>
      <c r="L8938" s="202"/>
    </row>
    <row r="8939" spans="1:15" ht="11.25" customHeight="1" x14ac:dyDescent="0.2">
      <c r="A8939" s="120">
        <v>2025</v>
      </c>
      <c r="B8939" s="120">
        <v>6</v>
      </c>
      <c r="C8939" s="120">
        <v>30</v>
      </c>
      <c r="D8939" s="208">
        <f t="shared" si="1060"/>
        <v>45838</v>
      </c>
      <c r="E8939" s="209">
        <f t="shared" si="1073"/>
        <v>45838</v>
      </c>
      <c r="F8939" s="515"/>
      <c r="G8939" s="132" t="s">
        <v>1209</v>
      </c>
      <c r="J8939" s="120" t="s">
        <v>16</v>
      </c>
      <c r="K8939" s="207"/>
      <c r="L8939" s="207">
        <v>55720</v>
      </c>
    </row>
    <row r="8940" spans="1:15" ht="11.25" customHeight="1" x14ac:dyDescent="0.2">
      <c r="A8940" s="191">
        <v>2025</v>
      </c>
      <c r="B8940" s="191">
        <v>6</v>
      </c>
      <c r="C8940" s="191">
        <v>30</v>
      </c>
      <c r="D8940" s="192">
        <f t="shared" ref="D8940:D9003" si="1074">DATE(A8940,B8940,C8940)</f>
        <v>45838</v>
      </c>
      <c r="E8940" s="193">
        <f t="shared" si="1073"/>
        <v>45838</v>
      </c>
      <c r="F8940" s="514"/>
      <c r="G8940" s="194" t="s">
        <v>1209</v>
      </c>
      <c r="H8940" s="195"/>
      <c r="I8940" s="195"/>
      <c r="J8940" s="191" t="s">
        <v>47</v>
      </c>
      <c r="K8940" s="196"/>
      <c r="L8940" s="196">
        <v>14280</v>
      </c>
    </row>
    <row r="8941" spans="1:15" ht="11.25" customHeight="1" x14ac:dyDescent="0.2">
      <c r="A8941" s="197">
        <v>2025</v>
      </c>
      <c r="B8941" s="197">
        <v>6</v>
      </c>
      <c r="C8941" s="197">
        <v>30</v>
      </c>
      <c r="D8941" s="198">
        <f t="shared" si="1074"/>
        <v>45838</v>
      </c>
      <c r="E8941" s="209">
        <f t="shared" ref="E8941:E8943" si="1075">DATE(A8941,B8941,C8941)</f>
        <v>45838</v>
      </c>
      <c r="F8941" s="513" t="s">
        <v>1210</v>
      </c>
      <c r="G8941" s="200" t="s">
        <v>1209</v>
      </c>
      <c r="H8941" s="201"/>
      <c r="I8941" s="201"/>
      <c r="J8941" s="197" t="s">
        <v>46</v>
      </c>
      <c r="K8941" s="202">
        <v>400000</v>
      </c>
      <c r="L8941" s="202"/>
    </row>
    <row r="8942" spans="1:15" ht="11.25" customHeight="1" x14ac:dyDescent="0.2">
      <c r="A8942" s="120">
        <v>2025</v>
      </c>
      <c r="B8942" s="120">
        <v>6</v>
      </c>
      <c r="C8942" s="120">
        <v>30</v>
      </c>
      <c r="D8942" s="208">
        <f t="shared" si="1074"/>
        <v>45838</v>
      </c>
      <c r="E8942" s="209">
        <f t="shared" si="1075"/>
        <v>45838</v>
      </c>
      <c r="F8942" s="515"/>
      <c r="G8942" s="132" t="s">
        <v>1209</v>
      </c>
      <c r="J8942" s="120" t="s">
        <v>16</v>
      </c>
      <c r="K8942" s="207"/>
      <c r="L8942" s="207">
        <v>318420</v>
      </c>
    </row>
    <row r="8943" spans="1:15" ht="11.25" customHeight="1" x14ac:dyDescent="0.2">
      <c r="A8943" s="191">
        <v>2025</v>
      </c>
      <c r="B8943" s="191">
        <v>6</v>
      </c>
      <c r="C8943" s="191">
        <v>30</v>
      </c>
      <c r="D8943" s="192">
        <f t="shared" si="1074"/>
        <v>45838</v>
      </c>
      <c r="E8943" s="193">
        <f t="shared" si="1075"/>
        <v>45838</v>
      </c>
      <c r="F8943" s="514"/>
      <c r="G8943" s="194" t="s">
        <v>1209</v>
      </c>
      <c r="H8943" s="195"/>
      <c r="I8943" s="195"/>
      <c r="J8943" s="191" t="s">
        <v>47</v>
      </c>
      <c r="K8943" s="196"/>
      <c r="L8943" s="196">
        <v>81580</v>
      </c>
    </row>
    <row r="8944" spans="1:15" ht="11.25" customHeight="1" x14ac:dyDescent="0.2">
      <c r="A8944" s="197">
        <v>2025</v>
      </c>
      <c r="B8944" s="197">
        <v>6</v>
      </c>
      <c r="C8944" s="197">
        <v>30</v>
      </c>
      <c r="D8944" s="198">
        <f t="shared" si="1074"/>
        <v>45838</v>
      </c>
      <c r="E8944" s="290">
        <f>DATE(A8944,B8944,C8944)</f>
        <v>45838</v>
      </c>
      <c r="F8944" s="513" t="s">
        <v>1514</v>
      </c>
      <c r="G8944" s="200" t="s">
        <v>1209</v>
      </c>
      <c r="H8944" s="201"/>
      <c r="I8944" s="201"/>
      <c r="J8944" s="197" t="s">
        <v>54</v>
      </c>
      <c r="K8944" s="202">
        <v>100</v>
      </c>
      <c r="L8944" s="202"/>
      <c r="M8944" s="251"/>
      <c r="N8944" s="251"/>
      <c r="O8944" s="251"/>
    </row>
    <row r="8945" spans="1:15" ht="11.25" customHeight="1" x14ac:dyDescent="0.2">
      <c r="A8945" s="191">
        <v>2025</v>
      </c>
      <c r="B8945" s="191">
        <v>6</v>
      </c>
      <c r="C8945" s="191">
        <v>30</v>
      </c>
      <c r="D8945" s="192">
        <f t="shared" si="1074"/>
        <v>45838</v>
      </c>
      <c r="E8945" s="291">
        <f>DATE(A8945,B8945,C8945)</f>
        <v>45838</v>
      </c>
      <c r="F8945" s="514"/>
      <c r="G8945" s="194" t="s">
        <v>1209</v>
      </c>
      <c r="H8945" s="195"/>
      <c r="I8945" s="195"/>
      <c r="J8945" s="191" t="s">
        <v>46</v>
      </c>
      <c r="K8945" s="196"/>
      <c r="L8945" s="196">
        <v>100</v>
      </c>
      <c r="M8945" s="251"/>
      <c r="N8945" s="251"/>
      <c r="O8945" s="251"/>
    </row>
    <row r="8946" spans="1:15" ht="11.25" customHeight="1" x14ac:dyDescent="0.2">
      <c r="A8946" s="197">
        <v>2025</v>
      </c>
      <c r="B8946" s="197">
        <v>6</v>
      </c>
      <c r="C8946" s="197">
        <v>30</v>
      </c>
      <c r="D8946" s="198">
        <f t="shared" si="1074"/>
        <v>45838</v>
      </c>
      <c r="E8946" s="209">
        <f t="shared" ref="E8946:E8991" si="1076">DATE(A8946,B8946,C8946)</f>
        <v>45838</v>
      </c>
      <c r="F8946" s="513" t="s">
        <v>1210</v>
      </c>
      <c r="G8946" s="200" t="s">
        <v>1209</v>
      </c>
      <c r="H8946" s="201"/>
      <c r="I8946" s="201"/>
      <c r="J8946" s="197" t="s">
        <v>46</v>
      </c>
      <c r="K8946" s="202">
        <v>52000</v>
      </c>
      <c r="L8946" s="202"/>
    </row>
    <row r="8947" spans="1:15" ht="11.25" customHeight="1" x14ac:dyDescent="0.2">
      <c r="A8947" s="120">
        <v>2025</v>
      </c>
      <c r="B8947" s="120">
        <v>6</v>
      </c>
      <c r="C8947" s="120">
        <v>30</v>
      </c>
      <c r="D8947" s="208">
        <f t="shared" si="1074"/>
        <v>45838</v>
      </c>
      <c r="E8947" s="209">
        <f t="shared" si="1076"/>
        <v>45838</v>
      </c>
      <c r="F8947" s="515"/>
      <c r="G8947" s="132" t="s">
        <v>1209</v>
      </c>
      <c r="J8947" s="120" t="s">
        <v>16</v>
      </c>
      <c r="K8947" s="207"/>
      <c r="L8947" s="207">
        <v>41390</v>
      </c>
    </row>
    <row r="8948" spans="1:15" ht="11.25" customHeight="1" x14ac:dyDescent="0.2">
      <c r="A8948" s="191">
        <v>2025</v>
      </c>
      <c r="B8948" s="191">
        <v>6</v>
      </c>
      <c r="C8948" s="191">
        <v>30</v>
      </c>
      <c r="D8948" s="192">
        <f t="shared" si="1074"/>
        <v>45838</v>
      </c>
      <c r="E8948" s="193">
        <f t="shared" si="1076"/>
        <v>45838</v>
      </c>
      <c r="F8948" s="514"/>
      <c r="G8948" s="194" t="s">
        <v>1209</v>
      </c>
      <c r="H8948" s="195"/>
      <c r="I8948" s="195"/>
      <c r="J8948" s="191" t="s">
        <v>47</v>
      </c>
      <c r="K8948" s="196"/>
      <c r="L8948" s="196">
        <v>10610</v>
      </c>
    </row>
    <row r="8949" spans="1:15" ht="11.25" customHeight="1" x14ac:dyDescent="0.2">
      <c r="A8949" s="197">
        <v>2025</v>
      </c>
      <c r="B8949" s="197">
        <v>6</v>
      </c>
      <c r="C8949" s="197">
        <v>30</v>
      </c>
      <c r="D8949" s="198">
        <f t="shared" si="1074"/>
        <v>45838</v>
      </c>
      <c r="E8949" s="209">
        <f t="shared" ref="E8949:E8954" si="1077">DATE(A8949,B8949,C8949)</f>
        <v>45838</v>
      </c>
      <c r="F8949" s="513" t="s">
        <v>1210</v>
      </c>
      <c r="G8949" s="200" t="s">
        <v>1209</v>
      </c>
      <c r="H8949" s="201"/>
      <c r="I8949" s="201"/>
      <c r="J8949" s="197" t="s">
        <v>46</v>
      </c>
      <c r="K8949" s="202">
        <v>80000</v>
      </c>
      <c r="L8949" s="202"/>
    </row>
    <row r="8950" spans="1:15" ht="11.25" customHeight="1" x14ac:dyDescent="0.2">
      <c r="A8950" s="120">
        <v>2025</v>
      </c>
      <c r="B8950" s="120">
        <v>6</v>
      </c>
      <c r="C8950" s="120">
        <v>30</v>
      </c>
      <c r="D8950" s="208">
        <f t="shared" si="1074"/>
        <v>45838</v>
      </c>
      <c r="E8950" s="209">
        <f t="shared" si="1077"/>
        <v>45838</v>
      </c>
      <c r="F8950" s="515"/>
      <c r="G8950" s="132" t="s">
        <v>1209</v>
      </c>
      <c r="J8950" s="120" t="s">
        <v>16</v>
      </c>
      <c r="K8950" s="207"/>
      <c r="L8950" s="207">
        <v>63680</v>
      </c>
    </row>
    <row r="8951" spans="1:15" ht="11.25" customHeight="1" x14ac:dyDescent="0.2">
      <c r="A8951" s="191">
        <v>2025</v>
      </c>
      <c r="B8951" s="191">
        <v>6</v>
      </c>
      <c r="C8951" s="191">
        <v>30</v>
      </c>
      <c r="D8951" s="192">
        <f t="shared" si="1074"/>
        <v>45838</v>
      </c>
      <c r="E8951" s="193">
        <f t="shared" si="1077"/>
        <v>45838</v>
      </c>
      <c r="F8951" s="514"/>
      <c r="G8951" s="194" t="s">
        <v>1209</v>
      </c>
      <c r="H8951" s="195"/>
      <c r="I8951" s="195"/>
      <c r="J8951" s="191" t="s">
        <v>47</v>
      </c>
      <c r="K8951" s="196"/>
      <c r="L8951" s="196">
        <v>16320</v>
      </c>
    </row>
    <row r="8952" spans="1:15" ht="11.25" customHeight="1" x14ac:dyDescent="0.2">
      <c r="A8952" s="197">
        <v>2025</v>
      </c>
      <c r="B8952" s="197">
        <v>6</v>
      </c>
      <c r="C8952" s="197">
        <v>30</v>
      </c>
      <c r="D8952" s="198">
        <f t="shared" si="1074"/>
        <v>45838</v>
      </c>
      <c r="E8952" s="290">
        <f t="shared" si="1077"/>
        <v>45838</v>
      </c>
      <c r="F8952" s="513" t="s">
        <v>1956</v>
      </c>
      <c r="G8952" s="200" t="s">
        <v>1209</v>
      </c>
      <c r="H8952" s="201"/>
      <c r="I8952" s="201" t="s">
        <v>1253</v>
      </c>
      <c r="J8952" s="197" t="s">
        <v>46</v>
      </c>
      <c r="K8952" s="202">
        <v>27.15</v>
      </c>
      <c r="L8952" s="202"/>
    </row>
    <row r="8953" spans="1:15" ht="11.25" customHeight="1" x14ac:dyDescent="0.2">
      <c r="A8953" s="120">
        <v>2025</v>
      </c>
      <c r="B8953" s="120">
        <v>6</v>
      </c>
      <c r="C8953" s="120">
        <v>30</v>
      </c>
      <c r="D8953" s="208">
        <f t="shared" si="1074"/>
        <v>45838</v>
      </c>
      <c r="E8953" s="293">
        <f t="shared" si="1077"/>
        <v>45838</v>
      </c>
      <c r="F8953" s="515"/>
      <c r="G8953" s="132" t="s">
        <v>1209</v>
      </c>
      <c r="I8953" s="128" t="s">
        <v>1253</v>
      </c>
      <c r="J8953" s="120" t="s">
        <v>153</v>
      </c>
      <c r="K8953" s="207"/>
      <c r="L8953" s="207">
        <v>27.15</v>
      </c>
    </row>
    <row r="8954" spans="1:15" ht="11.25" customHeight="1" x14ac:dyDescent="0.2">
      <c r="A8954" s="191">
        <v>2025</v>
      </c>
      <c r="B8954" s="191">
        <v>6</v>
      </c>
      <c r="C8954" s="191">
        <v>30</v>
      </c>
      <c r="D8954" s="192">
        <f t="shared" si="1074"/>
        <v>45838</v>
      </c>
      <c r="E8954" s="291">
        <f t="shared" si="1077"/>
        <v>45838</v>
      </c>
      <c r="F8954" s="514"/>
      <c r="G8954" s="194" t="s">
        <v>1209</v>
      </c>
      <c r="H8954" s="195"/>
      <c r="I8954" s="195" t="s">
        <v>1253</v>
      </c>
      <c r="J8954" s="191" t="s">
        <v>58</v>
      </c>
      <c r="K8954" s="196"/>
      <c r="L8954" s="196"/>
    </row>
    <row r="8955" spans="1:15" ht="11.25" customHeight="1" x14ac:dyDescent="0.2">
      <c r="A8955" s="197">
        <v>2025</v>
      </c>
      <c r="B8955" s="197">
        <v>6</v>
      </c>
      <c r="C8955" s="197">
        <v>30</v>
      </c>
      <c r="D8955" s="198">
        <f t="shared" si="1074"/>
        <v>45838</v>
      </c>
      <c r="E8955" s="290">
        <f>DATE(A8955,B8955,C8955)</f>
        <v>45838</v>
      </c>
      <c r="F8955" s="513" t="s">
        <v>1524</v>
      </c>
      <c r="G8955" s="200" t="s">
        <v>1209</v>
      </c>
      <c r="H8955" s="201"/>
      <c r="I8955" s="201"/>
      <c r="J8955" s="197" t="s">
        <v>54</v>
      </c>
      <c r="K8955" s="202">
        <v>8.15</v>
      </c>
      <c r="L8955" s="202"/>
      <c r="O8955" s="251"/>
    </row>
    <row r="8956" spans="1:15" ht="11.25" customHeight="1" x14ac:dyDescent="0.2">
      <c r="A8956" s="191">
        <v>2025</v>
      </c>
      <c r="B8956" s="191">
        <v>6</v>
      </c>
      <c r="C8956" s="191">
        <v>30</v>
      </c>
      <c r="D8956" s="192">
        <f t="shared" si="1074"/>
        <v>45838</v>
      </c>
      <c r="E8956" s="291">
        <f>DATE(A8956,B8956,C8956)</f>
        <v>45838</v>
      </c>
      <c r="F8956" s="514"/>
      <c r="G8956" s="194" t="s">
        <v>1209</v>
      </c>
      <c r="H8956" s="195"/>
      <c r="I8956" s="195"/>
      <c r="J8956" s="191" t="s">
        <v>46</v>
      </c>
      <c r="K8956" s="196"/>
      <c r="L8956" s="196">
        <v>8.15</v>
      </c>
      <c r="O8956" s="251"/>
    </row>
    <row r="8957" spans="1:15" ht="11.25" customHeight="1" x14ac:dyDescent="0.2">
      <c r="A8957" s="197">
        <v>2025</v>
      </c>
      <c r="B8957" s="197">
        <v>6</v>
      </c>
      <c r="C8957" s="197">
        <v>30</v>
      </c>
      <c r="D8957" s="198">
        <f t="shared" si="1074"/>
        <v>45838</v>
      </c>
      <c r="E8957" s="290">
        <f t="shared" ref="E8957:E8959" si="1078">DATE(A8957,B8957,C8957)</f>
        <v>45838</v>
      </c>
      <c r="F8957" s="513" t="s">
        <v>1212</v>
      </c>
      <c r="G8957" s="200" t="s">
        <v>1209</v>
      </c>
      <c r="H8957" s="201"/>
      <c r="I8957" s="201" t="s">
        <v>1253</v>
      </c>
      <c r="J8957" s="197" t="s">
        <v>46</v>
      </c>
      <c r="K8957" s="202">
        <v>301678</v>
      </c>
      <c r="L8957" s="202"/>
    </row>
    <row r="8958" spans="1:15" ht="11.25" customHeight="1" x14ac:dyDescent="0.2">
      <c r="A8958" s="120">
        <v>2025</v>
      </c>
      <c r="B8958" s="120">
        <v>6</v>
      </c>
      <c r="C8958" s="120">
        <v>30</v>
      </c>
      <c r="D8958" s="208">
        <f t="shared" si="1074"/>
        <v>45838</v>
      </c>
      <c r="E8958" s="293">
        <f t="shared" si="1078"/>
        <v>45838</v>
      </c>
      <c r="F8958" s="515"/>
      <c r="G8958" s="132" t="s">
        <v>1209</v>
      </c>
      <c r="I8958" s="128" t="s">
        <v>1253</v>
      </c>
      <c r="J8958" s="120" t="s">
        <v>153</v>
      </c>
      <c r="K8958" s="207"/>
      <c r="L8958" s="207">
        <v>3205.5654697914724</v>
      </c>
    </row>
    <row r="8959" spans="1:15" ht="11.25" customHeight="1" x14ac:dyDescent="0.2">
      <c r="A8959" s="191">
        <v>2025</v>
      </c>
      <c r="B8959" s="191">
        <v>6</v>
      </c>
      <c r="C8959" s="191">
        <v>30</v>
      </c>
      <c r="D8959" s="192">
        <f t="shared" si="1074"/>
        <v>45838</v>
      </c>
      <c r="E8959" s="291">
        <f t="shared" si="1078"/>
        <v>45838</v>
      </c>
      <c r="F8959" s="514"/>
      <c r="G8959" s="194" t="s">
        <v>1209</v>
      </c>
      <c r="H8959" s="195"/>
      <c r="I8959" s="195" t="s">
        <v>1253</v>
      </c>
      <c r="J8959" s="191" t="s">
        <v>58</v>
      </c>
      <c r="K8959" s="196"/>
      <c r="L8959" s="196">
        <v>298472.43453020853</v>
      </c>
    </row>
    <row r="8960" spans="1:15" ht="11.25" customHeight="1" x14ac:dyDescent="0.2">
      <c r="A8960" s="197">
        <v>2025</v>
      </c>
      <c r="B8960" s="197">
        <v>6</v>
      </c>
      <c r="C8960" s="197">
        <v>30</v>
      </c>
      <c r="D8960" s="198">
        <f t="shared" si="1074"/>
        <v>45838</v>
      </c>
      <c r="E8960" s="290">
        <f>DATE(A8960,B8960,C8960)</f>
        <v>45838</v>
      </c>
      <c r="F8960" s="513" t="s">
        <v>1514</v>
      </c>
      <c r="G8960" s="200" t="s">
        <v>1209</v>
      </c>
      <c r="H8960" s="201"/>
      <c r="I8960" s="201"/>
      <c r="J8960" s="197" t="s">
        <v>54</v>
      </c>
      <c r="K8960" s="202">
        <v>575</v>
      </c>
      <c r="L8960" s="202"/>
      <c r="O8960" s="251"/>
    </row>
    <row r="8961" spans="1:15" ht="11.25" customHeight="1" x14ac:dyDescent="0.2">
      <c r="A8961" s="191">
        <v>2025</v>
      </c>
      <c r="B8961" s="191">
        <v>6</v>
      </c>
      <c r="C8961" s="191">
        <v>30</v>
      </c>
      <c r="D8961" s="192">
        <f t="shared" si="1074"/>
        <v>45838</v>
      </c>
      <c r="E8961" s="291">
        <f>DATE(A8961,B8961,C8961)</f>
        <v>45838</v>
      </c>
      <c r="F8961" s="514"/>
      <c r="G8961" s="194" t="s">
        <v>1209</v>
      </c>
      <c r="H8961" s="195"/>
      <c r="I8961" s="195"/>
      <c r="J8961" s="191" t="s">
        <v>46</v>
      </c>
      <c r="K8961" s="196"/>
      <c r="L8961" s="196">
        <v>575</v>
      </c>
      <c r="O8961" s="251"/>
    </row>
    <row r="8962" spans="1:15" ht="11.25" customHeight="1" x14ac:dyDescent="0.2">
      <c r="A8962" s="197">
        <v>2025</v>
      </c>
      <c r="B8962" s="197">
        <v>6</v>
      </c>
      <c r="C8962" s="197">
        <v>30</v>
      </c>
      <c r="D8962" s="198">
        <f t="shared" si="1074"/>
        <v>45838</v>
      </c>
      <c r="E8962" s="290">
        <f t="shared" ref="E8962:E8964" si="1079">DATE(A8962,B8962,C8962)</f>
        <v>45838</v>
      </c>
      <c r="F8962" s="513" t="s">
        <v>1212</v>
      </c>
      <c r="G8962" s="200" t="s">
        <v>1209</v>
      </c>
      <c r="H8962" s="201"/>
      <c r="I8962" s="201" t="s">
        <v>1253</v>
      </c>
      <c r="J8962" s="197" t="s">
        <v>46</v>
      </c>
      <c r="K8962" s="202">
        <v>208615</v>
      </c>
      <c r="L8962" s="202"/>
    </row>
    <row r="8963" spans="1:15" ht="11.25" customHeight="1" x14ac:dyDescent="0.2">
      <c r="A8963" s="120">
        <v>2025</v>
      </c>
      <c r="B8963" s="120">
        <v>6</v>
      </c>
      <c r="C8963" s="120">
        <v>30</v>
      </c>
      <c r="D8963" s="208">
        <f t="shared" si="1074"/>
        <v>45838</v>
      </c>
      <c r="E8963" s="293">
        <f t="shared" si="1079"/>
        <v>45838</v>
      </c>
      <c r="F8963" s="515"/>
      <c r="G8963" s="132" t="s">
        <v>1209</v>
      </c>
      <c r="I8963" s="128" t="s">
        <v>1253</v>
      </c>
      <c r="J8963" s="120" t="s">
        <v>153</v>
      </c>
      <c r="K8963" s="207"/>
      <c r="L8963" s="207">
        <v>78310.880112500017</v>
      </c>
    </row>
    <row r="8964" spans="1:15" ht="11.25" customHeight="1" x14ac:dyDescent="0.2">
      <c r="A8964" s="191">
        <v>2025</v>
      </c>
      <c r="B8964" s="191">
        <v>6</v>
      </c>
      <c r="C8964" s="191">
        <v>30</v>
      </c>
      <c r="D8964" s="192">
        <f t="shared" si="1074"/>
        <v>45838</v>
      </c>
      <c r="E8964" s="291">
        <f t="shared" si="1079"/>
        <v>45838</v>
      </c>
      <c r="F8964" s="514"/>
      <c r="G8964" s="194" t="s">
        <v>1209</v>
      </c>
      <c r="H8964" s="195"/>
      <c r="I8964" s="195" t="s">
        <v>1253</v>
      </c>
      <c r="J8964" s="191" t="s">
        <v>58</v>
      </c>
      <c r="K8964" s="196"/>
      <c r="L8964" s="196">
        <v>130304.11988749998</v>
      </c>
    </row>
    <row r="8965" spans="1:15" ht="11.25" customHeight="1" x14ac:dyDescent="0.2">
      <c r="A8965" s="197">
        <v>2025</v>
      </c>
      <c r="B8965" s="197">
        <v>6</v>
      </c>
      <c r="C8965" s="197">
        <v>30</v>
      </c>
      <c r="D8965" s="198">
        <f t="shared" si="1074"/>
        <v>45838</v>
      </c>
      <c r="E8965" s="290">
        <f>DATE(A8965,B8965,C8965)</f>
        <v>45838</v>
      </c>
      <c r="F8965" s="513" t="s">
        <v>1514</v>
      </c>
      <c r="G8965" s="200" t="s">
        <v>1209</v>
      </c>
      <c r="H8965" s="201"/>
      <c r="I8965" s="201"/>
      <c r="J8965" s="197" t="s">
        <v>54</v>
      </c>
      <c r="K8965" s="202">
        <v>345</v>
      </c>
      <c r="L8965" s="202"/>
      <c r="M8965" s="251"/>
      <c r="N8965" s="251"/>
      <c r="O8965" s="251"/>
    </row>
    <row r="8966" spans="1:15" ht="11.25" customHeight="1" x14ac:dyDescent="0.2">
      <c r="A8966" s="191">
        <v>2025</v>
      </c>
      <c r="B8966" s="191">
        <v>6</v>
      </c>
      <c r="C8966" s="191">
        <v>30</v>
      </c>
      <c r="D8966" s="192">
        <f t="shared" si="1074"/>
        <v>45838</v>
      </c>
      <c r="E8966" s="291">
        <f>DATE(A8966,B8966,C8966)</f>
        <v>45838</v>
      </c>
      <c r="F8966" s="514"/>
      <c r="G8966" s="194" t="s">
        <v>1209</v>
      </c>
      <c r="H8966" s="195"/>
      <c r="I8966" s="195"/>
      <c r="J8966" s="191" t="s">
        <v>46</v>
      </c>
      <c r="K8966" s="196"/>
      <c r="L8966" s="196">
        <v>345</v>
      </c>
      <c r="M8966" s="251"/>
      <c r="N8966" s="251"/>
      <c r="O8966" s="251"/>
    </row>
    <row r="8967" spans="1:15" ht="11.25" customHeight="1" x14ac:dyDescent="0.2">
      <c r="A8967" s="197">
        <v>2025</v>
      </c>
      <c r="B8967" s="197">
        <v>6</v>
      </c>
      <c r="C8967" s="197">
        <v>30</v>
      </c>
      <c r="D8967" s="198">
        <f t="shared" si="1074"/>
        <v>45838</v>
      </c>
      <c r="E8967" s="290">
        <f t="shared" ref="E8967:E8969" si="1080">DATE(A8967,B8967,C8967)</f>
        <v>45838</v>
      </c>
      <c r="F8967" s="513" t="s">
        <v>2056</v>
      </c>
      <c r="G8967" s="200" t="s">
        <v>1209</v>
      </c>
      <c r="H8967" s="201"/>
      <c r="I8967" s="201" t="s">
        <v>1253</v>
      </c>
      <c r="J8967" s="197" t="s">
        <v>46</v>
      </c>
      <c r="K8967" s="202">
        <v>24080.560000000001</v>
      </c>
      <c r="L8967" s="202"/>
    </row>
    <row r="8968" spans="1:15" ht="11.25" customHeight="1" x14ac:dyDescent="0.2">
      <c r="A8968" s="120">
        <v>2025</v>
      </c>
      <c r="B8968" s="120">
        <v>6</v>
      </c>
      <c r="C8968" s="120">
        <v>30</v>
      </c>
      <c r="D8968" s="208">
        <f t="shared" si="1074"/>
        <v>45838</v>
      </c>
      <c r="E8968" s="293">
        <f t="shared" si="1080"/>
        <v>45838</v>
      </c>
      <c r="F8968" s="515"/>
      <c r="G8968" s="132" t="s">
        <v>1209</v>
      </c>
      <c r="I8968" s="128" t="s">
        <v>1253</v>
      </c>
      <c r="J8968" s="120" t="s">
        <v>153</v>
      </c>
      <c r="K8968" s="207"/>
      <c r="L8968" s="207">
        <v>1624.0064387500315</v>
      </c>
    </row>
    <row r="8969" spans="1:15" ht="11.25" customHeight="1" x14ac:dyDescent="0.2">
      <c r="A8969" s="191">
        <v>2025</v>
      </c>
      <c r="B8969" s="191">
        <v>6</v>
      </c>
      <c r="C8969" s="191">
        <v>30</v>
      </c>
      <c r="D8969" s="192">
        <f t="shared" si="1074"/>
        <v>45838</v>
      </c>
      <c r="E8969" s="291">
        <f t="shared" si="1080"/>
        <v>45838</v>
      </c>
      <c r="F8969" s="514"/>
      <c r="G8969" s="194" t="s">
        <v>1209</v>
      </c>
      <c r="H8969" s="195"/>
      <c r="I8969" s="195" t="s">
        <v>1253</v>
      </c>
      <c r="J8969" s="191" t="s">
        <v>58</v>
      </c>
      <c r="K8969" s="196"/>
      <c r="L8969" s="196">
        <v>22456.55356124997</v>
      </c>
    </row>
    <row r="8970" spans="1:15" ht="11.25" customHeight="1" x14ac:dyDescent="0.2">
      <c r="A8970" s="197">
        <v>2025</v>
      </c>
      <c r="B8970" s="197">
        <v>6</v>
      </c>
      <c r="C8970" s="197">
        <v>30</v>
      </c>
      <c r="D8970" s="198">
        <f t="shared" si="1074"/>
        <v>45838</v>
      </c>
      <c r="E8970" s="290">
        <f t="shared" ref="E8970:E8981" si="1081">DATE(A8970,B8970,C8970)</f>
        <v>45838</v>
      </c>
      <c r="F8970" s="513" t="s">
        <v>1517</v>
      </c>
      <c r="G8970" s="200" t="s">
        <v>1209</v>
      </c>
      <c r="H8970" s="201"/>
      <c r="I8970" s="201"/>
      <c r="J8970" s="197" t="s">
        <v>54</v>
      </c>
      <c r="K8970" s="202">
        <v>345</v>
      </c>
      <c r="L8970" s="202"/>
      <c r="M8970" s="251"/>
      <c r="N8970" s="251"/>
      <c r="O8970" s="251"/>
    </row>
    <row r="8971" spans="1:15" ht="11.25" customHeight="1" x14ac:dyDescent="0.2">
      <c r="A8971" s="191">
        <v>2025</v>
      </c>
      <c r="B8971" s="191">
        <v>6</v>
      </c>
      <c r="C8971" s="191">
        <v>30</v>
      </c>
      <c r="D8971" s="192">
        <f t="shared" si="1074"/>
        <v>45838</v>
      </c>
      <c r="E8971" s="291">
        <f t="shared" si="1081"/>
        <v>45838</v>
      </c>
      <c r="F8971" s="514"/>
      <c r="G8971" s="194" t="s">
        <v>1209</v>
      </c>
      <c r="H8971" s="195"/>
      <c r="I8971" s="195"/>
      <c r="J8971" s="191" t="s">
        <v>46</v>
      </c>
      <c r="K8971" s="196"/>
      <c r="L8971" s="196">
        <v>345</v>
      </c>
      <c r="M8971" s="251"/>
      <c r="N8971" s="251"/>
      <c r="O8971" s="251"/>
    </row>
    <row r="8972" spans="1:15" ht="11.25" customHeight="1" x14ac:dyDescent="0.2">
      <c r="A8972" s="197">
        <v>2025</v>
      </c>
      <c r="B8972" s="197">
        <v>6</v>
      </c>
      <c r="C8972" s="197">
        <v>30</v>
      </c>
      <c r="D8972" s="198">
        <f t="shared" si="1074"/>
        <v>45838</v>
      </c>
      <c r="E8972" s="290">
        <f t="shared" si="1081"/>
        <v>45838</v>
      </c>
      <c r="F8972" s="513" t="s">
        <v>2057</v>
      </c>
      <c r="G8972" s="200" t="s">
        <v>1209</v>
      </c>
      <c r="H8972" s="201"/>
      <c r="I8972" s="201"/>
      <c r="J8972" s="197" t="s">
        <v>54</v>
      </c>
      <c r="K8972" s="202">
        <v>805</v>
      </c>
      <c r="L8972" s="202"/>
      <c r="M8972" s="251"/>
      <c r="N8972" s="251"/>
      <c r="O8972" s="251"/>
    </row>
    <row r="8973" spans="1:15" ht="11.25" customHeight="1" x14ac:dyDescent="0.2">
      <c r="A8973" s="191">
        <v>2025</v>
      </c>
      <c r="B8973" s="191">
        <v>6</v>
      </c>
      <c r="C8973" s="191">
        <v>30</v>
      </c>
      <c r="D8973" s="192">
        <f t="shared" si="1074"/>
        <v>45838</v>
      </c>
      <c r="E8973" s="291">
        <f t="shared" si="1081"/>
        <v>45838</v>
      </c>
      <c r="F8973" s="514"/>
      <c r="G8973" s="194" t="s">
        <v>1209</v>
      </c>
      <c r="H8973" s="195"/>
      <c r="I8973" s="195"/>
      <c r="J8973" s="191" t="s">
        <v>46</v>
      </c>
      <c r="K8973" s="196"/>
      <c r="L8973" s="196">
        <v>805</v>
      </c>
      <c r="M8973" s="251"/>
      <c r="N8973" s="251"/>
      <c r="O8973" s="251"/>
    </row>
    <row r="8974" spans="1:15" ht="11.25" customHeight="1" x14ac:dyDescent="0.2">
      <c r="A8974" s="197">
        <v>2025</v>
      </c>
      <c r="B8974" s="197">
        <v>6</v>
      </c>
      <c r="C8974" s="197">
        <v>30</v>
      </c>
      <c r="D8974" s="198">
        <f t="shared" si="1074"/>
        <v>45838</v>
      </c>
      <c r="E8974" s="290">
        <f t="shared" si="1081"/>
        <v>45838</v>
      </c>
      <c r="F8974" s="513" t="s">
        <v>2058</v>
      </c>
      <c r="G8974" s="200" t="s">
        <v>1209</v>
      </c>
      <c r="H8974" s="201"/>
      <c r="I8974" s="201"/>
      <c r="J8974" s="197" t="s">
        <v>46</v>
      </c>
      <c r="K8974" s="202">
        <v>191.89999999999998</v>
      </c>
      <c r="L8974" s="202"/>
      <c r="M8974" s="251"/>
      <c r="N8974" s="251"/>
      <c r="O8974" s="251"/>
    </row>
    <row r="8975" spans="1:15" ht="11.25" customHeight="1" x14ac:dyDescent="0.2">
      <c r="A8975" s="191">
        <v>2025</v>
      </c>
      <c r="B8975" s="191">
        <v>6</v>
      </c>
      <c r="C8975" s="191">
        <v>30</v>
      </c>
      <c r="D8975" s="192">
        <f t="shared" si="1074"/>
        <v>45838</v>
      </c>
      <c r="E8975" s="291">
        <f t="shared" si="1081"/>
        <v>45838</v>
      </c>
      <c r="F8975" s="514"/>
      <c r="G8975" s="194" t="s">
        <v>1209</v>
      </c>
      <c r="H8975" s="195"/>
      <c r="I8975" s="195"/>
      <c r="J8975" s="191" t="s">
        <v>54</v>
      </c>
      <c r="K8975" s="196"/>
      <c r="L8975" s="196">
        <v>191.89999999999998</v>
      </c>
      <c r="M8975" s="251"/>
      <c r="N8975" s="251"/>
      <c r="O8975" s="251"/>
    </row>
    <row r="8976" spans="1:15" ht="11.25" customHeight="1" x14ac:dyDescent="0.2">
      <c r="A8976" s="197">
        <v>2025</v>
      </c>
      <c r="B8976" s="197">
        <v>6</v>
      </c>
      <c r="C8976" s="197">
        <v>30</v>
      </c>
      <c r="D8976" s="198">
        <f t="shared" si="1074"/>
        <v>45838</v>
      </c>
      <c r="E8976" s="290">
        <f t="shared" si="1081"/>
        <v>45838</v>
      </c>
      <c r="F8976" s="513" t="s">
        <v>2059</v>
      </c>
      <c r="G8976" s="200" t="s">
        <v>1209</v>
      </c>
      <c r="H8976" s="201"/>
      <c r="I8976" s="201" t="s">
        <v>1253</v>
      </c>
      <c r="J8976" s="197" t="s">
        <v>46</v>
      </c>
      <c r="K8976" s="202">
        <v>59233.2</v>
      </c>
      <c r="L8976" s="202"/>
    </row>
    <row r="8977" spans="1:13" ht="11.25" customHeight="1" x14ac:dyDescent="0.2">
      <c r="A8977" s="120">
        <v>2025</v>
      </c>
      <c r="B8977" s="120">
        <v>6</v>
      </c>
      <c r="C8977" s="120">
        <v>30</v>
      </c>
      <c r="D8977" s="208">
        <f t="shared" si="1074"/>
        <v>45838</v>
      </c>
      <c r="E8977" s="293">
        <f t="shared" si="1081"/>
        <v>45838</v>
      </c>
      <c r="F8977" s="515"/>
      <c r="G8977" s="132" t="s">
        <v>1209</v>
      </c>
      <c r="I8977" s="128" t="s">
        <v>1253</v>
      </c>
      <c r="J8977" s="120" t="s">
        <v>153</v>
      </c>
      <c r="K8977" s="207">
        <v>8.44</v>
      </c>
      <c r="L8977" s="207"/>
    </row>
    <row r="8978" spans="1:13" ht="11.25" customHeight="1" x14ac:dyDescent="0.2">
      <c r="A8978" s="191">
        <v>2025</v>
      </c>
      <c r="B8978" s="191">
        <v>6</v>
      </c>
      <c r="C8978" s="191">
        <v>30</v>
      </c>
      <c r="D8978" s="192">
        <f t="shared" si="1074"/>
        <v>45838</v>
      </c>
      <c r="E8978" s="291">
        <f t="shared" si="1081"/>
        <v>45838</v>
      </c>
      <c r="F8978" s="514"/>
      <c r="G8978" s="194" t="s">
        <v>1209</v>
      </c>
      <c r="H8978" s="195"/>
      <c r="I8978" s="195" t="s">
        <v>1253</v>
      </c>
      <c r="J8978" s="191" t="s">
        <v>58</v>
      </c>
      <c r="K8978" s="196"/>
      <c r="L8978" s="196">
        <v>59241.635555555527</v>
      </c>
    </row>
    <row r="8979" spans="1:13" ht="11.25" customHeight="1" x14ac:dyDescent="0.2">
      <c r="A8979" s="197">
        <v>2025</v>
      </c>
      <c r="B8979" s="197">
        <v>6</v>
      </c>
      <c r="C8979" s="197">
        <v>30</v>
      </c>
      <c r="D8979" s="198">
        <f t="shared" si="1074"/>
        <v>45838</v>
      </c>
      <c r="E8979" s="199">
        <f t="shared" si="1081"/>
        <v>45838</v>
      </c>
      <c r="F8979" s="513" t="s">
        <v>1370</v>
      </c>
      <c r="G8979" s="200" t="s">
        <v>1245</v>
      </c>
      <c r="H8979" s="201"/>
      <c r="I8979" s="201"/>
      <c r="J8979" s="197" t="s">
        <v>83</v>
      </c>
      <c r="K8979" s="202">
        <v>35000</v>
      </c>
      <c r="L8979" s="202"/>
    </row>
    <row r="8980" spans="1:13" ht="11.25" customHeight="1" x14ac:dyDescent="0.2">
      <c r="A8980" s="120">
        <v>2025</v>
      </c>
      <c r="B8980" s="120">
        <v>6</v>
      </c>
      <c r="C8980" s="120">
        <v>30</v>
      </c>
      <c r="D8980" s="208">
        <f t="shared" si="1074"/>
        <v>45838</v>
      </c>
      <c r="E8980" s="293">
        <f t="shared" ref="E8980" si="1082">DATE(A8980,B8980,C8980)</f>
        <v>45838</v>
      </c>
      <c r="F8980" s="515"/>
      <c r="G8980" s="132" t="s">
        <v>1245</v>
      </c>
      <c r="I8980" s="128" t="s">
        <v>1253</v>
      </c>
      <c r="J8980" s="120" t="s">
        <v>54</v>
      </c>
      <c r="K8980" s="207">
        <v>5250</v>
      </c>
      <c r="L8980" s="207"/>
    </row>
    <row r="8981" spans="1:13" ht="11.25" customHeight="1" x14ac:dyDescent="0.2">
      <c r="A8981" s="191">
        <v>2025</v>
      </c>
      <c r="B8981" s="191">
        <v>6</v>
      </c>
      <c r="C8981" s="191">
        <v>30</v>
      </c>
      <c r="D8981" s="192">
        <f t="shared" si="1074"/>
        <v>45838</v>
      </c>
      <c r="E8981" s="193">
        <f t="shared" si="1081"/>
        <v>45838</v>
      </c>
      <c r="F8981" s="514"/>
      <c r="G8981" s="194" t="s">
        <v>1245</v>
      </c>
      <c r="H8981" s="195"/>
      <c r="I8981" s="195"/>
      <c r="J8981" s="191" t="s">
        <v>44</v>
      </c>
      <c r="K8981" s="196"/>
      <c r="L8981" s="196">
        <v>40250</v>
      </c>
    </row>
    <row r="8982" spans="1:13" ht="11.25" customHeight="1" x14ac:dyDescent="0.2">
      <c r="A8982" s="424">
        <v>2025</v>
      </c>
      <c r="B8982" s="424">
        <v>6</v>
      </c>
      <c r="C8982" s="424">
        <v>30</v>
      </c>
      <c r="D8982" s="425">
        <f t="shared" si="1074"/>
        <v>45838</v>
      </c>
      <c r="E8982" s="384">
        <f t="shared" si="1076"/>
        <v>45838</v>
      </c>
      <c r="F8982" s="516" t="s">
        <v>1850</v>
      </c>
      <c r="G8982" s="426" t="s">
        <v>1209</v>
      </c>
      <c r="H8982" s="427"/>
      <c r="I8982" s="427"/>
      <c r="J8982" s="428" t="s">
        <v>81</v>
      </c>
      <c r="K8982" s="429"/>
      <c r="L8982" s="429"/>
      <c r="M8982" s="455"/>
    </row>
    <row r="8983" spans="1:13" ht="11.25" customHeight="1" x14ac:dyDescent="0.2">
      <c r="A8983" s="389">
        <v>2025</v>
      </c>
      <c r="B8983" s="389">
        <v>6</v>
      </c>
      <c r="C8983" s="389">
        <v>30</v>
      </c>
      <c r="D8983" s="390">
        <f t="shared" si="1074"/>
        <v>45838</v>
      </c>
      <c r="E8983" s="391">
        <f t="shared" si="1076"/>
        <v>45838</v>
      </c>
      <c r="F8983" s="517"/>
      <c r="G8983" s="392" t="s">
        <v>1209</v>
      </c>
      <c r="H8983" s="393"/>
      <c r="I8983" s="393"/>
      <c r="J8983" s="394" t="s">
        <v>1847</v>
      </c>
      <c r="K8983" s="423"/>
      <c r="L8983" s="423"/>
    </row>
    <row r="8984" spans="1:13" ht="11.25" customHeight="1" x14ac:dyDescent="0.2">
      <c r="A8984" s="382">
        <v>2025</v>
      </c>
      <c r="B8984" s="382">
        <v>6</v>
      </c>
      <c r="C8984" s="382">
        <v>30</v>
      </c>
      <c r="D8984" s="383">
        <f t="shared" si="1074"/>
        <v>45838</v>
      </c>
      <c r="E8984" s="384">
        <f t="shared" si="1076"/>
        <v>45838</v>
      </c>
      <c r="F8984" s="516" t="s">
        <v>1892</v>
      </c>
      <c r="G8984" s="385" t="s">
        <v>1209</v>
      </c>
      <c r="H8984" s="386"/>
      <c r="I8984" s="386"/>
      <c r="J8984" s="387" t="s">
        <v>173</v>
      </c>
      <c r="K8984" s="388">
        <v>1360.5571428571427</v>
      </c>
      <c r="L8984" s="388"/>
    </row>
    <row r="8985" spans="1:13" ht="11.25" customHeight="1" x14ac:dyDescent="0.2">
      <c r="A8985" s="389">
        <v>2025</v>
      </c>
      <c r="B8985" s="389">
        <v>6</v>
      </c>
      <c r="C8985" s="389">
        <v>30</v>
      </c>
      <c r="D8985" s="390">
        <f t="shared" si="1074"/>
        <v>45838</v>
      </c>
      <c r="E8985" s="391">
        <f t="shared" si="1076"/>
        <v>45838</v>
      </c>
      <c r="F8985" s="517"/>
      <c r="G8985" s="392" t="s">
        <v>1209</v>
      </c>
      <c r="H8985" s="393"/>
      <c r="I8985" s="393"/>
      <c r="J8985" s="394" t="s">
        <v>43</v>
      </c>
      <c r="K8985" s="388"/>
      <c r="L8985" s="423">
        <v>1360.5571428571427</v>
      </c>
    </row>
    <row r="8986" spans="1:13" ht="11.25" customHeight="1" x14ac:dyDescent="0.2">
      <c r="A8986" s="344">
        <v>2025</v>
      </c>
      <c r="B8986" s="344">
        <v>6</v>
      </c>
      <c r="C8986" s="344">
        <v>30</v>
      </c>
      <c r="D8986" s="345">
        <f t="shared" si="1074"/>
        <v>45838</v>
      </c>
      <c r="E8986" s="346">
        <f t="shared" si="1076"/>
        <v>45838</v>
      </c>
      <c r="F8986" s="518" t="s">
        <v>1982</v>
      </c>
      <c r="G8986" s="347" t="s">
        <v>1245</v>
      </c>
      <c r="H8986" s="348"/>
      <c r="I8986" s="348" t="s">
        <v>1253</v>
      </c>
      <c r="J8986" s="344" t="s">
        <v>1978</v>
      </c>
      <c r="K8986" s="349">
        <v>41494.505494505494</v>
      </c>
      <c r="L8986" s="349"/>
      <c r="M8986" s="455"/>
    </row>
    <row r="8987" spans="1:13" ht="11.25" customHeight="1" x14ac:dyDescent="0.2">
      <c r="A8987" s="350">
        <v>2025</v>
      </c>
      <c r="B8987" s="350">
        <v>6</v>
      </c>
      <c r="C8987" s="350">
        <v>30</v>
      </c>
      <c r="D8987" s="351">
        <f t="shared" si="1074"/>
        <v>45838</v>
      </c>
      <c r="E8987" s="352">
        <f t="shared" si="1076"/>
        <v>45838</v>
      </c>
      <c r="F8987" s="519"/>
      <c r="G8987" s="353" t="s">
        <v>1245</v>
      </c>
      <c r="H8987" s="354"/>
      <c r="I8987" s="354" t="s">
        <v>1253</v>
      </c>
      <c r="J8987" s="350" t="s">
        <v>1979</v>
      </c>
      <c r="K8987" s="355"/>
      <c r="L8987" s="355">
        <v>41494.505494505494</v>
      </c>
    </row>
    <row r="8988" spans="1:13" ht="11.25" customHeight="1" x14ac:dyDescent="0.2">
      <c r="A8988" s="344">
        <v>2025</v>
      </c>
      <c r="B8988" s="344">
        <v>6</v>
      </c>
      <c r="C8988" s="344">
        <v>30</v>
      </c>
      <c r="D8988" s="345">
        <f t="shared" si="1074"/>
        <v>45838</v>
      </c>
      <c r="E8988" s="346">
        <f t="shared" si="1076"/>
        <v>45838</v>
      </c>
      <c r="F8988" s="518" t="s">
        <v>2009</v>
      </c>
      <c r="G8988" s="347" t="s">
        <v>1245</v>
      </c>
      <c r="H8988" s="348"/>
      <c r="I8988" s="348" t="s">
        <v>1253</v>
      </c>
      <c r="J8988" s="344" t="s">
        <v>2004</v>
      </c>
      <c r="K8988" s="349">
        <v>14197.802857142857</v>
      </c>
      <c r="L8988" s="349"/>
      <c r="M8988" s="455"/>
    </row>
    <row r="8989" spans="1:13" ht="11.25" customHeight="1" x14ac:dyDescent="0.2">
      <c r="A8989" s="350">
        <v>2025</v>
      </c>
      <c r="B8989" s="350">
        <v>6</v>
      </c>
      <c r="C8989" s="350">
        <v>30</v>
      </c>
      <c r="D8989" s="351">
        <f t="shared" si="1074"/>
        <v>45838</v>
      </c>
      <c r="E8989" s="352">
        <f t="shared" si="1076"/>
        <v>45838</v>
      </c>
      <c r="F8989" s="519"/>
      <c r="G8989" s="353" t="s">
        <v>1245</v>
      </c>
      <c r="H8989" s="354"/>
      <c r="I8989" s="354" t="s">
        <v>1253</v>
      </c>
      <c r="J8989" s="350" t="s">
        <v>2008</v>
      </c>
      <c r="K8989" s="355"/>
      <c r="L8989" s="355">
        <v>14197.802857142857</v>
      </c>
    </row>
    <row r="8990" spans="1:13" ht="11.25" customHeight="1" x14ac:dyDescent="0.2">
      <c r="A8990" s="344">
        <v>2025</v>
      </c>
      <c r="B8990" s="344">
        <v>6</v>
      </c>
      <c r="C8990" s="344">
        <v>30</v>
      </c>
      <c r="D8990" s="345">
        <f t="shared" si="1074"/>
        <v>45838</v>
      </c>
      <c r="E8990" s="346">
        <f t="shared" si="1076"/>
        <v>45838</v>
      </c>
      <c r="F8990" s="518" t="s">
        <v>2009</v>
      </c>
      <c r="G8990" s="347" t="s">
        <v>1245</v>
      </c>
      <c r="H8990" s="348"/>
      <c r="I8990" s="348" t="s">
        <v>1253</v>
      </c>
      <c r="J8990" s="344" t="s">
        <v>2004</v>
      </c>
      <c r="K8990" s="349">
        <v>14197.802857142857</v>
      </c>
      <c r="L8990" s="349"/>
      <c r="M8990" s="455"/>
    </row>
    <row r="8991" spans="1:13" ht="11.25" customHeight="1" x14ac:dyDescent="0.2">
      <c r="A8991" s="350">
        <v>2025</v>
      </c>
      <c r="B8991" s="350">
        <v>6</v>
      </c>
      <c r="C8991" s="350">
        <v>30</v>
      </c>
      <c r="D8991" s="351">
        <f t="shared" si="1074"/>
        <v>45838</v>
      </c>
      <c r="E8991" s="352">
        <f t="shared" si="1076"/>
        <v>45838</v>
      </c>
      <c r="F8991" s="519"/>
      <c r="G8991" s="353" t="s">
        <v>1245</v>
      </c>
      <c r="H8991" s="354"/>
      <c r="I8991" s="354" t="s">
        <v>1253</v>
      </c>
      <c r="J8991" s="350" t="s">
        <v>2008</v>
      </c>
      <c r="K8991" s="355"/>
      <c r="L8991" s="355">
        <v>14197.802857142857</v>
      </c>
    </row>
    <row r="8992" spans="1:13" ht="11.25" customHeight="1" x14ac:dyDescent="0.2">
      <c r="A8992" s="344">
        <v>2025</v>
      </c>
      <c r="B8992" s="344">
        <v>6</v>
      </c>
      <c r="C8992" s="344">
        <v>30</v>
      </c>
      <c r="D8992" s="345">
        <f t="shared" si="1074"/>
        <v>45838</v>
      </c>
      <c r="E8992" s="346">
        <f>DATE(A8992,B8992,C8992)</f>
        <v>45838</v>
      </c>
      <c r="F8992" s="518" t="s">
        <v>1988</v>
      </c>
      <c r="G8992" s="347" t="s">
        <v>1245</v>
      </c>
      <c r="H8992" s="348"/>
      <c r="I8992" s="348" t="s">
        <v>1253</v>
      </c>
      <c r="J8992" s="344" t="s">
        <v>113</v>
      </c>
      <c r="K8992" s="349">
        <v>9384.6142857142859</v>
      </c>
      <c r="L8992" s="349"/>
      <c r="M8992" s="455"/>
    </row>
    <row r="8993" spans="1:13" ht="11.25" customHeight="1" x14ac:dyDescent="0.2">
      <c r="A8993" s="350">
        <v>2025</v>
      </c>
      <c r="B8993" s="350">
        <v>6</v>
      </c>
      <c r="C8993" s="350">
        <v>30</v>
      </c>
      <c r="D8993" s="351">
        <f t="shared" si="1074"/>
        <v>45838</v>
      </c>
      <c r="E8993" s="352">
        <f>DATE(A8993,B8993,C8993)</f>
        <v>45838</v>
      </c>
      <c r="F8993" s="519"/>
      <c r="G8993" s="353" t="s">
        <v>1245</v>
      </c>
      <c r="H8993" s="354"/>
      <c r="I8993" s="354" t="s">
        <v>1253</v>
      </c>
      <c r="J8993" s="350" t="s">
        <v>153</v>
      </c>
      <c r="K8993" s="355"/>
      <c r="L8993" s="355">
        <v>9384.6142857142859</v>
      </c>
    </row>
    <row r="8994" spans="1:13" ht="11.25" customHeight="1" x14ac:dyDescent="0.2">
      <c r="A8994" s="344">
        <v>2025</v>
      </c>
      <c r="B8994" s="344">
        <v>6</v>
      </c>
      <c r="C8994" s="344">
        <v>30</v>
      </c>
      <c r="D8994" s="345">
        <f t="shared" si="1074"/>
        <v>45838</v>
      </c>
      <c r="E8994" s="346">
        <f t="shared" ref="E8994:E8999" si="1083">DATE(A8994,B8994,C8994)</f>
        <v>45838</v>
      </c>
      <c r="F8994" s="518" t="s">
        <v>1989</v>
      </c>
      <c r="G8994" s="347" t="s">
        <v>1245</v>
      </c>
      <c r="H8994" s="348"/>
      <c r="I8994" s="348" t="s">
        <v>1253</v>
      </c>
      <c r="J8994" s="344" t="s">
        <v>113</v>
      </c>
      <c r="K8994" s="349">
        <v>6703.2967032967035</v>
      </c>
      <c r="L8994" s="349"/>
      <c r="M8994" s="455"/>
    </row>
    <row r="8995" spans="1:13" ht="11.25" customHeight="1" x14ac:dyDescent="0.2">
      <c r="A8995" s="350">
        <v>2025</v>
      </c>
      <c r="B8995" s="350">
        <v>6</v>
      </c>
      <c r="C8995" s="350">
        <v>30</v>
      </c>
      <c r="D8995" s="351">
        <f t="shared" si="1074"/>
        <v>45838</v>
      </c>
      <c r="E8995" s="352">
        <f t="shared" si="1083"/>
        <v>45838</v>
      </c>
      <c r="F8995" s="519"/>
      <c r="G8995" s="353" t="s">
        <v>1245</v>
      </c>
      <c r="H8995" s="354"/>
      <c r="I8995" s="354" t="s">
        <v>1253</v>
      </c>
      <c r="J8995" s="350" t="s">
        <v>153</v>
      </c>
      <c r="K8995" s="355"/>
      <c r="L8995" s="355">
        <v>6703.2967032967035</v>
      </c>
    </row>
    <row r="8996" spans="1:13" ht="11.25" customHeight="1" x14ac:dyDescent="0.2">
      <c r="A8996" s="344">
        <v>2025</v>
      </c>
      <c r="B8996" s="344">
        <v>6</v>
      </c>
      <c r="C8996" s="344">
        <v>30</v>
      </c>
      <c r="D8996" s="345">
        <f t="shared" si="1074"/>
        <v>45838</v>
      </c>
      <c r="E8996" s="346">
        <f t="shared" si="1083"/>
        <v>45838</v>
      </c>
      <c r="F8996" s="518" t="s">
        <v>1990</v>
      </c>
      <c r="G8996" s="347" t="s">
        <v>1245</v>
      </c>
      <c r="H8996" s="348"/>
      <c r="I8996" s="348" t="s">
        <v>1253</v>
      </c>
      <c r="J8996" s="344" t="s">
        <v>113</v>
      </c>
      <c r="K8996" s="349">
        <v>20109.891428571427</v>
      </c>
      <c r="L8996" s="349"/>
      <c r="M8996" s="455"/>
    </row>
    <row r="8997" spans="1:13" ht="11.25" customHeight="1" x14ac:dyDescent="0.2">
      <c r="A8997" s="350">
        <v>2025</v>
      </c>
      <c r="B8997" s="350">
        <v>6</v>
      </c>
      <c r="C8997" s="350">
        <v>30</v>
      </c>
      <c r="D8997" s="351">
        <f t="shared" si="1074"/>
        <v>45838</v>
      </c>
      <c r="E8997" s="352">
        <f t="shared" si="1083"/>
        <v>45838</v>
      </c>
      <c r="F8997" s="519"/>
      <c r="G8997" s="353" t="s">
        <v>1245</v>
      </c>
      <c r="H8997" s="354"/>
      <c r="I8997" s="354" t="s">
        <v>1253</v>
      </c>
      <c r="J8997" s="350" t="s">
        <v>153</v>
      </c>
      <c r="K8997" s="355"/>
      <c r="L8997" s="355">
        <v>20109.891428571427</v>
      </c>
    </row>
    <row r="8998" spans="1:13" ht="11.25" customHeight="1" x14ac:dyDescent="0.2">
      <c r="A8998" s="344">
        <v>2025</v>
      </c>
      <c r="B8998" s="344">
        <v>6</v>
      </c>
      <c r="C8998" s="344">
        <v>30</v>
      </c>
      <c r="D8998" s="345">
        <f t="shared" si="1074"/>
        <v>45838</v>
      </c>
      <c r="E8998" s="346">
        <f t="shared" si="1083"/>
        <v>45838</v>
      </c>
      <c r="F8998" s="518" t="s">
        <v>2039</v>
      </c>
      <c r="G8998" s="347" t="s">
        <v>1245</v>
      </c>
      <c r="H8998" s="348"/>
      <c r="I8998" s="348" t="s">
        <v>1253</v>
      </c>
      <c r="J8998" s="344" t="s">
        <v>113</v>
      </c>
      <c r="K8998" s="349">
        <v>2681.3186813186812</v>
      </c>
      <c r="L8998" s="349"/>
      <c r="M8998" s="455"/>
    </row>
    <row r="8999" spans="1:13" ht="11.25" customHeight="1" x14ac:dyDescent="0.2">
      <c r="A8999" s="350">
        <v>2025</v>
      </c>
      <c r="B8999" s="350">
        <v>6</v>
      </c>
      <c r="C8999" s="350">
        <v>30</v>
      </c>
      <c r="D8999" s="351">
        <f t="shared" si="1074"/>
        <v>45838</v>
      </c>
      <c r="E8999" s="352">
        <f t="shared" si="1083"/>
        <v>45838</v>
      </c>
      <c r="F8999" s="519"/>
      <c r="G8999" s="353" t="s">
        <v>1245</v>
      </c>
      <c r="H8999" s="354"/>
      <c r="I8999" s="354" t="s">
        <v>1253</v>
      </c>
      <c r="J8999" s="350" t="s">
        <v>153</v>
      </c>
      <c r="K8999" s="355"/>
      <c r="L8999" s="355">
        <v>2681.3186813186812</v>
      </c>
    </row>
    <row r="9000" spans="1:13" ht="11.25" customHeight="1" x14ac:dyDescent="0.2">
      <c r="A9000" s="344">
        <v>2025</v>
      </c>
      <c r="B9000" s="344">
        <v>6</v>
      </c>
      <c r="C9000" s="344">
        <v>30</v>
      </c>
      <c r="D9000" s="345">
        <f t="shared" si="1074"/>
        <v>45838</v>
      </c>
      <c r="E9000" s="346">
        <f>DATE(A9000,B9000,C9000)</f>
        <v>45838</v>
      </c>
      <c r="F9000" s="518" t="s">
        <v>1991</v>
      </c>
      <c r="G9000" s="347" t="s">
        <v>1245</v>
      </c>
      <c r="H9000" s="348"/>
      <c r="I9000" s="348" t="s">
        <v>1253</v>
      </c>
      <c r="J9000" s="344" t="s">
        <v>113</v>
      </c>
      <c r="K9000" s="349">
        <v>11395.605714285715</v>
      </c>
      <c r="L9000" s="349"/>
      <c r="M9000" s="455"/>
    </row>
    <row r="9001" spans="1:13" ht="11.25" customHeight="1" x14ac:dyDescent="0.2">
      <c r="A9001" s="350">
        <v>2025</v>
      </c>
      <c r="B9001" s="350">
        <v>6</v>
      </c>
      <c r="C9001" s="350">
        <v>30</v>
      </c>
      <c r="D9001" s="351">
        <f t="shared" si="1074"/>
        <v>45838</v>
      </c>
      <c r="E9001" s="352">
        <f>DATE(A9001,B9001,C9001)</f>
        <v>45838</v>
      </c>
      <c r="F9001" s="519"/>
      <c r="G9001" s="353" t="s">
        <v>1245</v>
      </c>
      <c r="H9001" s="354"/>
      <c r="I9001" s="354" t="s">
        <v>1253</v>
      </c>
      <c r="J9001" s="350" t="s">
        <v>153</v>
      </c>
      <c r="K9001" s="355"/>
      <c r="L9001" s="355">
        <v>11395.605714285715</v>
      </c>
    </row>
    <row r="9002" spans="1:13" ht="11.25" customHeight="1" x14ac:dyDescent="0.2">
      <c r="A9002" s="344">
        <v>2025</v>
      </c>
      <c r="B9002" s="344">
        <v>6</v>
      </c>
      <c r="C9002" s="344">
        <v>30</v>
      </c>
      <c r="D9002" s="345">
        <f t="shared" si="1074"/>
        <v>45838</v>
      </c>
      <c r="E9002" s="346">
        <f t="shared" ref="E9002:E9006" si="1084">DATE(A9002,B9002,C9002)</f>
        <v>45838</v>
      </c>
      <c r="F9002" s="518" t="s">
        <v>2052</v>
      </c>
      <c r="G9002" s="347" t="s">
        <v>1245</v>
      </c>
      <c r="H9002" s="348"/>
      <c r="I9002" s="348" t="s">
        <v>1253</v>
      </c>
      <c r="J9002" s="344" t="s">
        <v>113</v>
      </c>
      <c r="K9002" s="349">
        <v>3269.2307692307691</v>
      </c>
      <c r="L9002" s="349"/>
      <c r="M9002" s="455"/>
    </row>
    <row r="9003" spans="1:13" ht="11.25" customHeight="1" x14ac:dyDescent="0.2">
      <c r="A9003" s="350">
        <v>2025</v>
      </c>
      <c r="B9003" s="350">
        <v>6</v>
      </c>
      <c r="C9003" s="350">
        <v>30</v>
      </c>
      <c r="D9003" s="351">
        <f t="shared" si="1074"/>
        <v>45838</v>
      </c>
      <c r="E9003" s="352">
        <f t="shared" si="1084"/>
        <v>45838</v>
      </c>
      <c r="F9003" s="519"/>
      <c r="G9003" s="353" t="s">
        <v>1245</v>
      </c>
      <c r="H9003" s="354"/>
      <c r="I9003" s="354" t="s">
        <v>1253</v>
      </c>
      <c r="J9003" s="350" t="s">
        <v>153</v>
      </c>
      <c r="K9003" s="355"/>
      <c r="L9003" s="355">
        <v>3269.2307692307691</v>
      </c>
    </row>
    <row r="9004" spans="1:13" ht="11.25" customHeight="1" x14ac:dyDescent="0.2">
      <c r="A9004" s="344">
        <v>2025</v>
      </c>
      <c r="B9004" s="344">
        <v>6</v>
      </c>
      <c r="C9004" s="344">
        <v>30</v>
      </c>
      <c r="D9004" s="345">
        <f t="shared" ref="D9004:D9067" si="1085">DATE(A9004,B9004,C9004)</f>
        <v>45838</v>
      </c>
      <c r="E9004" s="346">
        <f t="shared" si="1084"/>
        <v>45838</v>
      </c>
      <c r="F9004" s="518" t="s">
        <v>2053</v>
      </c>
      <c r="G9004" s="347" t="s">
        <v>1245</v>
      </c>
      <c r="H9004" s="348"/>
      <c r="I9004" s="348" t="s">
        <v>1253</v>
      </c>
      <c r="J9004" s="344" t="s">
        <v>113</v>
      </c>
      <c r="K9004" s="349">
        <v>3324.1758241758243</v>
      </c>
      <c r="L9004" s="349"/>
      <c r="M9004" s="455"/>
    </row>
    <row r="9005" spans="1:13" ht="11.25" customHeight="1" x14ac:dyDescent="0.2">
      <c r="A9005" s="350">
        <v>2025</v>
      </c>
      <c r="B9005" s="350">
        <v>6</v>
      </c>
      <c r="C9005" s="350">
        <v>30</v>
      </c>
      <c r="D9005" s="351">
        <f t="shared" si="1085"/>
        <v>45838</v>
      </c>
      <c r="E9005" s="352">
        <f t="shared" si="1084"/>
        <v>45838</v>
      </c>
      <c r="F9005" s="519"/>
      <c r="G9005" s="353" t="s">
        <v>1245</v>
      </c>
      <c r="H9005" s="354"/>
      <c r="I9005" s="354" t="s">
        <v>1253</v>
      </c>
      <c r="J9005" s="350" t="s">
        <v>153</v>
      </c>
      <c r="K9005" s="355"/>
      <c r="L9005" s="355">
        <v>3324.1758241758243</v>
      </c>
    </row>
    <row r="9006" spans="1:13" ht="11.25" customHeight="1" x14ac:dyDescent="0.2">
      <c r="A9006" s="210">
        <v>2025</v>
      </c>
      <c r="B9006" s="210">
        <v>6</v>
      </c>
      <c r="C9006" s="210">
        <v>30</v>
      </c>
      <c r="D9006" s="211">
        <f t="shared" si="1085"/>
        <v>45838</v>
      </c>
      <c r="E9006" s="238">
        <f t="shared" si="1084"/>
        <v>45838</v>
      </c>
      <c r="F9006" s="520" t="s">
        <v>1857</v>
      </c>
      <c r="G9006" s="213" t="s">
        <v>1245</v>
      </c>
      <c r="H9006" s="214"/>
      <c r="I9006" s="214" t="s">
        <v>1253</v>
      </c>
      <c r="J9006" s="210" t="s">
        <v>1284</v>
      </c>
      <c r="K9006" s="215">
        <v>669.08897554058842</v>
      </c>
      <c r="L9006" s="215"/>
      <c r="M9006" s="455"/>
    </row>
    <row r="9007" spans="1:13" ht="11.25" customHeight="1" x14ac:dyDescent="0.2">
      <c r="A9007" s="242">
        <v>2025</v>
      </c>
      <c r="B9007" s="242">
        <v>6</v>
      </c>
      <c r="C9007" s="242">
        <v>30</v>
      </c>
      <c r="D9007" s="243">
        <f t="shared" si="1085"/>
        <v>45838</v>
      </c>
      <c r="E9007" s="244">
        <f>DATE(A9007,B9007,C9007)</f>
        <v>45838</v>
      </c>
      <c r="F9007" s="524"/>
      <c r="G9007" s="245" t="s">
        <v>1245</v>
      </c>
      <c r="H9007" s="246"/>
      <c r="I9007" s="246"/>
      <c r="J9007" s="242" t="s">
        <v>1582</v>
      </c>
      <c r="K9007" s="247"/>
      <c r="L9007" s="247">
        <v>669.08897554058842</v>
      </c>
    </row>
    <row r="9008" spans="1:13" ht="11.25" customHeight="1" x14ac:dyDescent="0.2">
      <c r="A9008" s="210">
        <v>2025</v>
      </c>
      <c r="B9008" s="210">
        <v>6</v>
      </c>
      <c r="C9008" s="210">
        <v>30</v>
      </c>
      <c r="D9008" s="211">
        <f t="shared" si="1085"/>
        <v>45838</v>
      </c>
      <c r="E9008" s="238">
        <f t="shared" ref="E9008:E9037" si="1086">DATE(A9008,B9008,C9008)</f>
        <v>45838</v>
      </c>
      <c r="F9008" s="520" t="s">
        <v>2055</v>
      </c>
      <c r="G9008" s="213" t="s">
        <v>1245</v>
      </c>
      <c r="H9008" s="214"/>
      <c r="I9008" s="214" t="s">
        <v>1253</v>
      </c>
      <c r="J9008" s="210" t="s">
        <v>58</v>
      </c>
      <c r="K9008" s="215">
        <v>7090.99</v>
      </c>
      <c r="L9008" s="215"/>
    </row>
    <row r="9009" spans="1:15" ht="11.25" customHeight="1" x14ac:dyDescent="0.2">
      <c r="A9009" s="216">
        <v>2025</v>
      </c>
      <c r="B9009" s="216">
        <v>6</v>
      </c>
      <c r="C9009" s="216">
        <v>30</v>
      </c>
      <c r="D9009" s="217">
        <f t="shared" si="1085"/>
        <v>45838</v>
      </c>
      <c r="E9009" s="239">
        <f t="shared" si="1086"/>
        <v>45838</v>
      </c>
      <c r="F9009" s="521"/>
      <c r="G9009" s="219" t="s">
        <v>1245</v>
      </c>
      <c r="H9009" s="220"/>
      <c r="I9009" s="220" t="s">
        <v>1253</v>
      </c>
      <c r="J9009" s="216" t="s">
        <v>153</v>
      </c>
      <c r="K9009" s="221"/>
      <c r="L9009" s="221">
        <v>7090.99</v>
      </c>
    </row>
    <row r="9010" spans="1:15" ht="11.25" customHeight="1" x14ac:dyDescent="0.2">
      <c r="A9010" s="312">
        <v>2025</v>
      </c>
      <c r="B9010" s="312">
        <v>6</v>
      </c>
      <c r="C9010" s="312">
        <v>30</v>
      </c>
      <c r="D9010" s="313">
        <f t="shared" si="1085"/>
        <v>45838</v>
      </c>
      <c r="E9010" s="314">
        <f t="shared" si="1086"/>
        <v>45838</v>
      </c>
      <c r="F9010" s="522" t="s">
        <v>1477</v>
      </c>
      <c r="G9010" s="315" t="s">
        <v>1245</v>
      </c>
      <c r="H9010" s="316"/>
      <c r="I9010" s="316" t="s">
        <v>1253</v>
      </c>
      <c r="J9010" s="312" t="s">
        <v>1458</v>
      </c>
      <c r="K9010" s="317">
        <v>0</v>
      </c>
      <c r="L9010" s="317"/>
    </row>
    <row r="9011" spans="1:15" ht="11.25" customHeight="1" x14ac:dyDescent="0.2">
      <c r="A9011" s="318">
        <v>2025</v>
      </c>
      <c r="B9011" s="318">
        <v>6</v>
      </c>
      <c r="C9011" s="318">
        <v>30</v>
      </c>
      <c r="D9011" s="319">
        <f t="shared" si="1085"/>
        <v>45838</v>
      </c>
      <c r="E9011" s="320">
        <f t="shared" si="1086"/>
        <v>45838</v>
      </c>
      <c r="F9011" s="523"/>
      <c r="G9011" s="321" t="s">
        <v>1245</v>
      </c>
      <c r="H9011" s="322"/>
      <c r="I9011" s="322" t="s">
        <v>1253</v>
      </c>
      <c r="J9011" s="318" t="s">
        <v>1460</v>
      </c>
      <c r="K9011" s="323"/>
      <c r="L9011" s="323">
        <v>0</v>
      </c>
    </row>
    <row r="9012" spans="1:15" ht="11.25" customHeight="1" x14ac:dyDescent="0.2">
      <c r="A9012" s="312">
        <v>2025</v>
      </c>
      <c r="B9012" s="312">
        <v>6</v>
      </c>
      <c r="C9012" s="312">
        <v>30</v>
      </c>
      <c r="D9012" s="313">
        <f t="shared" si="1085"/>
        <v>45838</v>
      </c>
      <c r="E9012" s="314">
        <f t="shared" si="1086"/>
        <v>45838</v>
      </c>
      <c r="F9012" s="522" t="s">
        <v>1595</v>
      </c>
      <c r="G9012" s="315" t="s">
        <v>1245</v>
      </c>
      <c r="H9012" s="316"/>
      <c r="I9012" s="316" t="s">
        <v>1253</v>
      </c>
      <c r="J9012" s="312" t="s">
        <v>1461</v>
      </c>
      <c r="K9012" s="317">
        <v>2881396.2130000591</v>
      </c>
      <c r="L9012" s="317"/>
    </row>
    <row r="9013" spans="1:15" ht="11.25" customHeight="1" x14ac:dyDescent="0.2">
      <c r="A9013" s="318">
        <v>2025</v>
      </c>
      <c r="B9013" s="318">
        <v>6</v>
      </c>
      <c r="C9013" s="318">
        <v>30</v>
      </c>
      <c r="D9013" s="319">
        <f t="shared" si="1085"/>
        <v>45838</v>
      </c>
      <c r="E9013" s="320">
        <f t="shared" si="1086"/>
        <v>45838</v>
      </c>
      <c r="F9013" s="523"/>
      <c r="G9013" s="321" t="s">
        <v>1245</v>
      </c>
      <c r="H9013" s="322"/>
      <c r="I9013" s="322" t="s">
        <v>1253</v>
      </c>
      <c r="J9013" s="318" t="s">
        <v>1459</v>
      </c>
      <c r="K9013" s="323"/>
      <c r="L9013" s="323">
        <f>K9012</f>
        <v>2881396.2130000591</v>
      </c>
    </row>
    <row r="9014" spans="1:15" ht="11.25" customHeight="1" x14ac:dyDescent="0.2">
      <c r="A9014" s="222">
        <v>2025</v>
      </c>
      <c r="B9014" s="222">
        <v>6</v>
      </c>
      <c r="C9014" s="222">
        <v>30</v>
      </c>
      <c r="D9014" s="223">
        <f t="shared" si="1085"/>
        <v>45838</v>
      </c>
      <c r="E9014" s="240">
        <f t="shared" si="1086"/>
        <v>45838</v>
      </c>
      <c r="F9014" s="511" t="s">
        <v>1244</v>
      </c>
      <c r="G9014" s="225" t="s">
        <v>1245</v>
      </c>
      <c r="H9014" s="226"/>
      <c r="I9014" s="226" t="s">
        <v>1253</v>
      </c>
      <c r="J9014" s="222" t="s">
        <v>72</v>
      </c>
      <c r="K9014" s="227">
        <v>23535</v>
      </c>
      <c r="L9014" s="227"/>
    </row>
    <row r="9015" spans="1:15" ht="11.25" customHeight="1" x14ac:dyDescent="0.2">
      <c r="A9015" s="228">
        <v>2025</v>
      </c>
      <c r="B9015" s="228">
        <v>6</v>
      </c>
      <c r="C9015" s="228">
        <v>30</v>
      </c>
      <c r="D9015" s="229">
        <f t="shared" si="1085"/>
        <v>45838</v>
      </c>
      <c r="E9015" s="241">
        <f t="shared" si="1086"/>
        <v>45838</v>
      </c>
      <c r="F9015" s="512"/>
      <c r="G9015" s="231" t="s">
        <v>1245</v>
      </c>
      <c r="H9015" s="232"/>
      <c r="I9015" s="232" t="s">
        <v>1253</v>
      </c>
      <c r="J9015" s="228" t="s">
        <v>87</v>
      </c>
      <c r="K9015" s="233"/>
      <c r="L9015" s="233">
        <v>23535</v>
      </c>
    </row>
    <row r="9016" spans="1:15" ht="11.25" customHeight="1" x14ac:dyDescent="0.2">
      <c r="A9016" s="222">
        <v>2025</v>
      </c>
      <c r="B9016" s="222">
        <v>6</v>
      </c>
      <c r="C9016" s="222">
        <v>30</v>
      </c>
      <c r="D9016" s="223">
        <f t="shared" si="1085"/>
        <v>45838</v>
      </c>
      <c r="E9016" s="240">
        <f t="shared" si="1086"/>
        <v>45838</v>
      </c>
      <c r="F9016" s="511" t="s">
        <v>1246</v>
      </c>
      <c r="G9016" s="225" t="s">
        <v>1245</v>
      </c>
      <c r="H9016" s="226"/>
      <c r="I9016" s="226" t="s">
        <v>1253</v>
      </c>
      <c r="J9016" s="222" t="s">
        <v>75</v>
      </c>
      <c r="K9016" s="227">
        <v>1035.1782417582417</v>
      </c>
      <c r="L9016" s="227"/>
      <c r="M9016" s="455"/>
    </row>
    <row r="9017" spans="1:15" ht="11.25" customHeight="1" x14ac:dyDescent="0.2">
      <c r="A9017" s="228">
        <v>2025</v>
      </c>
      <c r="B9017" s="228">
        <v>6</v>
      </c>
      <c r="C9017" s="228">
        <v>30</v>
      </c>
      <c r="D9017" s="229">
        <f t="shared" si="1085"/>
        <v>45838</v>
      </c>
      <c r="E9017" s="241">
        <f t="shared" si="1086"/>
        <v>45838</v>
      </c>
      <c r="F9017" s="512"/>
      <c r="G9017" s="231" t="s">
        <v>1245</v>
      </c>
      <c r="H9017" s="232"/>
      <c r="I9017" s="232" t="s">
        <v>1253</v>
      </c>
      <c r="J9017" s="228" t="s">
        <v>55</v>
      </c>
      <c r="K9017" s="233"/>
      <c r="L9017" s="233">
        <v>1035.1782417582417</v>
      </c>
    </row>
    <row r="9018" spans="1:15" ht="11.25" customHeight="1" x14ac:dyDescent="0.2">
      <c r="A9018" s="222">
        <v>2025</v>
      </c>
      <c r="B9018" s="222">
        <v>6</v>
      </c>
      <c r="C9018" s="222">
        <v>30</v>
      </c>
      <c r="D9018" s="223">
        <f t="shared" si="1085"/>
        <v>45838</v>
      </c>
      <c r="E9018" s="240">
        <f t="shared" si="1086"/>
        <v>45838</v>
      </c>
      <c r="F9018" s="511" t="s">
        <v>1247</v>
      </c>
      <c r="G9018" s="225" t="s">
        <v>1245</v>
      </c>
      <c r="H9018" s="226"/>
      <c r="I9018" s="226" t="s">
        <v>1253</v>
      </c>
      <c r="J9018" s="222" t="s">
        <v>77</v>
      </c>
      <c r="K9018" s="227">
        <v>15845.685495345786</v>
      </c>
      <c r="L9018" s="227"/>
    </row>
    <row r="9019" spans="1:15" ht="11.25" customHeight="1" x14ac:dyDescent="0.2">
      <c r="A9019" s="228">
        <v>2025</v>
      </c>
      <c r="B9019" s="228">
        <v>6</v>
      </c>
      <c r="C9019" s="228">
        <v>30</v>
      </c>
      <c r="D9019" s="229">
        <f t="shared" si="1085"/>
        <v>45838</v>
      </c>
      <c r="E9019" s="241">
        <f t="shared" si="1086"/>
        <v>45838</v>
      </c>
      <c r="F9019" s="512"/>
      <c r="G9019" s="231" t="s">
        <v>1245</v>
      </c>
      <c r="H9019" s="232"/>
      <c r="I9019" s="232" t="s">
        <v>1253</v>
      </c>
      <c r="J9019" s="228" t="s">
        <v>41</v>
      </c>
      <c r="K9019" s="233"/>
      <c r="L9019" s="233">
        <v>15845.685495345786</v>
      </c>
    </row>
    <row r="9020" spans="1:15" ht="11.25" customHeight="1" x14ac:dyDescent="0.2">
      <c r="A9020" s="222">
        <v>2025</v>
      </c>
      <c r="B9020" s="222">
        <v>6</v>
      </c>
      <c r="C9020" s="222">
        <v>30</v>
      </c>
      <c r="D9020" s="223">
        <f t="shared" si="1085"/>
        <v>45838</v>
      </c>
      <c r="E9020" s="240">
        <f t="shared" si="1086"/>
        <v>45838</v>
      </c>
      <c r="F9020" s="511" t="s">
        <v>1248</v>
      </c>
      <c r="G9020" s="225" t="s">
        <v>1245</v>
      </c>
      <c r="H9020" s="226"/>
      <c r="I9020" s="226" t="s">
        <v>1253</v>
      </c>
      <c r="J9020" s="222" t="s">
        <v>80</v>
      </c>
      <c r="K9020" s="227">
        <v>1584.5685495345788</v>
      </c>
      <c r="L9020" s="227"/>
    </row>
    <row r="9021" spans="1:15" ht="11.25" customHeight="1" x14ac:dyDescent="0.2">
      <c r="A9021" s="228">
        <v>2025</v>
      </c>
      <c r="B9021" s="228">
        <v>6</v>
      </c>
      <c r="C9021" s="228">
        <v>30</v>
      </c>
      <c r="D9021" s="229">
        <f t="shared" si="1085"/>
        <v>45838</v>
      </c>
      <c r="E9021" s="241">
        <f t="shared" si="1086"/>
        <v>45838</v>
      </c>
      <c r="F9021" s="512"/>
      <c r="G9021" s="231" t="s">
        <v>1245</v>
      </c>
      <c r="H9021" s="232"/>
      <c r="I9021" s="232" t="s">
        <v>1253</v>
      </c>
      <c r="J9021" s="228" t="s">
        <v>42</v>
      </c>
      <c r="K9021" s="233"/>
      <c r="L9021" s="233">
        <v>1584.5685495345788</v>
      </c>
    </row>
    <row r="9022" spans="1:15" ht="11.25" customHeight="1" x14ac:dyDescent="0.2">
      <c r="A9022" s="197">
        <v>2025</v>
      </c>
      <c r="B9022" s="197">
        <v>7</v>
      </c>
      <c r="C9022" s="197">
        <v>2</v>
      </c>
      <c r="D9022" s="198">
        <f t="shared" si="1085"/>
        <v>45840</v>
      </c>
      <c r="E9022" s="290">
        <f t="shared" si="1086"/>
        <v>45840</v>
      </c>
      <c r="F9022" s="513" t="s">
        <v>1527</v>
      </c>
      <c r="G9022" s="200" t="s">
        <v>1209</v>
      </c>
      <c r="H9022" s="201"/>
      <c r="I9022" s="201"/>
      <c r="J9022" s="197" t="s">
        <v>54</v>
      </c>
      <c r="K9022" s="202">
        <v>345</v>
      </c>
      <c r="L9022" s="202"/>
      <c r="M9022" s="251"/>
      <c r="N9022" s="251"/>
      <c r="O9022" s="251"/>
    </row>
    <row r="9023" spans="1:15" ht="11.25" customHeight="1" x14ac:dyDescent="0.2">
      <c r="A9023" s="191">
        <v>2025</v>
      </c>
      <c r="B9023" s="191">
        <v>7</v>
      </c>
      <c r="C9023" s="191">
        <v>2</v>
      </c>
      <c r="D9023" s="192">
        <f t="shared" si="1085"/>
        <v>45840</v>
      </c>
      <c r="E9023" s="291">
        <f t="shared" si="1086"/>
        <v>45840</v>
      </c>
      <c r="F9023" s="514"/>
      <c r="G9023" s="194" t="s">
        <v>1209</v>
      </c>
      <c r="H9023" s="195"/>
      <c r="I9023" s="195"/>
      <c r="J9023" s="191" t="s">
        <v>46</v>
      </c>
      <c r="K9023" s="196"/>
      <c r="L9023" s="196">
        <v>345</v>
      </c>
      <c r="M9023" s="251"/>
      <c r="N9023" s="251"/>
      <c r="O9023" s="251"/>
    </row>
    <row r="9024" spans="1:15" ht="11.25" customHeight="1" x14ac:dyDescent="0.2">
      <c r="A9024" s="197">
        <v>2025</v>
      </c>
      <c r="B9024" s="197">
        <v>7</v>
      </c>
      <c r="C9024" s="197">
        <v>2</v>
      </c>
      <c r="D9024" s="198">
        <f t="shared" si="1085"/>
        <v>45840</v>
      </c>
      <c r="E9024" s="209">
        <f t="shared" si="1086"/>
        <v>45840</v>
      </c>
      <c r="F9024" s="513" t="s">
        <v>1210</v>
      </c>
      <c r="G9024" s="200" t="s">
        <v>1209</v>
      </c>
      <c r="H9024" s="201"/>
      <c r="I9024" s="201"/>
      <c r="J9024" s="197" t="s">
        <v>46</v>
      </c>
      <c r="K9024" s="202">
        <v>350000</v>
      </c>
      <c r="L9024" s="202"/>
    </row>
    <row r="9025" spans="1:15" ht="11.25" customHeight="1" x14ac:dyDescent="0.2">
      <c r="A9025" s="120">
        <v>2025</v>
      </c>
      <c r="B9025" s="120">
        <v>7</v>
      </c>
      <c r="C9025" s="120">
        <v>2</v>
      </c>
      <c r="D9025" s="208">
        <f t="shared" si="1085"/>
        <v>45840</v>
      </c>
      <c r="E9025" s="209">
        <f t="shared" si="1086"/>
        <v>45840</v>
      </c>
      <c r="F9025" s="515"/>
      <c r="G9025" s="132" t="s">
        <v>1209</v>
      </c>
      <c r="J9025" s="120" t="s">
        <v>16</v>
      </c>
      <c r="K9025" s="207"/>
      <c r="L9025" s="207">
        <v>278620</v>
      </c>
    </row>
    <row r="9026" spans="1:15" ht="11.25" customHeight="1" x14ac:dyDescent="0.2">
      <c r="A9026" s="191">
        <v>2025</v>
      </c>
      <c r="B9026" s="191">
        <v>7</v>
      </c>
      <c r="C9026" s="191">
        <v>2</v>
      </c>
      <c r="D9026" s="192">
        <f t="shared" si="1085"/>
        <v>45840</v>
      </c>
      <c r="E9026" s="193">
        <f t="shared" si="1086"/>
        <v>45840</v>
      </c>
      <c r="F9026" s="514"/>
      <c r="G9026" s="194" t="s">
        <v>1209</v>
      </c>
      <c r="H9026" s="195"/>
      <c r="I9026" s="195"/>
      <c r="J9026" s="191" t="s">
        <v>47</v>
      </c>
      <c r="K9026" s="196"/>
      <c r="L9026" s="196">
        <v>71380</v>
      </c>
    </row>
    <row r="9027" spans="1:15" ht="11.25" customHeight="1" x14ac:dyDescent="0.2">
      <c r="A9027" s="197">
        <v>2025</v>
      </c>
      <c r="B9027" s="197">
        <v>7</v>
      </c>
      <c r="C9027" s="197">
        <v>2</v>
      </c>
      <c r="D9027" s="198">
        <f t="shared" si="1085"/>
        <v>45840</v>
      </c>
      <c r="E9027" s="209">
        <f t="shared" si="1086"/>
        <v>45840</v>
      </c>
      <c r="F9027" s="513" t="s">
        <v>1280</v>
      </c>
      <c r="G9027" s="200" t="s">
        <v>1209</v>
      </c>
      <c r="H9027" s="201"/>
      <c r="I9027" s="201"/>
      <c r="J9027" s="197" t="s">
        <v>16</v>
      </c>
      <c r="K9027" s="202">
        <v>1512500</v>
      </c>
      <c r="L9027" s="202"/>
    </row>
    <row r="9028" spans="1:15" ht="11.25" customHeight="1" x14ac:dyDescent="0.2">
      <c r="A9028" s="120">
        <v>2025</v>
      </c>
      <c r="B9028" s="120">
        <v>7</v>
      </c>
      <c r="C9028" s="120">
        <v>2</v>
      </c>
      <c r="D9028" s="208">
        <f t="shared" si="1085"/>
        <v>45840</v>
      </c>
      <c r="E9028" s="209">
        <f t="shared" si="1086"/>
        <v>45840</v>
      </c>
      <c r="F9028" s="515"/>
      <c r="G9028" s="132" t="s">
        <v>1209</v>
      </c>
      <c r="J9028" s="120" t="s">
        <v>47</v>
      </c>
      <c r="K9028" s="207">
        <v>387500</v>
      </c>
      <c r="L9028" s="207"/>
    </row>
    <row r="9029" spans="1:15" ht="11.25" customHeight="1" x14ac:dyDescent="0.2">
      <c r="A9029" s="191">
        <v>2025</v>
      </c>
      <c r="B9029" s="191">
        <v>7</v>
      </c>
      <c r="C9029" s="191">
        <v>2</v>
      </c>
      <c r="D9029" s="192">
        <f t="shared" si="1085"/>
        <v>45840</v>
      </c>
      <c r="E9029" s="193">
        <f t="shared" si="1086"/>
        <v>45840</v>
      </c>
      <c r="F9029" s="514"/>
      <c r="G9029" s="194" t="s">
        <v>1209</v>
      </c>
      <c r="H9029" s="195"/>
      <c r="I9029" s="195"/>
      <c r="J9029" s="191" t="s">
        <v>46</v>
      </c>
      <c r="K9029" s="196"/>
      <c r="L9029" s="196">
        <v>1900000</v>
      </c>
    </row>
    <row r="9030" spans="1:15" ht="11.25" customHeight="1" x14ac:dyDescent="0.2">
      <c r="A9030" s="197">
        <v>2025</v>
      </c>
      <c r="B9030" s="197">
        <v>7</v>
      </c>
      <c r="C9030" s="197">
        <v>2</v>
      </c>
      <c r="D9030" s="198">
        <f t="shared" si="1085"/>
        <v>45840</v>
      </c>
      <c r="E9030" s="209">
        <f t="shared" si="1086"/>
        <v>45840</v>
      </c>
      <c r="F9030" s="513" t="s">
        <v>1280</v>
      </c>
      <c r="G9030" s="200" t="s">
        <v>1209</v>
      </c>
      <c r="H9030" s="201"/>
      <c r="I9030" s="201"/>
      <c r="J9030" s="197" t="s">
        <v>16</v>
      </c>
      <c r="K9030" s="202">
        <v>2000000</v>
      </c>
      <c r="L9030" s="202"/>
    </row>
    <row r="9031" spans="1:15" ht="11.25" customHeight="1" x14ac:dyDescent="0.2">
      <c r="A9031" s="120">
        <v>2025</v>
      </c>
      <c r="B9031" s="120">
        <v>7</v>
      </c>
      <c r="C9031" s="120">
        <v>2</v>
      </c>
      <c r="D9031" s="208">
        <f t="shared" si="1085"/>
        <v>45840</v>
      </c>
      <c r="E9031" s="209">
        <f t="shared" si="1086"/>
        <v>45840</v>
      </c>
      <c r="F9031" s="515"/>
      <c r="G9031" s="132" t="s">
        <v>1209</v>
      </c>
      <c r="J9031" s="120" t="s">
        <v>47</v>
      </c>
      <c r="K9031" s="207">
        <v>512400</v>
      </c>
      <c r="L9031" s="207"/>
    </row>
    <row r="9032" spans="1:15" ht="11.25" customHeight="1" x14ac:dyDescent="0.2">
      <c r="A9032" s="191">
        <v>2025</v>
      </c>
      <c r="B9032" s="191">
        <v>7</v>
      </c>
      <c r="C9032" s="191">
        <v>2</v>
      </c>
      <c r="D9032" s="192">
        <f t="shared" si="1085"/>
        <v>45840</v>
      </c>
      <c r="E9032" s="193">
        <f t="shared" si="1086"/>
        <v>45840</v>
      </c>
      <c r="F9032" s="514"/>
      <c r="G9032" s="194" t="s">
        <v>1209</v>
      </c>
      <c r="H9032" s="195"/>
      <c r="I9032" s="195"/>
      <c r="J9032" s="191" t="s">
        <v>46</v>
      </c>
      <c r="K9032" s="196"/>
      <c r="L9032" s="196">
        <v>2512400</v>
      </c>
    </row>
    <row r="9033" spans="1:15" ht="11.25" customHeight="1" x14ac:dyDescent="0.2">
      <c r="A9033" s="197">
        <v>2025</v>
      </c>
      <c r="B9033" s="197">
        <v>7</v>
      </c>
      <c r="C9033" s="197">
        <v>2</v>
      </c>
      <c r="D9033" s="198">
        <f t="shared" si="1085"/>
        <v>45840</v>
      </c>
      <c r="E9033" s="290">
        <f t="shared" si="1086"/>
        <v>45840</v>
      </c>
      <c r="F9033" s="513" t="s">
        <v>1514</v>
      </c>
      <c r="G9033" s="200" t="s">
        <v>1209</v>
      </c>
      <c r="H9033" s="201"/>
      <c r="I9033" s="201"/>
      <c r="J9033" s="197" t="s">
        <v>54</v>
      </c>
      <c r="K9033" s="202">
        <v>100</v>
      </c>
      <c r="L9033" s="202"/>
      <c r="M9033" s="251"/>
      <c r="N9033" s="251"/>
      <c r="O9033" s="251"/>
    </row>
    <row r="9034" spans="1:15" ht="11.25" customHeight="1" x14ac:dyDescent="0.2">
      <c r="A9034" s="191">
        <v>2025</v>
      </c>
      <c r="B9034" s="191">
        <v>7</v>
      </c>
      <c r="C9034" s="191">
        <v>2</v>
      </c>
      <c r="D9034" s="192">
        <f t="shared" si="1085"/>
        <v>45840</v>
      </c>
      <c r="E9034" s="291">
        <f t="shared" si="1086"/>
        <v>45840</v>
      </c>
      <c r="F9034" s="514"/>
      <c r="G9034" s="194" t="s">
        <v>1209</v>
      </c>
      <c r="H9034" s="195"/>
      <c r="I9034" s="195"/>
      <c r="J9034" s="191" t="s">
        <v>46</v>
      </c>
      <c r="K9034" s="196"/>
      <c r="L9034" s="196">
        <v>100</v>
      </c>
      <c r="M9034" s="251"/>
      <c r="N9034" s="251"/>
      <c r="O9034" s="251"/>
    </row>
    <row r="9035" spans="1:15" ht="11.25" customHeight="1" x14ac:dyDescent="0.2">
      <c r="A9035" s="197">
        <v>2025</v>
      </c>
      <c r="B9035" s="197">
        <v>7</v>
      </c>
      <c r="C9035" s="197">
        <v>2</v>
      </c>
      <c r="D9035" s="198">
        <f t="shared" si="1085"/>
        <v>45840</v>
      </c>
      <c r="E9035" s="209">
        <f t="shared" si="1086"/>
        <v>45840</v>
      </c>
      <c r="F9035" s="513" t="s">
        <v>1210</v>
      </c>
      <c r="G9035" s="200" t="s">
        <v>1209</v>
      </c>
      <c r="H9035" s="201"/>
      <c r="I9035" s="201"/>
      <c r="J9035" s="197" t="s">
        <v>46</v>
      </c>
      <c r="K9035" s="202">
        <v>22136</v>
      </c>
      <c r="L9035" s="202"/>
    </row>
    <row r="9036" spans="1:15" ht="11.25" customHeight="1" x14ac:dyDescent="0.2">
      <c r="A9036" s="120">
        <v>2025</v>
      </c>
      <c r="B9036" s="120">
        <v>7</v>
      </c>
      <c r="C9036" s="120">
        <v>2</v>
      </c>
      <c r="D9036" s="208">
        <f t="shared" si="1085"/>
        <v>45840</v>
      </c>
      <c r="E9036" s="209">
        <f t="shared" si="1086"/>
        <v>45840</v>
      </c>
      <c r="F9036" s="515"/>
      <c r="G9036" s="132" t="s">
        <v>1209</v>
      </c>
      <c r="J9036" s="120" t="s">
        <v>16</v>
      </c>
      <c r="K9036" s="207"/>
      <c r="L9036" s="207">
        <v>17620</v>
      </c>
    </row>
    <row r="9037" spans="1:15" ht="11.25" customHeight="1" x14ac:dyDescent="0.2">
      <c r="A9037" s="191">
        <v>2025</v>
      </c>
      <c r="B9037" s="191">
        <v>7</v>
      </c>
      <c r="C9037" s="191">
        <v>2</v>
      </c>
      <c r="D9037" s="192">
        <f t="shared" si="1085"/>
        <v>45840</v>
      </c>
      <c r="E9037" s="193">
        <f t="shared" si="1086"/>
        <v>45840</v>
      </c>
      <c r="F9037" s="514"/>
      <c r="G9037" s="194" t="s">
        <v>1209</v>
      </c>
      <c r="H9037" s="195"/>
      <c r="I9037" s="195"/>
      <c r="J9037" s="191" t="s">
        <v>47</v>
      </c>
      <c r="K9037" s="196"/>
      <c r="L9037" s="196">
        <v>4516</v>
      </c>
    </row>
    <row r="9038" spans="1:15" ht="11.25" customHeight="1" x14ac:dyDescent="0.2">
      <c r="A9038" s="197">
        <v>2025</v>
      </c>
      <c r="B9038" s="197">
        <v>7</v>
      </c>
      <c r="C9038" s="197">
        <v>3</v>
      </c>
      <c r="D9038" s="198">
        <f t="shared" si="1085"/>
        <v>45841</v>
      </c>
      <c r="E9038" s="290">
        <f>DATE(A9038,B9038,C9038)</f>
        <v>45841</v>
      </c>
      <c r="F9038" s="513" t="s">
        <v>1954</v>
      </c>
      <c r="G9038" s="200" t="s">
        <v>1209</v>
      </c>
      <c r="H9038" s="201"/>
      <c r="I9038" s="201" t="s">
        <v>1253</v>
      </c>
      <c r="J9038" s="197" t="s">
        <v>46</v>
      </c>
      <c r="K9038" s="202">
        <v>29000</v>
      </c>
      <c r="L9038" s="202"/>
    </row>
    <row r="9039" spans="1:15" ht="11.25" customHeight="1" x14ac:dyDescent="0.2">
      <c r="A9039" s="191">
        <v>2025</v>
      </c>
      <c r="B9039" s="191">
        <v>7</v>
      </c>
      <c r="C9039" s="191">
        <v>3</v>
      </c>
      <c r="D9039" s="192">
        <f t="shared" si="1085"/>
        <v>45841</v>
      </c>
      <c r="E9039" s="291">
        <f>DATE(A9039,B9039,C9039)</f>
        <v>45841</v>
      </c>
      <c r="F9039" s="514"/>
      <c r="G9039" s="194" t="s">
        <v>1209</v>
      </c>
      <c r="H9039" s="195"/>
      <c r="I9039" s="195"/>
      <c r="J9039" s="191" t="s">
        <v>1845</v>
      </c>
      <c r="K9039" s="196"/>
      <c r="L9039" s="196">
        <v>29000</v>
      </c>
    </row>
    <row r="9040" spans="1:15" ht="11.25" customHeight="1" x14ac:dyDescent="0.2">
      <c r="A9040" s="197">
        <v>2025</v>
      </c>
      <c r="B9040" s="197">
        <v>7</v>
      </c>
      <c r="C9040" s="197">
        <v>3</v>
      </c>
      <c r="D9040" s="198">
        <f t="shared" si="1085"/>
        <v>45841</v>
      </c>
      <c r="E9040" s="290">
        <f t="shared" ref="E9040:E9064" si="1087">DATE(A9040,B9040,C9040)</f>
        <v>45841</v>
      </c>
      <c r="F9040" s="513" t="s">
        <v>1514</v>
      </c>
      <c r="G9040" s="200" t="s">
        <v>1209</v>
      </c>
      <c r="H9040" s="201"/>
      <c r="I9040" s="201"/>
      <c r="J9040" s="197" t="s">
        <v>54</v>
      </c>
      <c r="K9040" s="202">
        <v>963.88</v>
      </c>
      <c r="L9040" s="202"/>
      <c r="M9040" s="251"/>
      <c r="N9040" s="251"/>
      <c r="O9040" s="251"/>
    </row>
    <row r="9041" spans="1:15" ht="11.25" customHeight="1" x14ac:dyDescent="0.2">
      <c r="A9041" s="191">
        <v>2025</v>
      </c>
      <c r="B9041" s="191">
        <v>7</v>
      </c>
      <c r="C9041" s="191">
        <v>3</v>
      </c>
      <c r="D9041" s="192">
        <f t="shared" si="1085"/>
        <v>45841</v>
      </c>
      <c r="E9041" s="291">
        <f t="shared" si="1087"/>
        <v>45841</v>
      </c>
      <c r="F9041" s="514"/>
      <c r="G9041" s="194" t="s">
        <v>1209</v>
      </c>
      <c r="H9041" s="195"/>
      <c r="I9041" s="195"/>
      <c r="J9041" s="191" t="s">
        <v>46</v>
      </c>
      <c r="K9041" s="196"/>
      <c r="L9041" s="196">
        <v>963.88</v>
      </c>
      <c r="M9041" s="251"/>
      <c r="N9041" s="251"/>
      <c r="O9041" s="251"/>
    </row>
    <row r="9042" spans="1:15" ht="11.25" customHeight="1" x14ac:dyDescent="0.2">
      <c r="A9042" s="197">
        <v>2025</v>
      </c>
      <c r="B9042" s="197">
        <v>7</v>
      </c>
      <c r="C9042" s="197">
        <v>3</v>
      </c>
      <c r="D9042" s="198">
        <f t="shared" si="1085"/>
        <v>45841</v>
      </c>
      <c r="E9042" s="290">
        <f t="shared" si="1087"/>
        <v>45841</v>
      </c>
      <c r="F9042" s="513" t="s">
        <v>1514</v>
      </c>
      <c r="G9042" s="200" t="s">
        <v>1209</v>
      </c>
      <c r="H9042" s="201"/>
      <c r="I9042" s="201"/>
      <c r="J9042" s="197" t="s">
        <v>54</v>
      </c>
      <c r="K9042" s="202">
        <v>300</v>
      </c>
      <c r="L9042" s="202"/>
      <c r="M9042" s="251"/>
      <c r="N9042" s="251"/>
      <c r="O9042" s="251"/>
    </row>
    <row r="9043" spans="1:15" ht="11.25" customHeight="1" x14ac:dyDescent="0.2">
      <c r="A9043" s="191">
        <v>2025</v>
      </c>
      <c r="B9043" s="191">
        <v>7</v>
      </c>
      <c r="C9043" s="191">
        <v>3</v>
      </c>
      <c r="D9043" s="192">
        <f t="shared" si="1085"/>
        <v>45841</v>
      </c>
      <c r="E9043" s="291">
        <f t="shared" si="1087"/>
        <v>45841</v>
      </c>
      <c r="F9043" s="514"/>
      <c r="G9043" s="194" t="s">
        <v>1209</v>
      </c>
      <c r="H9043" s="195"/>
      <c r="I9043" s="195"/>
      <c r="J9043" s="191" t="s">
        <v>46</v>
      </c>
      <c r="K9043" s="196"/>
      <c r="L9043" s="196">
        <v>300</v>
      </c>
      <c r="M9043" s="251"/>
    </row>
    <row r="9044" spans="1:15" ht="11.25" customHeight="1" x14ac:dyDescent="0.2">
      <c r="A9044" s="197">
        <v>2025</v>
      </c>
      <c r="B9044" s="197">
        <v>7</v>
      </c>
      <c r="C9044" s="197">
        <v>3</v>
      </c>
      <c r="D9044" s="198">
        <f t="shared" si="1085"/>
        <v>45841</v>
      </c>
      <c r="E9044" s="209">
        <f t="shared" si="1087"/>
        <v>45841</v>
      </c>
      <c r="F9044" s="513" t="s">
        <v>1210</v>
      </c>
      <c r="G9044" s="200" t="s">
        <v>1209</v>
      </c>
      <c r="H9044" s="201"/>
      <c r="I9044" s="201"/>
      <c r="J9044" s="197" t="s">
        <v>46</v>
      </c>
      <c r="K9044" s="202">
        <v>400000</v>
      </c>
      <c r="L9044" s="202"/>
    </row>
    <row r="9045" spans="1:15" ht="11.25" customHeight="1" x14ac:dyDescent="0.2">
      <c r="A9045" s="120">
        <v>2025</v>
      </c>
      <c r="B9045" s="120">
        <v>7</v>
      </c>
      <c r="C9045" s="120">
        <v>3</v>
      </c>
      <c r="D9045" s="208">
        <f t="shared" si="1085"/>
        <v>45841</v>
      </c>
      <c r="E9045" s="209">
        <f t="shared" si="1087"/>
        <v>45841</v>
      </c>
      <c r="F9045" s="515"/>
      <c r="G9045" s="132" t="s">
        <v>1209</v>
      </c>
      <c r="J9045" s="120" t="s">
        <v>16</v>
      </c>
      <c r="K9045" s="207"/>
      <c r="L9045" s="207">
        <v>318420</v>
      </c>
    </row>
    <row r="9046" spans="1:15" ht="11.25" customHeight="1" x14ac:dyDescent="0.2">
      <c r="A9046" s="191">
        <v>2025</v>
      </c>
      <c r="B9046" s="191">
        <v>7</v>
      </c>
      <c r="C9046" s="191">
        <v>3</v>
      </c>
      <c r="D9046" s="192">
        <f t="shared" si="1085"/>
        <v>45841</v>
      </c>
      <c r="E9046" s="193">
        <f t="shared" si="1087"/>
        <v>45841</v>
      </c>
      <c r="F9046" s="514"/>
      <c r="G9046" s="194" t="s">
        <v>1209</v>
      </c>
      <c r="H9046" s="195"/>
      <c r="I9046" s="195"/>
      <c r="J9046" s="191" t="s">
        <v>47</v>
      </c>
      <c r="K9046" s="196"/>
      <c r="L9046" s="196">
        <v>81580</v>
      </c>
    </row>
    <row r="9047" spans="1:15" ht="11.25" customHeight="1" x14ac:dyDescent="0.2">
      <c r="A9047" s="197">
        <v>2025</v>
      </c>
      <c r="B9047" s="197">
        <v>7</v>
      </c>
      <c r="C9047" s="197">
        <v>3</v>
      </c>
      <c r="D9047" s="198">
        <f t="shared" si="1085"/>
        <v>45841</v>
      </c>
      <c r="E9047" s="209">
        <f t="shared" si="1087"/>
        <v>45841</v>
      </c>
      <c r="F9047" s="513" t="s">
        <v>1210</v>
      </c>
      <c r="G9047" s="200" t="s">
        <v>1209</v>
      </c>
      <c r="H9047" s="201"/>
      <c r="I9047" s="201"/>
      <c r="J9047" s="197" t="s">
        <v>46</v>
      </c>
      <c r="K9047" s="202">
        <v>100000</v>
      </c>
      <c r="L9047" s="202"/>
    </row>
    <row r="9048" spans="1:15" ht="11.25" customHeight="1" x14ac:dyDescent="0.2">
      <c r="A9048" s="120">
        <v>2025</v>
      </c>
      <c r="B9048" s="120">
        <v>7</v>
      </c>
      <c r="C9048" s="120">
        <v>3</v>
      </c>
      <c r="D9048" s="208">
        <f t="shared" si="1085"/>
        <v>45841</v>
      </c>
      <c r="E9048" s="209">
        <f t="shared" si="1087"/>
        <v>45841</v>
      </c>
      <c r="F9048" s="515"/>
      <c r="G9048" s="132" t="s">
        <v>1209</v>
      </c>
      <c r="J9048" s="120" t="s">
        <v>16</v>
      </c>
      <c r="K9048" s="207"/>
      <c r="L9048" s="207">
        <v>79610</v>
      </c>
    </row>
    <row r="9049" spans="1:15" ht="11.25" customHeight="1" x14ac:dyDescent="0.2">
      <c r="A9049" s="191">
        <v>2025</v>
      </c>
      <c r="B9049" s="191">
        <v>7</v>
      </c>
      <c r="C9049" s="191">
        <v>3</v>
      </c>
      <c r="D9049" s="192">
        <f t="shared" si="1085"/>
        <v>45841</v>
      </c>
      <c r="E9049" s="193">
        <f t="shared" si="1087"/>
        <v>45841</v>
      </c>
      <c r="F9049" s="514"/>
      <c r="G9049" s="194" t="s">
        <v>1209</v>
      </c>
      <c r="H9049" s="195"/>
      <c r="I9049" s="195"/>
      <c r="J9049" s="191" t="s">
        <v>47</v>
      </c>
      <c r="K9049" s="196"/>
      <c r="L9049" s="196">
        <v>20390</v>
      </c>
    </row>
    <row r="9050" spans="1:15" ht="11.25" customHeight="1" x14ac:dyDescent="0.2">
      <c r="A9050" s="197">
        <v>2025</v>
      </c>
      <c r="B9050" s="197">
        <v>7</v>
      </c>
      <c r="C9050" s="197">
        <v>3</v>
      </c>
      <c r="D9050" s="198">
        <f t="shared" si="1085"/>
        <v>45841</v>
      </c>
      <c r="E9050" s="209">
        <f t="shared" ref="E9050:E9054" si="1088">DATE(A9050,B9050,C9050)</f>
        <v>45841</v>
      </c>
      <c r="F9050" s="513" t="s">
        <v>1210</v>
      </c>
      <c r="G9050" s="200" t="s">
        <v>1209</v>
      </c>
      <c r="H9050" s="201"/>
      <c r="I9050" s="201"/>
      <c r="J9050" s="197" t="s">
        <v>46</v>
      </c>
      <c r="K9050" s="202">
        <v>500000</v>
      </c>
      <c r="L9050" s="202"/>
    </row>
    <row r="9051" spans="1:15" ht="11.25" customHeight="1" x14ac:dyDescent="0.2">
      <c r="A9051" s="120">
        <v>2025</v>
      </c>
      <c r="B9051" s="120">
        <v>7</v>
      </c>
      <c r="C9051" s="120">
        <v>3</v>
      </c>
      <c r="D9051" s="208">
        <f t="shared" si="1085"/>
        <v>45841</v>
      </c>
      <c r="E9051" s="209">
        <f t="shared" si="1088"/>
        <v>45841</v>
      </c>
      <c r="F9051" s="515"/>
      <c r="G9051" s="132" t="s">
        <v>1209</v>
      </c>
      <c r="J9051" s="120" t="s">
        <v>16</v>
      </c>
      <c r="K9051" s="207"/>
      <c r="L9051" s="207">
        <v>398030</v>
      </c>
    </row>
    <row r="9052" spans="1:15" ht="11.25" customHeight="1" x14ac:dyDescent="0.2">
      <c r="A9052" s="191">
        <v>2025</v>
      </c>
      <c r="B9052" s="191">
        <v>7</v>
      </c>
      <c r="C9052" s="191">
        <v>3</v>
      </c>
      <c r="D9052" s="192">
        <f t="shared" si="1085"/>
        <v>45841</v>
      </c>
      <c r="E9052" s="193">
        <f t="shared" si="1088"/>
        <v>45841</v>
      </c>
      <c r="F9052" s="514"/>
      <c r="G9052" s="194" t="s">
        <v>1209</v>
      </c>
      <c r="H9052" s="195"/>
      <c r="I9052" s="195"/>
      <c r="J9052" s="191" t="s">
        <v>47</v>
      </c>
      <c r="K9052" s="196"/>
      <c r="L9052" s="196">
        <v>101970</v>
      </c>
    </row>
    <row r="9053" spans="1:15" ht="11.25" customHeight="1" x14ac:dyDescent="0.2">
      <c r="A9053" s="197">
        <v>2025</v>
      </c>
      <c r="B9053" s="197">
        <v>7</v>
      </c>
      <c r="C9053" s="197">
        <v>3</v>
      </c>
      <c r="D9053" s="198">
        <f t="shared" si="1085"/>
        <v>45841</v>
      </c>
      <c r="E9053" s="290">
        <f t="shared" si="1088"/>
        <v>45841</v>
      </c>
      <c r="F9053" s="513" t="s">
        <v>1514</v>
      </c>
      <c r="G9053" s="200" t="s">
        <v>1209</v>
      </c>
      <c r="H9053" s="201"/>
      <c r="I9053" s="201"/>
      <c r="J9053" s="197" t="s">
        <v>54</v>
      </c>
      <c r="K9053" s="202">
        <v>25</v>
      </c>
      <c r="L9053" s="202"/>
      <c r="M9053" s="251"/>
      <c r="N9053" s="251"/>
      <c r="O9053" s="251"/>
    </row>
    <row r="9054" spans="1:15" ht="11.25" customHeight="1" x14ac:dyDescent="0.2">
      <c r="A9054" s="191">
        <v>2025</v>
      </c>
      <c r="B9054" s="191">
        <v>7</v>
      </c>
      <c r="C9054" s="191">
        <v>3</v>
      </c>
      <c r="D9054" s="192">
        <f t="shared" si="1085"/>
        <v>45841</v>
      </c>
      <c r="E9054" s="291">
        <f t="shared" si="1088"/>
        <v>45841</v>
      </c>
      <c r="F9054" s="514"/>
      <c r="G9054" s="194" t="s">
        <v>1209</v>
      </c>
      <c r="H9054" s="195"/>
      <c r="I9054" s="195"/>
      <c r="J9054" s="191" t="s">
        <v>46</v>
      </c>
      <c r="K9054" s="196"/>
      <c r="L9054" s="196">
        <v>25</v>
      </c>
      <c r="M9054" s="251"/>
    </row>
    <row r="9055" spans="1:15" ht="11.25" customHeight="1" x14ac:dyDescent="0.2">
      <c r="A9055" s="424">
        <v>2025</v>
      </c>
      <c r="B9055" s="424">
        <v>7</v>
      </c>
      <c r="C9055" s="424">
        <v>3</v>
      </c>
      <c r="D9055" s="425">
        <f t="shared" si="1085"/>
        <v>45841</v>
      </c>
      <c r="E9055" s="384">
        <f t="shared" si="1087"/>
        <v>45841</v>
      </c>
      <c r="F9055" s="516" t="s">
        <v>1850</v>
      </c>
      <c r="G9055" s="426" t="s">
        <v>1209</v>
      </c>
      <c r="H9055" s="427"/>
      <c r="I9055" s="427"/>
      <c r="J9055" s="428" t="s">
        <v>81</v>
      </c>
      <c r="K9055" s="429">
        <v>11170.721538461539</v>
      </c>
      <c r="L9055" s="429"/>
    </row>
    <row r="9056" spans="1:15" ht="11.25" customHeight="1" x14ac:dyDescent="0.2">
      <c r="A9056" s="389">
        <v>2025</v>
      </c>
      <c r="B9056" s="389">
        <v>7</v>
      </c>
      <c r="C9056" s="389">
        <v>3</v>
      </c>
      <c r="D9056" s="390">
        <f t="shared" si="1085"/>
        <v>45841</v>
      </c>
      <c r="E9056" s="391">
        <f t="shared" si="1087"/>
        <v>45841</v>
      </c>
      <c r="F9056" s="517"/>
      <c r="G9056" s="392" t="s">
        <v>1209</v>
      </c>
      <c r="H9056" s="393"/>
      <c r="I9056" s="393"/>
      <c r="J9056" s="394" t="s">
        <v>1847</v>
      </c>
      <c r="K9056" s="423"/>
      <c r="L9056" s="423">
        <f>K9055</f>
        <v>11170.721538461539</v>
      </c>
    </row>
    <row r="9057" spans="1:12" ht="11.25" customHeight="1" x14ac:dyDescent="0.2">
      <c r="A9057" s="382">
        <v>2025</v>
      </c>
      <c r="B9057" s="382">
        <v>7</v>
      </c>
      <c r="C9057" s="382">
        <v>3</v>
      </c>
      <c r="D9057" s="383">
        <f t="shared" si="1085"/>
        <v>45841</v>
      </c>
      <c r="E9057" s="384">
        <f t="shared" si="1087"/>
        <v>45841</v>
      </c>
      <c r="F9057" s="516" t="s">
        <v>1892</v>
      </c>
      <c r="G9057" s="385" t="s">
        <v>1209</v>
      </c>
      <c r="H9057" s="386"/>
      <c r="I9057" s="386"/>
      <c r="J9057" s="387" t="s">
        <v>173</v>
      </c>
      <c r="K9057" s="388">
        <v>3407.3791645178571</v>
      </c>
      <c r="L9057" s="388"/>
    </row>
    <row r="9058" spans="1:12" ht="11.25" customHeight="1" x14ac:dyDescent="0.2">
      <c r="A9058" s="389">
        <v>2025</v>
      </c>
      <c r="B9058" s="389">
        <v>7</v>
      </c>
      <c r="C9058" s="389">
        <v>3</v>
      </c>
      <c r="D9058" s="390">
        <f t="shared" si="1085"/>
        <v>45841</v>
      </c>
      <c r="E9058" s="391">
        <f t="shared" si="1087"/>
        <v>45841</v>
      </c>
      <c r="F9058" s="517"/>
      <c r="G9058" s="392" t="s">
        <v>1209</v>
      </c>
      <c r="H9058" s="393"/>
      <c r="I9058" s="393"/>
      <c r="J9058" s="394" t="s">
        <v>43</v>
      </c>
      <c r="K9058" s="388"/>
      <c r="L9058" s="423">
        <f>K9057</f>
        <v>3407.3791645178571</v>
      </c>
    </row>
    <row r="9059" spans="1:12" ht="11.25" customHeight="1" x14ac:dyDescent="0.2">
      <c r="A9059" s="344">
        <v>2025</v>
      </c>
      <c r="B9059" s="344">
        <v>7</v>
      </c>
      <c r="C9059" s="344">
        <v>3</v>
      </c>
      <c r="D9059" s="345">
        <f t="shared" si="1085"/>
        <v>45841</v>
      </c>
      <c r="E9059" s="346">
        <f t="shared" si="1087"/>
        <v>45841</v>
      </c>
      <c r="F9059" s="518" t="s">
        <v>1982</v>
      </c>
      <c r="G9059" s="347" t="s">
        <v>1245</v>
      </c>
      <c r="H9059" s="348"/>
      <c r="I9059" s="348" t="s">
        <v>1253</v>
      </c>
      <c r="J9059" s="344" t="s">
        <v>1978</v>
      </c>
      <c r="K9059" s="349">
        <v>103736.26373626373</v>
      </c>
      <c r="L9059" s="349"/>
    </row>
    <row r="9060" spans="1:12" ht="11.25" customHeight="1" x14ac:dyDescent="0.2">
      <c r="A9060" s="350">
        <v>2025</v>
      </c>
      <c r="B9060" s="350">
        <v>7</v>
      </c>
      <c r="C9060" s="350">
        <v>3</v>
      </c>
      <c r="D9060" s="351">
        <f t="shared" si="1085"/>
        <v>45841</v>
      </c>
      <c r="E9060" s="352">
        <f t="shared" si="1087"/>
        <v>45841</v>
      </c>
      <c r="F9060" s="519"/>
      <c r="G9060" s="353" t="s">
        <v>1245</v>
      </c>
      <c r="H9060" s="354"/>
      <c r="I9060" s="354" t="s">
        <v>1253</v>
      </c>
      <c r="J9060" s="350" t="s">
        <v>1979</v>
      </c>
      <c r="K9060" s="355"/>
      <c r="L9060" s="355">
        <f>K9059</f>
        <v>103736.26373626373</v>
      </c>
    </row>
    <row r="9061" spans="1:12" ht="11.25" customHeight="1" x14ac:dyDescent="0.2">
      <c r="A9061" s="344">
        <v>2025</v>
      </c>
      <c r="B9061" s="344">
        <v>7</v>
      </c>
      <c r="C9061" s="344">
        <v>3</v>
      </c>
      <c r="D9061" s="345">
        <f t="shared" si="1085"/>
        <v>45841</v>
      </c>
      <c r="E9061" s="346">
        <f t="shared" si="1087"/>
        <v>45841</v>
      </c>
      <c r="F9061" s="518" t="s">
        <v>2009</v>
      </c>
      <c r="G9061" s="347" t="s">
        <v>1245</v>
      </c>
      <c r="H9061" s="348"/>
      <c r="I9061" s="348" t="s">
        <v>1253</v>
      </c>
      <c r="J9061" s="344" t="s">
        <v>2004</v>
      </c>
      <c r="K9061" s="349">
        <v>35494.507142857139</v>
      </c>
      <c r="L9061" s="349"/>
    </row>
    <row r="9062" spans="1:12" ht="11.25" customHeight="1" x14ac:dyDescent="0.2">
      <c r="A9062" s="350">
        <v>2025</v>
      </c>
      <c r="B9062" s="350">
        <v>7</v>
      </c>
      <c r="C9062" s="350">
        <v>3</v>
      </c>
      <c r="D9062" s="351">
        <f t="shared" si="1085"/>
        <v>45841</v>
      </c>
      <c r="E9062" s="352">
        <f t="shared" si="1087"/>
        <v>45841</v>
      </c>
      <c r="F9062" s="519"/>
      <c r="G9062" s="353" t="s">
        <v>1245</v>
      </c>
      <c r="H9062" s="354"/>
      <c r="I9062" s="354" t="s">
        <v>1253</v>
      </c>
      <c r="J9062" s="350" t="s">
        <v>2008</v>
      </c>
      <c r="K9062" s="355"/>
      <c r="L9062" s="355">
        <f t="shared" ref="L9062" si="1089">K9061</f>
        <v>35494.507142857139</v>
      </c>
    </row>
    <row r="9063" spans="1:12" ht="11.25" customHeight="1" x14ac:dyDescent="0.2">
      <c r="A9063" s="344">
        <v>2025</v>
      </c>
      <c r="B9063" s="344">
        <v>7</v>
      </c>
      <c r="C9063" s="344">
        <v>3</v>
      </c>
      <c r="D9063" s="345">
        <f t="shared" si="1085"/>
        <v>45841</v>
      </c>
      <c r="E9063" s="346">
        <f t="shared" si="1087"/>
        <v>45841</v>
      </c>
      <c r="F9063" s="518" t="s">
        <v>2009</v>
      </c>
      <c r="G9063" s="347" t="s">
        <v>1245</v>
      </c>
      <c r="H9063" s="348"/>
      <c r="I9063" s="348" t="s">
        <v>1253</v>
      </c>
      <c r="J9063" s="344" t="s">
        <v>2004</v>
      </c>
      <c r="K9063" s="349">
        <v>35494.507142857139</v>
      </c>
      <c r="L9063" s="349"/>
    </row>
    <row r="9064" spans="1:12" ht="11.25" customHeight="1" x14ac:dyDescent="0.2">
      <c r="A9064" s="350">
        <v>2025</v>
      </c>
      <c r="B9064" s="350">
        <v>7</v>
      </c>
      <c r="C9064" s="350">
        <v>3</v>
      </c>
      <c r="D9064" s="351">
        <f t="shared" si="1085"/>
        <v>45841</v>
      </c>
      <c r="E9064" s="352">
        <f t="shared" si="1087"/>
        <v>45841</v>
      </c>
      <c r="F9064" s="519"/>
      <c r="G9064" s="353" t="s">
        <v>1245</v>
      </c>
      <c r="H9064" s="354"/>
      <c r="I9064" s="354" t="s">
        <v>1253</v>
      </c>
      <c r="J9064" s="350" t="s">
        <v>2008</v>
      </c>
      <c r="K9064" s="355"/>
      <c r="L9064" s="355">
        <f t="shared" ref="L9064" si="1090">K9063</f>
        <v>35494.507142857139</v>
      </c>
    </row>
    <row r="9065" spans="1:12" ht="11.25" customHeight="1" x14ac:dyDescent="0.2">
      <c r="A9065" s="344">
        <v>2025</v>
      </c>
      <c r="B9065" s="344">
        <v>7</v>
      </c>
      <c r="C9065" s="344">
        <v>3</v>
      </c>
      <c r="D9065" s="345">
        <f t="shared" si="1085"/>
        <v>45841</v>
      </c>
      <c r="E9065" s="346">
        <f>DATE(A9065,B9065,C9065)</f>
        <v>45841</v>
      </c>
      <c r="F9065" s="518" t="s">
        <v>1988</v>
      </c>
      <c r="G9065" s="347" t="s">
        <v>1245</v>
      </c>
      <c r="H9065" s="348"/>
      <c r="I9065" s="348" t="s">
        <v>1253</v>
      </c>
      <c r="J9065" s="344" t="s">
        <v>113</v>
      </c>
      <c r="K9065" s="349">
        <v>23461.535714285717</v>
      </c>
      <c r="L9065" s="349"/>
    </row>
    <row r="9066" spans="1:12" ht="11.25" customHeight="1" x14ac:dyDescent="0.2">
      <c r="A9066" s="350">
        <v>2025</v>
      </c>
      <c r="B9066" s="350">
        <v>7</v>
      </c>
      <c r="C9066" s="350">
        <v>3</v>
      </c>
      <c r="D9066" s="351">
        <f t="shared" si="1085"/>
        <v>45841</v>
      </c>
      <c r="E9066" s="352">
        <f>DATE(A9066,B9066,C9066)</f>
        <v>45841</v>
      </c>
      <c r="F9066" s="519"/>
      <c r="G9066" s="353" t="s">
        <v>1245</v>
      </c>
      <c r="H9066" s="354"/>
      <c r="I9066" s="354" t="s">
        <v>1253</v>
      </c>
      <c r="J9066" s="350" t="s">
        <v>153</v>
      </c>
      <c r="K9066" s="355"/>
      <c r="L9066" s="355">
        <f t="shared" ref="L9066" si="1091">K9065</f>
        <v>23461.535714285717</v>
      </c>
    </row>
    <row r="9067" spans="1:12" ht="11.25" customHeight="1" x14ac:dyDescent="0.2">
      <c r="A9067" s="344">
        <v>2025</v>
      </c>
      <c r="B9067" s="344">
        <v>7</v>
      </c>
      <c r="C9067" s="344">
        <v>3</v>
      </c>
      <c r="D9067" s="345">
        <f t="shared" si="1085"/>
        <v>45841</v>
      </c>
      <c r="E9067" s="346">
        <f t="shared" ref="E9067:E9072" si="1092">DATE(A9067,B9067,C9067)</f>
        <v>45841</v>
      </c>
      <c r="F9067" s="518" t="s">
        <v>1989</v>
      </c>
      <c r="G9067" s="347" t="s">
        <v>1245</v>
      </c>
      <c r="H9067" s="348"/>
      <c r="I9067" s="348" t="s">
        <v>1253</v>
      </c>
      <c r="J9067" s="344" t="s">
        <v>113</v>
      </c>
      <c r="K9067" s="349">
        <v>16758.241758241758</v>
      </c>
      <c r="L9067" s="349"/>
    </row>
    <row r="9068" spans="1:12" ht="11.25" customHeight="1" x14ac:dyDescent="0.2">
      <c r="A9068" s="350">
        <v>2025</v>
      </c>
      <c r="B9068" s="350">
        <v>7</v>
      </c>
      <c r="C9068" s="350">
        <v>3</v>
      </c>
      <c r="D9068" s="351">
        <f t="shared" ref="D9068:D9131" si="1093">DATE(A9068,B9068,C9068)</f>
        <v>45841</v>
      </c>
      <c r="E9068" s="352">
        <f t="shared" si="1092"/>
        <v>45841</v>
      </c>
      <c r="F9068" s="519"/>
      <c r="G9068" s="353" t="s">
        <v>1245</v>
      </c>
      <c r="H9068" s="354"/>
      <c r="I9068" s="354" t="s">
        <v>1253</v>
      </c>
      <c r="J9068" s="350" t="s">
        <v>153</v>
      </c>
      <c r="K9068" s="355"/>
      <c r="L9068" s="355">
        <f t="shared" ref="L9068" si="1094">K9067</f>
        <v>16758.241758241758</v>
      </c>
    </row>
    <row r="9069" spans="1:12" ht="11.25" customHeight="1" x14ac:dyDescent="0.2">
      <c r="A9069" s="344">
        <v>2025</v>
      </c>
      <c r="B9069" s="344">
        <v>7</v>
      </c>
      <c r="C9069" s="344">
        <v>3</v>
      </c>
      <c r="D9069" s="345">
        <f t="shared" si="1093"/>
        <v>45841</v>
      </c>
      <c r="E9069" s="346">
        <f t="shared" si="1092"/>
        <v>45841</v>
      </c>
      <c r="F9069" s="518" t="s">
        <v>1990</v>
      </c>
      <c r="G9069" s="347" t="s">
        <v>1245</v>
      </c>
      <c r="H9069" s="348"/>
      <c r="I9069" s="348" t="s">
        <v>1253</v>
      </c>
      <c r="J9069" s="344" t="s">
        <v>113</v>
      </c>
      <c r="K9069" s="349">
        <v>50274.728571428568</v>
      </c>
      <c r="L9069" s="349"/>
    </row>
    <row r="9070" spans="1:12" ht="11.25" customHeight="1" x14ac:dyDescent="0.2">
      <c r="A9070" s="350">
        <v>2025</v>
      </c>
      <c r="B9070" s="350">
        <v>7</v>
      </c>
      <c r="C9070" s="350">
        <v>3</v>
      </c>
      <c r="D9070" s="351">
        <f t="shared" si="1093"/>
        <v>45841</v>
      </c>
      <c r="E9070" s="352">
        <f t="shared" si="1092"/>
        <v>45841</v>
      </c>
      <c r="F9070" s="519"/>
      <c r="G9070" s="353" t="s">
        <v>1245</v>
      </c>
      <c r="H9070" s="354"/>
      <c r="I9070" s="354" t="s">
        <v>1253</v>
      </c>
      <c r="J9070" s="350" t="s">
        <v>153</v>
      </c>
      <c r="K9070" s="355"/>
      <c r="L9070" s="355">
        <f t="shared" ref="L9070" si="1095">K9069</f>
        <v>50274.728571428568</v>
      </c>
    </row>
    <row r="9071" spans="1:12" ht="11.25" customHeight="1" x14ac:dyDescent="0.2">
      <c r="A9071" s="344">
        <v>2025</v>
      </c>
      <c r="B9071" s="344">
        <v>7</v>
      </c>
      <c r="C9071" s="344">
        <v>3</v>
      </c>
      <c r="D9071" s="345">
        <f t="shared" si="1093"/>
        <v>45841</v>
      </c>
      <c r="E9071" s="346">
        <f t="shared" si="1092"/>
        <v>45841</v>
      </c>
      <c r="F9071" s="518" t="s">
        <v>2039</v>
      </c>
      <c r="G9071" s="347" t="s">
        <v>1245</v>
      </c>
      <c r="H9071" s="348"/>
      <c r="I9071" s="348" t="s">
        <v>1253</v>
      </c>
      <c r="J9071" s="344" t="s">
        <v>113</v>
      </c>
      <c r="K9071" s="349">
        <v>6703.2967032967035</v>
      </c>
      <c r="L9071" s="349"/>
    </row>
    <row r="9072" spans="1:12" ht="11.25" customHeight="1" x14ac:dyDescent="0.2">
      <c r="A9072" s="350">
        <v>2025</v>
      </c>
      <c r="B9072" s="350">
        <v>7</v>
      </c>
      <c r="C9072" s="350">
        <v>3</v>
      </c>
      <c r="D9072" s="351">
        <f t="shared" si="1093"/>
        <v>45841</v>
      </c>
      <c r="E9072" s="352">
        <f t="shared" si="1092"/>
        <v>45841</v>
      </c>
      <c r="F9072" s="519"/>
      <c r="G9072" s="353" t="s">
        <v>1245</v>
      </c>
      <c r="H9072" s="354"/>
      <c r="I9072" s="354" t="s">
        <v>1253</v>
      </c>
      <c r="J9072" s="350" t="s">
        <v>153</v>
      </c>
      <c r="K9072" s="355"/>
      <c r="L9072" s="355">
        <f t="shared" ref="L9072" si="1096">K9071</f>
        <v>6703.2967032967035</v>
      </c>
    </row>
    <row r="9073" spans="1:12" ht="11.25" customHeight="1" x14ac:dyDescent="0.2">
      <c r="A9073" s="344">
        <v>2025</v>
      </c>
      <c r="B9073" s="344">
        <v>7</v>
      </c>
      <c r="C9073" s="344">
        <v>3</v>
      </c>
      <c r="D9073" s="345">
        <f t="shared" si="1093"/>
        <v>45841</v>
      </c>
      <c r="E9073" s="346">
        <f>DATE(A9073,B9073,C9073)</f>
        <v>45841</v>
      </c>
      <c r="F9073" s="518" t="s">
        <v>1991</v>
      </c>
      <c r="G9073" s="347" t="s">
        <v>1245</v>
      </c>
      <c r="H9073" s="348"/>
      <c r="I9073" s="348" t="s">
        <v>1253</v>
      </c>
      <c r="J9073" s="344" t="s">
        <v>113</v>
      </c>
      <c r="K9073" s="349">
        <v>28489.014285714286</v>
      </c>
      <c r="L9073" s="349"/>
    </row>
    <row r="9074" spans="1:12" ht="11.25" customHeight="1" x14ac:dyDescent="0.2">
      <c r="A9074" s="350">
        <v>2025</v>
      </c>
      <c r="B9074" s="350">
        <v>7</v>
      </c>
      <c r="C9074" s="350">
        <v>3</v>
      </c>
      <c r="D9074" s="351">
        <f t="shared" si="1093"/>
        <v>45841</v>
      </c>
      <c r="E9074" s="352">
        <f>DATE(A9074,B9074,C9074)</f>
        <v>45841</v>
      </c>
      <c r="F9074" s="519"/>
      <c r="G9074" s="353" t="s">
        <v>1245</v>
      </c>
      <c r="H9074" s="354"/>
      <c r="I9074" s="354" t="s">
        <v>1253</v>
      </c>
      <c r="J9074" s="350" t="s">
        <v>153</v>
      </c>
      <c r="K9074" s="355"/>
      <c r="L9074" s="355">
        <f t="shared" ref="L9074" si="1097">K9073</f>
        <v>28489.014285714286</v>
      </c>
    </row>
    <row r="9075" spans="1:12" ht="11.25" customHeight="1" x14ac:dyDescent="0.2">
      <c r="A9075" s="344">
        <v>2025</v>
      </c>
      <c r="B9075" s="344">
        <v>7</v>
      </c>
      <c r="C9075" s="344">
        <v>3</v>
      </c>
      <c r="D9075" s="345">
        <f t="shared" si="1093"/>
        <v>45841</v>
      </c>
      <c r="E9075" s="346">
        <f t="shared" ref="E9075:E9079" si="1098">DATE(A9075,B9075,C9075)</f>
        <v>45841</v>
      </c>
      <c r="F9075" s="518" t="s">
        <v>2052</v>
      </c>
      <c r="G9075" s="347" t="s">
        <v>1245</v>
      </c>
      <c r="H9075" s="348"/>
      <c r="I9075" s="348" t="s">
        <v>1253</v>
      </c>
      <c r="J9075" s="344" t="s">
        <v>113</v>
      </c>
      <c r="K9075" s="349">
        <v>8173.076923076922</v>
      </c>
      <c r="L9075" s="349"/>
    </row>
    <row r="9076" spans="1:12" ht="11.25" customHeight="1" x14ac:dyDescent="0.2">
      <c r="A9076" s="350">
        <v>2025</v>
      </c>
      <c r="B9076" s="350">
        <v>7</v>
      </c>
      <c r="C9076" s="350">
        <v>3</v>
      </c>
      <c r="D9076" s="351">
        <f t="shared" si="1093"/>
        <v>45841</v>
      </c>
      <c r="E9076" s="352">
        <f t="shared" si="1098"/>
        <v>45841</v>
      </c>
      <c r="F9076" s="519"/>
      <c r="G9076" s="353" t="s">
        <v>1245</v>
      </c>
      <c r="H9076" s="354"/>
      <c r="I9076" s="354" t="s">
        <v>1253</v>
      </c>
      <c r="J9076" s="350" t="s">
        <v>153</v>
      </c>
      <c r="K9076" s="355"/>
      <c r="L9076" s="355">
        <f t="shared" ref="L9076" si="1099">K9075</f>
        <v>8173.076923076922</v>
      </c>
    </row>
    <row r="9077" spans="1:12" ht="11.25" customHeight="1" x14ac:dyDescent="0.2">
      <c r="A9077" s="344">
        <v>2025</v>
      </c>
      <c r="B9077" s="344">
        <v>7</v>
      </c>
      <c r="C9077" s="344">
        <v>3</v>
      </c>
      <c r="D9077" s="345">
        <f t="shared" si="1093"/>
        <v>45841</v>
      </c>
      <c r="E9077" s="346">
        <f t="shared" si="1098"/>
        <v>45841</v>
      </c>
      <c r="F9077" s="518" t="s">
        <v>2053</v>
      </c>
      <c r="G9077" s="347" t="s">
        <v>1245</v>
      </c>
      <c r="H9077" s="348"/>
      <c r="I9077" s="348" t="s">
        <v>1253</v>
      </c>
      <c r="J9077" s="344" t="s">
        <v>113</v>
      </c>
      <c r="K9077" s="349">
        <v>8310.4395604395613</v>
      </c>
      <c r="L9077" s="349"/>
    </row>
    <row r="9078" spans="1:12" ht="11.25" customHeight="1" x14ac:dyDescent="0.2">
      <c r="A9078" s="350">
        <v>2025</v>
      </c>
      <c r="B9078" s="350">
        <v>7</v>
      </c>
      <c r="C9078" s="350">
        <v>3</v>
      </c>
      <c r="D9078" s="351">
        <f t="shared" si="1093"/>
        <v>45841</v>
      </c>
      <c r="E9078" s="352">
        <f t="shared" si="1098"/>
        <v>45841</v>
      </c>
      <c r="F9078" s="519"/>
      <c r="G9078" s="353" t="s">
        <v>1245</v>
      </c>
      <c r="H9078" s="354"/>
      <c r="I9078" s="354" t="s">
        <v>1253</v>
      </c>
      <c r="J9078" s="350" t="s">
        <v>153</v>
      </c>
      <c r="K9078" s="355"/>
      <c r="L9078" s="355">
        <f t="shared" ref="L9078" si="1100">K9077</f>
        <v>8310.4395604395613</v>
      </c>
    </row>
    <row r="9079" spans="1:12" ht="11.25" customHeight="1" x14ac:dyDescent="0.2">
      <c r="A9079" s="210">
        <v>2025</v>
      </c>
      <c r="B9079" s="210">
        <v>7</v>
      </c>
      <c r="C9079" s="210">
        <v>3</v>
      </c>
      <c r="D9079" s="211">
        <f t="shared" si="1093"/>
        <v>45841</v>
      </c>
      <c r="E9079" s="238">
        <f t="shared" si="1098"/>
        <v>45841</v>
      </c>
      <c r="F9079" s="520" t="s">
        <v>1857</v>
      </c>
      <c r="G9079" s="213" t="s">
        <v>1245</v>
      </c>
      <c r="H9079" s="214"/>
      <c r="I9079" s="214" t="s">
        <v>1253</v>
      </c>
      <c r="J9079" s="210" t="s">
        <v>1284</v>
      </c>
      <c r="K9079" s="215">
        <v>1672.722438851471</v>
      </c>
      <c r="L9079" s="215"/>
    </row>
    <row r="9080" spans="1:12" ht="11.25" customHeight="1" x14ac:dyDescent="0.2">
      <c r="A9080" s="242">
        <v>2025</v>
      </c>
      <c r="B9080" s="242">
        <v>7</v>
      </c>
      <c r="C9080" s="242">
        <v>3</v>
      </c>
      <c r="D9080" s="243">
        <f t="shared" si="1093"/>
        <v>45841</v>
      </c>
      <c r="E9080" s="244">
        <f>DATE(A9080,B9080,C9080)</f>
        <v>45841</v>
      </c>
      <c r="F9080" s="524"/>
      <c r="G9080" s="245" t="s">
        <v>1245</v>
      </c>
      <c r="H9080" s="246"/>
      <c r="I9080" s="246"/>
      <c r="J9080" s="242" t="s">
        <v>1582</v>
      </c>
      <c r="K9080" s="247"/>
      <c r="L9080" s="247">
        <f>K9079</f>
        <v>1672.722438851471</v>
      </c>
    </row>
    <row r="9081" spans="1:12" ht="11.25" customHeight="1" x14ac:dyDescent="0.2">
      <c r="A9081" s="210">
        <v>2025</v>
      </c>
      <c r="B9081" s="210">
        <v>7</v>
      </c>
      <c r="C9081" s="210">
        <v>3</v>
      </c>
      <c r="D9081" s="211">
        <f t="shared" si="1093"/>
        <v>45841</v>
      </c>
      <c r="E9081" s="238">
        <f t="shared" ref="E9081:E9100" si="1101">DATE(A9081,B9081,C9081)</f>
        <v>45841</v>
      </c>
      <c r="F9081" s="520" t="s">
        <v>2055</v>
      </c>
      <c r="G9081" s="213" t="s">
        <v>1245</v>
      </c>
      <c r="H9081" s="214"/>
      <c r="I9081" s="214" t="s">
        <v>1253</v>
      </c>
      <c r="J9081" s="210" t="s">
        <v>58</v>
      </c>
      <c r="K9081" s="215">
        <v>12499.15</v>
      </c>
      <c r="L9081" s="215"/>
    </row>
    <row r="9082" spans="1:12" ht="11.25" customHeight="1" x14ac:dyDescent="0.2">
      <c r="A9082" s="216">
        <v>2025</v>
      </c>
      <c r="B9082" s="216">
        <v>7</v>
      </c>
      <c r="C9082" s="216">
        <v>3</v>
      </c>
      <c r="D9082" s="217">
        <f t="shared" si="1093"/>
        <v>45841</v>
      </c>
      <c r="E9082" s="239">
        <f t="shared" si="1101"/>
        <v>45841</v>
      </c>
      <c r="F9082" s="521"/>
      <c r="G9082" s="219" t="s">
        <v>1245</v>
      </c>
      <c r="H9082" s="220"/>
      <c r="I9082" s="220" t="s">
        <v>1253</v>
      </c>
      <c r="J9082" s="216" t="s">
        <v>153</v>
      </c>
      <c r="K9082" s="221"/>
      <c r="L9082" s="221">
        <f>K9081</f>
        <v>12499.15</v>
      </c>
    </row>
    <row r="9083" spans="1:12" ht="11.25" customHeight="1" x14ac:dyDescent="0.2">
      <c r="A9083" s="312">
        <v>2025</v>
      </c>
      <c r="B9083" s="312">
        <v>7</v>
      </c>
      <c r="C9083" s="312">
        <v>3</v>
      </c>
      <c r="D9083" s="313">
        <f t="shared" si="1093"/>
        <v>45841</v>
      </c>
      <c r="E9083" s="314">
        <f t="shared" si="1101"/>
        <v>45841</v>
      </c>
      <c r="F9083" s="522" t="s">
        <v>1477</v>
      </c>
      <c r="G9083" s="315" t="s">
        <v>1245</v>
      </c>
      <c r="H9083" s="316"/>
      <c r="I9083" s="316" t="s">
        <v>1253</v>
      </c>
      <c r="J9083" s="312" t="s">
        <v>1458</v>
      </c>
      <c r="K9083" s="317">
        <v>0</v>
      </c>
      <c r="L9083" s="317"/>
    </row>
    <row r="9084" spans="1:12" ht="11.25" customHeight="1" x14ac:dyDescent="0.2">
      <c r="A9084" s="318">
        <v>2025</v>
      </c>
      <c r="B9084" s="318">
        <v>7</v>
      </c>
      <c r="C9084" s="318">
        <v>3</v>
      </c>
      <c r="D9084" s="319">
        <f t="shared" si="1093"/>
        <v>45841</v>
      </c>
      <c r="E9084" s="320">
        <f t="shared" si="1101"/>
        <v>45841</v>
      </c>
      <c r="F9084" s="523"/>
      <c r="G9084" s="321" t="s">
        <v>1245</v>
      </c>
      <c r="H9084" s="322"/>
      <c r="I9084" s="322" t="s">
        <v>1253</v>
      </c>
      <c r="J9084" s="318" t="s">
        <v>1460</v>
      </c>
      <c r="K9084" s="323"/>
      <c r="L9084" s="323">
        <f>K9083</f>
        <v>0</v>
      </c>
    </row>
    <row r="9085" spans="1:12" ht="11.25" customHeight="1" x14ac:dyDescent="0.2">
      <c r="A9085" s="312">
        <v>2025</v>
      </c>
      <c r="B9085" s="312">
        <v>7</v>
      </c>
      <c r="C9085" s="312">
        <v>3</v>
      </c>
      <c r="D9085" s="313">
        <f t="shared" si="1093"/>
        <v>45841</v>
      </c>
      <c r="E9085" s="314">
        <f t="shared" si="1101"/>
        <v>45841</v>
      </c>
      <c r="F9085" s="522" t="s">
        <v>1595</v>
      </c>
      <c r="G9085" s="315" t="s">
        <v>1245</v>
      </c>
      <c r="H9085" s="316"/>
      <c r="I9085" s="316" t="s">
        <v>1253</v>
      </c>
      <c r="J9085" s="312" t="s">
        <v>1461</v>
      </c>
      <c r="K9085" s="317">
        <v>574713.07899987698</v>
      </c>
      <c r="L9085" s="317"/>
    </row>
    <row r="9086" spans="1:12" ht="11.25" customHeight="1" x14ac:dyDescent="0.2">
      <c r="A9086" s="318">
        <v>2025</v>
      </c>
      <c r="B9086" s="318">
        <v>7</v>
      </c>
      <c r="C9086" s="318">
        <v>3</v>
      </c>
      <c r="D9086" s="319">
        <f t="shared" si="1093"/>
        <v>45841</v>
      </c>
      <c r="E9086" s="320">
        <f t="shared" si="1101"/>
        <v>45841</v>
      </c>
      <c r="F9086" s="523"/>
      <c r="G9086" s="321" t="s">
        <v>1245</v>
      </c>
      <c r="H9086" s="322"/>
      <c r="I9086" s="322" t="s">
        <v>1253</v>
      </c>
      <c r="J9086" s="318" t="s">
        <v>1459</v>
      </c>
      <c r="K9086" s="323"/>
      <c r="L9086" s="323">
        <f>K9085</f>
        <v>574713.07899987698</v>
      </c>
    </row>
    <row r="9087" spans="1:12" ht="11.25" customHeight="1" x14ac:dyDescent="0.2">
      <c r="A9087" s="222">
        <v>2025</v>
      </c>
      <c r="B9087" s="222">
        <v>7</v>
      </c>
      <c r="C9087" s="222">
        <v>3</v>
      </c>
      <c r="D9087" s="223">
        <f t="shared" si="1093"/>
        <v>45841</v>
      </c>
      <c r="E9087" s="240">
        <f t="shared" si="1101"/>
        <v>45841</v>
      </c>
      <c r="F9087" s="511" t="s">
        <v>1244</v>
      </c>
      <c r="G9087" s="225" t="s">
        <v>1245</v>
      </c>
      <c r="H9087" s="226"/>
      <c r="I9087" s="226" t="s">
        <v>1253</v>
      </c>
      <c r="J9087" s="222" t="s">
        <v>72</v>
      </c>
      <c r="K9087" s="227"/>
      <c r="L9087" s="227"/>
    </row>
    <row r="9088" spans="1:12" ht="11.25" customHeight="1" x14ac:dyDescent="0.2">
      <c r="A9088" s="228">
        <v>2025</v>
      </c>
      <c r="B9088" s="228">
        <v>7</v>
      </c>
      <c r="C9088" s="228">
        <v>3</v>
      </c>
      <c r="D9088" s="229">
        <f t="shared" si="1093"/>
        <v>45841</v>
      </c>
      <c r="E9088" s="241">
        <f t="shared" si="1101"/>
        <v>45841</v>
      </c>
      <c r="F9088" s="512"/>
      <c r="G9088" s="231" t="s">
        <v>1245</v>
      </c>
      <c r="H9088" s="232"/>
      <c r="I9088" s="232" t="s">
        <v>1253</v>
      </c>
      <c r="J9088" s="228" t="s">
        <v>87</v>
      </c>
      <c r="K9088" s="233"/>
      <c r="L9088" s="233">
        <f>K9087</f>
        <v>0</v>
      </c>
    </row>
    <row r="9089" spans="1:12" ht="11.25" customHeight="1" x14ac:dyDescent="0.2">
      <c r="A9089" s="222">
        <v>2025</v>
      </c>
      <c r="B9089" s="222">
        <v>7</v>
      </c>
      <c r="C9089" s="222">
        <v>3</v>
      </c>
      <c r="D9089" s="223">
        <f t="shared" si="1093"/>
        <v>45841</v>
      </c>
      <c r="E9089" s="240">
        <f t="shared" si="1101"/>
        <v>45841</v>
      </c>
      <c r="F9089" s="511" t="s">
        <v>1246</v>
      </c>
      <c r="G9089" s="225" t="s">
        <v>1245</v>
      </c>
      <c r="H9089" s="226"/>
      <c r="I9089" s="226" t="s">
        <v>1253</v>
      </c>
      <c r="J9089" s="222" t="s">
        <v>75</v>
      </c>
      <c r="K9089" s="227">
        <v>2587.9456043956043</v>
      </c>
      <c r="L9089" s="227"/>
    </row>
    <row r="9090" spans="1:12" ht="11.25" customHeight="1" x14ac:dyDescent="0.2">
      <c r="A9090" s="228">
        <v>2025</v>
      </c>
      <c r="B9090" s="228">
        <v>7</v>
      </c>
      <c r="C9090" s="228">
        <v>3</v>
      </c>
      <c r="D9090" s="229">
        <f t="shared" si="1093"/>
        <v>45841</v>
      </c>
      <c r="E9090" s="241">
        <f t="shared" si="1101"/>
        <v>45841</v>
      </c>
      <c r="F9090" s="512"/>
      <c r="G9090" s="231" t="s">
        <v>1245</v>
      </c>
      <c r="H9090" s="232"/>
      <c r="I9090" s="232" t="s">
        <v>1253</v>
      </c>
      <c r="J9090" s="228" t="s">
        <v>55</v>
      </c>
      <c r="K9090" s="233"/>
      <c r="L9090" s="233">
        <f>K9089</f>
        <v>2587.9456043956043</v>
      </c>
    </row>
    <row r="9091" spans="1:12" ht="11.25" customHeight="1" x14ac:dyDescent="0.2">
      <c r="A9091" s="222">
        <v>2025</v>
      </c>
      <c r="B9091" s="222">
        <v>7</v>
      </c>
      <c r="C9091" s="222">
        <v>3</v>
      </c>
      <c r="D9091" s="223">
        <f t="shared" si="1093"/>
        <v>45841</v>
      </c>
      <c r="E9091" s="240">
        <f t="shared" si="1101"/>
        <v>45841</v>
      </c>
      <c r="F9091" s="511" t="s">
        <v>1247</v>
      </c>
      <c r="G9091" s="225" t="s">
        <v>1245</v>
      </c>
      <c r="H9091" s="226"/>
      <c r="I9091" s="226" t="s">
        <v>1253</v>
      </c>
      <c r="J9091" s="222" t="s">
        <v>77</v>
      </c>
      <c r="K9091" s="227">
        <v>39328.700554325354</v>
      </c>
      <c r="L9091" s="227"/>
    </row>
    <row r="9092" spans="1:12" ht="11.25" customHeight="1" x14ac:dyDescent="0.2">
      <c r="A9092" s="228">
        <v>2025</v>
      </c>
      <c r="B9092" s="228">
        <v>7</v>
      </c>
      <c r="C9092" s="228">
        <v>3</v>
      </c>
      <c r="D9092" s="229">
        <f t="shared" si="1093"/>
        <v>45841</v>
      </c>
      <c r="E9092" s="241">
        <f t="shared" si="1101"/>
        <v>45841</v>
      </c>
      <c r="F9092" s="512"/>
      <c r="G9092" s="231" t="s">
        <v>1245</v>
      </c>
      <c r="H9092" s="232"/>
      <c r="I9092" s="232" t="s">
        <v>1253</v>
      </c>
      <c r="J9092" s="228" t="s">
        <v>41</v>
      </c>
      <c r="K9092" s="233"/>
      <c r="L9092" s="233">
        <f>K9091</f>
        <v>39328.700554325354</v>
      </c>
    </row>
    <row r="9093" spans="1:12" ht="11.25" customHeight="1" x14ac:dyDescent="0.2">
      <c r="A9093" s="222">
        <v>2025</v>
      </c>
      <c r="B9093" s="222">
        <v>7</v>
      </c>
      <c r="C9093" s="222">
        <v>3</v>
      </c>
      <c r="D9093" s="223">
        <f t="shared" si="1093"/>
        <v>45841</v>
      </c>
      <c r="E9093" s="240">
        <f t="shared" si="1101"/>
        <v>45841</v>
      </c>
      <c r="F9093" s="511" t="s">
        <v>1248</v>
      </c>
      <c r="G9093" s="225" t="s">
        <v>1245</v>
      </c>
      <c r="H9093" s="226"/>
      <c r="I9093" s="226" t="s">
        <v>1253</v>
      </c>
      <c r="J9093" s="222" t="s">
        <v>80</v>
      </c>
      <c r="K9093" s="227">
        <v>3932.8700554325351</v>
      </c>
      <c r="L9093" s="227"/>
    </row>
    <row r="9094" spans="1:12" ht="11.25" customHeight="1" x14ac:dyDescent="0.2">
      <c r="A9094" s="228">
        <v>2025</v>
      </c>
      <c r="B9094" s="228">
        <v>7</v>
      </c>
      <c r="C9094" s="228">
        <v>3</v>
      </c>
      <c r="D9094" s="229">
        <f t="shared" si="1093"/>
        <v>45841</v>
      </c>
      <c r="E9094" s="241">
        <f t="shared" si="1101"/>
        <v>45841</v>
      </c>
      <c r="F9094" s="512"/>
      <c r="G9094" s="231" t="s">
        <v>1245</v>
      </c>
      <c r="H9094" s="232"/>
      <c r="I9094" s="232" t="s">
        <v>1253</v>
      </c>
      <c r="J9094" s="228" t="s">
        <v>42</v>
      </c>
      <c r="K9094" s="233"/>
      <c r="L9094" s="233">
        <f>K9093</f>
        <v>3932.8700554325351</v>
      </c>
    </row>
    <row r="9095" spans="1:12" ht="11.25" customHeight="1" x14ac:dyDescent="0.2">
      <c r="A9095" s="197">
        <v>2025</v>
      </c>
      <c r="B9095" s="197">
        <v>7</v>
      </c>
      <c r="C9095" s="197">
        <v>7</v>
      </c>
      <c r="D9095" s="198">
        <f t="shared" si="1093"/>
        <v>45845</v>
      </c>
      <c r="E9095" s="209">
        <f t="shared" si="1101"/>
        <v>45845</v>
      </c>
      <c r="F9095" s="513" t="s">
        <v>1280</v>
      </c>
      <c r="G9095" s="200" t="s">
        <v>1209</v>
      </c>
      <c r="H9095" s="201"/>
      <c r="I9095" s="201"/>
      <c r="J9095" s="197" t="s">
        <v>16</v>
      </c>
      <c r="K9095" s="202">
        <v>3220</v>
      </c>
      <c r="L9095" s="202"/>
    </row>
    <row r="9096" spans="1:12" ht="11.25" customHeight="1" x14ac:dyDescent="0.2">
      <c r="A9096" s="120">
        <v>2025</v>
      </c>
      <c r="B9096" s="120">
        <v>7</v>
      </c>
      <c r="C9096" s="120">
        <v>7</v>
      </c>
      <c r="D9096" s="208">
        <f t="shared" si="1093"/>
        <v>45845</v>
      </c>
      <c r="E9096" s="209">
        <f t="shared" si="1101"/>
        <v>45845</v>
      </c>
      <c r="F9096" s="515"/>
      <c r="G9096" s="132" t="s">
        <v>1209</v>
      </c>
      <c r="J9096" s="120" t="s">
        <v>47</v>
      </c>
      <c r="K9096" s="207">
        <v>830</v>
      </c>
      <c r="L9096" s="207"/>
    </row>
    <row r="9097" spans="1:12" ht="11.25" customHeight="1" x14ac:dyDescent="0.2">
      <c r="A9097" s="191">
        <v>2025</v>
      </c>
      <c r="B9097" s="191">
        <v>7</v>
      </c>
      <c r="C9097" s="191">
        <v>7</v>
      </c>
      <c r="D9097" s="192">
        <f t="shared" si="1093"/>
        <v>45845</v>
      </c>
      <c r="E9097" s="193">
        <f t="shared" si="1101"/>
        <v>45845</v>
      </c>
      <c r="F9097" s="514"/>
      <c r="G9097" s="194" t="s">
        <v>1209</v>
      </c>
      <c r="H9097" s="195"/>
      <c r="I9097" s="195"/>
      <c r="J9097" s="191" t="s">
        <v>46</v>
      </c>
      <c r="K9097" s="196"/>
      <c r="L9097" s="196">
        <v>4050</v>
      </c>
    </row>
    <row r="9098" spans="1:12" ht="11.25" customHeight="1" x14ac:dyDescent="0.2">
      <c r="A9098" s="197">
        <v>2025</v>
      </c>
      <c r="B9098" s="197">
        <v>7</v>
      </c>
      <c r="C9098" s="197">
        <v>7</v>
      </c>
      <c r="D9098" s="198">
        <f t="shared" si="1093"/>
        <v>45845</v>
      </c>
      <c r="E9098" s="209">
        <f t="shared" si="1101"/>
        <v>45845</v>
      </c>
      <c r="F9098" s="513" t="s">
        <v>1210</v>
      </c>
      <c r="G9098" s="200" t="s">
        <v>1209</v>
      </c>
      <c r="H9098" s="201"/>
      <c r="I9098" s="201"/>
      <c r="J9098" s="197" t="s">
        <v>46</v>
      </c>
      <c r="K9098" s="202">
        <v>2500000</v>
      </c>
      <c r="L9098" s="202"/>
    </row>
    <row r="9099" spans="1:12" ht="11.25" customHeight="1" x14ac:dyDescent="0.2">
      <c r="A9099" s="120">
        <v>2025</v>
      </c>
      <c r="B9099" s="120">
        <v>7</v>
      </c>
      <c r="C9099" s="120">
        <v>7</v>
      </c>
      <c r="D9099" s="208">
        <f t="shared" si="1093"/>
        <v>45845</v>
      </c>
      <c r="E9099" s="209">
        <f t="shared" si="1101"/>
        <v>45845</v>
      </c>
      <c r="F9099" s="515"/>
      <c r="G9099" s="132" t="s">
        <v>1209</v>
      </c>
      <c r="J9099" s="120" t="s">
        <v>16</v>
      </c>
      <c r="K9099" s="207"/>
      <c r="L9099" s="207">
        <v>1986650</v>
      </c>
    </row>
    <row r="9100" spans="1:12" ht="11.25" customHeight="1" x14ac:dyDescent="0.2">
      <c r="A9100" s="191">
        <v>2025</v>
      </c>
      <c r="B9100" s="191">
        <v>7</v>
      </c>
      <c r="C9100" s="191">
        <v>7</v>
      </c>
      <c r="D9100" s="192">
        <f t="shared" si="1093"/>
        <v>45845</v>
      </c>
      <c r="E9100" s="193">
        <f t="shared" si="1101"/>
        <v>45845</v>
      </c>
      <c r="F9100" s="514"/>
      <c r="G9100" s="194" t="s">
        <v>1209</v>
      </c>
      <c r="H9100" s="195"/>
      <c r="I9100" s="195"/>
      <c r="J9100" s="191" t="s">
        <v>47</v>
      </c>
      <c r="K9100" s="196"/>
      <c r="L9100" s="196">
        <v>513350</v>
      </c>
    </row>
    <row r="9101" spans="1:12" ht="11.25" customHeight="1" x14ac:dyDescent="0.2">
      <c r="A9101" s="197">
        <v>2025</v>
      </c>
      <c r="B9101" s="197">
        <v>7</v>
      </c>
      <c r="C9101" s="197">
        <v>7</v>
      </c>
      <c r="D9101" s="198">
        <f t="shared" si="1093"/>
        <v>45845</v>
      </c>
      <c r="E9101" s="209">
        <f t="shared" ref="E9101:E9112" si="1102">DATE(A9101,B9101,C9101)</f>
        <v>45845</v>
      </c>
      <c r="F9101" s="513" t="s">
        <v>1210</v>
      </c>
      <c r="G9101" s="200" t="s">
        <v>1209</v>
      </c>
      <c r="H9101" s="201"/>
      <c r="I9101" s="201"/>
      <c r="J9101" s="197" t="s">
        <v>46</v>
      </c>
      <c r="K9101" s="202">
        <v>500000</v>
      </c>
      <c r="L9101" s="202"/>
    </row>
    <row r="9102" spans="1:12" ht="11.25" customHeight="1" x14ac:dyDescent="0.2">
      <c r="A9102" s="120">
        <v>2025</v>
      </c>
      <c r="B9102" s="120">
        <v>7</v>
      </c>
      <c r="C9102" s="120">
        <v>7</v>
      </c>
      <c r="D9102" s="208">
        <f t="shared" si="1093"/>
        <v>45845</v>
      </c>
      <c r="E9102" s="209">
        <f t="shared" si="1102"/>
        <v>45845</v>
      </c>
      <c r="F9102" s="515"/>
      <c r="G9102" s="132" t="s">
        <v>1209</v>
      </c>
      <c r="J9102" s="120" t="s">
        <v>16</v>
      </c>
      <c r="K9102" s="207"/>
      <c r="L9102" s="207">
        <v>397330</v>
      </c>
    </row>
    <row r="9103" spans="1:12" ht="11.25" customHeight="1" x14ac:dyDescent="0.2">
      <c r="A9103" s="191">
        <v>2025</v>
      </c>
      <c r="B9103" s="191">
        <v>7</v>
      </c>
      <c r="C9103" s="191">
        <v>7</v>
      </c>
      <c r="D9103" s="192">
        <f t="shared" si="1093"/>
        <v>45845</v>
      </c>
      <c r="E9103" s="193">
        <f t="shared" si="1102"/>
        <v>45845</v>
      </c>
      <c r="F9103" s="514"/>
      <c r="G9103" s="194" t="s">
        <v>1209</v>
      </c>
      <c r="H9103" s="195"/>
      <c r="I9103" s="195"/>
      <c r="J9103" s="191" t="s">
        <v>47</v>
      </c>
      <c r="K9103" s="196"/>
      <c r="L9103" s="196">
        <v>102670</v>
      </c>
    </row>
    <row r="9104" spans="1:12" ht="11.25" customHeight="1" x14ac:dyDescent="0.2">
      <c r="A9104" s="197">
        <v>2025</v>
      </c>
      <c r="B9104" s="197">
        <v>7</v>
      </c>
      <c r="C9104" s="197">
        <v>7</v>
      </c>
      <c r="D9104" s="198">
        <f t="shared" si="1093"/>
        <v>45845</v>
      </c>
      <c r="E9104" s="209">
        <f t="shared" si="1102"/>
        <v>45845</v>
      </c>
      <c r="F9104" s="513" t="s">
        <v>1296</v>
      </c>
      <c r="G9104" s="200" t="s">
        <v>1209</v>
      </c>
      <c r="H9104" s="201"/>
      <c r="I9104" s="201"/>
      <c r="J9104" s="197" t="s">
        <v>46</v>
      </c>
      <c r="K9104" s="202">
        <v>122000</v>
      </c>
      <c r="L9104" s="202"/>
    </row>
    <row r="9105" spans="1:15" ht="11.25" customHeight="1" x14ac:dyDescent="0.2">
      <c r="A9105" s="120">
        <v>2025</v>
      </c>
      <c r="B9105" s="120">
        <v>7</v>
      </c>
      <c r="C9105" s="120">
        <v>7</v>
      </c>
      <c r="D9105" s="208">
        <f t="shared" si="1093"/>
        <v>45845</v>
      </c>
      <c r="E9105" s="209">
        <f t="shared" si="1102"/>
        <v>45845</v>
      </c>
      <c r="F9105" s="515"/>
      <c r="G9105" s="132" t="s">
        <v>1209</v>
      </c>
      <c r="J9105" s="120" t="s">
        <v>16</v>
      </c>
      <c r="K9105" s="207"/>
      <c r="L9105" s="207">
        <v>96940</v>
      </c>
    </row>
    <row r="9106" spans="1:15" ht="11.25" customHeight="1" x14ac:dyDescent="0.2">
      <c r="A9106" s="191">
        <v>2025</v>
      </c>
      <c r="B9106" s="191">
        <v>7</v>
      </c>
      <c r="C9106" s="191">
        <v>7</v>
      </c>
      <c r="D9106" s="192">
        <f t="shared" si="1093"/>
        <v>45845</v>
      </c>
      <c r="E9106" s="193">
        <f t="shared" si="1102"/>
        <v>45845</v>
      </c>
      <c r="F9106" s="514"/>
      <c r="G9106" s="194" t="s">
        <v>1209</v>
      </c>
      <c r="H9106" s="195"/>
      <c r="I9106" s="195"/>
      <c r="J9106" s="191" t="s">
        <v>47</v>
      </c>
      <c r="K9106" s="196"/>
      <c r="L9106" s="196">
        <v>25060</v>
      </c>
    </row>
    <row r="9107" spans="1:15" ht="11.25" customHeight="1" x14ac:dyDescent="0.2">
      <c r="A9107" s="197">
        <v>2025</v>
      </c>
      <c r="B9107" s="197">
        <v>7</v>
      </c>
      <c r="C9107" s="197">
        <v>7</v>
      </c>
      <c r="D9107" s="198">
        <f t="shared" si="1093"/>
        <v>45845</v>
      </c>
      <c r="E9107" s="290">
        <f t="shared" si="1102"/>
        <v>45845</v>
      </c>
      <c r="F9107" s="513" t="s">
        <v>1514</v>
      </c>
      <c r="G9107" s="200" t="s">
        <v>1209</v>
      </c>
      <c r="H9107" s="201"/>
      <c r="I9107" s="201"/>
      <c r="J9107" s="197" t="s">
        <v>54</v>
      </c>
      <c r="K9107" s="202">
        <v>25</v>
      </c>
      <c r="L9107" s="202"/>
      <c r="M9107" s="251"/>
      <c r="N9107" s="251"/>
      <c r="O9107" s="251"/>
    </row>
    <row r="9108" spans="1:15" ht="11.25" customHeight="1" x14ac:dyDescent="0.2">
      <c r="A9108" s="191">
        <v>2025</v>
      </c>
      <c r="B9108" s="191">
        <v>7</v>
      </c>
      <c r="C9108" s="191">
        <v>7</v>
      </c>
      <c r="D9108" s="192">
        <f t="shared" si="1093"/>
        <v>45845</v>
      </c>
      <c r="E9108" s="291">
        <f t="shared" si="1102"/>
        <v>45845</v>
      </c>
      <c r="F9108" s="514"/>
      <c r="G9108" s="194" t="s">
        <v>1209</v>
      </c>
      <c r="H9108" s="195"/>
      <c r="I9108" s="195"/>
      <c r="J9108" s="191" t="s">
        <v>46</v>
      </c>
      <c r="K9108" s="196"/>
      <c r="L9108" s="196">
        <v>25</v>
      </c>
      <c r="M9108" s="251"/>
    </row>
    <row r="9109" spans="1:15" ht="11.25" customHeight="1" x14ac:dyDescent="0.2">
      <c r="A9109" s="197">
        <v>2025</v>
      </c>
      <c r="B9109" s="197">
        <v>7</v>
      </c>
      <c r="C9109" s="197">
        <v>7</v>
      </c>
      <c r="D9109" s="198">
        <f t="shared" si="1093"/>
        <v>45845</v>
      </c>
      <c r="E9109" s="290">
        <f t="shared" si="1102"/>
        <v>45845</v>
      </c>
      <c r="F9109" s="513" t="s">
        <v>2051</v>
      </c>
      <c r="G9109" s="200" t="s">
        <v>1209</v>
      </c>
      <c r="H9109" s="201"/>
      <c r="I9109" s="201"/>
      <c r="J9109" s="197" t="s">
        <v>54</v>
      </c>
      <c r="K9109" s="202">
        <v>100</v>
      </c>
      <c r="L9109" s="202"/>
      <c r="M9109" s="251"/>
      <c r="N9109" s="251"/>
      <c r="O9109" s="251"/>
    </row>
    <row r="9110" spans="1:15" ht="11.25" customHeight="1" x14ac:dyDescent="0.2">
      <c r="A9110" s="191">
        <v>2025</v>
      </c>
      <c r="B9110" s="191">
        <v>7</v>
      </c>
      <c r="C9110" s="191">
        <v>7</v>
      </c>
      <c r="D9110" s="192">
        <f t="shared" si="1093"/>
        <v>45845</v>
      </c>
      <c r="E9110" s="291">
        <f t="shared" si="1102"/>
        <v>45845</v>
      </c>
      <c r="F9110" s="514"/>
      <c r="G9110" s="194" t="s">
        <v>1209</v>
      </c>
      <c r="H9110" s="195"/>
      <c r="I9110" s="195"/>
      <c r="J9110" s="191" t="s">
        <v>46</v>
      </c>
      <c r="K9110" s="196"/>
      <c r="L9110" s="196">
        <f>K9109</f>
        <v>100</v>
      </c>
      <c r="M9110" s="251"/>
    </row>
    <row r="9111" spans="1:15" ht="11.25" customHeight="1" x14ac:dyDescent="0.2">
      <c r="A9111" s="197">
        <v>2025</v>
      </c>
      <c r="B9111" s="197">
        <v>7</v>
      </c>
      <c r="C9111" s="197">
        <v>8</v>
      </c>
      <c r="D9111" s="198">
        <f t="shared" si="1093"/>
        <v>45846</v>
      </c>
      <c r="E9111" s="290">
        <f t="shared" si="1102"/>
        <v>45846</v>
      </c>
      <c r="F9111" s="513" t="s">
        <v>2035</v>
      </c>
      <c r="G9111" s="200" t="s">
        <v>1245</v>
      </c>
      <c r="H9111" s="201"/>
      <c r="I9111" s="201" t="s">
        <v>1253</v>
      </c>
      <c r="J9111" s="197" t="s">
        <v>46</v>
      </c>
      <c r="K9111" s="202">
        <v>142333.24</v>
      </c>
      <c r="L9111" s="202"/>
      <c r="M9111" s="130"/>
    </row>
    <row r="9112" spans="1:15" ht="11.25" customHeight="1" x14ac:dyDescent="0.2">
      <c r="A9112" s="191">
        <v>2025</v>
      </c>
      <c r="B9112" s="191">
        <v>7</v>
      </c>
      <c r="C9112" s="191">
        <v>8</v>
      </c>
      <c r="D9112" s="192">
        <f t="shared" si="1093"/>
        <v>45846</v>
      </c>
      <c r="E9112" s="291">
        <f t="shared" si="1102"/>
        <v>45846</v>
      </c>
      <c r="F9112" s="513"/>
      <c r="G9112" s="194" t="s">
        <v>1245</v>
      </c>
      <c r="H9112" s="195"/>
      <c r="I9112" s="195" t="s">
        <v>1253</v>
      </c>
      <c r="J9112" s="191" t="s">
        <v>113</v>
      </c>
      <c r="K9112" s="196"/>
      <c r="L9112" s="196">
        <v>142333.24</v>
      </c>
    </row>
    <row r="9113" spans="1:15" ht="11.25" customHeight="1" x14ac:dyDescent="0.2">
      <c r="A9113" s="197">
        <v>2025</v>
      </c>
      <c r="B9113" s="197">
        <v>7</v>
      </c>
      <c r="C9113" s="197">
        <v>8</v>
      </c>
      <c r="D9113" s="198">
        <f t="shared" si="1093"/>
        <v>45846</v>
      </c>
      <c r="E9113" s="290">
        <f>DATE(A9113,B9113,C9113)</f>
        <v>45846</v>
      </c>
      <c r="F9113" s="513" t="s">
        <v>2061</v>
      </c>
      <c r="G9113" s="200" t="s">
        <v>1209</v>
      </c>
      <c r="H9113" s="201"/>
      <c r="I9113" s="201" t="s">
        <v>1253</v>
      </c>
      <c r="J9113" s="197" t="s">
        <v>46</v>
      </c>
      <c r="K9113" s="202">
        <v>308250</v>
      </c>
      <c r="L9113" s="202"/>
    </row>
    <row r="9114" spans="1:15" ht="11.25" customHeight="1" x14ac:dyDescent="0.2">
      <c r="A9114" s="191">
        <v>2025</v>
      </c>
      <c r="B9114" s="191">
        <v>7</v>
      </c>
      <c r="C9114" s="191">
        <v>8</v>
      </c>
      <c r="D9114" s="192">
        <f t="shared" si="1093"/>
        <v>45846</v>
      </c>
      <c r="E9114" s="291">
        <f>DATE(A9114,B9114,C9114)</f>
        <v>45846</v>
      </c>
      <c r="F9114" s="514"/>
      <c r="G9114" s="194" t="s">
        <v>1209</v>
      </c>
      <c r="H9114" s="195"/>
      <c r="I9114" s="195"/>
      <c r="J9114" s="191" t="s">
        <v>1845</v>
      </c>
      <c r="K9114" s="196"/>
      <c r="L9114" s="196">
        <v>308250</v>
      </c>
    </row>
    <row r="9115" spans="1:15" ht="11.25" customHeight="1" x14ac:dyDescent="0.2">
      <c r="A9115" s="197">
        <v>2025</v>
      </c>
      <c r="B9115" s="197">
        <v>7</v>
      </c>
      <c r="C9115" s="197">
        <v>9</v>
      </c>
      <c r="D9115" s="198">
        <f t="shared" si="1093"/>
        <v>45847</v>
      </c>
      <c r="E9115" s="209">
        <f t="shared" ref="E9115:E9117" si="1103">DATE(A9115,B9115,C9115)</f>
        <v>45847</v>
      </c>
      <c r="F9115" s="513" t="s">
        <v>1366</v>
      </c>
      <c r="G9115" s="200" t="s">
        <v>1209</v>
      </c>
      <c r="H9115" s="201"/>
      <c r="I9115" s="201"/>
      <c r="J9115" s="248" t="s">
        <v>1847</v>
      </c>
      <c r="K9115" s="131">
        <v>580877.52</v>
      </c>
      <c r="M9115" s="130"/>
    </row>
    <row r="9116" spans="1:15" ht="11.25" customHeight="1" x14ac:dyDescent="0.2">
      <c r="A9116" s="120">
        <v>2025</v>
      </c>
      <c r="B9116" s="120">
        <v>7</v>
      </c>
      <c r="C9116" s="120">
        <v>9</v>
      </c>
      <c r="D9116" s="208">
        <f t="shared" si="1093"/>
        <v>45847</v>
      </c>
      <c r="E9116" s="209">
        <f t="shared" si="1103"/>
        <v>45847</v>
      </c>
      <c r="F9116" s="515"/>
      <c r="G9116" s="132" t="s">
        <v>1209</v>
      </c>
      <c r="J9116" s="129" t="s">
        <v>54</v>
      </c>
      <c r="K9116" s="131">
        <v>115</v>
      </c>
    </row>
    <row r="9117" spans="1:15" ht="11.25" customHeight="1" x14ac:dyDescent="0.2">
      <c r="A9117" s="191">
        <v>2025</v>
      </c>
      <c r="B9117" s="191">
        <v>7</v>
      </c>
      <c r="C9117" s="191">
        <v>9</v>
      </c>
      <c r="D9117" s="192">
        <f t="shared" si="1093"/>
        <v>45847</v>
      </c>
      <c r="E9117" s="193">
        <f t="shared" si="1103"/>
        <v>45847</v>
      </c>
      <c r="F9117" s="514"/>
      <c r="G9117" s="194" t="s">
        <v>1209</v>
      </c>
      <c r="H9117" s="195"/>
      <c r="I9117" s="195"/>
      <c r="J9117" s="250" t="s">
        <v>46</v>
      </c>
      <c r="L9117" s="131">
        <v>580992.52</v>
      </c>
    </row>
    <row r="9118" spans="1:15" ht="11.25" customHeight="1" x14ac:dyDescent="0.2">
      <c r="A9118" s="197">
        <v>2025</v>
      </c>
      <c r="B9118" s="197">
        <v>7</v>
      </c>
      <c r="C9118" s="197">
        <v>9</v>
      </c>
      <c r="D9118" s="198">
        <f t="shared" si="1093"/>
        <v>45847</v>
      </c>
      <c r="E9118" s="209">
        <f t="shared" ref="E9118:E9120" si="1104">DATE(A9118,B9118,C9118)</f>
        <v>45847</v>
      </c>
      <c r="F9118" s="513" t="s">
        <v>1210</v>
      </c>
      <c r="G9118" s="200" t="s">
        <v>1209</v>
      </c>
      <c r="H9118" s="201"/>
      <c r="I9118" s="201"/>
      <c r="J9118" s="197" t="s">
        <v>46</v>
      </c>
      <c r="K9118" s="202">
        <v>943800</v>
      </c>
      <c r="L9118" s="202"/>
    </row>
    <row r="9119" spans="1:15" ht="11.25" customHeight="1" x14ac:dyDescent="0.2">
      <c r="A9119" s="120">
        <v>2025</v>
      </c>
      <c r="B9119" s="120">
        <v>7</v>
      </c>
      <c r="C9119" s="120">
        <v>9</v>
      </c>
      <c r="D9119" s="208">
        <f t="shared" si="1093"/>
        <v>45847</v>
      </c>
      <c r="E9119" s="209">
        <f t="shared" si="1104"/>
        <v>45847</v>
      </c>
      <c r="F9119" s="515"/>
      <c r="G9119" s="132" t="s">
        <v>1209</v>
      </c>
      <c r="J9119" s="120" t="s">
        <v>16</v>
      </c>
      <c r="K9119" s="207"/>
      <c r="L9119" s="207">
        <v>750000</v>
      </c>
    </row>
    <row r="9120" spans="1:15" ht="11.25" customHeight="1" x14ac:dyDescent="0.2">
      <c r="A9120" s="191">
        <v>2025</v>
      </c>
      <c r="B9120" s="191">
        <v>7</v>
      </c>
      <c r="C9120" s="191">
        <v>9</v>
      </c>
      <c r="D9120" s="192">
        <f t="shared" si="1093"/>
        <v>45847</v>
      </c>
      <c r="E9120" s="193">
        <f t="shared" si="1104"/>
        <v>45847</v>
      </c>
      <c r="F9120" s="514"/>
      <c r="G9120" s="194" t="s">
        <v>1209</v>
      </c>
      <c r="H9120" s="195"/>
      <c r="I9120" s="195"/>
      <c r="J9120" s="191" t="s">
        <v>47</v>
      </c>
      <c r="K9120" s="196"/>
      <c r="L9120" s="196">
        <v>193800</v>
      </c>
    </row>
    <row r="9121" spans="1:14" ht="11.25" customHeight="1" x14ac:dyDescent="0.2">
      <c r="A9121" s="197">
        <v>2025</v>
      </c>
      <c r="B9121" s="197">
        <v>7</v>
      </c>
      <c r="C9121" s="197">
        <v>9</v>
      </c>
      <c r="D9121" s="198">
        <f t="shared" si="1093"/>
        <v>45847</v>
      </c>
      <c r="E9121" s="209">
        <f t="shared" ref="E9121:E9123" si="1105">DATE(A9121,B9121,C9121)</f>
        <v>45847</v>
      </c>
      <c r="F9121" s="513" t="s">
        <v>1210</v>
      </c>
      <c r="G9121" s="200" t="s">
        <v>1209</v>
      </c>
      <c r="H9121" s="201"/>
      <c r="I9121" s="201"/>
      <c r="J9121" s="197" t="s">
        <v>46</v>
      </c>
      <c r="K9121" s="202">
        <v>450000</v>
      </c>
      <c r="L9121" s="202"/>
    </row>
    <row r="9122" spans="1:14" ht="11.25" customHeight="1" x14ac:dyDescent="0.2">
      <c r="A9122" s="120">
        <v>2025</v>
      </c>
      <c r="B9122" s="120">
        <v>7</v>
      </c>
      <c r="C9122" s="120">
        <v>9</v>
      </c>
      <c r="D9122" s="208">
        <f t="shared" si="1093"/>
        <v>45847</v>
      </c>
      <c r="E9122" s="209">
        <f t="shared" si="1105"/>
        <v>45847</v>
      </c>
      <c r="F9122" s="515"/>
      <c r="G9122" s="132" t="s">
        <v>1209</v>
      </c>
      <c r="J9122" s="120" t="s">
        <v>16</v>
      </c>
      <c r="K9122" s="207"/>
      <c r="L9122" s="207">
        <v>357600</v>
      </c>
    </row>
    <row r="9123" spans="1:14" ht="11.25" customHeight="1" x14ac:dyDescent="0.2">
      <c r="A9123" s="191">
        <v>2025</v>
      </c>
      <c r="B9123" s="191">
        <v>7</v>
      </c>
      <c r="C9123" s="191">
        <v>9</v>
      </c>
      <c r="D9123" s="192">
        <f t="shared" si="1093"/>
        <v>45847</v>
      </c>
      <c r="E9123" s="193">
        <f t="shared" si="1105"/>
        <v>45847</v>
      </c>
      <c r="F9123" s="514"/>
      <c r="G9123" s="194" t="s">
        <v>1209</v>
      </c>
      <c r="H9123" s="195"/>
      <c r="I9123" s="195"/>
      <c r="J9123" s="191" t="s">
        <v>47</v>
      </c>
      <c r="K9123" s="196"/>
      <c r="L9123" s="196">
        <v>92400</v>
      </c>
    </row>
    <row r="9124" spans="1:14" ht="11.25" customHeight="1" x14ac:dyDescent="0.2">
      <c r="A9124" s="197">
        <v>2025</v>
      </c>
      <c r="B9124" s="197">
        <v>7</v>
      </c>
      <c r="C9124" s="197">
        <v>9</v>
      </c>
      <c r="D9124" s="198">
        <f t="shared" si="1093"/>
        <v>45847</v>
      </c>
      <c r="E9124" s="209">
        <f t="shared" ref="E9124:E9130" si="1106">DATE(A9124,B9124,C9124)</f>
        <v>45847</v>
      </c>
      <c r="F9124" s="513" t="s">
        <v>1210</v>
      </c>
      <c r="G9124" s="200" t="s">
        <v>1209</v>
      </c>
      <c r="H9124" s="201"/>
      <c r="I9124" s="201"/>
      <c r="J9124" s="197" t="s">
        <v>46</v>
      </c>
      <c r="K9124" s="202">
        <v>1000000</v>
      </c>
      <c r="L9124" s="202"/>
    </row>
    <row r="9125" spans="1:14" ht="11.25" customHeight="1" x14ac:dyDescent="0.2">
      <c r="A9125" s="120">
        <v>2025</v>
      </c>
      <c r="B9125" s="120">
        <v>7</v>
      </c>
      <c r="C9125" s="120">
        <v>9</v>
      </c>
      <c r="D9125" s="208">
        <f t="shared" si="1093"/>
        <v>45847</v>
      </c>
      <c r="E9125" s="209">
        <f t="shared" si="1106"/>
        <v>45847</v>
      </c>
      <c r="F9125" s="515"/>
      <c r="G9125" s="132" t="s">
        <v>1209</v>
      </c>
      <c r="J9125" s="120" t="s">
        <v>16</v>
      </c>
      <c r="K9125" s="207"/>
      <c r="L9125" s="207">
        <v>794660</v>
      </c>
    </row>
    <row r="9126" spans="1:14" ht="11.25" customHeight="1" x14ac:dyDescent="0.2">
      <c r="A9126" s="191">
        <v>2025</v>
      </c>
      <c r="B9126" s="191">
        <v>7</v>
      </c>
      <c r="C9126" s="191">
        <v>9</v>
      </c>
      <c r="D9126" s="192">
        <f t="shared" si="1093"/>
        <v>45847</v>
      </c>
      <c r="E9126" s="193">
        <f t="shared" si="1106"/>
        <v>45847</v>
      </c>
      <c r="F9126" s="514"/>
      <c r="G9126" s="194" t="s">
        <v>1209</v>
      </c>
      <c r="H9126" s="195"/>
      <c r="I9126" s="195"/>
      <c r="J9126" s="191" t="s">
        <v>47</v>
      </c>
      <c r="K9126" s="196"/>
      <c r="L9126" s="196">
        <v>205340</v>
      </c>
    </row>
    <row r="9127" spans="1:14" ht="11.25" customHeight="1" x14ac:dyDescent="0.2">
      <c r="A9127" s="197">
        <v>2025</v>
      </c>
      <c r="B9127" s="197">
        <v>7</v>
      </c>
      <c r="C9127" s="197">
        <v>9</v>
      </c>
      <c r="D9127" s="198">
        <f t="shared" si="1093"/>
        <v>45847</v>
      </c>
      <c r="E9127" s="199">
        <f t="shared" si="1106"/>
        <v>45847</v>
      </c>
      <c r="F9127" s="513" t="s">
        <v>2044</v>
      </c>
      <c r="G9127" s="200" t="s">
        <v>1209</v>
      </c>
      <c r="H9127" s="201"/>
      <c r="I9127" s="201" t="s">
        <v>1253</v>
      </c>
      <c r="J9127" s="197" t="s">
        <v>1837</v>
      </c>
      <c r="K9127" s="202">
        <v>1000522</v>
      </c>
      <c r="L9127" s="202"/>
    </row>
    <row r="9128" spans="1:14" ht="11.25" customHeight="1" x14ac:dyDescent="0.2">
      <c r="A9128" s="191">
        <v>2025</v>
      </c>
      <c r="B9128" s="191">
        <v>7</v>
      </c>
      <c r="C9128" s="191">
        <v>9</v>
      </c>
      <c r="D9128" s="192">
        <f t="shared" si="1093"/>
        <v>45847</v>
      </c>
      <c r="E9128" s="193">
        <f t="shared" si="1106"/>
        <v>45847</v>
      </c>
      <c r="F9128" s="514"/>
      <c r="G9128" s="194" t="s">
        <v>1209</v>
      </c>
      <c r="H9128" s="195"/>
      <c r="I9128" s="195" t="s">
        <v>1253</v>
      </c>
      <c r="J9128" s="191" t="s">
        <v>46</v>
      </c>
      <c r="K9128" s="196"/>
      <c r="L9128" s="196">
        <v>1000522</v>
      </c>
      <c r="N9128" s="130"/>
    </row>
    <row r="9129" spans="1:14" ht="11.25" customHeight="1" x14ac:dyDescent="0.2">
      <c r="A9129" s="197">
        <v>2025</v>
      </c>
      <c r="B9129" s="197">
        <v>7</v>
      </c>
      <c r="C9129" s="197">
        <v>9</v>
      </c>
      <c r="D9129" s="198">
        <f t="shared" si="1093"/>
        <v>45847</v>
      </c>
      <c r="E9129" s="290">
        <f t="shared" si="1106"/>
        <v>45847</v>
      </c>
      <c r="F9129" s="513" t="s">
        <v>2033</v>
      </c>
      <c r="G9129" s="200" t="s">
        <v>1245</v>
      </c>
      <c r="H9129" s="201"/>
      <c r="I9129" s="201" t="s">
        <v>1253</v>
      </c>
      <c r="J9129" s="197" t="s">
        <v>46</v>
      </c>
      <c r="K9129" s="202">
        <v>101666.67</v>
      </c>
      <c r="L9129" s="202"/>
      <c r="M9129" s="130"/>
    </row>
    <row r="9130" spans="1:14" ht="11.25" customHeight="1" x14ac:dyDescent="0.2">
      <c r="A9130" s="191">
        <v>2025</v>
      </c>
      <c r="B9130" s="191">
        <v>7</v>
      </c>
      <c r="C9130" s="191">
        <v>9</v>
      </c>
      <c r="D9130" s="192">
        <f t="shared" si="1093"/>
        <v>45847</v>
      </c>
      <c r="E9130" s="291">
        <f t="shared" si="1106"/>
        <v>45847</v>
      </c>
      <c r="F9130" s="513"/>
      <c r="G9130" s="194" t="s">
        <v>1245</v>
      </c>
      <c r="H9130" s="195"/>
      <c r="I9130" s="195" t="s">
        <v>1253</v>
      </c>
      <c r="J9130" s="191" t="s">
        <v>113</v>
      </c>
      <c r="K9130" s="196"/>
      <c r="L9130" s="196">
        <v>101666.67</v>
      </c>
    </row>
    <row r="9131" spans="1:14" ht="11.25" customHeight="1" x14ac:dyDescent="0.2">
      <c r="A9131" s="197">
        <v>2025</v>
      </c>
      <c r="B9131" s="197">
        <v>7</v>
      </c>
      <c r="C9131" s="197">
        <v>10</v>
      </c>
      <c r="D9131" s="198">
        <f t="shared" si="1093"/>
        <v>45848</v>
      </c>
      <c r="E9131" s="209">
        <f t="shared" ref="E9131:E9154" si="1107">DATE(A9131,B9131,C9131)</f>
        <v>45848</v>
      </c>
      <c r="F9131" s="513" t="s">
        <v>1210</v>
      </c>
      <c r="G9131" s="200" t="s">
        <v>1209</v>
      </c>
      <c r="H9131" s="201"/>
      <c r="I9131" s="201"/>
      <c r="J9131" s="197" t="s">
        <v>46</v>
      </c>
      <c r="K9131" s="202">
        <v>7500000</v>
      </c>
      <c r="L9131" s="202"/>
    </row>
    <row r="9132" spans="1:14" ht="11.25" customHeight="1" x14ac:dyDescent="0.2">
      <c r="A9132" s="120">
        <v>2025</v>
      </c>
      <c r="B9132" s="120">
        <v>7</v>
      </c>
      <c r="C9132" s="120">
        <v>10</v>
      </c>
      <c r="D9132" s="208">
        <f t="shared" ref="D9132:D9195" si="1108">DATE(A9132,B9132,C9132)</f>
        <v>45848</v>
      </c>
      <c r="E9132" s="209">
        <f t="shared" si="1107"/>
        <v>45848</v>
      </c>
      <c r="F9132" s="515"/>
      <c r="G9132" s="132" t="s">
        <v>1209</v>
      </c>
      <c r="J9132" s="120" t="s">
        <v>16</v>
      </c>
      <c r="K9132" s="207"/>
      <c r="L9132" s="207">
        <v>5953800</v>
      </c>
    </row>
    <row r="9133" spans="1:14" ht="11.25" customHeight="1" x14ac:dyDescent="0.2">
      <c r="A9133" s="191">
        <v>2025</v>
      </c>
      <c r="B9133" s="191">
        <v>7</v>
      </c>
      <c r="C9133" s="191">
        <v>10</v>
      </c>
      <c r="D9133" s="192">
        <f t="shared" si="1108"/>
        <v>45848</v>
      </c>
      <c r="E9133" s="193">
        <f t="shared" si="1107"/>
        <v>45848</v>
      </c>
      <c r="F9133" s="514"/>
      <c r="G9133" s="194" t="s">
        <v>1209</v>
      </c>
      <c r="H9133" s="195"/>
      <c r="I9133" s="195"/>
      <c r="J9133" s="191" t="s">
        <v>47</v>
      </c>
      <c r="K9133" s="196"/>
      <c r="L9133" s="196">
        <v>1546200</v>
      </c>
    </row>
    <row r="9134" spans="1:14" ht="11.25" customHeight="1" x14ac:dyDescent="0.2">
      <c r="A9134" s="197">
        <v>2025</v>
      </c>
      <c r="B9134" s="197">
        <v>7</v>
      </c>
      <c r="C9134" s="197">
        <v>10</v>
      </c>
      <c r="D9134" s="198">
        <f t="shared" si="1108"/>
        <v>45848</v>
      </c>
      <c r="E9134" s="209">
        <f t="shared" si="1107"/>
        <v>45848</v>
      </c>
      <c r="F9134" s="513" t="s">
        <v>1280</v>
      </c>
      <c r="G9134" s="200" t="s">
        <v>1209</v>
      </c>
      <c r="H9134" s="201"/>
      <c r="I9134" s="201"/>
      <c r="J9134" s="197" t="s">
        <v>16</v>
      </c>
      <c r="K9134" s="202">
        <v>33510</v>
      </c>
      <c r="L9134" s="202"/>
    </row>
    <row r="9135" spans="1:14" ht="11.25" customHeight="1" x14ac:dyDescent="0.2">
      <c r="A9135" s="120">
        <v>2025</v>
      </c>
      <c r="B9135" s="120">
        <v>7</v>
      </c>
      <c r="C9135" s="120">
        <v>10</v>
      </c>
      <c r="D9135" s="208">
        <f t="shared" si="1108"/>
        <v>45848</v>
      </c>
      <c r="E9135" s="209">
        <f t="shared" si="1107"/>
        <v>45848</v>
      </c>
      <c r="F9135" s="515"/>
      <c r="G9135" s="132" t="s">
        <v>1209</v>
      </c>
      <c r="J9135" s="120" t="s">
        <v>47</v>
      </c>
      <c r="K9135" s="207">
        <v>8661.0300000000007</v>
      </c>
      <c r="L9135" s="207"/>
    </row>
    <row r="9136" spans="1:14" ht="11.25" customHeight="1" x14ac:dyDescent="0.2">
      <c r="A9136" s="191">
        <v>2025</v>
      </c>
      <c r="B9136" s="191">
        <v>7</v>
      </c>
      <c r="C9136" s="191">
        <v>10</v>
      </c>
      <c r="D9136" s="192">
        <f t="shared" si="1108"/>
        <v>45848</v>
      </c>
      <c r="E9136" s="193">
        <f t="shared" si="1107"/>
        <v>45848</v>
      </c>
      <c r="F9136" s="514"/>
      <c r="G9136" s="194" t="s">
        <v>1209</v>
      </c>
      <c r="H9136" s="195"/>
      <c r="I9136" s="195"/>
      <c r="J9136" s="191" t="s">
        <v>46</v>
      </c>
      <c r="K9136" s="196"/>
      <c r="L9136" s="196">
        <v>42171.03</v>
      </c>
    </row>
    <row r="9137" spans="1:15" ht="11.25" customHeight="1" x14ac:dyDescent="0.2">
      <c r="A9137" s="197">
        <v>2025</v>
      </c>
      <c r="B9137" s="197">
        <v>7</v>
      </c>
      <c r="C9137" s="197">
        <v>10</v>
      </c>
      <c r="D9137" s="198">
        <f t="shared" si="1108"/>
        <v>45848</v>
      </c>
      <c r="E9137" s="209">
        <f t="shared" ref="E9137:E9139" si="1109">DATE(A9137,B9137,C9137)</f>
        <v>45848</v>
      </c>
      <c r="F9137" s="513" t="s">
        <v>1210</v>
      </c>
      <c r="G9137" s="200" t="s">
        <v>1209</v>
      </c>
      <c r="H9137" s="201"/>
      <c r="I9137" s="201"/>
      <c r="J9137" s="197" t="s">
        <v>46</v>
      </c>
      <c r="K9137" s="202">
        <v>1000000</v>
      </c>
      <c r="L9137" s="202"/>
    </row>
    <row r="9138" spans="1:15" ht="11.25" customHeight="1" x14ac:dyDescent="0.2">
      <c r="A9138" s="120">
        <v>2025</v>
      </c>
      <c r="B9138" s="120">
        <v>7</v>
      </c>
      <c r="C9138" s="120">
        <v>10</v>
      </c>
      <c r="D9138" s="208">
        <f t="shared" si="1108"/>
        <v>45848</v>
      </c>
      <c r="E9138" s="209">
        <f t="shared" si="1109"/>
        <v>45848</v>
      </c>
      <c r="F9138" s="515"/>
      <c r="G9138" s="132" t="s">
        <v>1209</v>
      </c>
      <c r="J9138" s="120" t="s">
        <v>16</v>
      </c>
      <c r="K9138" s="207"/>
      <c r="L9138" s="207">
        <v>794660</v>
      </c>
    </row>
    <row r="9139" spans="1:15" ht="11.25" customHeight="1" x14ac:dyDescent="0.2">
      <c r="A9139" s="191">
        <v>2025</v>
      </c>
      <c r="B9139" s="191">
        <v>7</v>
      </c>
      <c r="C9139" s="191">
        <v>10</v>
      </c>
      <c r="D9139" s="192">
        <f t="shared" si="1108"/>
        <v>45848</v>
      </c>
      <c r="E9139" s="193">
        <f t="shared" si="1109"/>
        <v>45848</v>
      </c>
      <c r="F9139" s="514"/>
      <c r="G9139" s="194" t="s">
        <v>1209</v>
      </c>
      <c r="H9139" s="195"/>
      <c r="I9139" s="195"/>
      <c r="J9139" s="191" t="s">
        <v>47</v>
      </c>
      <c r="K9139" s="196"/>
      <c r="L9139" s="196">
        <v>205340</v>
      </c>
    </row>
    <row r="9140" spans="1:15" ht="11.25" customHeight="1" x14ac:dyDescent="0.2">
      <c r="A9140" s="197">
        <v>2025</v>
      </c>
      <c r="B9140" s="197">
        <v>7</v>
      </c>
      <c r="C9140" s="197">
        <v>10</v>
      </c>
      <c r="D9140" s="198">
        <f t="shared" si="1108"/>
        <v>45848</v>
      </c>
      <c r="E9140" s="209">
        <f t="shared" ref="E9140:E9144" si="1110">DATE(A9140,B9140,C9140)</f>
        <v>45848</v>
      </c>
      <c r="F9140" s="513" t="s">
        <v>1210</v>
      </c>
      <c r="G9140" s="200" t="s">
        <v>1209</v>
      </c>
      <c r="H9140" s="201"/>
      <c r="I9140" s="201"/>
      <c r="J9140" s="197" t="s">
        <v>46</v>
      </c>
      <c r="K9140" s="202">
        <v>500000</v>
      </c>
      <c r="L9140" s="202"/>
    </row>
    <row r="9141" spans="1:15" ht="11.25" customHeight="1" x14ac:dyDescent="0.2">
      <c r="A9141" s="120">
        <v>2025</v>
      </c>
      <c r="B9141" s="120">
        <v>7</v>
      </c>
      <c r="C9141" s="120">
        <v>10</v>
      </c>
      <c r="D9141" s="208">
        <f t="shared" si="1108"/>
        <v>45848</v>
      </c>
      <c r="E9141" s="209">
        <f t="shared" si="1110"/>
        <v>45848</v>
      </c>
      <c r="F9141" s="515"/>
      <c r="G9141" s="132" t="s">
        <v>1209</v>
      </c>
      <c r="J9141" s="120" t="s">
        <v>16</v>
      </c>
      <c r="K9141" s="207"/>
      <c r="L9141" s="207">
        <v>397330</v>
      </c>
    </row>
    <row r="9142" spans="1:15" ht="11.25" customHeight="1" x14ac:dyDescent="0.2">
      <c r="A9142" s="191">
        <v>2025</v>
      </c>
      <c r="B9142" s="191">
        <v>7</v>
      </c>
      <c r="C9142" s="191">
        <v>10</v>
      </c>
      <c r="D9142" s="192">
        <f t="shared" si="1108"/>
        <v>45848</v>
      </c>
      <c r="E9142" s="193">
        <f t="shared" si="1110"/>
        <v>45848</v>
      </c>
      <c r="F9142" s="514"/>
      <c r="G9142" s="194" t="s">
        <v>1209</v>
      </c>
      <c r="H9142" s="195"/>
      <c r="I9142" s="195"/>
      <c r="J9142" s="191" t="s">
        <v>47</v>
      </c>
      <c r="K9142" s="196"/>
      <c r="L9142" s="196">
        <v>102670</v>
      </c>
    </row>
    <row r="9143" spans="1:15" ht="11.25" customHeight="1" x14ac:dyDescent="0.2">
      <c r="A9143" s="197">
        <v>2025</v>
      </c>
      <c r="B9143" s="197">
        <v>7</v>
      </c>
      <c r="C9143" s="197">
        <v>10</v>
      </c>
      <c r="D9143" s="198">
        <f t="shared" si="1108"/>
        <v>45848</v>
      </c>
      <c r="E9143" s="290">
        <f t="shared" si="1110"/>
        <v>45848</v>
      </c>
      <c r="F9143" s="513" t="s">
        <v>1514</v>
      </c>
      <c r="G9143" s="200" t="s">
        <v>1209</v>
      </c>
      <c r="H9143" s="201"/>
      <c r="I9143" s="201"/>
      <c r="J9143" s="197" t="s">
        <v>54</v>
      </c>
      <c r="K9143" s="202">
        <v>120</v>
      </c>
      <c r="L9143" s="202"/>
      <c r="M9143" s="251"/>
      <c r="N9143" s="251"/>
      <c r="O9143" s="251"/>
    </row>
    <row r="9144" spans="1:15" ht="11.25" customHeight="1" x14ac:dyDescent="0.2">
      <c r="A9144" s="191">
        <v>2025</v>
      </c>
      <c r="B9144" s="191">
        <v>7</v>
      </c>
      <c r="C9144" s="191">
        <v>10</v>
      </c>
      <c r="D9144" s="192">
        <f t="shared" si="1108"/>
        <v>45848</v>
      </c>
      <c r="E9144" s="291">
        <f t="shared" si="1110"/>
        <v>45848</v>
      </c>
      <c r="F9144" s="514"/>
      <c r="G9144" s="194" t="s">
        <v>1209</v>
      </c>
      <c r="H9144" s="195"/>
      <c r="I9144" s="195"/>
      <c r="J9144" s="191" t="s">
        <v>46</v>
      </c>
      <c r="K9144" s="196"/>
      <c r="L9144" s="196">
        <v>120</v>
      </c>
      <c r="M9144" s="251"/>
    </row>
    <row r="9145" spans="1:15" ht="11.25" customHeight="1" x14ac:dyDescent="0.2">
      <c r="A9145" s="424">
        <v>2025</v>
      </c>
      <c r="B9145" s="424">
        <v>7</v>
      </c>
      <c r="C9145" s="424">
        <v>10</v>
      </c>
      <c r="D9145" s="425">
        <f t="shared" si="1108"/>
        <v>45848</v>
      </c>
      <c r="E9145" s="384">
        <f t="shared" si="1107"/>
        <v>45848</v>
      </c>
      <c r="F9145" s="516" t="s">
        <v>1850</v>
      </c>
      <c r="G9145" s="426" t="s">
        <v>1209</v>
      </c>
      <c r="H9145" s="427"/>
      <c r="I9145" s="427"/>
      <c r="J9145" s="428" t="s">
        <v>81</v>
      </c>
      <c r="K9145" s="429">
        <v>11170.721538461539</v>
      </c>
      <c r="L9145" s="429"/>
    </row>
    <row r="9146" spans="1:15" ht="11.25" customHeight="1" x14ac:dyDescent="0.2">
      <c r="A9146" s="389">
        <v>2025</v>
      </c>
      <c r="B9146" s="389">
        <v>7</v>
      </c>
      <c r="C9146" s="389">
        <v>10</v>
      </c>
      <c r="D9146" s="390">
        <f t="shared" si="1108"/>
        <v>45848</v>
      </c>
      <c r="E9146" s="391">
        <f t="shared" si="1107"/>
        <v>45848</v>
      </c>
      <c r="F9146" s="517"/>
      <c r="G9146" s="392" t="s">
        <v>1209</v>
      </c>
      <c r="H9146" s="393"/>
      <c r="I9146" s="393"/>
      <c r="J9146" s="394" t="s">
        <v>1847</v>
      </c>
      <c r="K9146" s="423"/>
      <c r="L9146" s="423">
        <f>K9145</f>
        <v>11170.721538461539</v>
      </c>
    </row>
    <row r="9147" spans="1:15" ht="11.25" customHeight="1" x14ac:dyDescent="0.2">
      <c r="A9147" s="382">
        <v>2025</v>
      </c>
      <c r="B9147" s="382">
        <v>7</v>
      </c>
      <c r="C9147" s="382">
        <v>10</v>
      </c>
      <c r="D9147" s="383">
        <f t="shared" si="1108"/>
        <v>45848</v>
      </c>
      <c r="E9147" s="384">
        <f t="shared" si="1107"/>
        <v>45848</v>
      </c>
      <c r="F9147" s="516" t="s">
        <v>1892</v>
      </c>
      <c r="G9147" s="385" t="s">
        <v>1209</v>
      </c>
      <c r="H9147" s="386"/>
      <c r="I9147" s="386"/>
      <c r="J9147" s="387" t="s">
        <v>173</v>
      </c>
      <c r="K9147" s="388">
        <v>4825.87</v>
      </c>
      <c r="L9147" s="388"/>
    </row>
    <row r="9148" spans="1:15" ht="11.25" customHeight="1" x14ac:dyDescent="0.2">
      <c r="A9148" s="389">
        <v>2025</v>
      </c>
      <c r="B9148" s="389">
        <v>7</v>
      </c>
      <c r="C9148" s="389">
        <v>10</v>
      </c>
      <c r="D9148" s="390">
        <f t="shared" si="1108"/>
        <v>45848</v>
      </c>
      <c r="E9148" s="391">
        <f t="shared" si="1107"/>
        <v>45848</v>
      </c>
      <c r="F9148" s="517"/>
      <c r="G9148" s="392" t="s">
        <v>1209</v>
      </c>
      <c r="H9148" s="393"/>
      <c r="I9148" s="393"/>
      <c r="J9148" s="394" t="s">
        <v>43</v>
      </c>
      <c r="K9148" s="388"/>
      <c r="L9148" s="423">
        <f>K9147</f>
        <v>4825.87</v>
      </c>
    </row>
    <row r="9149" spans="1:15" ht="11.25" customHeight="1" x14ac:dyDescent="0.2">
      <c r="A9149" s="344">
        <v>2025</v>
      </c>
      <c r="B9149" s="344">
        <v>7</v>
      </c>
      <c r="C9149" s="344">
        <v>10</v>
      </c>
      <c r="D9149" s="345">
        <f t="shared" si="1108"/>
        <v>45848</v>
      </c>
      <c r="E9149" s="346">
        <f t="shared" si="1107"/>
        <v>45848</v>
      </c>
      <c r="F9149" s="518" t="s">
        <v>1982</v>
      </c>
      <c r="G9149" s="347" t="s">
        <v>1245</v>
      </c>
      <c r="H9149" s="348"/>
      <c r="I9149" s="348" t="s">
        <v>1253</v>
      </c>
      <c r="J9149" s="344" t="s">
        <v>1978</v>
      </c>
      <c r="K9149" s="349">
        <v>145230.76923076922</v>
      </c>
      <c r="L9149" s="349"/>
    </row>
    <row r="9150" spans="1:15" ht="11.25" customHeight="1" x14ac:dyDescent="0.2">
      <c r="A9150" s="350">
        <v>2025</v>
      </c>
      <c r="B9150" s="350">
        <v>7</v>
      </c>
      <c r="C9150" s="350">
        <v>10</v>
      </c>
      <c r="D9150" s="351">
        <f t="shared" si="1108"/>
        <v>45848</v>
      </c>
      <c r="E9150" s="352">
        <f t="shared" si="1107"/>
        <v>45848</v>
      </c>
      <c r="F9150" s="519"/>
      <c r="G9150" s="353" t="s">
        <v>1245</v>
      </c>
      <c r="H9150" s="354"/>
      <c r="I9150" s="354" t="s">
        <v>1253</v>
      </c>
      <c r="J9150" s="350" t="s">
        <v>1979</v>
      </c>
      <c r="K9150" s="355"/>
      <c r="L9150" s="355">
        <f>K9149</f>
        <v>145230.76923076922</v>
      </c>
    </row>
    <row r="9151" spans="1:15" ht="11.25" customHeight="1" x14ac:dyDescent="0.2">
      <c r="A9151" s="344">
        <v>2025</v>
      </c>
      <c r="B9151" s="344">
        <v>7</v>
      </c>
      <c r="C9151" s="344">
        <v>10</v>
      </c>
      <c r="D9151" s="345">
        <f t="shared" si="1108"/>
        <v>45848</v>
      </c>
      <c r="E9151" s="346">
        <f t="shared" si="1107"/>
        <v>45848</v>
      </c>
      <c r="F9151" s="518" t="s">
        <v>2009</v>
      </c>
      <c r="G9151" s="347" t="s">
        <v>1245</v>
      </c>
      <c r="H9151" s="348"/>
      <c r="I9151" s="348" t="s">
        <v>1253</v>
      </c>
      <c r="J9151" s="344" t="s">
        <v>2004</v>
      </c>
      <c r="K9151" s="349">
        <v>49692.31</v>
      </c>
      <c r="L9151" s="349"/>
    </row>
    <row r="9152" spans="1:15" ht="11.25" customHeight="1" x14ac:dyDescent="0.2">
      <c r="A9152" s="350">
        <v>2025</v>
      </c>
      <c r="B9152" s="350">
        <v>7</v>
      </c>
      <c r="C9152" s="350">
        <v>10</v>
      </c>
      <c r="D9152" s="351">
        <f t="shared" si="1108"/>
        <v>45848</v>
      </c>
      <c r="E9152" s="352">
        <f t="shared" si="1107"/>
        <v>45848</v>
      </c>
      <c r="F9152" s="519"/>
      <c r="G9152" s="353" t="s">
        <v>1245</v>
      </c>
      <c r="H9152" s="354"/>
      <c r="I9152" s="354" t="s">
        <v>1253</v>
      </c>
      <c r="J9152" s="350" t="s">
        <v>2008</v>
      </c>
      <c r="K9152" s="355"/>
      <c r="L9152" s="355">
        <f t="shared" ref="L9152" si="1111">K9151</f>
        <v>49692.31</v>
      </c>
    </row>
    <row r="9153" spans="1:16" ht="11.25" customHeight="1" x14ac:dyDescent="0.2">
      <c r="A9153" s="344">
        <v>2025</v>
      </c>
      <c r="B9153" s="344">
        <v>7</v>
      </c>
      <c r="C9153" s="344">
        <v>10</v>
      </c>
      <c r="D9153" s="345">
        <f t="shared" si="1108"/>
        <v>45848</v>
      </c>
      <c r="E9153" s="346">
        <f t="shared" si="1107"/>
        <v>45848</v>
      </c>
      <c r="F9153" s="518" t="s">
        <v>2009</v>
      </c>
      <c r="G9153" s="347" t="s">
        <v>1245</v>
      </c>
      <c r="H9153" s="348"/>
      <c r="I9153" s="348" t="s">
        <v>1253</v>
      </c>
      <c r="J9153" s="344" t="s">
        <v>2004</v>
      </c>
      <c r="K9153" s="349">
        <v>49692.31</v>
      </c>
      <c r="L9153" s="349"/>
    </row>
    <row r="9154" spans="1:16" ht="11.25" customHeight="1" x14ac:dyDescent="0.2">
      <c r="A9154" s="350">
        <v>2025</v>
      </c>
      <c r="B9154" s="350">
        <v>7</v>
      </c>
      <c r="C9154" s="350">
        <v>10</v>
      </c>
      <c r="D9154" s="351">
        <f t="shared" si="1108"/>
        <v>45848</v>
      </c>
      <c r="E9154" s="352">
        <f t="shared" si="1107"/>
        <v>45848</v>
      </c>
      <c r="F9154" s="519"/>
      <c r="G9154" s="353" t="s">
        <v>1245</v>
      </c>
      <c r="H9154" s="354"/>
      <c r="I9154" s="354" t="s">
        <v>1253</v>
      </c>
      <c r="J9154" s="350" t="s">
        <v>2008</v>
      </c>
      <c r="K9154" s="355"/>
      <c r="L9154" s="355">
        <f t="shared" ref="L9154" si="1112">K9153</f>
        <v>49692.31</v>
      </c>
    </row>
    <row r="9155" spans="1:16" ht="11.25" customHeight="1" x14ac:dyDescent="0.2">
      <c r="A9155" s="344">
        <v>2025</v>
      </c>
      <c r="B9155" s="344">
        <v>7</v>
      </c>
      <c r="C9155" s="344">
        <v>10</v>
      </c>
      <c r="D9155" s="345">
        <f t="shared" si="1108"/>
        <v>45848</v>
      </c>
      <c r="E9155" s="346">
        <f>DATE(A9155,B9155,C9155)</f>
        <v>45848</v>
      </c>
      <c r="F9155" s="518" t="s">
        <v>1988</v>
      </c>
      <c r="G9155" s="347" t="s">
        <v>1245</v>
      </c>
      <c r="H9155" s="348"/>
      <c r="I9155" s="348" t="s">
        <v>1253</v>
      </c>
      <c r="J9155" s="344" t="s">
        <v>113</v>
      </c>
      <c r="K9155" s="349">
        <v>32846.15</v>
      </c>
      <c r="L9155" s="349"/>
    </row>
    <row r="9156" spans="1:16" ht="11.25" customHeight="1" x14ac:dyDescent="0.2">
      <c r="A9156" s="350">
        <v>2025</v>
      </c>
      <c r="B9156" s="350">
        <v>7</v>
      </c>
      <c r="C9156" s="350">
        <v>10</v>
      </c>
      <c r="D9156" s="351">
        <f t="shared" si="1108"/>
        <v>45848</v>
      </c>
      <c r="E9156" s="352">
        <f>DATE(A9156,B9156,C9156)</f>
        <v>45848</v>
      </c>
      <c r="F9156" s="519"/>
      <c r="G9156" s="353" t="s">
        <v>1245</v>
      </c>
      <c r="H9156" s="354"/>
      <c r="I9156" s="354" t="s">
        <v>1253</v>
      </c>
      <c r="J9156" s="350" t="s">
        <v>153</v>
      </c>
      <c r="K9156" s="355"/>
      <c r="L9156" s="355">
        <f t="shared" ref="L9156" si="1113">K9155</f>
        <v>32846.15</v>
      </c>
    </row>
    <row r="9157" spans="1:16" ht="11.25" customHeight="1" x14ac:dyDescent="0.2">
      <c r="A9157" s="344">
        <v>2025</v>
      </c>
      <c r="B9157" s="344">
        <v>7</v>
      </c>
      <c r="C9157" s="344">
        <v>10</v>
      </c>
      <c r="D9157" s="345">
        <f t="shared" si="1108"/>
        <v>45848</v>
      </c>
      <c r="E9157" s="346">
        <f t="shared" ref="E9157:E9162" si="1114">DATE(A9157,B9157,C9157)</f>
        <v>45848</v>
      </c>
      <c r="F9157" s="518" t="s">
        <v>1989</v>
      </c>
      <c r="G9157" s="347" t="s">
        <v>1245</v>
      </c>
      <c r="H9157" s="348"/>
      <c r="I9157" s="348" t="s">
        <v>1253</v>
      </c>
      <c r="J9157" s="344" t="s">
        <v>113</v>
      </c>
      <c r="K9157" s="349">
        <v>23461.538461538461</v>
      </c>
      <c r="L9157" s="349"/>
    </row>
    <row r="9158" spans="1:16" ht="11.25" customHeight="1" x14ac:dyDescent="0.2">
      <c r="A9158" s="350">
        <v>2025</v>
      </c>
      <c r="B9158" s="350">
        <v>7</v>
      </c>
      <c r="C9158" s="350">
        <v>10</v>
      </c>
      <c r="D9158" s="351">
        <f t="shared" si="1108"/>
        <v>45848</v>
      </c>
      <c r="E9158" s="352">
        <f t="shared" si="1114"/>
        <v>45848</v>
      </c>
      <c r="F9158" s="519"/>
      <c r="G9158" s="353" t="s">
        <v>1245</v>
      </c>
      <c r="H9158" s="354"/>
      <c r="I9158" s="354" t="s">
        <v>1253</v>
      </c>
      <c r="J9158" s="350" t="s">
        <v>153</v>
      </c>
      <c r="K9158" s="355"/>
      <c r="L9158" s="355">
        <f t="shared" ref="L9158" si="1115">K9157</f>
        <v>23461.538461538461</v>
      </c>
    </row>
    <row r="9159" spans="1:16" ht="11.25" customHeight="1" x14ac:dyDescent="0.2">
      <c r="A9159" s="344">
        <v>2025</v>
      </c>
      <c r="B9159" s="344">
        <v>7</v>
      </c>
      <c r="C9159" s="344">
        <v>10</v>
      </c>
      <c r="D9159" s="345">
        <f t="shared" si="1108"/>
        <v>45848</v>
      </c>
      <c r="E9159" s="346">
        <f t="shared" si="1114"/>
        <v>45848</v>
      </c>
      <c r="F9159" s="518" t="s">
        <v>1990</v>
      </c>
      <c r="G9159" s="347" t="s">
        <v>1245</v>
      </c>
      <c r="H9159" s="348"/>
      <c r="I9159" s="348" t="s">
        <v>1253</v>
      </c>
      <c r="J9159" s="344" t="s">
        <v>113</v>
      </c>
      <c r="K9159" s="349">
        <v>93846.14</v>
      </c>
      <c r="L9159" s="349"/>
      <c r="N9159" s="251"/>
      <c r="O9159" s="251"/>
      <c r="P9159" s="251"/>
    </row>
    <row r="9160" spans="1:16" ht="11.25" customHeight="1" x14ac:dyDescent="0.2">
      <c r="A9160" s="350">
        <v>2025</v>
      </c>
      <c r="B9160" s="350">
        <v>7</v>
      </c>
      <c r="C9160" s="350">
        <v>10</v>
      </c>
      <c r="D9160" s="351">
        <f t="shared" si="1108"/>
        <v>45848</v>
      </c>
      <c r="E9160" s="352">
        <f t="shared" si="1114"/>
        <v>45848</v>
      </c>
      <c r="F9160" s="519"/>
      <c r="G9160" s="353" t="s">
        <v>1245</v>
      </c>
      <c r="H9160" s="354"/>
      <c r="I9160" s="354" t="s">
        <v>1253</v>
      </c>
      <c r="J9160" s="350" t="s">
        <v>153</v>
      </c>
      <c r="K9160" s="355"/>
      <c r="L9160" s="355">
        <f t="shared" ref="L9160" si="1116">K9159</f>
        <v>93846.14</v>
      </c>
    </row>
    <row r="9161" spans="1:16" ht="11.25" customHeight="1" x14ac:dyDescent="0.2">
      <c r="A9161" s="344">
        <v>2025</v>
      </c>
      <c r="B9161" s="344">
        <v>7</v>
      </c>
      <c r="C9161" s="344">
        <v>10</v>
      </c>
      <c r="D9161" s="345">
        <f t="shared" si="1108"/>
        <v>45848</v>
      </c>
      <c r="E9161" s="346">
        <f t="shared" si="1114"/>
        <v>45848</v>
      </c>
      <c r="F9161" s="518" t="s">
        <v>2039</v>
      </c>
      <c r="G9161" s="347" t="s">
        <v>1245</v>
      </c>
      <c r="H9161" s="348"/>
      <c r="I9161" s="348" t="s">
        <v>1253</v>
      </c>
      <c r="J9161" s="344" t="s">
        <v>113</v>
      </c>
      <c r="K9161" s="349">
        <v>9384.6153846153848</v>
      </c>
      <c r="L9161" s="349"/>
    </row>
    <row r="9162" spans="1:16" ht="11.25" customHeight="1" x14ac:dyDescent="0.2">
      <c r="A9162" s="350">
        <v>2025</v>
      </c>
      <c r="B9162" s="350">
        <v>7</v>
      </c>
      <c r="C9162" s="350">
        <v>10</v>
      </c>
      <c r="D9162" s="351">
        <f t="shared" si="1108"/>
        <v>45848</v>
      </c>
      <c r="E9162" s="352">
        <f t="shared" si="1114"/>
        <v>45848</v>
      </c>
      <c r="F9162" s="519"/>
      <c r="G9162" s="353" t="s">
        <v>1245</v>
      </c>
      <c r="H9162" s="354"/>
      <c r="I9162" s="354" t="s">
        <v>1253</v>
      </c>
      <c r="J9162" s="350" t="s">
        <v>153</v>
      </c>
      <c r="K9162" s="355"/>
      <c r="L9162" s="355">
        <f t="shared" ref="L9162" si="1117">K9161</f>
        <v>9384.6153846153848</v>
      </c>
    </row>
    <row r="9163" spans="1:16" ht="11.25" customHeight="1" x14ac:dyDescent="0.2">
      <c r="A9163" s="344">
        <v>2025</v>
      </c>
      <c r="B9163" s="344">
        <v>7</v>
      </c>
      <c r="C9163" s="344">
        <v>10</v>
      </c>
      <c r="D9163" s="345">
        <f t="shared" si="1108"/>
        <v>45848</v>
      </c>
      <c r="E9163" s="346">
        <f>DATE(A9163,B9163,C9163)</f>
        <v>45848</v>
      </c>
      <c r="F9163" s="518" t="s">
        <v>1991</v>
      </c>
      <c r="G9163" s="347" t="s">
        <v>1245</v>
      </c>
      <c r="H9163" s="348"/>
      <c r="I9163" s="348" t="s">
        <v>1253</v>
      </c>
      <c r="J9163" s="344" t="s">
        <v>113</v>
      </c>
      <c r="K9163" s="349">
        <v>39884.620000000003</v>
      </c>
      <c r="L9163" s="349"/>
    </row>
    <row r="9164" spans="1:16" ht="11.25" customHeight="1" x14ac:dyDescent="0.2">
      <c r="A9164" s="350">
        <v>2025</v>
      </c>
      <c r="B9164" s="350">
        <v>7</v>
      </c>
      <c r="C9164" s="350">
        <v>10</v>
      </c>
      <c r="D9164" s="351">
        <f t="shared" si="1108"/>
        <v>45848</v>
      </c>
      <c r="E9164" s="352">
        <f>DATE(A9164,B9164,C9164)</f>
        <v>45848</v>
      </c>
      <c r="F9164" s="519"/>
      <c r="G9164" s="353" t="s">
        <v>1245</v>
      </c>
      <c r="H9164" s="354"/>
      <c r="I9164" s="354" t="s">
        <v>1253</v>
      </c>
      <c r="J9164" s="350" t="s">
        <v>153</v>
      </c>
      <c r="K9164" s="355"/>
      <c r="L9164" s="355">
        <f t="shared" ref="L9164" si="1118">K9163</f>
        <v>39884.620000000003</v>
      </c>
    </row>
    <row r="9165" spans="1:16" ht="11.25" customHeight="1" x14ac:dyDescent="0.2">
      <c r="A9165" s="344">
        <v>2025</v>
      </c>
      <c r="B9165" s="344">
        <v>7</v>
      </c>
      <c r="C9165" s="344">
        <v>10</v>
      </c>
      <c r="D9165" s="345">
        <f t="shared" si="1108"/>
        <v>45848</v>
      </c>
      <c r="E9165" s="346">
        <f t="shared" ref="E9165:E9169" si="1119">DATE(A9165,B9165,C9165)</f>
        <v>45848</v>
      </c>
      <c r="F9165" s="518" t="s">
        <v>2052</v>
      </c>
      <c r="G9165" s="347" t="s">
        <v>1245</v>
      </c>
      <c r="H9165" s="348"/>
      <c r="I9165" s="348" t="s">
        <v>1253</v>
      </c>
      <c r="J9165" s="344" t="s">
        <v>113</v>
      </c>
      <c r="K9165" s="349">
        <v>11442.307692307691</v>
      </c>
      <c r="L9165" s="349"/>
    </row>
    <row r="9166" spans="1:16" ht="11.25" customHeight="1" x14ac:dyDescent="0.2">
      <c r="A9166" s="350">
        <v>2025</v>
      </c>
      <c r="B9166" s="350">
        <v>7</v>
      </c>
      <c r="C9166" s="350">
        <v>10</v>
      </c>
      <c r="D9166" s="351">
        <f t="shared" si="1108"/>
        <v>45848</v>
      </c>
      <c r="E9166" s="352">
        <f t="shared" si="1119"/>
        <v>45848</v>
      </c>
      <c r="F9166" s="519"/>
      <c r="G9166" s="353" t="s">
        <v>1245</v>
      </c>
      <c r="H9166" s="354"/>
      <c r="I9166" s="354" t="s">
        <v>1253</v>
      </c>
      <c r="J9166" s="350" t="s">
        <v>153</v>
      </c>
      <c r="K9166" s="355"/>
      <c r="L9166" s="355">
        <f t="shared" ref="L9166" si="1120">K9165</f>
        <v>11442.307692307691</v>
      </c>
    </row>
    <row r="9167" spans="1:16" ht="11.25" customHeight="1" x14ac:dyDescent="0.2">
      <c r="A9167" s="344">
        <v>2025</v>
      </c>
      <c r="B9167" s="344">
        <v>7</v>
      </c>
      <c r="C9167" s="344">
        <v>10</v>
      </c>
      <c r="D9167" s="345">
        <f t="shared" si="1108"/>
        <v>45848</v>
      </c>
      <c r="E9167" s="346">
        <f t="shared" si="1119"/>
        <v>45848</v>
      </c>
      <c r="F9167" s="518" t="s">
        <v>2053</v>
      </c>
      <c r="G9167" s="347" t="s">
        <v>1245</v>
      </c>
      <c r="H9167" s="348"/>
      <c r="I9167" s="348" t="s">
        <v>1253</v>
      </c>
      <c r="J9167" s="344" t="s">
        <v>113</v>
      </c>
      <c r="K9167" s="349">
        <v>11634.615384615385</v>
      </c>
      <c r="L9167" s="349"/>
    </row>
    <row r="9168" spans="1:16" ht="11.25" customHeight="1" x14ac:dyDescent="0.2">
      <c r="A9168" s="350">
        <v>2025</v>
      </c>
      <c r="B9168" s="350">
        <v>7</v>
      </c>
      <c r="C9168" s="350">
        <v>10</v>
      </c>
      <c r="D9168" s="351">
        <f t="shared" si="1108"/>
        <v>45848</v>
      </c>
      <c r="E9168" s="352">
        <f t="shared" si="1119"/>
        <v>45848</v>
      </c>
      <c r="F9168" s="519"/>
      <c r="G9168" s="353" t="s">
        <v>1245</v>
      </c>
      <c r="H9168" s="354"/>
      <c r="I9168" s="354" t="s">
        <v>1253</v>
      </c>
      <c r="J9168" s="350" t="s">
        <v>153</v>
      </c>
      <c r="K9168" s="355"/>
      <c r="L9168" s="355">
        <f t="shared" ref="L9168" si="1121">K9167</f>
        <v>11634.615384615385</v>
      </c>
    </row>
    <row r="9169" spans="1:13" ht="11.25" customHeight="1" x14ac:dyDescent="0.2">
      <c r="A9169" s="210">
        <v>2025</v>
      </c>
      <c r="B9169" s="210">
        <v>7</v>
      </c>
      <c r="C9169" s="210">
        <v>10</v>
      </c>
      <c r="D9169" s="211">
        <f t="shared" si="1108"/>
        <v>45848</v>
      </c>
      <c r="E9169" s="238">
        <f t="shared" si="1119"/>
        <v>45848</v>
      </c>
      <c r="F9169" s="520" t="s">
        <v>1857</v>
      </c>
      <c r="G9169" s="213" t="s">
        <v>1245</v>
      </c>
      <c r="H9169" s="214"/>
      <c r="I9169" s="214" t="s">
        <v>1253</v>
      </c>
      <c r="J9169" s="210" t="s">
        <v>1284</v>
      </c>
      <c r="K9169" s="215">
        <v>2341.8114143920593</v>
      </c>
      <c r="L9169" s="215"/>
    </row>
    <row r="9170" spans="1:13" ht="11.25" customHeight="1" x14ac:dyDescent="0.2">
      <c r="A9170" s="242">
        <v>2025</v>
      </c>
      <c r="B9170" s="242">
        <v>7</v>
      </c>
      <c r="C9170" s="242">
        <v>10</v>
      </c>
      <c r="D9170" s="243">
        <f t="shared" si="1108"/>
        <v>45848</v>
      </c>
      <c r="E9170" s="244">
        <f>DATE(A9170,B9170,C9170)</f>
        <v>45848</v>
      </c>
      <c r="F9170" s="524"/>
      <c r="G9170" s="245" t="s">
        <v>1245</v>
      </c>
      <c r="H9170" s="246"/>
      <c r="I9170" s="246"/>
      <c r="J9170" s="242" t="s">
        <v>1582</v>
      </c>
      <c r="K9170" s="247"/>
      <c r="L9170" s="247">
        <f>K9169</f>
        <v>2341.8114143920593</v>
      </c>
    </row>
    <row r="9171" spans="1:13" ht="11.25" customHeight="1" x14ac:dyDescent="0.2">
      <c r="A9171" s="210">
        <v>2025</v>
      </c>
      <c r="B9171" s="210">
        <v>7</v>
      </c>
      <c r="C9171" s="210">
        <v>10</v>
      </c>
      <c r="D9171" s="211">
        <f t="shared" si="1108"/>
        <v>45848</v>
      </c>
      <c r="E9171" s="238">
        <f t="shared" ref="E9171:E9210" si="1122">DATE(A9171,B9171,C9171)</f>
        <v>45848</v>
      </c>
      <c r="F9171" s="520" t="s">
        <v>2055</v>
      </c>
      <c r="G9171" s="213" t="s">
        <v>1245</v>
      </c>
      <c r="H9171" s="214"/>
      <c r="I9171" s="214" t="s">
        <v>1253</v>
      </c>
      <c r="J9171" s="210" t="s">
        <v>58</v>
      </c>
      <c r="K9171" s="215">
        <v>22236.04</v>
      </c>
      <c r="L9171" s="215"/>
    </row>
    <row r="9172" spans="1:13" ht="11.25" customHeight="1" x14ac:dyDescent="0.2">
      <c r="A9172" s="216">
        <v>2025</v>
      </c>
      <c r="B9172" s="216">
        <v>7</v>
      </c>
      <c r="C9172" s="216">
        <v>10</v>
      </c>
      <c r="D9172" s="217">
        <f t="shared" si="1108"/>
        <v>45848</v>
      </c>
      <c r="E9172" s="239">
        <f t="shared" si="1122"/>
        <v>45848</v>
      </c>
      <c r="F9172" s="521"/>
      <c r="G9172" s="219" t="s">
        <v>1245</v>
      </c>
      <c r="H9172" s="220"/>
      <c r="I9172" s="220" t="s">
        <v>1253</v>
      </c>
      <c r="J9172" s="216" t="s">
        <v>153</v>
      </c>
      <c r="K9172" s="221"/>
      <c r="L9172" s="221">
        <f>K9171</f>
        <v>22236.04</v>
      </c>
    </row>
    <row r="9173" spans="1:13" ht="11.25" customHeight="1" x14ac:dyDescent="0.2">
      <c r="A9173" s="312">
        <v>2025</v>
      </c>
      <c r="B9173" s="312">
        <v>7</v>
      </c>
      <c r="C9173" s="312">
        <v>10</v>
      </c>
      <c r="D9173" s="313">
        <f t="shared" si="1108"/>
        <v>45848</v>
      </c>
      <c r="E9173" s="314">
        <f t="shared" si="1122"/>
        <v>45848</v>
      </c>
      <c r="F9173" s="522" t="s">
        <v>1477</v>
      </c>
      <c r="G9173" s="315" t="s">
        <v>1245</v>
      </c>
      <c r="H9173" s="316"/>
      <c r="I9173" s="316" t="s">
        <v>1253</v>
      </c>
      <c r="J9173" s="312" t="s">
        <v>1458</v>
      </c>
      <c r="K9173" s="317">
        <v>0</v>
      </c>
      <c r="L9173" s="317"/>
    </row>
    <row r="9174" spans="1:13" ht="11.25" customHeight="1" x14ac:dyDescent="0.2">
      <c r="A9174" s="318">
        <v>2025</v>
      </c>
      <c r="B9174" s="318">
        <v>7</v>
      </c>
      <c r="C9174" s="318">
        <v>10</v>
      </c>
      <c r="D9174" s="319">
        <f t="shared" si="1108"/>
        <v>45848</v>
      </c>
      <c r="E9174" s="320">
        <f t="shared" si="1122"/>
        <v>45848</v>
      </c>
      <c r="F9174" s="523"/>
      <c r="G9174" s="321" t="s">
        <v>1245</v>
      </c>
      <c r="H9174" s="322"/>
      <c r="I9174" s="322" t="s">
        <v>1253</v>
      </c>
      <c r="J9174" s="318" t="s">
        <v>1460</v>
      </c>
      <c r="K9174" s="323"/>
      <c r="L9174" s="323">
        <f>K9173</f>
        <v>0</v>
      </c>
    </row>
    <row r="9175" spans="1:13" ht="11.25" customHeight="1" x14ac:dyDescent="0.2">
      <c r="A9175" s="312">
        <v>2025</v>
      </c>
      <c r="B9175" s="312">
        <v>7</v>
      </c>
      <c r="C9175" s="312">
        <v>10</v>
      </c>
      <c r="D9175" s="313">
        <f t="shared" si="1108"/>
        <v>45848</v>
      </c>
      <c r="E9175" s="314">
        <f t="shared" si="1122"/>
        <v>45848</v>
      </c>
      <c r="F9175" s="522" t="s">
        <v>1595</v>
      </c>
      <c r="G9175" s="315" t="s">
        <v>1245</v>
      </c>
      <c r="H9175" s="316"/>
      <c r="I9175" s="316" t="s">
        <v>1253</v>
      </c>
      <c r="J9175" s="312" t="s">
        <v>1459</v>
      </c>
      <c r="K9175" s="317">
        <v>2559929.1259999275</v>
      </c>
      <c r="L9175" s="317"/>
      <c r="M9175" s="328">
        <f>BS!I14</f>
        <v>0</v>
      </c>
    </row>
    <row r="9176" spans="1:13" ht="11.25" customHeight="1" x14ac:dyDescent="0.2">
      <c r="A9176" s="318">
        <v>2025</v>
      </c>
      <c r="B9176" s="318">
        <v>7</v>
      </c>
      <c r="C9176" s="318">
        <v>10</v>
      </c>
      <c r="D9176" s="319">
        <f t="shared" si="1108"/>
        <v>45848</v>
      </c>
      <c r="E9176" s="320">
        <f t="shared" si="1122"/>
        <v>45848</v>
      </c>
      <c r="F9176" s="523"/>
      <c r="G9176" s="321" t="s">
        <v>1245</v>
      </c>
      <c r="H9176" s="322"/>
      <c r="I9176" s="322" t="s">
        <v>1253</v>
      </c>
      <c r="J9176" s="318" t="s">
        <v>1461</v>
      </c>
      <c r="K9176" s="323"/>
      <c r="L9176" s="323">
        <f>K9175</f>
        <v>2559929.1259999275</v>
      </c>
      <c r="M9176" s="328"/>
    </row>
    <row r="9177" spans="1:13" ht="11.25" customHeight="1" x14ac:dyDescent="0.2">
      <c r="A9177" s="222">
        <v>2025</v>
      </c>
      <c r="B9177" s="222">
        <v>7</v>
      </c>
      <c r="C9177" s="222">
        <v>10</v>
      </c>
      <c r="D9177" s="223">
        <f t="shared" si="1108"/>
        <v>45848</v>
      </c>
      <c r="E9177" s="240">
        <f t="shared" si="1122"/>
        <v>45848</v>
      </c>
      <c r="F9177" s="511" t="s">
        <v>1244</v>
      </c>
      <c r="G9177" s="225" t="s">
        <v>1245</v>
      </c>
      <c r="H9177" s="226"/>
      <c r="I9177" s="226" t="s">
        <v>1253</v>
      </c>
      <c r="J9177" s="222" t="s">
        <v>87</v>
      </c>
      <c r="K9177" s="227">
        <v>18305</v>
      </c>
      <c r="L9177" s="227"/>
      <c r="M9177" s="328">
        <f>BS!I7</f>
        <v>0</v>
      </c>
    </row>
    <row r="9178" spans="1:13" ht="11.25" customHeight="1" x14ac:dyDescent="0.2">
      <c r="A9178" s="228">
        <v>2025</v>
      </c>
      <c r="B9178" s="228">
        <v>7</v>
      </c>
      <c r="C9178" s="228">
        <v>10</v>
      </c>
      <c r="D9178" s="229">
        <f t="shared" si="1108"/>
        <v>45848</v>
      </c>
      <c r="E9178" s="241">
        <f t="shared" si="1122"/>
        <v>45848</v>
      </c>
      <c r="F9178" s="512"/>
      <c r="G9178" s="231" t="s">
        <v>1245</v>
      </c>
      <c r="H9178" s="232"/>
      <c r="I9178" s="232" t="s">
        <v>1253</v>
      </c>
      <c r="J9178" s="228" t="s">
        <v>72</v>
      </c>
      <c r="K9178" s="233"/>
      <c r="L9178" s="233">
        <f>K9177</f>
        <v>18305</v>
      </c>
    </row>
    <row r="9179" spans="1:13" ht="11.25" customHeight="1" x14ac:dyDescent="0.2">
      <c r="A9179" s="222">
        <v>2025</v>
      </c>
      <c r="B9179" s="222">
        <v>7</v>
      </c>
      <c r="C9179" s="222">
        <v>10</v>
      </c>
      <c r="D9179" s="223">
        <f t="shared" si="1108"/>
        <v>45848</v>
      </c>
      <c r="E9179" s="240">
        <f t="shared" si="1122"/>
        <v>45848</v>
      </c>
      <c r="F9179" s="511" t="s">
        <v>1246</v>
      </c>
      <c r="G9179" s="225" t="s">
        <v>1245</v>
      </c>
      <c r="H9179" s="226"/>
      <c r="I9179" s="226" t="s">
        <v>1253</v>
      </c>
      <c r="J9179" s="222" t="s">
        <v>75</v>
      </c>
      <c r="K9179" s="227">
        <v>3623.123846153846</v>
      </c>
      <c r="L9179" s="227"/>
    </row>
    <row r="9180" spans="1:13" ht="11.25" customHeight="1" x14ac:dyDescent="0.2">
      <c r="A9180" s="228">
        <v>2025</v>
      </c>
      <c r="B9180" s="228">
        <v>7</v>
      </c>
      <c r="C9180" s="228">
        <v>10</v>
      </c>
      <c r="D9180" s="229">
        <f t="shared" si="1108"/>
        <v>45848</v>
      </c>
      <c r="E9180" s="241">
        <f t="shared" si="1122"/>
        <v>45848</v>
      </c>
      <c r="F9180" s="512"/>
      <c r="G9180" s="231" t="s">
        <v>1245</v>
      </c>
      <c r="H9180" s="232"/>
      <c r="I9180" s="232" t="s">
        <v>1253</v>
      </c>
      <c r="J9180" s="228" t="s">
        <v>55</v>
      </c>
      <c r="K9180" s="233"/>
      <c r="L9180" s="233">
        <f>K9179</f>
        <v>3623.123846153846</v>
      </c>
    </row>
    <row r="9181" spans="1:13" ht="11.25" customHeight="1" x14ac:dyDescent="0.2">
      <c r="A9181" s="222">
        <v>2025</v>
      </c>
      <c r="B9181" s="222">
        <v>7</v>
      </c>
      <c r="C9181" s="222">
        <v>10</v>
      </c>
      <c r="D9181" s="223">
        <f t="shared" si="1108"/>
        <v>45848</v>
      </c>
      <c r="E9181" s="240">
        <f t="shared" si="1122"/>
        <v>45848</v>
      </c>
      <c r="F9181" s="511" t="s">
        <v>1247</v>
      </c>
      <c r="G9181" s="225" t="s">
        <v>1245</v>
      </c>
      <c r="H9181" s="226"/>
      <c r="I9181" s="226" t="s">
        <v>1253</v>
      </c>
      <c r="J9181" s="222" t="s">
        <v>77</v>
      </c>
      <c r="K9181" s="227">
        <f>M9181</f>
        <v>56720.652222264274</v>
      </c>
      <c r="L9181" s="227"/>
      <c r="M9181" s="120">
        <v>56720.652222264274</v>
      </c>
    </row>
    <row r="9182" spans="1:13" ht="11.25" customHeight="1" x14ac:dyDescent="0.2">
      <c r="A9182" s="228">
        <v>2025</v>
      </c>
      <c r="B9182" s="228">
        <v>7</v>
      </c>
      <c r="C9182" s="228">
        <v>10</v>
      </c>
      <c r="D9182" s="229">
        <f t="shared" si="1108"/>
        <v>45848</v>
      </c>
      <c r="E9182" s="241">
        <f t="shared" si="1122"/>
        <v>45848</v>
      </c>
      <c r="F9182" s="512"/>
      <c r="G9182" s="231" t="s">
        <v>1245</v>
      </c>
      <c r="H9182" s="232"/>
      <c r="I9182" s="232" t="s">
        <v>1253</v>
      </c>
      <c r="J9182" s="228" t="s">
        <v>41</v>
      </c>
      <c r="K9182" s="233"/>
      <c r="L9182" s="233">
        <f>K9181</f>
        <v>56720.652222264274</v>
      </c>
      <c r="M9182" s="120">
        <v>5672.0652222264271</v>
      </c>
    </row>
    <row r="9183" spans="1:13" ht="11.25" customHeight="1" x14ac:dyDescent="0.2">
      <c r="A9183" s="222">
        <v>2025</v>
      </c>
      <c r="B9183" s="222">
        <v>7</v>
      </c>
      <c r="C9183" s="222">
        <v>10</v>
      </c>
      <c r="D9183" s="223">
        <f t="shared" si="1108"/>
        <v>45848</v>
      </c>
      <c r="E9183" s="240">
        <f t="shared" si="1122"/>
        <v>45848</v>
      </c>
      <c r="F9183" s="511" t="s">
        <v>1248</v>
      </c>
      <c r="G9183" s="225" t="s">
        <v>1245</v>
      </c>
      <c r="H9183" s="226"/>
      <c r="I9183" s="226" t="s">
        <v>1253</v>
      </c>
      <c r="J9183" s="222" t="s">
        <v>80</v>
      </c>
      <c r="K9183" s="227">
        <f>M9182</f>
        <v>5672.0652222264271</v>
      </c>
      <c r="L9183" s="227"/>
    </row>
    <row r="9184" spans="1:13" ht="11.25" customHeight="1" x14ac:dyDescent="0.2">
      <c r="A9184" s="228">
        <v>2025</v>
      </c>
      <c r="B9184" s="228">
        <v>7</v>
      </c>
      <c r="C9184" s="228">
        <v>10</v>
      </c>
      <c r="D9184" s="229">
        <f t="shared" si="1108"/>
        <v>45848</v>
      </c>
      <c r="E9184" s="241">
        <f t="shared" si="1122"/>
        <v>45848</v>
      </c>
      <c r="F9184" s="512"/>
      <c r="G9184" s="231" t="s">
        <v>1245</v>
      </c>
      <c r="H9184" s="232"/>
      <c r="I9184" s="232" t="s">
        <v>1253</v>
      </c>
      <c r="J9184" s="228" t="s">
        <v>42</v>
      </c>
      <c r="K9184" s="233"/>
      <c r="L9184" s="233">
        <f>K9183</f>
        <v>5672.0652222264271</v>
      </c>
    </row>
    <row r="9185" spans="1:13" ht="11.25" customHeight="1" x14ac:dyDescent="0.2">
      <c r="A9185" s="197">
        <v>2025</v>
      </c>
      <c r="B9185" s="197">
        <v>7</v>
      </c>
      <c r="C9185" s="197">
        <v>13</v>
      </c>
      <c r="D9185" s="198">
        <f t="shared" si="1108"/>
        <v>45851</v>
      </c>
      <c r="E9185" s="290">
        <f t="shared" si="1122"/>
        <v>45851</v>
      </c>
      <c r="F9185" s="513" t="s">
        <v>2034</v>
      </c>
      <c r="G9185" s="200" t="s">
        <v>1245</v>
      </c>
      <c r="H9185" s="201"/>
      <c r="I9185" s="201" t="s">
        <v>1253</v>
      </c>
      <c r="J9185" s="197" t="s">
        <v>46</v>
      </c>
      <c r="K9185" s="202">
        <v>305000</v>
      </c>
      <c r="L9185" s="202"/>
      <c r="M9185" s="130"/>
    </row>
    <row r="9186" spans="1:13" ht="11.25" customHeight="1" x14ac:dyDescent="0.2">
      <c r="A9186" s="191">
        <v>2025</v>
      </c>
      <c r="B9186" s="191">
        <v>7</v>
      </c>
      <c r="C9186" s="191">
        <v>13</v>
      </c>
      <c r="D9186" s="192">
        <f t="shared" si="1108"/>
        <v>45851</v>
      </c>
      <c r="E9186" s="291">
        <f t="shared" si="1122"/>
        <v>45851</v>
      </c>
      <c r="F9186" s="513"/>
      <c r="G9186" s="194" t="s">
        <v>1245</v>
      </c>
      <c r="H9186" s="195"/>
      <c r="I9186" s="195" t="s">
        <v>1253</v>
      </c>
      <c r="J9186" s="191" t="s">
        <v>113</v>
      </c>
      <c r="K9186" s="196"/>
      <c r="L9186" s="196">
        <v>305000</v>
      </c>
    </row>
    <row r="9187" spans="1:13" ht="11.25" customHeight="1" x14ac:dyDescent="0.2">
      <c r="A9187" s="197">
        <v>2025</v>
      </c>
      <c r="B9187" s="197">
        <v>7</v>
      </c>
      <c r="C9187" s="197">
        <v>13</v>
      </c>
      <c r="D9187" s="198">
        <f t="shared" si="1108"/>
        <v>45851</v>
      </c>
      <c r="E9187" s="209">
        <f t="shared" si="1122"/>
        <v>45851</v>
      </c>
      <c r="F9187" s="513" t="s">
        <v>1280</v>
      </c>
      <c r="G9187" s="200" t="s">
        <v>1209</v>
      </c>
      <c r="H9187" s="201"/>
      <c r="I9187" s="201"/>
      <c r="J9187" s="197" t="s">
        <v>16</v>
      </c>
      <c r="K9187" s="202">
        <v>6710</v>
      </c>
      <c r="L9187" s="202"/>
    </row>
    <row r="9188" spans="1:13" ht="11.25" customHeight="1" x14ac:dyDescent="0.2">
      <c r="A9188" s="120">
        <v>2025</v>
      </c>
      <c r="B9188" s="120">
        <v>7</v>
      </c>
      <c r="C9188" s="120">
        <v>13</v>
      </c>
      <c r="D9188" s="208">
        <f t="shared" si="1108"/>
        <v>45851</v>
      </c>
      <c r="E9188" s="209">
        <f t="shared" si="1122"/>
        <v>45851</v>
      </c>
      <c r="F9188" s="515"/>
      <c r="G9188" s="132" t="s">
        <v>1209</v>
      </c>
      <c r="J9188" s="120" t="s">
        <v>47</v>
      </c>
      <c r="K9188" s="207">
        <v>1752.9099999999999</v>
      </c>
      <c r="L9188" s="207"/>
    </row>
    <row r="9189" spans="1:13" ht="11.25" customHeight="1" x14ac:dyDescent="0.2">
      <c r="A9189" s="191">
        <v>2025</v>
      </c>
      <c r="B9189" s="191">
        <v>7</v>
      </c>
      <c r="C9189" s="191">
        <v>13</v>
      </c>
      <c r="D9189" s="192">
        <f t="shared" si="1108"/>
        <v>45851</v>
      </c>
      <c r="E9189" s="193">
        <f t="shared" si="1122"/>
        <v>45851</v>
      </c>
      <c r="F9189" s="514"/>
      <c r="G9189" s="194" t="s">
        <v>1209</v>
      </c>
      <c r="H9189" s="195"/>
      <c r="I9189" s="195"/>
      <c r="J9189" s="191" t="s">
        <v>46</v>
      </c>
      <c r="K9189" s="196"/>
      <c r="L9189" s="196">
        <v>8462.91</v>
      </c>
    </row>
    <row r="9190" spans="1:13" ht="11.25" customHeight="1" x14ac:dyDescent="0.2">
      <c r="A9190" s="197">
        <v>2025</v>
      </c>
      <c r="B9190" s="197">
        <v>7</v>
      </c>
      <c r="C9190" s="197">
        <v>13</v>
      </c>
      <c r="D9190" s="198">
        <f t="shared" si="1108"/>
        <v>45851</v>
      </c>
      <c r="E9190" s="209">
        <f t="shared" ref="E9190:E9195" si="1123">DATE(A9190,B9190,C9190)</f>
        <v>45851</v>
      </c>
      <c r="F9190" s="513" t="s">
        <v>1280</v>
      </c>
      <c r="G9190" s="200" t="s">
        <v>1209</v>
      </c>
      <c r="H9190" s="201"/>
      <c r="I9190" s="201"/>
      <c r="J9190" s="197" t="s">
        <v>16</v>
      </c>
      <c r="K9190" s="202">
        <v>262020</v>
      </c>
      <c r="L9190" s="202"/>
    </row>
    <row r="9191" spans="1:13" ht="11.25" customHeight="1" x14ac:dyDescent="0.2">
      <c r="A9191" s="120">
        <v>2025</v>
      </c>
      <c r="B9191" s="120">
        <v>7</v>
      </c>
      <c r="C9191" s="120">
        <v>13</v>
      </c>
      <c r="D9191" s="208">
        <f t="shared" si="1108"/>
        <v>45851</v>
      </c>
      <c r="E9191" s="209">
        <f t="shared" si="1123"/>
        <v>45851</v>
      </c>
      <c r="F9191" s="515"/>
      <c r="G9191" s="132" t="s">
        <v>1209</v>
      </c>
      <c r="J9191" s="120" t="s">
        <v>47</v>
      </c>
      <c r="K9191" s="207">
        <v>68413.419999999984</v>
      </c>
      <c r="L9191" s="207"/>
    </row>
    <row r="9192" spans="1:13" ht="11.25" customHeight="1" x14ac:dyDescent="0.2">
      <c r="A9192" s="191">
        <v>2025</v>
      </c>
      <c r="B9192" s="191">
        <v>7</v>
      </c>
      <c r="C9192" s="191">
        <v>13</v>
      </c>
      <c r="D9192" s="192">
        <f t="shared" si="1108"/>
        <v>45851</v>
      </c>
      <c r="E9192" s="193">
        <f t="shared" si="1123"/>
        <v>45851</v>
      </c>
      <c r="F9192" s="514"/>
      <c r="G9192" s="194" t="s">
        <v>1209</v>
      </c>
      <c r="H9192" s="195"/>
      <c r="I9192" s="195"/>
      <c r="J9192" s="191" t="s">
        <v>46</v>
      </c>
      <c r="K9192" s="196"/>
      <c r="L9192" s="196">
        <v>330433.42</v>
      </c>
    </row>
    <row r="9193" spans="1:13" ht="11.25" customHeight="1" x14ac:dyDescent="0.2">
      <c r="A9193" s="197">
        <v>2025</v>
      </c>
      <c r="B9193" s="197">
        <v>7</v>
      </c>
      <c r="C9193" s="197">
        <v>13</v>
      </c>
      <c r="D9193" s="198">
        <f t="shared" si="1108"/>
        <v>45851</v>
      </c>
      <c r="E9193" s="209">
        <f t="shared" si="1123"/>
        <v>45851</v>
      </c>
      <c r="F9193" s="513" t="s">
        <v>1280</v>
      </c>
      <c r="G9193" s="200" t="s">
        <v>1209</v>
      </c>
      <c r="H9193" s="201"/>
      <c r="I9193" s="201"/>
      <c r="J9193" s="197" t="s">
        <v>16</v>
      </c>
      <c r="K9193" s="202">
        <v>317180</v>
      </c>
      <c r="L9193" s="202"/>
    </row>
    <row r="9194" spans="1:13" ht="11.25" customHeight="1" x14ac:dyDescent="0.2">
      <c r="A9194" s="120">
        <v>2025</v>
      </c>
      <c r="B9194" s="120">
        <v>7</v>
      </c>
      <c r="C9194" s="120">
        <v>13</v>
      </c>
      <c r="D9194" s="208">
        <f t="shared" si="1108"/>
        <v>45851</v>
      </c>
      <c r="E9194" s="209">
        <f t="shared" si="1123"/>
        <v>45851</v>
      </c>
      <c r="F9194" s="515"/>
      <c r="G9194" s="132" t="s">
        <v>1209</v>
      </c>
      <c r="J9194" s="120" t="s">
        <v>47</v>
      </c>
      <c r="K9194" s="207">
        <v>82820</v>
      </c>
      <c r="L9194" s="207"/>
    </row>
    <row r="9195" spans="1:13" ht="11.25" customHeight="1" x14ac:dyDescent="0.2">
      <c r="A9195" s="191">
        <v>2025</v>
      </c>
      <c r="B9195" s="191">
        <v>7</v>
      </c>
      <c r="C9195" s="191">
        <v>13</v>
      </c>
      <c r="D9195" s="192">
        <f t="shared" si="1108"/>
        <v>45851</v>
      </c>
      <c r="E9195" s="193">
        <f t="shared" si="1123"/>
        <v>45851</v>
      </c>
      <c r="F9195" s="514"/>
      <c r="G9195" s="194" t="s">
        <v>1209</v>
      </c>
      <c r="H9195" s="195"/>
      <c r="I9195" s="195"/>
      <c r="J9195" s="191" t="s">
        <v>46</v>
      </c>
      <c r="K9195" s="196"/>
      <c r="L9195" s="196">
        <v>400000</v>
      </c>
    </row>
    <row r="9196" spans="1:13" ht="11.25" customHeight="1" x14ac:dyDescent="0.2">
      <c r="A9196" s="197">
        <v>2025</v>
      </c>
      <c r="B9196" s="197">
        <v>7</v>
      </c>
      <c r="C9196" s="197">
        <v>13</v>
      </c>
      <c r="D9196" s="198">
        <f t="shared" ref="D9196:D9259" si="1124">DATE(A9196,B9196,C9196)</f>
        <v>45851</v>
      </c>
      <c r="E9196" s="209">
        <f t="shared" ref="E9196:E9198" si="1125">DATE(A9196,B9196,C9196)</f>
        <v>45851</v>
      </c>
      <c r="F9196" s="513" t="s">
        <v>1280</v>
      </c>
      <c r="G9196" s="200" t="s">
        <v>1209</v>
      </c>
      <c r="H9196" s="201"/>
      <c r="I9196" s="201"/>
      <c r="J9196" s="197" t="s">
        <v>16</v>
      </c>
      <c r="K9196" s="202">
        <v>398690</v>
      </c>
      <c r="L9196" s="202"/>
    </row>
    <row r="9197" spans="1:13" ht="11.25" customHeight="1" x14ac:dyDescent="0.2">
      <c r="A9197" s="120">
        <v>2025</v>
      </c>
      <c r="B9197" s="120">
        <v>7</v>
      </c>
      <c r="C9197" s="120">
        <v>13</v>
      </c>
      <c r="D9197" s="208">
        <f t="shared" si="1124"/>
        <v>45851</v>
      </c>
      <c r="E9197" s="209">
        <f t="shared" si="1125"/>
        <v>45851</v>
      </c>
      <c r="F9197" s="515"/>
      <c r="G9197" s="132" t="s">
        <v>1209</v>
      </c>
      <c r="J9197" s="120" t="s">
        <v>47</v>
      </c>
      <c r="K9197" s="207">
        <v>104097.96000000002</v>
      </c>
      <c r="L9197" s="207"/>
    </row>
    <row r="9198" spans="1:13" ht="11.25" customHeight="1" x14ac:dyDescent="0.2">
      <c r="A9198" s="191">
        <v>2025</v>
      </c>
      <c r="B9198" s="191">
        <v>7</v>
      </c>
      <c r="C9198" s="191">
        <v>13</v>
      </c>
      <c r="D9198" s="192">
        <f t="shared" si="1124"/>
        <v>45851</v>
      </c>
      <c r="E9198" s="193">
        <f t="shared" si="1125"/>
        <v>45851</v>
      </c>
      <c r="F9198" s="514"/>
      <c r="G9198" s="194" t="s">
        <v>1209</v>
      </c>
      <c r="H9198" s="195"/>
      <c r="I9198" s="195"/>
      <c r="J9198" s="191" t="s">
        <v>46</v>
      </c>
      <c r="K9198" s="196"/>
      <c r="L9198" s="196">
        <v>502787.96</v>
      </c>
    </row>
    <row r="9199" spans="1:13" ht="11.25" customHeight="1" x14ac:dyDescent="0.2">
      <c r="A9199" s="197">
        <v>2025</v>
      </c>
      <c r="B9199" s="197">
        <v>7</v>
      </c>
      <c r="C9199" s="197">
        <v>13</v>
      </c>
      <c r="D9199" s="198">
        <f t="shared" si="1124"/>
        <v>45851</v>
      </c>
      <c r="E9199" s="209">
        <f t="shared" ref="E9199:E9203" si="1126">DATE(A9199,B9199,C9199)</f>
        <v>45851</v>
      </c>
      <c r="F9199" s="513" t="s">
        <v>1280</v>
      </c>
      <c r="G9199" s="200" t="s">
        <v>1209</v>
      </c>
      <c r="H9199" s="201"/>
      <c r="I9199" s="201"/>
      <c r="J9199" s="197" t="s">
        <v>16</v>
      </c>
      <c r="K9199" s="202">
        <v>277540</v>
      </c>
      <c r="L9199" s="202"/>
    </row>
    <row r="9200" spans="1:13" ht="11.25" customHeight="1" x14ac:dyDescent="0.2">
      <c r="A9200" s="120">
        <v>2025</v>
      </c>
      <c r="B9200" s="120">
        <v>7</v>
      </c>
      <c r="C9200" s="120">
        <v>13</v>
      </c>
      <c r="D9200" s="208">
        <f t="shared" si="1124"/>
        <v>45851</v>
      </c>
      <c r="E9200" s="209">
        <f t="shared" si="1126"/>
        <v>45851</v>
      </c>
      <c r="F9200" s="515"/>
      <c r="G9200" s="132" t="s">
        <v>1209</v>
      </c>
      <c r="J9200" s="120" t="s">
        <v>47</v>
      </c>
      <c r="K9200" s="207">
        <v>72460</v>
      </c>
      <c r="L9200" s="207"/>
    </row>
    <row r="9201" spans="1:15" ht="11.25" customHeight="1" x14ac:dyDescent="0.2">
      <c r="A9201" s="191">
        <v>2025</v>
      </c>
      <c r="B9201" s="191">
        <v>7</v>
      </c>
      <c r="C9201" s="191">
        <v>13</v>
      </c>
      <c r="D9201" s="192">
        <f t="shared" si="1124"/>
        <v>45851</v>
      </c>
      <c r="E9201" s="193">
        <f t="shared" si="1126"/>
        <v>45851</v>
      </c>
      <c r="F9201" s="514"/>
      <c r="G9201" s="194" t="s">
        <v>1209</v>
      </c>
      <c r="H9201" s="195"/>
      <c r="I9201" s="195"/>
      <c r="J9201" s="191" t="s">
        <v>46</v>
      </c>
      <c r="K9201" s="196"/>
      <c r="L9201" s="196">
        <v>350000</v>
      </c>
    </row>
    <row r="9202" spans="1:15" ht="11.25" customHeight="1" x14ac:dyDescent="0.2">
      <c r="A9202" s="197">
        <v>2025</v>
      </c>
      <c r="B9202" s="197">
        <v>7</v>
      </c>
      <c r="C9202" s="197">
        <v>13</v>
      </c>
      <c r="D9202" s="198">
        <f t="shared" si="1124"/>
        <v>45851</v>
      </c>
      <c r="E9202" s="290">
        <f t="shared" si="1126"/>
        <v>45851</v>
      </c>
      <c r="F9202" s="513" t="s">
        <v>1514</v>
      </c>
      <c r="G9202" s="200" t="s">
        <v>1209</v>
      </c>
      <c r="H9202" s="201"/>
      <c r="I9202" s="201"/>
      <c r="J9202" s="197" t="s">
        <v>54</v>
      </c>
      <c r="K9202" s="202">
        <v>58</v>
      </c>
      <c r="L9202" s="202"/>
      <c r="M9202" s="251"/>
      <c r="N9202" s="251"/>
      <c r="O9202" s="251"/>
    </row>
    <row r="9203" spans="1:15" ht="11.25" customHeight="1" x14ac:dyDescent="0.2">
      <c r="A9203" s="191">
        <v>2025</v>
      </c>
      <c r="B9203" s="191">
        <v>7</v>
      </c>
      <c r="C9203" s="191">
        <v>13</v>
      </c>
      <c r="D9203" s="192">
        <f t="shared" si="1124"/>
        <v>45851</v>
      </c>
      <c r="E9203" s="291">
        <f t="shared" si="1126"/>
        <v>45851</v>
      </c>
      <c r="F9203" s="514"/>
      <c r="G9203" s="194" t="s">
        <v>1209</v>
      </c>
      <c r="H9203" s="195"/>
      <c r="I9203" s="195"/>
      <c r="J9203" s="191" t="s">
        <v>46</v>
      </c>
      <c r="K9203" s="196"/>
      <c r="L9203" s="196">
        <v>58</v>
      </c>
      <c r="M9203" s="251"/>
    </row>
    <row r="9204" spans="1:15" ht="11.25" customHeight="1" x14ac:dyDescent="0.2">
      <c r="A9204" s="197">
        <v>2025</v>
      </c>
      <c r="B9204" s="197">
        <v>7</v>
      </c>
      <c r="C9204" s="197">
        <v>14</v>
      </c>
      <c r="D9204" s="198">
        <f t="shared" si="1124"/>
        <v>45852</v>
      </c>
      <c r="E9204" s="199">
        <f t="shared" si="1122"/>
        <v>45852</v>
      </c>
      <c r="F9204" s="513" t="s">
        <v>2062</v>
      </c>
      <c r="G9204" s="200" t="s">
        <v>1209</v>
      </c>
      <c r="H9204" s="201"/>
      <c r="I9204" s="201" t="s">
        <v>1253</v>
      </c>
      <c r="J9204" s="197" t="s">
        <v>70</v>
      </c>
      <c r="K9204" s="202">
        <v>25000000</v>
      </c>
      <c r="L9204" s="202"/>
    </row>
    <row r="9205" spans="1:15" ht="11.25" customHeight="1" x14ac:dyDescent="0.2">
      <c r="A9205" s="191">
        <v>2025</v>
      </c>
      <c r="B9205" s="191">
        <v>7</v>
      </c>
      <c r="C9205" s="191">
        <v>14</v>
      </c>
      <c r="D9205" s="192">
        <f t="shared" si="1124"/>
        <v>45852</v>
      </c>
      <c r="E9205" s="193">
        <f t="shared" si="1122"/>
        <v>45852</v>
      </c>
      <c r="F9205" s="514"/>
      <c r="G9205" s="194" t="s">
        <v>1209</v>
      </c>
      <c r="H9205" s="195"/>
      <c r="I9205" s="195" t="s">
        <v>1253</v>
      </c>
      <c r="J9205" s="191" t="s">
        <v>46</v>
      </c>
      <c r="K9205" s="196"/>
      <c r="L9205" s="196">
        <v>25000000</v>
      </c>
      <c r="N9205" s="130"/>
    </row>
    <row r="9206" spans="1:15" ht="11.25" customHeight="1" x14ac:dyDescent="0.2">
      <c r="A9206" s="197">
        <v>2025</v>
      </c>
      <c r="B9206" s="197">
        <v>7</v>
      </c>
      <c r="C9206" s="197">
        <v>14</v>
      </c>
      <c r="D9206" s="198">
        <f t="shared" si="1124"/>
        <v>45852</v>
      </c>
      <c r="E9206" s="290">
        <f t="shared" si="1122"/>
        <v>45852</v>
      </c>
      <c r="F9206" s="513" t="s">
        <v>1514</v>
      </c>
      <c r="G9206" s="200" t="s">
        <v>1209</v>
      </c>
      <c r="H9206" s="201"/>
      <c r="I9206" s="201"/>
      <c r="J9206" s="197" t="s">
        <v>54</v>
      </c>
      <c r="K9206" s="202">
        <v>100</v>
      </c>
      <c r="L9206" s="202"/>
      <c r="M9206" s="251"/>
      <c r="N9206" s="251"/>
      <c r="O9206" s="251"/>
    </row>
    <row r="9207" spans="1:15" ht="11.25" customHeight="1" x14ac:dyDescent="0.2">
      <c r="A9207" s="191">
        <v>2025</v>
      </c>
      <c r="B9207" s="191">
        <v>7</v>
      </c>
      <c r="C9207" s="191">
        <v>14</v>
      </c>
      <c r="D9207" s="192">
        <f t="shared" si="1124"/>
        <v>45852</v>
      </c>
      <c r="E9207" s="291">
        <f t="shared" si="1122"/>
        <v>45852</v>
      </c>
      <c r="F9207" s="514"/>
      <c r="G9207" s="194" t="s">
        <v>1209</v>
      </c>
      <c r="H9207" s="195"/>
      <c r="I9207" s="195"/>
      <c r="J9207" s="191" t="s">
        <v>46</v>
      </c>
      <c r="K9207" s="196"/>
      <c r="L9207" s="196">
        <v>100</v>
      </c>
      <c r="M9207" s="251"/>
    </row>
    <row r="9208" spans="1:15" ht="11.25" customHeight="1" x14ac:dyDescent="0.2">
      <c r="A9208" s="197">
        <v>2025</v>
      </c>
      <c r="B9208" s="197">
        <v>7</v>
      </c>
      <c r="C9208" s="197">
        <v>14</v>
      </c>
      <c r="D9208" s="198">
        <f t="shared" si="1124"/>
        <v>45852</v>
      </c>
      <c r="E9208" s="209">
        <f t="shared" si="1122"/>
        <v>45852</v>
      </c>
      <c r="F9208" s="513" t="s">
        <v>1280</v>
      </c>
      <c r="G9208" s="200" t="s">
        <v>1209</v>
      </c>
      <c r="H9208" s="201"/>
      <c r="I9208" s="201"/>
      <c r="J9208" s="197" t="s">
        <v>16</v>
      </c>
      <c r="K9208" s="202">
        <v>199350</v>
      </c>
      <c r="L9208" s="202"/>
    </row>
    <row r="9209" spans="1:15" ht="11.25" customHeight="1" x14ac:dyDescent="0.2">
      <c r="A9209" s="120">
        <v>2025</v>
      </c>
      <c r="B9209" s="120">
        <v>7</v>
      </c>
      <c r="C9209" s="120">
        <v>14</v>
      </c>
      <c r="D9209" s="208">
        <f t="shared" si="1124"/>
        <v>45852</v>
      </c>
      <c r="E9209" s="209">
        <f t="shared" si="1122"/>
        <v>45852</v>
      </c>
      <c r="F9209" s="515"/>
      <c r="G9209" s="132" t="s">
        <v>1209</v>
      </c>
      <c r="J9209" s="120" t="s">
        <v>47</v>
      </c>
      <c r="K9209" s="207">
        <v>52050.290000000008</v>
      </c>
      <c r="L9209" s="207"/>
    </row>
    <row r="9210" spans="1:15" ht="11.25" customHeight="1" x14ac:dyDescent="0.2">
      <c r="A9210" s="191">
        <v>2025</v>
      </c>
      <c r="B9210" s="191">
        <v>7</v>
      </c>
      <c r="C9210" s="191">
        <v>14</v>
      </c>
      <c r="D9210" s="192">
        <f t="shared" si="1124"/>
        <v>45852</v>
      </c>
      <c r="E9210" s="193">
        <f t="shared" si="1122"/>
        <v>45852</v>
      </c>
      <c r="F9210" s="514"/>
      <c r="G9210" s="194" t="s">
        <v>1209</v>
      </c>
      <c r="H9210" s="195"/>
      <c r="I9210" s="195"/>
      <c r="J9210" s="191" t="s">
        <v>46</v>
      </c>
      <c r="K9210" s="196"/>
      <c r="L9210" s="196">
        <v>251400.29</v>
      </c>
    </row>
    <row r="9211" spans="1:15" ht="11.25" customHeight="1" x14ac:dyDescent="0.2">
      <c r="A9211" s="197">
        <v>2025</v>
      </c>
      <c r="B9211" s="197">
        <v>7</v>
      </c>
      <c r="C9211" s="197">
        <v>14</v>
      </c>
      <c r="D9211" s="198">
        <f t="shared" si="1124"/>
        <v>45852</v>
      </c>
      <c r="E9211" s="209">
        <f t="shared" ref="E9211:E9216" si="1127">DATE(A9211,B9211,C9211)</f>
        <v>45852</v>
      </c>
      <c r="F9211" s="513" t="s">
        <v>1280</v>
      </c>
      <c r="G9211" s="200" t="s">
        <v>1209</v>
      </c>
      <c r="H9211" s="201"/>
      <c r="I9211" s="201"/>
      <c r="J9211" s="197" t="s">
        <v>16</v>
      </c>
      <c r="K9211" s="202">
        <v>159480</v>
      </c>
      <c r="L9211" s="202"/>
    </row>
    <row r="9212" spans="1:15" ht="11.25" customHeight="1" x14ac:dyDescent="0.2">
      <c r="A9212" s="120">
        <v>2025</v>
      </c>
      <c r="B9212" s="120">
        <v>7</v>
      </c>
      <c r="C9212" s="120">
        <v>14</v>
      </c>
      <c r="D9212" s="208">
        <f t="shared" si="1124"/>
        <v>45852</v>
      </c>
      <c r="E9212" s="209">
        <f t="shared" si="1127"/>
        <v>45852</v>
      </c>
      <c r="F9212" s="515"/>
      <c r="G9212" s="132" t="s">
        <v>1209</v>
      </c>
      <c r="J9212" s="120" t="s">
        <v>47</v>
      </c>
      <c r="K9212" s="207">
        <v>41640.23000000001</v>
      </c>
      <c r="L9212" s="207"/>
    </row>
    <row r="9213" spans="1:15" ht="11.25" customHeight="1" x14ac:dyDescent="0.2">
      <c r="A9213" s="191">
        <v>2025</v>
      </c>
      <c r="B9213" s="191">
        <v>7</v>
      </c>
      <c r="C9213" s="191">
        <v>14</v>
      </c>
      <c r="D9213" s="192">
        <f t="shared" si="1124"/>
        <v>45852</v>
      </c>
      <c r="E9213" s="193">
        <f t="shared" si="1127"/>
        <v>45852</v>
      </c>
      <c r="F9213" s="514"/>
      <c r="G9213" s="194" t="s">
        <v>1209</v>
      </c>
      <c r="H9213" s="195"/>
      <c r="I9213" s="195"/>
      <c r="J9213" s="191" t="s">
        <v>46</v>
      </c>
      <c r="K9213" s="196"/>
      <c r="L9213" s="196">
        <v>201120.23</v>
      </c>
    </row>
    <row r="9214" spans="1:15" ht="11.25" customHeight="1" x14ac:dyDescent="0.2">
      <c r="A9214" s="197">
        <v>2025</v>
      </c>
      <c r="B9214" s="197">
        <v>7</v>
      </c>
      <c r="C9214" s="197">
        <v>14</v>
      </c>
      <c r="D9214" s="198">
        <f t="shared" si="1124"/>
        <v>45852</v>
      </c>
      <c r="E9214" s="209">
        <f t="shared" si="1127"/>
        <v>45852</v>
      </c>
      <c r="F9214" s="513" t="s">
        <v>1210</v>
      </c>
      <c r="G9214" s="200" t="s">
        <v>1209</v>
      </c>
      <c r="H9214" s="201"/>
      <c r="I9214" s="201"/>
      <c r="J9214" s="197" t="s">
        <v>46</v>
      </c>
      <c r="K9214" s="202">
        <v>2050000</v>
      </c>
      <c r="L9214" s="202"/>
    </row>
    <row r="9215" spans="1:15" ht="11.25" customHeight="1" x14ac:dyDescent="0.2">
      <c r="A9215" s="120">
        <v>2025</v>
      </c>
      <c r="B9215" s="120">
        <v>7</v>
      </c>
      <c r="C9215" s="120">
        <v>14</v>
      </c>
      <c r="D9215" s="208">
        <f t="shared" si="1124"/>
        <v>45852</v>
      </c>
      <c r="E9215" s="209">
        <f t="shared" si="1127"/>
        <v>45852</v>
      </c>
      <c r="F9215" s="515"/>
      <c r="G9215" s="132" t="s">
        <v>1209</v>
      </c>
      <c r="J9215" s="120" t="s">
        <v>16</v>
      </c>
      <c r="K9215" s="207"/>
      <c r="L9215" s="207">
        <v>1625560</v>
      </c>
    </row>
    <row r="9216" spans="1:15" ht="11.25" customHeight="1" x14ac:dyDescent="0.2">
      <c r="A9216" s="191">
        <v>2025</v>
      </c>
      <c r="B9216" s="191">
        <v>7</v>
      </c>
      <c r="C9216" s="191">
        <v>14</v>
      </c>
      <c r="D9216" s="192">
        <f t="shared" si="1124"/>
        <v>45852</v>
      </c>
      <c r="E9216" s="193">
        <f t="shared" si="1127"/>
        <v>45852</v>
      </c>
      <c r="F9216" s="514"/>
      <c r="G9216" s="194" t="s">
        <v>1209</v>
      </c>
      <c r="H9216" s="195"/>
      <c r="I9216" s="195"/>
      <c r="J9216" s="191" t="s">
        <v>47</v>
      </c>
      <c r="K9216" s="196"/>
      <c r="L9216" s="196">
        <v>424440</v>
      </c>
    </row>
    <row r="9217" spans="1:15" ht="11.25" customHeight="1" x14ac:dyDescent="0.2">
      <c r="A9217" s="197">
        <v>2025</v>
      </c>
      <c r="B9217" s="197">
        <v>7</v>
      </c>
      <c r="C9217" s="197">
        <v>14</v>
      </c>
      <c r="D9217" s="198">
        <f t="shared" si="1124"/>
        <v>45852</v>
      </c>
      <c r="E9217" s="209">
        <f t="shared" ref="E9217:E9224" si="1128">DATE(A9217,B9217,C9217)</f>
        <v>45852</v>
      </c>
      <c r="F9217" s="513" t="s">
        <v>1280</v>
      </c>
      <c r="G9217" s="200" t="s">
        <v>1209</v>
      </c>
      <c r="H9217" s="201"/>
      <c r="I9217" s="201"/>
      <c r="J9217" s="197" t="s">
        <v>16</v>
      </c>
      <c r="K9217" s="202">
        <v>396480</v>
      </c>
      <c r="L9217" s="202"/>
    </row>
    <row r="9218" spans="1:15" ht="11.25" customHeight="1" x14ac:dyDescent="0.2">
      <c r="A9218" s="120">
        <v>2025</v>
      </c>
      <c r="B9218" s="120">
        <v>7</v>
      </c>
      <c r="C9218" s="120">
        <v>14</v>
      </c>
      <c r="D9218" s="208">
        <f t="shared" si="1124"/>
        <v>45852</v>
      </c>
      <c r="E9218" s="209">
        <f t="shared" si="1128"/>
        <v>45852</v>
      </c>
      <c r="F9218" s="515"/>
      <c r="G9218" s="132" t="s">
        <v>1209</v>
      </c>
      <c r="J9218" s="120" t="s">
        <v>47</v>
      </c>
      <c r="K9218" s="207">
        <v>103520</v>
      </c>
      <c r="L9218" s="207"/>
    </row>
    <row r="9219" spans="1:15" ht="11.25" customHeight="1" x14ac:dyDescent="0.2">
      <c r="A9219" s="191">
        <v>2025</v>
      </c>
      <c r="B9219" s="191">
        <v>7</v>
      </c>
      <c r="C9219" s="191">
        <v>14</v>
      </c>
      <c r="D9219" s="192">
        <f t="shared" si="1124"/>
        <v>45852</v>
      </c>
      <c r="E9219" s="193">
        <f t="shared" si="1128"/>
        <v>45852</v>
      </c>
      <c r="F9219" s="514"/>
      <c r="G9219" s="194" t="s">
        <v>1209</v>
      </c>
      <c r="H9219" s="195"/>
      <c r="I9219" s="195"/>
      <c r="J9219" s="191" t="s">
        <v>46</v>
      </c>
      <c r="K9219" s="196"/>
      <c r="L9219" s="196">
        <v>500000</v>
      </c>
    </row>
    <row r="9220" spans="1:15" ht="11.25" customHeight="1" x14ac:dyDescent="0.2">
      <c r="A9220" s="197">
        <v>2025</v>
      </c>
      <c r="B9220" s="197">
        <v>7</v>
      </c>
      <c r="C9220" s="197">
        <v>14</v>
      </c>
      <c r="D9220" s="198">
        <f t="shared" si="1124"/>
        <v>45852</v>
      </c>
      <c r="E9220" s="209">
        <f t="shared" si="1128"/>
        <v>45852</v>
      </c>
      <c r="F9220" s="513" t="s">
        <v>1210</v>
      </c>
      <c r="G9220" s="200" t="s">
        <v>1209</v>
      </c>
      <c r="H9220" s="201"/>
      <c r="I9220" s="201"/>
      <c r="J9220" s="197" t="s">
        <v>46</v>
      </c>
      <c r="K9220" s="202">
        <v>20629000</v>
      </c>
      <c r="L9220" s="202"/>
    </row>
    <row r="9221" spans="1:15" ht="11.25" customHeight="1" x14ac:dyDescent="0.2">
      <c r="A9221" s="120">
        <v>2025</v>
      </c>
      <c r="B9221" s="120">
        <v>7</v>
      </c>
      <c r="C9221" s="120">
        <v>14</v>
      </c>
      <c r="D9221" s="208">
        <f t="shared" si="1124"/>
        <v>45852</v>
      </c>
      <c r="E9221" s="209">
        <f t="shared" si="1128"/>
        <v>45852</v>
      </c>
      <c r="F9221" s="515"/>
      <c r="G9221" s="132" t="s">
        <v>1209</v>
      </c>
      <c r="J9221" s="120" t="s">
        <v>16</v>
      </c>
      <c r="K9221" s="207"/>
      <c r="L9221" s="207">
        <v>16357940</v>
      </c>
    </row>
    <row r="9222" spans="1:15" ht="11.25" customHeight="1" x14ac:dyDescent="0.2">
      <c r="A9222" s="191">
        <v>2025</v>
      </c>
      <c r="B9222" s="191">
        <v>7</v>
      </c>
      <c r="C9222" s="191">
        <v>14</v>
      </c>
      <c r="D9222" s="192">
        <f t="shared" si="1124"/>
        <v>45852</v>
      </c>
      <c r="E9222" s="193">
        <f t="shared" si="1128"/>
        <v>45852</v>
      </c>
      <c r="F9222" s="514"/>
      <c r="G9222" s="194" t="s">
        <v>1209</v>
      </c>
      <c r="H9222" s="195"/>
      <c r="I9222" s="195"/>
      <c r="J9222" s="191" t="s">
        <v>47</v>
      </c>
      <c r="K9222" s="196"/>
      <c r="L9222" s="196">
        <v>4271060</v>
      </c>
    </row>
    <row r="9223" spans="1:15" ht="11.25" customHeight="1" x14ac:dyDescent="0.2">
      <c r="A9223" s="197">
        <v>2025</v>
      </c>
      <c r="B9223" s="197">
        <v>7</v>
      </c>
      <c r="C9223" s="197">
        <v>14</v>
      </c>
      <c r="D9223" s="198">
        <f t="shared" si="1124"/>
        <v>45852</v>
      </c>
      <c r="E9223" s="290">
        <f t="shared" si="1128"/>
        <v>45852</v>
      </c>
      <c r="F9223" s="513" t="s">
        <v>1514</v>
      </c>
      <c r="G9223" s="200" t="s">
        <v>1209</v>
      </c>
      <c r="H9223" s="201"/>
      <c r="I9223" s="201"/>
      <c r="J9223" s="197" t="s">
        <v>54</v>
      </c>
      <c r="K9223" s="202">
        <v>116</v>
      </c>
      <c r="L9223" s="202"/>
      <c r="M9223" s="251"/>
      <c r="N9223" s="251"/>
      <c r="O9223" s="251"/>
    </row>
    <row r="9224" spans="1:15" ht="11.25" customHeight="1" x14ac:dyDescent="0.2">
      <c r="A9224" s="191">
        <v>2025</v>
      </c>
      <c r="B9224" s="191">
        <v>7</v>
      </c>
      <c r="C9224" s="191">
        <v>14</v>
      </c>
      <c r="D9224" s="192">
        <f t="shared" si="1124"/>
        <v>45852</v>
      </c>
      <c r="E9224" s="291">
        <f t="shared" si="1128"/>
        <v>45852</v>
      </c>
      <c r="F9224" s="514"/>
      <c r="G9224" s="194" t="s">
        <v>1209</v>
      </c>
      <c r="H9224" s="195"/>
      <c r="I9224" s="195"/>
      <c r="J9224" s="191" t="s">
        <v>46</v>
      </c>
      <c r="K9224" s="196"/>
      <c r="L9224" s="196">
        <v>116</v>
      </c>
      <c r="M9224" s="251"/>
    </row>
    <row r="9225" spans="1:15" ht="11.25" customHeight="1" x14ac:dyDescent="0.2">
      <c r="A9225" s="197">
        <v>2025</v>
      </c>
      <c r="B9225" s="197">
        <v>7</v>
      </c>
      <c r="C9225" s="197">
        <v>15</v>
      </c>
      <c r="D9225" s="198">
        <f t="shared" si="1124"/>
        <v>45853</v>
      </c>
      <c r="E9225" s="199">
        <f t="shared" ref="E9225:E9236" si="1129">DATE(A9225,B9225,C9225)</f>
        <v>45853</v>
      </c>
      <c r="F9225" s="513" t="s">
        <v>2062</v>
      </c>
      <c r="G9225" s="200" t="s">
        <v>1209</v>
      </c>
      <c r="H9225" s="201"/>
      <c r="I9225" s="201" t="s">
        <v>1253</v>
      </c>
      <c r="J9225" s="197" t="s">
        <v>70</v>
      </c>
      <c r="K9225" s="202">
        <v>17500000</v>
      </c>
      <c r="L9225" s="202"/>
    </row>
    <row r="9226" spans="1:15" ht="11.25" customHeight="1" x14ac:dyDescent="0.2">
      <c r="A9226" s="191">
        <v>2025</v>
      </c>
      <c r="B9226" s="191">
        <v>7</v>
      </c>
      <c r="C9226" s="191">
        <v>15</v>
      </c>
      <c r="D9226" s="192">
        <f t="shared" si="1124"/>
        <v>45853</v>
      </c>
      <c r="E9226" s="193">
        <f t="shared" si="1129"/>
        <v>45853</v>
      </c>
      <c r="F9226" s="514"/>
      <c r="G9226" s="194" t="s">
        <v>1209</v>
      </c>
      <c r="H9226" s="195"/>
      <c r="I9226" s="195" t="s">
        <v>1253</v>
      </c>
      <c r="J9226" s="191" t="s">
        <v>46</v>
      </c>
      <c r="K9226" s="196"/>
      <c r="L9226" s="196">
        <v>17500000</v>
      </c>
      <c r="N9226" s="130"/>
    </row>
    <row r="9227" spans="1:15" ht="11.25" customHeight="1" x14ac:dyDescent="0.2">
      <c r="A9227" s="197">
        <v>2025</v>
      </c>
      <c r="B9227" s="197">
        <v>7</v>
      </c>
      <c r="C9227" s="197">
        <v>15</v>
      </c>
      <c r="D9227" s="198">
        <f t="shared" si="1124"/>
        <v>45853</v>
      </c>
      <c r="E9227" s="290">
        <f t="shared" si="1129"/>
        <v>45853</v>
      </c>
      <c r="F9227" s="513" t="s">
        <v>1514</v>
      </c>
      <c r="G9227" s="200" t="s">
        <v>1209</v>
      </c>
      <c r="H9227" s="201"/>
      <c r="I9227" s="201"/>
      <c r="J9227" s="197" t="s">
        <v>54</v>
      </c>
      <c r="K9227" s="202">
        <v>100</v>
      </c>
      <c r="L9227" s="202"/>
      <c r="M9227" s="251"/>
      <c r="N9227" s="251"/>
      <c r="O9227" s="251"/>
    </row>
    <row r="9228" spans="1:15" ht="11.25" customHeight="1" x14ac:dyDescent="0.2">
      <c r="A9228" s="191">
        <v>2025</v>
      </c>
      <c r="B9228" s="191">
        <v>7</v>
      </c>
      <c r="C9228" s="191">
        <v>15</v>
      </c>
      <c r="D9228" s="192">
        <f t="shared" si="1124"/>
        <v>45853</v>
      </c>
      <c r="E9228" s="291">
        <f t="shared" si="1129"/>
        <v>45853</v>
      </c>
      <c r="F9228" s="514"/>
      <c r="G9228" s="194" t="s">
        <v>1209</v>
      </c>
      <c r="H9228" s="195"/>
      <c r="I9228" s="195"/>
      <c r="J9228" s="191" t="s">
        <v>46</v>
      </c>
      <c r="K9228" s="196"/>
      <c r="L9228" s="196">
        <v>100</v>
      </c>
      <c r="M9228" s="251"/>
    </row>
    <row r="9229" spans="1:15" x14ac:dyDescent="0.2">
      <c r="A9229" s="197">
        <v>2025</v>
      </c>
      <c r="B9229" s="197">
        <v>7</v>
      </c>
      <c r="C9229" s="197">
        <v>15</v>
      </c>
      <c r="D9229" s="198">
        <f t="shared" si="1124"/>
        <v>45853</v>
      </c>
      <c r="E9229" s="209">
        <f t="shared" si="1129"/>
        <v>45853</v>
      </c>
      <c r="F9229" s="513" t="s">
        <v>1296</v>
      </c>
      <c r="G9229" s="200" t="s">
        <v>1209</v>
      </c>
      <c r="H9229" s="201"/>
      <c r="I9229" s="201"/>
      <c r="J9229" s="197" t="s">
        <v>46</v>
      </c>
      <c r="K9229" s="202">
        <v>104000</v>
      </c>
      <c r="L9229" s="202"/>
    </row>
    <row r="9230" spans="1:15" x14ac:dyDescent="0.2">
      <c r="A9230" s="120">
        <v>2025</v>
      </c>
      <c r="B9230" s="120">
        <v>7</v>
      </c>
      <c r="C9230" s="120">
        <v>15</v>
      </c>
      <c r="D9230" s="208">
        <f t="shared" si="1124"/>
        <v>45853</v>
      </c>
      <c r="E9230" s="209">
        <f t="shared" si="1129"/>
        <v>45853</v>
      </c>
      <c r="F9230" s="515"/>
      <c r="G9230" s="132" t="s">
        <v>1209</v>
      </c>
      <c r="J9230" s="120" t="s">
        <v>16</v>
      </c>
      <c r="K9230" s="207"/>
      <c r="L9230" s="207">
        <v>82470</v>
      </c>
    </row>
    <row r="9231" spans="1:15" x14ac:dyDescent="0.2">
      <c r="A9231" s="191">
        <v>2025</v>
      </c>
      <c r="B9231" s="191">
        <v>7</v>
      </c>
      <c r="C9231" s="191">
        <v>15</v>
      </c>
      <c r="D9231" s="192">
        <f t="shared" si="1124"/>
        <v>45853</v>
      </c>
      <c r="E9231" s="193">
        <f t="shared" si="1129"/>
        <v>45853</v>
      </c>
      <c r="F9231" s="514"/>
      <c r="G9231" s="194" t="s">
        <v>1209</v>
      </c>
      <c r="H9231" s="195"/>
      <c r="I9231" s="195"/>
      <c r="J9231" s="191" t="s">
        <v>47</v>
      </c>
      <c r="K9231" s="196"/>
      <c r="L9231" s="196">
        <v>21530</v>
      </c>
    </row>
    <row r="9232" spans="1:15" ht="11.25" customHeight="1" x14ac:dyDescent="0.2">
      <c r="A9232" s="197">
        <v>2025</v>
      </c>
      <c r="B9232" s="197">
        <v>7</v>
      </c>
      <c r="C9232" s="197">
        <v>16</v>
      </c>
      <c r="D9232" s="198">
        <f t="shared" si="1124"/>
        <v>45854</v>
      </c>
      <c r="E9232" s="199">
        <f t="shared" si="1129"/>
        <v>45854</v>
      </c>
      <c r="F9232" s="513" t="s">
        <v>2063</v>
      </c>
      <c r="G9232" s="200" t="s">
        <v>1209</v>
      </c>
      <c r="H9232" s="201"/>
      <c r="I9232" s="201" t="s">
        <v>1253</v>
      </c>
      <c r="J9232" s="197" t="s">
        <v>1837</v>
      </c>
      <c r="K9232" s="202">
        <v>1061336.3400000001</v>
      </c>
      <c r="L9232" s="202"/>
    </row>
    <row r="9233" spans="1:14" ht="11.25" customHeight="1" x14ac:dyDescent="0.2">
      <c r="A9233" s="191">
        <v>2025</v>
      </c>
      <c r="B9233" s="191">
        <v>7</v>
      </c>
      <c r="C9233" s="191">
        <v>16</v>
      </c>
      <c r="D9233" s="192">
        <f t="shared" si="1124"/>
        <v>45854</v>
      </c>
      <c r="E9233" s="193">
        <f t="shared" si="1129"/>
        <v>45854</v>
      </c>
      <c r="F9233" s="514"/>
      <c r="G9233" s="194" t="s">
        <v>1209</v>
      </c>
      <c r="H9233" s="195"/>
      <c r="I9233" s="195" t="s">
        <v>1253</v>
      </c>
      <c r="J9233" s="191" t="s">
        <v>46</v>
      </c>
      <c r="K9233" s="196"/>
      <c r="L9233" s="196">
        <v>1061336.3400000001</v>
      </c>
      <c r="N9233" s="130"/>
    </row>
    <row r="9234" spans="1:14" x14ac:dyDescent="0.2">
      <c r="A9234" s="197">
        <v>2025</v>
      </c>
      <c r="B9234" s="197">
        <v>7</v>
      </c>
      <c r="C9234" s="197">
        <v>16</v>
      </c>
      <c r="D9234" s="198">
        <f t="shared" si="1124"/>
        <v>45854</v>
      </c>
      <c r="E9234" s="209">
        <f t="shared" si="1129"/>
        <v>45854</v>
      </c>
      <c r="F9234" s="513" t="s">
        <v>1210</v>
      </c>
      <c r="G9234" s="200" t="s">
        <v>1209</v>
      </c>
      <c r="H9234" s="201"/>
      <c r="I9234" s="201"/>
      <c r="J9234" s="197" t="s">
        <v>46</v>
      </c>
      <c r="K9234" s="202">
        <v>200000</v>
      </c>
      <c r="L9234" s="202"/>
    </row>
    <row r="9235" spans="1:14" x14ac:dyDescent="0.2">
      <c r="A9235" s="120">
        <v>2025</v>
      </c>
      <c r="B9235" s="120">
        <v>7</v>
      </c>
      <c r="C9235" s="120">
        <v>16</v>
      </c>
      <c r="D9235" s="208">
        <f t="shared" si="1124"/>
        <v>45854</v>
      </c>
      <c r="E9235" s="209">
        <f t="shared" si="1129"/>
        <v>45854</v>
      </c>
      <c r="F9235" s="515"/>
      <c r="G9235" s="132" t="s">
        <v>1209</v>
      </c>
      <c r="J9235" s="120" t="s">
        <v>16</v>
      </c>
      <c r="K9235" s="207"/>
      <c r="L9235" s="207">
        <v>158590</v>
      </c>
    </row>
    <row r="9236" spans="1:14" x14ac:dyDescent="0.2">
      <c r="A9236" s="191">
        <v>2025</v>
      </c>
      <c r="B9236" s="191">
        <v>7</v>
      </c>
      <c r="C9236" s="191">
        <v>16</v>
      </c>
      <c r="D9236" s="192">
        <f t="shared" si="1124"/>
        <v>45854</v>
      </c>
      <c r="E9236" s="193">
        <f t="shared" si="1129"/>
        <v>45854</v>
      </c>
      <c r="F9236" s="514"/>
      <c r="G9236" s="194" t="s">
        <v>1209</v>
      </c>
      <c r="H9236" s="195"/>
      <c r="I9236" s="195"/>
      <c r="J9236" s="191" t="s">
        <v>47</v>
      </c>
      <c r="K9236" s="196"/>
      <c r="L9236" s="196">
        <v>41410</v>
      </c>
    </row>
    <row r="9237" spans="1:14" x14ac:dyDescent="0.2">
      <c r="A9237" s="197">
        <v>2025</v>
      </c>
      <c r="B9237" s="197">
        <v>7</v>
      </c>
      <c r="C9237" s="197">
        <v>16</v>
      </c>
      <c r="D9237" s="198">
        <f t="shared" si="1124"/>
        <v>45854</v>
      </c>
      <c r="E9237" s="209">
        <f t="shared" ref="E9237:E9239" si="1130">DATE(A9237,B9237,C9237)</f>
        <v>45854</v>
      </c>
      <c r="F9237" s="513" t="s">
        <v>1210</v>
      </c>
      <c r="G9237" s="200" t="s">
        <v>1209</v>
      </c>
      <c r="H9237" s="201"/>
      <c r="I9237" s="201"/>
      <c r="J9237" s="197" t="s">
        <v>46</v>
      </c>
      <c r="K9237" s="202">
        <v>135000</v>
      </c>
      <c r="L9237" s="202"/>
    </row>
    <row r="9238" spans="1:14" x14ac:dyDescent="0.2">
      <c r="A9238" s="120">
        <v>2025</v>
      </c>
      <c r="B9238" s="120">
        <v>7</v>
      </c>
      <c r="C9238" s="120">
        <v>16</v>
      </c>
      <c r="D9238" s="208">
        <f t="shared" si="1124"/>
        <v>45854</v>
      </c>
      <c r="E9238" s="209">
        <f t="shared" si="1130"/>
        <v>45854</v>
      </c>
      <c r="F9238" s="515"/>
      <c r="G9238" s="132" t="s">
        <v>1209</v>
      </c>
      <c r="J9238" s="120" t="s">
        <v>16</v>
      </c>
      <c r="K9238" s="207"/>
      <c r="L9238" s="207">
        <v>107050</v>
      </c>
    </row>
    <row r="9239" spans="1:14" x14ac:dyDescent="0.2">
      <c r="A9239" s="191">
        <v>2025</v>
      </c>
      <c r="B9239" s="191">
        <v>7</v>
      </c>
      <c r="C9239" s="191">
        <v>16</v>
      </c>
      <c r="D9239" s="192">
        <f t="shared" si="1124"/>
        <v>45854</v>
      </c>
      <c r="E9239" s="193">
        <f t="shared" si="1130"/>
        <v>45854</v>
      </c>
      <c r="F9239" s="514"/>
      <c r="G9239" s="194" t="s">
        <v>1209</v>
      </c>
      <c r="H9239" s="195"/>
      <c r="I9239" s="195"/>
      <c r="J9239" s="191" t="s">
        <v>47</v>
      </c>
      <c r="K9239" s="196"/>
      <c r="L9239" s="196">
        <v>27950</v>
      </c>
    </row>
    <row r="9240" spans="1:14" x14ac:dyDescent="0.2">
      <c r="A9240" s="197">
        <v>2025</v>
      </c>
      <c r="B9240" s="197">
        <v>7</v>
      </c>
      <c r="C9240" s="197">
        <v>16</v>
      </c>
      <c r="D9240" s="198">
        <f t="shared" si="1124"/>
        <v>45854</v>
      </c>
      <c r="E9240" s="209">
        <f t="shared" ref="E9240:E9257" si="1131">DATE(A9240,B9240,C9240)</f>
        <v>45854</v>
      </c>
      <c r="F9240" s="513" t="s">
        <v>1210</v>
      </c>
      <c r="G9240" s="200" t="s">
        <v>1209</v>
      </c>
      <c r="H9240" s="201"/>
      <c r="I9240" s="201"/>
      <c r="J9240" s="197" t="s">
        <v>46</v>
      </c>
      <c r="K9240" s="202">
        <v>882770</v>
      </c>
      <c r="L9240" s="202"/>
    </row>
    <row r="9241" spans="1:14" x14ac:dyDescent="0.2">
      <c r="A9241" s="120">
        <v>2025</v>
      </c>
      <c r="B9241" s="120">
        <v>7</v>
      </c>
      <c r="C9241" s="120">
        <v>16</v>
      </c>
      <c r="D9241" s="208">
        <f t="shared" si="1124"/>
        <v>45854</v>
      </c>
      <c r="E9241" s="209">
        <f t="shared" si="1131"/>
        <v>45854</v>
      </c>
      <c r="F9241" s="515"/>
      <c r="G9241" s="132" t="s">
        <v>1209</v>
      </c>
      <c r="J9241" s="120" t="s">
        <v>16</v>
      </c>
      <c r="K9241" s="207"/>
      <c r="L9241" s="207">
        <v>700000</v>
      </c>
    </row>
    <row r="9242" spans="1:14" x14ac:dyDescent="0.2">
      <c r="A9242" s="191">
        <v>2025</v>
      </c>
      <c r="B9242" s="191">
        <v>7</v>
      </c>
      <c r="C9242" s="191">
        <v>16</v>
      </c>
      <c r="D9242" s="192">
        <f t="shared" si="1124"/>
        <v>45854</v>
      </c>
      <c r="E9242" s="193">
        <f t="shared" si="1131"/>
        <v>45854</v>
      </c>
      <c r="F9242" s="514"/>
      <c r="G9242" s="194" t="s">
        <v>1209</v>
      </c>
      <c r="H9242" s="195"/>
      <c r="I9242" s="195"/>
      <c r="J9242" s="191" t="s">
        <v>47</v>
      </c>
      <c r="K9242" s="196"/>
      <c r="L9242" s="196">
        <v>182770</v>
      </c>
    </row>
    <row r="9243" spans="1:14" x14ac:dyDescent="0.2">
      <c r="A9243" s="197">
        <v>2025</v>
      </c>
      <c r="B9243" s="197">
        <v>7</v>
      </c>
      <c r="C9243" s="197">
        <v>16</v>
      </c>
      <c r="D9243" s="198">
        <f t="shared" si="1124"/>
        <v>45854</v>
      </c>
      <c r="E9243" s="209">
        <f t="shared" ref="E9243:E9248" si="1132">DATE(A9243,B9243,C9243)</f>
        <v>45854</v>
      </c>
      <c r="F9243" s="513" t="s">
        <v>1210</v>
      </c>
      <c r="G9243" s="200" t="s">
        <v>1209</v>
      </c>
      <c r="H9243" s="201"/>
      <c r="I9243" s="201"/>
      <c r="J9243" s="197" t="s">
        <v>46</v>
      </c>
      <c r="K9243" s="202">
        <v>4000000</v>
      </c>
      <c r="L9243" s="202"/>
    </row>
    <row r="9244" spans="1:14" x14ac:dyDescent="0.2">
      <c r="A9244" s="120">
        <v>2025</v>
      </c>
      <c r="B9244" s="120">
        <v>7</v>
      </c>
      <c r="C9244" s="120">
        <v>16</v>
      </c>
      <c r="D9244" s="208">
        <f t="shared" si="1124"/>
        <v>45854</v>
      </c>
      <c r="E9244" s="209">
        <f t="shared" si="1132"/>
        <v>45854</v>
      </c>
      <c r="F9244" s="515"/>
      <c r="G9244" s="132" t="s">
        <v>1209</v>
      </c>
      <c r="J9244" s="120" t="s">
        <v>16</v>
      </c>
      <c r="K9244" s="207"/>
      <c r="L9244" s="207">
        <v>3171830</v>
      </c>
    </row>
    <row r="9245" spans="1:14" x14ac:dyDescent="0.2">
      <c r="A9245" s="191">
        <v>2025</v>
      </c>
      <c r="B9245" s="191">
        <v>7</v>
      </c>
      <c r="C9245" s="191">
        <v>16</v>
      </c>
      <c r="D9245" s="192">
        <f t="shared" si="1124"/>
        <v>45854</v>
      </c>
      <c r="E9245" s="193">
        <f t="shared" si="1132"/>
        <v>45854</v>
      </c>
      <c r="F9245" s="514"/>
      <c r="G9245" s="194" t="s">
        <v>1209</v>
      </c>
      <c r="H9245" s="195"/>
      <c r="I9245" s="195"/>
      <c r="J9245" s="191" t="s">
        <v>47</v>
      </c>
      <c r="K9245" s="196"/>
      <c r="L9245" s="196">
        <v>828170</v>
      </c>
    </row>
    <row r="9246" spans="1:14" x14ac:dyDescent="0.2">
      <c r="A9246" s="197">
        <v>2025</v>
      </c>
      <c r="B9246" s="197">
        <v>7</v>
      </c>
      <c r="C9246" s="197">
        <v>16</v>
      </c>
      <c r="D9246" s="198">
        <f t="shared" si="1124"/>
        <v>45854</v>
      </c>
      <c r="E9246" s="209">
        <f t="shared" si="1132"/>
        <v>45854</v>
      </c>
      <c r="F9246" s="513" t="s">
        <v>1210</v>
      </c>
      <c r="G9246" s="200" t="s">
        <v>1209</v>
      </c>
      <c r="H9246" s="201"/>
      <c r="I9246" s="201"/>
      <c r="J9246" s="197" t="s">
        <v>46</v>
      </c>
      <c r="K9246" s="202">
        <v>300000</v>
      </c>
      <c r="L9246" s="202"/>
    </row>
    <row r="9247" spans="1:14" x14ac:dyDescent="0.2">
      <c r="A9247" s="120">
        <v>2025</v>
      </c>
      <c r="B9247" s="120">
        <v>7</v>
      </c>
      <c r="C9247" s="120">
        <v>16</v>
      </c>
      <c r="D9247" s="208">
        <f t="shared" si="1124"/>
        <v>45854</v>
      </c>
      <c r="E9247" s="209">
        <f t="shared" si="1132"/>
        <v>45854</v>
      </c>
      <c r="F9247" s="515"/>
      <c r="G9247" s="132" t="s">
        <v>1209</v>
      </c>
      <c r="J9247" s="120" t="s">
        <v>16</v>
      </c>
      <c r="K9247" s="207"/>
      <c r="L9247" s="207">
        <v>237890</v>
      </c>
    </row>
    <row r="9248" spans="1:14" x14ac:dyDescent="0.2">
      <c r="A9248" s="191">
        <v>2025</v>
      </c>
      <c r="B9248" s="191">
        <v>7</v>
      </c>
      <c r="C9248" s="191">
        <v>16</v>
      </c>
      <c r="D9248" s="192">
        <f t="shared" si="1124"/>
        <v>45854</v>
      </c>
      <c r="E9248" s="193">
        <f t="shared" si="1132"/>
        <v>45854</v>
      </c>
      <c r="F9248" s="514"/>
      <c r="G9248" s="194" t="s">
        <v>1209</v>
      </c>
      <c r="H9248" s="195"/>
      <c r="I9248" s="195"/>
      <c r="J9248" s="191" t="s">
        <v>47</v>
      </c>
      <c r="K9248" s="196"/>
      <c r="L9248" s="196">
        <v>62110</v>
      </c>
    </row>
    <row r="9249" spans="1:12" x14ac:dyDescent="0.2">
      <c r="A9249" s="197">
        <v>2025</v>
      </c>
      <c r="B9249" s="197">
        <v>7</v>
      </c>
      <c r="C9249" s="197">
        <v>16</v>
      </c>
      <c r="D9249" s="198">
        <f t="shared" si="1124"/>
        <v>45854</v>
      </c>
      <c r="E9249" s="209">
        <f t="shared" ref="E9249:E9251" si="1133">DATE(A9249,B9249,C9249)</f>
        <v>45854</v>
      </c>
      <c r="F9249" s="513" t="s">
        <v>1210</v>
      </c>
      <c r="G9249" s="200" t="s">
        <v>1209</v>
      </c>
      <c r="H9249" s="201"/>
      <c r="I9249" s="201"/>
      <c r="J9249" s="197" t="s">
        <v>46</v>
      </c>
      <c r="K9249" s="202">
        <v>200000</v>
      </c>
      <c r="L9249" s="202"/>
    </row>
    <row r="9250" spans="1:12" x14ac:dyDescent="0.2">
      <c r="A9250" s="120">
        <v>2025</v>
      </c>
      <c r="B9250" s="120">
        <v>7</v>
      </c>
      <c r="C9250" s="120">
        <v>16</v>
      </c>
      <c r="D9250" s="208">
        <f t="shared" si="1124"/>
        <v>45854</v>
      </c>
      <c r="E9250" s="209">
        <f t="shared" si="1133"/>
        <v>45854</v>
      </c>
      <c r="F9250" s="515"/>
      <c r="G9250" s="132" t="s">
        <v>1209</v>
      </c>
      <c r="J9250" s="120" t="s">
        <v>16</v>
      </c>
      <c r="K9250" s="207"/>
      <c r="L9250" s="207">
        <v>158590</v>
      </c>
    </row>
    <row r="9251" spans="1:12" x14ac:dyDescent="0.2">
      <c r="A9251" s="191">
        <v>2025</v>
      </c>
      <c r="B9251" s="191">
        <v>7</v>
      </c>
      <c r="C9251" s="191">
        <v>16</v>
      </c>
      <c r="D9251" s="192">
        <f t="shared" si="1124"/>
        <v>45854</v>
      </c>
      <c r="E9251" s="193">
        <f t="shared" si="1133"/>
        <v>45854</v>
      </c>
      <c r="F9251" s="514"/>
      <c r="G9251" s="194" t="s">
        <v>1209</v>
      </c>
      <c r="H9251" s="195"/>
      <c r="I9251" s="195"/>
      <c r="J9251" s="191" t="s">
        <v>47</v>
      </c>
      <c r="K9251" s="196"/>
      <c r="L9251" s="196">
        <v>41410</v>
      </c>
    </row>
    <row r="9252" spans="1:12" x14ac:dyDescent="0.2">
      <c r="A9252" s="197">
        <v>2025</v>
      </c>
      <c r="B9252" s="197">
        <v>7</v>
      </c>
      <c r="C9252" s="197">
        <v>16</v>
      </c>
      <c r="D9252" s="198">
        <f t="shared" si="1124"/>
        <v>45854</v>
      </c>
      <c r="E9252" s="209">
        <f t="shared" ref="E9252:E9254" si="1134">DATE(A9252,B9252,C9252)</f>
        <v>45854</v>
      </c>
      <c r="F9252" s="513" t="s">
        <v>1210</v>
      </c>
      <c r="G9252" s="200" t="s">
        <v>1209</v>
      </c>
      <c r="H9252" s="201"/>
      <c r="I9252" s="201"/>
      <c r="J9252" s="197" t="s">
        <v>46</v>
      </c>
      <c r="K9252" s="202">
        <v>200000</v>
      </c>
      <c r="L9252" s="202"/>
    </row>
    <row r="9253" spans="1:12" x14ac:dyDescent="0.2">
      <c r="A9253" s="120">
        <v>2025</v>
      </c>
      <c r="B9253" s="120">
        <v>7</v>
      </c>
      <c r="C9253" s="120">
        <v>16</v>
      </c>
      <c r="D9253" s="208">
        <f t="shared" si="1124"/>
        <v>45854</v>
      </c>
      <c r="E9253" s="209">
        <f t="shared" si="1134"/>
        <v>45854</v>
      </c>
      <c r="F9253" s="515"/>
      <c r="G9253" s="132" t="s">
        <v>1209</v>
      </c>
      <c r="J9253" s="120" t="s">
        <v>16</v>
      </c>
      <c r="K9253" s="207"/>
      <c r="L9253" s="207">
        <v>158590</v>
      </c>
    </row>
    <row r="9254" spans="1:12" x14ac:dyDescent="0.2">
      <c r="A9254" s="191">
        <v>2025</v>
      </c>
      <c r="B9254" s="191">
        <v>7</v>
      </c>
      <c r="C9254" s="191">
        <v>16</v>
      </c>
      <c r="D9254" s="192">
        <f t="shared" si="1124"/>
        <v>45854</v>
      </c>
      <c r="E9254" s="193">
        <f t="shared" si="1134"/>
        <v>45854</v>
      </c>
      <c r="F9254" s="514"/>
      <c r="G9254" s="194" t="s">
        <v>1209</v>
      </c>
      <c r="H9254" s="195"/>
      <c r="I9254" s="195"/>
      <c r="J9254" s="191" t="s">
        <v>47</v>
      </c>
      <c r="K9254" s="196"/>
      <c r="L9254" s="196">
        <v>41410</v>
      </c>
    </row>
    <row r="9255" spans="1:12" ht="11.25" customHeight="1" x14ac:dyDescent="0.2">
      <c r="A9255" s="197">
        <v>2025</v>
      </c>
      <c r="B9255" s="197">
        <v>7</v>
      </c>
      <c r="C9255" s="197">
        <v>17</v>
      </c>
      <c r="D9255" s="198">
        <f t="shared" si="1124"/>
        <v>45855</v>
      </c>
      <c r="E9255" s="209">
        <f t="shared" si="1131"/>
        <v>45855</v>
      </c>
      <c r="F9255" s="513" t="s">
        <v>1280</v>
      </c>
      <c r="G9255" s="200" t="s">
        <v>1209</v>
      </c>
      <c r="H9255" s="201"/>
      <c r="I9255" s="201"/>
      <c r="J9255" s="197" t="s">
        <v>16</v>
      </c>
      <c r="K9255" s="202">
        <v>238820</v>
      </c>
      <c r="L9255" s="202"/>
    </row>
    <row r="9256" spans="1:12" ht="11.25" customHeight="1" x14ac:dyDescent="0.2">
      <c r="A9256" s="120">
        <v>2025</v>
      </c>
      <c r="B9256" s="120">
        <v>7</v>
      </c>
      <c r="C9256" s="120">
        <v>17</v>
      </c>
      <c r="D9256" s="208">
        <f t="shared" si="1124"/>
        <v>45855</v>
      </c>
      <c r="E9256" s="209">
        <f t="shared" si="1131"/>
        <v>45855</v>
      </c>
      <c r="F9256" s="515"/>
      <c r="G9256" s="132" t="s">
        <v>1209</v>
      </c>
      <c r="J9256" s="120" t="s">
        <v>47</v>
      </c>
      <c r="K9256" s="207">
        <v>62355.900000000023</v>
      </c>
      <c r="L9256" s="207"/>
    </row>
    <row r="9257" spans="1:12" ht="11.25" customHeight="1" x14ac:dyDescent="0.2">
      <c r="A9257" s="191">
        <v>2025</v>
      </c>
      <c r="B9257" s="191">
        <v>7</v>
      </c>
      <c r="C9257" s="191">
        <v>17</v>
      </c>
      <c r="D9257" s="192">
        <f t="shared" si="1124"/>
        <v>45855</v>
      </c>
      <c r="E9257" s="193">
        <f t="shared" si="1131"/>
        <v>45855</v>
      </c>
      <c r="F9257" s="514"/>
      <c r="G9257" s="194" t="s">
        <v>1209</v>
      </c>
      <c r="H9257" s="195"/>
      <c r="I9257" s="195"/>
      <c r="J9257" s="191" t="s">
        <v>46</v>
      </c>
      <c r="K9257" s="196"/>
      <c r="L9257" s="196">
        <v>301175.90000000002</v>
      </c>
    </row>
    <row r="9258" spans="1:12" x14ac:dyDescent="0.2">
      <c r="A9258" s="197">
        <v>2025</v>
      </c>
      <c r="B9258" s="197">
        <v>7</v>
      </c>
      <c r="C9258" s="197">
        <v>17</v>
      </c>
      <c r="D9258" s="198">
        <f t="shared" si="1124"/>
        <v>45855</v>
      </c>
      <c r="E9258" s="209">
        <f t="shared" ref="E9258:E9260" si="1135">DATE(A9258,B9258,C9258)</f>
        <v>45855</v>
      </c>
      <c r="F9258" s="513" t="s">
        <v>1210</v>
      </c>
      <c r="G9258" s="200" t="s">
        <v>1209</v>
      </c>
      <c r="H9258" s="201"/>
      <c r="I9258" s="201"/>
      <c r="J9258" s="197" t="s">
        <v>46</v>
      </c>
      <c r="K9258" s="202">
        <v>10000</v>
      </c>
      <c r="L9258" s="202"/>
    </row>
    <row r="9259" spans="1:12" x14ac:dyDescent="0.2">
      <c r="A9259" s="120">
        <v>2025</v>
      </c>
      <c r="B9259" s="120">
        <v>7</v>
      </c>
      <c r="C9259" s="120">
        <v>17</v>
      </c>
      <c r="D9259" s="208">
        <f t="shared" si="1124"/>
        <v>45855</v>
      </c>
      <c r="E9259" s="209">
        <f t="shared" si="1135"/>
        <v>45855</v>
      </c>
      <c r="F9259" s="515"/>
      <c r="G9259" s="132" t="s">
        <v>1209</v>
      </c>
      <c r="J9259" s="120" t="s">
        <v>16</v>
      </c>
      <c r="K9259" s="207"/>
      <c r="L9259" s="207">
        <v>7930</v>
      </c>
    </row>
    <row r="9260" spans="1:12" x14ac:dyDescent="0.2">
      <c r="A9260" s="191">
        <v>2025</v>
      </c>
      <c r="B9260" s="191">
        <v>7</v>
      </c>
      <c r="C9260" s="191">
        <v>17</v>
      </c>
      <c r="D9260" s="192">
        <f t="shared" ref="D9260:D9323" si="1136">DATE(A9260,B9260,C9260)</f>
        <v>45855</v>
      </c>
      <c r="E9260" s="193">
        <f t="shared" si="1135"/>
        <v>45855</v>
      </c>
      <c r="F9260" s="514"/>
      <c r="G9260" s="194" t="s">
        <v>1209</v>
      </c>
      <c r="H9260" s="195"/>
      <c r="I9260" s="195"/>
      <c r="J9260" s="191" t="s">
        <v>47</v>
      </c>
      <c r="K9260" s="196"/>
      <c r="L9260" s="196">
        <v>2070</v>
      </c>
    </row>
    <row r="9261" spans="1:12" x14ac:dyDescent="0.2">
      <c r="A9261" s="197">
        <v>2025</v>
      </c>
      <c r="B9261" s="197">
        <v>7</v>
      </c>
      <c r="C9261" s="197">
        <v>17</v>
      </c>
      <c r="D9261" s="198">
        <f t="shared" si="1136"/>
        <v>45855</v>
      </c>
      <c r="E9261" s="209">
        <f t="shared" ref="E9261:E9294" si="1137">DATE(A9261,B9261,C9261)</f>
        <v>45855</v>
      </c>
      <c r="F9261" s="513" t="s">
        <v>1210</v>
      </c>
      <c r="G9261" s="200" t="s">
        <v>1209</v>
      </c>
      <c r="H9261" s="201"/>
      <c r="I9261" s="201"/>
      <c r="J9261" s="197" t="s">
        <v>46</v>
      </c>
      <c r="K9261" s="202">
        <v>995000</v>
      </c>
      <c r="L9261" s="202"/>
    </row>
    <row r="9262" spans="1:12" x14ac:dyDescent="0.2">
      <c r="A9262" s="120">
        <v>2025</v>
      </c>
      <c r="B9262" s="120">
        <v>7</v>
      </c>
      <c r="C9262" s="120">
        <v>17</v>
      </c>
      <c r="D9262" s="208">
        <f t="shared" si="1136"/>
        <v>45855</v>
      </c>
      <c r="E9262" s="209">
        <f t="shared" si="1137"/>
        <v>45855</v>
      </c>
      <c r="F9262" s="515"/>
      <c r="G9262" s="132" t="s">
        <v>1209</v>
      </c>
      <c r="J9262" s="120" t="s">
        <v>16</v>
      </c>
      <c r="K9262" s="207"/>
      <c r="L9262" s="207">
        <v>788990</v>
      </c>
    </row>
    <row r="9263" spans="1:12" x14ac:dyDescent="0.2">
      <c r="A9263" s="191">
        <v>2025</v>
      </c>
      <c r="B9263" s="191">
        <v>7</v>
      </c>
      <c r="C9263" s="191">
        <v>17</v>
      </c>
      <c r="D9263" s="192">
        <f t="shared" si="1136"/>
        <v>45855</v>
      </c>
      <c r="E9263" s="193">
        <f t="shared" si="1137"/>
        <v>45855</v>
      </c>
      <c r="F9263" s="514"/>
      <c r="G9263" s="194" t="s">
        <v>1209</v>
      </c>
      <c r="H9263" s="195"/>
      <c r="I9263" s="195"/>
      <c r="J9263" s="191" t="s">
        <v>47</v>
      </c>
      <c r="K9263" s="196"/>
      <c r="L9263" s="196">
        <v>206010</v>
      </c>
    </row>
    <row r="9264" spans="1:12" ht="11.25" customHeight="1" x14ac:dyDescent="0.2">
      <c r="A9264" s="197">
        <v>2025</v>
      </c>
      <c r="B9264" s="197">
        <v>7</v>
      </c>
      <c r="C9264" s="197">
        <v>17</v>
      </c>
      <c r="D9264" s="198">
        <f t="shared" si="1136"/>
        <v>45855</v>
      </c>
      <c r="E9264" s="209">
        <f t="shared" si="1137"/>
        <v>45855</v>
      </c>
      <c r="F9264" s="513" t="s">
        <v>1280</v>
      </c>
      <c r="G9264" s="200" t="s">
        <v>1209</v>
      </c>
      <c r="H9264" s="201"/>
      <c r="I9264" s="201"/>
      <c r="J9264" s="197" t="s">
        <v>16</v>
      </c>
      <c r="K9264" s="202">
        <v>199010</v>
      </c>
      <c r="L9264" s="202"/>
    </row>
    <row r="9265" spans="1:15" ht="11.25" customHeight="1" x14ac:dyDescent="0.2">
      <c r="A9265" s="120">
        <v>2025</v>
      </c>
      <c r="B9265" s="120">
        <v>7</v>
      </c>
      <c r="C9265" s="120">
        <v>17</v>
      </c>
      <c r="D9265" s="208">
        <f t="shared" si="1136"/>
        <v>45855</v>
      </c>
      <c r="E9265" s="209">
        <f t="shared" si="1137"/>
        <v>45855</v>
      </c>
      <c r="F9265" s="515"/>
      <c r="G9265" s="132" t="s">
        <v>1209</v>
      </c>
      <c r="J9265" s="120" t="s">
        <v>47</v>
      </c>
      <c r="K9265" s="207">
        <v>51961.510000000009</v>
      </c>
      <c r="L9265" s="207"/>
    </row>
    <row r="9266" spans="1:15" ht="11.25" customHeight="1" x14ac:dyDescent="0.2">
      <c r="A9266" s="191">
        <v>2025</v>
      </c>
      <c r="B9266" s="191">
        <v>7</v>
      </c>
      <c r="C9266" s="191">
        <v>17</v>
      </c>
      <c r="D9266" s="192">
        <f t="shared" si="1136"/>
        <v>45855</v>
      </c>
      <c r="E9266" s="193">
        <f t="shared" si="1137"/>
        <v>45855</v>
      </c>
      <c r="F9266" s="514"/>
      <c r="G9266" s="194" t="s">
        <v>1209</v>
      </c>
      <c r="H9266" s="195"/>
      <c r="I9266" s="195"/>
      <c r="J9266" s="191" t="s">
        <v>46</v>
      </c>
      <c r="K9266" s="196"/>
      <c r="L9266" s="196">
        <v>250971.51</v>
      </c>
    </row>
    <row r="9267" spans="1:15" ht="11.25" customHeight="1" x14ac:dyDescent="0.2">
      <c r="A9267" s="197">
        <v>2025</v>
      </c>
      <c r="B9267" s="197">
        <v>7</v>
      </c>
      <c r="C9267" s="197">
        <v>17</v>
      </c>
      <c r="D9267" s="198">
        <f t="shared" si="1136"/>
        <v>45855</v>
      </c>
      <c r="E9267" s="290">
        <f t="shared" si="1137"/>
        <v>45855</v>
      </c>
      <c r="F9267" s="513" t="s">
        <v>1514</v>
      </c>
      <c r="G9267" s="200" t="s">
        <v>1209</v>
      </c>
      <c r="H9267" s="201"/>
      <c r="I9267" s="201"/>
      <c r="J9267" s="197" t="s">
        <v>54</v>
      </c>
      <c r="K9267" s="202">
        <v>116</v>
      </c>
      <c r="L9267" s="202"/>
      <c r="M9267" s="251"/>
      <c r="N9267" s="251"/>
      <c r="O9267" s="251"/>
    </row>
    <row r="9268" spans="1:15" ht="11.25" customHeight="1" x14ac:dyDescent="0.2">
      <c r="A9268" s="191">
        <v>2025</v>
      </c>
      <c r="B9268" s="191">
        <v>7</v>
      </c>
      <c r="C9268" s="191">
        <v>17</v>
      </c>
      <c r="D9268" s="192">
        <f t="shared" si="1136"/>
        <v>45855</v>
      </c>
      <c r="E9268" s="291">
        <f t="shared" si="1137"/>
        <v>45855</v>
      </c>
      <c r="F9268" s="514"/>
      <c r="G9268" s="194" t="s">
        <v>1209</v>
      </c>
      <c r="H9268" s="195"/>
      <c r="I9268" s="195"/>
      <c r="J9268" s="191" t="s">
        <v>46</v>
      </c>
      <c r="K9268" s="196"/>
      <c r="L9268" s="196">
        <v>116</v>
      </c>
      <c r="M9268" s="251"/>
    </row>
    <row r="9269" spans="1:15" ht="11.25" customHeight="1" x14ac:dyDescent="0.2">
      <c r="A9269" s="197">
        <v>2025</v>
      </c>
      <c r="B9269" s="197">
        <v>7</v>
      </c>
      <c r="C9269" s="197">
        <v>17</v>
      </c>
      <c r="D9269" s="198">
        <f t="shared" si="1136"/>
        <v>45855</v>
      </c>
      <c r="E9269" s="209">
        <f t="shared" ref="E9269:E9274" si="1138">DATE(A9269,B9269,C9269)</f>
        <v>45855</v>
      </c>
      <c r="F9269" s="513" t="s">
        <v>1280</v>
      </c>
      <c r="G9269" s="200" t="s">
        <v>1209</v>
      </c>
      <c r="H9269" s="201"/>
      <c r="I9269" s="201"/>
      <c r="J9269" s="197" t="s">
        <v>16</v>
      </c>
      <c r="K9269" s="202">
        <v>124190</v>
      </c>
      <c r="L9269" s="202"/>
    </row>
    <row r="9270" spans="1:15" ht="11.25" customHeight="1" x14ac:dyDescent="0.2">
      <c r="A9270" s="120">
        <v>2025</v>
      </c>
      <c r="B9270" s="120">
        <v>7</v>
      </c>
      <c r="C9270" s="120">
        <v>17</v>
      </c>
      <c r="D9270" s="208">
        <f t="shared" si="1136"/>
        <v>45855</v>
      </c>
      <c r="E9270" s="209">
        <f t="shared" si="1138"/>
        <v>45855</v>
      </c>
      <c r="F9270" s="515"/>
      <c r="G9270" s="132" t="s">
        <v>1209</v>
      </c>
      <c r="J9270" s="120" t="s">
        <v>47</v>
      </c>
      <c r="K9270" s="207">
        <v>32426.010000000009</v>
      </c>
      <c r="L9270" s="207"/>
    </row>
    <row r="9271" spans="1:15" ht="11.25" customHeight="1" x14ac:dyDescent="0.2">
      <c r="A9271" s="191">
        <v>2025</v>
      </c>
      <c r="B9271" s="191">
        <v>7</v>
      </c>
      <c r="C9271" s="191">
        <v>17</v>
      </c>
      <c r="D9271" s="192">
        <f t="shared" si="1136"/>
        <v>45855</v>
      </c>
      <c r="E9271" s="193">
        <f t="shared" si="1138"/>
        <v>45855</v>
      </c>
      <c r="F9271" s="514"/>
      <c r="G9271" s="194" t="s">
        <v>1209</v>
      </c>
      <c r="H9271" s="195"/>
      <c r="I9271" s="195"/>
      <c r="J9271" s="191" t="s">
        <v>46</v>
      </c>
      <c r="K9271" s="196"/>
      <c r="L9271" s="196">
        <v>156616.01</v>
      </c>
    </row>
    <row r="9272" spans="1:15" x14ac:dyDescent="0.2">
      <c r="A9272" s="197">
        <v>2025</v>
      </c>
      <c r="B9272" s="197">
        <v>7</v>
      </c>
      <c r="C9272" s="197">
        <v>17</v>
      </c>
      <c r="D9272" s="198">
        <f t="shared" si="1136"/>
        <v>45855</v>
      </c>
      <c r="E9272" s="209">
        <f t="shared" si="1138"/>
        <v>45855</v>
      </c>
      <c r="F9272" s="513" t="s">
        <v>1210</v>
      </c>
      <c r="G9272" s="200" t="s">
        <v>1209</v>
      </c>
      <c r="H9272" s="201"/>
      <c r="I9272" s="201"/>
      <c r="J9272" s="197" t="s">
        <v>46</v>
      </c>
      <c r="K9272" s="202">
        <v>6000000</v>
      </c>
      <c r="L9272" s="202"/>
    </row>
    <row r="9273" spans="1:15" x14ac:dyDescent="0.2">
      <c r="A9273" s="120">
        <v>2025</v>
      </c>
      <c r="B9273" s="120">
        <v>7</v>
      </c>
      <c r="C9273" s="120">
        <v>17</v>
      </c>
      <c r="D9273" s="208">
        <f t="shared" si="1136"/>
        <v>45855</v>
      </c>
      <c r="E9273" s="209">
        <f t="shared" si="1138"/>
        <v>45855</v>
      </c>
      <c r="F9273" s="515"/>
      <c r="G9273" s="132" t="s">
        <v>1209</v>
      </c>
      <c r="J9273" s="120" t="s">
        <v>16</v>
      </c>
      <c r="K9273" s="207"/>
      <c r="L9273" s="207">
        <v>4757750</v>
      </c>
    </row>
    <row r="9274" spans="1:15" x14ac:dyDescent="0.2">
      <c r="A9274" s="191">
        <v>2025</v>
      </c>
      <c r="B9274" s="191">
        <v>7</v>
      </c>
      <c r="C9274" s="191">
        <v>17</v>
      </c>
      <c r="D9274" s="192">
        <f t="shared" si="1136"/>
        <v>45855</v>
      </c>
      <c r="E9274" s="193">
        <f t="shared" si="1138"/>
        <v>45855</v>
      </c>
      <c r="F9274" s="514"/>
      <c r="G9274" s="194" t="s">
        <v>1209</v>
      </c>
      <c r="H9274" s="195"/>
      <c r="I9274" s="195"/>
      <c r="J9274" s="191" t="s">
        <v>47</v>
      </c>
      <c r="K9274" s="196"/>
      <c r="L9274" s="196">
        <v>1242250</v>
      </c>
    </row>
    <row r="9275" spans="1:15" x14ac:dyDescent="0.2">
      <c r="A9275" s="197">
        <v>2025</v>
      </c>
      <c r="B9275" s="197">
        <v>7</v>
      </c>
      <c r="C9275" s="197">
        <v>17</v>
      </c>
      <c r="D9275" s="198">
        <f t="shared" si="1136"/>
        <v>45855</v>
      </c>
      <c r="E9275" s="209">
        <f t="shared" ref="E9275:E9284" si="1139">DATE(A9275,B9275,C9275)</f>
        <v>45855</v>
      </c>
      <c r="F9275" s="513" t="s">
        <v>1210</v>
      </c>
      <c r="G9275" s="200" t="s">
        <v>1209</v>
      </c>
      <c r="H9275" s="201"/>
      <c r="I9275" s="201"/>
      <c r="J9275" s="197" t="s">
        <v>46</v>
      </c>
      <c r="K9275" s="202">
        <v>500000</v>
      </c>
      <c r="L9275" s="202"/>
    </row>
    <row r="9276" spans="1:15" x14ac:dyDescent="0.2">
      <c r="A9276" s="120">
        <v>2025</v>
      </c>
      <c r="B9276" s="120">
        <v>7</v>
      </c>
      <c r="C9276" s="120">
        <v>17</v>
      </c>
      <c r="D9276" s="208">
        <f t="shared" si="1136"/>
        <v>45855</v>
      </c>
      <c r="E9276" s="209">
        <f t="shared" si="1139"/>
        <v>45855</v>
      </c>
      <c r="F9276" s="515"/>
      <c r="G9276" s="132" t="s">
        <v>1209</v>
      </c>
      <c r="J9276" s="120" t="s">
        <v>16</v>
      </c>
      <c r="K9276" s="207"/>
      <c r="L9276" s="207">
        <v>396480</v>
      </c>
    </row>
    <row r="9277" spans="1:15" x14ac:dyDescent="0.2">
      <c r="A9277" s="191">
        <v>2025</v>
      </c>
      <c r="B9277" s="191">
        <v>7</v>
      </c>
      <c r="C9277" s="191">
        <v>17</v>
      </c>
      <c r="D9277" s="192">
        <f t="shared" si="1136"/>
        <v>45855</v>
      </c>
      <c r="E9277" s="193">
        <f t="shared" si="1139"/>
        <v>45855</v>
      </c>
      <c r="F9277" s="514"/>
      <c r="G9277" s="194" t="s">
        <v>1209</v>
      </c>
      <c r="H9277" s="195"/>
      <c r="I9277" s="195"/>
      <c r="J9277" s="191" t="s">
        <v>47</v>
      </c>
      <c r="K9277" s="196"/>
      <c r="L9277" s="196">
        <v>103520</v>
      </c>
    </row>
    <row r="9278" spans="1:15" x14ac:dyDescent="0.2">
      <c r="A9278" s="197">
        <v>2025</v>
      </c>
      <c r="B9278" s="197">
        <v>7</v>
      </c>
      <c r="C9278" s="197">
        <v>17</v>
      </c>
      <c r="D9278" s="198">
        <f t="shared" si="1136"/>
        <v>45855</v>
      </c>
      <c r="E9278" s="209">
        <f t="shared" si="1139"/>
        <v>45855</v>
      </c>
      <c r="F9278" s="513" t="s">
        <v>1210</v>
      </c>
      <c r="G9278" s="200" t="s">
        <v>1209</v>
      </c>
      <c r="H9278" s="201"/>
      <c r="I9278" s="201"/>
      <c r="J9278" s="197" t="s">
        <v>46</v>
      </c>
      <c r="K9278" s="202">
        <v>700000</v>
      </c>
      <c r="L9278" s="202"/>
    </row>
    <row r="9279" spans="1:15" x14ac:dyDescent="0.2">
      <c r="A9279" s="120">
        <v>2025</v>
      </c>
      <c r="B9279" s="120">
        <v>7</v>
      </c>
      <c r="C9279" s="120">
        <v>17</v>
      </c>
      <c r="D9279" s="208">
        <f t="shared" si="1136"/>
        <v>45855</v>
      </c>
      <c r="E9279" s="209">
        <f t="shared" si="1139"/>
        <v>45855</v>
      </c>
      <c r="F9279" s="515"/>
      <c r="G9279" s="132" t="s">
        <v>1209</v>
      </c>
      <c r="J9279" s="120" t="s">
        <v>16</v>
      </c>
      <c r="K9279" s="207"/>
      <c r="L9279" s="207">
        <v>555070</v>
      </c>
    </row>
    <row r="9280" spans="1:15" x14ac:dyDescent="0.2">
      <c r="A9280" s="191">
        <v>2025</v>
      </c>
      <c r="B9280" s="191">
        <v>7</v>
      </c>
      <c r="C9280" s="191">
        <v>17</v>
      </c>
      <c r="D9280" s="192">
        <f t="shared" si="1136"/>
        <v>45855</v>
      </c>
      <c r="E9280" s="193">
        <f t="shared" si="1139"/>
        <v>45855</v>
      </c>
      <c r="F9280" s="514"/>
      <c r="G9280" s="194" t="s">
        <v>1209</v>
      </c>
      <c r="H9280" s="195"/>
      <c r="I9280" s="195"/>
      <c r="J9280" s="191" t="s">
        <v>47</v>
      </c>
      <c r="K9280" s="196"/>
      <c r="L9280" s="196">
        <v>144930</v>
      </c>
    </row>
    <row r="9281" spans="1:15" ht="11.25" customHeight="1" x14ac:dyDescent="0.2">
      <c r="A9281" s="197">
        <v>2025</v>
      </c>
      <c r="B9281" s="197">
        <v>7</v>
      </c>
      <c r="C9281" s="197">
        <v>17</v>
      </c>
      <c r="D9281" s="198">
        <f t="shared" si="1136"/>
        <v>45855</v>
      </c>
      <c r="E9281" s="290">
        <f t="shared" si="1139"/>
        <v>45855</v>
      </c>
      <c r="F9281" s="513" t="s">
        <v>1514</v>
      </c>
      <c r="G9281" s="200" t="s">
        <v>1209</v>
      </c>
      <c r="H9281" s="201"/>
      <c r="I9281" s="201"/>
      <c r="J9281" s="197" t="s">
        <v>54</v>
      </c>
      <c r="K9281" s="202">
        <v>110</v>
      </c>
      <c r="L9281" s="202"/>
      <c r="M9281" s="251"/>
      <c r="N9281" s="251"/>
      <c r="O9281" s="251"/>
    </row>
    <row r="9282" spans="1:15" ht="11.25" customHeight="1" x14ac:dyDescent="0.2">
      <c r="A9282" s="191">
        <v>2025</v>
      </c>
      <c r="B9282" s="191">
        <v>7</v>
      </c>
      <c r="C9282" s="191">
        <v>17</v>
      </c>
      <c r="D9282" s="192">
        <f t="shared" si="1136"/>
        <v>45855</v>
      </c>
      <c r="E9282" s="291">
        <f t="shared" si="1139"/>
        <v>45855</v>
      </c>
      <c r="F9282" s="514"/>
      <c r="G9282" s="194" t="s">
        <v>1209</v>
      </c>
      <c r="H9282" s="195"/>
      <c r="I9282" s="195"/>
      <c r="J9282" s="191" t="s">
        <v>46</v>
      </c>
      <c r="K9282" s="196"/>
      <c r="L9282" s="196">
        <v>110</v>
      </c>
      <c r="M9282" s="251"/>
    </row>
    <row r="9283" spans="1:15" ht="11.25" customHeight="1" x14ac:dyDescent="0.2">
      <c r="A9283" s="197">
        <v>2025</v>
      </c>
      <c r="B9283" s="197">
        <v>7</v>
      </c>
      <c r="C9283" s="197">
        <v>17</v>
      </c>
      <c r="D9283" s="198">
        <f t="shared" si="1136"/>
        <v>45855</v>
      </c>
      <c r="E9283" s="199">
        <f t="shared" si="1139"/>
        <v>45855</v>
      </c>
      <c r="F9283" s="513" t="s">
        <v>2065</v>
      </c>
      <c r="G9283" s="200" t="s">
        <v>1209</v>
      </c>
      <c r="H9283" s="201"/>
      <c r="I9283" s="201"/>
      <c r="J9283" s="197" t="s">
        <v>171</v>
      </c>
      <c r="K9283" s="202">
        <v>201355</v>
      </c>
      <c r="L9283" s="202"/>
    </row>
    <row r="9284" spans="1:15" ht="11.25" customHeight="1" x14ac:dyDescent="0.2">
      <c r="A9284" s="191">
        <v>2025</v>
      </c>
      <c r="B9284" s="191">
        <v>7</v>
      </c>
      <c r="C9284" s="191">
        <v>17</v>
      </c>
      <c r="D9284" s="192">
        <f t="shared" si="1136"/>
        <v>45855</v>
      </c>
      <c r="E9284" s="193">
        <f t="shared" si="1139"/>
        <v>45855</v>
      </c>
      <c r="F9284" s="514"/>
      <c r="G9284" s="194" t="s">
        <v>1209</v>
      </c>
      <c r="H9284" s="195"/>
      <c r="I9284" s="195"/>
      <c r="J9284" s="191" t="s">
        <v>170</v>
      </c>
      <c r="K9284" s="196"/>
      <c r="L9284" s="196">
        <v>201355</v>
      </c>
    </row>
    <row r="9285" spans="1:15" ht="11.25" customHeight="1" x14ac:dyDescent="0.2">
      <c r="A9285" s="424">
        <v>2025</v>
      </c>
      <c r="B9285" s="424">
        <v>7</v>
      </c>
      <c r="C9285" s="424">
        <v>17</v>
      </c>
      <c r="D9285" s="425">
        <f t="shared" si="1136"/>
        <v>45855</v>
      </c>
      <c r="E9285" s="384">
        <f t="shared" si="1137"/>
        <v>45855</v>
      </c>
      <c r="F9285" s="516" t="s">
        <v>1850</v>
      </c>
      <c r="G9285" s="426" t="s">
        <v>1209</v>
      </c>
      <c r="H9285" s="427"/>
      <c r="I9285" s="427"/>
      <c r="J9285" s="428" t="s">
        <v>81</v>
      </c>
      <c r="K9285" s="429">
        <v>11170.721538461539</v>
      </c>
      <c r="L9285" s="429"/>
    </row>
    <row r="9286" spans="1:15" ht="11.25" customHeight="1" x14ac:dyDescent="0.2">
      <c r="A9286" s="389">
        <v>2025</v>
      </c>
      <c r="B9286" s="389">
        <v>7</v>
      </c>
      <c r="C9286" s="389">
        <v>17</v>
      </c>
      <c r="D9286" s="390">
        <f t="shared" si="1136"/>
        <v>45855</v>
      </c>
      <c r="E9286" s="391">
        <f t="shared" si="1137"/>
        <v>45855</v>
      </c>
      <c r="F9286" s="517"/>
      <c r="G9286" s="392" t="s">
        <v>1209</v>
      </c>
      <c r="H9286" s="393"/>
      <c r="I9286" s="393"/>
      <c r="J9286" s="394" t="s">
        <v>1847</v>
      </c>
      <c r="K9286" s="423"/>
      <c r="L9286" s="423">
        <f>K9285</f>
        <v>11170.721538461539</v>
      </c>
    </row>
    <row r="9287" spans="1:15" ht="11.25" customHeight="1" x14ac:dyDescent="0.2">
      <c r="A9287" s="382">
        <v>2025</v>
      </c>
      <c r="B9287" s="382">
        <v>7</v>
      </c>
      <c r="C9287" s="382">
        <v>17</v>
      </c>
      <c r="D9287" s="383">
        <f t="shared" si="1136"/>
        <v>45855</v>
      </c>
      <c r="E9287" s="384">
        <f t="shared" si="1137"/>
        <v>45855</v>
      </c>
      <c r="F9287" s="516" t="s">
        <v>1892</v>
      </c>
      <c r="G9287" s="385" t="s">
        <v>1209</v>
      </c>
      <c r="H9287" s="386"/>
      <c r="I9287" s="386"/>
      <c r="J9287" s="387" t="s">
        <v>173</v>
      </c>
      <c r="K9287" s="388">
        <v>5220.6937676666666</v>
      </c>
      <c r="L9287" s="388"/>
    </row>
    <row r="9288" spans="1:15" ht="11.25" customHeight="1" x14ac:dyDescent="0.2">
      <c r="A9288" s="389">
        <v>2025</v>
      </c>
      <c r="B9288" s="389">
        <v>7</v>
      </c>
      <c r="C9288" s="389">
        <v>17</v>
      </c>
      <c r="D9288" s="390">
        <f t="shared" si="1136"/>
        <v>45855</v>
      </c>
      <c r="E9288" s="391">
        <f t="shared" si="1137"/>
        <v>45855</v>
      </c>
      <c r="F9288" s="517"/>
      <c r="G9288" s="392" t="s">
        <v>1209</v>
      </c>
      <c r="H9288" s="393"/>
      <c r="I9288" s="393"/>
      <c r="J9288" s="394" t="s">
        <v>43</v>
      </c>
      <c r="K9288" s="388"/>
      <c r="L9288" s="423">
        <f>K9287</f>
        <v>5220.6937676666666</v>
      </c>
    </row>
    <row r="9289" spans="1:15" ht="11.25" customHeight="1" x14ac:dyDescent="0.2">
      <c r="A9289" s="344">
        <v>2025</v>
      </c>
      <c r="B9289" s="344">
        <v>7</v>
      </c>
      <c r="C9289" s="344">
        <v>17</v>
      </c>
      <c r="D9289" s="345">
        <f t="shared" si="1136"/>
        <v>45855</v>
      </c>
      <c r="E9289" s="346">
        <f t="shared" si="1137"/>
        <v>45855</v>
      </c>
      <c r="F9289" s="518" t="s">
        <v>1982</v>
      </c>
      <c r="G9289" s="347" t="s">
        <v>1245</v>
      </c>
      <c r="H9289" s="348"/>
      <c r="I9289" s="348" t="s">
        <v>1253</v>
      </c>
      <c r="J9289" s="344" t="s">
        <v>1978</v>
      </c>
      <c r="K9289" s="349">
        <v>145230.76923076922</v>
      </c>
      <c r="L9289" s="349"/>
    </row>
    <row r="9290" spans="1:15" ht="11.25" customHeight="1" x14ac:dyDescent="0.2">
      <c r="A9290" s="350">
        <v>2025</v>
      </c>
      <c r="B9290" s="350">
        <v>7</v>
      </c>
      <c r="C9290" s="350">
        <v>17</v>
      </c>
      <c r="D9290" s="351">
        <f t="shared" si="1136"/>
        <v>45855</v>
      </c>
      <c r="E9290" s="352">
        <f t="shared" si="1137"/>
        <v>45855</v>
      </c>
      <c r="F9290" s="519"/>
      <c r="G9290" s="353" t="s">
        <v>1245</v>
      </c>
      <c r="H9290" s="354"/>
      <c r="I9290" s="354" t="s">
        <v>1253</v>
      </c>
      <c r="J9290" s="350" t="s">
        <v>1979</v>
      </c>
      <c r="K9290" s="355"/>
      <c r="L9290" s="355">
        <f>K9289</f>
        <v>145230.76923076922</v>
      </c>
    </row>
    <row r="9291" spans="1:15" ht="11.25" customHeight="1" x14ac:dyDescent="0.2">
      <c r="A9291" s="344">
        <v>2025</v>
      </c>
      <c r="B9291" s="344">
        <v>7</v>
      </c>
      <c r="C9291" s="344">
        <v>17</v>
      </c>
      <c r="D9291" s="345">
        <f t="shared" si="1136"/>
        <v>45855</v>
      </c>
      <c r="E9291" s="346">
        <f t="shared" si="1137"/>
        <v>45855</v>
      </c>
      <c r="F9291" s="518" t="s">
        <v>2009</v>
      </c>
      <c r="G9291" s="347" t="s">
        <v>1245</v>
      </c>
      <c r="H9291" s="348"/>
      <c r="I9291" s="348" t="s">
        <v>1253</v>
      </c>
      <c r="J9291" s="344" t="s">
        <v>2004</v>
      </c>
      <c r="K9291" s="349">
        <v>49692.31</v>
      </c>
      <c r="L9291" s="349"/>
    </row>
    <row r="9292" spans="1:15" ht="11.25" customHeight="1" x14ac:dyDescent="0.2">
      <c r="A9292" s="350">
        <v>2025</v>
      </c>
      <c r="B9292" s="350">
        <v>7</v>
      </c>
      <c r="C9292" s="350">
        <v>17</v>
      </c>
      <c r="D9292" s="351">
        <f t="shared" si="1136"/>
        <v>45855</v>
      </c>
      <c r="E9292" s="352">
        <f t="shared" si="1137"/>
        <v>45855</v>
      </c>
      <c r="F9292" s="519"/>
      <c r="G9292" s="353" t="s">
        <v>1245</v>
      </c>
      <c r="H9292" s="354"/>
      <c r="I9292" s="354" t="s">
        <v>1253</v>
      </c>
      <c r="J9292" s="350" t="s">
        <v>2008</v>
      </c>
      <c r="K9292" s="355"/>
      <c r="L9292" s="355">
        <f t="shared" ref="L9292" si="1140">K9291</f>
        <v>49692.31</v>
      </c>
    </row>
    <row r="9293" spans="1:15" ht="11.25" customHeight="1" x14ac:dyDescent="0.2">
      <c r="A9293" s="344">
        <v>2025</v>
      </c>
      <c r="B9293" s="344">
        <v>7</v>
      </c>
      <c r="C9293" s="344">
        <v>17</v>
      </c>
      <c r="D9293" s="345">
        <f t="shared" si="1136"/>
        <v>45855</v>
      </c>
      <c r="E9293" s="346">
        <f t="shared" si="1137"/>
        <v>45855</v>
      </c>
      <c r="F9293" s="518" t="s">
        <v>2009</v>
      </c>
      <c r="G9293" s="347" t="s">
        <v>1245</v>
      </c>
      <c r="H9293" s="348"/>
      <c r="I9293" s="348" t="s">
        <v>1253</v>
      </c>
      <c r="J9293" s="344" t="s">
        <v>2004</v>
      </c>
      <c r="K9293" s="349">
        <v>49692.31</v>
      </c>
      <c r="L9293" s="349"/>
    </row>
    <row r="9294" spans="1:15" ht="11.25" customHeight="1" x14ac:dyDescent="0.2">
      <c r="A9294" s="350">
        <v>2025</v>
      </c>
      <c r="B9294" s="350">
        <v>7</v>
      </c>
      <c r="C9294" s="350">
        <v>17</v>
      </c>
      <c r="D9294" s="351">
        <f t="shared" si="1136"/>
        <v>45855</v>
      </c>
      <c r="E9294" s="352">
        <f t="shared" si="1137"/>
        <v>45855</v>
      </c>
      <c r="F9294" s="519"/>
      <c r="G9294" s="353" t="s">
        <v>1245</v>
      </c>
      <c r="H9294" s="354"/>
      <c r="I9294" s="354" t="s">
        <v>1253</v>
      </c>
      <c r="J9294" s="350" t="s">
        <v>2008</v>
      </c>
      <c r="K9294" s="355"/>
      <c r="L9294" s="355">
        <f t="shared" ref="L9294" si="1141">K9293</f>
        <v>49692.31</v>
      </c>
    </row>
    <row r="9295" spans="1:15" ht="11.25" customHeight="1" x14ac:dyDescent="0.2">
      <c r="A9295" s="344">
        <v>2025</v>
      </c>
      <c r="B9295" s="344">
        <v>7</v>
      </c>
      <c r="C9295" s="344">
        <v>17</v>
      </c>
      <c r="D9295" s="345">
        <f t="shared" si="1136"/>
        <v>45855</v>
      </c>
      <c r="E9295" s="346">
        <f>DATE(A9295,B9295,C9295)</f>
        <v>45855</v>
      </c>
      <c r="F9295" s="518" t="s">
        <v>1988</v>
      </c>
      <c r="G9295" s="347" t="s">
        <v>1245</v>
      </c>
      <c r="H9295" s="348"/>
      <c r="I9295" s="348" t="s">
        <v>1253</v>
      </c>
      <c r="J9295" s="344" t="s">
        <v>113</v>
      </c>
      <c r="K9295" s="349">
        <v>32846.15</v>
      </c>
      <c r="L9295" s="349"/>
    </row>
    <row r="9296" spans="1:15" ht="11.25" customHeight="1" x14ac:dyDescent="0.2">
      <c r="A9296" s="350">
        <v>2025</v>
      </c>
      <c r="B9296" s="350">
        <v>7</v>
      </c>
      <c r="C9296" s="350">
        <v>17</v>
      </c>
      <c r="D9296" s="351">
        <f t="shared" si="1136"/>
        <v>45855</v>
      </c>
      <c r="E9296" s="352">
        <f>DATE(A9296,B9296,C9296)</f>
        <v>45855</v>
      </c>
      <c r="F9296" s="519"/>
      <c r="G9296" s="353" t="s">
        <v>1245</v>
      </c>
      <c r="H9296" s="354"/>
      <c r="I9296" s="354" t="s">
        <v>1253</v>
      </c>
      <c r="J9296" s="350" t="s">
        <v>153</v>
      </c>
      <c r="K9296" s="355"/>
      <c r="L9296" s="355">
        <f t="shared" ref="L9296" si="1142">K9295</f>
        <v>32846.15</v>
      </c>
    </row>
    <row r="9297" spans="1:16" ht="11.25" customHeight="1" x14ac:dyDescent="0.2">
      <c r="A9297" s="344">
        <v>2025</v>
      </c>
      <c r="B9297" s="344">
        <v>7</v>
      </c>
      <c r="C9297" s="344">
        <v>17</v>
      </c>
      <c r="D9297" s="345">
        <f t="shared" si="1136"/>
        <v>45855</v>
      </c>
      <c r="E9297" s="346">
        <f t="shared" ref="E9297:E9302" si="1143">DATE(A9297,B9297,C9297)</f>
        <v>45855</v>
      </c>
      <c r="F9297" s="518" t="s">
        <v>1989</v>
      </c>
      <c r="G9297" s="347" t="s">
        <v>1245</v>
      </c>
      <c r="H9297" s="348"/>
      <c r="I9297" s="348" t="s">
        <v>1253</v>
      </c>
      <c r="J9297" s="344" t="s">
        <v>113</v>
      </c>
      <c r="K9297" s="349">
        <v>23461.538461538461</v>
      </c>
      <c r="L9297" s="349"/>
    </row>
    <row r="9298" spans="1:16" ht="11.25" customHeight="1" x14ac:dyDescent="0.2">
      <c r="A9298" s="350">
        <v>2025</v>
      </c>
      <c r="B9298" s="350">
        <v>7</v>
      </c>
      <c r="C9298" s="350">
        <v>17</v>
      </c>
      <c r="D9298" s="351">
        <f t="shared" si="1136"/>
        <v>45855</v>
      </c>
      <c r="E9298" s="352">
        <f t="shared" si="1143"/>
        <v>45855</v>
      </c>
      <c r="F9298" s="519"/>
      <c r="G9298" s="353" t="s">
        <v>1245</v>
      </c>
      <c r="H9298" s="354"/>
      <c r="I9298" s="354" t="s">
        <v>1253</v>
      </c>
      <c r="J9298" s="350" t="s">
        <v>153</v>
      </c>
      <c r="K9298" s="355"/>
      <c r="L9298" s="355">
        <f t="shared" ref="L9298" si="1144">K9297</f>
        <v>23461.538461538461</v>
      </c>
    </row>
    <row r="9299" spans="1:16" ht="11.25" customHeight="1" x14ac:dyDescent="0.2">
      <c r="A9299" s="344">
        <v>2025</v>
      </c>
      <c r="B9299" s="344">
        <v>7</v>
      </c>
      <c r="C9299" s="344">
        <v>17</v>
      </c>
      <c r="D9299" s="345">
        <f t="shared" si="1136"/>
        <v>45855</v>
      </c>
      <c r="E9299" s="346">
        <f t="shared" si="1143"/>
        <v>45855</v>
      </c>
      <c r="F9299" s="518" t="s">
        <v>1990</v>
      </c>
      <c r="G9299" s="347" t="s">
        <v>1245</v>
      </c>
      <c r="H9299" s="348"/>
      <c r="I9299" s="348" t="s">
        <v>1253</v>
      </c>
      <c r="J9299" s="344" t="s">
        <v>113</v>
      </c>
      <c r="K9299" s="349">
        <v>70384.62</v>
      </c>
      <c r="L9299" s="349"/>
      <c r="N9299" s="251"/>
      <c r="O9299" s="251"/>
      <c r="P9299" s="251"/>
    </row>
    <row r="9300" spans="1:16" ht="11.25" customHeight="1" x14ac:dyDescent="0.2">
      <c r="A9300" s="350">
        <v>2025</v>
      </c>
      <c r="B9300" s="350">
        <v>7</v>
      </c>
      <c r="C9300" s="350">
        <v>17</v>
      </c>
      <c r="D9300" s="351">
        <f t="shared" si="1136"/>
        <v>45855</v>
      </c>
      <c r="E9300" s="352">
        <f t="shared" si="1143"/>
        <v>45855</v>
      </c>
      <c r="F9300" s="519"/>
      <c r="G9300" s="353" t="s">
        <v>1245</v>
      </c>
      <c r="H9300" s="354"/>
      <c r="I9300" s="354" t="s">
        <v>1253</v>
      </c>
      <c r="J9300" s="350" t="s">
        <v>153</v>
      </c>
      <c r="K9300" s="355"/>
      <c r="L9300" s="355">
        <f t="shared" ref="L9300" si="1145">K9299</f>
        <v>70384.62</v>
      </c>
    </row>
    <row r="9301" spans="1:16" ht="11.25" customHeight="1" x14ac:dyDescent="0.2">
      <c r="A9301" s="344">
        <v>2025</v>
      </c>
      <c r="B9301" s="344">
        <v>7</v>
      </c>
      <c r="C9301" s="344">
        <v>17</v>
      </c>
      <c r="D9301" s="345">
        <f t="shared" si="1136"/>
        <v>45855</v>
      </c>
      <c r="E9301" s="346">
        <f t="shared" si="1143"/>
        <v>45855</v>
      </c>
      <c r="F9301" s="518" t="s">
        <v>2039</v>
      </c>
      <c r="G9301" s="347" t="s">
        <v>1245</v>
      </c>
      <c r="H9301" s="348"/>
      <c r="I9301" s="348" t="s">
        <v>1253</v>
      </c>
      <c r="J9301" s="344" t="s">
        <v>113</v>
      </c>
      <c r="K9301" s="349">
        <v>9384.6153846153848</v>
      </c>
      <c r="L9301" s="349"/>
    </row>
    <row r="9302" spans="1:16" ht="11.25" customHeight="1" x14ac:dyDescent="0.2">
      <c r="A9302" s="350">
        <v>2025</v>
      </c>
      <c r="B9302" s="350">
        <v>7</v>
      </c>
      <c r="C9302" s="350">
        <v>17</v>
      </c>
      <c r="D9302" s="351">
        <f t="shared" si="1136"/>
        <v>45855</v>
      </c>
      <c r="E9302" s="352">
        <f t="shared" si="1143"/>
        <v>45855</v>
      </c>
      <c r="F9302" s="519"/>
      <c r="G9302" s="353" t="s">
        <v>1245</v>
      </c>
      <c r="H9302" s="354"/>
      <c r="I9302" s="354" t="s">
        <v>1253</v>
      </c>
      <c r="J9302" s="350" t="s">
        <v>153</v>
      </c>
      <c r="K9302" s="355"/>
      <c r="L9302" s="355">
        <f t="shared" ref="L9302" si="1146">K9301</f>
        <v>9384.6153846153848</v>
      </c>
    </row>
    <row r="9303" spans="1:16" ht="11.25" customHeight="1" x14ac:dyDescent="0.2">
      <c r="A9303" s="344">
        <v>2025</v>
      </c>
      <c r="B9303" s="344">
        <v>7</v>
      </c>
      <c r="C9303" s="344">
        <v>17</v>
      </c>
      <c r="D9303" s="345">
        <f t="shared" si="1136"/>
        <v>45855</v>
      </c>
      <c r="E9303" s="346">
        <f>DATE(A9303,B9303,C9303)</f>
        <v>45855</v>
      </c>
      <c r="F9303" s="518" t="s">
        <v>1991</v>
      </c>
      <c r="G9303" s="347" t="s">
        <v>1245</v>
      </c>
      <c r="H9303" s="348"/>
      <c r="I9303" s="348" t="s">
        <v>1253</v>
      </c>
      <c r="J9303" s="344" t="s">
        <v>113</v>
      </c>
      <c r="K9303" s="349">
        <v>39884.620000000003</v>
      </c>
      <c r="L9303" s="349"/>
    </row>
    <row r="9304" spans="1:16" ht="11.25" customHeight="1" x14ac:dyDescent="0.2">
      <c r="A9304" s="350">
        <v>2025</v>
      </c>
      <c r="B9304" s="350">
        <v>7</v>
      </c>
      <c r="C9304" s="350">
        <v>17</v>
      </c>
      <c r="D9304" s="351">
        <f t="shared" si="1136"/>
        <v>45855</v>
      </c>
      <c r="E9304" s="352">
        <f>DATE(A9304,B9304,C9304)</f>
        <v>45855</v>
      </c>
      <c r="F9304" s="519"/>
      <c r="G9304" s="353" t="s">
        <v>1245</v>
      </c>
      <c r="H9304" s="354"/>
      <c r="I9304" s="354" t="s">
        <v>1253</v>
      </c>
      <c r="J9304" s="350" t="s">
        <v>153</v>
      </c>
      <c r="K9304" s="355"/>
      <c r="L9304" s="355">
        <f t="shared" ref="L9304" si="1147">K9303</f>
        <v>39884.620000000003</v>
      </c>
    </row>
    <row r="9305" spans="1:16" ht="11.25" customHeight="1" x14ac:dyDescent="0.2">
      <c r="A9305" s="344">
        <v>2025</v>
      </c>
      <c r="B9305" s="344">
        <v>7</v>
      </c>
      <c r="C9305" s="344">
        <v>17</v>
      </c>
      <c r="D9305" s="345">
        <f t="shared" si="1136"/>
        <v>45855</v>
      </c>
      <c r="E9305" s="346">
        <f t="shared" ref="E9305:E9309" si="1148">DATE(A9305,B9305,C9305)</f>
        <v>45855</v>
      </c>
      <c r="F9305" s="518" t="s">
        <v>2052</v>
      </c>
      <c r="G9305" s="347" t="s">
        <v>1245</v>
      </c>
      <c r="H9305" s="348"/>
      <c r="I9305" s="348" t="s">
        <v>1253</v>
      </c>
      <c r="J9305" s="344" t="s">
        <v>113</v>
      </c>
      <c r="K9305" s="349">
        <v>11442.307692307691</v>
      </c>
      <c r="L9305" s="349"/>
    </row>
    <row r="9306" spans="1:16" ht="11.25" customHeight="1" x14ac:dyDescent="0.2">
      <c r="A9306" s="350">
        <v>2025</v>
      </c>
      <c r="B9306" s="350">
        <v>7</v>
      </c>
      <c r="C9306" s="350">
        <v>17</v>
      </c>
      <c r="D9306" s="351">
        <f t="shared" si="1136"/>
        <v>45855</v>
      </c>
      <c r="E9306" s="352">
        <f t="shared" si="1148"/>
        <v>45855</v>
      </c>
      <c r="F9306" s="519"/>
      <c r="G9306" s="353" t="s">
        <v>1245</v>
      </c>
      <c r="H9306" s="354"/>
      <c r="I9306" s="354" t="s">
        <v>1253</v>
      </c>
      <c r="J9306" s="350" t="s">
        <v>153</v>
      </c>
      <c r="K9306" s="355"/>
      <c r="L9306" s="355">
        <f t="shared" ref="L9306" si="1149">K9305</f>
        <v>11442.307692307691</v>
      </c>
    </row>
    <row r="9307" spans="1:16" ht="11.25" customHeight="1" x14ac:dyDescent="0.2">
      <c r="A9307" s="344">
        <v>2025</v>
      </c>
      <c r="B9307" s="344">
        <v>7</v>
      </c>
      <c r="C9307" s="344">
        <v>17</v>
      </c>
      <c r="D9307" s="345">
        <f t="shared" si="1136"/>
        <v>45855</v>
      </c>
      <c r="E9307" s="346">
        <f t="shared" si="1148"/>
        <v>45855</v>
      </c>
      <c r="F9307" s="518" t="s">
        <v>2053</v>
      </c>
      <c r="G9307" s="347" t="s">
        <v>1245</v>
      </c>
      <c r="H9307" s="348"/>
      <c r="I9307" s="348" t="s">
        <v>1253</v>
      </c>
      <c r="J9307" s="344" t="s">
        <v>113</v>
      </c>
      <c r="K9307" s="349">
        <v>11634.615384615385</v>
      </c>
      <c r="L9307" s="349"/>
    </row>
    <row r="9308" spans="1:16" ht="11.25" customHeight="1" x14ac:dyDescent="0.2">
      <c r="A9308" s="350">
        <v>2025</v>
      </c>
      <c r="B9308" s="350">
        <v>7</v>
      </c>
      <c r="C9308" s="350">
        <v>17</v>
      </c>
      <c r="D9308" s="351">
        <f t="shared" si="1136"/>
        <v>45855</v>
      </c>
      <c r="E9308" s="352">
        <f t="shared" si="1148"/>
        <v>45855</v>
      </c>
      <c r="F9308" s="519"/>
      <c r="G9308" s="353" t="s">
        <v>1245</v>
      </c>
      <c r="H9308" s="354"/>
      <c r="I9308" s="354" t="s">
        <v>1253</v>
      </c>
      <c r="J9308" s="350" t="s">
        <v>153</v>
      </c>
      <c r="K9308" s="355"/>
      <c r="L9308" s="355">
        <f t="shared" ref="L9308" si="1150">K9307</f>
        <v>11634.615384615385</v>
      </c>
    </row>
    <row r="9309" spans="1:16" ht="11.25" customHeight="1" x14ac:dyDescent="0.2">
      <c r="A9309" s="210">
        <v>2025</v>
      </c>
      <c r="B9309" s="210">
        <v>7</v>
      </c>
      <c r="C9309" s="210">
        <v>17</v>
      </c>
      <c r="D9309" s="211">
        <f t="shared" si="1136"/>
        <v>45855</v>
      </c>
      <c r="E9309" s="238">
        <f t="shared" si="1148"/>
        <v>45855</v>
      </c>
      <c r="F9309" s="520" t="s">
        <v>1857</v>
      </c>
      <c r="G9309" s="213" t="s">
        <v>1245</v>
      </c>
      <c r="H9309" s="214"/>
      <c r="I9309" s="214" t="s">
        <v>1253</v>
      </c>
      <c r="J9309" s="210" t="s">
        <v>1284</v>
      </c>
      <c r="K9309" s="215">
        <v>2341.8114143920593</v>
      </c>
      <c r="L9309" s="215"/>
    </row>
    <row r="9310" spans="1:16" ht="11.25" customHeight="1" x14ac:dyDescent="0.2">
      <c r="A9310" s="242">
        <v>2025</v>
      </c>
      <c r="B9310" s="242">
        <v>7</v>
      </c>
      <c r="C9310" s="242">
        <v>17</v>
      </c>
      <c r="D9310" s="243">
        <f t="shared" si="1136"/>
        <v>45855</v>
      </c>
      <c r="E9310" s="244">
        <f>DATE(A9310,B9310,C9310)</f>
        <v>45855</v>
      </c>
      <c r="F9310" s="524"/>
      <c r="G9310" s="245" t="s">
        <v>1245</v>
      </c>
      <c r="H9310" s="246"/>
      <c r="I9310" s="246"/>
      <c r="J9310" s="242" t="s">
        <v>1582</v>
      </c>
      <c r="K9310" s="247"/>
      <c r="L9310" s="247">
        <f>K9309</f>
        <v>2341.8114143920593</v>
      </c>
    </row>
    <row r="9311" spans="1:16" ht="11.25" customHeight="1" x14ac:dyDescent="0.2">
      <c r="A9311" s="210">
        <v>2025</v>
      </c>
      <c r="B9311" s="210">
        <v>7</v>
      </c>
      <c r="C9311" s="210">
        <v>17</v>
      </c>
      <c r="D9311" s="211">
        <f t="shared" si="1136"/>
        <v>45855</v>
      </c>
      <c r="E9311" s="238">
        <f t="shared" ref="E9311:E9338" si="1151">DATE(A9311,B9311,C9311)</f>
        <v>45855</v>
      </c>
      <c r="F9311" s="520" t="s">
        <v>2055</v>
      </c>
      <c r="G9311" s="213" t="s">
        <v>1245</v>
      </c>
      <c r="H9311" s="214"/>
      <c r="I9311" s="214" t="s">
        <v>1253</v>
      </c>
      <c r="J9311" s="210" t="s">
        <v>58</v>
      </c>
      <c r="K9311" s="215">
        <v>20164.37</v>
      </c>
      <c r="L9311" s="215"/>
    </row>
    <row r="9312" spans="1:16" ht="11.25" customHeight="1" x14ac:dyDescent="0.2">
      <c r="A9312" s="216">
        <v>2025</v>
      </c>
      <c r="B9312" s="216">
        <v>7</v>
      </c>
      <c r="C9312" s="216">
        <v>17</v>
      </c>
      <c r="D9312" s="217">
        <f t="shared" si="1136"/>
        <v>45855</v>
      </c>
      <c r="E9312" s="239">
        <f t="shared" si="1151"/>
        <v>45855</v>
      </c>
      <c r="F9312" s="521"/>
      <c r="G9312" s="219" t="s">
        <v>1245</v>
      </c>
      <c r="H9312" s="220"/>
      <c r="I9312" s="220" t="s">
        <v>1253</v>
      </c>
      <c r="J9312" s="216" t="s">
        <v>153</v>
      </c>
      <c r="K9312" s="221"/>
      <c r="L9312" s="221">
        <f>K9311</f>
        <v>20164.37</v>
      </c>
    </row>
    <row r="9313" spans="1:13" ht="11.25" customHeight="1" x14ac:dyDescent="0.2">
      <c r="A9313" s="312">
        <v>2025</v>
      </c>
      <c r="B9313" s="312">
        <v>7</v>
      </c>
      <c r="C9313" s="312">
        <v>17</v>
      </c>
      <c r="D9313" s="313">
        <f t="shared" si="1136"/>
        <v>45855</v>
      </c>
      <c r="E9313" s="314">
        <f t="shared" si="1151"/>
        <v>45855</v>
      </c>
      <c r="F9313" s="522" t="s">
        <v>1477</v>
      </c>
      <c r="G9313" s="315" t="s">
        <v>1245</v>
      </c>
      <c r="H9313" s="316"/>
      <c r="I9313" s="316" t="s">
        <v>1253</v>
      </c>
      <c r="J9313" s="312" t="s">
        <v>1458</v>
      </c>
      <c r="K9313" s="317">
        <v>0</v>
      </c>
      <c r="L9313" s="317"/>
    </row>
    <row r="9314" spans="1:13" ht="11.25" customHeight="1" x14ac:dyDescent="0.2">
      <c r="A9314" s="318">
        <v>2025</v>
      </c>
      <c r="B9314" s="318">
        <v>7</v>
      </c>
      <c r="C9314" s="318">
        <v>17</v>
      </c>
      <c r="D9314" s="319">
        <f t="shared" si="1136"/>
        <v>45855</v>
      </c>
      <c r="E9314" s="320">
        <f t="shared" si="1151"/>
        <v>45855</v>
      </c>
      <c r="F9314" s="523"/>
      <c r="G9314" s="321" t="s">
        <v>1245</v>
      </c>
      <c r="H9314" s="322"/>
      <c r="I9314" s="322" t="s">
        <v>1253</v>
      </c>
      <c r="J9314" s="318" t="s">
        <v>1460</v>
      </c>
      <c r="K9314" s="323"/>
      <c r="L9314" s="323">
        <f>K9313</f>
        <v>0</v>
      </c>
    </row>
    <row r="9315" spans="1:13" ht="11.25" customHeight="1" x14ac:dyDescent="0.2">
      <c r="A9315" s="312">
        <v>2025</v>
      </c>
      <c r="B9315" s="312">
        <v>7</v>
      </c>
      <c r="C9315" s="312">
        <v>17</v>
      </c>
      <c r="D9315" s="313">
        <f t="shared" si="1136"/>
        <v>45855</v>
      </c>
      <c r="E9315" s="314">
        <f t="shared" si="1151"/>
        <v>45855</v>
      </c>
      <c r="F9315" s="522" t="s">
        <v>1595</v>
      </c>
      <c r="G9315" s="315" t="s">
        <v>1245</v>
      </c>
      <c r="H9315" s="316"/>
      <c r="I9315" s="316" t="s">
        <v>1253</v>
      </c>
      <c r="J9315" s="312" t="s">
        <v>1461</v>
      </c>
      <c r="K9315" s="317">
        <v>5264281.6919999719</v>
      </c>
      <c r="L9315" s="317"/>
      <c r="M9315" s="328">
        <f>BS!I14</f>
        <v>0</v>
      </c>
    </row>
    <row r="9316" spans="1:13" ht="11.25" customHeight="1" x14ac:dyDescent="0.2">
      <c r="A9316" s="318">
        <v>2025</v>
      </c>
      <c r="B9316" s="318">
        <v>7</v>
      </c>
      <c r="C9316" s="318">
        <v>17</v>
      </c>
      <c r="D9316" s="319">
        <f t="shared" si="1136"/>
        <v>45855</v>
      </c>
      <c r="E9316" s="320">
        <f t="shared" si="1151"/>
        <v>45855</v>
      </c>
      <c r="F9316" s="523"/>
      <c r="G9316" s="321" t="s">
        <v>1245</v>
      </c>
      <c r="H9316" s="322"/>
      <c r="I9316" s="322" t="s">
        <v>1253</v>
      </c>
      <c r="J9316" s="318" t="s">
        <v>1459</v>
      </c>
      <c r="K9316" s="323"/>
      <c r="L9316" s="323">
        <f>K9315</f>
        <v>5264281.6919999719</v>
      </c>
      <c r="M9316" s="328"/>
    </row>
    <row r="9317" spans="1:13" ht="11.25" customHeight="1" x14ac:dyDescent="0.2">
      <c r="A9317" s="222">
        <v>2025</v>
      </c>
      <c r="B9317" s="222">
        <v>7</v>
      </c>
      <c r="C9317" s="222">
        <v>17</v>
      </c>
      <c r="D9317" s="223">
        <f t="shared" si="1136"/>
        <v>45855</v>
      </c>
      <c r="E9317" s="240">
        <f t="shared" si="1151"/>
        <v>45855</v>
      </c>
      <c r="F9317" s="511" t="s">
        <v>1244</v>
      </c>
      <c r="G9317" s="225" t="s">
        <v>1245</v>
      </c>
      <c r="H9317" s="226"/>
      <c r="I9317" s="226" t="s">
        <v>1253</v>
      </c>
      <c r="J9317" s="222" t="s">
        <v>87</v>
      </c>
      <c r="K9317" s="227">
        <v>0.26355428248643875</v>
      </c>
      <c r="L9317" s="227"/>
      <c r="M9317" s="328">
        <f>BS!I7</f>
        <v>0</v>
      </c>
    </row>
    <row r="9318" spans="1:13" ht="11.25" customHeight="1" x14ac:dyDescent="0.2">
      <c r="A9318" s="228">
        <v>2025</v>
      </c>
      <c r="B9318" s="228">
        <v>7</v>
      </c>
      <c r="C9318" s="228">
        <v>17</v>
      </c>
      <c r="D9318" s="229">
        <f t="shared" si="1136"/>
        <v>45855</v>
      </c>
      <c r="E9318" s="241">
        <f t="shared" si="1151"/>
        <v>45855</v>
      </c>
      <c r="F9318" s="512"/>
      <c r="G9318" s="231" t="s">
        <v>1245</v>
      </c>
      <c r="H9318" s="232"/>
      <c r="I9318" s="232" t="s">
        <v>1253</v>
      </c>
      <c r="J9318" s="228" t="s">
        <v>72</v>
      </c>
      <c r="K9318" s="233"/>
      <c r="L9318" s="233">
        <f>K9317</f>
        <v>0.26355428248643875</v>
      </c>
    </row>
    <row r="9319" spans="1:13" ht="11.25" customHeight="1" x14ac:dyDescent="0.2">
      <c r="A9319" s="222">
        <v>2025</v>
      </c>
      <c r="B9319" s="222">
        <v>7</v>
      </c>
      <c r="C9319" s="222">
        <v>17</v>
      </c>
      <c r="D9319" s="223">
        <f t="shared" si="1136"/>
        <v>45855</v>
      </c>
      <c r="E9319" s="240">
        <f t="shared" si="1151"/>
        <v>45855</v>
      </c>
      <c r="F9319" s="511" t="s">
        <v>1246</v>
      </c>
      <c r="G9319" s="225" t="s">
        <v>1245</v>
      </c>
      <c r="H9319" s="226"/>
      <c r="I9319" s="226" t="s">
        <v>1253</v>
      </c>
      <c r="J9319" s="222" t="s">
        <v>75</v>
      </c>
      <c r="K9319" s="227">
        <v>3623.123846153846</v>
      </c>
      <c r="L9319" s="227"/>
    </row>
    <row r="9320" spans="1:13" ht="11.25" customHeight="1" x14ac:dyDescent="0.2">
      <c r="A9320" s="228">
        <v>2025</v>
      </c>
      <c r="B9320" s="228">
        <v>7</v>
      </c>
      <c r="C9320" s="228">
        <v>17</v>
      </c>
      <c r="D9320" s="229">
        <f t="shared" si="1136"/>
        <v>45855</v>
      </c>
      <c r="E9320" s="241">
        <f t="shared" si="1151"/>
        <v>45855</v>
      </c>
      <c r="F9320" s="512"/>
      <c r="G9320" s="231" t="s">
        <v>1245</v>
      </c>
      <c r="H9320" s="232"/>
      <c r="I9320" s="232" t="s">
        <v>1253</v>
      </c>
      <c r="J9320" s="228" t="s">
        <v>55</v>
      </c>
      <c r="K9320" s="233"/>
      <c r="L9320" s="233">
        <f>K9319</f>
        <v>3623.123846153846</v>
      </c>
    </row>
    <row r="9321" spans="1:13" ht="11.25" customHeight="1" x14ac:dyDescent="0.2">
      <c r="A9321" s="222">
        <v>2025</v>
      </c>
      <c r="B9321" s="222">
        <v>7</v>
      </c>
      <c r="C9321" s="222">
        <v>17</v>
      </c>
      <c r="D9321" s="223">
        <f t="shared" si="1136"/>
        <v>45855</v>
      </c>
      <c r="E9321" s="240">
        <f t="shared" si="1151"/>
        <v>45855</v>
      </c>
      <c r="F9321" s="511" t="s">
        <v>1247</v>
      </c>
      <c r="G9321" s="225" t="s">
        <v>1245</v>
      </c>
      <c r="H9321" s="226"/>
      <c r="I9321" s="226" t="s">
        <v>1253</v>
      </c>
      <c r="J9321" s="222" t="s">
        <v>77</v>
      </c>
      <c r="K9321" s="227">
        <f>M9321</f>
        <v>60646.486714119434</v>
      </c>
      <c r="L9321" s="227"/>
      <c r="M9321" s="120">
        <v>60646.486714119434</v>
      </c>
    </row>
    <row r="9322" spans="1:13" ht="11.25" customHeight="1" x14ac:dyDescent="0.2">
      <c r="A9322" s="228">
        <v>2025</v>
      </c>
      <c r="B9322" s="228">
        <v>7</v>
      </c>
      <c r="C9322" s="228">
        <v>17</v>
      </c>
      <c r="D9322" s="229">
        <f t="shared" si="1136"/>
        <v>45855</v>
      </c>
      <c r="E9322" s="241">
        <f t="shared" si="1151"/>
        <v>45855</v>
      </c>
      <c r="F9322" s="512"/>
      <c r="G9322" s="231" t="s">
        <v>1245</v>
      </c>
      <c r="H9322" s="232"/>
      <c r="I9322" s="232" t="s">
        <v>1253</v>
      </c>
      <c r="J9322" s="228" t="s">
        <v>41</v>
      </c>
      <c r="K9322" s="233"/>
      <c r="L9322" s="233">
        <f>K9321</f>
        <v>60646.486714119434</v>
      </c>
      <c r="M9322" s="120">
        <v>6064.6486714119428</v>
      </c>
    </row>
    <row r="9323" spans="1:13" ht="11.25" customHeight="1" x14ac:dyDescent="0.2">
      <c r="A9323" s="222">
        <v>2025</v>
      </c>
      <c r="B9323" s="222">
        <v>7</v>
      </c>
      <c r="C9323" s="222">
        <v>17</v>
      </c>
      <c r="D9323" s="223">
        <f t="shared" si="1136"/>
        <v>45855</v>
      </c>
      <c r="E9323" s="240">
        <f t="shared" si="1151"/>
        <v>45855</v>
      </c>
      <c r="F9323" s="511" t="s">
        <v>1248</v>
      </c>
      <c r="G9323" s="225" t="s">
        <v>1245</v>
      </c>
      <c r="H9323" s="226"/>
      <c r="I9323" s="226" t="s">
        <v>1253</v>
      </c>
      <c r="J9323" s="222" t="s">
        <v>80</v>
      </c>
      <c r="K9323" s="227">
        <f>M9322</f>
        <v>6064.6486714119428</v>
      </c>
      <c r="L9323" s="227"/>
    </row>
    <row r="9324" spans="1:13" ht="11.25" customHeight="1" x14ac:dyDescent="0.2">
      <c r="A9324" s="228">
        <v>2025</v>
      </c>
      <c r="B9324" s="228">
        <v>7</v>
      </c>
      <c r="C9324" s="228">
        <v>17</v>
      </c>
      <c r="D9324" s="229">
        <f t="shared" ref="D9324:D9387" si="1152">DATE(A9324,B9324,C9324)</f>
        <v>45855</v>
      </c>
      <c r="E9324" s="241">
        <f t="shared" si="1151"/>
        <v>45855</v>
      </c>
      <c r="F9324" s="512"/>
      <c r="G9324" s="231" t="s">
        <v>1245</v>
      </c>
      <c r="H9324" s="232"/>
      <c r="I9324" s="232" t="s">
        <v>1253</v>
      </c>
      <c r="J9324" s="228" t="s">
        <v>42</v>
      </c>
      <c r="K9324" s="233"/>
      <c r="L9324" s="233">
        <f>K9323</f>
        <v>6064.6486714119428</v>
      </c>
    </row>
    <row r="9325" spans="1:13" x14ac:dyDescent="0.2">
      <c r="A9325" s="197">
        <v>2025</v>
      </c>
      <c r="B9325" s="197">
        <v>7</v>
      </c>
      <c r="C9325" s="197">
        <v>20</v>
      </c>
      <c r="D9325" s="198">
        <f t="shared" si="1152"/>
        <v>45858</v>
      </c>
      <c r="E9325" s="209">
        <f t="shared" si="1151"/>
        <v>45858</v>
      </c>
      <c r="F9325" s="513" t="s">
        <v>1210</v>
      </c>
      <c r="G9325" s="200" t="s">
        <v>1209</v>
      </c>
      <c r="H9325" s="201"/>
      <c r="I9325" s="201"/>
      <c r="J9325" s="197" t="s">
        <v>46</v>
      </c>
      <c r="K9325" s="202">
        <v>150000</v>
      </c>
      <c r="L9325" s="202"/>
    </row>
    <row r="9326" spans="1:13" x14ac:dyDescent="0.2">
      <c r="A9326" s="120">
        <v>2025</v>
      </c>
      <c r="B9326" s="120">
        <v>7</v>
      </c>
      <c r="C9326" s="120">
        <v>20</v>
      </c>
      <c r="D9326" s="208">
        <f t="shared" si="1152"/>
        <v>45858</v>
      </c>
      <c r="E9326" s="209">
        <f t="shared" si="1151"/>
        <v>45858</v>
      </c>
      <c r="F9326" s="515"/>
      <c r="G9326" s="132" t="s">
        <v>1209</v>
      </c>
      <c r="J9326" s="120" t="s">
        <v>16</v>
      </c>
      <c r="K9326" s="207"/>
      <c r="L9326" s="207">
        <v>118300</v>
      </c>
    </row>
    <row r="9327" spans="1:13" x14ac:dyDescent="0.2">
      <c r="A9327" s="191">
        <v>2025</v>
      </c>
      <c r="B9327" s="191">
        <v>7</v>
      </c>
      <c r="C9327" s="191">
        <v>20</v>
      </c>
      <c r="D9327" s="192">
        <f t="shared" si="1152"/>
        <v>45858</v>
      </c>
      <c r="E9327" s="193">
        <f t="shared" si="1151"/>
        <v>45858</v>
      </c>
      <c r="F9327" s="514"/>
      <c r="G9327" s="194" t="s">
        <v>1209</v>
      </c>
      <c r="H9327" s="195"/>
      <c r="I9327" s="195"/>
      <c r="J9327" s="191" t="s">
        <v>47</v>
      </c>
      <c r="K9327" s="196"/>
      <c r="L9327" s="196">
        <v>31700</v>
      </c>
    </row>
    <row r="9328" spans="1:13" ht="11.25" customHeight="1" x14ac:dyDescent="0.2">
      <c r="A9328" s="197">
        <v>2025</v>
      </c>
      <c r="B9328" s="197">
        <v>7</v>
      </c>
      <c r="C9328" s="197">
        <v>20</v>
      </c>
      <c r="D9328" s="198">
        <f t="shared" si="1152"/>
        <v>45858</v>
      </c>
      <c r="E9328" s="199">
        <f t="shared" si="1151"/>
        <v>45858</v>
      </c>
      <c r="F9328" s="513" t="s">
        <v>1870</v>
      </c>
      <c r="G9328" s="200" t="s">
        <v>1209</v>
      </c>
      <c r="H9328" s="201"/>
      <c r="I9328" s="201" t="s">
        <v>1253</v>
      </c>
      <c r="J9328" s="197" t="s">
        <v>1837</v>
      </c>
      <c r="K9328" s="202">
        <v>538095.43000000005</v>
      </c>
      <c r="L9328" s="202"/>
    </row>
    <row r="9329" spans="1:14" ht="11.25" customHeight="1" x14ac:dyDescent="0.2">
      <c r="A9329" s="191">
        <v>2025</v>
      </c>
      <c r="B9329" s="191">
        <v>7</v>
      </c>
      <c r="C9329" s="191">
        <v>20</v>
      </c>
      <c r="D9329" s="192">
        <f t="shared" si="1152"/>
        <v>45858</v>
      </c>
      <c r="E9329" s="193">
        <f t="shared" si="1151"/>
        <v>45858</v>
      </c>
      <c r="F9329" s="514"/>
      <c r="G9329" s="194" t="s">
        <v>1209</v>
      </c>
      <c r="H9329" s="195"/>
      <c r="I9329" s="195" t="s">
        <v>1253</v>
      </c>
      <c r="J9329" s="191" t="s">
        <v>46</v>
      </c>
      <c r="K9329" s="196"/>
      <c r="L9329" s="196">
        <v>538095.43000000005</v>
      </c>
      <c r="N9329" s="130"/>
    </row>
    <row r="9330" spans="1:14" ht="11.25" customHeight="1" x14ac:dyDescent="0.2">
      <c r="A9330" s="197">
        <v>2025</v>
      </c>
      <c r="B9330" s="197">
        <v>7</v>
      </c>
      <c r="C9330" s="197">
        <v>21</v>
      </c>
      <c r="D9330" s="198">
        <f t="shared" si="1152"/>
        <v>45859</v>
      </c>
      <c r="E9330" s="209">
        <f t="shared" si="1151"/>
        <v>45859</v>
      </c>
      <c r="F9330" s="513" t="s">
        <v>1280</v>
      </c>
      <c r="G9330" s="200" t="s">
        <v>1209</v>
      </c>
      <c r="H9330" s="201"/>
      <c r="I9330" s="201"/>
      <c r="J9330" s="197" t="s">
        <v>16</v>
      </c>
      <c r="K9330" s="202">
        <v>158000</v>
      </c>
      <c r="L9330" s="202"/>
    </row>
    <row r="9331" spans="1:14" ht="11.25" customHeight="1" x14ac:dyDescent="0.2">
      <c r="A9331" s="120">
        <v>2025</v>
      </c>
      <c r="B9331" s="120">
        <v>7</v>
      </c>
      <c r="C9331" s="120">
        <v>21</v>
      </c>
      <c r="D9331" s="208">
        <f t="shared" si="1152"/>
        <v>45859</v>
      </c>
      <c r="E9331" s="209">
        <f t="shared" si="1151"/>
        <v>45859</v>
      </c>
      <c r="F9331" s="515"/>
      <c r="G9331" s="132" t="s">
        <v>1209</v>
      </c>
      <c r="J9331" s="120" t="s">
        <v>47</v>
      </c>
      <c r="K9331" s="207">
        <v>42344</v>
      </c>
      <c r="L9331" s="207"/>
    </row>
    <row r="9332" spans="1:14" ht="11.25" customHeight="1" x14ac:dyDescent="0.2">
      <c r="A9332" s="191">
        <v>2025</v>
      </c>
      <c r="B9332" s="191">
        <v>7</v>
      </c>
      <c r="C9332" s="191">
        <v>21</v>
      </c>
      <c r="D9332" s="192">
        <f t="shared" si="1152"/>
        <v>45859</v>
      </c>
      <c r="E9332" s="193">
        <f t="shared" si="1151"/>
        <v>45859</v>
      </c>
      <c r="F9332" s="514"/>
      <c r="G9332" s="194" t="s">
        <v>1209</v>
      </c>
      <c r="H9332" s="195"/>
      <c r="I9332" s="195"/>
      <c r="J9332" s="191" t="s">
        <v>46</v>
      </c>
      <c r="K9332" s="196"/>
      <c r="L9332" s="196">
        <v>200344</v>
      </c>
    </row>
    <row r="9333" spans="1:14" ht="11.25" customHeight="1" x14ac:dyDescent="0.2">
      <c r="A9333" s="197">
        <v>2025</v>
      </c>
      <c r="B9333" s="197">
        <v>7</v>
      </c>
      <c r="C9333" s="197">
        <v>21</v>
      </c>
      <c r="D9333" s="198">
        <f t="shared" si="1152"/>
        <v>45859</v>
      </c>
      <c r="E9333" s="209">
        <f t="shared" ref="E9333:E9335" si="1153">DATE(A9333,B9333,C9333)</f>
        <v>45859</v>
      </c>
      <c r="F9333" s="513" t="s">
        <v>1280</v>
      </c>
      <c r="G9333" s="200" t="s">
        <v>1209</v>
      </c>
      <c r="H9333" s="201"/>
      <c r="I9333" s="201"/>
      <c r="J9333" s="197" t="s">
        <v>16</v>
      </c>
      <c r="K9333" s="202">
        <v>39430</v>
      </c>
      <c r="L9333" s="202"/>
    </row>
    <row r="9334" spans="1:14" ht="11.25" customHeight="1" x14ac:dyDescent="0.2">
      <c r="A9334" s="120">
        <v>2025</v>
      </c>
      <c r="B9334" s="120">
        <v>7</v>
      </c>
      <c r="C9334" s="120">
        <v>21</v>
      </c>
      <c r="D9334" s="208">
        <f t="shared" si="1152"/>
        <v>45859</v>
      </c>
      <c r="E9334" s="209">
        <f t="shared" si="1153"/>
        <v>45859</v>
      </c>
      <c r="F9334" s="515"/>
      <c r="G9334" s="132" t="s">
        <v>1209</v>
      </c>
      <c r="J9334" s="120" t="s">
        <v>47</v>
      </c>
      <c r="K9334" s="207">
        <v>10570</v>
      </c>
      <c r="L9334" s="207"/>
    </row>
    <row r="9335" spans="1:14" ht="11.25" customHeight="1" x14ac:dyDescent="0.2">
      <c r="A9335" s="191">
        <v>2025</v>
      </c>
      <c r="B9335" s="191">
        <v>7</v>
      </c>
      <c r="C9335" s="191">
        <v>21</v>
      </c>
      <c r="D9335" s="192">
        <f t="shared" si="1152"/>
        <v>45859</v>
      </c>
      <c r="E9335" s="193">
        <f t="shared" si="1153"/>
        <v>45859</v>
      </c>
      <c r="F9335" s="514"/>
      <c r="G9335" s="194" t="s">
        <v>1209</v>
      </c>
      <c r="H9335" s="195"/>
      <c r="I9335" s="195"/>
      <c r="J9335" s="191" t="s">
        <v>46</v>
      </c>
      <c r="K9335" s="196"/>
      <c r="L9335" s="196">
        <v>50000</v>
      </c>
    </row>
    <row r="9336" spans="1:14" ht="11.25" customHeight="1" x14ac:dyDescent="0.2">
      <c r="A9336" s="197">
        <v>2025</v>
      </c>
      <c r="B9336" s="197">
        <v>7</v>
      </c>
      <c r="C9336" s="197">
        <v>21</v>
      </c>
      <c r="D9336" s="198">
        <f t="shared" si="1152"/>
        <v>45859</v>
      </c>
      <c r="E9336" s="209">
        <f t="shared" si="1151"/>
        <v>45859</v>
      </c>
      <c r="F9336" s="513" t="s">
        <v>1280</v>
      </c>
      <c r="G9336" s="200" t="s">
        <v>1209</v>
      </c>
      <c r="H9336" s="201"/>
      <c r="I9336" s="201"/>
      <c r="J9336" s="197" t="s">
        <v>16</v>
      </c>
      <c r="K9336" s="202">
        <v>473190</v>
      </c>
      <c r="L9336" s="202"/>
    </row>
    <row r="9337" spans="1:14" ht="11.25" customHeight="1" x14ac:dyDescent="0.2">
      <c r="A9337" s="120">
        <v>2025</v>
      </c>
      <c r="B9337" s="120">
        <v>7</v>
      </c>
      <c r="C9337" s="120">
        <v>21</v>
      </c>
      <c r="D9337" s="208">
        <f t="shared" si="1152"/>
        <v>45859</v>
      </c>
      <c r="E9337" s="209">
        <f t="shared" si="1151"/>
        <v>45859</v>
      </c>
      <c r="F9337" s="515"/>
      <c r="G9337" s="132" t="s">
        <v>1209</v>
      </c>
      <c r="J9337" s="120" t="s">
        <v>47</v>
      </c>
      <c r="K9337" s="207">
        <v>126810</v>
      </c>
      <c r="L9337" s="207"/>
    </row>
    <row r="9338" spans="1:14" ht="11.25" customHeight="1" x14ac:dyDescent="0.2">
      <c r="A9338" s="191">
        <v>2025</v>
      </c>
      <c r="B9338" s="191">
        <v>7</v>
      </c>
      <c r="C9338" s="191">
        <v>21</v>
      </c>
      <c r="D9338" s="192">
        <f t="shared" si="1152"/>
        <v>45859</v>
      </c>
      <c r="E9338" s="193">
        <f t="shared" si="1151"/>
        <v>45859</v>
      </c>
      <c r="F9338" s="514"/>
      <c r="G9338" s="194" t="s">
        <v>1209</v>
      </c>
      <c r="H9338" s="195"/>
      <c r="I9338" s="195"/>
      <c r="J9338" s="191" t="s">
        <v>46</v>
      </c>
      <c r="K9338" s="196"/>
      <c r="L9338" s="196">
        <v>600000</v>
      </c>
    </row>
    <row r="9339" spans="1:14" ht="11.25" customHeight="1" x14ac:dyDescent="0.2">
      <c r="A9339" s="197">
        <v>2025</v>
      </c>
      <c r="B9339" s="197">
        <v>7</v>
      </c>
      <c r="C9339" s="197">
        <v>21</v>
      </c>
      <c r="D9339" s="198">
        <f t="shared" si="1152"/>
        <v>45859</v>
      </c>
      <c r="E9339" s="209">
        <f t="shared" ref="E9339:E9341" si="1154">DATE(A9339,B9339,C9339)</f>
        <v>45859</v>
      </c>
      <c r="F9339" s="513" t="s">
        <v>1280</v>
      </c>
      <c r="G9339" s="200" t="s">
        <v>1209</v>
      </c>
      <c r="H9339" s="201"/>
      <c r="I9339" s="201"/>
      <c r="J9339" s="197" t="s">
        <v>16</v>
      </c>
      <c r="K9339" s="202">
        <v>7890</v>
      </c>
      <c r="L9339" s="202"/>
    </row>
    <row r="9340" spans="1:14" ht="11.25" customHeight="1" x14ac:dyDescent="0.2">
      <c r="A9340" s="120">
        <v>2025</v>
      </c>
      <c r="B9340" s="120">
        <v>7</v>
      </c>
      <c r="C9340" s="120">
        <v>21</v>
      </c>
      <c r="D9340" s="208">
        <f t="shared" si="1152"/>
        <v>45859</v>
      </c>
      <c r="E9340" s="209">
        <f t="shared" si="1154"/>
        <v>45859</v>
      </c>
      <c r="F9340" s="515"/>
      <c r="G9340" s="132" t="s">
        <v>1209</v>
      </c>
      <c r="J9340" s="120" t="s">
        <v>47</v>
      </c>
      <c r="K9340" s="207">
        <v>2110</v>
      </c>
      <c r="L9340" s="207"/>
    </row>
    <row r="9341" spans="1:14" ht="11.25" customHeight="1" x14ac:dyDescent="0.2">
      <c r="A9341" s="191">
        <v>2025</v>
      </c>
      <c r="B9341" s="191">
        <v>7</v>
      </c>
      <c r="C9341" s="191">
        <v>21</v>
      </c>
      <c r="D9341" s="192">
        <f t="shared" si="1152"/>
        <v>45859</v>
      </c>
      <c r="E9341" s="193">
        <f t="shared" si="1154"/>
        <v>45859</v>
      </c>
      <c r="F9341" s="514"/>
      <c r="G9341" s="194" t="s">
        <v>1209</v>
      </c>
      <c r="H9341" s="195"/>
      <c r="I9341" s="195"/>
      <c r="J9341" s="191" t="s">
        <v>46</v>
      </c>
      <c r="K9341" s="196"/>
      <c r="L9341" s="196">
        <v>10000</v>
      </c>
    </row>
    <row r="9342" spans="1:14" ht="11.25" customHeight="1" x14ac:dyDescent="0.2">
      <c r="A9342" s="197">
        <v>2025</v>
      </c>
      <c r="B9342" s="197">
        <v>7</v>
      </c>
      <c r="C9342" s="197">
        <v>22</v>
      </c>
      <c r="D9342" s="198">
        <f t="shared" si="1152"/>
        <v>45860</v>
      </c>
      <c r="E9342" s="290">
        <f>DATE(A9342,B9342,C9342)</f>
        <v>45860</v>
      </c>
      <c r="F9342" s="513" t="s">
        <v>2064</v>
      </c>
      <c r="G9342" s="200" t="s">
        <v>1209</v>
      </c>
      <c r="H9342" s="201"/>
      <c r="I9342" s="201" t="s">
        <v>1253</v>
      </c>
      <c r="J9342" s="197" t="s">
        <v>46</v>
      </c>
      <c r="K9342" s="202">
        <v>1208000</v>
      </c>
      <c r="L9342" s="202"/>
    </row>
    <row r="9343" spans="1:14" ht="11.25" customHeight="1" x14ac:dyDescent="0.2">
      <c r="A9343" s="191">
        <v>2025</v>
      </c>
      <c r="B9343" s="191">
        <v>7</v>
      </c>
      <c r="C9343" s="191">
        <v>22</v>
      </c>
      <c r="D9343" s="192">
        <f t="shared" si="1152"/>
        <v>45860</v>
      </c>
      <c r="E9343" s="291">
        <f>DATE(A9343,B9343,C9343)</f>
        <v>45860</v>
      </c>
      <c r="F9343" s="514"/>
      <c r="G9343" s="194" t="s">
        <v>1209</v>
      </c>
      <c r="H9343" s="195"/>
      <c r="I9343" s="195"/>
      <c r="J9343" s="191" t="s">
        <v>1845</v>
      </c>
      <c r="K9343" s="196"/>
      <c r="L9343" s="196">
        <v>1208000</v>
      </c>
    </row>
    <row r="9344" spans="1:14" x14ac:dyDescent="0.2">
      <c r="A9344" s="197">
        <v>2025</v>
      </c>
      <c r="B9344" s="197">
        <v>7</v>
      </c>
      <c r="C9344" s="197">
        <v>22</v>
      </c>
      <c r="D9344" s="198">
        <f t="shared" si="1152"/>
        <v>45860</v>
      </c>
      <c r="E9344" s="209">
        <f t="shared" ref="E9344:E9346" si="1155">DATE(A9344,B9344,C9344)</f>
        <v>45860</v>
      </c>
      <c r="F9344" s="513" t="s">
        <v>1210</v>
      </c>
      <c r="G9344" s="200" t="s">
        <v>1209</v>
      </c>
      <c r="H9344" s="201"/>
      <c r="I9344" s="201"/>
      <c r="J9344" s="197" t="s">
        <v>46</v>
      </c>
      <c r="K9344" s="202">
        <v>565000</v>
      </c>
      <c r="L9344" s="202"/>
    </row>
    <row r="9345" spans="1:15" x14ac:dyDescent="0.2">
      <c r="A9345" s="120">
        <v>2025</v>
      </c>
      <c r="B9345" s="120">
        <v>7</v>
      </c>
      <c r="C9345" s="120">
        <v>22</v>
      </c>
      <c r="D9345" s="208">
        <f t="shared" si="1152"/>
        <v>45860</v>
      </c>
      <c r="E9345" s="209">
        <f t="shared" si="1155"/>
        <v>45860</v>
      </c>
      <c r="F9345" s="515"/>
      <c r="G9345" s="132" t="s">
        <v>1209</v>
      </c>
      <c r="J9345" s="120" t="s">
        <v>16</v>
      </c>
      <c r="K9345" s="207"/>
      <c r="L9345" s="207">
        <v>445580</v>
      </c>
    </row>
    <row r="9346" spans="1:15" x14ac:dyDescent="0.2">
      <c r="A9346" s="191">
        <v>2025</v>
      </c>
      <c r="B9346" s="191">
        <v>7</v>
      </c>
      <c r="C9346" s="191">
        <v>22</v>
      </c>
      <c r="D9346" s="192">
        <f t="shared" si="1152"/>
        <v>45860</v>
      </c>
      <c r="E9346" s="193">
        <f t="shared" si="1155"/>
        <v>45860</v>
      </c>
      <c r="F9346" s="514"/>
      <c r="G9346" s="194" t="s">
        <v>1209</v>
      </c>
      <c r="H9346" s="195"/>
      <c r="I9346" s="195"/>
      <c r="J9346" s="191" t="s">
        <v>47</v>
      </c>
      <c r="K9346" s="196"/>
      <c r="L9346" s="196">
        <v>119420</v>
      </c>
    </row>
    <row r="9347" spans="1:15" x14ac:dyDescent="0.2">
      <c r="A9347" s="197">
        <v>2025</v>
      </c>
      <c r="B9347" s="197">
        <v>7</v>
      </c>
      <c r="C9347" s="197">
        <v>22</v>
      </c>
      <c r="D9347" s="198">
        <f t="shared" si="1152"/>
        <v>45860</v>
      </c>
      <c r="E9347" s="209">
        <f t="shared" ref="E9347:E9351" si="1156">DATE(A9347,B9347,C9347)</f>
        <v>45860</v>
      </c>
      <c r="F9347" s="513" t="s">
        <v>1210</v>
      </c>
      <c r="G9347" s="200" t="s">
        <v>1209</v>
      </c>
      <c r="H9347" s="201"/>
      <c r="I9347" s="201"/>
      <c r="J9347" s="197" t="s">
        <v>46</v>
      </c>
      <c r="K9347" s="202">
        <v>350000</v>
      </c>
      <c r="L9347" s="202"/>
    </row>
    <row r="9348" spans="1:15" x14ac:dyDescent="0.2">
      <c r="A9348" s="120">
        <v>2025</v>
      </c>
      <c r="B9348" s="120">
        <v>7</v>
      </c>
      <c r="C9348" s="120">
        <v>22</v>
      </c>
      <c r="D9348" s="208">
        <f t="shared" si="1152"/>
        <v>45860</v>
      </c>
      <c r="E9348" s="209">
        <f t="shared" si="1156"/>
        <v>45860</v>
      </c>
      <c r="F9348" s="515"/>
      <c r="G9348" s="132" t="s">
        <v>1209</v>
      </c>
      <c r="J9348" s="120" t="s">
        <v>16</v>
      </c>
      <c r="K9348" s="207"/>
      <c r="L9348" s="207">
        <v>276030</v>
      </c>
    </row>
    <row r="9349" spans="1:15" x14ac:dyDescent="0.2">
      <c r="A9349" s="191">
        <v>2025</v>
      </c>
      <c r="B9349" s="191">
        <v>7</v>
      </c>
      <c r="C9349" s="191">
        <v>22</v>
      </c>
      <c r="D9349" s="192">
        <f t="shared" si="1152"/>
        <v>45860</v>
      </c>
      <c r="E9349" s="193">
        <f t="shared" si="1156"/>
        <v>45860</v>
      </c>
      <c r="F9349" s="514"/>
      <c r="G9349" s="194" t="s">
        <v>1209</v>
      </c>
      <c r="H9349" s="195"/>
      <c r="I9349" s="195"/>
      <c r="J9349" s="191" t="s">
        <v>47</v>
      </c>
      <c r="K9349" s="196"/>
      <c r="L9349" s="196">
        <v>73970</v>
      </c>
    </row>
    <row r="9350" spans="1:15" ht="11.25" customHeight="1" x14ac:dyDescent="0.2">
      <c r="A9350" s="197">
        <v>2025</v>
      </c>
      <c r="B9350" s="197">
        <v>7</v>
      </c>
      <c r="C9350" s="197">
        <v>24</v>
      </c>
      <c r="D9350" s="198">
        <f t="shared" si="1152"/>
        <v>45862</v>
      </c>
      <c r="E9350" s="290">
        <f t="shared" si="1156"/>
        <v>45862</v>
      </c>
      <c r="F9350" s="513" t="s">
        <v>1527</v>
      </c>
      <c r="G9350" s="200" t="s">
        <v>1209</v>
      </c>
      <c r="H9350" s="201"/>
      <c r="I9350" s="201"/>
      <c r="J9350" s="197" t="s">
        <v>54</v>
      </c>
      <c r="K9350" s="202">
        <v>60</v>
      </c>
      <c r="L9350" s="202"/>
      <c r="M9350" s="251"/>
      <c r="N9350" s="251"/>
      <c r="O9350" s="251"/>
    </row>
    <row r="9351" spans="1:15" ht="11.25" customHeight="1" x14ac:dyDescent="0.2">
      <c r="A9351" s="191">
        <v>2025</v>
      </c>
      <c r="B9351" s="191">
        <v>7</v>
      </c>
      <c r="C9351" s="191">
        <v>24</v>
      </c>
      <c r="D9351" s="192">
        <f t="shared" si="1152"/>
        <v>45862</v>
      </c>
      <c r="E9351" s="291">
        <f t="shared" si="1156"/>
        <v>45862</v>
      </c>
      <c r="F9351" s="514"/>
      <c r="G9351" s="194" t="s">
        <v>1209</v>
      </c>
      <c r="H9351" s="195"/>
      <c r="I9351" s="195"/>
      <c r="J9351" s="191" t="s">
        <v>46</v>
      </c>
      <c r="K9351" s="196"/>
      <c r="L9351" s="196">
        <v>60</v>
      </c>
      <c r="M9351" s="251"/>
    </row>
    <row r="9352" spans="1:15" ht="11.25" customHeight="1" x14ac:dyDescent="0.2">
      <c r="A9352" s="197">
        <v>2025</v>
      </c>
      <c r="B9352" s="197">
        <v>7</v>
      </c>
      <c r="C9352" s="197">
        <v>23</v>
      </c>
      <c r="D9352" s="198">
        <f t="shared" si="1152"/>
        <v>45861</v>
      </c>
      <c r="E9352" s="209">
        <f t="shared" ref="E9352:E9366" si="1157">DATE(A9352,B9352,C9352)</f>
        <v>45861</v>
      </c>
      <c r="F9352" s="513" t="s">
        <v>1280</v>
      </c>
      <c r="G9352" s="200" t="s">
        <v>1209</v>
      </c>
      <c r="H9352" s="201"/>
      <c r="I9352" s="201"/>
      <c r="J9352" s="197" t="s">
        <v>16</v>
      </c>
      <c r="K9352" s="202">
        <v>92110</v>
      </c>
      <c r="L9352" s="202"/>
    </row>
    <row r="9353" spans="1:15" ht="11.25" customHeight="1" x14ac:dyDescent="0.2">
      <c r="A9353" s="120">
        <v>2025</v>
      </c>
      <c r="B9353" s="120">
        <v>7</v>
      </c>
      <c r="C9353" s="120">
        <v>23</v>
      </c>
      <c r="D9353" s="208">
        <f t="shared" si="1152"/>
        <v>45861</v>
      </c>
      <c r="E9353" s="209">
        <f t="shared" si="1157"/>
        <v>45861</v>
      </c>
      <c r="F9353" s="515"/>
      <c r="G9353" s="132" t="s">
        <v>1209</v>
      </c>
      <c r="J9353" s="120" t="s">
        <v>47</v>
      </c>
      <c r="K9353" s="207">
        <v>24690</v>
      </c>
      <c r="L9353" s="207"/>
    </row>
    <row r="9354" spans="1:15" ht="11.25" customHeight="1" x14ac:dyDescent="0.2">
      <c r="A9354" s="191">
        <v>2025</v>
      </c>
      <c r="B9354" s="191">
        <v>7</v>
      </c>
      <c r="C9354" s="191">
        <v>23</v>
      </c>
      <c r="D9354" s="192">
        <f t="shared" si="1152"/>
        <v>45861</v>
      </c>
      <c r="E9354" s="193">
        <f t="shared" si="1157"/>
        <v>45861</v>
      </c>
      <c r="F9354" s="514"/>
      <c r="G9354" s="194" t="s">
        <v>1209</v>
      </c>
      <c r="H9354" s="195"/>
      <c r="I9354" s="195"/>
      <c r="J9354" s="191" t="s">
        <v>46</v>
      </c>
      <c r="K9354" s="196"/>
      <c r="L9354" s="196">
        <v>116800</v>
      </c>
    </row>
    <row r="9355" spans="1:15" ht="11.25" customHeight="1" x14ac:dyDescent="0.2">
      <c r="A9355" s="197">
        <v>2025</v>
      </c>
      <c r="B9355" s="197">
        <v>7</v>
      </c>
      <c r="C9355" s="197">
        <v>23</v>
      </c>
      <c r="D9355" s="198">
        <f t="shared" si="1152"/>
        <v>45861</v>
      </c>
      <c r="E9355" s="209">
        <f t="shared" si="1157"/>
        <v>45861</v>
      </c>
      <c r="F9355" s="513" t="s">
        <v>1280</v>
      </c>
      <c r="G9355" s="200" t="s">
        <v>1209</v>
      </c>
      <c r="H9355" s="201"/>
      <c r="I9355" s="201"/>
      <c r="J9355" s="197" t="s">
        <v>16</v>
      </c>
      <c r="K9355" s="202">
        <v>323500</v>
      </c>
      <c r="L9355" s="202"/>
    </row>
    <row r="9356" spans="1:15" ht="11.25" customHeight="1" x14ac:dyDescent="0.2">
      <c r="A9356" s="120">
        <v>2025</v>
      </c>
      <c r="B9356" s="120">
        <v>7</v>
      </c>
      <c r="C9356" s="120">
        <v>23</v>
      </c>
      <c r="D9356" s="208">
        <f t="shared" si="1152"/>
        <v>45861</v>
      </c>
      <c r="E9356" s="209">
        <f t="shared" si="1157"/>
        <v>45861</v>
      </c>
      <c r="F9356" s="515"/>
      <c r="G9356" s="132" t="s">
        <v>1209</v>
      </c>
      <c r="J9356" s="120" t="s">
        <v>47</v>
      </c>
      <c r="K9356" s="207">
        <v>86698</v>
      </c>
      <c r="L9356" s="207"/>
    </row>
    <row r="9357" spans="1:15" ht="11.25" customHeight="1" x14ac:dyDescent="0.2">
      <c r="A9357" s="191">
        <v>2025</v>
      </c>
      <c r="B9357" s="191">
        <v>7</v>
      </c>
      <c r="C9357" s="191">
        <v>23</v>
      </c>
      <c r="D9357" s="192">
        <f t="shared" si="1152"/>
        <v>45861</v>
      </c>
      <c r="E9357" s="193">
        <f t="shared" si="1157"/>
        <v>45861</v>
      </c>
      <c r="F9357" s="514"/>
      <c r="G9357" s="194" t="s">
        <v>1209</v>
      </c>
      <c r="H9357" s="195"/>
      <c r="I9357" s="195"/>
      <c r="J9357" s="191" t="s">
        <v>46</v>
      </c>
      <c r="K9357" s="196"/>
      <c r="L9357" s="196">
        <v>410198</v>
      </c>
    </row>
    <row r="9358" spans="1:15" ht="11.25" customHeight="1" x14ac:dyDescent="0.2">
      <c r="A9358" s="197">
        <v>2025</v>
      </c>
      <c r="B9358" s="197">
        <v>7</v>
      </c>
      <c r="C9358" s="197">
        <v>23</v>
      </c>
      <c r="D9358" s="198">
        <f t="shared" si="1152"/>
        <v>45861</v>
      </c>
      <c r="E9358" s="209">
        <f t="shared" ref="E9358:E9360" si="1158">DATE(A9358,B9358,C9358)</f>
        <v>45861</v>
      </c>
      <c r="F9358" s="513" t="s">
        <v>1280</v>
      </c>
      <c r="G9358" s="200" t="s">
        <v>1209</v>
      </c>
      <c r="H9358" s="201"/>
      <c r="I9358" s="201"/>
      <c r="J9358" s="197" t="s">
        <v>16</v>
      </c>
      <c r="K9358" s="202">
        <v>19720</v>
      </c>
      <c r="L9358" s="202"/>
    </row>
    <row r="9359" spans="1:15" ht="11.25" customHeight="1" x14ac:dyDescent="0.2">
      <c r="A9359" s="120">
        <v>2025</v>
      </c>
      <c r="B9359" s="120">
        <v>7</v>
      </c>
      <c r="C9359" s="120">
        <v>23</v>
      </c>
      <c r="D9359" s="208">
        <f t="shared" si="1152"/>
        <v>45861</v>
      </c>
      <c r="E9359" s="209">
        <f t="shared" si="1158"/>
        <v>45861</v>
      </c>
      <c r="F9359" s="515"/>
      <c r="G9359" s="132" t="s">
        <v>1209</v>
      </c>
      <c r="J9359" s="120" t="s">
        <v>47</v>
      </c>
      <c r="K9359" s="207">
        <v>5280</v>
      </c>
      <c r="L9359" s="207"/>
    </row>
    <row r="9360" spans="1:15" ht="11.25" customHeight="1" x14ac:dyDescent="0.2">
      <c r="A9360" s="191">
        <v>2025</v>
      </c>
      <c r="B9360" s="191">
        <v>7</v>
      </c>
      <c r="C9360" s="191">
        <v>23</v>
      </c>
      <c r="D9360" s="192">
        <f t="shared" si="1152"/>
        <v>45861</v>
      </c>
      <c r="E9360" s="193">
        <f t="shared" si="1158"/>
        <v>45861</v>
      </c>
      <c r="F9360" s="514"/>
      <c r="G9360" s="194" t="s">
        <v>1209</v>
      </c>
      <c r="H9360" s="195"/>
      <c r="I9360" s="195"/>
      <c r="J9360" s="191" t="s">
        <v>46</v>
      </c>
      <c r="K9360" s="196"/>
      <c r="L9360" s="196">
        <v>25000</v>
      </c>
    </row>
    <row r="9361" spans="1:15" ht="11.25" customHeight="1" x14ac:dyDescent="0.2">
      <c r="A9361" s="197">
        <v>2025</v>
      </c>
      <c r="B9361" s="197">
        <v>7</v>
      </c>
      <c r="C9361" s="197">
        <v>23</v>
      </c>
      <c r="D9361" s="198">
        <f t="shared" si="1152"/>
        <v>45861</v>
      </c>
      <c r="E9361" s="209">
        <f t="shared" si="1157"/>
        <v>45861</v>
      </c>
      <c r="F9361" s="513" t="s">
        <v>1280</v>
      </c>
      <c r="G9361" s="200" t="s">
        <v>1209</v>
      </c>
      <c r="H9361" s="201"/>
      <c r="I9361" s="201"/>
      <c r="J9361" s="197" t="s">
        <v>16</v>
      </c>
      <c r="K9361" s="202">
        <v>15770</v>
      </c>
      <c r="L9361" s="202"/>
    </row>
    <row r="9362" spans="1:15" ht="11.25" customHeight="1" x14ac:dyDescent="0.2">
      <c r="A9362" s="120">
        <v>2025</v>
      </c>
      <c r="B9362" s="120">
        <v>7</v>
      </c>
      <c r="C9362" s="120">
        <v>23</v>
      </c>
      <c r="D9362" s="208">
        <f t="shared" si="1152"/>
        <v>45861</v>
      </c>
      <c r="E9362" s="209">
        <f t="shared" si="1157"/>
        <v>45861</v>
      </c>
      <c r="F9362" s="515"/>
      <c r="G9362" s="132" t="s">
        <v>1209</v>
      </c>
      <c r="J9362" s="120" t="s">
        <v>47</v>
      </c>
      <c r="K9362" s="207">
        <v>4230</v>
      </c>
      <c r="L9362" s="207"/>
    </row>
    <row r="9363" spans="1:15" ht="11.25" customHeight="1" x14ac:dyDescent="0.2">
      <c r="A9363" s="191">
        <v>2025</v>
      </c>
      <c r="B9363" s="191">
        <v>7</v>
      </c>
      <c r="C9363" s="191">
        <v>23</v>
      </c>
      <c r="D9363" s="192">
        <f t="shared" si="1152"/>
        <v>45861</v>
      </c>
      <c r="E9363" s="193">
        <f t="shared" si="1157"/>
        <v>45861</v>
      </c>
      <c r="F9363" s="514"/>
      <c r="G9363" s="194" t="s">
        <v>1209</v>
      </c>
      <c r="H9363" s="195"/>
      <c r="I9363" s="195"/>
      <c r="J9363" s="191" t="s">
        <v>46</v>
      </c>
      <c r="K9363" s="196"/>
      <c r="L9363" s="196">
        <v>20000</v>
      </c>
    </row>
    <row r="9364" spans="1:15" x14ac:dyDescent="0.2">
      <c r="A9364" s="197">
        <v>2025</v>
      </c>
      <c r="B9364" s="197">
        <v>7</v>
      </c>
      <c r="C9364" s="197">
        <v>23</v>
      </c>
      <c r="D9364" s="198">
        <f t="shared" si="1152"/>
        <v>45861</v>
      </c>
      <c r="E9364" s="209">
        <f t="shared" si="1157"/>
        <v>45861</v>
      </c>
      <c r="F9364" s="513" t="s">
        <v>1210</v>
      </c>
      <c r="G9364" s="200" t="s">
        <v>1209</v>
      </c>
      <c r="H9364" s="201"/>
      <c r="I9364" s="201"/>
      <c r="J9364" s="197" t="s">
        <v>46</v>
      </c>
      <c r="K9364" s="202">
        <v>12680</v>
      </c>
      <c r="L9364" s="202"/>
    </row>
    <row r="9365" spans="1:15" x14ac:dyDescent="0.2">
      <c r="A9365" s="120">
        <v>2025</v>
      </c>
      <c r="B9365" s="120">
        <v>7</v>
      </c>
      <c r="C9365" s="120">
        <v>23</v>
      </c>
      <c r="D9365" s="208">
        <f t="shared" si="1152"/>
        <v>45861</v>
      </c>
      <c r="E9365" s="209">
        <f t="shared" si="1157"/>
        <v>45861</v>
      </c>
      <c r="F9365" s="515"/>
      <c r="G9365" s="132" t="s">
        <v>1209</v>
      </c>
      <c r="J9365" s="120" t="s">
        <v>16</v>
      </c>
      <c r="K9365" s="207"/>
      <c r="L9365" s="207">
        <v>10000</v>
      </c>
    </row>
    <row r="9366" spans="1:15" x14ac:dyDescent="0.2">
      <c r="A9366" s="191">
        <v>2025</v>
      </c>
      <c r="B9366" s="191">
        <v>7</v>
      </c>
      <c r="C9366" s="191">
        <v>23</v>
      </c>
      <c r="D9366" s="192">
        <f t="shared" si="1152"/>
        <v>45861</v>
      </c>
      <c r="E9366" s="193">
        <f t="shared" si="1157"/>
        <v>45861</v>
      </c>
      <c r="F9366" s="514"/>
      <c r="G9366" s="194" t="s">
        <v>1209</v>
      </c>
      <c r="H9366" s="195"/>
      <c r="I9366" s="195"/>
      <c r="J9366" s="191" t="s">
        <v>47</v>
      </c>
      <c r="K9366" s="196"/>
      <c r="L9366" s="196">
        <v>2680</v>
      </c>
    </row>
    <row r="9367" spans="1:15" x14ac:dyDescent="0.2">
      <c r="A9367" s="197">
        <v>2025</v>
      </c>
      <c r="B9367" s="197">
        <v>7</v>
      </c>
      <c r="C9367" s="197">
        <v>23</v>
      </c>
      <c r="D9367" s="198">
        <f t="shared" si="1152"/>
        <v>45861</v>
      </c>
      <c r="E9367" s="209">
        <f t="shared" ref="E9367:E9369" si="1159">DATE(A9367,B9367,C9367)</f>
        <v>45861</v>
      </c>
      <c r="F9367" s="513" t="s">
        <v>1210</v>
      </c>
      <c r="G9367" s="200" t="s">
        <v>1209</v>
      </c>
      <c r="H9367" s="201"/>
      <c r="I9367" s="201"/>
      <c r="J9367" s="197" t="s">
        <v>46</v>
      </c>
      <c r="K9367" s="202">
        <v>150000</v>
      </c>
      <c r="L9367" s="202"/>
    </row>
    <row r="9368" spans="1:15" x14ac:dyDescent="0.2">
      <c r="A9368" s="120">
        <v>2025</v>
      </c>
      <c r="B9368" s="120">
        <v>7</v>
      </c>
      <c r="C9368" s="120">
        <v>23</v>
      </c>
      <c r="D9368" s="208">
        <f t="shared" si="1152"/>
        <v>45861</v>
      </c>
      <c r="E9368" s="209">
        <f t="shared" si="1159"/>
        <v>45861</v>
      </c>
      <c r="F9368" s="515"/>
      <c r="G9368" s="132" t="s">
        <v>1209</v>
      </c>
      <c r="J9368" s="120" t="s">
        <v>16</v>
      </c>
      <c r="K9368" s="207"/>
      <c r="L9368" s="207">
        <v>118300</v>
      </c>
    </row>
    <row r="9369" spans="1:15" x14ac:dyDescent="0.2">
      <c r="A9369" s="191">
        <v>2025</v>
      </c>
      <c r="B9369" s="191">
        <v>7</v>
      </c>
      <c r="C9369" s="191">
        <v>23</v>
      </c>
      <c r="D9369" s="192">
        <f t="shared" si="1152"/>
        <v>45861</v>
      </c>
      <c r="E9369" s="193">
        <f t="shared" si="1159"/>
        <v>45861</v>
      </c>
      <c r="F9369" s="514"/>
      <c r="G9369" s="194" t="s">
        <v>1209</v>
      </c>
      <c r="H9369" s="195"/>
      <c r="I9369" s="195"/>
      <c r="J9369" s="191" t="s">
        <v>47</v>
      </c>
      <c r="K9369" s="196"/>
      <c r="L9369" s="196">
        <v>31700</v>
      </c>
    </row>
    <row r="9370" spans="1:15" ht="11.25" customHeight="1" x14ac:dyDescent="0.2">
      <c r="A9370" s="197">
        <v>2025</v>
      </c>
      <c r="B9370" s="197">
        <v>7</v>
      </c>
      <c r="C9370" s="197">
        <v>23</v>
      </c>
      <c r="D9370" s="198">
        <f t="shared" si="1152"/>
        <v>45861</v>
      </c>
      <c r="E9370" s="209">
        <f t="shared" ref="E9370:E9380" si="1160">DATE(A9370,B9370,C9370)</f>
        <v>45861</v>
      </c>
      <c r="F9370" s="513" t="s">
        <v>1280</v>
      </c>
      <c r="G9370" s="200" t="s">
        <v>1209</v>
      </c>
      <c r="H9370" s="201"/>
      <c r="I9370" s="201"/>
      <c r="J9370" s="197" t="s">
        <v>16</v>
      </c>
      <c r="K9370" s="202">
        <v>3240580</v>
      </c>
      <c r="L9370" s="202"/>
    </row>
    <row r="9371" spans="1:15" ht="11.25" customHeight="1" x14ac:dyDescent="0.2">
      <c r="A9371" s="120">
        <v>2025</v>
      </c>
      <c r="B9371" s="120">
        <v>7</v>
      </c>
      <c r="C9371" s="120">
        <v>23</v>
      </c>
      <c r="D9371" s="208">
        <f t="shared" si="1152"/>
        <v>45861</v>
      </c>
      <c r="E9371" s="209">
        <f t="shared" si="1160"/>
        <v>45861</v>
      </c>
      <c r="F9371" s="515"/>
      <c r="G9371" s="132" t="s">
        <v>1209</v>
      </c>
      <c r="J9371" s="120" t="s">
        <v>47</v>
      </c>
      <c r="K9371" s="207">
        <v>868475.44</v>
      </c>
      <c r="L9371" s="207"/>
    </row>
    <row r="9372" spans="1:15" ht="11.25" customHeight="1" x14ac:dyDescent="0.2">
      <c r="A9372" s="191">
        <v>2025</v>
      </c>
      <c r="B9372" s="191">
        <v>7</v>
      </c>
      <c r="C9372" s="191">
        <v>23</v>
      </c>
      <c r="D9372" s="192">
        <f t="shared" si="1152"/>
        <v>45861</v>
      </c>
      <c r="E9372" s="193">
        <f t="shared" si="1160"/>
        <v>45861</v>
      </c>
      <c r="F9372" s="514"/>
      <c r="G9372" s="194" t="s">
        <v>1209</v>
      </c>
      <c r="H9372" s="195"/>
      <c r="I9372" s="195"/>
      <c r="J9372" s="191" t="s">
        <v>46</v>
      </c>
      <c r="K9372" s="196"/>
      <c r="L9372" s="196">
        <v>4109055.44</v>
      </c>
    </row>
    <row r="9373" spans="1:15" x14ac:dyDescent="0.2">
      <c r="A9373" s="197">
        <v>2025</v>
      </c>
      <c r="B9373" s="197">
        <v>7</v>
      </c>
      <c r="C9373" s="197">
        <v>23</v>
      </c>
      <c r="D9373" s="198">
        <f t="shared" si="1152"/>
        <v>45861</v>
      </c>
      <c r="E9373" s="209">
        <f t="shared" si="1160"/>
        <v>45861</v>
      </c>
      <c r="F9373" s="513" t="s">
        <v>1210</v>
      </c>
      <c r="G9373" s="200" t="s">
        <v>1209</v>
      </c>
      <c r="H9373" s="201"/>
      <c r="I9373" s="201"/>
      <c r="J9373" s="197" t="s">
        <v>46</v>
      </c>
      <c r="K9373" s="202">
        <v>100000</v>
      </c>
      <c r="L9373" s="202"/>
    </row>
    <row r="9374" spans="1:15" x14ac:dyDescent="0.2">
      <c r="A9374" s="120">
        <v>2025</v>
      </c>
      <c r="B9374" s="120">
        <v>7</v>
      </c>
      <c r="C9374" s="120">
        <v>23</v>
      </c>
      <c r="D9374" s="208">
        <f t="shared" si="1152"/>
        <v>45861</v>
      </c>
      <c r="E9374" s="209">
        <f t="shared" si="1160"/>
        <v>45861</v>
      </c>
      <c r="F9374" s="515"/>
      <c r="G9374" s="132" t="s">
        <v>1209</v>
      </c>
      <c r="J9374" s="120" t="s">
        <v>16</v>
      </c>
      <c r="K9374" s="207"/>
      <c r="L9374" s="207">
        <v>78860</v>
      </c>
    </row>
    <row r="9375" spans="1:15" x14ac:dyDescent="0.2">
      <c r="A9375" s="191">
        <v>2025</v>
      </c>
      <c r="B9375" s="191">
        <v>7</v>
      </c>
      <c r="C9375" s="191">
        <v>23</v>
      </c>
      <c r="D9375" s="192">
        <f t="shared" si="1152"/>
        <v>45861</v>
      </c>
      <c r="E9375" s="193">
        <f t="shared" si="1160"/>
        <v>45861</v>
      </c>
      <c r="F9375" s="514"/>
      <c r="G9375" s="194" t="s">
        <v>1209</v>
      </c>
      <c r="H9375" s="195"/>
      <c r="I9375" s="195"/>
      <c r="J9375" s="191" t="s">
        <v>47</v>
      </c>
      <c r="K9375" s="196"/>
      <c r="L9375" s="196">
        <v>21140</v>
      </c>
    </row>
    <row r="9376" spans="1:15" ht="11.25" customHeight="1" x14ac:dyDescent="0.2">
      <c r="A9376" s="197">
        <v>2025</v>
      </c>
      <c r="B9376" s="197">
        <v>7</v>
      </c>
      <c r="C9376" s="197">
        <v>23</v>
      </c>
      <c r="D9376" s="198">
        <f t="shared" si="1152"/>
        <v>45861</v>
      </c>
      <c r="E9376" s="290">
        <f t="shared" si="1160"/>
        <v>45861</v>
      </c>
      <c r="F9376" s="513" t="s">
        <v>1514</v>
      </c>
      <c r="G9376" s="200" t="s">
        <v>1209</v>
      </c>
      <c r="H9376" s="201"/>
      <c r="I9376" s="201"/>
      <c r="J9376" s="197" t="s">
        <v>54</v>
      </c>
      <c r="K9376" s="202">
        <v>158</v>
      </c>
      <c r="L9376" s="202"/>
      <c r="M9376" s="251"/>
      <c r="N9376" s="251"/>
      <c r="O9376" s="251"/>
    </row>
    <row r="9377" spans="1:13" ht="11.25" customHeight="1" x14ac:dyDescent="0.2">
      <c r="A9377" s="191">
        <v>2025</v>
      </c>
      <c r="B9377" s="191">
        <v>7</v>
      </c>
      <c r="C9377" s="191">
        <v>23</v>
      </c>
      <c r="D9377" s="192">
        <f t="shared" si="1152"/>
        <v>45861</v>
      </c>
      <c r="E9377" s="291">
        <f t="shared" si="1160"/>
        <v>45861</v>
      </c>
      <c r="F9377" s="514"/>
      <c r="G9377" s="194" t="s">
        <v>1209</v>
      </c>
      <c r="H9377" s="195"/>
      <c r="I9377" s="195"/>
      <c r="J9377" s="191" t="s">
        <v>46</v>
      </c>
      <c r="K9377" s="196"/>
      <c r="L9377" s="196">
        <v>158</v>
      </c>
      <c r="M9377" s="251"/>
    </row>
    <row r="9378" spans="1:13" x14ac:dyDescent="0.2">
      <c r="A9378" s="197">
        <v>2025</v>
      </c>
      <c r="B9378" s="197">
        <v>7</v>
      </c>
      <c r="C9378" s="197">
        <v>23</v>
      </c>
      <c r="D9378" s="198">
        <f t="shared" si="1152"/>
        <v>45861</v>
      </c>
      <c r="E9378" s="209">
        <f t="shared" si="1160"/>
        <v>45861</v>
      </c>
      <c r="F9378" s="513" t="s">
        <v>1210</v>
      </c>
      <c r="G9378" s="200" t="s">
        <v>1209</v>
      </c>
      <c r="H9378" s="201"/>
      <c r="I9378" s="201"/>
      <c r="J9378" s="197" t="s">
        <v>46</v>
      </c>
      <c r="K9378" s="202">
        <v>100000</v>
      </c>
      <c r="L9378" s="202"/>
    </row>
    <row r="9379" spans="1:13" x14ac:dyDescent="0.2">
      <c r="A9379" s="120">
        <v>2025</v>
      </c>
      <c r="B9379" s="120">
        <v>7</v>
      </c>
      <c r="C9379" s="120">
        <v>23</v>
      </c>
      <c r="D9379" s="208">
        <f t="shared" si="1152"/>
        <v>45861</v>
      </c>
      <c r="E9379" s="209">
        <f t="shared" si="1160"/>
        <v>45861</v>
      </c>
      <c r="F9379" s="515"/>
      <c r="G9379" s="132" t="s">
        <v>1209</v>
      </c>
      <c r="J9379" s="120" t="s">
        <v>16</v>
      </c>
      <c r="K9379" s="207"/>
      <c r="L9379" s="207">
        <v>78860</v>
      </c>
    </row>
    <row r="9380" spans="1:13" x14ac:dyDescent="0.2">
      <c r="A9380" s="191">
        <v>2025</v>
      </c>
      <c r="B9380" s="191">
        <v>7</v>
      </c>
      <c r="C9380" s="191">
        <v>23</v>
      </c>
      <c r="D9380" s="192">
        <f t="shared" si="1152"/>
        <v>45861</v>
      </c>
      <c r="E9380" s="193">
        <f t="shared" si="1160"/>
        <v>45861</v>
      </c>
      <c r="F9380" s="514"/>
      <c r="G9380" s="194" t="s">
        <v>1209</v>
      </c>
      <c r="H9380" s="195"/>
      <c r="I9380" s="195"/>
      <c r="J9380" s="191" t="s">
        <v>47</v>
      </c>
      <c r="K9380" s="196"/>
      <c r="L9380" s="196">
        <v>21140</v>
      </c>
    </row>
    <row r="9381" spans="1:13" x14ac:dyDescent="0.2">
      <c r="A9381" s="197">
        <v>2025</v>
      </c>
      <c r="B9381" s="197">
        <v>7</v>
      </c>
      <c r="C9381" s="197">
        <v>24</v>
      </c>
      <c r="D9381" s="198">
        <f t="shared" si="1152"/>
        <v>45862</v>
      </c>
      <c r="E9381" s="209">
        <f t="shared" ref="E9381:E9386" si="1161">DATE(A9381,B9381,C9381)</f>
        <v>45862</v>
      </c>
      <c r="F9381" s="513" t="s">
        <v>1210</v>
      </c>
      <c r="G9381" s="200" t="s">
        <v>1209</v>
      </c>
      <c r="H9381" s="201"/>
      <c r="I9381" s="201"/>
      <c r="J9381" s="197" t="s">
        <v>46</v>
      </c>
      <c r="K9381" s="202">
        <v>200000</v>
      </c>
      <c r="L9381" s="202"/>
    </row>
    <row r="9382" spans="1:13" x14ac:dyDescent="0.2">
      <c r="A9382" s="120">
        <v>2025</v>
      </c>
      <c r="B9382" s="120">
        <v>7</v>
      </c>
      <c r="C9382" s="120">
        <v>24</v>
      </c>
      <c r="D9382" s="208">
        <f t="shared" si="1152"/>
        <v>45862</v>
      </c>
      <c r="E9382" s="209">
        <f t="shared" si="1161"/>
        <v>45862</v>
      </c>
      <c r="F9382" s="515"/>
      <c r="G9382" s="132" t="s">
        <v>1209</v>
      </c>
      <c r="J9382" s="120" t="s">
        <v>16</v>
      </c>
      <c r="K9382" s="207"/>
      <c r="L9382" s="207">
        <v>157730</v>
      </c>
    </row>
    <row r="9383" spans="1:13" x14ac:dyDescent="0.2">
      <c r="A9383" s="191">
        <v>2025</v>
      </c>
      <c r="B9383" s="191">
        <v>7</v>
      </c>
      <c r="C9383" s="191">
        <v>24</v>
      </c>
      <c r="D9383" s="192">
        <f t="shared" si="1152"/>
        <v>45862</v>
      </c>
      <c r="E9383" s="193">
        <f t="shared" si="1161"/>
        <v>45862</v>
      </c>
      <c r="F9383" s="514"/>
      <c r="G9383" s="194" t="s">
        <v>1209</v>
      </c>
      <c r="H9383" s="195"/>
      <c r="I9383" s="195"/>
      <c r="J9383" s="191" t="s">
        <v>47</v>
      </c>
      <c r="K9383" s="196"/>
      <c r="L9383" s="196">
        <v>42270</v>
      </c>
    </row>
    <row r="9384" spans="1:13" ht="11.25" customHeight="1" x14ac:dyDescent="0.2">
      <c r="A9384" s="197">
        <v>2025</v>
      </c>
      <c r="B9384" s="197">
        <v>7</v>
      </c>
      <c r="C9384" s="197">
        <v>24</v>
      </c>
      <c r="D9384" s="198">
        <f t="shared" si="1152"/>
        <v>45862</v>
      </c>
      <c r="E9384" s="209">
        <f t="shared" si="1161"/>
        <v>45862</v>
      </c>
      <c r="F9384" s="513" t="s">
        <v>1280</v>
      </c>
      <c r="G9384" s="200" t="s">
        <v>1209</v>
      </c>
      <c r="H9384" s="201"/>
      <c r="I9384" s="201"/>
      <c r="J9384" s="197" t="s">
        <v>16</v>
      </c>
      <c r="K9384" s="202">
        <v>260250</v>
      </c>
      <c r="L9384" s="202"/>
    </row>
    <row r="9385" spans="1:13" ht="11.25" customHeight="1" x14ac:dyDescent="0.2">
      <c r="A9385" s="120">
        <v>2025</v>
      </c>
      <c r="B9385" s="120">
        <v>7</v>
      </c>
      <c r="C9385" s="120">
        <v>24</v>
      </c>
      <c r="D9385" s="208">
        <f t="shared" si="1152"/>
        <v>45862</v>
      </c>
      <c r="E9385" s="209">
        <f t="shared" si="1161"/>
        <v>45862</v>
      </c>
      <c r="F9385" s="515"/>
      <c r="G9385" s="132" t="s">
        <v>1209</v>
      </c>
      <c r="J9385" s="120" t="s">
        <v>47</v>
      </c>
      <c r="K9385" s="207">
        <v>69750</v>
      </c>
      <c r="L9385" s="207"/>
    </row>
    <row r="9386" spans="1:13" ht="11.25" customHeight="1" x14ac:dyDescent="0.2">
      <c r="A9386" s="191">
        <v>2025</v>
      </c>
      <c r="B9386" s="191">
        <v>7</v>
      </c>
      <c r="C9386" s="191">
        <v>24</v>
      </c>
      <c r="D9386" s="192">
        <f t="shared" si="1152"/>
        <v>45862</v>
      </c>
      <c r="E9386" s="193">
        <f t="shared" si="1161"/>
        <v>45862</v>
      </c>
      <c r="F9386" s="514"/>
      <c r="G9386" s="194" t="s">
        <v>1209</v>
      </c>
      <c r="H9386" s="195"/>
      <c r="I9386" s="195"/>
      <c r="J9386" s="191" t="s">
        <v>46</v>
      </c>
      <c r="K9386" s="196"/>
      <c r="L9386" s="196">
        <v>330000</v>
      </c>
    </row>
    <row r="9387" spans="1:13" ht="11.25" customHeight="1" x14ac:dyDescent="0.2">
      <c r="A9387" s="197">
        <v>2025</v>
      </c>
      <c r="B9387" s="197">
        <v>7</v>
      </c>
      <c r="C9387" s="197">
        <v>24</v>
      </c>
      <c r="D9387" s="198">
        <f t="shared" si="1152"/>
        <v>45862</v>
      </c>
      <c r="E9387" s="209">
        <f t="shared" ref="E9387:E9389" si="1162">DATE(A9387,B9387,C9387)</f>
        <v>45862</v>
      </c>
      <c r="F9387" s="513" t="s">
        <v>1280</v>
      </c>
      <c r="G9387" s="200" t="s">
        <v>1209</v>
      </c>
      <c r="H9387" s="201"/>
      <c r="I9387" s="201"/>
      <c r="J9387" s="197" t="s">
        <v>16</v>
      </c>
      <c r="K9387" s="202">
        <v>398690</v>
      </c>
      <c r="L9387" s="202"/>
    </row>
    <row r="9388" spans="1:13" ht="11.25" customHeight="1" x14ac:dyDescent="0.2">
      <c r="A9388" s="120">
        <v>2025</v>
      </c>
      <c r="B9388" s="120">
        <v>7</v>
      </c>
      <c r="C9388" s="120">
        <v>24</v>
      </c>
      <c r="D9388" s="208">
        <f t="shared" ref="D9388:D9451" si="1163">DATE(A9388,B9388,C9388)</f>
        <v>45862</v>
      </c>
      <c r="E9388" s="209">
        <f t="shared" si="1162"/>
        <v>45862</v>
      </c>
      <c r="F9388" s="515"/>
      <c r="G9388" s="132" t="s">
        <v>1209</v>
      </c>
      <c r="J9388" s="120" t="s">
        <v>47</v>
      </c>
      <c r="K9388" s="207">
        <v>106848.91999999998</v>
      </c>
      <c r="L9388" s="207"/>
    </row>
    <row r="9389" spans="1:13" ht="11.25" customHeight="1" x14ac:dyDescent="0.2">
      <c r="A9389" s="191">
        <v>2025</v>
      </c>
      <c r="B9389" s="191">
        <v>7</v>
      </c>
      <c r="C9389" s="191">
        <v>24</v>
      </c>
      <c r="D9389" s="192">
        <f t="shared" si="1163"/>
        <v>45862</v>
      </c>
      <c r="E9389" s="193">
        <f t="shared" si="1162"/>
        <v>45862</v>
      </c>
      <c r="F9389" s="514"/>
      <c r="G9389" s="194" t="s">
        <v>1209</v>
      </c>
      <c r="H9389" s="195"/>
      <c r="I9389" s="195"/>
      <c r="J9389" s="191" t="s">
        <v>46</v>
      </c>
      <c r="K9389" s="196"/>
      <c r="L9389" s="196">
        <v>505538.92</v>
      </c>
    </row>
    <row r="9390" spans="1:13" ht="11.25" customHeight="1" x14ac:dyDescent="0.2">
      <c r="A9390" s="197">
        <v>2025</v>
      </c>
      <c r="B9390" s="197">
        <v>7</v>
      </c>
      <c r="C9390" s="197">
        <v>24</v>
      </c>
      <c r="D9390" s="198">
        <f t="shared" si="1163"/>
        <v>45862</v>
      </c>
      <c r="E9390" s="209">
        <f t="shared" ref="E9390:E9392" si="1164">DATE(A9390,B9390,C9390)</f>
        <v>45862</v>
      </c>
      <c r="F9390" s="513" t="s">
        <v>1280</v>
      </c>
      <c r="G9390" s="200" t="s">
        <v>1209</v>
      </c>
      <c r="H9390" s="201"/>
      <c r="I9390" s="201"/>
      <c r="J9390" s="197" t="s">
        <v>16</v>
      </c>
      <c r="K9390" s="202">
        <v>184230</v>
      </c>
      <c r="L9390" s="202"/>
    </row>
    <row r="9391" spans="1:13" ht="11.25" customHeight="1" x14ac:dyDescent="0.2">
      <c r="A9391" s="120">
        <v>2025</v>
      </c>
      <c r="B9391" s="120">
        <v>7</v>
      </c>
      <c r="C9391" s="120">
        <v>24</v>
      </c>
      <c r="D9391" s="208">
        <f t="shared" si="1163"/>
        <v>45862</v>
      </c>
      <c r="E9391" s="209">
        <f t="shared" si="1164"/>
        <v>45862</v>
      </c>
      <c r="F9391" s="515"/>
      <c r="G9391" s="132" t="s">
        <v>1209</v>
      </c>
      <c r="J9391" s="120" t="s">
        <v>47</v>
      </c>
      <c r="K9391" s="207">
        <v>49370</v>
      </c>
      <c r="L9391" s="207"/>
    </row>
    <row r="9392" spans="1:13" ht="11.25" customHeight="1" x14ac:dyDescent="0.2">
      <c r="A9392" s="191">
        <v>2025</v>
      </c>
      <c r="B9392" s="191">
        <v>7</v>
      </c>
      <c r="C9392" s="191">
        <v>24</v>
      </c>
      <c r="D9392" s="192">
        <f t="shared" si="1163"/>
        <v>45862</v>
      </c>
      <c r="E9392" s="193">
        <f t="shared" si="1164"/>
        <v>45862</v>
      </c>
      <c r="F9392" s="514"/>
      <c r="G9392" s="194" t="s">
        <v>1209</v>
      </c>
      <c r="H9392" s="195"/>
      <c r="I9392" s="195"/>
      <c r="J9392" s="191" t="s">
        <v>46</v>
      </c>
      <c r="K9392" s="196"/>
      <c r="L9392" s="196">
        <v>233600</v>
      </c>
    </row>
    <row r="9393" spans="1:15" ht="11.25" customHeight="1" x14ac:dyDescent="0.2">
      <c r="A9393" s="197">
        <v>2025</v>
      </c>
      <c r="B9393" s="197">
        <v>7</v>
      </c>
      <c r="C9393" s="197">
        <v>24</v>
      </c>
      <c r="D9393" s="198">
        <f t="shared" si="1163"/>
        <v>45862</v>
      </c>
      <c r="E9393" s="209">
        <f t="shared" ref="E9393:E9397" si="1165">DATE(A9393,B9393,C9393)</f>
        <v>45862</v>
      </c>
      <c r="F9393" s="513" t="s">
        <v>1280</v>
      </c>
      <c r="G9393" s="200" t="s">
        <v>1209</v>
      </c>
      <c r="H9393" s="201"/>
      <c r="I9393" s="201"/>
      <c r="J9393" s="197" t="s">
        <v>16</v>
      </c>
      <c r="K9393" s="202">
        <v>230280</v>
      </c>
      <c r="L9393" s="202"/>
    </row>
    <row r="9394" spans="1:15" ht="11.25" customHeight="1" x14ac:dyDescent="0.2">
      <c r="A9394" s="120">
        <v>2025</v>
      </c>
      <c r="B9394" s="120">
        <v>7</v>
      </c>
      <c r="C9394" s="120">
        <v>24</v>
      </c>
      <c r="D9394" s="208">
        <f t="shared" si="1163"/>
        <v>45862</v>
      </c>
      <c r="E9394" s="209">
        <f t="shared" si="1165"/>
        <v>45862</v>
      </c>
      <c r="F9394" s="515"/>
      <c r="G9394" s="132" t="s">
        <v>1209</v>
      </c>
      <c r="J9394" s="120" t="s">
        <v>47</v>
      </c>
      <c r="K9394" s="207">
        <v>61720</v>
      </c>
      <c r="L9394" s="207"/>
    </row>
    <row r="9395" spans="1:15" ht="11.25" customHeight="1" x14ac:dyDescent="0.2">
      <c r="A9395" s="191">
        <v>2025</v>
      </c>
      <c r="B9395" s="191">
        <v>7</v>
      </c>
      <c r="C9395" s="191">
        <v>24</v>
      </c>
      <c r="D9395" s="192">
        <f t="shared" si="1163"/>
        <v>45862</v>
      </c>
      <c r="E9395" s="193">
        <f t="shared" si="1165"/>
        <v>45862</v>
      </c>
      <c r="F9395" s="514"/>
      <c r="G9395" s="194" t="s">
        <v>1209</v>
      </c>
      <c r="H9395" s="195"/>
      <c r="I9395" s="195"/>
      <c r="J9395" s="191" t="s">
        <v>46</v>
      </c>
      <c r="K9395" s="196"/>
      <c r="L9395" s="196">
        <v>292000</v>
      </c>
    </row>
    <row r="9396" spans="1:15" ht="11.25" customHeight="1" x14ac:dyDescent="0.2">
      <c r="A9396" s="197">
        <v>2025</v>
      </c>
      <c r="B9396" s="197">
        <v>7</v>
      </c>
      <c r="C9396" s="197">
        <v>24</v>
      </c>
      <c r="D9396" s="198">
        <f t="shared" si="1163"/>
        <v>45862</v>
      </c>
      <c r="E9396" s="290">
        <f t="shared" si="1165"/>
        <v>45862</v>
      </c>
      <c r="F9396" s="513" t="s">
        <v>1514</v>
      </c>
      <c r="G9396" s="200" t="s">
        <v>1209</v>
      </c>
      <c r="H9396" s="201"/>
      <c r="I9396" s="201"/>
      <c r="J9396" s="197" t="s">
        <v>54</v>
      </c>
      <c r="K9396" s="202">
        <v>274</v>
      </c>
      <c r="L9396" s="202"/>
      <c r="M9396" s="251"/>
      <c r="N9396" s="251"/>
      <c r="O9396" s="251"/>
    </row>
    <row r="9397" spans="1:15" ht="11.25" customHeight="1" x14ac:dyDescent="0.2">
      <c r="A9397" s="191">
        <v>2025</v>
      </c>
      <c r="B9397" s="191">
        <v>7</v>
      </c>
      <c r="C9397" s="191">
        <v>24</v>
      </c>
      <c r="D9397" s="192">
        <f t="shared" si="1163"/>
        <v>45862</v>
      </c>
      <c r="E9397" s="291">
        <f t="shared" si="1165"/>
        <v>45862</v>
      </c>
      <c r="F9397" s="514"/>
      <c r="G9397" s="194" t="s">
        <v>1209</v>
      </c>
      <c r="H9397" s="195"/>
      <c r="I9397" s="195"/>
      <c r="J9397" s="191" t="s">
        <v>46</v>
      </c>
      <c r="K9397" s="196"/>
      <c r="L9397" s="196">
        <v>274</v>
      </c>
      <c r="M9397" s="251"/>
    </row>
    <row r="9398" spans="1:15" x14ac:dyDescent="0.2">
      <c r="A9398" s="197">
        <v>2025</v>
      </c>
      <c r="B9398" s="197">
        <v>7</v>
      </c>
      <c r="C9398" s="197">
        <v>24</v>
      </c>
      <c r="D9398" s="198">
        <f t="shared" si="1163"/>
        <v>45862</v>
      </c>
      <c r="E9398" s="209">
        <f t="shared" ref="E9398:E9427" si="1166">DATE(A9398,B9398,C9398)</f>
        <v>45862</v>
      </c>
      <c r="F9398" s="513" t="s">
        <v>1210</v>
      </c>
      <c r="G9398" s="200" t="s">
        <v>1209</v>
      </c>
      <c r="H9398" s="201"/>
      <c r="I9398" s="201"/>
      <c r="J9398" s="197" t="s">
        <v>46</v>
      </c>
      <c r="K9398" s="202">
        <v>800000</v>
      </c>
      <c r="L9398" s="202"/>
    </row>
    <row r="9399" spans="1:15" x14ac:dyDescent="0.2">
      <c r="A9399" s="120">
        <v>2025</v>
      </c>
      <c r="B9399" s="120">
        <v>7</v>
      </c>
      <c r="C9399" s="120">
        <v>24</v>
      </c>
      <c r="D9399" s="208">
        <f t="shared" si="1163"/>
        <v>45862</v>
      </c>
      <c r="E9399" s="209">
        <f t="shared" si="1166"/>
        <v>45862</v>
      </c>
      <c r="F9399" s="515"/>
      <c r="G9399" s="132" t="s">
        <v>1209</v>
      </c>
      <c r="J9399" s="120" t="s">
        <v>16</v>
      </c>
      <c r="K9399" s="207"/>
      <c r="L9399" s="207">
        <v>630910</v>
      </c>
    </row>
    <row r="9400" spans="1:15" x14ac:dyDescent="0.2">
      <c r="A9400" s="191">
        <v>2025</v>
      </c>
      <c r="B9400" s="191">
        <v>7</v>
      </c>
      <c r="C9400" s="191">
        <v>24</v>
      </c>
      <c r="D9400" s="192">
        <f t="shared" si="1163"/>
        <v>45862</v>
      </c>
      <c r="E9400" s="193">
        <f t="shared" si="1166"/>
        <v>45862</v>
      </c>
      <c r="F9400" s="514"/>
      <c r="G9400" s="194" t="s">
        <v>1209</v>
      </c>
      <c r="H9400" s="195"/>
      <c r="I9400" s="195"/>
      <c r="J9400" s="191" t="s">
        <v>47</v>
      </c>
      <c r="K9400" s="196"/>
      <c r="L9400" s="196">
        <v>169090</v>
      </c>
    </row>
    <row r="9401" spans="1:15" x14ac:dyDescent="0.2">
      <c r="A9401" s="197">
        <v>2025</v>
      </c>
      <c r="B9401" s="197">
        <v>7</v>
      </c>
      <c r="C9401" s="197">
        <v>24</v>
      </c>
      <c r="D9401" s="198">
        <f t="shared" si="1163"/>
        <v>45862</v>
      </c>
      <c r="E9401" s="209">
        <f t="shared" si="1166"/>
        <v>45862</v>
      </c>
      <c r="F9401" s="513" t="s">
        <v>1210</v>
      </c>
      <c r="G9401" s="200" t="s">
        <v>1209</v>
      </c>
      <c r="H9401" s="201"/>
      <c r="I9401" s="201"/>
      <c r="J9401" s="197" t="s">
        <v>46</v>
      </c>
      <c r="K9401" s="202">
        <v>200000</v>
      </c>
      <c r="L9401" s="202"/>
    </row>
    <row r="9402" spans="1:15" x14ac:dyDescent="0.2">
      <c r="A9402" s="120">
        <v>2025</v>
      </c>
      <c r="B9402" s="120">
        <v>7</v>
      </c>
      <c r="C9402" s="120">
        <v>24</v>
      </c>
      <c r="D9402" s="208">
        <f t="shared" si="1163"/>
        <v>45862</v>
      </c>
      <c r="E9402" s="209">
        <f t="shared" si="1166"/>
        <v>45862</v>
      </c>
      <c r="F9402" s="515"/>
      <c r="G9402" s="132" t="s">
        <v>1209</v>
      </c>
      <c r="J9402" s="120" t="s">
        <v>16</v>
      </c>
      <c r="K9402" s="207"/>
      <c r="L9402" s="207">
        <v>157730</v>
      </c>
    </row>
    <row r="9403" spans="1:15" x14ac:dyDescent="0.2">
      <c r="A9403" s="191">
        <v>2025</v>
      </c>
      <c r="B9403" s="191">
        <v>7</v>
      </c>
      <c r="C9403" s="191">
        <v>24</v>
      </c>
      <c r="D9403" s="192">
        <f t="shared" si="1163"/>
        <v>45862</v>
      </c>
      <c r="E9403" s="193">
        <f t="shared" si="1166"/>
        <v>45862</v>
      </c>
      <c r="F9403" s="514"/>
      <c r="G9403" s="194" t="s">
        <v>1209</v>
      </c>
      <c r="H9403" s="195"/>
      <c r="I9403" s="195"/>
      <c r="J9403" s="191" t="s">
        <v>47</v>
      </c>
      <c r="K9403" s="196"/>
      <c r="L9403" s="196">
        <v>42270</v>
      </c>
    </row>
    <row r="9404" spans="1:15" x14ac:dyDescent="0.2">
      <c r="A9404" s="197">
        <v>2025</v>
      </c>
      <c r="B9404" s="197">
        <v>7</v>
      </c>
      <c r="C9404" s="197">
        <v>24</v>
      </c>
      <c r="D9404" s="198">
        <f t="shared" si="1163"/>
        <v>45862</v>
      </c>
      <c r="E9404" s="209">
        <f t="shared" ref="E9404:E9406" si="1167">DATE(A9404,B9404,C9404)</f>
        <v>45862</v>
      </c>
      <c r="F9404" s="513" t="s">
        <v>1210</v>
      </c>
      <c r="G9404" s="200" t="s">
        <v>1209</v>
      </c>
      <c r="H9404" s="201"/>
      <c r="I9404" s="201"/>
      <c r="J9404" s="197" t="s">
        <v>46</v>
      </c>
      <c r="K9404" s="202">
        <v>6000000</v>
      </c>
      <c r="L9404" s="202"/>
    </row>
    <row r="9405" spans="1:15" x14ac:dyDescent="0.2">
      <c r="A9405" s="120">
        <v>2025</v>
      </c>
      <c r="B9405" s="120">
        <v>7</v>
      </c>
      <c r="C9405" s="120">
        <v>24</v>
      </c>
      <c r="D9405" s="208">
        <f t="shared" si="1163"/>
        <v>45862</v>
      </c>
      <c r="E9405" s="209">
        <f t="shared" si="1167"/>
        <v>45862</v>
      </c>
      <c r="F9405" s="515"/>
      <c r="G9405" s="132" t="s">
        <v>1209</v>
      </c>
      <c r="J9405" s="120" t="s">
        <v>16</v>
      </c>
      <c r="K9405" s="207"/>
      <c r="L9405" s="207">
        <v>4731860</v>
      </c>
    </row>
    <row r="9406" spans="1:15" x14ac:dyDescent="0.2">
      <c r="A9406" s="191">
        <v>2025</v>
      </c>
      <c r="B9406" s="191">
        <v>7</v>
      </c>
      <c r="C9406" s="191">
        <v>24</v>
      </c>
      <c r="D9406" s="192">
        <f t="shared" si="1163"/>
        <v>45862</v>
      </c>
      <c r="E9406" s="193">
        <f t="shared" si="1167"/>
        <v>45862</v>
      </c>
      <c r="F9406" s="514"/>
      <c r="G9406" s="194" t="s">
        <v>1209</v>
      </c>
      <c r="H9406" s="195"/>
      <c r="I9406" s="195"/>
      <c r="J9406" s="191" t="s">
        <v>47</v>
      </c>
      <c r="K9406" s="196"/>
      <c r="L9406" s="196">
        <v>1268140</v>
      </c>
    </row>
    <row r="9407" spans="1:15" x14ac:dyDescent="0.2">
      <c r="A9407" s="197">
        <v>2025</v>
      </c>
      <c r="B9407" s="197">
        <v>7</v>
      </c>
      <c r="C9407" s="197">
        <v>24</v>
      </c>
      <c r="D9407" s="198">
        <f t="shared" si="1163"/>
        <v>45862</v>
      </c>
      <c r="E9407" s="209">
        <f t="shared" ref="E9407:E9417" si="1168">DATE(A9407,B9407,C9407)</f>
        <v>45862</v>
      </c>
      <c r="F9407" s="513" t="s">
        <v>1210</v>
      </c>
      <c r="G9407" s="200" t="s">
        <v>1209</v>
      </c>
      <c r="H9407" s="201"/>
      <c r="I9407" s="201"/>
      <c r="J9407" s="197" t="s">
        <v>46</v>
      </c>
      <c r="K9407" s="202">
        <v>4000000</v>
      </c>
      <c r="L9407" s="202"/>
    </row>
    <row r="9408" spans="1:15" x14ac:dyDescent="0.2">
      <c r="A9408" s="120">
        <v>2025</v>
      </c>
      <c r="B9408" s="120">
        <v>7</v>
      </c>
      <c r="C9408" s="120">
        <v>24</v>
      </c>
      <c r="D9408" s="208">
        <f t="shared" si="1163"/>
        <v>45862</v>
      </c>
      <c r="E9408" s="209">
        <f t="shared" si="1168"/>
        <v>45862</v>
      </c>
      <c r="F9408" s="515"/>
      <c r="G9408" s="132" t="s">
        <v>1209</v>
      </c>
      <c r="J9408" s="120" t="s">
        <v>16</v>
      </c>
      <c r="K9408" s="207"/>
      <c r="L9408" s="207">
        <v>3154570</v>
      </c>
    </row>
    <row r="9409" spans="1:15" x14ac:dyDescent="0.2">
      <c r="A9409" s="191">
        <v>2025</v>
      </c>
      <c r="B9409" s="191">
        <v>7</v>
      </c>
      <c r="C9409" s="191">
        <v>24</v>
      </c>
      <c r="D9409" s="192">
        <f t="shared" si="1163"/>
        <v>45862</v>
      </c>
      <c r="E9409" s="193">
        <f t="shared" si="1168"/>
        <v>45862</v>
      </c>
      <c r="F9409" s="514"/>
      <c r="G9409" s="194" t="s">
        <v>1209</v>
      </c>
      <c r="H9409" s="195"/>
      <c r="I9409" s="195"/>
      <c r="J9409" s="191" t="s">
        <v>47</v>
      </c>
      <c r="K9409" s="196"/>
      <c r="L9409" s="196">
        <v>845430</v>
      </c>
    </row>
    <row r="9410" spans="1:15" x14ac:dyDescent="0.2">
      <c r="A9410" s="197">
        <v>2025</v>
      </c>
      <c r="B9410" s="197">
        <v>7</v>
      </c>
      <c r="C9410" s="197">
        <v>24</v>
      </c>
      <c r="D9410" s="198">
        <f t="shared" si="1163"/>
        <v>45862</v>
      </c>
      <c r="E9410" s="209">
        <f t="shared" si="1168"/>
        <v>45862</v>
      </c>
      <c r="F9410" s="513" t="s">
        <v>1210</v>
      </c>
      <c r="G9410" s="200" t="s">
        <v>1209</v>
      </c>
      <c r="H9410" s="201"/>
      <c r="I9410" s="201"/>
      <c r="J9410" s="197" t="s">
        <v>46</v>
      </c>
      <c r="K9410" s="202">
        <v>50000</v>
      </c>
      <c r="L9410" s="202"/>
    </row>
    <row r="9411" spans="1:15" x14ac:dyDescent="0.2">
      <c r="A9411" s="120">
        <v>2025</v>
      </c>
      <c r="B9411" s="120">
        <v>7</v>
      </c>
      <c r="C9411" s="120">
        <v>24</v>
      </c>
      <c r="D9411" s="208">
        <f t="shared" si="1163"/>
        <v>45862</v>
      </c>
      <c r="E9411" s="209">
        <f t="shared" si="1168"/>
        <v>45862</v>
      </c>
      <c r="F9411" s="515"/>
      <c r="G9411" s="132" t="s">
        <v>1209</v>
      </c>
      <c r="J9411" s="120" t="s">
        <v>16</v>
      </c>
      <c r="K9411" s="207"/>
      <c r="L9411" s="207">
        <v>39430</v>
      </c>
    </row>
    <row r="9412" spans="1:15" x14ac:dyDescent="0.2">
      <c r="A9412" s="191">
        <v>2025</v>
      </c>
      <c r="B9412" s="191">
        <v>7</v>
      </c>
      <c r="C9412" s="191">
        <v>24</v>
      </c>
      <c r="D9412" s="192">
        <f t="shared" si="1163"/>
        <v>45862</v>
      </c>
      <c r="E9412" s="193">
        <f t="shared" si="1168"/>
        <v>45862</v>
      </c>
      <c r="F9412" s="514"/>
      <c r="G9412" s="194" t="s">
        <v>1209</v>
      </c>
      <c r="H9412" s="195"/>
      <c r="I9412" s="195"/>
      <c r="J9412" s="191" t="s">
        <v>47</v>
      </c>
      <c r="K9412" s="196"/>
      <c r="L9412" s="196">
        <v>10570</v>
      </c>
    </row>
    <row r="9413" spans="1:15" ht="11.25" customHeight="1" x14ac:dyDescent="0.2">
      <c r="A9413" s="197">
        <v>2025</v>
      </c>
      <c r="B9413" s="197">
        <v>7</v>
      </c>
      <c r="C9413" s="197">
        <v>24</v>
      </c>
      <c r="D9413" s="198">
        <f t="shared" si="1163"/>
        <v>45862</v>
      </c>
      <c r="E9413" s="290">
        <f t="shared" si="1168"/>
        <v>45862</v>
      </c>
      <c r="F9413" s="513" t="s">
        <v>1514</v>
      </c>
      <c r="G9413" s="200" t="s">
        <v>1209</v>
      </c>
      <c r="H9413" s="201"/>
      <c r="I9413" s="201"/>
      <c r="J9413" s="197" t="s">
        <v>54</v>
      </c>
      <c r="K9413" s="202">
        <v>180</v>
      </c>
      <c r="L9413" s="202"/>
      <c r="M9413" s="251"/>
      <c r="N9413" s="251"/>
      <c r="O9413" s="251"/>
    </row>
    <row r="9414" spans="1:15" ht="11.25" customHeight="1" x14ac:dyDescent="0.2">
      <c r="A9414" s="191">
        <v>2025</v>
      </c>
      <c r="B9414" s="191">
        <v>7</v>
      </c>
      <c r="C9414" s="191">
        <v>24</v>
      </c>
      <c r="D9414" s="192">
        <f t="shared" si="1163"/>
        <v>45862</v>
      </c>
      <c r="E9414" s="291">
        <f t="shared" si="1168"/>
        <v>45862</v>
      </c>
      <c r="F9414" s="514"/>
      <c r="G9414" s="194" t="s">
        <v>1209</v>
      </c>
      <c r="H9414" s="195"/>
      <c r="I9414" s="195"/>
      <c r="J9414" s="191" t="s">
        <v>46</v>
      </c>
      <c r="K9414" s="196"/>
      <c r="L9414" s="196">
        <v>180</v>
      </c>
      <c r="M9414" s="251"/>
    </row>
    <row r="9415" spans="1:15" ht="11.25" customHeight="1" x14ac:dyDescent="0.2">
      <c r="A9415" s="197">
        <v>2025</v>
      </c>
      <c r="B9415" s="197">
        <v>7</v>
      </c>
      <c r="C9415" s="197">
        <v>24</v>
      </c>
      <c r="D9415" s="198">
        <f t="shared" si="1163"/>
        <v>45862</v>
      </c>
      <c r="E9415" s="199">
        <f t="shared" si="1168"/>
        <v>45862</v>
      </c>
      <c r="F9415" s="513" t="s">
        <v>2066</v>
      </c>
      <c r="G9415" s="200" t="s">
        <v>1245</v>
      </c>
      <c r="H9415" s="201"/>
      <c r="I9415" s="201"/>
      <c r="J9415" s="197" t="s">
        <v>46</v>
      </c>
      <c r="K9415" s="202">
        <v>158550</v>
      </c>
      <c r="L9415" s="202"/>
    </row>
    <row r="9416" spans="1:15" ht="11.25" customHeight="1" x14ac:dyDescent="0.2">
      <c r="A9416" s="120">
        <v>2025</v>
      </c>
      <c r="B9416" s="120">
        <v>7</v>
      </c>
      <c r="C9416" s="120">
        <v>24</v>
      </c>
      <c r="D9416" s="208">
        <f t="shared" si="1163"/>
        <v>45862</v>
      </c>
      <c r="E9416" s="209">
        <f t="shared" si="1168"/>
        <v>45862</v>
      </c>
      <c r="F9416" s="515"/>
      <c r="G9416" s="132" t="s">
        <v>1245</v>
      </c>
      <c r="J9416" s="120" t="s">
        <v>1582</v>
      </c>
      <c r="K9416" s="207"/>
      <c r="L9416" s="207">
        <f>K9415-L9417</f>
        <v>97662.908225806314</v>
      </c>
    </row>
    <row r="9417" spans="1:15" ht="11.25" customHeight="1" x14ac:dyDescent="0.2">
      <c r="A9417" s="191">
        <v>2025</v>
      </c>
      <c r="B9417" s="191">
        <v>7</v>
      </c>
      <c r="C9417" s="191">
        <v>24</v>
      </c>
      <c r="D9417" s="192">
        <f t="shared" si="1163"/>
        <v>45862</v>
      </c>
      <c r="E9417" s="193">
        <f t="shared" si="1168"/>
        <v>45862</v>
      </c>
      <c r="F9417" s="514"/>
      <c r="G9417" s="194" t="s">
        <v>1245</v>
      </c>
      <c r="H9417" s="195"/>
      <c r="I9417" s="195"/>
      <c r="J9417" s="191" t="s">
        <v>1284</v>
      </c>
      <c r="K9417" s="196"/>
      <c r="L9417" s="196">
        <v>60887.091774193686</v>
      </c>
    </row>
    <row r="9418" spans="1:15" ht="11.25" customHeight="1" x14ac:dyDescent="0.2">
      <c r="A9418" s="424">
        <v>2025</v>
      </c>
      <c r="B9418" s="424">
        <v>7</v>
      </c>
      <c r="C9418" s="424">
        <v>24</v>
      </c>
      <c r="D9418" s="425">
        <f t="shared" si="1163"/>
        <v>45862</v>
      </c>
      <c r="E9418" s="384">
        <f t="shared" si="1166"/>
        <v>45862</v>
      </c>
      <c r="F9418" s="516" t="s">
        <v>1850</v>
      </c>
      <c r="G9418" s="426" t="s">
        <v>1209</v>
      </c>
      <c r="H9418" s="427"/>
      <c r="I9418" s="427"/>
      <c r="J9418" s="428" t="s">
        <v>81</v>
      </c>
      <c r="K9418" s="429">
        <v>11170.721538461539</v>
      </c>
      <c r="L9418" s="429"/>
    </row>
    <row r="9419" spans="1:15" ht="11.25" customHeight="1" x14ac:dyDescent="0.2">
      <c r="A9419" s="389">
        <v>2025</v>
      </c>
      <c r="B9419" s="389">
        <v>7</v>
      </c>
      <c r="C9419" s="389">
        <v>24</v>
      </c>
      <c r="D9419" s="390">
        <f t="shared" si="1163"/>
        <v>45862</v>
      </c>
      <c r="E9419" s="391">
        <f t="shared" si="1166"/>
        <v>45862</v>
      </c>
      <c r="F9419" s="517"/>
      <c r="G9419" s="392" t="s">
        <v>1209</v>
      </c>
      <c r="H9419" s="393"/>
      <c r="I9419" s="393"/>
      <c r="J9419" s="394" t="s">
        <v>1847</v>
      </c>
      <c r="K9419" s="423"/>
      <c r="L9419" s="423">
        <f>K9418</f>
        <v>11170.721538461539</v>
      </c>
    </row>
    <row r="9420" spans="1:15" ht="11.25" customHeight="1" x14ac:dyDescent="0.2">
      <c r="A9420" s="382">
        <v>2025</v>
      </c>
      <c r="B9420" s="382">
        <v>7</v>
      </c>
      <c r="C9420" s="382">
        <v>24</v>
      </c>
      <c r="D9420" s="383">
        <f t="shared" si="1163"/>
        <v>45862</v>
      </c>
      <c r="E9420" s="384">
        <f t="shared" si="1166"/>
        <v>45862</v>
      </c>
      <c r="F9420" s="516" t="s">
        <v>1892</v>
      </c>
      <c r="G9420" s="385" t="s">
        <v>1209</v>
      </c>
      <c r="H9420" s="386"/>
      <c r="I9420" s="386"/>
      <c r="J9420" s="387" t="s">
        <v>173</v>
      </c>
      <c r="K9420" s="388">
        <v>5362.4467204490466</v>
      </c>
      <c r="L9420" s="388"/>
    </row>
    <row r="9421" spans="1:15" ht="11.25" customHeight="1" x14ac:dyDescent="0.2">
      <c r="A9421" s="389">
        <v>2025</v>
      </c>
      <c r="B9421" s="389">
        <v>7</v>
      </c>
      <c r="C9421" s="389">
        <v>24</v>
      </c>
      <c r="D9421" s="390">
        <f t="shared" si="1163"/>
        <v>45862</v>
      </c>
      <c r="E9421" s="391">
        <f t="shared" si="1166"/>
        <v>45862</v>
      </c>
      <c r="F9421" s="517"/>
      <c r="G9421" s="392" t="s">
        <v>1209</v>
      </c>
      <c r="H9421" s="393"/>
      <c r="I9421" s="393"/>
      <c r="J9421" s="394" t="s">
        <v>43</v>
      </c>
      <c r="K9421" s="388"/>
      <c r="L9421" s="423">
        <f>K9420</f>
        <v>5362.4467204490466</v>
      </c>
    </row>
    <row r="9422" spans="1:15" ht="11.25" customHeight="1" x14ac:dyDescent="0.2">
      <c r="A9422" s="344">
        <v>2025</v>
      </c>
      <c r="B9422" s="344">
        <v>7</v>
      </c>
      <c r="C9422" s="344">
        <v>24</v>
      </c>
      <c r="D9422" s="345">
        <f t="shared" si="1163"/>
        <v>45862</v>
      </c>
      <c r="E9422" s="346">
        <f t="shared" si="1166"/>
        <v>45862</v>
      </c>
      <c r="F9422" s="518" t="s">
        <v>1982</v>
      </c>
      <c r="G9422" s="347" t="s">
        <v>1245</v>
      </c>
      <c r="H9422" s="348"/>
      <c r="I9422" s="348" t="s">
        <v>1253</v>
      </c>
      <c r="J9422" s="344" t="s">
        <v>1978</v>
      </c>
      <c r="K9422" s="349">
        <v>145230.76923076922</v>
      </c>
      <c r="L9422" s="349"/>
    </row>
    <row r="9423" spans="1:15" ht="11.25" customHeight="1" x14ac:dyDescent="0.2">
      <c r="A9423" s="350">
        <v>2025</v>
      </c>
      <c r="B9423" s="350">
        <v>7</v>
      </c>
      <c r="C9423" s="350">
        <v>24</v>
      </c>
      <c r="D9423" s="351">
        <f t="shared" si="1163"/>
        <v>45862</v>
      </c>
      <c r="E9423" s="352">
        <f t="shared" si="1166"/>
        <v>45862</v>
      </c>
      <c r="F9423" s="519"/>
      <c r="G9423" s="353" t="s">
        <v>1245</v>
      </c>
      <c r="H9423" s="354"/>
      <c r="I9423" s="354" t="s">
        <v>1253</v>
      </c>
      <c r="J9423" s="350" t="s">
        <v>1979</v>
      </c>
      <c r="K9423" s="355"/>
      <c r="L9423" s="355">
        <f>K9422</f>
        <v>145230.76923076922</v>
      </c>
    </row>
    <row r="9424" spans="1:15" ht="11.25" customHeight="1" x14ac:dyDescent="0.2">
      <c r="A9424" s="344">
        <v>2025</v>
      </c>
      <c r="B9424" s="344">
        <v>7</v>
      </c>
      <c r="C9424" s="344">
        <v>24</v>
      </c>
      <c r="D9424" s="345">
        <f t="shared" si="1163"/>
        <v>45862</v>
      </c>
      <c r="E9424" s="346">
        <f t="shared" si="1166"/>
        <v>45862</v>
      </c>
      <c r="F9424" s="518" t="s">
        <v>2009</v>
      </c>
      <c r="G9424" s="347" t="s">
        <v>1245</v>
      </c>
      <c r="H9424" s="348"/>
      <c r="I9424" s="348" t="s">
        <v>1253</v>
      </c>
      <c r="J9424" s="344" t="s">
        <v>2004</v>
      </c>
      <c r="K9424" s="349">
        <v>49692.31</v>
      </c>
      <c r="L9424" s="349"/>
    </row>
    <row r="9425" spans="1:16" ht="11.25" customHeight="1" x14ac:dyDescent="0.2">
      <c r="A9425" s="350">
        <v>2025</v>
      </c>
      <c r="B9425" s="350">
        <v>7</v>
      </c>
      <c r="C9425" s="350">
        <v>24</v>
      </c>
      <c r="D9425" s="351">
        <f t="shared" si="1163"/>
        <v>45862</v>
      </c>
      <c r="E9425" s="352">
        <f t="shared" si="1166"/>
        <v>45862</v>
      </c>
      <c r="F9425" s="519"/>
      <c r="G9425" s="353" t="s">
        <v>1245</v>
      </c>
      <c r="H9425" s="354"/>
      <c r="I9425" s="354" t="s">
        <v>1253</v>
      </c>
      <c r="J9425" s="350" t="s">
        <v>2008</v>
      </c>
      <c r="K9425" s="355"/>
      <c r="L9425" s="355">
        <f t="shared" ref="L9425" si="1169">K9424</f>
        <v>49692.31</v>
      </c>
    </row>
    <row r="9426" spans="1:16" ht="11.25" customHeight="1" x14ac:dyDescent="0.2">
      <c r="A9426" s="344">
        <v>2025</v>
      </c>
      <c r="B9426" s="344">
        <v>7</v>
      </c>
      <c r="C9426" s="344">
        <v>24</v>
      </c>
      <c r="D9426" s="345">
        <f t="shared" si="1163"/>
        <v>45862</v>
      </c>
      <c r="E9426" s="346">
        <f t="shared" si="1166"/>
        <v>45862</v>
      </c>
      <c r="F9426" s="518" t="s">
        <v>2009</v>
      </c>
      <c r="G9426" s="347" t="s">
        <v>1245</v>
      </c>
      <c r="H9426" s="348"/>
      <c r="I9426" s="348" t="s">
        <v>1253</v>
      </c>
      <c r="J9426" s="344" t="s">
        <v>2004</v>
      </c>
      <c r="K9426" s="349">
        <v>49692.31</v>
      </c>
      <c r="L9426" s="349"/>
    </row>
    <row r="9427" spans="1:16" ht="11.25" customHeight="1" x14ac:dyDescent="0.2">
      <c r="A9427" s="350">
        <v>2025</v>
      </c>
      <c r="B9427" s="350">
        <v>7</v>
      </c>
      <c r="C9427" s="350">
        <v>24</v>
      </c>
      <c r="D9427" s="351">
        <f t="shared" si="1163"/>
        <v>45862</v>
      </c>
      <c r="E9427" s="352">
        <f t="shared" si="1166"/>
        <v>45862</v>
      </c>
      <c r="F9427" s="519"/>
      <c r="G9427" s="353" t="s">
        <v>1245</v>
      </c>
      <c r="H9427" s="354"/>
      <c r="I9427" s="354" t="s">
        <v>1253</v>
      </c>
      <c r="J9427" s="350" t="s">
        <v>2008</v>
      </c>
      <c r="K9427" s="355"/>
      <c r="L9427" s="355">
        <f t="shared" ref="L9427" si="1170">K9426</f>
        <v>49692.31</v>
      </c>
    </row>
    <row r="9428" spans="1:16" ht="11.25" customHeight="1" x14ac:dyDescent="0.2">
      <c r="A9428" s="344">
        <v>2025</v>
      </c>
      <c r="B9428" s="344">
        <v>7</v>
      </c>
      <c r="C9428" s="344">
        <v>24</v>
      </c>
      <c r="D9428" s="345">
        <f t="shared" si="1163"/>
        <v>45862</v>
      </c>
      <c r="E9428" s="346">
        <f>DATE(A9428,B9428,C9428)</f>
        <v>45862</v>
      </c>
      <c r="F9428" s="518" t="s">
        <v>1988</v>
      </c>
      <c r="G9428" s="347" t="s">
        <v>1245</v>
      </c>
      <c r="H9428" s="348"/>
      <c r="I9428" s="348" t="s">
        <v>1253</v>
      </c>
      <c r="J9428" s="344" t="s">
        <v>113</v>
      </c>
      <c r="K9428" s="349">
        <v>32846.15</v>
      </c>
      <c r="L9428" s="349"/>
    </row>
    <row r="9429" spans="1:16" ht="11.25" customHeight="1" x14ac:dyDescent="0.2">
      <c r="A9429" s="350">
        <v>2025</v>
      </c>
      <c r="B9429" s="350">
        <v>7</v>
      </c>
      <c r="C9429" s="350">
        <v>24</v>
      </c>
      <c r="D9429" s="351">
        <f t="shared" si="1163"/>
        <v>45862</v>
      </c>
      <c r="E9429" s="352">
        <f>DATE(A9429,B9429,C9429)</f>
        <v>45862</v>
      </c>
      <c r="F9429" s="519"/>
      <c r="G9429" s="353" t="s">
        <v>1245</v>
      </c>
      <c r="H9429" s="354"/>
      <c r="I9429" s="354" t="s">
        <v>1253</v>
      </c>
      <c r="J9429" s="350" t="s">
        <v>153</v>
      </c>
      <c r="K9429" s="355"/>
      <c r="L9429" s="355">
        <f t="shared" ref="L9429" si="1171">K9428</f>
        <v>32846.15</v>
      </c>
    </row>
    <row r="9430" spans="1:16" ht="11.25" customHeight="1" x14ac:dyDescent="0.2">
      <c r="A9430" s="344">
        <v>2025</v>
      </c>
      <c r="B9430" s="344">
        <v>7</v>
      </c>
      <c r="C9430" s="344">
        <v>24</v>
      </c>
      <c r="D9430" s="345">
        <f t="shared" si="1163"/>
        <v>45862</v>
      </c>
      <c r="E9430" s="346">
        <f t="shared" ref="E9430:E9435" si="1172">DATE(A9430,B9430,C9430)</f>
        <v>45862</v>
      </c>
      <c r="F9430" s="518" t="s">
        <v>1989</v>
      </c>
      <c r="G9430" s="347" t="s">
        <v>1245</v>
      </c>
      <c r="H9430" s="348"/>
      <c r="I9430" s="348" t="s">
        <v>1253</v>
      </c>
      <c r="J9430" s="344" t="s">
        <v>113</v>
      </c>
      <c r="K9430" s="349">
        <v>23461.538461538461</v>
      </c>
      <c r="L9430" s="349"/>
    </row>
    <row r="9431" spans="1:16" ht="11.25" customHeight="1" x14ac:dyDescent="0.2">
      <c r="A9431" s="350">
        <v>2025</v>
      </c>
      <c r="B9431" s="350">
        <v>7</v>
      </c>
      <c r="C9431" s="350">
        <v>24</v>
      </c>
      <c r="D9431" s="351">
        <f t="shared" si="1163"/>
        <v>45862</v>
      </c>
      <c r="E9431" s="352">
        <f t="shared" si="1172"/>
        <v>45862</v>
      </c>
      <c r="F9431" s="519"/>
      <c r="G9431" s="353" t="s">
        <v>1245</v>
      </c>
      <c r="H9431" s="354"/>
      <c r="I9431" s="354" t="s">
        <v>1253</v>
      </c>
      <c r="J9431" s="350" t="s">
        <v>153</v>
      </c>
      <c r="K9431" s="355"/>
      <c r="L9431" s="355">
        <f t="shared" ref="L9431" si="1173">K9430</f>
        <v>23461.538461538461</v>
      </c>
    </row>
    <row r="9432" spans="1:16" ht="11.25" customHeight="1" x14ac:dyDescent="0.2">
      <c r="A9432" s="344">
        <v>2025</v>
      </c>
      <c r="B9432" s="344">
        <v>7</v>
      </c>
      <c r="C9432" s="344">
        <v>24</v>
      </c>
      <c r="D9432" s="345">
        <f t="shared" si="1163"/>
        <v>45862</v>
      </c>
      <c r="E9432" s="346">
        <f t="shared" si="1172"/>
        <v>45862</v>
      </c>
      <c r="F9432" s="518" t="s">
        <v>1990</v>
      </c>
      <c r="G9432" s="347" t="s">
        <v>1245</v>
      </c>
      <c r="H9432" s="348"/>
      <c r="I9432" s="348" t="s">
        <v>1253</v>
      </c>
      <c r="J9432" s="344" t="s">
        <v>113</v>
      </c>
      <c r="K9432" s="349">
        <v>70384.62</v>
      </c>
      <c r="L9432" s="349"/>
      <c r="N9432" s="251"/>
      <c r="O9432" s="251"/>
      <c r="P9432" s="251"/>
    </row>
    <row r="9433" spans="1:16" ht="11.25" customHeight="1" x14ac:dyDescent="0.2">
      <c r="A9433" s="350">
        <v>2025</v>
      </c>
      <c r="B9433" s="350">
        <v>7</v>
      </c>
      <c r="C9433" s="350">
        <v>24</v>
      </c>
      <c r="D9433" s="351">
        <f t="shared" si="1163"/>
        <v>45862</v>
      </c>
      <c r="E9433" s="352">
        <f t="shared" si="1172"/>
        <v>45862</v>
      </c>
      <c r="F9433" s="519"/>
      <c r="G9433" s="353" t="s">
        <v>1245</v>
      </c>
      <c r="H9433" s="354"/>
      <c r="I9433" s="354" t="s">
        <v>1253</v>
      </c>
      <c r="J9433" s="350" t="s">
        <v>153</v>
      </c>
      <c r="K9433" s="355"/>
      <c r="L9433" s="355">
        <f t="shared" ref="L9433" si="1174">K9432</f>
        <v>70384.62</v>
      </c>
    </row>
    <row r="9434" spans="1:16" ht="11.25" customHeight="1" x14ac:dyDescent="0.2">
      <c r="A9434" s="344">
        <v>2025</v>
      </c>
      <c r="B9434" s="344">
        <v>7</v>
      </c>
      <c r="C9434" s="344">
        <v>24</v>
      </c>
      <c r="D9434" s="345">
        <f t="shared" si="1163"/>
        <v>45862</v>
      </c>
      <c r="E9434" s="346">
        <f t="shared" si="1172"/>
        <v>45862</v>
      </c>
      <c r="F9434" s="518" t="s">
        <v>2039</v>
      </c>
      <c r="G9434" s="347" t="s">
        <v>1245</v>
      </c>
      <c r="H9434" s="348"/>
      <c r="I9434" s="348" t="s">
        <v>1253</v>
      </c>
      <c r="J9434" s="344" t="s">
        <v>113</v>
      </c>
      <c r="K9434" s="349">
        <v>9384.6153846153848</v>
      </c>
      <c r="L9434" s="349"/>
    </row>
    <row r="9435" spans="1:16" ht="11.25" customHeight="1" x14ac:dyDescent="0.2">
      <c r="A9435" s="350">
        <v>2025</v>
      </c>
      <c r="B9435" s="350">
        <v>7</v>
      </c>
      <c r="C9435" s="350">
        <v>24</v>
      </c>
      <c r="D9435" s="351">
        <f t="shared" si="1163"/>
        <v>45862</v>
      </c>
      <c r="E9435" s="352">
        <f t="shared" si="1172"/>
        <v>45862</v>
      </c>
      <c r="F9435" s="519"/>
      <c r="G9435" s="353" t="s">
        <v>1245</v>
      </c>
      <c r="H9435" s="354"/>
      <c r="I9435" s="354" t="s">
        <v>1253</v>
      </c>
      <c r="J9435" s="350" t="s">
        <v>153</v>
      </c>
      <c r="K9435" s="355"/>
      <c r="L9435" s="355">
        <f t="shared" ref="L9435" si="1175">K9434</f>
        <v>9384.6153846153848</v>
      </c>
    </row>
    <row r="9436" spans="1:16" ht="11.25" customHeight="1" x14ac:dyDescent="0.2">
      <c r="A9436" s="344">
        <v>2025</v>
      </c>
      <c r="B9436" s="344">
        <v>7</v>
      </c>
      <c r="C9436" s="344">
        <v>24</v>
      </c>
      <c r="D9436" s="345">
        <f t="shared" si="1163"/>
        <v>45862</v>
      </c>
      <c r="E9436" s="346">
        <f>DATE(A9436,B9436,C9436)</f>
        <v>45862</v>
      </c>
      <c r="F9436" s="518" t="s">
        <v>1991</v>
      </c>
      <c r="G9436" s="347" t="s">
        <v>1245</v>
      </c>
      <c r="H9436" s="348"/>
      <c r="I9436" s="348" t="s">
        <v>1253</v>
      </c>
      <c r="J9436" s="344" t="s">
        <v>113</v>
      </c>
      <c r="K9436" s="349">
        <v>39884.620000000003</v>
      </c>
      <c r="L9436" s="349"/>
    </row>
    <row r="9437" spans="1:16" ht="11.25" customHeight="1" x14ac:dyDescent="0.2">
      <c r="A9437" s="350">
        <v>2025</v>
      </c>
      <c r="B9437" s="350">
        <v>7</v>
      </c>
      <c r="C9437" s="350">
        <v>24</v>
      </c>
      <c r="D9437" s="351">
        <f t="shared" si="1163"/>
        <v>45862</v>
      </c>
      <c r="E9437" s="352">
        <f>DATE(A9437,B9437,C9437)</f>
        <v>45862</v>
      </c>
      <c r="F9437" s="519"/>
      <c r="G9437" s="353" t="s">
        <v>1245</v>
      </c>
      <c r="H9437" s="354"/>
      <c r="I9437" s="354" t="s">
        <v>1253</v>
      </c>
      <c r="J9437" s="350" t="s">
        <v>153</v>
      </c>
      <c r="K9437" s="355"/>
      <c r="L9437" s="355">
        <f t="shared" ref="L9437" si="1176">K9436</f>
        <v>39884.620000000003</v>
      </c>
    </row>
    <row r="9438" spans="1:16" ht="11.25" customHeight="1" x14ac:dyDescent="0.2">
      <c r="A9438" s="344">
        <v>2025</v>
      </c>
      <c r="B9438" s="344">
        <v>7</v>
      </c>
      <c r="C9438" s="344">
        <v>24</v>
      </c>
      <c r="D9438" s="345">
        <f t="shared" si="1163"/>
        <v>45862</v>
      </c>
      <c r="E9438" s="346">
        <f t="shared" ref="E9438:E9442" si="1177">DATE(A9438,B9438,C9438)</f>
        <v>45862</v>
      </c>
      <c r="F9438" s="518" t="s">
        <v>2052</v>
      </c>
      <c r="G9438" s="347" t="s">
        <v>1245</v>
      </c>
      <c r="H9438" s="348"/>
      <c r="I9438" s="348" t="s">
        <v>1253</v>
      </c>
      <c r="J9438" s="344" t="s">
        <v>113</v>
      </c>
      <c r="K9438" s="349">
        <v>11442.307692307691</v>
      </c>
      <c r="L9438" s="349"/>
    </row>
    <row r="9439" spans="1:16" ht="11.25" customHeight="1" x14ac:dyDescent="0.2">
      <c r="A9439" s="350">
        <v>2025</v>
      </c>
      <c r="B9439" s="350">
        <v>7</v>
      </c>
      <c r="C9439" s="350">
        <v>24</v>
      </c>
      <c r="D9439" s="351">
        <f t="shared" si="1163"/>
        <v>45862</v>
      </c>
      <c r="E9439" s="352">
        <f t="shared" si="1177"/>
        <v>45862</v>
      </c>
      <c r="F9439" s="519"/>
      <c r="G9439" s="353" t="s">
        <v>1245</v>
      </c>
      <c r="H9439" s="354"/>
      <c r="I9439" s="354" t="s">
        <v>1253</v>
      </c>
      <c r="J9439" s="350" t="s">
        <v>153</v>
      </c>
      <c r="K9439" s="355"/>
      <c r="L9439" s="355">
        <f t="shared" ref="L9439" si="1178">K9438</f>
        <v>11442.307692307691</v>
      </c>
    </row>
    <row r="9440" spans="1:16" ht="11.25" customHeight="1" x14ac:dyDescent="0.2">
      <c r="A9440" s="344">
        <v>2025</v>
      </c>
      <c r="B9440" s="344">
        <v>7</v>
      </c>
      <c r="C9440" s="344">
        <v>24</v>
      </c>
      <c r="D9440" s="345">
        <f t="shared" si="1163"/>
        <v>45862</v>
      </c>
      <c r="E9440" s="346">
        <f t="shared" si="1177"/>
        <v>45862</v>
      </c>
      <c r="F9440" s="518" t="s">
        <v>2053</v>
      </c>
      <c r="G9440" s="347" t="s">
        <v>1245</v>
      </c>
      <c r="H9440" s="348"/>
      <c r="I9440" s="348" t="s">
        <v>1253</v>
      </c>
      <c r="J9440" s="344" t="s">
        <v>113</v>
      </c>
      <c r="K9440" s="349">
        <v>11634.615384615385</v>
      </c>
      <c r="L9440" s="349"/>
    </row>
    <row r="9441" spans="1:13" ht="11.25" customHeight="1" x14ac:dyDescent="0.2">
      <c r="A9441" s="350">
        <v>2025</v>
      </c>
      <c r="B9441" s="350">
        <v>7</v>
      </c>
      <c r="C9441" s="350">
        <v>24</v>
      </c>
      <c r="D9441" s="351">
        <f t="shared" si="1163"/>
        <v>45862</v>
      </c>
      <c r="E9441" s="352">
        <f t="shared" si="1177"/>
        <v>45862</v>
      </c>
      <c r="F9441" s="519"/>
      <c r="G9441" s="353" t="s">
        <v>1245</v>
      </c>
      <c r="H9441" s="354"/>
      <c r="I9441" s="354" t="s">
        <v>1253</v>
      </c>
      <c r="J9441" s="350" t="s">
        <v>153</v>
      </c>
      <c r="K9441" s="355"/>
      <c r="L9441" s="355">
        <f t="shared" ref="L9441" si="1179">K9440</f>
        <v>11634.615384615385</v>
      </c>
    </row>
    <row r="9442" spans="1:13" ht="11.25" customHeight="1" x14ac:dyDescent="0.2">
      <c r="A9442" s="210">
        <v>2025</v>
      </c>
      <c r="B9442" s="210">
        <v>7</v>
      </c>
      <c r="C9442" s="210">
        <v>24</v>
      </c>
      <c r="D9442" s="211">
        <f t="shared" si="1163"/>
        <v>45862</v>
      </c>
      <c r="E9442" s="238">
        <f t="shared" si="1177"/>
        <v>45862</v>
      </c>
      <c r="F9442" s="520" t="s">
        <v>1857</v>
      </c>
      <c r="G9442" s="213" t="s">
        <v>1245</v>
      </c>
      <c r="H9442" s="214"/>
      <c r="I9442" s="214" t="s">
        <v>1253</v>
      </c>
      <c r="J9442" s="210" t="s">
        <v>1284</v>
      </c>
      <c r="K9442" s="215">
        <v>2341.8114143920593</v>
      </c>
      <c r="L9442" s="215"/>
    </row>
    <row r="9443" spans="1:13" ht="11.25" customHeight="1" x14ac:dyDescent="0.2">
      <c r="A9443" s="242">
        <v>2025</v>
      </c>
      <c r="B9443" s="242">
        <v>7</v>
      </c>
      <c r="C9443" s="242">
        <v>24</v>
      </c>
      <c r="D9443" s="243">
        <f t="shared" si="1163"/>
        <v>45862</v>
      </c>
      <c r="E9443" s="244">
        <f>DATE(A9443,B9443,C9443)</f>
        <v>45862</v>
      </c>
      <c r="F9443" s="524"/>
      <c r="G9443" s="245" t="s">
        <v>1245</v>
      </c>
      <c r="H9443" s="246"/>
      <c r="I9443" s="246"/>
      <c r="J9443" s="242" t="s">
        <v>1582</v>
      </c>
      <c r="K9443" s="247"/>
      <c r="L9443" s="247">
        <f>K9442</f>
        <v>2341.8114143920593</v>
      </c>
    </row>
    <row r="9444" spans="1:13" ht="11.25" customHeight="1" x14ac:dyDescent="0.2">
      <c r="A9444" s="210">
        <v>2025</v>
      </c>
      <c r="B9444" s="210">
        <v>7</v>
      </c>
      <c r="C9444" s="210">
        <v>24</v>
      </c>
      <c r="D9444" s="211">
        <f t="shared" si="1163"/>
        <v>45862</v>
      </c>
      <c r="E9444" s="238">
        <f t="shared" ref="E9444:E9471" si="1180">DATE(A9444,B9444,C9444)</f>
        <v>45862</v>
      </c>
      <c r="F9444" s="520" t="s">
        <v>2055</v>
      </c>
      <c r="G9444" s="213" t="s">
        <v>1245</v>
      </c>
      <c r="H9444" s="214"/>
      <c r="I9444" s="214" t="s">
        <v>1253</v>
      </c>
      <c r="J9444" s="210" t="s">
        <v>58</v>
      </c>
      <c r="K9444" s="215">
        <v>26767.7</v>
      </c>
      <c r="L9444" s="215"/>
    </row>
    <row r="9445" spans="1:13" ht="11.25" customHeight="1" x14ac:dyDescent="0.2">
      <c r="A9445" s="216">
        <v>2025</v>
      </c>
      <c r="B9445" s="216">
        <v>7</v>
      </c>
      <c r="C9445" s="216">
        <v>24</v>
      </c>
      <c r="D9445" s="217">
        <f t="shared" si="1163"/>
        <v>45862</v>
      </c>
      <c r="E9445" s="239">
        <f t="shared" si="1180"/>
        <v>45862</v>
      </c>
      <c r="F9445" s="521"/>
      <c r="G9445" s="219" t="s">
        <v>1245</v>
      </c>
      <c r="H9445" s="220"/>
      <c r="I9445" s="220" t="s">
        <v>1253</v>
      </c>
      <c r="J9445" s="216" t="s">
        <v>153</v>
      </c>
      <c r="K9445" s="221"/>
      <c r="L9445" s="221">
        <f>K9444</f>
        <v>26767.7</v>
      </c>
    </row>
    <row r="9446" spans="1:13" ht="11.25" customHeight="1" x14ac:dyDescent="0.2">
      <c r="A9446" s="312">
        <v>2025</v>
      </c>
      <c r="B9446" s="312">
        <v>7</v>
      </c>
      <c r="C9446" s="312">
        <v>24</v>
      </c>
      <c r="D9446" s="313">
        <f t="shared" si="1163"/>
        <v>45862</v>
      </c>
      <c r="E9446" s="314">
        <f t="shared" si="1180"/>
        <v>45862</v>
      </c>
      <c r="F9446" s="522" t="s">
        <v>1477</v>
      </c>
      <c r="G9446" s="315" t="s">
        <v>1245</v>
      </c>
      <c r="H9446" s="316"/>
      <c r="I9446" s="316" t="s">
        <v>1253</v>
      </c>
      <c r="J9446" s="312" t="s">
        <v>1458</v>
      </c>
      <c r="K9446" s="317">
        <v>0</v>
      </c>
      <c r="L9446" s="317"/>
    </row>
    <row r="9447" spans="1:13" ht="11.25" customHeight="1" x14ac:dyDescent="0.2">
      <c r="A9447" s="318">
        <v>2025</v>
      </c>
      <c r="B9447" s="318">
        <v>7</v>
      </c>
      <c r="C9447" s="318">
        <v>24</v>
      </c>
      <c r="D9447" s="319">
        <f t="shared" si="1163"/>
        <v>45862</v>
      </c>
      <c r="E9447" s="320">
        <f t="shared" si="1180"/>
        <v>45862</v>
      </c>
      <c r="F9447" s="523"/>
      <c r="G9447" s="321" t="s">
        <v>1245</v>
      </c>
      <c r="H9447" s="322"/>
      <c r="I9447" s="322" t="s">
        <v>1253</v>
      </c>
      <c r="J9447" s="318" t="s">
        <v>1460</v>
      </c>
      <c r="K9447" s="323"/>
      <c r="L9447" s="323">
        <f>K9446</f>
        <v>0</v>
      </c>
    </row>
    <row r="9448" spans="1:13" ht="11.25" customHeight="1" x14ac:dyDescent="0.2">
      <c r="A9448" s="312">
        <v>2025</v>
      </c>
      <c r="B9448" s="312">
        <v>7</v>
      </c>
      <c r="C9448" s="312">
        <v>24</v>
      </c>
      <c r="D9448" s="313">
        <f t="shared" si="1163"/>
        <v>45862</v>
      </c>
      <c r="E9448" s="314">
        <f t="shared" si="1180"/>
        <v>45862</v>
      </c>
      <c r="F9448" s="522" t="s">
        <v>1595</v>
      </c>
      <c r="G9448" s="315" t="s">
        <v>1245</v>
      </c>
      <c r="H9448" s="316"/>
      <c r="I9448" s="316" t="s">
        <v>1253</v>
      </c>
      <c r="J9448" s="312" t="s">
        <v>1461</v>
      </c>
      <c r="K9448" s="317">
        <v>11806332.178000093</v>
      </c>
      <c r="L9448" s="317"/>
      <c r="M9448" s="328">
        <f>BS!I14</f>
        <v>0</v>
      </c>
    </row>
    <row r="9449" spans="1:13" ht="11.25" customHeight="1" x14ac:dyDescent="0.2">
      <c r="A9449" s="318">
        <v>2025</v>
      </c>
      <c r="B9449" s="318">
        <v>7</v>
      </c>
      <c r="C9449" s="318">
        <v>24</v>
      </c>
      <c r="D9449" s="319">
        <f t="shared" si="1163"/>
        <v>45862</v>
      </c>
      <c r="E9449" s="320">
        <f t="shared" si="1180"/>
        <v>45862</v>
      </c>
      <c r="F9449" s="523"/>
      <c r="G9449" s="321" t="s">
        <v>1245</v>
      </c>
      <c r="H9449" s="322"/>
      <c r="I9449" s="322" t="s">
        <v>1253</v>
      </c>
      <c r="J9449" s="318" t="s">
        <v>1459</v>
      </c>
      <c r="K9449" s="323"/>
      <c r="L9449" s="323">
        <f>K9448</f>
        <v>11806332.178000093</v>
      </c>
      <c r="M9449" s="328"/>
    </row>
    <row r="9450" spans="1:13" ht="11.25" customHeight="1" x14ac:dyDescent="0.2">
      <c r="A9450" s="222">
        <v>2025</v>
      </c>
      <c r="B9450" s="222">
        <v>7</v>
      </c>
      <c r="C9450" s="222">
        <v>24</v>
      </c>
      <c r="D9450" s="223">
        <f t="shared" si="1163"/>
        <v>45862</v>
      </c>
      <c r="E9450" s="240">
        <f t="shared" si="1180"/>
        <v>45862</v>
      </c>
      <c r="F9450" s="511" t="s">
        <v>1244</v>
      </c>
      <c r="G9450" s="225" t="s">
        <v>1245</v>
      </c>
      <c r="H9450" s="226"/>
      <c r="I9450" s="226" t="s">
        <v>1253</v>
      </c>
      <c r="J9450" s="222" t="s">
        <v>72</v>
      </c>
      <c r="K9450" s="227">
        <v>86295</v>
      </c>
      <c r="L9450" s="227"/>
      <c r="M9450" s="328">
        <f>BS!I7</f>
        <v>0</v>
      </c>
    </row>
    <row r="9451" spans="1:13" ht="11.25" customHeight="1" x14ac:dyDescent="0.2">
      <c r="A9451" s="228">
        <v>2025</v>
      </c>
      <c r="B9451" s="228">
        <v>7</v>
      </c>
      <c r="C9451" s="228">
        <v>24</v>
      </c>
      <c r="D9451" s="229">
        <f t="shared" si="1163"/>
        <v>45862</v>
      </c>
      <c r="E9451" s="241">
        <f t="shared" si="1180"/>
        <v>45862</v>
      </c>
      <c r="F9451" s="512"/>
      <c r="G9451" s="231" t="s">
        <v>1245</v>
      </c>
      <c r="H9451" s="232"/>
      <c r="I9451" s="232" t="s">
        <v>1253</v>
      </c>
      <c r="J9451" s="228" t="s">
        <v>87</v>
      </c>
      <c r="K9451" s="233"/>
      <c r="L9451" s="233">
        <f>K9450</f>
        <v>86295</v>
      </c>
    </row>
    <row r="9452" spans="1:13" ht="11.25" customHeight="1" x14ac:dyDescent="0.2">
      <c r="A9452" s="222">
        <v>2025</v>
      </c>
      <c r="B9452" s="222">
        <v>7</v>
      </c>
      <c r="C9452" s="222">
        <v>24</v>
      </c>
      <c r="D9452" s="223">
        <f t="shared" ref="D9452:D9515" si="1181">DATE(A9452,B9452,C9452)</f>
        <v>45862</v>
      </c>
      <c r="E9452" s="240">
        <f t="shared" si="1180"/>
        <v>45862</v>
      </c>
      <c r="F9452" s="511" t="s">
        <v>1246</v>
      </c>
      <c r="G9452" s="225" t="s">
        <v>1245</v>
      </c>
      <c r="H9452" s="226"/>
      <c r="I9452" s="226" t="s">
        <v>1253</v>
      </c>
      <c r="J9452" s="222" t="s">
        <v>75</v>
      </c>
      <c r="K9452" s="227">
        <v>3623.123846153846</v>
      </c>
      <c r="L9452" s="227"/>
    </row>
    <row r="9453" spans="1:13" ht="11.25" customHeight="1" x14ac:dyDescent="0.2">
      <c r="A9453" s="228">
        <v>2025</v>
      </c>
      <c r="B9453" s="228">
        <v>7</v>
      </c>
      <c r="C9453" s="228">
        <v>24</v>
      </c>
      <c r="D9453" s="229">
        <f t="shared" si="1181"/>
        <v>45862</v>
      </c>
      <c r="E9453" s="241">
        <f t="shared" si="1180"/>
        <v>45862</v>
      </c>
      <c r="F9453" s="512"/>
      <c r="G9453" s="231" t="s">
        <v>1245</v>
      </c>
      <c r="H9453" s="232"/>
      <c r="I9453" s="232" t="s">
        <v>1253</v>
      </c>
      <c r="J9453" s="228" t="s">
        <v>55</v>
      </c>
      <c r="K9453" s="233"/>
      <c r="L9453" s="233">
        <f>K9452</f>
        <v>3623.123846153846</v>
      </c>
    </row>
    <row r="9454" spans="1:13" ht="11.25" customHeight="1" x14ac:dyDescent="0.2">
      <c r="A9454" s="222">
        <v>2025</v>
      </c>
      <c r="B9454" s="222">
        <v>7</v>
      </c>
      <c r="C9454" s="222">
        <v>24</v>
      </c>
      <c r="D9454" s="223">
        <f t="shared" si="1181"/>
        <v>45862</v>
      </c>
      <c r="E9454" s="240">
        <f t="shared" si="1180"/>
        <v>45862</v>
      </c>
      <c r="F9454" s="511" t="s">
        <v>1247</v>
      </c>
      <c r="G9454" s="225" t="s">
        <v>1245</v>
      </c>
      <c r="H9454" s="226"/>
      <c r="I9454" s="226" t="s">
        <v>1253</v>
      </c>
      <c r="J9454" s="222" t="s">
        <v>77</v>
      </c>
      <c r="K9454" s="227">
        <f>M9454</f>
        <v>62782.669797226168</v>
      </c>
      <c r="L9454" s="227"/>
      <c r="M9454" s="120">
        <v>62782.669797226168</v>
      </c>
    </row>
    <row r="9455" spans="1:13" ht="11.25" customHeight="1" x14ac:dyDescent="0.2">
      <c r="A9455" s="228">
        <v>2025</v>
      </c>
      <c r="B9455" s="228">
        <v>7</v>
      </c>
      <c r="C9455" s="228">
        <v>24</v>
      </c>
      <c r="D9455" s="229">
        <f t="shared" si="1181"/>
        <v>45862</v>
      </c>
      <c r="E9455" s="241">
        <f t="shared" si="1180"/>
        <v>45862</v>
      </c>
      <c r="F9455" s="512"/>
      <c r="G9455" s="231" t="s">
        <v>1245</v>
      </c>
      <c r="H9455" s="232"/>
      <c r="I9455" s="232" t="s">
        <v>1253</v>
      </c>
      <c r="J9455" s="228" t="s">
        <v>41</v>
      </c>
      <c r="K9455" s="233"/>
      <c r="L9455" s="233">
        <f>K9454</f>
        <v>62782.669797226168</v>
      </c>
      <c r="M9455" s="120">
        <v>6278.2669797226172</v>
      </c>
    </row>
    <row r="9456" spans="1:13" ht="11.25" customHeight="1" x14ac:dyDescent="0.2">
      <c r="A9456" s="222">
        <v>2025</v>
      </c>
      <c r="B9456" s="222">
        <v>7</v>
      </c>
      <c r="C9456" s="222">
        <v>24</v>
      </c>
      <c r="D9456" s="223">
        <f t="shared" si="1181"/>
        <v>45862</v>
      </c>
      <c r="E9456" s="240">
        <f t="shared" si="1180"/>
        <v>45862</v>
      </c>
      <c r="F9456" s="511" t="s">
        <v>1248</v>
      </c>
      <c r="G9456" s="225" t="s">
        <v>1245</v>
      </c>
      <c r="H9456" s="226"/>
      <c r="I9456" s="226" t="s">
        <v>1253</v>
      </c>
      <c r="J9456" s="222" t="s">
        <v>80</v>
      </c>
      <c r="K9456" s="227">
        <f>M9455</f>
        <v>6278.2669797226172</v>
      </c>
      <c r="L9456" s="227"/>
    </row>
    <row r="9457" spans="1:15" ht="11.25" customHeight="1" x14ac:dyDescent="0.2">
      <c r="A9457" s="228">
        <v>2025</v>
      </c>
      <c r="B9457" s="228">
        <v>7</v>
      </c>
      <c r="C9457" s="228">
        <v>24</v>
      </c>
      <c r="D9457" s="229">
        <f t="shared" si="1181"/>
        <v>45862</v>
      </c>
      <c r="E9457" s="241">
        <f t="shared" si="1180"/>
        <v>45862</v>
      </c>
      <c r="F9457" s="512"/>
      <c r="G9457" s="231" t="s">
        <v>1245</v>
      </c>
      <c r="H9457" s="232"/>
      <c r="I9457" s="232" t="s">
        <v>1253</v>
      </c>
      <c r="J9457" s="228" t="s">
        <v>42</v>
      </c>
      <c r="K9457" s="233"/>
      <c r="L9457" s="233">
        <f>K9456</f>
        <v>6278.2669797226172</v>
      </c>
    </row>
    <row r="9458" spans="1:15" x14ac:dyDescent="0.2">
      <c r="A9458" s="197">
        <v>2025</v>
      </c>
      <c r="B9458" s="197">
        <v>7</v>
      </c>
      <c r="C9458" s="197">
        <v>27</v>
      </c>
      <c r="D9458" s="198">
        <f t="shared" si="1181"/>
        <v>45865</v>
      </c>
      <c r="E9458" s="209">
        <f t="shared" si="1180"/>
        <v>45865</v>
      </c>
      <c r="F9458" s="513" t="s">
        <v>1296</v>
      </c>
      <c r="G9458" s="200" t="s">
        <v>1209</v>
      </c>
      <c r="H9458" s="201"/>
      <c r="I9458" s="201"/>
      <c r="J9458" s="197" t="s">
        <v>46</v>
      </c>
      <c r="K9458" s="202">
        <v>387140</v>
      </c>
      <c r="L9458" s="202"/>
    </row>
    <row r="9459" spans="1:15" x14ac:dyDescent="0.2">
      <c r="A9459" s="120">
        <v>2025</v>
      </c>
      <c r="B9459" s="120">
        <v>7</v>
      </c>
      <c r="C9459" s="120">
        <v>27</v>
      </c>
      <c r="D9459" s="208">
        <f t="shared" si="1181"/>
        <v>45865</v>
      </c>
      <c r="E9459" s="209">
        <f t="shared" si="1180"/>
        <v>45865</v>
      </c>
      <c r="F9459" s="515"/>
      <c r="G9459" s="132" t="s">
        <v>1209</v>
      </c>
      <c r="J9459" s="120" t="s">
        <v>16</v>
      </c>
      <c r="K9459" s="207"/>
      <c r="L9459" s="207">
        <v>302190</v>
      </c>
    </row>
    <row r="9460" spans="1:15" x14ac:dyDescent="0.2">
      <c r="A9460" s="191">
        <v>2025</v>
      </c>
      <c r="B9460" s="191">
        <v>7</v>
      </c>
      <c r="C9460" s="191">
        <v>27</v>
      </c>
      <c r="D9460" s="192">
        <f t="shared" si="1181"/>
        <v>45865</v>
      </c>
      <c r="E9460" s="193">
        <f t="shared" si="1180"/>
        <v>45865</v>
      </c>
      <c r="F9460" s="514"/>
      <c r="G9460" s="194" t="s">
        <v>1209</v>
      </c>
      <c r="H9460" s="195"/>
      <c r="I9460" s="195"/>
      <c r="J9460" s="191" t="s">
        <v>47</v>
      </c>
      <c r="K9460" s="196"/>
      <c r="L9460" s="196">
        <v>84950</v>
      </c>
    </row>
    <row r="9461" spans="1:15" ht="11.25" customHeight="1" x14ac:dyDescent="0.2">
      <c r="A9461" s="197">
        <v>2025</v>
      </c>
      <c r="B9461" s="197">
        <v>7</v>
      </c>
      <c r="C9461" s="197">
        <v>27</v>
      </c>
      <c r="D9461" s="198">
        <f t="shared" si="1181"/>
        <v>45865</v>
      </c>
      <c r="E9461" s="209">
        <f t="shared" ref="E9461:E9463" si="1182">DATE(A9461,B9461,C9461)</f>
        <v>45865</v>
      </c>
      <c r="F9461" s="513" t="s">
        <v>1280</v>
      </c>
      <c r="G9461" s="200" t="s">
        <v>1209</v>
      </c>
      <c r="H9461" s="201"/>
      <c r="I9461" s="201"/>
      <c r="J9461" s="197" t="s">
        <v>16</v>
      </c>
      <c r="K9461" s="202">
        <v>1951600</v>
      </c>
      <c r="L9461" s="202"/>
    </row>
    <row r="9462" spans="1:15" ht="11.25" customHeight="1" x14ac:dyDescent="0.2">
      <c r="A9462" s="120">
        <v>2025</v>
      </c>
      <c r="B9462" s="120">
        <v>7</v>
      </c>
      <c r="C9462" s="120">
        <v>27</v>
      </c>
      <c r="D9462" s="208">
        <f t="shared" si="1181"/>
        <v>45865</v>
      </c>
      <c r="E9462" s="209">
        <f t="shared" si="1182"/>
        <v>45865</v>
      </c>
      <c r="F9462" s="515"/>
      <c r="G9462" s="132" t="s">
        <v>1209</v>
      </c>
      <c r="J9462" s="120" t="s">
        <v>47</v>
      </c>
      <c r="K9462" s="207">
        <v>548400</v>
      </c>
      <c r="L9462" s="207"/>
    </row>
    <row r="9463" spans="1:15" ht="11.25" customHeight="1" x14ac:dyDescent="0.2">
      <c r="A9463" s="191">
        <v>2025</v>
      </c>
      <c r="B9463" s="191">
        <v>7</v>
      </c>
      <c r="C9463" s="191">
        <v>27</v>
      </c>
      <c r="D9463" s="192">
        <f t="shared" si="1181"/>
        <v>45865</v>
      </c>
      <c r="E9463" s="193">
        <f t="shared" si="1182"/>
        <v>45865</v>
      </c>
      <c r="F9463" s="514"/>
      <c r="G9463" s="194" t="s">
        <v>1209</v>
      </c>
      <c r="H9463" s="195"/>
      <c r="I9463" s="195"/>
      <c r="J9463" s="191" t="s">
        <v>46</v>
      </c>
      <c r="K9463" s="196"/>
      <c r="L9463" s="196">
        <v>2500000</v>
      </c>
    </row>
    <row r="9464" spans="1:15" ht="11.25" customHeight="1" x14ac:dyDescent="0.2">
      <c r="A9464" s="197">
        <v>2025</v>
      </c>
      <c r="B9464" s="197">
        <v>7</v>
      </c>
      <c r="C9464" s="197">
        <v>27</v>
      </c>
      <c r="D9464" s="198">
        <f t="shared" si="1181"/>
        <v>45865</v>
      </c>
      <c r="E9464" s="209">
        <f t="shared" ref="E9464:E9468" si="1183">DATE(A9464,B9464,C9464)</f>
        <v>45865</v>
      </c>
      <c r="F9464" s="513" t="s">
        <v>1280</v>
      </c>
      <c r="G9464" s="200" t="s">
        <v>1209</v>
      </c>
      <c r="H9464" s="201"/>
      <c r="I9464" s="201"/>
      <c r="J9464" s="197" t="s">
        <v>16</v>
      </c>
      <c r="K9464" s="202">
        <v>2341920</v>
      </c>
      <c r="L9464" s="202"/>
    </row>
    <row r="9465" spans="1:15" ht="11.25" customHeight="1" x14ac:dyDescent="0.2">
      <c r="A9465" s="120">
        <v>2025</v>
      </c>
      <c r="B9465" s="120">
        <v>7</v>
      </c>
      <c r="C9465" s="120">
        <v>27</v>
      </c>
      <c r="D9465" s="208">
        <f t="shared" si="1181"/>
        <v>45865</v>
      </c>
      <c r="E9465" s="209">
        <f t="shared" si="1183"/>
        <v>45865</v>
      </c>
      <c r="F9465" s="515"/>
      <c r="G9465" s="132" t="s">
        <v>1209</v>
      </c>
      <c r="J9465" s="120" t="s">
        <v>47</v>
      </c>
      <c r="K9465" s="207">
        <v>658080</v>
      </c>
      <c r="L9465" s="207"/>
    </row>
    <row r="9466" spans="1:15" ht="11.25" customHeight="1" x14ac:dyDescent="0.2">
      <c r="A9466" s="191">
        <v>2025</v>
      </c>
      <c r="B9466" s="191">
        <v>7</v>
      </c>
      <c r="C9466" s="191">
        <v>27</v>
      </c>
      <c r="D9466" s="192">
        <f t="shared" si="1181"/>
        <v>45865</v>
      </c>
      <c r="E9466" s="193">
        <f t="shared" si="1183"/>
        <v>45865</v>
      </c>
      <c r="F9466" s="514"/>
      <c r="G9466" s="194" t="s">
        <v>1209</v>
      </c>
      <c r="H9466" s="195"/>
      <c r="I9466" s="195"/>
      <c r="J9466" s="191" t="s">
        <v>46</v>
      </c>
      <c r="K9466" s="196"/>
      <c r="L9466" s="196">
        <v>3000000</v>
      </c>
    </row>
    <row r="9467" spans="1:15" ht="11.25" customHeight="1" x14ac:dyDescent="0.2">
      <c r="A9467" s="197">
        <v>2025</v>
      </c>
      <c r="B9467" s="197">
        <v>7</v>
      </c>
      <c r="C9467" s="197">
        <v>27</v>
      </c>
      <c r="D9467" s="198">
        <f t="shared" si="1181"/>
        <v>45865</v>
      </c>
      <c r="E9467" s="290">
        <f t="shared" si="1183"/>
        <v>45865</v>
      </c>
      <c r="F9467" s="513" t="s">
        <v>1514</v>
      </c>
      <c r="G9467" s="200" t="s">
        <v>1209</v>
      </c>
      <c r="H9467" s="201"/>
      <c r="I9467" s="201"/>
      <c r="J9467" s="197" t="s">
        <v>54</v>
      </c>
      <c r="K9467" s="202">
        <v>100</v>
      </c>
      <c r="L9467" s="202"/>
      <c r="M9467" s="251"/>
      <c r="N9467" s="251"/>
      <c r="O9467" s="251"/>
    </row>
    <row r="9468" spans="1:15" ht="11.25" customHeight="1" x14ac:dyDescent="0.2">
      <c r="A9468" s="191">
        <v>2025</v>
      </c>
      <c r="B9468" s="191">
        <v>7</v>
      </c>
      <c r="C9468" s="191">
        <v>27</v>
      </c>
      <c r="D9468" s="192">
        <f t="shared" si="1181"/>
        <v>45865</v>
      </c>
      <c r="E9468" s="291">
        <f t="shared" si="1183"/>
        <v>45865</v>
      </c>
      <c r="F9468" s="514"/>
      <c r="G9468" s="194" t="s">
        <v>1209</v>
      </c>
      <c r="H9468" s="195"/>
      <c r="I9468" s="195"/>
      <c r="J9468" s="191" t="s">
        <v>46</v>
      </c>
      <c r="K9468" s="196"/>
      <c r="L9468" s="196">
        <f>K9467</f>
        <v>100</v>
      </c>
      <c r="M9468" s="251"/>
    </row>
    <row r="9469" spans="1:15" ht="11.25" customHeight="1" x14ac:dyDescent="0.2">
      <c r="A9469" s="197">
        <v>2025</v>
      </c>
      <c r="B9469" s="197">
        <v>7</v>
      </c>
      <c r="C9469" s="197">
        <v>28</v>
      </c>
      <c r="D9469" s="198">
        <f t="shared" si="1181"/>
        <v>45866</v>
      </c>
      <c r="E9469" s="209">
        <f t="shared" si="1180"/>
        <v>45866</v>
      </c>
      <c r="F9469" s="513" t="s">
        <v>1280</v>
      </c>
      <c r="G9469" s="200" t="s">
        <v>1209</v>
      </c>
      <c r="H9469" s="201"/>
      <c r="I9469" s="201"/>
      <c r="J9469" s="197" t="s">
        <v>16</v>
      </c>
      <c r="K9469" s="202">
        <v>81690</v>
      </c>
      <c r="L9469" s="202"/>
    </row>
    <row r="9470" spans="1:15" ht="11.25" customHeight="1" x14ac:dyDescent="0.2">
      <c r="A9470" s="120">
        <v>2025</v>
      </c>
      <c r="B9470" s="120">
        <v>7</v>
      </c>
      <c r="C9470" s="120">
        <v>28</v>
      </c>
      <c r="D9470" s="208">
        <f t="shared" si="1181"/>
        <v>45866</v>
      </c>
      <c r="E9470" s="209">
        <f t="shared" si="1180"/>
        <v>45866</v>
      </c>
      <c r="F9470" s="515"/>
      <c r="G9470" s="132" t="s">
        <v>1209</v>
      </c>
      <c r="J9470" s="120" t="s">
        <v>47</v>
      </c>
      <c r="K9470" s="207">
        <v>22954.89</v>
      </c>
      <c r="L9470" s="207"/>
    </row>
    <row r="9471" spans="1:15" ht="11.25" customHeight="1" x14ac:dyDescent="0.2">
      <c r="A9471" s="191">
        <v>2025</v>
      </c>
      <c r="B9471" s="191">
        <v>7</v>
      </c>
      <c r="C9471" s="191">
        <v>28</v>
      </c>
      <c r="D9471" s="192">
        <f t="shared" si="1181"/>
        <v>45866</v>
      </c>
      <c r="E9471" s="193">
        <f t="shared" si="1180"/>
        <v>45866</v>
      </c>
      <c r="F9471" s="514"/>
      <c r="G9471" s="194" t="s">
        <v>1209</v>
      </c>
      <c r="H9471" s="195"/>
      <c r="I9471" s="195"/>
      <c r="J9471" s="191" t="s">
        <v>46</v>
      </c>
      <c r="K9471" s="196"/>
      <c r="L9471" s="196">
        <v>104644.89</v>
      </c>
    </row>
    <row r="9472" spans="1:15" ht="11.25" customHeight="1" x14ac:dyDescent="0.2">
      <c r="A9472" s="197">
        <v>2025</v>
      </c>
      <c r="B9472" s="197">
        <v>7</v>
      </c>
      <c r="C9472" s="197">
        <v>28</v>
      </c>
      <c r="D9472" s="198">
        <f t="shared" si="1181"/>
        <v>45866</v>
      </c>
      <c r="E9472" s="209">
        <f t="shared" ref="E9472:E9474" si="1184">DATE(A9472,B9472,C9472)</f>
        <v>45866</v>
      </c>
      <c r="F9472" s="513" t="s">
        <v>1280</v>
      </c>
      <c r="G9472" s="200" t="s">
        <v>1209</v>
      </c>
      <c r="H9472" s="201"/>
      <c r="I9472" s="201"/>
      <c r="J9472" s="197" t="s">
        <v>16</v>
      </c>
      <c r="K9472" s="202">
        <v>148320</v>
      </c>
      <c r="L9472" s="202"/>
    </row>
    <row r="9473" spans="1:15" ht="11.25" customHeight="1" x14ac:dyDescent="0.2">
      <c r="A9473" s="120">
        <v>2025</v>
      </c>
      <c r="B9473" s="120">
        <v>7</v>
      </c>
      <c r="C9473" s="120">
        <v>28</v>
      </c>
      <c r="D9473" s="208">
        <f t="shared" si="1181"/>
        <v>45866</v>
      </c>
      <c r="E9473" s="209">
        <f t="shared" si="1184"/>
        <v>45866</v>
      </c>
      <c r="F9473" s="515"/>
      <c r="G9473" s="132" t="s">
        <v>1209</v>
      </c>
      <c r="J9473" s="120" t="s">
        <v>47</v>
      </c>
      <c r="K9473" s="207">
        <v>41680</v>
      </c>
      <c r="L9473" s="207"/>
    </row>
    <row r="9474" spans="1:15" ht="11.25" customHeight="1" x14ac:dyDescent="0.2">
      <c r="A9474" s="191">
        <v>2025</v>
      </c>
      <c r="B9474" s="191">
        <v>7</v>
      </c>
      <c r="C9474" s="191">
        <v>28</v>
      </c>
      <c r="D9474" s="192">
        <f t="shared" si="1181"/>
        <v>45866</v>
      </c>
      <c r="E9474" s="193">
        <f t="shared" si="1184"/>
        <v>45866</v>
      </c>
      <c r="F9474" s="514"/>
      <c r="G9474" s="194" t="s">
        <v>1209</v>
      </c>
      <c r="H9474" s="195"/>
      <c r="I9474" s="195"/>
      <c r="J9474" s="191" t="s">
        <v>46</v>
      </c>
      <c r="K9474" s="196"/>
      <c r="L9474" s="196">
        <v>190000</v>
      </c>
    </row>
    <row r="9475" spans="1:15" ht="11.25" customHeight="1" x14ac:dyDescent="0.2">
      <c r="A9475" s="197">
        <v>2025</v>
      </c>
      <c r="B9475" s="197">
        <v>7</v>
      </c>
      <c r="C9475" s="197">
        <v>28</v>
      </c>
      <c r="D9475" s="198">
        <f t="shared" si="1181"/>
        <v>45866</v>
      </c>
      <c r="E9475" s="209">
        <f t="shared" ref="E9475:E9477" si="1185">DATE(A9475,B9475,C9475)</f>
        <v>45866</v>
      </c>
      <c r="F9475" s="513" t="s">
        <v>1280</v>
      </c>
      <c r="G9475" s="200" t="s">
        <v>1209</v>
      </c>
      <c r="H9475" s="201"/>
      <c r="I9475" s="201"/>
      <c r="J9475" s="197" t="s">
        <v>16</v>
      </c>
      <c r="K9475" s="202">
        <v>7810</v>
      </c>
      <c r="L9475" s="202"/>
    </row>
    <row r="9476" spans="1:15" ht="11.25" customHeight="1" x14ac:dyDescent="0.2">
      <c r="A9476" s="120">
        <v>2025</v>
      </c>
      <c r="B9476" s="120">
        <v>7</v>
      </c>
      <c r="C9476" s="120">
        <v>28</v>
      </c>
      <c r="D9476" s="208">
        <f t="shared" si="1181"/>
        <v>45866</v>
      </c>
      <c r="E9476" s="209">
        <f t="shared" si="1185"/>
        <v>45866</v>
      </c>
      <c r="F9476" s="515"/>
      <c r="G9476" s="132" t="s">
        <v>1209</v>
      </c>
      <c r="J9476" s="120" t="s">
        <v>47</v>
      </c>
      <c r="K9476" s="207">
        <v>2190</v>
      </c>
      <c r="L9476" s="207"/>
    </row>
    <row r="9477" spans="1:15" ht="11.25" customHeight="1" x14ac:dyDescent="0.2">
      <c r="A9477" s="191">
        <v>2025</v>
      </c>
      <c r="B9477" s="191">
        <v>7</v>
      </c>
      <c r="C9477" s="191">
        <v>28</v>
      </c>
      <c r="D9477" s="192">
        <f t="shared" si="1181"/>
        <v>45866</v>
      </c>
      <c r="E9477" s="193">
        <f t="shared" si="1185"/>
        <v>45866</v>
      </c>
      <c r="F9477" s="514"/>
      <c r="G9477" s="194" t="s">
        <v>1209</v>
      </c>
      <c r="H9477" s="195"/>
      <c r="I9477" s="195"/>
      <c r="J9477" s="191" t="s">
        <v>46</v>
      </c>
      <c r="K9477" s="196"/>
      <c r="L9477" s="196">
        <v>10000</v>
      </c>
    </row>
    <row r="9478" spans="1:15" ht="11.25" customHeight="1" x14ac:dyDescent="0.2">
      <c r="A9478" s="197">
        <v>2025</v>
      </c>
      <c r="B9478" s="197">
        <v>7</v>
      </c>
      <c r="C9478" s="197">
        <v>28</v>
      </c>
      <c r="D9478" s="198">
        <f t="shared" si="1181"/>
        <v>45866</v>
      </c>
      <c r="E9478" s="209">
        <f t="shared" ref="E9478:E9482" si="1186">DATE(A9478,B9478,C9478)</f>
        <v>45866</v>
      </c>
      <c r="F9478" s="513" t="s">
        <v>1280</v>
      </c>
      <c r="G9478" s="200" t="s">
        <v>1209</v>
      </c>
      <c r="H9478" s="201"/>
      <c r="I9478" s="201"/>
      <c r="J9478" s="197" t="s">
        <v>16</v>
      </c>
      <c r="K9478" s="202">
        <v>780640</v>
      </c>
      <c r="L9478" s="202"/>
    </row>
    <row r="9479" spans="1:15" ht="11.25" customHeight="1" x14ac:dyDescent="0.2">
      <c r="A9479" s="120">
        <v>2025</v>
      </c>
      <c r="B9479" s="120">
        <v>7</v>
      </c>
      <c r="C9479" s="120">
        <v>28</v>
      </c>
      <c r="D9479" s="208">
        <f t="shared" si="1181"/>
        <v>45866</v>
      </c>
      <c r="E9479" s="209">
        <f t="shared" si="1186"/>
        <v>45866</v>
      </c>
      <c r="F9479" s="515"/>
      <c r="G9479" s="132" t="s">
        <v>1209</v>
      </c>
      <c r="J9479" s="120" t="s">
        <v>47</v>
      </c>
      <c r="K9479" s="207">
        <v>219360</v>
      </c>
      <c r="L9479" s="207"/>
    </row>
    <row r="9480" spans="1:15" ht="11.25" customHeight="1" x14ac:dyDescent="0.2">
      <c r="A9480" s="191">
        <v>2025</v>
      </c>
      <c r="B9480" s="191">
        <v>7</v>
      </c>
      <c r="C9480" s="191">
        <v>28</v>
      </c>
      <c r="D9480" s="192">
        <f t="shared" si="1181"/>
        <v>45866</v>
      </c>
      <c r="E9480" s="193">
        <f t="shared" si="1186"/>
        <v>45866</v>
      </c>
      <c r="F9480" s="514"/>
      <c r="G9480" s="194" t="s">
        <v>1209</v>
      </c>
      <c r="H9480" s="195"/>
      <c r="I9480" s="195"/>
      <c r="J9480" s="191" t="s">
        <v>46</v>
      </c>
      <c r="K9480" s="196"/>
      <c r="L9480" s="196">
        <v>1000000</v>
      </c>
    </row>
    <row r="9481" spans="1:15" ht="11.25" customHeight="1" x14ac:dyDescent="0.2">
      <c r="A9481" s="197">
        <v>2025</v>
      </c>
      <c r="B9481" s="197">
        <v>7</v>
      </c>
      <c r="C9481" s="197">
        <v>28</v>
      </c>
      <c r="D9481" s="198">
        <f t="shared" si="1181"/>
        <v>45866</v>
      </c>
      <c r="E9481" s="290">
        <f t="shared" si="1186"/>
        <v>45866</v>
      </c>
      <c r="F9481" s="513" t="s">
        <v>1514</v>
      </c>
      <c r="G9481" s="200" t="s">
        <v>1209</v>
      </c>
      <c r="H9481" s="201"/>
      <c r="I9481" s="201"/>
      <c r="J9481" s="197" t="s">
        <v>54</v>
      </c>
      <c r="K9481" s="202">
        <v>100</v>
      </c>
      <c r="L9481" s="202"/>
      <c r="M9481" s="251"/>
      <c r="N9481" s="251"/>
      <c r="O9481" s="251"/>
    </row>
    <row r="9482" spans="1:15" ht="11.25" customHeight="1" x14ac:dyDescent="0.2">
      <c r="A9482" s="191">
        <v>2025</v>
      </c>
      <c r="B9482" s="191">
        <v>7</v>
      </c>
      <c r="C9482" s="191">
        <v>28</v>
      </c>
      <c r="D9482" s="192">
        <f t="shared" si="1181"/>
        <v>45866</v>
      </c>
      <c r="E9482" s="291">
        <f t="shared" si="1186"/>
        <v>45866</v>
      </c>
      <c r="F9482" s="514"/>
      <c r="G9482" s="194" t="s">
        <v>1209</v>
      </c>
      <c r="H9482" s="195"/>
      <c r="I9482" s="195"/>
      <c r="J9482" s="191" t="s">
        <v>46</v>
      </c>
      <c r="K9482" s="196"/>
      <c r="L9482" s="196">
        <f>K9481</f>
        <v>100</v>
      </c>
      <c r="M9482" s="251"/>
    </row>
    <row r="9483" spans="1:15" ht="11.25" customHeight="1" x14ac:dyDescent="0.2">
      <c r="A9483" s="197">
        <v>2025</v>
      </c>
      <c r="B9483" s="197">
        <v>7</v>
      </c>
      <c r="C9483" s="197">
        <v>28</v>
      </c>
      <c r="D9483" s="198">
        <f t="shared" si="1181"/>
        <v>45866</v>
      </c>
      <c r="E9483" s="290">
        <f>DATE(A9483,B9483,C9483)</f>
        <v>45866</v>
      </c>
      <c r="F9483" s="513" t="s">
        <v>2067</v>
      </c>
      <c r="G9483" s="200" t="s">
        <v>1209</v>
      </c>
      <c r="H9483" s="201"/>
      <c r="I9483" s="201" t="s">
        <v>1253</v>
      </c>
      <c r="J9483" s="197" t="s">
        <v>46</v>
      </c>
      <c r="K9483" s="202">
        <v>1020000</v>
      </c>
      <c r="L9483" s="202"/>
    </row>
    <row r="9484" spans="1:15" ht="11.25" customHeight="1" x14ac:dyDescent="0.2">
      <c r="A9484" s="191">
        <v>2025</v>
      </c>
      <c r="B9484" s="191">
        <v>7</v>
      </c>
      <c r="C9484" s="191">
        <v>28</v>
      </c>
      <c r="D9484" s="192">
        <f t="shared" si="1181"/>
        <v>45866</v>
      </c>
      <c r="E9484" s="291">
        <f>DATE(A9484,B9484,C9484)</f>
        <v>45866</v>
      </c>
      <c r="F9484" s="514"/>
      <c r="G9484" s="194" t="s">
        <v>1209</v>
      </c>
      <c r="H9484" s="195"/>
      <c r="I9484" s="195"/>
      <c r="J9484" s="191" t="s">
        <v>1845</v>
      </c>
      <c r="K9484" s="196"/>
      <c r="L9484" s="196">
        <v>1020000</v>
      </c>
    </row>
    <row r="9485" spans="1:15" ht="11.25" customHeight="1" x14ac:dyDescent="0.2">
      <c r="A9485" s="197">
        <v>2025</v>
      </c>
      <c r="B9485" s="197">
        <v>7</v>
      </c>
      <c r="C9485" s="197">
        <v>29</v>
      </c>
      <c r="D9485" s="198">
        <f t="shared" si="1181"/>
        <v>45867</v>
      </c>
      <c r="E9485" s="209">
        <f t="shared" ref="E9485:E9493" si="1187">DATE(A9485,B9485,C9485)</f>
        <v>45867</v>
      </c>
      <c r="F9485" s="513" t="s">
        <v>1280</v>
      </c>
      <c r="G9485" s="200" t="s">
        <v>1209</v>
      </c>
      <c r="H9485" s="201"/>
      <c r="I9485" s="201"/>
      <c r="J9485" s="197" t="s">
        <v>16</v>
      </c>
      <c r="K9485" s="202">
        <v>54640</v>
      </c>
      <c r="L9485" s="202"/>
    </row>
    <row r="9486" spans="1:15" ht="11.25" customHeight="1" x14ac:dyDescent="0.2">
      <c r="A9486" s="120">
        <v>2025</v>
      </c>
      <c r="B9486" s="120">
        <v>7</v>
      </c>
      <c r="C9486" s="120">
        <v>29</v>
      </c>
      <c r="D9486" s="208">
        <f t="shared" si="1181"/>
        <v>45867</v>
      </c>
      <c r="E9486" s="209">
        <f t="shared" si="1187"/>
        <v>45867</v>
      </c>
      <c r="F9486" s="515"/>
      <c r="G9486" s="132" t="s">
        <v>1209</v>
      </c>
      <c r="J9486" s="120" t="s">
        <v>47</v>
      </c>
      <c r="K9486" s="207">
        <v>15360</v>
      </c>
      <c r="L9486" s="207"/>
    </row>
    <row r="9487" spans="1:15" ht="11.25" customHeight="1" x14ac:dyDescent="0.2">
      <c r="A9487" s="191">
        <v>2025</v>
      </c>
      <c r="B9487" s="191">
        <v>7</v>
      </c>
      <c r="C9487" s="191">
        <v>29</v>
      </c>
      <c r="D9487" s="192">
        <f t="shared" si="1181"/>
        <v>45867</v>
      </c>
      <c r="E9487" s="193">
        <f t="shared" si="1187"/>
        <v>45867</v>
      </c>
      <c r="F9487" s="514"/>
      <c r="G9487" s="194" t="s">
        <v>1209</v>
      </c>
      <c r="H9487" s="195"/>
      <c r="I9487" s="195"/>
      <c r="J9487" s="191" t="s">
        <v>46</v>
      </c>
      <c r="K9487" s="196"/>
      <c r="L9487" s="196">
        <v>70000</v>
      </c>
    </row>
    <row r="9488" spans="1:15" x14ac:dyDescent="0.2">
      <c r="A9488" s="197">
        <v>2025</v>
      </c>
      <c r="B9488" s="197">
        <v>7</v>
      </c>
      <c r="C9488" s="197">
        <v>29</v>
      </c>
      <c r="D9488" s="198">
        <f t="shared" si="1181"/>
        <v>45867</v>
      </c>
      <c r="E9488" s="209">
        <f t="shared" si="1187"/>
        <v>45867</v>
      </c>
      <c r="F9488" s="513" t="s">
        <v>1210</v>
      </c>
      <c r="G9488" s="200" t="s">
        <v>1209</v>
      </c>
      <c r="H9488" s="201"/>
      <c r="I9488" s="201"/>
      <c r="J9488" s="197" t="s">
        <v>46</v>
      </c>
      <c r="K9488" s="202">
        <v>150000</v>
      </c>
      <c r="L9488" s="202"/>
    </row>
    <row r="9489" spans="1:13" x14ac:dyDescent="0.2">
      <c r="A9489" s="120">
        <v>2025</v>
      </c>
      <c r="B9489" s="120">
        <v>7</v>
      </c>
      <c r="C9489" s="120">
        <v>29</v>
      </c>
      <c r="D9489" s="208">
        <f t="shared" si="1181"/>
        <v>45867</v>
      </c>
      <c r="E9489" s="209">
        <f t="shared" si="1187"/>
        <v>45867</v>
      </c>
      <c r="F9489" s="515"/>
      <c r="G9489" s="132" t="s">
        <v>1209</v>
      </c>
      <c r="J9489" s="120" t="s">
        <v>16</v>
      </c>
      <c r="K9489" s="207"/>
      <c r="L9489" s="207">
        <v>117100</v>
      </c>
    </row>
    <row r="9490" spans="1:13" x14ac:dyDescent="0.2">
      <c r="A9490" s="191">
        <v>2025</v>
      </c>
      <c r="B9490" s="191">
        <v>7</v>
      </c>
      <c r="C9490" s="191">
        <v>29</v>
      </c>
      <c r="D9490" s="192">
        <f t="shared" si="1181"/>
        <v>45867</v>
      </c>
      <c r="E9490" s="193">
        <f t="shared" si="1187"/>
        <v>45867</v>
      </c>
      <c r="F9490" s="514"/>
      <c r="G9490" s="194" t="s">
        <v>1209</v>
      </c>
      <c r="H9490" s="195"/>
      <c r="I9490" s="195"/>
      <c r="J9490" s="191" t="s">
        <v>47</v>
      </c>
      <c r="K9490" s="196"/>
      <c r="L9490" s="196">
        <v>32900</v>
      </c>
    </row>
    <row r="9491" spans="1:13" ht="11.25" customHeight="1" x14ac:dyDescent="0.2">
      <c r="A9491" s="197">
        <v>2025</v>
      </c>
      <c r="B9491" s="197">
        <v>7</v>
      </c>
      <c r="C9491" s="197">
        <v>29</v>
      </c>
      <c r="D9491" s="198">
        <f t="shared" si="1181"/>
        <v>45867</v>
      </c>
      <c r="E9491" s="199">
        <f t="shared" si="1187"/>
        <v>45867</v>
      </c>
      <c r="F9491" s="513" t="s">
        <v>1962</v>
      </c>
      <c r="G9491" s="200" t="s">
        <v>1245</v>
      </c>
      <c r="H9491" s="201"/>
      <c r="I9491" s="201"/>
      <c r="J9491" s="197" t="s">
        <v>1579</v>
      </c>
      <c r="K9491" s="202">
        <v>395250</v>
      </c>
      <c r="L9491" s="202"/>
    </row>
    <row r="9492" spans="1:13" ht="11.25" customHeight="1" x14ac:dyDescent="0.2">
      <c r="A9492" s="120">
        <v>2025</v>
      </c>
      <c r="B9492" s="120">
        <v>7</v>
      </c>
      <c r="C9492" s="120">
        <v>29</v>
      </c>
      <c r="D9492" s="208">
        <f t="shared" si="1181"/>
        <v>45867</v>
      </c>
      <c r="E9492" s="209">
        <f t="shared" si="1187"/>
        <v>45867</v>
      </c>
      <c r="F9492" s="515"/>
      <c r="G9492" s="132" t="s">
        <v>1245</v>
      </c>
      <c r="J9492" s="120" t="s">
        <v>1250</v>
      </c>
      <c r="K9492" s="207">
        <v>761.45</v>
      </c>
      <c r="L9492" s="207"/>
      <c r="M9492" s="130"/>
    </row>
    <row r="9493" spans="1:13" ht="11.25" customHeight="1" x14ac:dyDescent="0.2">
      <c r="A9493" s="191">
        <v>2025</v>
      </c>
      <c r="B9493" s="191">
        <v>7</v>
      </c>
      <c r="C9493" s="191">
        <v>29</v>
      </c>
      <c r="D9493" s="192">
        <f t="shared" si="1181"/>
        <v>45867</v>
      </c>
      <c r="E9493" s="193">
        <f t="shared" si="1187"/>
        <v>45867</v>
      </c>
      <c r="F9493" s="514"/>
      <c r="G9493" s="194" t="s">
        <v>1245</v>
      </c>
      <c r="H9493" s="195"/>
      <c r="I9493" s="195"/>
      <c r="J9493" s="191" t="s">
        <v>1251</v>
      </c>
      <c r="K9493" s="196"/>
      <c r="L9493" s="196">
        <v>396011.45</v>
      </c>
    </row>
    <row r="9494" spans="1:13" x14ac:dyDescent="0.2">
      <c r="A9494" s="197">
        <v>2025</v>
      </c>
      <c r="B9494" s="197">
        <v>7</v>
      </c>
      <c r="C9494" s="197">
        <v>30</v>
      </c>
      <c r="D9494" s="198">
        <f t="shared" si="1181"/>
        <v>45868</v>
      </c>
      <c r="E9494" s="209">
        <f t="shared" ref="E9494:E9496" si="1188">DATE(A9494,B9494,C9494)</f>
        <v>45868</v>
      </c>
      <c r="F9494" s="513" t="s">
        <v>1210</v>
      </c>
      <c r="G9494" s="200" t="s">
        <v>1209</v>
      </c>
      <c r="H9494" s="201"/>
      <c r="I9494" s="201"/>
      <c r="J9494" s="197" t="s">
        <v>46</v>
      </c>
      <c r="K9494" s="202">
        <v>290000</v>
      </c>
      <c r="L9494" s="202"/>
    </row>
    <row r="9495" spans="1:13" x14ac:dyDescent="0.2">
      <c r="A9495" s="120">
        <v>2025</v>
      </c>
      <c r="B9495" s="120">
        <v>7</v>
      </c>
      <c r="C9495" s="120">
        <v>30</v>
      </c>
      <c r="D9495" s="208">
        <f t="shared" si="1181"/>
        <v>45868</v>
      </c>
      <c r="E9495" s="209">
        <f t="shared" si="1188"/>
        <v>45868</v>
      </c>
      <c r="F9495" s="515"/>
      <c r="G9495" s="132" t="s">
        <v>1209</v>
      </c>
      <c r="J9495" s="120" t="s">
        <v>16</v>
      </c>
      <c r="K9495" s="207"/>
      <c r="L9495" s="207">
        <v>226390</v>
      </c>
    </row>
    <row r="9496" spans="1:13" x14ac:dyDescent="0.2">
      <c r="A9496" s="191">
        <v>2025</v>
      </c>
      <c r="B9496" s="191">
        <v>7</v>
      </c>
      <c r="C9496" s="191">
        <v>30</v>
      </c>
      <c r="D9496" s="192">
        <f t="shared" si="1181"/>
        <v>45868</v>
      </c>
      <c r="E9496" s="193">
        <f t="shared" si="1188"/>
        <v>45868</v>
      </c>
      <c r="F9496" s="514"/>
      <c r="G9496" s="194" t="s">
        <v>1209</v>
      </c>
      <c r="H9496" s="195"/>
      <c r="I9496" s="195"/>
      <c r="J9496" s="191" t="s">
        <v>47</v>
      </c>
      <c r="K9496" s="196"/>
      <c r="L9496" s="196">
        <v>63610</v>
      </c>
    </row>
    <row r="9497" spans="1:13" ht="11.25" customHeight="1" x14ac:dyDescent="0.2">
      <c r="A9497" s="197">
        <v>2025</v>
      </c>
      <c r="B9497" s="197">
        <v>7</v>
      </c>
      <c r="C9497" s="197">
        <v>30</v>
      </c>
      <c r="D9497" s="198">
        <f t="shared" si="1181"/>
        <v>45868</v>
      </c>
      <c r="E9497" s="209">
        <f t="shared" ref="E9497:E9502" si="1189">DATE(A9497,B9497,C9497)</f>
        <v>45868</v>
      </c>
      <c r="F9497" s="513" t="s">
        <v>1280</v>
      </c>
      <c r="G9497" s="200" t="s">
        <v>1209</v>
      </c>
      <c r="H9497" s="201"/>
      <c r="I9497" s="201"/>
      <c r="J9497" s="197" t="s">
        <v>16</v>
      </c>
      <c r="K9497" s="202">
        <v>159480</v>
      </c>
      <c r="L9497" s="202"/>
    </row>
    <row r="9498" spans="1:13" ht="11.25" customHeight="1" x14ac:dyDescent="0.2">
      <c r="A9498" s="120">
        <v>2025</v>
      </c>
      <c r="B9498" s="120">
        <v>7</v>
      </c>
      <c r="C9498" s="120">
        <v>30</v>
      </c>
      <c r="D9498" s="208">
        <f t="shared" si="1181"/>
        <v>45868</v>
      </c>
      <c r="E9498" s="209">
        <f t="shared" si="1189"/>
        <v>45868</v>
      </c>
      <c r="F9498" s="515"/>
      <c r="G9498" s="132" t="s">
        <v>1209</v>
      </c>
      <c r="J9498" s="120" t="s">
        <v>47</v>
      </c>
      <c r="K9498" s="207">
        <v>44813.880000000005</v>
      </c>
      <c r="L9498" s="207"/>
    </row>
    <row r="9499" spans="1:13" ht="11.25" customHeight="1" x14ac:dyDescent="0.2">
      <c r="A9499" s="191">
        <v>2025</v>
      </c>
      <c r="B9499" s="191">
        <v>7</v>
      </c>
      <c r="C9499" s="191">
        <v>30</v>
      </c>
      <c r="D9499" s="192">
        <f t="shared" si="1181"/>
        <v>45868</v>
      </c>
      <c r="E9499" s="193">
        <f t="shared" si="1189"/>
        <v>45868</v>
      </c>
      <c r="F9499" s="514"/>
      <c r="G9499" s="194" t="s">
        <v>1209</v>
      </c>
      <c r="H9499" s="195"/>
      <c r="I9499" s="195"/>
      <c r="J9499" s="191" t="s">
        <v>46</v>
      </c>
      <c r="K9499" s="196"/>
      <c r="L9499" s="196">
        <v>204293.88</v>
      </c>
    </row>
    <row r="9500" spans="1:13" x14ac:dyDescent="0.2">
      <c r="A9500" s="197">
        <v>2025</v>
      </c>
      <c r="B9500" s="197">
        <v>7</v>
      </c>
      <c r="C9500" s="197">
        <v>31</v>
      </c>
      <c r="D9500" s="198">
        <f t="shared" si="1181"/>
        <v>45869</v>
      </c>
      <c r="E9500" s="209">
        <f t="shared" si="1189"/>
        <v>45869</v>
      </c>
      <c r="F9500" s="513" t="s">
        <v>1210</v>
      </c>
      <c r="G9500" s="200" t="s">
        <v>1209</v>
      </c>
      <c r="H9500" s="201"/>
      <c r="I9500" s="201"/>
      <c r="J9500" s="197" t="s">
        <v>46</v>
      </c>
      <c r="K9500" s="202">
        <v>6000</v>
      </c>
      <c r="L9500" s="202"/>
    </row>
    <row r="9501" spans="1:13" x14ac:dyDescent="0.2">
      <c r="A9501" s="120">
        <v>2025</v>
      </c>
      <c r="B9501" s="120">
        <v>7</v>
      </c>
      <c r="C9501" s="120">
        <v>31</v>
      </c>
      <c r="D9501" s="208">
        <f t="shared" si="1181"/>
        <v>45869</v>
      </c>
      <c r="E9501" s="209">
        <f t="shared" si="1189"/>
        <v>45869</v>
      </c>
      <c r="F9501" s="515"/>
      <c r="G9501" s="132" t="s">
        <v>1209</v>
      </c>
      <c r="J9501" s="120" t="s">
        <v>16</v>
      </c>
      <c r="K9501" s="207"/>
      <c r="L9501" s="207">
        <v>4680</v>
      </c>
    </row>
    <row r="9502" spans="1:13" x14ac:dyDescent="0.2">
      <c r="A9502" s="191">
        <v>2025</v>
      </c>
      <c r="B9502" s="191">
        <v>7</v>
      </c>
      <c r="C9502" s="191">
        <v>31</v>
      </c>
      <c r="D9502" s="192">
        <f t="shared" si="1181"/>
        <v>45869</v>
      </c>
      <c r="E9502" s="193">
        <f t="shared" si="1189"/>
        <v>45869</v>
      </c>
      <c r="F9502" s="514"/>
      <c r="G9502" s="194" t="s">
        <v>1209</v>
      </c>
      <c r="H9502" s="195"/>
      <c r="I9502" s="195"/>
      <c r="J9502" s="191" t="s">
        <v>47</v>
      </c>
      <c r="K9502" s="196"/>
      <c r="L9502" s="196">
        <v>1320</v>
      </c>
    </row>
    <row r="9503" spans="1:13" ht="11.25" customHeight="1" x14ac:dyDescent="0.2">
      <c r="A9503" s="197">
        <v>2025</v>
      </c>
      <c r="B9503" s="197">
        <v>7</v>
      </c>
      <c r="C9503" s="197">
        <v>31</v>
      </c>
      <c r="D9503" s="198">
        <f t="shared" si="1181"/>
        <v>45869</v>
      </c>
      <c r="E9503" s="209">
        <f t="shared" ref="E9503:E9505" si="1190">DATE(A9503,B9503,C9503)</f>
        <v>45869</v>
      </c>
      <c r="F9503" s="513" t="s">
        <v>1280</v>
      </c>
      <c r="G9503" s="200" t="s">
        <v>1209</v>
      </c>
      <c r="H9503" s="201"/>
      <c r="I9503" s="201"/>
      <c r="J9503" s="197" t="s">
        <v>16</v>
      </c>
      <c r="K9503" s="202">
        <v>487900</v>
      </c>
      <c r="L9503" s="202"/>
    </row>
    <row r="9504" spans="1:13" ht="11.25" customHeight="1" x14ac:dyDescent="0.2">
      <c r="A9504" s="120">
        <v>2025</v>
      </c>
      <c r="B9504" s="120">
        <v>7</v>
      </c>
      <c r="C9504" s="120">
        <v>31</v>
      </c>
      <c r="D9504" s="208">
        <f t="shared" si="1181"/>
        <v>45869</v>
      </c>
      <c r="E9504" s="209">
        <f t="shared" si="1190"/>
        <v>45869</v>
      </c>
      <c r="F9504" s="515"/>
      <c r="G9504" s="132" t="s">
        <v>1209</v>
      </c>
      <c r="J9504" s="120" t="s">
        <v>47</v>
      </c>
      <c r="K9504" s="207">
        <v>137100</v>
      </c>
      <c r="L9504" s="207"/>
    </row>
    <row r="9505" spans="1:15" ht="11.25" customHeight="1" x14ac:dyDescent="0.2">
      <c r="A9505" s="191">
        <v>2025</v>
      </c>
      <c r="B9505" s="191">
        <v>7</v>
      </c>
      <c r="C9505" s="191">
        <v>31</v>
      </c>
      <c r="D9505" s="192">
        <f t="shared" si="1181"/>
        <v>45869</v>
      </c>
      <c r="E9505" s="193">
        <f t="shared" si="1190"/>
        <v>45869</v>
      </c>
      <c r="F9505" s="514"/>
      <c r="G9505" s="194" t="s">
        <v>1209</v>
      </c>
      <c r="H9505" s="195"/>
      <c r="I9505" s="195"/>
      <c r="J9505" s="191" t="s">
        <v>46</v>
      </c>
      <c r="K9505" s="196"/>
      <c r="L9505" s="196">
        <v>625000</v>
      </c>
    </row>
    <row r="9506" spans="1:15" x14ac:dyDescent="0.2">
      <c r="A9506" s="197">
        <v>2025</v>
      </c>
      <c r="B9506" s="197">
        <v>7</v>
      </c>
      <c r="C9506" s="197">
        <v>31</v>
      </c>
      <c r="D9506" s="198">
        <f t="shared" si="1181"/>
        <v>45869</v>
      </c>
      <c r="E9506" s="209">
        <f t="shared" ref="E9506:E9528" si="1191">DATE(A9506,B9506,C9506)</f>
        <v>45869</v>
      </c>
      <c r="F9506" s="513" t="s">
        <v>1210</v>
      </c>
      <c r="G9506" s="200" t="s">
        <v>1209</v>
      </c>
      <c r="H9506" s="201"/>
      <c r="I9506" s="201"/>
      <c r="J9506" s="197" t="s">
        <v>46</v>
      </c>
      <c r="K9506" s="202">
        <v>300000</v>
      </c>
      <c r="L9506" s="202"/>
    </row>
    <row r="9507" spans="1:15" x14ac:dyDescent="0.2">
      <c r="A9507" s="120">
        <v>2025</v>
      </c>
      <c r="B9507" s="120">
        <v>7</v>
      </c>
      <c r="C9507" s="120">
        <v>31</v>
      </c>
      <c r="D9507" s="208">
        <f t="shared" si="1181"/>
        <v>45869</v>
      </c>
      <c r="E9507" s="209">
        <f t="shared" si="1191"/>
        <v>45869</v>
      </c>
      <c r="F9507" s="515"/>
      <c r="G9507" s="132" t="s">
        <v>1209</v>
      </c>
      <c r="J9507" s="120" t="s">
        <v>16</v>
      </c>
      <c r="K9507" s="207"/>
      <c r="L9507" s="207">
        <v>234190</v>
      </c>
    </row>
    <row r="9508" spans="1:15" x14ac:dyDescent="0.2">
      <c r="A9508" s="191">
        <v>2025</v>
      </c>
      <c r="B9508" s="191">
        <v>7</v>
      </c>
      <c r="C9508" s="191">
        <v>31</v>
      </c>
      <c r="D9508" s="192">
        <f t="shared" si="1181"/>
        <v>45869</v>
      </c>
      <c r="E9508" s="193">
        <f t="shared" si="1191"/>
        <v>45869</v>
      </c>
      <c r="F9508" s="514"/>
      <c r="G9508" s="194" t="s">
        <v>1209</v>
      </c>
      <c r="H9508" s="195"/>
      <c r="I9508" s="195"/>
      <c r="J9508" s="191" t="s">
        <v>47</v>
      </c>
      <c r="K9508" s="196"/>
      <c r="L9508" s="196">
        <v>65810</v>
      </c>
    </row>
    <row r="9509" spans="1:15" ht="11.25" customHeight="1" x14ac:dyDescent="0.2">
      <c r="A9509" s="197">
        <v>2025</v>
      </c>
      <c r="B9509" s="197">
        <v>7</v>
      </c>
      <c r="C9509" s="197">
        <v>31</v>
      </c>
      <c r="D9509" s="198">
        <f t="shared" si="1181"/>
        <v>45869</v>
      </c>
      <c r="E9509" s="290">
        <f t="shared" si="1191"/>
        <v>45869</v>
      </c>
      <c r="F9509" s="513" t="s">
        <v>1514</v>
      </c>
      <c r="G9509" s="200" t="s">
        <v>1209</v>
      </c>
      <c r="H9509" s="201"/>
      <c r="I9509" s="201"/>
      <c r="J9509" s="197" t="s">
        <v>54</v>
      </c>
      <c r="K9509" s="202">
        <v>300</v>
      </c>
      <c r="L9509" s="202"/>
      <c r="M9509" s="251"/>
      <c r="N9509" s="251"/>
      <c r="O9509" s="251"/>
    </row>
    <row r="9510" spans="1:15" ht="11.25" customHeight="1" x14ac:dyDescent="0.2">
      <c r="A9510" s="191">
        <v>2025</v>
      </c>
      <c r="B9510" s="191">
        <v>7</v>
      </c>
      <c r="C9510" s="191">
        <v>31</v>
      </c>
      <c r="D9510" s="192">
        <f t="shared" si="1181"/>
        <v>45869</v>
      </c>
      <c r="E9510" s="291">
        <f t="shared" si="1191"/>
        <v>45869</v>
      </c>
      <c r="F9510" s="514"/>
      <c r="G9510" s="194" t="s">
        <v>1209</v>
      </c>
      <c r="H9510" s="195"/>
      <c r="I9510" s="195"/>
      <c r="J9510" s="191" t="s">
        <v>46</v>
      </c>
      <c r="K9510" s="196"/>
      <c r="L9510" s="196">
        <f>K9509</f>
        <v>300</v>
      </c>
      <c r="M9510" s="251"/>
    </row>
    <row r="9511" spans="1:15" ht="11.25" customHeight="1" x14ac:dyDescent="0.2">
      <c r="A9511" s="197">
        <v>2025</v>
      </c>
      <c r="B9511" s="197">
        <v>7</v>
      </c>
      <c r="C9511" s="197">
        <v>31</v>
      </c>
      <c r="D9511" s="198">
        <f t="shared" si="1181"/>
        <v>45869</v>
      </c>
      <c r="E9511" s="209">
        <f t="shared" si="1191"/>
        <v>45869</v>
      </c>
      <c r="F9511" s="513" t="s">
        <v>1280</v>
      </c>
      <c r="G9511" s="200" t="s">
        <v>1209</v>
      </c>
      <c r="H9511" s="201"/>
      <c r="I9511" s="201"/>
      <c r="J9511" s="197" t="s">
        <v>16</v>
      </c>
      <c r="K9511" s="202">
        <v>13348950</v>
      </c>
      <c r="L9511" s="202"/>
    </row>
    <row r="9512" spans="1:15" ht="11.25" customHeight="1" x14ac:dyDescent="0.2">
      <c r="A9512" s="120">
        <v>2025</v>
      </c>
      <c r="B9512" s="120">
        <v>7</v>
      </c>
      <c r="C9512" s="120">
        <v>31</v>
      </c>
      <c r="D9512" s="208">
        <f t="shared" si="1181"/>
        <v>45869</v>
      </c>
      <c r="E9512" s="209">
        <f t="shared" si="1191"/>
        <v>45869</v>
      </c>
      <c r="F9512" s="515"/>
      <c r="G9512" s="132" t="s">
        <v>1209</v>
      </c>
      <c r="J9512" s="120" t="s">
        <v>47</v>
      </c>
      <c r="K9512" s="207">
        <v>3751050</v>
      </c>
      <c r="L9512" s="207"/>
    </row>
    <row r="9513" spans="1:15" ht="11.25" customHeight="1" x14ac:dyDescent="0.2">
      <c r="A9513" s="191">
        <v>2025</v>
      </c>
      <c r="B9513" s="191">
        <v>7</v>
      </c>
      <c r="C9513" s="191">
        <v>31</v>
      </c>
      <c r="D9513" s="192">
        <f t="shared" si="1181"/>
        <v>45869</v>
      </c>
      <c r="E9513" s="193">
        <f t="shared" si="1191"/>
        <v>45869</v>
      </c>
      <c r="F9513" s="514"/>
      <c r="G9513" s="194" t="s">
        <v>1209</v>
      </c>
      <c r="H9513" s="195"/>
      <c r="I9513" s="195"/>
      <c r="J9513" s="191" t="s">
        <v>46</v>
      </c>
      <c r="K9513" s="196"/>
      <c r="L9513" s="196">
        <v>17100000</v>
      </c>
    </row>
    <row r="9514" spans="1:15" x14ac:dyDescent="0.2">
      <c r="A9514" s="197">
        <v>2025</v>
      </c>
      <c r="B9514" s="197">
        <v>7</v>
      </c>
      <c r="C9514" s="197">
        <v>31</v>
      </c>
      <c r="D9514" s="198">
        <f t="shared" si="1181"/>
        <v>45869</v>
      </c>
      <c r="E9514" s="209">
        <f t="shared" si="1191"/>
        <v>45869</v>
      </c>
      <c r="F9514" s="513" t="s">
        <v>1210</v>
      </c>
      <c r="G9514" s="200" t="s">
        <v>1209</v>
      </c>
      <c r="H9514" s="201"/>
      <c r="I9514" s="201"/>
      <c r="J9514" s="197" t="s">
        <v>46</v>
      </c>
      <c r="K9514" s="202">
        <v>144000</v>
      </c>
      <c r="L9514" s="202"/>
    </row>
    <row r="9515" spans="1:15" x14ac:dyDescent="0.2">
      <c r="A9515" s="120">
        <v>2025</v>
      </c>
      <c r="B9515" s="120">
        <v>7</v>
      </c>
      <c r="C9515" s="120">
        <v>31</v>
      </c>
      <c r="D9515" s="208">
        <f t="shared" si="1181"/>
        <v>45869</v>
      </c>
      <c r="E9515" s="209">
        <f t="shared" si="1191"/>
        <v>45869</v>
      </c>
      <c r="F9515" s="515"/>
      <c r="G9515" s="132" t="s">
        <v>1209</v>
      </c>
      <c r="J9515" s="120" t="s">
        <v>16</v>
      </c>
      <c r="K9515" s="207"/>
      <c r="L9515" s="207">
        <v>112410</v>
      </c>
    </row>
    <row r="9516" spans="1:15" x14ac:dyDescent="0.2">
      <c r="A9516" s="191">
        <v>2025</v>
      </c>
      <c r="B9516" s="191">
        <v>7</v>
      </c>
      <c r="C9516" s="191">
        <v>31</v>
      </c>
      <c r="D9516" s="192">
        <f t="shared" ref="D9516:D9579" si="1192">DATE(A9516,B9516,C9516)</f>
        <v>45869</v>
      </c>
      <c r="E9516" s="193">
        <f t="shared" si="1191"/>
        <v>45869</v>
      </c>
      <c r="F9516" s="514"/>
      <c r="G9516" s="194" t="s">
        <v>1209</v>
      </c>
      <c r="H9516" s="195"/>
      <c r="I9516" s="195"/>
      <c r="J9516" s="191" t="s">
        <v>47</v>
      </c>
      <c r="K9516" s="196"/>
      <c r="L9516" s="196">
        <v>31590</v>
      </c>
    </row>
    <row r="9517" spans="1:15" ht="11.25" customHeight="1" x14ac:dyDescent="0.2">
      <c r="A9517" s="197">
        <v>2025</v>
      </c>
      <c r="B9517" s="197">
        <v>7</v>
      </c>
      <c r="C9517" s="197">
        <v>31</v>
      </c>
      <c r="D9517" s="198">
        <f t="shared" si="1192"/>
        <v>45869</v>
      </c>
      <c r="E9517" s="290">
        <f t="shared" si="1191"/>
        <v>45869</v>
      </c>
      <c r="F9517" s="513" t="s">
        <v>2051</v>
      </c>
      <c r="G9517" s="200" t="s">
        <v>1209</v>
      </c>
      <c r="H9517" s="201"/>
      <c r="I9517" s="201"/>
      <c r="J9517" s="197" t="s">
        <v>54</v>
      </c>
      <c r="K9517" s="202">
        <v>100</v>
      </c>
      <c r="L9517" s="202"/>
      <c r="M9517" s="251"/>
      <c r="N9517" s="251"/>
      <c r="O9517" s="251"/>
    </row>
    <row r="9518" spans="1:15" ht="11.25" customHeight="1" x14ac:dyDescent="0.2">
      <c r="A9518" s="191">
        <v>2025</v>
      </c>
      <c r="B9518" s="191">
        <v>7</v>
      </c>
      <c r="C9518" s="191">
        <v>31</v>
      </c>
      <c r="D9518" s="192">
        <f t="shared" si="1192"/>
        <v>45869</v>
      </c>
      <c r="E9518" s="291">
        <f t="shared" si="1191"/>
        <v>45869</v>
      </c>
      <c r="F9518" s="514"/>
      <c r="G9518" s="194" t="s">
        <v>1209</v>
      </c>
      <c r="H9518" s="195"/>
      <c r="I9518" s="195"/>
      <c r="J9518" s="191" t="s">
        <v>46</v>
      </c>
      <c r="K9518" s="196"/>
      <c r="L9518" s="196">
        <f>K9517</f>
        <v>100</v>
      </c>
      <c r="M9518" s="251"/>
    </row>
    <row r="9519" spans="1:15" ht="11.25" customHeight="1" x14ac:dyDescent="0.2">
      <c r="A9519" s="424">
        <v>2025</v>
      </c>
      <c r="B9519" s="424">
        <v>7</v>
      </c>
      <c r="C9519" s="424">
        <v>31</v>
      </c>
      <c r="D9519" s="425">
        <f t="shared" si="1192"/>
        <v>45869</v>
      </c>
      <c r="E9519" s="384">
        <f t="shared" si="1191"/>
        <v>45869</v>
      </c>
      <c r="F9519" s="516" t="s">
        <v>1850</v>
      </c>
      <c r="G9519" s="426" t="s">
        <v>1209</v>
      </c>
      <c r="H9519" s="427"/>
      <c r="I9519" s="427"/>
      <c r="J9519" s="428" t="s">
        <v>81</v>
      </c>
      <c r="K9519" s="429">
        <v>11170.721538461539</v>
      </c>
      <c r="L9519" s="429"/>
    </row>
    <row r="9520" spans="1:15" ht="11.25" customHeight="1" x14ac:dyDescent="0.2">
      <c r="A9520" s="389">
        <v>2025</v>
      </c>
      <c r="B9520" s="389">
        <v>7</v>
      </c>
      <c r="C9520" s="389">
        <v>31</v>
      </c>
      <c r="D9520" s="390">
        <f t="shared" si="1192"/>
        <v>45869</v>
      </c>
      <c r="E9520" s="391">
        <f t="shared" si="1191"/>
        <v>45869</v>
      </c>
      <c r="F9520" s="517"/>
      <c r="G9520" s="392" t="s">
        <v>1209</v>
      </c>
      <c r="H9520" s="393"/>
      <c r="I9520" s="393"/>
      <c r="J9520" s="394" t="s">
        <v>1847</v>
      </c>
      <c r="K9520" s="423"/>
      <c r="L9520" s="423">
        <f>K9519</f>
        <v>11170.721538461539</v>
      </c>
    </row>
    <row r="9521" spans="1:16" ht="11.25" customHeight="1" x14ac:dyDescent="0.2">
      <c r="A9521" s="382">
        <v>2025</v>
      </c>
      <c r="B9521" s="382">
        <v>7</v>
      </c>
      <c r="C9521" s="382">
        <v>31</v>
      </c>
      <c r="D9521" s="383">
        <f t="shared" si="1192"/>
        <v>45869</v>
      </c>
      <c r="E9521" s="384">
        <f t="shared" si="1191"/>
        <v>45869</v>
      </c>
      <c r="F9521" s="516" t="s">
        <v>1892</v>
      </c>
      <c r="G9521" s="385" t="s">
        <v>1209</v>
      </c>
      <c r="H9521" s="386"/>
      <c r="I9521" s="386"/>
      <c r="J9521" s="387" t="s">
        <v>173</v>
      </c>
      <c r="K9521" s="388">
        <v>5504.0311848958345</v>
      </c>
      <c r="L9521" s="388"/>
    </row>
    <row r="9522" spans="1:16" ht="11.25" customHeight="1" x14ac:dyDescent="0.2">
      <c r="A9522" s="389">
        <v>2025</v>
      </c>
      <c r="B9522" s="389">
        <v>7</v>
      </c>
      <c r="C9522" s="389">
        <v>31</v>
      </c>
      <c r="D9522" s="390">
        <f t="shared" si="1192"/>
        <v>45869</v>
      </c>
      <c r="E9522" s="391">
        <f t="shared" si="1191"/>
        <v>45869</v>
      </c>
      <c r="F9522" s="517"/>
      <c r="G9522" s="392" t="s">
        <v>1209</v>
      </c>
      <c r="H9522" s="393"/>
      <c r="I9522" s="393"/>
      <c r="J9522" s="394" t="s">
        <v>43</v>
      </c>
      <c r="K9522" s="388"/>
      <c r="L9522" s="423">
        <f>K9521</f>
        <v>5504.0311848958345</v>
      </c>
    </row>
    <row r="9523" spans="1:16" ht="11.25" customHeight="1" x14ac:dyDescent="0.2">
      <c r="A9523" s="344">
        <v>2025</v>
      </c>
      <c r="B9523" s="344">
        <v>7</v>
      </c>
      <c r="C9523" s="344">
        <v>31</v>
      </c>
      <c r="D9523" s="345">
        <f t="shared" si="1192"/>
        <v>45869</v>
      </c>
      <c r="E9523" s="346">
        <f t="shared" si="1191"/>
        <v>45869</v>
      </c>
      <c r="F9523" s="518" t="s">
        <v>1982</v>
      </c>
      <c r="G9523" s="347" t="s">
        <v>1245</v>
      </c>
      <c r="H9523" s="348"/>
      <c r="I9523" s="348" t="s">
        <v>1253</v>
      </c>
      <c r="J9523" s="344" t="s">
        <v>1978</v>
      </c>
      <c r="K9523" s="349">
        <v>145230.76923076922</v>
      </c>
      <c r="L9523" s="349"/>
    </row>
    <row r="9524" spans="1:16" ht="11.25" customHeight="1" x14ac:dyDescent="0.2">
      <c r="A9524" s="350">
        <v>2025</v>
      </c>
      <c r="B9524" s="350">
        <v>7</v>
      </c>
      <c r="C9524" s="350">
        <v>31</v>
      </c>
      <c r="D9524" s="351">
        <f t="shared" si="1192"/>
        <v>45869</v>
      </c>
      <c r="E9524" s="352">
        <f t="shared" si="1191"/>
        <v>45869</v>
      </c>
      <c r="F9524" s="519"/>
      <c r="G9524" s="353" t="s">
        <v>1245</v>
      </c>
      <c r="H9524" s="354"/>
      <c r="I9524" s="354" t="s">
        <v>1253</v>
      </c>
      <c r="J9524" s="350" t="s">
        <v>1979</v>
      </c>
      <c r="K9524" s="355"/>
      <c r="L9524" s="355">
        <f>K9523</f>
        <v>145230.76923076922</v>
      </c>
    </row>
    <row r="9525" spans="1:16" ht="11.25" customHeight="1" x14ac:dyDescent="0.2">
      <c r="A9525" s="344">
        <v>2025</v>
      </c>
      <c r="B9525" s="344">
        <v>7</v>
      </c>
      <c r="C9525" s="344">
        <v>31</v>
      </c>
      <c r="D9525" s="345">
        <f t="shared" si="1192"/>
        <v>45869</v>
      </c>
      <c r="E9525" s="346">
        <f t="shared" si="1191"/>
        <v>45869</v>
      </c>
      <c r="F9525" s="518" t="s">
        <v>2009</v>
      </c>
      <c r="G9525" s="347" t="s">
        <v>1245</v>
      </c>
      <c r="H9525" s="348"/>
      <c r="I9525" s="348" t="s">
        <v>1253</v>
      </c>
      <c r="J9525" s="344" t="s">
        <v>2004</v>
      </c>
      <c r="K9525" s="349">
        <v>49692.31</v>
      </c>
      <c r="L9525" s="349"/>
    </row>
    <row r="9526" spans="1:16" ht="11.25" customHeight="1" x14ac:dyDescent="0.2">
      <c r="A9526" s="350">
        <v>2025</v>
      </c>
      <c r="B9526" s="350">
        <v>7</v>
      </c>
      <c r="C9526" s="350">
        <v>31</v>
      </c>
      <c r="D9526" s="351">
        <f t="shared" si="1192"/>
        <v>45869</v>
      </c>
      <c r="E9526" s="352">
        <f t="shared" si="1191"/>
        <v>45869</v>
      </c>
      <c r="F9526" s="519"/>
      <c r="G9526" s="353" t="s">
        <v>1245</v>
      </c>
      <c r="H9526" s="354"/>
      <c r="I9526" s="354" t="s">
        <v>1253</v>
      </c>
      <c r="J9526" s="350" t="s">
        <v>2008</v>
      </c>
      <c r="K9526" s="355"/>
      <c r="L9526" s="355">
        <f t="shared" ref="L9526" si="1193">K9525</f>
        <v>49692.31</v>
      </c>
    </row>
    <row r="9527" spans="1:16" ht="11.25" customHeight="1" x14ac:dyDescent="0.2">
      <c r="A9527" s="344">
        <v>2025</v>
      </c>
      <c r="B9527" s="344">
        <v>7</v>
      </c>
      <c r="C9527" s="344">
        <v>31</v>
      </c>
      <c r="D9527" s="345">
        <f t="shared" si="1192"/>
        <v>45869</v>
      </c>
      <c r="E9527" s="346">
        <f t="shared" si="1191"/>
        <v>45869</v>
      </c>
      <c r="F9527" s="518" t="s">
        <v>2009</v>
      </c>
      <c r="G9527" s="347" t="s">
        <v>1245</v>
      </c>
      <c r="H9527" s="348"/>
      <c r="I9527" s="348" t="s">
        <v>1253</v>
      </c>
      <c r="J9527" s="344" t="s">
        <v>2004</v>
      </c>
      <c r="K9527" s="349">
        <v>49692.31</v>
      </c>
      <c r="L9527" s="349"/>
    </row>
    <row r="9528" spans="1:16" ht="11.25" customHeight="1" x14ac:dyDescent="0.2">
      <c r="A9528" s="350">
        <v>2025</v>
      </c>
      <c r="B9528" s="350">
        <v>7</v>
      </c>
      <c r="C9528" s="350">
        <v>31</v>
      </c>
      <c r="D9528" s="351">
        <f t="shared" si="1192"/>
        <v>45869</v>
      </c>
      <c r="E9528" s="352">
        <f t="shared" si="1191"/>
        <v>45869</v>
      </c>
      <c r="F9528" s="519"/>
      <c r="G9528" s="353" t="s">
        <v>1245</v>
      </c>
      <c r="H9528" s="354"/>
      <c r="I9528" s="354" t="s">
        <v>1253</v>
      </c>
      <c r="J9528" s="350" t="s">
        <v>2008</v>
      </c>
      <c r="K9528" s="355"/>
      <c r="L9528" s="355">
        <f t="shared" ref="L9528" si="1194">K9527</f>
        <v>49692.31</v>
      </c>
    </row>
    <row r="9529" spans="1:16" ht="11.25" customHeight="1" x14ac:dyDescent="0.2">
      <c r="A9529" s="344">
        <v>2025</v>
      </c>
      <c r="B9529" s="344">
        <v>7</v>
      </c>
      <c r="C9529" s="344">
        <v>31</v>
      </c>
      <c r="D9529" s="345">
        <f t="shared" si="1192"/>
        <v>45869</v>
      </c>
      <c r="E9529" s="346">
        <f>DATE(A9529,B9529,C9529)</f>
        <v>45869</v>
      </c>
      <c r="F9529" s="518" t="s">
        <v>1988</v>
      </c>
      <c r="G9529" s="347" t="s">
        <v>1245</v>
      </c>
      <c r="H9529" s="348"/>
      <c r="I9529" s="348" t="s">
        <v>1253</v>
      </c>
      <c r="J9529" s="344" t="s">
        <v>113</v>
      </c>
      <c r="K9529" s="349">
        <v>32846.15</v>
      </c>
      <c r="L9529" s="349"/>
    </row>
    <row r="9530" spans="1:16" ht="11.25" customHeight="1" x14ac:dyDescent="0.2">
      <c r="A9530" s="350">
        <v>2025</v>
      </c>
      <c r="B9530" s="350">
        <v>7</v>
      </c>
      <c r="C9530" s="350">
        <v>31</v>
      </c>
      <c r="D9530" s="351">
        <f t="shared" si="1192"/>
        <v>45869</v>
      </c>
      <c r="E9530" s="352">
        <f>DATE(A9530,B9530,C9530)</f>
        <v>45869</v>
      </c>
      <c r="F9530" s="519"/>
      <c r="G9530" s="353" t="s">
        <v>1245</v>
      </c>
      <c r="H9530" s="354"/>
      <c r="I9530" s="354" t="s">
        <v>1253</v>
      </c>
      <c r="J9530" s="350" t="s">
        <v>153</v>
      </c>
      <c r="K9530" s="355"/>
      <c r="L9530" s="355">
        <f t="shared" ref="L9530" si="1195">K9529</f>
        <v>32846.15</v>
      </c>
    </row>
    <row r="9531" spans="1:16" ht="11.25" customHeight="1" x14ac:dyDescent="0.2">
      <c r="A9531" s="344">
        <v>2025</v>
      </c>
      <c r="B9531" s="344">
        <v>7</v>
      </c>
      <c r="C9531" s="344">
        <v>31</v>
      </c>
      <c r="D9531" s="345">
        <f t="shared" si="1192"/>
        <v>45869</v>
      </c>
      <c r="E9531" s="346">
        <f t="shared" ref="E9531:E9536" si="1196">DATE(A9531,B9531,C9531)</f>
        <v>45869</v>
      </c>
      <c r="F9531" s="518" t="s">
        <v>1989</v>
      </c>
      <c r="G9531" s="347" t="s">
        <v>1245</v>
      </c>
      <c r="H9531" s="348"/>
      <c r="I9531" s="348" t="s">
        <v>1253</v>
      </c>
      <c r="J9531" s="344" t="s">
        <v>113</v>
      </c>
      <c r="K9531" s="349">
        <v>23461.538461538461</v>
      </c>
      <c r="L9531" s="349"/>
    </row>
    <row r="9532" spans="1:16" ht="11.25" customHeight="1" x14ac:dyDescent="0.2">
      <c r="A9532" s="350">
        <v>2025</v>
      </c>
      <c r="B9532" s="350">
        <v>7</v>
      </c>
      <c r="C9532" s="350">
        <v>31</v>
      </c>
      <c r="D9532" s="351">
        <f t="shared" si="1192"/>
        <v>45869</v>
      </c>
      <c r="E9532" s="352">
        <f t="shared" si="1196"/>
        <v>45869</v>
      </c>
      <c r="F9532" s="519"/>
      <c r="G9532" s="353" t="s">
        <v>1245</v>
      </c>
      <c r="H9532" s="354"/>
      <c r="I9532" s="354" t="s">
        <v>1253</v>
      </c>
      <c r="J9532" s="350" t="s">
        <v>153</v>
      </c>
      <c r="K9532" s="355"/>
      <c r="L9532" s="355">
        <f t="shared" ref="L9532" si="1197">K9531</f>
        <v>23461.538461538461</v>
      </c>
    </row>
    <row r="9533" spans="1:16" ht="11.25" customHeight="1" x14ac:dyDescent="0.2">
      <c r="A9533" s="344">
        <v>2025</v>
      </c>
      <c r="B9533" s="344">
        <v>7</v>
      </c>
      <c r="C9533" s="344">
        <v>31</v>
      </c>
      <c r="D9533" s="345">
        <f t="shared" si="1192"/>
        <v>45869</v>
      </c>
      <c r="E9533" s="346">
        <f t="shared" si="1196"/>
        <v>45869</v>
      </c>
      <c r="F9533" s="518" t="s">
        <v>1990</v>
      </c>
      <c r="G9533" s="347" t="s">
        <v>1245</v>
      </c>
      <c r="H9533" s="348"/>
      <c r="I9533" s="348" t="s">
        <v>1253</v>
      </c>
      <c r="J9533" s="344" t="s">
        <v>113</v>
      </c>
      <c r="K9533" s="349">
        <v>70384.62</v>
      </c>
      <c r="L9533" s="349"/>
      <c r="N9533" s="251"/>
      <c r="O9533" s="251"/>
      <c r="P9533" s="251"/>
    </row>
    <row r="9534" spans="1:16" ht="11.25" customHeight="1" x14ac:dyDescent="0.2">
      <c r="A9534" s="350">
        <v>2025</v>
      </c>
      <c r="B9534" s="350">
        <v>7</v>
      </c>
      <c r="C9534" s="350">
        <v>31</v>
      </c>
      <c r="D9534" s="351">
        <f t="shared" si="1192"/>
        <v>45869</v>
      </c>
      <c r="E9534" s="352">
        <f t="shared" si="1196"/>
        <v>45869</v>
      </c>
      <c r="F9534" s="519"/>
      <c r="G9534" s="353" t="s">
        <v>1245</v>
      </c>
      <c r="H9534" s="354"/>
      <c r="I9534" s="354" t="s">
        <v>1253</v>
      </c>
      <c r="J9534" s="350" t="s">
        <v>153</v>
      </c>
      <c r="K9534" s="355"/>
      <c r="L9534" s="355">
        <f t="shared" ref="L9534" si="1198">K9533</f>
        <v>70384.62</v>
      </c>
    </row>
    <row r="9535" spans="1:16" ht="11.25" customHeight="1" x14ac:dyDescent="0.2">
      <c r="A9535" s="344">
        <v>2025</v>
      </c>
      <c r="B9535" s="344">
        <v>7</v>
      </c>
      <c r="C9535" s="344">
        <v>31</v>
      </c>
      <c r="D9535" s="345">
        <f t="shared" si="1192"/>
        <v>45869</v>
      </c>
      <c r="E9535" s="346">
        <f t="shared" si="1196"/>
        <v>45869</v>
      </c>
      <c r="F9535" s="518" t="s">
        <v>2039</v>
      </c>
      <c r="G9535" s="347" t="s">
        <v>1245</v>
      </c>
      <c r="H9535" s="348"/>
      <c r="I9535" s="348" t="s">
        <v>1253</v>
      </c>
      <c r="J9535" s="344" t="s">
        <v>113</v>
      </c>
      <c r="K9535" s="349">
        <v>9384.6153846153848</v>
      </c>
      <c r="L9535" s="349"/>
    </row>
    <row r="9536" spans="1:16" ht="11.25" customHeight="1" x14ac:dyDescent="0.2">
      <c r="A9536" s="350">
        <v>2025</v>
      </c>
      <c r="B9536" s="350">
        <v>7</v>
      </c>
      <c r="C9536" s="350">
        <v>31</v>
      </c>
      <c r="D9536" s="351">
        <f t="shared" si="1192"/>
        <v>45869</v>
      </c>
      <c r="E9536" s="352">
        <f t="shared" si="1196"/>
        <v>45869</v>
      </c>
      <c r="F9536" s="519"/>
      <c r="G9536" s="353" t="s">
        <v>1245</v>
      </c>
      <c r="H9536" s="354"/>
      <c r="I9536" s="354" t="s">
        <v>1253</v>
      </c>
      <c r="J9536" s="350" t="s">
        <v>153</v>
      </c>
      <c r="K9536" s="355"/>
      <c r="L9536" s="355">
        <f t="shared" ref="L9536" si="1199">K9535</f>
        <v>9384.6153846153848</v>
      </c>
    </row>
    <row r="9537" spans="1:13" ht="11.25" customHeight="1" x14ac:dyDescent="0.2">
      <c r="A9537" s="344">
        <v>2025</v>
      </c>
      <c r="B9537" s="344">
        <v>7</v>
      </c>
      <c r="C9537" s="344">
        <v>31</v>
      </c>
      <c r="D9537" s="345">
        <f t="shared" si="1192"/>
        <v>45869</v>
      </c>
      <c r="E9537" s="346">
        <f>DATE(A9537,B9537,C9537)</f>
        <v>45869</v>
      </c>
      <c r="F9537" s="518" t="s">
        <v>1991</v>
      </c>
      <c r="G9537" s="347" t="s">
        <v>1245</v>
      </c>
      <c r="H9537" s="348"/>
      <c r="I9537" s="348" t="s">
        <v>1253</v>
      </c>
      <c r="J9537" s="344" t="s">
        <v>113</v>
      </c>
      <c r="K9537" s="349">
        <v>39884.620000000003</v>
      </c>
      <c r="L9537" s="349"/>
    </row>
    <row r="9538" spans="1:13" ht="11.25" customHeight="1" x14ac:dyDescent="0.2">
      <c r="A9538" s="350">
        <v>2025</v>
      </c>
      <c r="B9538" s="350">
        <v>7</v>
      </c>
      <c r="C9538" s="350">
        <v>31</v>
      </c>
      <c r="D9538" s="351">
        <f t="shared" si="1192"/>
        <v>45869</v>
      </c>
      <c r="E9538" s="352">
        <f>DATE(A9538,B9538,C9538)</f>
        <v>45869</v>
      </c>
      <c r="F9538" s="519"/>
      <c r="G9538" s="353" t="s">
        <v>1245</v>
      </c>
      <c r="H9538" s="354"/>
      <c r="I9538" s="354" t="s">
        <v>1253</v>
      </c>
      <c r="J9538" s="350" t="s">
        <v>153</v>
      </c>
      <c r="K9538" s="355"/>
      <c r="L9538" s="355">
        <f t="shared" ref="L9538" si="1200">K9537</f>
        <v>39884.620000000003</v>
      </c>
    </row>
    <row r="9539" spans="1:13" ht="11.25" customHeight="1" x14ac:dyDescent="0.2">
      <c r="A9539" s="344">
        <v>2025</v>
      </c>
      <c r="B9539" s="344">
        <v>7</v>
      </c>
      <c r="C9539" s="344">
        <v>31</v>
      </c>
      <c r="D9539" s="345">
        <f t="shared" si="1192"/>
        <v>45869</v>
      </c>
      <c r="E9539" s="346">
        <f t="shared" ref="E9539:E9543" si="1201">DATE(A9539,B9539,C9539)</f>
        <v>45869</v>
      </c>
      <c r="F9539" s="518" t="s">
        <v>2052</v>
      </c>
      <c r="G9539" s="347" t="s">
        <v>1245</v>
      </c>
      <c r="H9539" s="348"/>
      <c r="I9539" s="348" t="s">
        <v>1253</v>
      </c>
      <c r="J9539" s="344" t="s">
        <v>113</v>
      </c>
      <c r="K9539" s="349">
        <v>11442.307692307691</v>
      </c>
      <c r="L9539" s="349"/>
    </row>
    <row r="9540" spans="1:13" ht="11.25" customHeight="1" x14ac:dyDescent="0.2">
      <c r="A9540" s="350">
        <v>2025</v>
      </c>
      <c r="B9540" s="350">
        <v>7</v>
      </c>
      <c r="C9540" s="350">
        <v>31</v>
      </c>
      <c r="D9540" s="351">
        <f t="shared" si="1192"/>
        <v>45869</v>
      </c>
      <c r="E9540" s="352">
        <f t="shared" si="1201"/>
        <v>45869</v>
      </c>
      <c r="F9540" s="519"/>
      <c r="G9540" s="353" t="s">
        <v>1245</v>
      </c>
      <c r="H9540" s="354"/>
      <c r="I9540" s="354" t="s">
        <v>1253</v>
      </c>
      <c r="J9540" s="350" t="s">
        <v>153</v>
      </c>
      <c r="K9540" s="355"/>
      <c r="L9540" s="355">
        <f t="shared" ref="L9540" si="1202">K9539</f>
        <v>11442.307692307691</v>
      </c>
    </row>
    <row r="9541" spans="1:13" ht="11.25" customHeight="1" x14ac:dyDescent="0.2">
      <c r="A9541" s="344">
        <v>2025</v>
      </c>
      <c r="B9541" s="344">
        <v>7</v>
      </c>
      <c r="C9541" s="344">
        <v>31</v>
      </c>
      <c r="D9541" s="345">
        <f t="shared" si="1192"/>
        <v>45869</v>
      </c>
      <c r="E9541" s="346">
        <f t="shared" si="1201"/>
        <v>45869</v>
      </c>
      <c r="F9541" s="518" t="s">
        <v>2053</v>
      </c>
      <c r="G9541" s="347" t="s">
        <v>1245</v>
      </c>
      <c r="H9541" s="348"/>
      <c r="I9541" s="348" t="s">
        <v>1253</v>
      </c>
      <c r="J9541" s="344" t="s">
        <v>113</v>
      </c>
      <c r="K9541" s="349">
        <v>11634.615384615385</v>
      </c>
      <c r="L9541" s="349"/>
    </row>
    <row r="9542" spans="1:13" ht="11.25" customHeight="1" x14ac:dyDescent="0.2">
      <c r="A9542" s="350">
        <v>2025</v>
      </c>
      <c r="B9542" s="350">
        <v>7</v>
      </c>
      <c r="C9542" s="350">
        <v>31</v>
      </c>
      <c r="D9542" s="351">
        <f t="shared" si="1192"/>
        <v>45869</v>
      </c>
      <c r="E9542" s="352">
        <f t="shared" si="1201"/>
        <v>45869</v>
      </c>
      <c r="F9542" s="519"/>
      <c r="G9542" s="353" t="s">
        <v>1245</v>
      </c>
      <c r="H9542" s="354"/>
      <c r="I9542" s="354" t="s">
        <v>1253</v>
      </c>
      <c r="J9542" s="350" t="s">
        <v>153</v>
      </c>
      <c r="K9542" s="355"/>
      <c r="L9542" s="355">
        <f t="shared" ref="L9542" si="1203">K9541</f>
        <v>11634.615384615385</v>
      </c>
    </row>
    <row r="9543" spans="1:13" ht="11.25" customHeight="1" x14ac:dyDescent="0.2">
      <c r="A9543" s="210">
        <v>2025</v>
      </c>
      <c r="B9543" s="210">
        <v>7</v>
      </c>
      <c r="C9543" s="210">
        <v>31</v>
      </c>
      <c r="D9543" s="211">
        <f t="shared" si="1192"/>
        <v>45869</v>
      </c>
      <c r="E9543" s="238">
        <f t="shared" si="1201"/>
        <v>45869</v>
      </c>
      <c r="F9543" s="520" t="s">
        <v>1857</v>
      </c>
      <c r="G9543" s="213" t="s">
        <v>1245</v>
      </c>
      <c r="H9543" s="214"/>
      <c r="I9543" s="214" t="s">
        <v>1253</v>
      </c>
      <c r="J9543" s="210" t="s">
        <v>1284</v>
      </c>
      <c r="K9543" s="215">
        <v>2341.8114143920593</v>
      </c>
      <c r="L9543" s="215"/>
    </row>
    <row r="9544" spans="1:13" ht="11.25" customHeight="1" x14ac:dyDescent="0.2">
      <c r="A9544" s="242">
        <v>2025</v>
      </c>
      <c r="B9544" s="242">
        <v>7</v>
      </c>
      <c r="C9544" s="242">
        <v>31</v>
      </c>
      <c r="D9544" s="243">
        <f t="shared" si="1192"/>
        <v>45869</v>
      </c>
      <c r="E9544" s="244">
        <f>DATE(A9544,B9544,C9544)</f>
        <v>45869</v>
      </c>
      <c r="F9544" s="524"/>
      <c r="G9544" s="245" t="s">
        <v>1245</v>
      </c>
      <c r="H9544" s="246"/>
      <c r="I9544" s="246"/>
      <c r="J9544" s="242" t="s">
        <v>1582</v>
      </c>
      <c r="K9544" s="247"/>
      <c r="L9544" s="247">
        <f>K9543</f>
        <v>2341.8114143920593</v>
      </c>
    </row>
    <row r="9545" spans="1:13" ht="11.25" customHeight="1" x14ac:dyDescent="0.2">
      <c r="A9545" s="210">
        <v>2025</v>
      </c>
      <c r="B9545" s="210">
        <v>7</v>
      </c>
      <c r="C9545" s="210">
        <v>31</v>
      </c>
      <c r="D9545" s="211">
        <f t="shared" si="1192"/>
        <v>45869</v>
      </c>
      <c r="E9545" s="238">
        <f t="shared" ref="E9545:E9564" si="1204">DATE(A9545,B9545,C9545)</f>
        <v>45869</v>
      </c>
      <c r="F9545" s="520" t="s">
        <v>2055</v>
      </c>
      <c r="G9545" s="213" t="s">
        <v>1245</v>
      </c>
      <c r="H9545" s="214"/>
      <c r="I9545" s="214" t="s">
        <v>1253</v>
      </c>
      <c r="J9545" s="210" t="s">
        <v>58</v>
      </c>
      <c r="K9545" s="215">
        <v>9923.26</v>
      </c>
      <c r="L9545" s="215"/>
    </row>
    <row r="9546" spans="1:13" ht="11.25" customHeight="1" x14ac:dyDescent="0.2">
      <c r="A9546" s="216">
        <v>2025</v>
      </c>
      <c r="B9546" s="216">
        <v>7</v>
      </c>
      <c r="C9546" s="216">
        <v>31</v>
      </c>
      <c r="D9546" s="217">
        <f t="shared" si="1192"/>
        <v>45869</v>
      </c>
      <c r="E9546" s="239">
        <f t="shared" si="1204"/>
        <v>45869</v>
      </c>
      <c r="F9546" s="521"/>
      <c r="G9546" s="219" t="s">
        <v>1245</v>
      </c>
      <c r="H9546" s="220"/>
      <c r="I9546" s="220" t="s">
        <v>1253</v>
      </c>
      <c r="J9546" s="216" t="s">
        <v>153</v>
      </c>
      <c r="K9546" s="221"/>
      <c r="L9546" s="221">
        <f>K9545</f>
        <v>9923.26</v>
      </c>
    </row>
    <row r="9547" spans="1:13" ht="11.25" customHeight="1" x14ac:dyDescent="0.2">
      <c r="A9547" s="312">
        <v>2025</v>
      </c>
      <c r="B9547" s="312">
        <v>7</v>
      </c>
      <c r="C9547" s="312">
        <v>31</v>
      </c>
      <c r="D9547" s="313">
        <f t="shared" si="1192"/>
        <v>45869</v>
      </c>
      <c r="E9547" s="314">
        <f t="shared" si="1204"/>
        <v>45869</v>
      </c>
      <c r="F9547" s="522" t="s">
        <v>1477</v>
      </c>
      <c r="G9547" s="315" t="s">
        <v>1245</v>
      </c>
      <c r="H9547" s="316"/>
      <c r="I9547" s="316" t="s">
        <v>1253</v>
      </c>
      <c r="J9547" s="312" t="s">
        <v>1458</v>
      </c>
      <c r="K9547" s="317">
        <v>0</v>
      </c>
      <c r="L9547" s="317"/>
    </row>
    <row r="9548" spans="1:13" ht="11.25" customHeight="1" x14ac:dyDescent="0.2">
      <c r="A9548" s="318">
        <v>2025</v>
      </c>
      <c r="B9548" s="318">
        <v>7</v>
      </c>
      <c r="C9548" s="318">
        <v>31</v>
      </c>
      <c r="D9548" s="319">
        <f t="shared" si="1192"/>
        <v>45869</v>
      </c>
      <c r="E9548" s="320">
        <f t="shared" si="1204"/>
        <v>45869</v>
      </c>
      <c r="F9548" s="523"/>
      <c r="G9548" s="321" t="s">
        <v>1245</v>
      </c>
      <c r="H9548" s="322"/>
      <c r="I9548" s="322" t="s">
        <v>1253</v>
      </c>
      <c r="J9548" s="318" t="s">
        <v>1460</v>
      </c>
      <c r="K9548" s="323"/>
      <c r="L9548" s="323">
        <f>K9547</f>
        <v>0</v>
      </c>
    </row>
    <row r="9549" spans="1:13" ht="11.25" customHeight="1" x14ac:dyDescent="0.2">
      <c r="A9549" s="312">
        <v>2025</v>
      </c>
      <c r="B9549" s="312">
        <v>7</v>
      </c>
      <c r="C9549" s="312">
        <v>31</v>
      </c>
      <c r="D9549" s="313">
        <f t="shared" si="1192"/>
        <v>45869</v>
      </c>
      <c r="E9549" s="314">
        <f t="shared" si="1204"/>
        <v>45869</v>
      </c>
      <c r="F9549" s="522" t="s">
        <v>1595</v>
      </c>
      <c r="G9549" s="315" t="s">
        <v>1245</v>
      </c>
      <c r="H9549" s="316"/>
      <c r="I9549" s="316" t="s">
        <v>1253</v>
      </c>
      <c r="J9549" s="312" t="s">
        <v>1461</v>
      </c>
      <c r="K9549" s="317">
        <v>5568168.7370000482</v>
      </c>
      <c r="L9549" s="317"/>
      <c r="M9549" s="328">
        <f>BS!I16</f>
        <v>0</v>
      </c>
    </row>
    <row r="9550" spans="1:13" ht="11.25" customHeight="1" x14ac:dyDescent="0.2">
      <c r="A9550" s="318">
        <v>2025</v>
      </c>
      <c r="B9550" s="318">
        <v>7</v>
      </c>
      <c r="C9550" s="318">
        <v>31</v>
      </c>
      <c r="D9550" s="319">
        <f t="shared" si="1192"/>
        <v>45869</v>
      </c>
      <c r="E9550" s="320">
        <f t="shared" si="1204"/>
        <v>45869</v>
      </c>
      <c r="F9550" s="523"/>
      <c r="G9550" s="321" t="s">
        <v>1245</v>
      </c>
      <c r="H9550" s="322"/>
      <c r="I9550" s="322" t="s">
        <v>1253</v>
      </c>
      <c r="J9550" s="318" t="s">
        <v>1459</v>
      </c>
      <c r="K9550" s="323"/>
      <c r="L9550" s="323">
        <f>K9549</f>
        <v>5568168.7370000482</v>
      </c>
      <c r="M9550" s="328"/>
    </row>
    <row r="9551" spans="1:13" ht="11.25" customHeight="1" x14ac:dyDescent="0.2">
      <c r="A9551" s="222">
        <v>2025</v>
      </c>
      <c r="B9551" s="222">
        <v>7</v>
      </c>
      <c r="C9551" s="222">
        <v>31</v>
      </c>
      <c r="D9551" s="223">
        <f t="shared" si="1192"/>
        <v>45869</v>
      </c>
      <c r="E9551" s="240">
        <f t="shared" si="1204"/>
        <v>45869</v>
      </c>
      <c r="F9551" s="511" t="s">
        <v>1244</v>
      </c>
      <c r="G9551" s="225" t="s">
        <v>1245</v>
      </c>
      <c r="H9551" s="226"/>
      <c r="I9551" s="226" t="s">
        <v>1253</v>
      </c>
      <c r="J9551" s="222" t="s">
        <v>87</v>
      </c>
      <c r="K9551" s="227">
        <v>1568184.6274457201</v>
      </c>
      <c r="L9551" s="227"/>
      <c r="M9551" s="328">
        <f>BS!I9</f>
        <v>0</v>
      </c>
    </row>
    <row r="9552" spans="1:13" ht="11.25" customHeight="1" x14ac:dyDescent="0.2">
      <c r="A9552" s="228">
        <v>2025</v>
      </c>
      <c r="B9552" s="228">
        <v>7</v>
      </c>
      <c r="C9552" s="228">
        <v>31</v>
      </c>
      <c r="D9552" s="229">
        <f t="shared" si="1192"/>
        <v>45869</v>
      </c>
      <c r="E9552" s="241">
        <f t="shared" si="1204"/>
        <v>45869</v>
      </c>
      <c r="F9552" s="512"/>
      <c r="G9552" s="231" t="s">
        <v>1245</v>
      </c>
      <c r="H9552" s="232"/>
      <c r="I9552" s="232" t="s">
        <v>1253</v>
      </c>
      <c r="J9552" s="228" t="s">
        <v>72</v>
      </c>
      <c r="K9552" s="233"/>
      <c r="L9552" s="233">
        <f>K9551</f>
        <v>1568184.6274457201</v>
      </c>
    </row>
    <row r="9553" spans="1:14" ht="11.25" customHeight="1" x14ac:dyDescent="0.2">
      <c r="A9553" s="222">
        <v>2025</v>
      </c>
      <c r="B9553" s="222">
        <v>7</v>
      </c>
      <c r="C9553" s="222">
        <v>31</v>
      </c>
      <c r="D9553" s="223">
        <f t="shared" si="1192"/>
        <v>45869</v>
      </c>
      <c r="E9553" s="240">
        <f t="shared" si="1204"/>
        <v>45869</v>
      </c>
      <c r="F9553" s="511" t="s">
        <v>1246</v>
      </c>
      <c r="G9553" s="225" t="s">
        <v>1245</v>
      </c>
      <c r="H9553" s="226"/>
      <c r="I9553" s="226" t="s">
        <v>1253</v>
      </c>
      <c r="J9553" s="222" t="s">
        <v>75</v>
      </c>
      <c r="K9553" s="227">
        <v>3623.123846153846</v>
      </c>
      <c r="L9553" s="227"/>
    </row>
    <row r="9554" spans="1:14" ht="11.25" customHeight="1" x14ac:dyDescent="0.2">
      <c r="A9554" s="228">
        <v>2025</v>
      </c>
      <c r="B9554" s="228">
        <v>7</v>
      </c>
      <c r="C9554" s="228">
        <v>31</v>
      </c>
      <c r="D9554" s="229">
        <f t="shared" si="1192"/>
        <v>45869</v>
      </c>
      <c r="E9554" s="241">
        <f t="shared" si="1204"/>
        <v>45869</v>
      </c>
      <c r="F9554" s="512"/>
      <c r="G9554" s="231" t="s">
        <v>1245</v>
      </c>
      <c r="H9554" s="232"/>
      <c r="I9554" s="232" t="s">
        <v>1253</v>
      </c>
      <c r="J9554" s="228" t="s">
        <v>55</v>
      </c>
      <c r="K9554" s="233"/>
      <c r="L9554" s="233">
        <f>K9553</f>
        <v>3623.123846153846</v>
      </c>
    </row>
    <row r="9555" spans="1:14" ht="11.25" customHeight="1" x14ac:dyDescent="0.2">
      <c r="A9555" s="222">
        <v>2025</v>
      </c>
      <c r="B9555" s="222">
        <v>7</v>
      </c>
      <c r="C9555" s="222">
        <v>31</v>
      </c>
      <c r="D9555" s="223">
        <f t="shared" si="1192"/>
        <v>45869</v>
      </c>
      <c r="E9555" s="240">
        <f t="shared" si="1204"/>
        <v>45869</v>
      </c>
      <c r="F9555" s="511" t="s">
        <v>1247</v>
      </c>
      <c r="G9555" s="225" t="s">
        <v>1245</v>
      </c>
      <c r="H9555" s="226"/>
      <c r="I9555" s="226" t="s">
        <v>1253</v>
      </c>
      <c r="J9555" s="222" t="s">
        <v>77</v>
      </c>
      <c r="K9555" s="227">
        <f>M9555</f>
        <v>61051.813798850533</v>
      </c>
      <c r="L9555" s="227"/>
      <c r="M9555" s="120">
        <v>61051.813798850533</v>
      </c>
    </row>
    <row r="9556" spans="1:14" ht="11.25" customHeight="1" x14ac:dyDescent="0.2">
      <c r="A9556" s="228">
        <v>2025</v>
      </c>
      <c r="B9556" s="228">
        <v>7</v>
      </c>
      <c r="C9556" s="228">
        <v>31</v>
      </c>
      <c r="D9556" s="229">
        <f t="shared" si="1192"/>
        <v>45869</v>
      </c>
      <c r="E9556" s="241">
        <f t="shared" si="1204"/>
        <v>45869</v>
      </c>
      <c r="F9556" s="512"/>
      <c r="G9556" s="231" t="s">
        <v>1245</v>
      </c>
      <c r="H9556" s="232"/>
      <c r="I9556" s="232" t="s">
        <v>1253</v>
      </c>
      <c r="J9556" s="228" t="s">
        <v>41</v>
      </c>
      <c r="K9556" s="233"/>
      <c r="L9556" s="233">
        <f>K9555</f>
        <v>61051.813798850533</v>
      </c>
      <c r="M9556" s="120">
        <v>6105.1813798850535</v>
      </c>
    </row>
    <row r="9557" spans="1:14" ht="11.25" customHeight="1" x14ac:dyDescent="0.2">
      <c r="A9557" s="222">
        <v>2025</v>
      </c>
      <c r="B9557" s="222">
        <v>7</v>
      </c>
      <c r="C9557" s="222">
        <v>31</v>
      </c>
      <c r="D9557" s="223">
        <f t="shared" si="1192"/>
        <v>45869</v>
      </c>
      <c r="E9557" s="240">
        <f t="shared" si="1204"/>
        <v>45869</v>
      </c>
      <c r="F9557" s="511" t="s">
        <v>1248</v>
      </c>
      <c r="G9557" s="225" t="s">
        <v>1245</v>
      </c>
      <c r="H9557" s="226"/>
      <c r="I9557" s="226" t="s">
        <v>1253</v>
      </c>
      <c r="J9557" s="222" t="s">
        <v>80</v>
      </c>
      <c r="K9557" s="227">
        <f>M9556</f>
        <v>6105.1813798850535</v>
      </c>
      <c r="L9557" s="227"/>
    </row>
    <row r="9558" spans="1:14" ht="11.25" customHeight="1" x14ac:dyDescent="0.2">
      <c r="A9558" s="228">
        <v>2025</v>
      </c>
      <c r="B9558" s="228">
        <v>7</v>
      </c>
      <c r="C9558" s="228">
        <v>31</v>
      </c>
      <c r="D9558" s="229">
        <f t="shared" si="1192"/>
        <v>45869</v>
      </c>
      <c r="E9558" s="241">
        <f t="shared" si="1204"/>
        <v>45869</v>
      </c>
      <c r="F9558" s="512"/>
      <c r="G9558" s="231" t="s">
        <v>1245</v>
      </c>
      <c r="H9558" s="232"/>
      <c r="I9558" s="232" t="s">
        <v>1253</v>
      </c>
      <c r="J9558" s="228" t="s">
        <v>42</v>
      </c>
      <c r="K9558" s="233"/>
      <c r="L9558" s="233">
        <f>K9557</f>
        <v>6105.1813798850535</v>
      </c>
    </row>
    <row r="9559" spans="1:14" ht="11.25" customHeight="1" x14ac:dyDescent="0.2">
      <c r="A9559" s="197">
        <v>2025</v>
      </c>
      <c r="B9559" s="197">
        <v>8</v>
      </c>
      <c r="C9559" s="197">
        <v>3</v>
      </c>
      <c r="D9559" s="198">
        <f t="shared" si="1192"/>
        <v>45872</v>
      </c>
      <c r="E9559" s="199">
        <f t="shared" si="1204"/>
        <v>45872</v>
      </c>
      <c r="F9559" s="513" t="s">
        <v>2012</v>
      </c>
      <c r="G9559" s="200" t="s">
        <v>1209</v>
      </c>
      <c r="H9559" s="201"/>
      <c r="I9559" s="201" t="s">
        <v>1253</v>
      </c>
      <c r="J9559" s="197" t="s">
        <v>46</v>
      </c>
      <c r="K9559" s="202">
        <v>235587.76</v>
      </c>
      <c r="L9559" s="202"/>
    </row>
    <row r="9560" spans="1:14" ht="11.25" customHeight="1" x14ac:dyDescent="0.2">
      <c r="A9560" s="120">
        <v>2025</v>
      </c>
      <c r="B9560" s="120">
        <v>8</v>
      </c>
      <c r="C9560" s="120">
        <v>3</v>
      </c>
      <c r="D9560" s="208">
        <f t="shared" si="1192"/>
        <v>45872</v>
      </c>
      <c r="E9560" s="209">
        <f t="shared" si="1204"/>
        <v>45872</v>
      </c>
      <c r="F9560" s="515"/>
      <c r="G9560" s="132" t="s">
        <v>1209</v>
      </c>
      <c r="J9560" s="120" t="s">
        <v>1463</v>
      </c>
      <c r="K9560" s="328"/>
      <c r="L9560" s="207">
        <v>36698.747338582645</v>
      </c>
    </row>
    <row r="9561" spans="1:14" ht="11.25" customHeight="1" x14ac:dyDescent="0.2">
      <c r="A9561" s="191">
        <v>2025</v>
      </c>
      <c r="B9561" s="191">
        <v>8</v>
      </c>
      <c r="C9561" s="191">
        <v>3</v>
      </c>
      <c r="D9561" s="192">
        <f t="shared" si="1192"/>
        <v>45872</v>
      </c>
      <c r="E9561" s="193">
        <f t="shared" si="1204"/>
        <v>45872</v>
      </c>
      <c r="F9561" s="514"/>
      <c r="G9561" s="194" t="s">
        <v>1209</v>
      </c>
      <c r="H9561" s="195"/>
      <c r="I9561" s="195" t="s">
        <v>1253</v>
      </c>
      <c r="J9561" s="191" t="s">
        <v>1837</v>
      </c>
      <c r="K9561" s="196"/>
      <c r="L9561" s="196">
        <v>198889.00866141735</v>
      </c>
      <c r="N9561" s="130"/>
    </row>
    <row r="9562" spans="1:14" x14ac:dyDescent="0.2">
      <c r="A9562" s="197">
        <v>2025</v>
      </c>
      <c r="B9562" s="197">
        <v>8</v>
      </c>
      <c r="C9562" s="197">
        <v>3</v>
      </c>
      <c r="D9562" s="198">
        <f t="shared" si="1192"/>
        <v>45872</v>
      </c>
      <c r="E9562" s="209">
        <f t="shared" si="1204"/>
        <v>45872</v>
      </c>
      <c r="F9562" s="513" t="s">
        <v>1210</v>
      </c>
      <c r="G9562" s="200" t="s">
        <v>1209</v>
      </c>
      <c r="H9562" s="201"/>
      <c r="I9562" s="201"/>
      <c r="J9562" s="197" t="s">
        <v>46</v>
      </c>
      <c r="K9562" s="202">
        <v>70000</v>
      </c>
      <c r="L9562" s="202"/>
    </row>
    <row r="9563" spans="1:14" x14ac:dyDescent="0.2">
      <c r="A9563" s="120">
        <v>2025</v>
      </c>
      <c r="B9563" s="120">
        <v>8</v>
      </c>
      <c r="C9563" s="120">
        <v>3</v>
      </c>
      <c r="D9563" s="208">
        <f t="shared" si="1192"/>
        <v>45872</v>
      </c>
      <c r="E9563" s="209">
        <f t="shared" si="1204"/>
        <v>45872</v>
      </c>
      <c r="F9563" s="515"/>
      <c r="G9563" s="132" t="s">
        <v>1209</v>
      </c>
      <c r="J9563" s="120" t="s">
        <v>16</v>
      </c>
      <c r="K9563" s="207"/>
      <c r="L9563" s="207">
        <v>54460</v>
      </c>
    </row>
    <row r="9564" spans="1:14" x14ac:dyDescent="0.2">
      <c r="A9564" s="191">
        <v>2025</v>
      </c>
      <c r="B9564" s="191">
        <v>8</v>
      </c>
      <c r="C9564" s="191">
        <v>3</v>
      </c>
      <c r="D9564" s="192">
        <f t="shared" si="1192"/>
        <v>45872</v>
      </c>
      <c r="E9564" s="193">
        <f t="shared" si="1204"/>
        <v>45872</v>
      </c>
      <c r="F9564" s="514"/>
      <c r="G9564" s="194" t="s">
        <v>1209</v>
      </c>
      <c r="H9564" s="195"/>
      <c r="I9564" s="195"/>
      <c r="J9564" s="191" t="s">
        <v>47</v>
      </c>
      <c r="K9564" s="196"/>
      <c r="L9564" s="196">
        <v>15540</v>
      </c>
    </row>
    <row r="9565" spans="1:14" x14ac:dyDescent="0.2">
      <c r="A9565" s="197">
        <v>2025</v>
      </c>
      <c r="B9565" s="197">
        <v>8</v>
      </c>
      <c r="C9565" s="197">
        <v>3</v>
      </c>
      <c r="D9565" s="198">
        <f t="shared" si="1192"/>
        <v>45872</v>
      </c>
      <c r="E9565" s="209">
        <f t="shared" ref="E9565:E9570" si="1205">DATE(A9565,B9565,C9565)</f>
        <v>45872</v>
      </c>
      <c r="F9565" s="513" t="s">
        <v>1210</v>
      </c>
      <c r="G9565" s="200" t="s">
        <v>1209</v>
      </c>
      <c r="H9565" s="201"/>
      <c r="I9565" s="201"/>
      <c r="J9565" s="197" t="s">
        <v>46</v>
      </c>
      <c r="K9565" s="202">
        <v>6000000</v>
      </c>
      <c r="L9565" s="202"/>
    </row>
    <row r="9566" spans="1:14" x14ac:dyDescent="0.2">
      <c r="A9566" s="120">
        <v>2025</v>
      </c>
      <c r="B9566" s="120">
        <v>8</v>
      </c>
      <c r="C9566" s="120">
        <v>3</v>
      </c>
      <c r="D9566" s="208">
        <f t="shared" si="1192"/>
        <v>45872</v>
      </c>
      <c r="E9566" s="209">
        <f t="shared" si="1205"/>
        <v>45872</v>
      </c>
      <c r="F9566" s="515"/>
      <c r="G9566" s="132" t="s">
        <v>1209</v>
      </c>
      <c r="J9566" s="120" t="s">
        <v>16</v>
      </c>
      <c r="K9566" s="207"/>
      <c r="L9566" s="207">
        <v>4667810</v>
      </c>
    </row>
    <row r="9567" spans="1:14" x14ac:dyDescent="0.2">
      <c r="A9567" s="191">
        <v>2025</v>
      </c>
      <c r="B9567" s="191">
        <v>8</v>
      </c>
      <c r="C9567" s="191">
        <v>3</v>
      </c>
      <c r="D9567" s="192">
        <f t="shared" si="1192"/>
        <v>45872</v>
      </c>
      <c r="E9567" s="193">
        <f t="shared" si="1205"/>
        <v>45872</v>
      </c>
      <c r="F9567" s="514"/>
      <c r="G9567" s="194" t="s">
        <v>1209</v>
      </c>
      <c r="H9567" s="195"/>
      <c r="I9567" s="195"/>
      <c r="J9567" s="191" t="s">
        <v>47</v>
      </c>
      <c r="K9567" s="196"/>
      <c r="L9567" s="196">
        <v>1332190</v>
      </c>
    </row>
    <row r="9568" spans="1:14" x14ac:dyDescent="0.2">
      <c r="A9568" s="197">
        <v>2025</v>
      </c>
      <c r="B9568" s="197">
        <v>8</v>
      </c>
      <c r="C9568" s="197">
        <v>3</v>
      </c>
      <c r="D9568" s="198">
        <f t="shared" si="1192"/>
        <v>45872</v>
      </c>
      <c r="E9568" s="209">
        <f t="shared" si="1205"/>
        <v>45872</v>
      </c>
      <c r="F9568" s="513" t="s">
        <v>1210</v>
      </c>
      <c r="G9568" s="200" t="s">
        <v>1209</v>
      </c>
      <c r="H9568" s="201"/>
      <c r="I9568" s="201"/>
      <c r="J9568" s="197" t="s">
        <v>46</v>
      </c>
      <c r="K9568" s="202">
        <v>100000</v>
      </c>
      <c r="L9568" s="202"/>
    </row>
    <row r="9569" spans="1:15" x14ac:dyDescent="0.2">
      <c r="A9569" s="120">
        <v>2025</v>
      </c>
      <c r="B9569" s="120">
        <v>8</v>
      </c>
      <c r="C9569" s="120">
        <v>3</v>
      </c>
      <c r="D9569" s="208">
        <f t="shared" si="1192"/>
        <v>45872</v>
      </c>
      <c r="E9569" s="209">
        <f t="shared" si="1205"/>
        <v>45872</v>
      </c>
      <c r="F9569" s="515"/>
      <c r="G9569" s="132" t="s">
        <v>1209</v>
      </c>
      <c r="J9569" s="120" t="s">
        <v>16</v>
      </c>
      <c r="K9569" s="207"/>
      <c r="L9569" s="207">
        <v>77800</v>
      </c>
    </row>
    <row r="9570" spans="1:15" x14ac:dyDescent="0.2">
      <c r="A9570" s="191">
        <v>2025</v>
      </c>
      <c r="B9570" s="191">
        <v>8</v>
      </c>
      <c r="C9570" s="191">
        <v>3</v>
      </c>
      <c r="D9570" s="192">
        <f t="shared" si="1192"/>
        <v>45872</v>
      </c>
      <c r="E9570" s="193">
        <f t="shared" si="1205"/>
        <v>45872</v>
      </c>
      <c r="F9570" s="514"/>
      <c r="G9570" s="194" t="s">
        <v>1209</v>
      </c>
      <c r="H9570" s="195"/>
      <c r="I9570" s="195"/>
      <c r="J9570" s="191" t="s">
        <v>47</v>
      </c>
      <c r="K9570" s="196"/>
      <c r="L9570" s="196">
        <v>22200</v>
      </c>
    </row>
    <row r="9571" spans="1:15" x14ac:dyDescent="0.2">
      <c r="A9571" s="197">
        <v>2025</v>
      </c>
      <c r="B9571" s="197">
        <v>8</v>
      </c>
      <c r="C9571" s="197">
        <v>3</v>
      </c>
      <c r="D9571" s="198">
        <f t="shared" si="1192"/>
        <v>45872</v>
      </c>
      <c r="E9571" s="209">
        <f t="shared" ref="E9571:E9575" si="1206">DATE(A9571,B9571,C9571)</f>
        <v>45872</v>
      </c>
      <c r="F9571" s="513" t="s">
        <v>1210</v>
      </c>
      <c r="G9571" s="200" t="s">
        <v>1209</v>
      </c>
      <c r="H9571" s="201"/>
      <c r="I9571" s="201"/>
      <c r="J9571" s="197" t="s">
        <v>46</v>
      </c>
      <c r="K9571" s="202">
        <v>200000</v>
      </c>
      <c r="L9571" s="202"/>
    </row>
    <row r="9572" spans="1:15" x14ac:dyDescent="0.2">
      <c r="A9572" s="120">
        <v>2025</v>
      </c>
      <c r="B9572" s="120">
        <v>8</v>
      </c>
      <c r="C9572" s="120">
        <v>3</v>
      </c>
      <c r="D9572" s="208">
        <f t="shared" si="1192"/>
        <v>45872</v>
      </c>
      <c r="E9572" s="209">
        <f t="shared" si="1206"/>
        <v>45872</v>
      </c>
      <c r="F9572" s="515"/>
      <c r="G9572" s="132" t="s">
        <v>1209</v>
      </c>
      <c r="J9572" s="120" t="s">
        <v>16</v>
      </c>
      <c r="K9572" s="207"/>
      <c r="L9572" s="207">
        <v>155590</v>
      </c>
    </row>
    <row r="9573" spans="1:15" x14ac:dyDescent="0.2">
      <c r="A9573" s="191">
        <v>2025</v>
      </c>
      <c r="B9573" s="191">
        <v>8</v>
      </c>
      <c r="C9573" s="191">
        <v>3</v>
      </c>
      <c r="D9573" s="192">
        <f t="shared" si="1192"/>
        <v>45872</v>
      </c>
      <c r="E9573" s="193">
        <f t="shared" si="1206"/>
        <v>45872</v>
      </c>
      <c r="F9573" s="514"/>
      <c r="G9573" s="194" t="s">
        <v>1209</v>
      </c>
      <c r="H9573" s="195"/>
      <c r="I9573" s="195"/>
      <c r="J9573" s="191" t="s">
        <v>47</v>
      </c>
      <c r="K9573" s="196"/>
      <c r="L9573" s="196">
        <v>44410</v>
      </c>
    </row>
    <row r="9574" spans="1:15" ht="11.25" customHeight="1" x14ac:dyDescent="0.2">
      <c r="A9574" s="197">
        <v>2025</v>
      </c>
      <c r="B9574" s="197">
        <v>8</v>
      </c>
      <c r="C9574" s="197">
        <v>3</v>
      </c>
      <c r="D9574" s="198">
        <f t="shared" si="1192"/>
        <v>45872</v>
      </c>
      <c r="E9574" s="290">
        <f t="shared" si="1206"/>
        <v>45872</v>
      </c>
      <c r="F9574" s="513" t="s">
        <v>1514</v>
      </c>
      <c r="G9574" s="200" t="s">
        <v>1209</v>
      </c>
      <c r="H9574" s="201"/>
      <c r="I9574" s="201"/>
      <c r="J9574" s="197" t="s">
        <v>54</v>
      </c>
      <c r="K9574" s="202">
        <v>70</v>
      </c>
      <c r="L9574" s="202"/>
      <c r="M9574" s="251"/>
      <c r="N9574" s="251"/>
      <c r="O9574" s="251"/>
    </row>
    <row r="9575" spans="1:15" ht="11.25" customHeight="1" x14ac:dyDescent="0.2">
      <c r="A9575" s="191">
        <v>2025</v>
      </c>
      <c r="B9575" s="191">
        <v>8</v>
      </c>
      <c r="C9575" s="191">
        <v>3</v>
      </c>
      <c r="D9575" s="192">
        <f t="shared" si="1192"/>
        <v>45872</v>
      </c>
      <c r="E9575" s="291">
        <f t="shared" si="1206"/>
        <v>45872</v>
      </c>
      <c r="F9575" s="514"/>
      <c r="G9575" s="194" t="s">
        <v>1209</v>
      </c>
      <c r="H9575" s="195"/>
      <c r="I9575" s="195"/>
      <c r="J9575" s="191" t="s">
        <v>46</v>
      </c>
      <c r="K9575" s="196"/>
      <c r="L9575" s="196">
        <f>K9574</f>
        <v>70</v>
      </c>
      <c r="M9575" s="251"/>
    </row>
    <row r="9576" spans="1:15" x14ac:dyDescent="0.2">
      <c r="A9576" s="197">
        <v>2025</v>
      </c>
      <c r="B9576" s="197">
        <v>8</v>
      </c>
      <c r="C9576" s="197">
        <v>4</v>
      </c>
      <c r="D9576" s="198">
        <f t="shared" si="1192"/>
        <v>45873</v>
      </c>
      <c r="E9576" s="209">
        <f t="shared" ref="E9576:E9581" si="1207">DATE(A9576,B9576,C9576)</f>
        <v>45873</v>
      </c>
      <c r="F9576" s="513" t="s">
        <v>1210</v>
      </c>
      <c r="G9576" s="200" t="s">
        <v>1209</v>
      </c>
      <c r="H9576" s="201"/>
      <c r="I9576" s="201"/>
      <c r="J9576" s="197" t="s">
        <v>46</v>
      </c>
      <c r="K9576" s="202">
        <v>2000000</v>
      </c>
      <c r="L9576" s="202"/>
    </row>
    <row r="9577" spans="1:15" x14ac:dyDescent="0.2">
      <c r="A9577" s="120">
        <v>2025</v>
      </c>
      <c r="B9577" s="120">
        <v>8</v>
      </c>
      <c r="C9577" s="120">
        <v>4</v>
      </c>
      <c r="D9577" s="208">
        <f t="shared" si="1192"/>
        <v>45873</v>
      </c>
      <c r="E9577" s="209">
        <f t="shared" si="1207"/>
        <v>45873</v>
      </c>
      <c r="F9577" s="515"/>
      <c r="G9577" s="132" t="s">
        <v>1209</v>
      </c>
      <c r="J9577" s="120" t="s">
        <v>16</v>
      </c>
      <c r="K9577" s="207"/>
      <c r="L9577" s="207">
        <v>1555940</v>
      </c>
    </row>
    <row r="9578" spans="1:15" x14ac:dyDescent="0.2">
      <c r="A9578" s="191">
        <v>2025</v>
      </c>
      <c r="B9578" s="191">
        <v>8</v>
      </c>
      <c r="C9578" s="191">
        <v>4</v>
      </c>
      <c r="D9578" s="192">
        <f t="shared" si="1192"/>
        <v>45873</v>
      </c>
      <c r="E9578" s="193">
        <f t="shared" si="1207"/>
        <v>45873</v>
      </c>
      <c r="F9578" s="514"/>
      <c r="G9578" s="194" t="s">
        <v>1209</v>
      </c>
      <c r="H9578" s="195"/>
      <c r="I9578" s="195"/>
      <c r="J9578" s="191" t="s">
        <v>47</v>
      </c>
      <c r="K9578" s="196"/>
      <c r="L9578" s="196">
        <v>444060</v>
      </c>
    </row>
    <row r="9579" spans="1:15" ht="11.25" customHeight="1" x14ac:dyDescent="0.2">
      <c r="A9579" s="197">
        <v>2025</v>
      </c>
      <c r="B9579" s="197">
        <v>8</v>
      </c>
      <c r="C9579" s="197">
        <v>4</v>
      </c>
      <c r="D9579" s="198">
        <f t="shared" si="1192"/>
        <v>45873</v>
      </c>
      <c r="E9579" s="209">
        <f t="shared" si="1207"/>
        <v>45873</v>
      </c>
      <c r="F9579" s="513" t="s">
        <v>1280</v>
      </c>
      <c r="G9579" s="200" t="s">
        <v>1209</v>
      </c>
      <c r="H9579" s="201"/>
      <c r="I9579" s="201"/>
      <c r="J9579" s="197" t="s">
        <v>16</v>
      </c>
      <c r="K9579" s="202">
        <v>777970</v>
      </c>
      <c r="L9579" s="202"/>
    </row>
    <row r="9580" spans="1:15" ht="11.25" customHeight="1" x14ac:dyDescent="0.2">
      <c r="A9580" s="120">
        <v>2025</v>
      </c>
      <c r="B9580" s="120">
        <v>8</v>
      </c>
      <c r="C9580" s="120">
        <v>4</v>
      </c>
      <c r="D9580" s="208">
        <f t="shared" ref="D9580:D9643" si="1208">DATE(A9580,B9580,C9580)</f>
        <v>45873</v>
      </c>
      <c r="E9580" s="209">
        <f t="shared" si="1207"/>
        <v>45873</v>
      </c>
      <c r="F9580" s="515"/>
      <c r="G9580" s="132" t="s">
        <v>1209</v>
      </c>
      <c r="J9580" s="120" t="s">
        <v>47</v>
      </c>
      <c r="K9580" s="207">
        <v>222030</v>
      </c>
      <c r="L9580" s="207"/>
    </row>
    <row r="9581" spans="1:15" ht="11.25" customHeight="1" x14ac:dyDescent="0.2">
      <c r="A9581" s="191">
        <v>2025</v>
      </c>
      <c r="B9581" s="191">
        <v>8</v>
      </c>
      <c r="C9581" s="191">
        <v>4</v>
      </c>
      <c r="D9581" s="192">
        <f t="shared" si="1208"/>
        <v>45873</v>
      </c>
      <c r="E9581" s="193">
        <f t="shared" si="1207"/>
        <v>45873</v>
      </c>
      <c r="F9581" s="514"/>
      <c r="G9581" s="194" t="s">
        <v>1209</v>
      </c>
      <c r="H9581" s="195"/>
      <c r="I9581" s="195"/>
      <c r="J9581" s="191" t="s">
        <v>46</v>
      </c>
      <c r="K9581" s="196"/>
      <c r="L9581" s="196">
        <v>1000000</v>
      </c>
    </row>
    <row r="9582" spans="1:15" ht="11.25" customHeight="1" x14ac:dyDescent="0.2">
      <c r="A9582" s="197">
        <v>2025</v>
      </c>
      <c r="B9582" s="197">
        <v>8</v>
      </c>
      <c r="C9582" s="197">
        <v>4</v>
      </c>
      <c r="D9582" s="198">
        <f t="shared" si="1208"/>
        <v>45873</v>
      </c>
      <c r="E9582" s="209">
        <f t="shared" ref="E9582:E9584" si="1209">DATE(A9582,B9582,C9582)</f>
        <v>45873</v>
      </c>
      <c r="F9582" s="513" t="s">
        <v>1280</v>
      </c>
      <c r="G9582" s="200" t="s">
        <v>1209</v>
      </c>
      <c r="H9582" s="201"/>
      <c r="I9582" s="201"/>
      <c r="J9582" s="197" t="s">
        <v>16</v>
      </c>
      <c r="K9582" s="202">
        <v>2333900</v>
      </c>
      <c r="L9582" s="202"/>
    </row>
    <row r="9583" spans="1:15" ht="11.25" customHeight="1" x14ac:dyDescent="0.2">
      <c r="A9583" s="120">
        <v>2025</v>
      </c>
      <c r="B9583" s="120">
        <v>8</v>
      </c>
      <c r="C9583" s="120">
        <v>4</v>
      </c>
      <c r="D9583" s="208">
        <f t="shared" si="1208"/>
        <v>45873</v>
      </c>
      <c r="E9583" s="209">
        <f t="shared" si="1209"/>
        <v>45873</v>
      </c>
      <c r="F9583" s="515"/>
      <c r="G9583" s="132" t="s">
        <v>1209</v>
      </c>
      <c r="J9583" s="120" t="s">
        <v>47</v>
      </c>
      <c r="K9583" s="207">
        <v>666100</v>
      </c>
      <c r="L9583" s="207"/>
    </row>
    <row r="9584" spans="1:15" ht="11.25" customHeight="1" x14ac:dyDescent="0.2">
      <c r="A9584" s="191">
        <v>2025</v>
      </c>
      <c r="B9584" s="191">
        <v>8</v>
      </c>
      <c r="C9584" s="191">
        <v>4</v>
      </c>
      <c r="D9584" s="192">
        <f t="shared" si="1208"/>
        <v>45873</v>
      </c>
      <c r="E9584" s="193">
        <f t="shared" si="1209"/>
        <v>45873</v>
      </c>
      <c r="F9584" s="514"/>
      <c r="G9584" s="194" t="s">
        <v>1209</v>
      </c>
      <c r="H9584" s="195"/>
      <c r="I9584" s="195"/>
      <c r="J9584" s="191" t="s">
        <v>46</v>
      </c>
      <c r="K9584" s="196"/>
      <c r="L9584" s="196">
        <v>3000000</v>
      </c>
    </row>
    <row r="9585" spans="1:15" ht="11.25" customHeight="1" x14ac:dyDescent="0.2">
      <c r="A9585" s="197">
        <v>2025</v>
      </c>
      <c r="B9585" s="197">
        <v>8</v>
      </c>
      <c r="C9585" s="197">
        <v>4</v>
      </c>
      <c r="D9585" s="198">
        <f t="shared" si="1208"/>
        <v>45873</v>
      </c>
      <c r="E9585" s="209">
        <f t="shared" ref="E9585:E9600" si="1210">DATE(A9585,B9585,C9585)</f>
        <v>45873</v>
      </c>
      <c r="F9585" s="513" t="s">
        <v>1280</v>
      </c>
      <c r="G9585" s="200" t="s">
        <v>1209</v>
      </c>
      <c r="H9585" s="201"/>
      <c r="I9585" s="201"/>
      <c r="J9585" s="197" t="s">
        <v>16</v>
      </c>
      <c r="K9585" s="202">
        <v>100000</v>
      </c>
      <c r="L9585" s="202"/>
    </row>
    <row r="9586" spans="1:15" ht="11.25" customHeight="1" x14ac:dyDescent="0.2">
      <c r="A9586" s="120">
        <v>2025</v>
      </c>
      <c r="B9586" s="120">
        <v>8</v>
      </c>
      <c r="C9586" s="120">
        <v>4</v>
      </c>
      <c r="D9586" s="208">
        <f t="shared" si="1208"/>
        <v>45873</v>
      </c>
      <c r="E9586" s="209">
        <f t="shared" si="1210"/>
        <v>45873</v>
      </c>
      <c r="F9586" s="515"/>
      <c r="G9586" s="132" t="s">
        <v>1209</v>
      </c>
      <c r="J9586" s="120" t="s">
        <v>47</v>
      </c>
      <c r="K9586" s="207">
        <v>28540</v>
      </c>
      <c r="L9586" s="207"/>
    </row>
    <row r="9587" spans="1:15" ht="11.25" customHeight="1" x14ac:dyDescent="0.2">
      <c r="A9587" s="191">
        <v>2025</v>
      </c>
      <c r="B9587" s="191">
        <v>8</v>
      </c>
      <c r="C9587" s="191">
        <v>4</v>
      </c>
      <c r="D9587" s="192">
        <f t="shared" si="1208"/>
        <v>45873</v>
      </c>
      <c r="E9587" s="193">
        <f t="shared" si="1210"/>
        <v>45873</v>
      </c>
      <c r="F9587" s="514"/>
      <c r="G9587" s="194" t="s">
        <v>1209</v>
      </c>
      <c r="H9587" s="195"/>
      <c r="I9587" s="195"/>
      <c r="J9587" s="191" t="s">
        <v>46</v>
      </c>
      <c r="K9587" s="196"/>
      <c r="L9587" s="196">
        <v>128540</v>
      </c>
    </row>
    <row r="9588" spans="1:15" ht="11.25" customHeight="1" x14ac:dyDescent="0.2">
      <c r="A9588" s="197">
        <v>2025</v>
      </c>
      <c r="B9588" s="197">
        <v>8</v>
      </c>
      <c r="C9588" s="197">
        <v>4</v>
      </c>
      <c r="D9588" s="198">
        <f t="shared" si="1208"/>
        <v>45873</v>
      </c>
      <c r="E9588" s="290">
        <f t="shared" si="1210"/>
        <v>45873</v>
      </c>
      <c r="F9588" s="513" t="s">
        <v>1514</v>
      </c>
      <c r="G9588" s="200" t="s">
        <v>1209</v>
      </c>
      <c r="H9588" s="201"/>
      <c r="I9588" s="201"/>
      <c r="J9588" s="197" t="s">
        <v>54</v>
      </c>
      <c r="K9588" s="202">
        <v>160</v>
      </c>
      <c r="L9588" s="202"/>
      <c r="M9588" s="251"/>
      <c r="N9588" s="251"/>
      <c r="O9588" s="251"/>
    </row>
    <row r="9589" spans="1:15" ht="11.25" customHeight="1" x14ac:dyDescent="0.2">
      <c r="A9589" s="191">
        <v>2025</v>
      </c>
      <c r="B9589" s="191">
        <v>8</v>
      </c>
      <c r="C9589" s="191">
        <v>4</v>
      </c>
      <c r="D9589" s="192">
        <f t="shared" si="1208"/>
        <v>45873</v>
      </c>
      <c r="E9589" s="291">
        <f t="shared" si="1210"/>
        <v>45873</v>
      </c>
      <c r="F9589" s="514"/>
      <c r="G9589" s="194" t="s">
        <v>1209</v>
      </c>
      <c r="H9589" s="195"/>
      <c r="I9589" s="195"/>
      <c r="J9589" s="191" t="s">
        <v>46</v>
      </c>
      <c r="K9589" s="196"/>
      <c r="L9589" s="196">
        <f>K9588</f>
        <v>160</v>
      </c>
      <c r="M9589" s="251"/>
    </row>
    <row r="9590" spans="1:15" ht="11.25" customHeight="1" x14ac:dyDescent="0.2">
      <c r="A9590" s="120">
        <v>2025</v>
      </c>
      <c r="B9590" s="197">
        <v>8</v>
      </c>
      <c r="C9590" s="197">
        <v>4</v>
      </c>
      <c r="D9590" s="208">
        <f t="shared" si="1208"/>
        <v>45873</v>
      </c>
      <c r="E9590" s="209">
        <f>DATE(A9590,B9590,C9590)</f>
        <v>45873</v>
      </c>
      <c r="F9590" s="515" t="s">
        <v>1922</v>
      </c>
      <c r="G9590" s="132" t="s">
        <v>1209</v>
      </c>
      <c r="H9590" s="132"/>
      <c r="J9590" s="120" t="s">
        <v>457</v>
      </c>
      <c r="K9590" s="202">
        <v>103140.78</v>
      </c>
      <c r="L9590" s="207"/>
    </row>
    <row r="9591" spans="1:15" ht="11.25" customHeight="1" x14ac:dyDescent="0.2">
      <c r="A9591" s="120">
        <v>2025</v>
      </c>
      <c r="B9591" s="120">
        <v>8</v>
      </c>
      <c r="C9591" s="120">
        <v>4</v>
      </c>
      <c r="D9591" s="208">
        <f t="shared" si="1208"/>
        <v>45873</v>
      </c>
      <c r="E9591" s="209">
        <f>DATE(A9591,B9591,C9591)</f>
        <v>45873</v>
      </c>
      <c r="F9591" s="515"/>
      <c r="G9591" s="132" t="s">
        <v>1209</v>
      </c>
      <c r="H9591" s="132"/>
      <c r="J9591" s="120" t="s">
        <v>457</v>
      </c>
      <c r="K9591" s="207">
        <v>2.5</v>
      </c>
      <c r="L9591" s="207"/>
    </row>
    <row r="9592" spans="1:15" ht="11.25" customHeight="1" x14ac:dyDescent="0.2">
      <c r="A9592" s="191">
        <v>2025</v>
      </c>
      <c r="B9592" s="191">
        <v>8</v>
      </c>
      <c r="C9592" s="191">
        <v>4</v>
      </c>
      <c r="D9592" s="192">
        <f t="shared" si="1208"/>
        <v>45873</v>
      </c>
      <c r="E9592" s="291">
        <f t="shared" ref="E9592:E9597" si="1211">DATE(A9592,B9592,C9592)</f>
        <v>45873</v>
      </c>
      <c r="F9592" s="514"/>
      <c r="G9592" s="194" t="s">
        <v>1209</v>
      </c>
      <c r="H9592" s="195"/>
      <c r="I9592" s="195" t="s">
        <v>1253</v>
      </c>
      <c r="J9592" s="191" t="s">
        <v>46</v>
      </c>
      <c r="K9592" s="196"/>
      <c r="L9592" s="196">
        <v>103143.28</v>
      </c>
    </row>
    <row r="9593" spans="1:15" ht="11.25" customHeight="1" x14ac:dyDescent="0.2">
      <c r="A9593" s="197">
        <v>2025</v>
      </c>
      <c r="B9593" s="197">
        <v>8</v>
      </c>
      <c r="C9593" s="197">
        <v>4</v>
      </c>
      <c r="D9593" s="198">
        <f t="shared" si="1208"/>
        <v>45873</v>
      </c>
      <c r="E9593" s="290">
        <f t="shared" si="1211"/>
        <v>45873</v>
      </c>
      <c r="F9593" s="513" t="s">
        <v>2035</v>
      </c>
      <c r="G9593" s="200" t="s">
        <v>1245</v>
      </c>
      <c r="H9593" s="201"/>
      <c r="I9593" s="201" t="s">
        <v>1253</v>
      </c>
      <c r="J9593" s="197" t="s">
        <v>46</v>
      </c>
      <c r="K9593" s="202">
        <v>142333.24</v>
      </c>
      <c r="L9593" s="202"/>
      <c r="M9593" s="130"/>
    </row>
    <row r="9594" spans="1:15" ht="11.25" customHeight="1" x14ac:dyDescent="0.2">
      <c r="A9594" s="191">
        <v>2025</v>
      </c>
      <c r="B9594" s="191">
        <v>8</v>
      </c>
      <c r="C9594" s="191">
        <v>4</v>
      </c>
      <c r="D9594" s="192">
        <f t="shared" si="1208"/>
        <v>45873</v>
      </c>
      <c r="E9594" s="291">
        <f t="shared" si="1211"/>
        <v>45873</v>
      </c>
      <c r="F9594" s="513"/>
      <c r="G9594" s="194" t="s">
        <v>1245</v>
      </c>
      <c r="H9594" s="195"/>
      <c r="I9594" s="195" t="s">
        <v>1253</v>
      </c>
      <c r="J9594" s="191" t="s">
        <v>113</v>
      </c>
      <c r="K9594" s="196"/>
      <c r="L9594" s="196">
        <v>142333.24</v>
      </c>
    </row>
    <row r="9595" spans="1:15" ht="11.25" customHeight="1" x14ac:dyDescent="0.2">
      <c r="A9595" s="197">
        <v>2025</v>
      </c>
      <c r="B9595" s="197">
        <v>8</v>
      </c>
      <c r="C9595" s="197">
        <v>4</v>
      </c>
      <c r="D9595" s="198">
        <f t="shared" si="1208"/>
        <v>45873</v>
      </c>
      <c r="E9595" s="199">
        <f t="shared" si="1211"/>
        <v>45873</v>
      </c>
      <c r="F9595" s="513" t="s">
        <v>2012</v>
      </c>
      <c r="G9595" s="200" t="s">
        <v>1209</v>
      </c>
      <c r="H9595" s="201"/>
      <c r="I9595" s="201" t="s">
        <v>1253</v>
      </c>
      <c r="J9595" s="197" t="s">
        <v>46</v>
      </c>
      <c r="K9595" s="202">
        <v>4935624.59</v>
      </c>
      <c r="L9595" s="202"/>
    </row>
    <row r="9596" spans="1:15" ht="11.25" customHeight="1" x14ac:dyDescent="0.2">
      <c r="A9596" s="120">
        <v>2025</v>
      </c>
      <c r="B9596" s="120">
        <v>8</v>
      </c>
      <c r="C9596" s="120">
        <v>4</v>
      </c>
      <c r="D9596" s="208">
        <f t="shared" si="1208"/>
        <v>45873</v>
      </c>
      <c r="E9596" s="209">
        <f t="shared" si="1211"/>
        <v>45873</v>
      </c>
      <c r="F9596" s="515"/>
      <c r="G9596" s="132" t="s">
        <v>1209</v>
      </c>
      <c r="J9596" s="120" t="s">
        <v>1463</v>
      </c>
      <c r="K9596" s="328"/>
      <c r="L9596" s="207">
        <v>155311.54000000004</v>
      </c>
    </row>
    <row r="9597" spans="1:15" ht="11.25" customHeight="1" x14ac:dyDescent="0.2">
      <c r="A9597" s="191">
        <v>2025</v>
      </c>
      <c r="B9597" s="191">
        <v>8</v>
      </c>
      <c r="C9597" s="191">
        <v>4</v>
      </c>
      <c r="D9597" s="192">
        <f t="shared" si="1208"/>
        <v>45873</v>
      </c>
      <c r="E9597" s="193">
        <f t="shared" si="1211"/>
        <v>45873</v>
      </c>
      <c r="F9597" s="514"/>
      <c r="G9597" s="194" t="s">
        <v>1209</v>
      </c>
      <c r="H9597" s="195"/>
      <c r="I9597" s="195" t="s">
        <v>1253</v>
      </c>
      <c r="J9597" s="191" t="s">
        <v>1837</v>
      </c>
      <c r="K9597" s="196"/>
      <c r="L9597" s="196">
        <v>4780313.05</v>
      </c>
      <c r="N9597" s="130"/>
    </row>
    <row r="9598" spans="1:15" x14ac:dyDescent="0.2">
      <c r="A9598" s="197">
        <v>2025</v>
      </c>
      <c r="B9598" s="197">
        <v>8</v>
      </c>
      <c r="C9598" s="197">
        <v>5</v>
      </c>
      <c r="D9598" s="198">
        <f t="shared" si="1208"/>
        <v>45874</v>
      </c>
      <c r="E9598" s="209">
        <f t="shared" si="1210"/>
        <v>45874</v>
      </c>
      <c r="F9598" s="513" t="s">
        <v>1296</v>
      </c>
      <c r="G9598" s="200" t="s">
        <v>1209</v>
      </c>
      <c r="H9598" s="201"/>
      <c r="I9598" s="201"/>
      <c r="J9598" s="197" t="s">
        <v>46</v>
      </c>
      <c r="K9598" s="202">
        <v>157000</v>
      </c>
      <c r="L9598" s="202"/>
    </row>
    <row r="9599" spans="1:15" x14ac:dyDescent="0.2">
      <c r="A9599" s="120">
        <v>2025</v>
      </c>
      <c r="B9599" s="120">
        <v>8</v>
      </c>
      <c r="C9599" s="120">
        <v>5</v>
      </c>
      <c r="D9599" s="208">
        <f t="shared" si="1208"/>
        <v>45874</v>
      </c>
      <c r="E9599" s="209">
        <f t="shared" si="1210"/>
        <v>45874</v>
      </c>
      <c r="F9599" s="515"/>
      <c r="G9599" s="132" t="s">
        <v>1209</v>
      </c>
      <c r="J9599" s="120" t="s">
        <v>16</v>
      </c>
      <c r="K9599" s="207"/>
      <c r="L9599" s="207">
        <v>122150</v>
      </c>
    </row>
    <row r="9600" spans="1:15" x14ac:dyDescent="0.2">
      <c r="A9600" s="191">
        <v>2025</v>
      </c>
      <c r="B9600" s="191">
        <v>8</v>
      </c>
      <c r="C9600" s="191">
        <v>5</v>
      </c>
      <c r="D9600" s="192">
        <f t="shared" si="1208"/>
        <v>45874</v>
      </c>
      <c r="E9600" s="193">
        <f t="shared" si="1210"/>
        <v>45874</v>
      </c>
      <c r="F9600" s="514"/>
      <c r="G9600" s="194" t="s">
        <v>1209</v>
      </c>
      <c r="H9600" s="195"/>
      <c r="I9600" s="195"/>
      <c r="J9600" s="191" t="s">
        <v>47</v>
      </c>
      <c r="K9600" s="196"/>
      <c r="L9600" s="196">
        <v>34850</v>
      </c>
    </row>
    <row r="9601" spans="1:12" ht="11.25" customHeight="1" x14ac:dyDescent="0.2">
      <c r="A9601" s="197">
        <v>2025</v>
      </c>
      <c r="B9601" s="197">
        <v>8</v>
      </c>
      <c r="C9601" s="197">
        <v>6</v>
      </c>
      <c r="D9601" s="198">
        <f t="shared" si="1208"/>
        <v>45875</v>
      </c>
      <c r="E9601" s="209">
        <f t="shared" ref="E9601:E9603" si="1212">DATE(A9601,B9601,C9601)</f>
        <v>45875</v>
      </c>
      <c r="F9601" s="513" t="s">
        <v>1280</v>
      </c>
      <c r="G9601" s="200" t="s">
        <v>1209</v>
      </c>
      <c r="H9601" s="201"/>
      <c r="I9601" s="201"/>
      <c r="J9601" s="197" t="s">
        <v>16</v>
      </c>
      <c r="K9601" s="202">
        <v>3300</v>
      </c>
      <c r="L9601" s="202"/>
    </row>
    <row r="9602" spans="1:12" ht="11.25" customHeight="1" x14ac:dyDescent="0.2">
      <c r="A9602" s="120">
        <v>2025</v>
      </c>
      <c r="B9602" s="120">
        <v>8</v>
      </c>
      <c r="C9602" s="120">
        <v>6</v>
      </c>
      <c r="D9602" s="208">
        <f t="shared" si="1208"/>
        <v>45875</v>
      </c>
      <c r="E9602" s="209">
        <f t="shared" si="1212"/>
        <v>45875</v>
      </c>
      <c r="F9602" s="515"/>
      <c r="G9602" s="132" t="s">
        <v>1209</v>
      </c>
      <c r="J9602" s="120" t="s">
        <v>47</v>
      </c>
      <c r="K9602" s="207">
        <v>941.81999999999971</v>
      </c>
      <c r="L9602" s="207"/>
    </row>
    <row r="9603" spans="1:12" ht="11.25" customHeight="1" x14ac:dyDescent="0.2">
      <c r="A9603" s="191">
        <v>2025</v>
      </c>
      <c r="B9603" s="191">
        <v>8</v>
      </c>
      <c r="C9603" s="191">
        <v>6</v>
      </c>
      <c r="D9603" s="192">
        <f t="shared" si="1208"/>
        <v>45875</v>
      </c>
      <c r="E9603" s="193">
        <f t="shared" si="1212"/>
        <v>45875</v>
      </c>
      <c r="F9603" s="514"/>
      <c r="G9603" s="194" t="s">
        <v>1209</v>
      </c>
      <c r="H9603" s="195"/>
      <c r="I9603" s="195"/>
      <c r="J9603" s="191" t="s">
        <v>46</v>
      </c>
      <c r="K9603" s="196"/>
      <c r="L9603" s="196">
        <v>4241.82</v>
      </c>
    </row>
    <row r="9604" spans="1:12" ht="11.25" customHeight="1" x14ac:dyDescent="0.2">
      <c r="A9604" s="197">
        <v>2025</v>
      </c>
      <c r="B9604" s="197">
        <v>8</v>
      </c>
      <c r="C9604" s="197">
        <v>6</v>
      </c>
      <c r="D9604" s="198">
        <f t="shared" si="1208"/>
        <v>45875</v>
      </c>
      <c r="E9604" s="209">
        <f t="shared" ref="E9604:E9606" si="1213">DATE(A9604,B9604,C9604)</f>
        <v>45875</v>
      </c>
      <c r="F9604" s="513" t="s">
        <v>1280</v>
      </c>
      <c r="G9604" s="200" t="s">
        <v>1209</v>
      </c>
      <c r="H9604" s="201"/>
      <c r="I9604" s="201"/>
      <c r="J9604" s="197" t="s">
        <v>16</v>
      </c>
      <c r="K9604" s="202">
        <v>12280</v>
      </c>
      <c r="L9604" s="202"/>
    </row>
    <row r="9605" spans="1:12" ht="11.25" customHeight="1" x14ac:dyDescent="0.2">
      <c r="A9605" s="120">
        <v>2025</v>
      </c>
      <c r="B9605" s="120">
        <v>8</v>
      </c>
      <c r="C9605" s="120">
        <v>6</v>
      </c>
      <c r="D9605" s="208">
        <f t="shared" si="1208"/>
        <v>45875</v>
      </c>
      <c r="E9605" s="209">
        <f t="shared" si="1213"/>
        <v>45875</v>
      </c>
      <c r="F9605" s="515"/>
      <c r="G9605" s="132" t="s">
        <v>1209</v>
      </c>
      <c r="J9605" s="120" t="s">
        <v>47</v>
      </c>
      <c r="K9605" s="207">
        <v>3504.7119999999995</v>
      </c>
      <c r="L9605" s="207"/>
    </row>
    <row r="9606" spans="1:12" ht="11.25" customHeight="1" x14ac:dyDescent="0.2">
      <c r="A9606" s="191">
        <v>2025</v>
      </c>
      <c r="B9606" s="191">
        <v>8</v>
      </c>
      <c r="C9606" s="191">
        <v>6</v>
      </c>
      <c r="D9606" s="192">
        <f t="shared" si="1208"/>
        <v>45875</v>
      </c>
      <c r="E9606" s="193">
        <f t="shared" si="1213"/>
        <v>45875</v>
      </c>
      <c r="F9606" s="514"/>
      <c r="G9606" s="194" t="s">
        <v>1209</v>
      </c>
      <c r="H9606" s="195"/>
      <c r="I9606" s="195"/>
      <c r="J9606" s="191" t="s">
        <v>46</v>
      </c>
      <c r="K9606" s="196"/>
      <c r="L9606" s="196">
        <v>15784.712</v>
      </c>
    </row>
    <row r="9607" spans="1:12" ht="11.25" customHeight="1" x14ac:dyDescent="0.2">
      <c r="A9607" s="197">
        <v>2025</v>
      </c>
      <c r="B9607" s="197">
        <v>8</v>
      </c>
      <c r="C9607" s="197">
        <v>6</v>
      </c>
      <c r="D9607" s="198">
        <f t="shared" si="1208"/>
        <v>45875</v>
      </c>
      <c r="E9607" s="209">
        <f t="shared" ref="E9607:E9617" si="1214">DATE(A9607,B9607,C9607)</f>
        <v>45875</v>
      </c>
      <c r="F9607" s="513" t="s">
        <v>1280</v>
      </c>
      <c r="G9607" s="200" t="s">
        <v>1209</v>
      </c>
      <c r="H9607" s="201"/>
      <c r="I9607" s="201"/>
      <c r="J9607" s="197" t="s">
        <v>16</v>
      </c>
      <c r="K9607" s="202">
        <v>268500</v>
      </c>
      <c r="L9607" s="202"/>
    </row>
    <row r="9608" spans="1:12" ht="11.25" customHeight="1" x14ac:dyDescent="0.2">
      <c r="A9608" s="120">
        <v>2025</v>
      </c>
      <c r="B9608" s="120">
        <v>8</v>
      </c>
      <c r="C9608" s="120">
        <v>6</v>
      </c>
      <c r="D9608" s="208">
        <f t="shared" si="1208"/>
        <v>45875</v>
      </c>
      <c r="E9608" s="209">
        <f t="shared" si="1214"/>
        <v>45875</v>
      </c>
      <c r="F9608" s="515"/>
      <c r="G9608" s="132" t="s">
        <v>1209</v>
      </c>
      <c r="J9608" s="120" t="s">
        <v>47</v>
      </c>
      <c r="K9608" s="207">
        <v>76629.900000000023</v>
      </c>
      <c r="L9608" s="207"/>
    </row>
    <row r="9609" spans="1:12" ht="11.25" customHeight="1" x14ac:dyDescent="0.2">
      <c r="A9609" s="191">
        <v>2025</v>
      </c>
      <c r="B9609" s="191">
        <v>8</v>
      </c>
      <c r="C9609" s="191">
        <v>6</v>
      </c>
      <c r="D9609" s="192">
        <f t="shared" si="1208"/>
        <v>45875</v>
      </c>
      <c r="E9609" s="193">
        <f t="shared" si="1214"/>
        <v>45875</v>
      </c>
      <c r="F9609" s="514"/>
      <c r="G9609" s="194" t="s">
        <v>1209</v>
      </c>
      <c r="H9609" s="195"/>
      <c r="I9609" s="195"/>
      <c r="J9609" s="191" t="s">
        <v>46</v>
      </c>
      <c r="K9609" s="196"/>
      <c r="L9609" s="196">
        <v>345129.9</v>
      </c>
    </row>
    <row r="9610" spans="1:12" ht="11.25" customHeight="1" x14ac:dyDescent="0.2">
      <c r="A9610" s="197">
        <v>2025</v>
      </c>
      <c r="B9610" s="197">
        <v>8</v>
      </c>
      <c r="C9610" s="197">
        <v>6</v>
      </c>
      <c r="D9610" s="198">
        <f t="shared" si="1208"/>
        <v>45875</v>
      </c>
      <c r="E9610" s="209">
        <f t="shared" ref="E9610:E9614" si="1215">DATE(A9610,B9610,C9610)</f>
        <v>45875</v>
      </c>
      <c r="F9610" s="513" t="s">
        <v>1280</v>
      </c>
      <c r="G9610" s="200" t="s">
        <v>1209</v>
      </c>
      <c r="H9610" s="201"/>
      <c r="I9610" s="201"/>
      <c r="J9610" s="197" t="s">
        <v>16</v>
      </c>
      <c r="K9610" s="202">
        <v>116700</v>
      </c>
      <c r="L9610" s="202"/>
    </row>
    <row r="9611" spans="1:12" ht="11.25" customHeight="1" x14ac:dyDescent="0.2">
      <c r="A9611" s="120">
        <v>2025</v>
      </c>
      <c r="B9611" s="120">
        <v>8</v>
      </c>
      <c r="C9611" s="120">
        <v>6</v>
      </c>
      <c r="D9611" s="208">
        <f t="shared" si="1208"/>
        <v>45875</v>
      </c>
      <c r="E9611" s="209">
        <f t="shared" si="1215"/>
        <v>45875</v>
      </c>
      <c r="F9611" s="515"/>
      <c r="G9611" s="132" t="s">
        <v>1209</v>
      </c>
      <c r="J9611" s="120" t="s">
        <v>47</v>
      </c>
      <c r="K9611" s="207">
        <v>33300</v>
      </c>
      <c r="L9611" s="207"/>
    </row>
    <row r="9612" spans="1:12" ht="11.25" customHeight="1" x14ac:dyDescent="0.2">
      <c r="A9612" s="191">
        <v>2025</v>
      </c>
      <c r="B9612" s="191">
        <v>8</v>
      </c>
      <c r="C9612" s="191">
        <v>6</v>
      </c>
      <c r="D9612" s="192">
        <f t="shared" si="1208"/>
        <v>45875</v>
      </c>
      <c r="E9612" s="193">
        <f t="shared" si="1215"/>
        <v>45875</v>
      </c>
      <c r="F9612" s="514"/>
      <c r="G9612" s="194" t="s">
        <v>1209</v>
      </c>
      <c r="H9612" s="195"/>
      <c r="I9612" s="195"/>
      <c r="J9612" s="191" t="s">
        <v>46</v>
      </c>
      <c r="K9612" s="196"/>
      <c r="L9612" s="196">
        <v>150000</v>
      </c>
    </row>
    <row r="9613" spans="1:12" ht="11.25" customHeight="1" x14ac:dyDescent="0.2">
      <c r="A9613" s="197">
        <v>2025</v>
      </c>
      <c r="B9613" s="197">
        <v>8</v>
      </c>
      <c r="C9613" s="197">
        <v>6</v>
      </c>
      <c r="D9613" s="198">
        <f t="shared" si="1208"/>
        <v>45875</v>
      </c>
      <c r="E9613" s="199">
        <f t="shared" si="1215"/>
        <v>45875</v>
      </c>
      <c r="F9613" s="513" t="s">
        <v>2068</v>
      </c>
      <c r="G9613" s="200" t="s">
        <v>1209</v>
      </c>
      <c r="H9613" s="201"/>
      <c r="I9613" s="201"/>
      <c r="J9613" s="197" t="s">
        <v>46</v>
      </c>
      <c r="K9613" s="202">
        <v>201355</v>
      </c>
      <c r="L9613" s="202"/>
    </row>
    <row r="9614" spans="1:12" ht="11.25" customHeight="1" x14ac:dyDescent="0.2">
      <c r="A9614" s="191">
        <v>2025</v>
      </c>
      <c r="B9614" s="191">
        <v>8</v>
      </c>
      <c r="C9614" s="191">
        <v>6</v>
      </c>
      <c r="D9614" s="192">
        <f t="shared" si="1208"/>
        <v>45875</v>
      </c>
      <c r="E9614" s="193">
        <f t="shared" si="1215"/>
        <v>45875</v>
      </c>
      <c r="F9614" s="514"/>
      <c r="G9614" s="194" t="s">
        <v>1209</v>
      </c>
      <c r="H9614" s="195"/>
      <c r="I9614" s="195"/>
      <c r="J9614" s="191" t="s">
        <v>171</v>
      </c>
      <c r="K9614" s="196"/>
      <c r="L9614" s="196">
        <v>201355</v>
      </c>
    </row>
    <row r="9615" spans="1:12" x14ac:dyDescent="0.2">
      <c r="A9615" s="197">
        <v>2025</v>
      </c>
      <c r="B9615" s="197">
        <v>8</v>
      </c>
      <c r="C9615" s="197">
        <v>7</v>
      </c>
      <c r="D9615" s="198">
        <f t="shared" si="1208"/>
        <v>45876</v>
      </c>
      <c r="E9615" s="209">
        <f t="shared" si="1214"/>
        <v>45876</v>
      </c>
      <c r="F9615" s="513" t="s">
        <v>1210</v>
      </c>
      <c r="G9615" s="200" t="s">
        <v>1209</v>
      </c>
      <c r="H9615" s="201"/>
      <c r="I9615" s="201"/>
      <c r="J9615" s="197" t="s">
        <v>46</v>
      </c>
      <c r="K9615" s="202">
        <v>300000</v>
      </c>
      <c r="L9615" s="202"/>
    </row>
    <row r="9616" spans="1:12" x14ac:dyDescent="0.2">
      <c r="A9616" s="120">
        <v>2025</v>
      </c>
      <c r="B9616" s="120">
        <v>8</v>
      </c>
      <c r="C9616" s="120">
        <v>7</v>
      </c>
      <c r="D9616" s="208">
        <f t="shared" si="1208"/>
        <v>45876</v>
      </c>
      <c r="E9616" s="209">
        <f t="shared" si="1214"/>
        <v>45876</v>
      </c>
      <c r="F9616" s="515"/>
      <c r="G9616" s="132" t="s">
        <v>1209</v>
      </c>
      <c r="J9616" s="120" t="s">
        <v>16</v>
      </c>
      <c r="K9616" s="207"/>
      <c r="L9616" s="207">
        <v>233390</v>
      </c>
    </row>
    <row r="9617" spans="1:12" x14ac:dyDescent="0.2">
      <c r="A9617" s="191">
        <v>2025</v>
      </c>
      <c r="B9617" s="191">
        <v>8</v>
      </c>
      <c r="C9617" s="191">
        <v>7</v>
      </c>
      <c r="D9617" s="192">
        <f t="shared" si="1208"/>
        <v>45876</v>
      </c>
      <c r="E9617" s="193">
        <f t="shared" si="1214"/>
        <v>45876</v>
      </c>
      <c r="F9617" s="514"/>
      <c r="G9617" s="194" t="s">
        <v>1209</v>
      </c>
      <c r="H9617" s="195"/>
      <c r="I9617" s="195"/>
      <c r="J9617" s="191" t="s">
        <v>47</v>
      </c>
      <c r="K9617" s="196"/>
      <c r="L9617" s="196">
        <v>66610</v>
      </c>
    </row>
    <row r="9618" spans="1:12" x14ac:dyDescent="0.2">
      <c r="A9618" s="197">
        <v>2025</v>
      </c>
      <c r="B9618" s="197">
        <v>8</v>
      </c>
      <c r="C9618" s="197">
        <v>7</v>
      </c>
      <c r="D9618" s="198">
        <f t="shared" si="1208"/>
        <v>45876</v>
      </c>
      <c r="E9618" s="209">
        <f t="shared" ref="E9618:E9620" si="1216">DATE(A9618,B9618,C9618)</f>
        <v>45876</v>
      </c>
      <c r="F9618" s="513" t="s">
        <v>1210</v>
      </c>
      <c r="G9618" s="200" t="s">
        <v>1209</v>
      </c>
      <c r="H9618" s="201"/>
      <c r="I9618" s="201"/>
      <c r="J9618" s="197" t="s">
        <v>46</v>
      </c>
      <c r="K9618" s="202">
        <v>300000</v>
      </c>
      <c r="L9618" s="202"/>
    </row>
    <row r="9619" spans="1:12" x14ac:dyDescent="0.2">
      <c r="A9619" s="120">
        <v>2025</v>
      </c>
      <c r="B9619" s="120">
        <v>8</v>
      </c>
      <c r="C9619" s="120">
        <v>7</v>
      </c>
      <c r="D9619" s="208">
        <f t="shared" si="1208"/>
        <v>45876</v>
      </c>
      <c r="E9619" s="209">
        <f t="shared" si="1216"/>
        <v>45876</v>
      </c>
      <c r="F9619" s="515"/>
      <c r="G9619" s="132" t="s">
        <v>1209</v>
      </c>
      <c r="J9619" s="120" t="s">
        <v>16</v>
      </c>
      <c r="K9619" s="207"/>
      <c r="L9619" s="207">
        <v>233390</v>
      </c>
    </row>
    <row r="9620" spans="1:12" x14ac:dyDescent="0.2">
      <c r="A9620" s="191">
        <v>2025</v>
      </c>
      <c r="B9620" s="191">
        <v>8</v>
      </c>
      <c r="C9620" s="191">
        <v>7</v>
      </c>
      <c r="D9620" s="192">
        <f t="shared" si="1208"/>
        <v>45876</v>
      </c>
      <c r="E9620" s="193">
        <f t="shared" si="1216"/>
        <v>45876</v>
      </c>
      <c r="F9620" s="514"/>
      <c r="G9620" s="194" t="s">
        <v>1209</v>
      </c>
      <c r="H9620" s="195"/>
      <c r="I9620" s="195"/>
      <c r="J9620" s="191" t="s">
        <v>47</v>
      </c>
      <c r="K9620" s="196"/>
      <c r="L9620" s="196">
        <v>66610</v>
      </c>
    </row>
    <row r="9621" spans="1:12" x14ac:dyDescent="0.2">
      <c r="A9621" s="197">
        <v>2025</v>
      </c>
      <c r="B9621" s="197">
        <v>8</v>
      </c>
      <c r="C9621" s="197">
        <v>7</v>
      </c>
      <c r="D9621" s="198">
        <f t="shared" si="1208"/>
        <v>45876</v>
      </c>
      <c r="E9621" s="209">
        <f t="shared" ref="E9621:E9623" si="1217">DATE(A9621,B9621,C9621)</f>
        <v>45876</v>
      </c>
      <c r="F9621" s="513" t="s">
        <v>1210</v>
      </c>
      <c r="G9621" s="200" t="s">
        <v>1209</v>
      </c>
      <c r="H9621" s="201"/>
      <c r="I9621" s="201"/>
      <c r="J9621" s="197" t="s">
        <v>46</v>
      </c>
      <c r="K9621" s="202">
        <v>50000</v>
      </c>
      <c r="L9621" s="202"/>
    </row>
    <row r="9622" spans="1:12" x14ac:dyDescent="0.2">
      <c r="A9622" s="120">
        <v>2025</v>
      </c>
      <c r="B9622" s="120">
        <v>8</v>
      </c>
      <c r="C9622" s="120">
        <v>7</v>
      </c>
      <c r="D9622" s="208">
        <f t="shared" si="1208"/>
        <v>45876</v>
      </c>
      <c r="E9622" s="209">
        <f t="shared" si="1217"/>
        <v>45876</v>
      </c>
      <c r="F9622" s="515"/>
      <c r="G9622" s="132" t="s">
        <v>1209</v>
      </c>
      <c r="J9622" s="120" t="s">
        <v>16</v>
      </c>
      <c r="K9622" s="207"/>
      <c r="L9622" s="207">
        <v>38900</v>
      </c>
    </row>
    <row r="9623" spans="1:12" x14ac:dyDescent="0.2">
      <c r="A9623" s="191">
        <v>2025</v>
      </c>
      <c r="B9623" s="191">
        <v>8</v>
      </c>
      <c r="C9623" s="191">
        <v>7</v>
      </c>
      <c r="D9623" s="192">
        <f t="shared" si="1208"/>
        <v>45876</v>
      </c>
      <c r="E9623" s="193">
        <f t="shared" si="1217"/>
        <v>45876</v>
      </c>
      <c r="F9623" s="514"/>
      <c r="G9623" s="194" t="s">
        <v>1209</v>
      </c>
      <c r="H9623" s="195"/>
      <c r="I9623" s="195"/>
      <c r="J9623" s="191" t="s">
        <v>47</v>
      </c>
      <c r="K9623" s="196"/>
      <c r="L9623" s="196">
        <v>11100</v>
      </c>
    </row>
    <row r="9624" spans="1:12" x14ac:dyDescent="0.2">
      <c r="A9624" s="197">
        <v>2025</v>
      </c>
      <c r="B9624" s="197">
        <v>8</v>
      </c>
      <c r="C9624" s="197">
        <v>7</v>
      </c>
      <c r="D9624" s="198">
        <f t="shared" si="1208"/>
        <v>45876</v>
      </c>
      <c r="E9624" s="209">
        <f t="shared" ref="E9624:E9626" si="1218">DATE(A9624,B9624,C9624)</f>
        <v>45876</v>
      </c>
      <c r="F9624" s="513" t="s">
        <v>1210</v>
      </c>
      <c r="G9624" s="200" t="s">
        <v>1209</v>
      </c>
      <c r="H9624" s="201"/>
      <c r="I9624" s="201"/>
      <c r="J9624" s="197" t="s">
        <v>46</v>
      </c>
      <c r="K9624" s="202">
        <v>300000</v>
      </c>
      <c r="L9624" s="202"/>
    </row>
    <row r="9625" spans="1:12" x14ac:dyDescent="0.2">
      <c r="A9625" s="120">
        <v>2025</v>
      </c>
      <c r="B9625" s="120">
        <v>8</v>
      </c>
      <c r="C9625" s="120">
        <v>7</v>
      </c>
      <c r="D9625" s="208">
        <f t="shared" si="1208"/>
        <v>45876</v>
      </c>
      <c r="E9625" s="209">
        <f t="shared" si="1218"/>
        <v>45876</v>
      </c>
      <c r="F9625" s="515"/>
      <c r="G9625" s="132" t="s">
        <v>1209</v>
      </c>
      <c r="J9625" s="120" t="s">
        <v>16</v>
      </c>
      <c r="K9625" s="207"/>
      <c r="L9625" s="207">
        <v>233390</v>
      </c>
    </row>
    <row r="9626" spans="1:12" x14ac:dyDescent="0.2">
      <c r="A9626" s="191">
        <v>2025</v>
      </c>
      <c r="B9626" s="191">
        <v>8</v>
      </c>
      <c r="C9626" s="191">
        <v>7</v>
      </c>
      <c r="D9626" s="192">
        <f t="shared" si="1208"/>
        <v>45876</v>
      </c>
      <c r="E9626" s="193">
        <f t="shared" si="1218"/>
        <v>45876</v>
      </c>
      <c r="F9626" s="514"/>
      <c r="G9626" s="194" t="s">
        <v>1209</v>
      </c>
      <c r="H9626" s="195"/>
      <c r="I9626" s="195"/>
      <c r="J9626" s="191" t="s">
        <v>47</v>
      </c>
      <c r="K9626" s="196"/>
      <c r="L9626" s="196">
        <v>66610</v>
      </c>
    </row>
    <row r="9627" spans="1:12" x14ac:dyDescent="0.2">
      <c r="A9627" s="197">
        <v>2025</v>
      </c>
      <c r="B9627" s="197">
        <v>8</v>
      </c>
      <c r="C9627" s="197">
        <v>7</v>
      </c>
      <c r="D9627" s="198">
        <f t="shared" si="1208"/>
        <v>45876</v>
      </c>
      <c r="E9627" s="209">
        <f t="shared" ref="E9627:E9629" si="1219">DATE(A9627,B9627,C9627)</f>
        <v>45876</v>
      </c>
      <c r="F9627" s="513" t="s">
        <v>1210</v>
      </c>
      <c r="G9627" s="200" t="s">
        <v>1209</v>
      </c>
      <c r="H9627" s="201"/>
      <c r="I9627" s="201"/>
      <c r="J9627" s="197" t="s">
        <v>46</v>
      </c>
      <c r="K9627" s="202">
        <v>100000</v>
      </c>
      <c r="L9627" s="202"/>
    </row>
    <row r="9628" spans="1:12" x14ac:dyDescent="0.2">
      <c r="A9628" s="120">
        <v>2025</v>
      </c>
      <c r="B9628" s="120">
        <v>8</v>
      </c>
      <c r="C9628" s="120">
        <v>7</v>
      </c>
      <c r="D9628" s="208">
        <f t="shared" si="1208"/>
        <v>45876</v>
      </c>
      <c r="E9628" s="209">
        <f t="shared" si="1219"/>
        <v>45876</v>
      </c>
      <c r="F9628" s="515"/>
      <c r="G9628" s="132" t="s">
        <v>1209</v>
      </c>
      <c r="J9628" s="120" t="s">
        <v>16</v>
      </c>
      <c r="K9628" s="207"/>
      <c r="L9628" s="207">
        <v>77800</v>
      </c>
    </row>
    <row r="9629" spans="1:12" x14ac:dyDescent="0.2">
      <c r="A9629" s="191">
        <v>2025</v>
      </c>
      <c r="B9629" s="191">
        <v>8</v>
      </c>
      <c r="C9629" s="191">
        <v>7</v>
      </c>
      <c r="D9629" s="192">
        <f t="shared" si="1208"/>
        <v>45876</v>
      </c>
      <c r="E9629" s="193">
        <f t="shared" si="1219"/>
        <v>45876</v>
      </c>
      <c r="F9629" s="514"/>
      <c r="G9629" s="194" t="s">
        <v>1209</v>
      </c>
      <c r="H9629" s="195"/>
      <c r="I9629" s="195"/>
      <c r="J9629" s="191" t="s">
        <v>47</v>
      </c>
      <c r="K9629" s="196"/>
      <c r="L9629" s="196">
        <v>22200</v>
      </c>
    </row>
    <row r="9630" spans="1:12" x14ac:dyDescent="0.2">
      <c r="A9630" s="197">
        <v>2025</v>
      </c>
      <c r="B9630" s="197">
        <v>8</v>
      </c>
      <c r="C9630" s="197">
        <v>7</v>
      </c>
      <c r="D9630" s="198">
        <f t="shared" si="1208"/>
        <v>45876</v>
      </c>
      <c r="E9630" s="209">
        <f t="shared" ref="E9630:E9640" si="1220">DATE(A9630,B9630,C9630)</f>
        <v>45876</v>
      </c>
      <c r="F9630" s="513" t="s">
        <v>1210</v>
      </c>
      <c r="G9630" s="200" t="s">
        <v>1209</v>
      </c>
      <c r="H9630" s="201"/>
      <c r="I9630" s="201"/>
      <c r="J9630" s="197" t="s">
        <v>46</v>
      </c>
      <c r="K9630" s="202">
        <v>1500000</v>
      </c>
      <c r="L9630" s="202"/>
    </row>
    <row r="9631" spans="1:12" x14ac:dyDescent="0.2">
      <c r="A9631" s="120">
        <v>2025</v>
      </c>
      <c r="B9631" s="120">
        <v>8</v>
      </c>
      <c r="C9631" s="120">
        <v>7</v>
      </c>
      <c r="D9631" s="208">
        <f t="shared" si="1208"/>
        <v>45876</v>
      </c>
      <c r="E9631" s="209">
        <f t="shared" si="1220"/>
        <v>45876</v>
      </c>
      <c r="F9631" s="515"/>
      <c r="G9631" s="132" t="s">
        <v>1209</v>
      </c>
      <c r="J9631" s="120" t="s">
        <v>16</v>
      </c>
      <c r="K9631" s="207"/>
      <c r="L9631" s="207">
        <v>1166950</v>
      </c>
    </row>
    <row r="9632" spans="1:12" x14ac:dyDescent="0.2">
      <c r="A9632" s="191">
        <v>2025</v>
      </c>
      <c r="B9632" s="191">
        <v>8</v>
      </c>
      <c r="C9632" s="191">
        <v>7</v>
      </c>
      <c r="D9632" s="192">
        <f t="shared" si="1208"/>
        <v>45876</v>
      </c>
      <c r="E9632" s="193">
        <f t="shared" si="1220"/>
        <v>45876</v>
      </c>
      <c r="F9632" s="514"/>
      <c r="G9632" s="194" t="s">
        <v>1209</v>
      </c>
      <c r="H9632" s="195"/>
      <c r="I9632" s="195"/>
      <c r="J9632" s="191" t="s">
        <v>47</v>
      </c>
      <c r="K9632" s="196"/>
      <c r="L9632" s="196">
        <v>333050</v>
      </c>
    </row>
    <row r="9633" spans="1:14" ht="11.25" customHeight="1" x14ac:dyDescent="0.2">
      <c r="A9633" s="197">
        <v>2025</v>
      </c>
      <c r="B9633" s="197">
        <v>8</v>
      </c>
      <c r="C9633" s="197">
        <v>7</v>
      </c>
      <c r="D9633" s="198">
        <f t="shared" si="1208"/>
        <v>45876</v>
      </c>
      <c r="E9633" s="209">
        <f t="shared" si="1220"/>
        <v>45876</v>
      </c>
      <c r="F9633" s="513" t="s">
        <v>1280</v>
      </c>
      <c r="G9633" s="200" t="s">
        <v>1209</v>
      </c>
      <c r="H9633" s="201"/>
      <c r="I9633" s="201"/>
      <c r="J9633" s="197" t="s">
        <v>16</v>
      </c>
      <c r="K9633" s="202">
        <v>63680</v>
      </c>
      <c r="L9633" s="202"/>
    </row>
    <row r="9634" spans="1:14" ht="11.25" customHeight="1" x14ac:dyDescent="0.2">
      <c r="A9634" s="120">
        <v>2025</v>
      </c>
      <c r="B9634" s="120">
        <v>8</v>
      </c>
      <c r="C9634" s="120">
        <v>7</v>
      </c>
      <c r="D9634" s="208">
        <f t="shared" si="1208"/>
        <v>45876</v>
      </c>
      <c r="E9634" s="209">
        <f t="shared" si="1220"/>
        <v>45876</v>
      </c>
      <c r="F9634" s="515"/>
      <c r="G9634" s="132" t="s">
        <v>1209</v>
      </c>
      <c r="J9634" s="120" t="s">
        <v>47</v>
      </c>
      <c r="K9634" s="207">
        <v>18174.270000000004</v>
      </c>
      <c r="L9634" s="207"/>
    </row>
    <row r="9635" spans="1:14" ht="11.25" customHeight="1" x14ac:dyDescent="0.2">
      <c r="A9635" s="191">
        <v>2025</v>
      </c>
      <c r="B9635" s="191">
        <v>8</v>
      </c>
      <c r="C9635" s="191">
        <v>7</v>
      </c>
      <c r="D9635" s="192">
        <f t="shared" si="1208"/>
        <v>45876</v>
      </c>
      <c r="E9635" s="193">
        <f t="shared" si="1220"/>
        <v>45876</v>
      </c>
      <c r="F9635" s="514"/>
      <c r="G9635" s="194" t="s">
        <v>1209</v>
      </c>
      <c r="H9635" s="195"/>
      <c r="I9635" s="195"/>
      <c r="J9635" s="191" t="s">
        <v>46</v>
      </c>
      <c r="K9635" s="196"/>
      <c r="L9635" s="196">
        <v>81854.27</v>
      </c>
    </row>
    <row r="9636" spans="1:14" x14ac:dyDescent="0.2">
      <c r="A9636" s="197">
        <v>2025</v>
      </c>
      <c r="B9636" s="197">
        <v>8</v>
      </c>
      <c r="C9636" s="197">
        <v>7</v>
      </c>
      <c r="D9636" s="198">
        <f t="shared" si="1208"/>
        <v>45876</v>
      </c>
      <c r="E9636" s="209">
        <f t="shared" si="1220"/>
        <v>45876</v>
      </c>
      <c r="F9636" s="513" t="s">
        <v>1210</v>
      </c>
      <c r="G9636" s="200" t="s">
        <v>1209</v>
      </c>
      <c r="H9636" s="201"/>
      <c r="I9636" s="201"/>
      <c r="J9636" s="197" t="s">
        <v>46</v>
      </c>
      <c r="K9636" s="202">
        <v>1000</v>
      </c>
      <c r="L9636" s="202"/>
    </row>
    <row r="9637" spans="1:14" x14ac:dyDescent="0.2">
      <c r="A9637" s="120">
        <v>2025</v>
      </c>
      <c r="B9637" s="120">
        <v>8</v>
      </c>
      <c r="C9637" s="120">
        <v>7</v>
      </c>
      <c r="D9637" s="208">
        <f t="shared" si="1208"/>
        <v>45876</v>
      </c>
      <c r="E9637" s="209">
        <f t="shared" si="1220"/>
        <v>45876</v>
      </c>
      <c r="F9637" s="515"/>
      <c r="G9637" s="132" t="s">
        <v>1209</v>
      </c>
      <c r="J9637" s="120" t="s">
        <v>16</v>
      </c>
      <c r="K9637" s="207"/>
      <c r="L9637" s="207">
        <v>780</v>
      </c>
    </row>
    <row r="9638" spans="1:14" x14ac:dyDescent="0.2">
      <c r="A9638" s="191">
        <v>2025</v>
      </c>
      <c r="B9638" s="191">
        <v>8</v>
      </c>
      <c r="C9638" s="191">
        <v>7</v>
      </c>
      <c r="D9638" s="192">
        <f t="shared" si="1208"/>
        <v>45876</v>
      </c>
      <c r="E9638" s="193">
        <f t="shared" si="1220"/>
        <v>45876</v>
      </c>
      <c r="F9638" s="514"/>
      <c r="G9638" s="194" t="s">
        <v>1209</v>
      </c>
      <c r="H9638" s="195"/>
      <c r="I9638" s="195"/>
      <c r="J9638" s="191" t="s">
        <v>47</v>
      </c>
      <c r="K9638" s="196"/>
      <c r="L9638" s="196">
        <v>220</v>
      </c>
    </row>
    <row r="9639" spans="1:14" ht="11.25" customHeight="1" x14ac:dyDescent="0.2">
      <c r="A9639" s="197">
        <v>2025</v>
      </c>
      <c r="B9639" s="197">
        <v>8</v>
      </c>
      <c r="C9639" s="197">
        <v>7</v>
      </c>
      <c r="D9639" s="198">
        <f t="shared" si="1208"/>
        <v>45876</v>
      </c>
      <c r="E9639" s="199">
        <f t="shared" si="1220"/>
        <v>45876</v>
      </c>
      <c r="F9639" s="513" t="s">
        <v>2069</v>
      </c>
      <c r="G9639" s="200" t="s">
        <v>1209</v>
      </c>
      <c r="H9639" s="201"/>
      <c r="I9639" s="201" t="s">
        <v>1253</v>
      </c>
      <c r="J9639" s="197" t="s">
        <v>1837</v>
      </c>
      <c r="K9639" s="202">
        <v>2175520.56</v>
      </c>
      <c r="L9639" s="202"/>
    </row>
    <row r="9640" spans="1:14" ht="11.25" customHeight="1" x14ac:dyDescent="0.2">
      <c r="A9640" s="191">
        <v>2025</v>
      </c>
      <c r="B9640" s="191">
        <v>8</v>
      </c>
      <c r="C9640" s="191">
        <v>7</v>
      </c>
      <c r="D9640" s="192">
        <f t="shared" si="1208"/>
        <v>45876</v>
      </c>
      <c r="E9640" s="193">
        <f t="shared" si="1220"/>
        <v>45876</v>
      </c>
      <c r="F9640" s="514"/>
      <c r="G9640" s="194" t="s">
        <v>1209</v>
      </c>
      <c r="H9640" s="195"/>
      <c r="I9640" s="195" t="s">
        <v>1253</v>
      </c>
      <c r="J9640" s="191" t="s">
        <v>46</v>
      </c>
      <c r="K9640" s="196"/>
      <c r="L9640" s="196">
        <v>2175520.56</v>
      </c>
      <c r="N9640" s="130"/>
    </row>
    <row r="9641" spans="1:14" ht="11.25" customHeight="1" x14ac:dyDescent="0.2">
      <c r="A9641" s="197">
        <v>2025</v>
      </c>
      <c r="B9641" s="197">
        <v>8</v>
      </c>
      <c r="C9641" s="197">
        <v>7</v>
      </c>
      <c r="D9641" s="198">
        <f t="shared" si="1208"/>
        <v>45876</v>
      </c>
      <c r="E9641" s="199">
        <f t="shared" ref="E9641:E9665" si="1221">DATE(A9641,B9641,C9641)</f>
        <v>45876</v>
      </c>
      <c r="F9641" s="513" t="s">
        <v>2069</v>
      </c>
      <c r="G9641" s="200" t="s">
        <v>1209</v>
      </c>
      <c r="H9641" s="201"/>
      <c r="I9641" s="201" t="s">
        <v>1253</v>
      </c>
      <c r="J9641" s="197" t="s">
        <v>1837</v>
      </c>
      <c r="K9641" s="202">
        <v>2175520.56</v>
      </c>
      <c r="L9641" s="202"/>
    </row>
    <row r="9642" spans="1:14" ht="11.25" customHeight="1" x14ac:dyDescent="0.2">
      <c r="A9642" s="191">
        <v>2025</v>
      </c>
      <c r="B9642" s="191">
        <v>8</v>
      </c>
      <c r="C9642" s="191">
        <v>7</v>
      </c>
      <c r="D9642" s="192">
        <f t="shared" si="1208"/>
        <v>45876</v>
      </c>
      <c r="E9642" s="193">
        <f t="shared" si="1221"/>
        <v>45876</v>
      </c>
      <c r="F9642" s="514"/>
      <c r="G9642" s="194" t="s">
        <v>1209</v>
      </c>
      <c r="H9642" s="195"/>
      <c r="I9642" s="195" t="s">
        <v>1253</v>
      </c>
      <c r="J9642" s="191" t="s">
        <v>46</v>
      </c>
      <c r="K9642" s="196"/>
      <c r="L9642" s="196">
        <v>2175520.56</v>
      </c>
      <c r="N9642" s="130"/>
    </row>
    <row r="9643" spans="1:14" x14ac:dyDescent="0.2">
      <c r="A9643" s="197">
        <v>2025</v>
      </c>
      <c r="B9643" s="197">
        <v>8</v>
      </c>
      <c r="C9643" s="197">
        <v>7</v>
      </c>
      <c r="D9643" s="198">
        <f t="shared" si="1208"/>
        <v>45876</v>
      </c>
      <c r="E9643" s="209">
        <f t="shared" si="1221"/>
        <v>45876</v>
      </c>
      <c r="F9643" s="513" t="s">
        <v>1210</v>
      </c>
      <c r="G9643" s="200" t="s">
        <v>1209</v>
      </c>
      <c r="H9643" s="201"/>
      <c r="I9643" s="201"/>
      <c r="J9643" s="197" t="s">
        <v>46</v>
      </c>
      <c r="K9643" s="202">
        <v>200000</v>
      </c>
      <c r="L9643" s="202"/>
    </row>
    <row r="9644" spans="1:14" x14ac:dyDescent="0.2">
      <c r="A9644" s="120">
        <v>2025</v>
      </c>
      <c r="B9644" s="120">
        <v>8</v>
      </c>
      <c r="C9644" s="120">
        <v>7</v>
      </c>
      <c r="D9644" s="208">
        <f t="shared" ref="D9644:D9707" si="1222">DATE(A9644,B9644,C9644)</f>
        <v>45876</v>
      </c>
      <c r="E9644" s="209">
        <f t="shared" si="1221"/>
        <v>45876</v>
      </c>
      <c r="F9644" s="515"/>
      <c r="G9644" s="132" t="s">
        <v>1209</v>
      </c>
      <c r="J9644" s="120" t="s">
        <v>16</v>
      </c>
      <c r="K9644" s="207"/>
      <c r="L9644" s="207">
        <v>155590</v>
      </c>
    </row>
    <row r="9645" spans="1:14" x14ac:dyDescent="0.2">
      <c r="A9645" s="191">
        <v>2025</v>
      </c>
      <c r="B9645" s="191">
        <v>8</v>
      </c>
      <c r="C9645" s="191">
        <v>7</v>
      </c>
      <c r="D9645" s="192">
        <f t="shared" si="1222"/>
        <v>45876</v>
      </c>
      <c r="E9645" s="193">
        <f t="shared" si="1221"/>
        <v>45876</v>
      </c>
      <c r="F9645" s="514"/>
      <c r="G9645" s="194" t="s">
        <v>1209</v>
      </c>
      <c r="H9645" s="195"/>
      <c r="I9645" s="195"/>
      <c r="J9645" s="191" t="s">
        <v>47</v>
      </c>
      <c r="K9645" s="196"/>
      <c r="L9645" s="196">
        <v>44410</v>
      </c>
    </row>
    <row r="9646" spans="1:14" x14ac:dyDescent="0.2">
      <c r="A9646" s="197">
        <v>2025</v>
      </c>
      <c r="B9646" s="197">
        <v>8</v>
      </c>
      <c r="C9646" s="197">
        <v>7</v>
      </c>
      <c r="D9646" s="198">
        <f t="shared" si="1222"/>
        <v>45876</v>
      </c>
      <c r="E9646" s="209">
        <f t="shared" ref="E9646:E9655" si="1223">DATE(A9646,B9646,C9646)</f>
        <v>45876</v>
      </c>
      <c r="F9646" s="513" t="s">
        <v>1210</v>
      </c>
      <c r="G9646" s="200" t="s">
        <v>1209</v>
      </c>
      <c r="H9646" s="201"/>
      <c r="I9646" s="201"/>
      <c r="J9646" s="197" t="s">
        <v>46</v>
      </c>
      <c r="K9646" s="202">
        <v>1000000</v>
      </c>
      <c r="L9646" s="202"/>
    </row>
    <row r="9647" spans="1:14" x14ac:dyDescent="0.2">
      <c r="A9647" s="120">
        <v>2025</v>
      </c>
      <c r="B9647" s="120">
        <v>8</v>
      </c>
      <c r="C9647" s="120">
        <v>7</v>
      </c>
      <c r="D9647" s="208">
        <f t="shared" si="1222"/>
        <v>45876</v>
      </c>
      <c r="E9647" s="209">
        <f t="shared" si="1223"/>
        <v>45876</v>
      </c>
      <c r="F9647" s="515"/>
      <c r="G9647" s="132" t="s">
        <v>1209</v>
      </c>
      <c r="J9647" s="120" t="s">
        <v>16</v>
      </c>
      <c r="K9647" s="207"/>
      <c r="L9647" s="207">
        <v>777970</v>
      </c>
    </row>
    <row r="9648" spans="1:14" x14ac:dyDescent="0.2">
      <c r="A9648" s="191">
        <v>2025</v>
      </c>
      <c r="B9648" s="191">
        <v>8</v>
      </c>
      <c r="C9648" s="191">
        <v>7</v>
      </c>
      <c r="D9648" s="192">
        <f t="shared" si="1222"/>
        <v>45876</v>
      </c>
      <c r="E9648" s="193">
        <f t="shared" si="1223"/>
        <v>45876</v>
      </c>
      <c r="F9648" s="514"/>
      <c r="G9648" s="194" t="s">
        <v>1209</v>
      </c>
      <c r="H9648" s="195"/>
      <c r="I9648" s="195"/>
      <c r="J9648" s="191" t="s">
        <v>47</v>
      </c>
      <c r="K9648" s="196"/>
      <c r="L9648" s="196">
        <v>222030</v>
      </c>
    </row>
    <row r="9649" spans="1:15" ht="11.25" customHeight="1" x14ac:dyDescent="0.2">
      <c r="A9649" s="197">
        <v>2025</v>
      </c>
      <c r="B9649" s="197">
        <v>8</v>
      </c>
      <c r="C9649" s="197">
        <v>7</v>
      </c>
      <c r="D9649" s="198">
        <f t="shared" si="1222"/>
        <v>45876</v>
      </c>
      <c r="E9649" s="290">
        <f t="shared" si="1223"/>
        <v>45876</v>
      </c>
      <c r="F9649" s="513" t="s">
        <v>1514</v>
      </c>
      <c r="G9649" s="200" t="s">
        <v>1209</v>
      </c>
      <c r="H9649" s="201"/>
      <c r="I9649" s="201"/>
      <c r="J9649" s="197" t="s">
        <v>54</v>
      </c>
      <c r="K9649" s="202">
        <v>60</v>
      </c>
      <c r="L9649" s="202"/>
      <c r="M9649" s="251"/>
      <c r="N9649" s="251"/>
      <c r="O9649" s="251"/>
    </row>
    <row r="9650" spans="1:15" ht="11.25" customHeight="1" x14ac:dyDescent="0.2">
      <c r="A9650" s="191">
        <v>2025</v>
      </c>
      <c r="B9650" s="191">
        <v>8</v>
      </c>
      <c r="C9650" s="191">
        <v>7</v>
      </c>
      <c r="D9650" s="192">
        <f t="shared" si="1222"/>
        <v>45876</v>
      </c>
      <c r="E9650" s="291">
        <f t="shared" si="1223"/>
        <v>45876</v>
      </c>
      <c r="F9650" s="514"/>
      <c r="G9650" s="194" t="s">
        <v>1209</v>
      </c>
      <c r="H9650" s="195"/>
      <c r="I9650" s="195"/>
      <c r="J9650" s="191" t="s">
        <v>46</v>
      </c>
      <c r="K9650" s="196"/>
      <c r="L9650" s="196">
        <f>K9649</f>
        <v>60</v>
      </c>
      <c r="M9650" s="251"/>
    </row>
    <row r="9651" spans="1:15" ht="11.25" customHeight="1" x14ac:dyDescent="0.2">
      <c r="A9651" s="197">
        <v>2025</v>
      </c>
      <c r="B9651" s="197">
        <v>8</v>
      </c>
      <c r="C9651" s="197">
        <v>7</v>
      </c>
      <c r="D9651" s="198">
        <f t="shared" si="1222"/>
        <v>45876</v>
      </c>
      <c r="E9651" s="290">
        <f t="shared" si="1223"/>
        <v>45876</v>
      </c>
      <c r="F9651" s="513" t="s">
        <v>1527</v>
      </c>
      <c r="G9651" s="200" t="s">
        <v>1209</v>
      </c>
      <c r="H9651" s="201"/>
      <c r="I9651" s="201"/>
      <c r="J9651" s="197" t="s">
        <v>54</v>
      </c>
      <c r="K9651" s="202">
        <v>60</v>
      </c>
      <c r="L9651" s="202"/>
      <c r="M9651" s="251"/>
      <c r="N9651" s="251"/>
      <c r="O9651" s="251"/>
    </row>
    <row r="9652" spans="1:15" ht="11.25" customHeight="1" x14ac:dyDescent="0.2">
      <c r="A9652" s="191">
        <v>2025</v>
      </c>
      <c r="B9652" s="191">
        <v>8</v>
      </c>
      <c r="C9652" s="191">
        <v>7</v>
      </c>
      <c r="D9652" s="192">
        <f t="shared" si="1222"/>
        <v>45876</v>
      </c>
      <c r="E9652" s="291">
        <f t="shared" si="1223"/>
        <v>45876</v>
      </c>
      <c r="F9652" s="514"/>
      <c r="G9652" s="194" t="s">
        <v>1209</v>
      </c>
      <c r="H9652" s="195"/>
      <c r="I9652" s="195"/>
      <c r="J9652" s="191" t="s">
        <v>46</v>
      </c>
      <c r="K9652" s="196"/>
      <c r="L9652" s="196">
        <f>K9651</f>
        <v>60</v>
      </c>
      <c r="M9652" s="251"/>
    </row>
    <row r="9653" spans="1:15" ht="11.25" customHeight="1" x14ac:dyDescent="0.2">
      <c r="A9653" s="197">
        <v>2025</v>
      </c>
      <c r="B9653" s="197">
        <v>8</v>
      </c>
      <c r="C9653" s="197">
        <v>7</v>
      </c>
      <c r="D9653" s="198">
        <f t="shared" si="1222"/>
        <v>45876</v>
      </c>
      <c r="E9653" s="290">
        <f t="shared" si="1223"/>
        <v>45876</v>
      </c>
      <c r="F9653" s="513" t="s">
        <v>2056</v>
      </c>
      <c r="G9653" s="200" t="s">
        <v>1209</v>
      </c>
      <c r="H9653" s="201"/>
      <c r="I9653" s="201" t="s">
        <v>1253</v>
      </c>
      <c r="J9653" s="197" t="s">
        <v>46</v>
      </c>
      <c r="K9653" s="202">
        <v>3334.93</v>
      </c>
      <c r="L9653" s="202"/>
    </row>
    <row r="9654" spans="1:15" ht="11.25" customHeight="1" x14ac:dyDescent="0.2">
      <c r="A9654" s="120">
        <v>2025</v>
      </c>
      <c r="B9654" s="120">
        <v>8</v>
      </c>
      <c r="C9654" s="120">
        <v>7</v>
      </c>
      <c r="D9654" s="208">
        <f t="shared" si="1222"/>
        <v>45876</v>
      </c>
      <c r="E9654" s="293">
        <f t="shared" si="1223"/>
        <v>45876</v>
      </c>
      <c r="F9654" s="515"/>
      <c r="G9654" s="132" t="s">
        <v>1209</v>
      </c>
      <c r="I9654" s="128" t="s">
        <v>1253</v>
      </c>
      <c r="J9654" s="120" t="s">
        <v>153</v>
      </c>
      <c r="K9654" s="207">
        <v>40.049999999999997</v>
      </c>
      <c r="L9654" s="207"/>
    </row>
    <row r="9655" spans="1:15" ht="11.25" customHeight="1" x14ac:dyDescent="0.2">
      <c r="A9655" s="191">
        <v>2025</v>
      </c>
      <c r="B9655" s="191">
        <v>8</v>
      </c>
      <c r="C9655" s="191">
        <v>7</v>
      </c>
      <c r="D9655" s="192">
        <f t="shared" si="1222"/>
        <v>45876</v>
      </c>
      <c r="E9655" s="291">
        <f t="shared" si="1223"/>
        <v>45876</v>
      </c>
      <c r="F9655" s="514"/>
      <c r="G9655" s="194" t="s">
        <v>1209</v>
      </c>
      <c r="H9655" s="195"/>
      <c r="I9655" s="195" t="s">
        <v>1253</v>
      </c>
      <c r="J9655" s="191" t="s">
        <v>58</v>
      </c>
      <c r="K9655" s="196"/>
      <c r="L9655" s="196">
        <v>3374.99</v>
      </c>
    </row>
    <row r="9656" spans="1:15" ht="11.25" customHeight="1" x14ac:dyDescent="0.2">
      <c r="A9656" s="424">
        <v>2025</v>
      </c>
      <c r="B9656" s="424">
        <v>8</v>
      </c>
      <c r="C9656" s="424">
        <v>7</v>
      </c>
      <c r="D9656" s="425">
        <f t="shared" si="1222"/>
        <v>45876</v>
      </c>
      <c r="E9656" s="384">
        <f t="shared" si="1221"/>
        <v>45876</v>
      </c>
      <c r="F9656" s="516" t="s">
        <v>1850</v>
      </c>
      <c r="G9656" s="426" t="s">
        <v>1209</v>
      </c>
      <c r="H9656" s="427"/>
      <c r="I9656" s="427"/>
      <c r="J9656" s="428" t="s">
        <v>81</v>
      </c>
      <c r="K9656" s="429">
        <v>11170.721538461539</v>
      </c>
      <c r="L9656" s="429"/>
    </row>
    <row r="9657" spans="1:15" ht="11.25" customHeight="1" x14ac:dyDescent="0.2">
      <c r="A9657" s="389">
        <v>2025</v>
      </c>
      <c r="B9657" s="389">
        <v>8</v>
      </c>
      <c r="C9657" s="389">
        <v>7</v>
      </c>
      <c r="D9657" s="390">
        <f t="shared" si="1222"/>
        <v>45876</v>
      </c>
      <c r="E9657" s="391">
        <f t="shared" si="1221"/>
        <v>45876</v>
      </c>
      <c r="F9657" s="517"/>
      <c r="G9657" s="392" t="s">
        <v>1209</v>
      </c>
      <c r="H9657" s="393"/>
      <c r="I9657" s="393"/>
      <c r="J9657" s="394" t="s">
        <v>1847</v>
      </c>
      <c r="K9657" s="423"/>
      <c r="L9657" s="423">
        <f>K9656</f>
        <v>11170.721538461539</v>
      </c>
    </row>
    <row r="9658" spans="1:15" ht="11.25" customHeight="1" x14ac:dyDescent="0.2">
      <c r="A9658" s="382">
        <v>2025</v>
      </c>
      <c r="B9658" s="382">
        <v>8</v>
      </c>
      <c r="C9658" s="382">
        <v>7</v>
      </c>
      <c r="D9658" s="383">
        <f t="shared" si="1222"/>
        <v>45876</v>
      </c>
      <c r="E9658" s="384">
        <f t="shared" si="1221"/>
        <v>45876</v>
      </c>
      <c r="F9658" s="516" t="s">
        <v>1892</v>
      </c>
      <c r="G9658" s="385" t="s">
        <v>1209</v>
      </c>
      <c r="H9658" s="386"/>
      <c r="I9658" s="386"/>
      <c r="J9658" s="387" t="s">
        <v>173</v>
      </c>
      <c r="K9658" s="388">
        <v>5497.4878417847785</v>
      </c>
      <c r="L9658" s="388"/>
    </row>
    <row r="9659" spans="1:15" ht="11.25" customHeight="1" x14ac:dyDescent="0.2">
      <c r="A9659" s="389">
        <v>2025</v>
      </c>
      <c r="B9659" s="389">
        <v>8</v>
      </c>
      <c r="C9659" s="389">
        <v>7</v>
      </c>
      <c r="D9659" s="390">
        <f t="shared" si="1222"/>
        <v>45876</v>
      </c>
      <c r="E9659" s="391">
        <f t="shared" si="1221"/>
        <v>45876</v>
      </c>
      <c r="F9659" s="517"/>
      <c r="G9659" s="392" t="s">
        <v>1209</v>
      </c>
      <c r="H9659" s="393"/>
      <c r="I9659" s="393"/>
      <c r="J9659" s="394" t="s">
        <v>43</v>
      </c>
      <c r="K9659" s="388"/>
      <c r="L9659" s="423">
        <f>K9658</f>
        <v>5497.4878417847785</v>
      </c>
    </row>
    <row r="9660" spans="1:15" ht="11.25" customHeight="1" x14ac:dyDescent="0.2">
      <c r="A9660" s="344">
        <v>2025</v>
      </c>
      <c r="B9660" s="344">
        <v>8</v>
      </c>
      <c r="C9660" s="344">
        <v>7</v>
      </c>
      <c r="D9660" s="345">
        <f t="shared" si="1222"/>
        <v>45876</v>
      </c>
      <c r="E9660" s="346">
        <f t="shared" si="1221"/>
        <v>45876</v>
      </c>
      <c r="F9660" s="518" t="s">
        <v>1982</v>
      </c>
      <c r="G9660" s="347" t="s">
        <v>1245</v>
      </c>
      <c r="H9660" s="348"/>
      <c r="I9660" s="348" t="s">
        <v>1253</v>
      </c>
      <c r="J9660" s="344" t="s">
        <v>1978</v>
      </c>
      <c r="K9660" s="349">
        <v>145230.76923076922</v>
      </c>
      <c r="L9660" s="349"/>
    </row>
    <row r="9661" spans="1:15" ht="11.25" customHeight="1" x14ac:dyDescent="0.2">
      <c r="A9661" s="350">
        <v>2025</v>
      </c>
      <c r="B9661" s="350">
        <v>8</v>
      </c>
      <c r="C9661" s="350">
        <v>7</v>
      </c>
      <c r="D9661" s="351">
        <f t="shared" si="1222"/>
        <v>45876</v>
      </c>
      <c r="E9661" s="352">
        <f t="shared" si="1221"/>
        <v>45876</v>
      </c>
      <c r="F9661" s="519"/>
      <c r="G9661" s="353" t="s">
        <v>1245</v>
      </c>
      <c r="H9661" s="354"/>
      <c r="I9661" s="354" t="s">
        <v>1253</v>
      </c>
      <c r="J9661" s="350" t="s">
        <v>1979</v>
      </c>
      <c r="K9661" s="355"/>
      <c r="L9661" s="355">
        <f>K9660</f>
        <v>145230.76923076922</v>
      </c>
    </row>
    <row r="9662" spans="1:15" ht="11.25" customHeight="1" x14ac:dyDescent="0.2">
      <c r="A9662" s="344">
        <v>2025</v>
      </c>
      <c r="B9662" s="344">
        <v>8</v>
      </c>
      <c r="C9662" s="344">
        <v>7</v>
      </c>
      <c r="D9662" s="345">
        <f t="shared" si="1222"/>
        <v>45876</v>
      </c>
      <c r="E9662" s="346">
        <f t="shared" si="1221"/>
        <v>45876</v>
      </c>
      <c r="F9662" s="518" t="s">
        <v>2009</v>
      </c>
      <c r="G9662" s="347" t="s">
        <v>1245</v>
      </c>
      <c r="H9662" s="348"/>
      <c r="I9662" s="348" t="s">
        <v>1253</v>
      </c>
      <c r="J9662" s="344" t="s">
        <v>2004</v>
      </c>
      <c r="K9662" s="349">
        <v>49692.31</v>
      </c>
      <c r="L9662" s="349"/>
    </row>
    <row r="9663" spans="1:15" ht="11.25" customHeight="1" x14ac:dyDescent="0.2">
      <c r="A9663" s="350">
        <v>2025</v>
      </c>
      <c r="B9663" s="350">
        <v>8</v>
      </c>
      <c r="C9663" s="350">
        <v>7</v>
      </c>
      <c r="D9663" s="351">
        <f t="shared" si="1222"/>
        <v>45876</v>
      </c>
      <c r="E9663" s="352">
        <f t="shared" si="1221"/>
        <v>45876</v>
      </c>
      <c r="F9663" s="519"/>
      <c r="G9663" s="353" t="s">
        <v>1245</v>
      </c>
      <c r="H9663" s="354"/>
      <c r="I9663" s="354" t="s">
        <v>1253</v>
      </c>
      <c r="J9663" s="350" t="s">
        <v>2008</v>
      </c>
      <c r="K9663" s="355"/>
      <c r="L9663" s="355">
        <f t="shared" ref="L9663" si="1224">K9662</f>
        <v>49692.31</v>
      </c>
    </row>
    <row r="9664" spans="1:15" ht="11.25" customHeight="1" x14ac:dyDescent="0.2">
      <c r="A9664" s="344">
        <v>2025</v>
      </c>
      <c r="B9664" s="344">
        <v>8</v>
      </c>
      <c r="C9664" s="344">
        <v>7</v>
      </c>
      <c r="D9664" s="345">
        <f t="shared" si="1222"/>
        <v>45876</v>
      </c>
      <c r="E9664" s="346">
        <f t="shared" si="1221"/>
        <v>45876</v>
      </c>
      <c r="F9664" s="518" t="s">
        <v>2009</v>
      </c>
      <c r="G9664" s="347" t="s">
        <v>1245</v>
      </c>
      <c r="H9664" s="348"/>
      <c r="I9664" s="348" t="s">
        <v>1253</v>
      </c>
      <c r="J9664" s="344" t="s">
        <v>2004</v>
      </c>
      <c r="K9664" s="349">
        <v>49692.31</v>
      </c>
      <c r="L9664" s="349"/>
    </row>
    <row r="9665" spans="1:16" ht="11.25" customHeight="1" x14ac:dyDescent="0.2">
      <c r="A9665" s="350">
        <v>2025</v>
      </c>
      <c r="B9665" s="350">
        <v>8</v>
      </c>
      <c r="C9665" s="350">
        <v>7</v>
      </c>
      <c r="D9665" s="351">
        <f t="shared" si="1222"/>
        <v>45876</v>
      </c>
      <c r="E9665" s="352">
        <f t="shared" si="1221"/>
        <v>45876</v>
      </c>
      <c r="F9665" s="519"/>
      <c r="G9665" s="353" t="s">
        <v>1245</v>
      </c>
      <c r="H9665" s="354"/>
      <c r="I9665" s="354" t="s">
        <v>1253</v>
      </c>
      <c r="J9665" s="350" t="s">
        <v>2008</v>
      </c>
      <c r="K9665" s="355"/>
      <c r="L9665" s="355">
        <f t="shared" ref="L9665" si="1225">K9664</f>
        <v>49692.31</v>
      </c>
    </row>
    <row r="9666" spans="1:16" ht="11.25" customHeight="1" x14ac:dyDescent="0.2">
      <c r="A9666" s="344">
        <v>2025</v>
      </c>
      <c r="B9666" s="344">
        <v>8</v>
      </c>
      <c r="C9666" s="344">
        <v>7</v>
      </c>
      <c r="D9666" s="345">
        <f t="shared" si="1222"/>
        <v>45876</v>
      </c>
      <c r="E9666" s="346">
        <f>DATE(A9666,B9666,C9666)</f>
        <v>45876</v>
      </c>
      <c r="F9666" s="518" t="s">
        <v>1988</v>
      </c>
      <c r="G9666" s="347" t="s">
        <v>1245</v>
      </c>
      <c r="H9666" s="348"/>
      <c r="I9666" s="348" t="s">
        <v>1253</v>
      </c>
      <c r="J9666" s="344" t="s">
        <v>113</v>
      </c>
      <c r="K9666" s="349">
        <v>32846.15</v>
      </c>
      <c r="L9666" s="349"/>
    </row>
    <row r="9667" spans="1:16" ht="11.25" customHeight="1" x14ac:dyDescent="0.2">
      <c r="A9667" s="350">
        <v>2025</v>
      </c>
      <c r="B9667" s="350">
        <v>8</v>
      </c>
      <c r="C9667" s="350">
        <v>7</v>
      </c>
      <c r="D9667" s="351">
        <f t="shared" si="1222"/>
        <v>45876</v>
      </c>
      <c r="E9667" s="352">
        <f>DATE(A9667,B9667,C9667)</f>
        <v>45876</v>
      </c>
      <c r="F9667" s="519"/>
      <c r="G9667" s="353" t="s">
        <v>1245</v>
      </c>
      <c r="H9667" s="354"/>
      <c r="I9667" s="354" t="s">
        <v>1253</v>
      </c>
      <c r="J9667" s="350" t="s">
        <v>153</v>
      </c>
      <c r="K9667" s="355"/>
      <c r="L9667" s="355">
        <f t="shared" ref="L9667" si="1226">K9666</f>
        <v>32846.15</v>
      </c>
    </row>
    <row r="9668" spans="1:16" ht="11.25" customHeight="1" x14ac:dyDescent="0.2">
      <c r="A9668" s="344">
        <v>2025</v>
      </c>
      <c r="B9668" s="344">
        <v>8</v>
      </c>
      <c r="C9668" s="344">
        <v>7</v>
      </c>
      <c r="D9668" s="345">
        <f t="shared" si="1222"/>
        <v>45876</v>
      </c>
      <c r="E9668" s="346">
        <f t="shared" ref="E9668:E9673" si="1227">DATE(A9668,B9668,C9668)</f>
        <v>45876</v>
      </c>
      <c r="F9668" s="518" t="s">
        <v>1989</v>
      </c>
      <c r="G9668" s="347" t="s">
        <v>1245</v>
      </c>
      <c r="H9668" s="348"/>
      <c r="I9668" s="348" t="s">
        <v>1253</v>
      </c>
      <c r="J9668" s="344" t="s">
        <v>113</v>
      </c>
      <c r="K9668" s="349">
        <v>23461.538461538461</v>
      </c>
      <c r="L9668" s="349"/>
    </row>
    <row r="9669" spans="1:16" ht="11.25" customHeight="1" x14ac:dyDescent="0.2">
      <c r="A9669" s="350">
        <v>2025</v>
      </c>
      <c r="B9669" s="350">
        <v>8</v>
      </c>
      <c r="C9669" s="350">
        <v>7</v>
      </c>
      <c r="D9669" s="351">
        <f t="shared" si="1222"/>
        <v>45876</v>
      </c>
      <c r="E9669" s="352">
        <f t="shared" si="1227"/>
        <v>45876</v>
      </c>
      <c r="F9669" s="519"/>
      <c r="G9669" s="353" t="s">
        <v>1245</v>
      </c>
      <c r="H9669" s="354"/>
      <c r="I9669" s="354" t="s">
        <v>1253</v>
      </c>
      <c r="J9669" s="350" t="s">
        <v>153</v>
      </c>
      <c r="K9669" s="355"/>
      <c r="L9669" s="355">
        <f t="shared" ref="L9669" si="1228">K9668</f>
        <v>23461.538461538461</v>
      </c>
    </row>
    <row r="9670" spans="1:16" ht="11.25" customHeight="1" x14ac:dyDescent="0.2">
      <c r="A9670" s="344">
        <v>2025</v>
      </c>
      <c r="B9670" s="344">
        <v>8</v>
      </c>
      <c r="C9670" s="344">
        <v>7</v>
      </c>
      <c r="D9670" s="345">
        <f t="shared" si="1222"/>
        <v>45876</v>
      </c>
      <c r="E9670" s="346">
        <f t="shared" si="1227"/>
        <v>45876</v>
      </c>
      <c r="F9670" s="518" t="s">
        <v>1990</v>
      </c>
      <c r="G9670" s="347" t="s">
        <v>1245</v>
      </c>
      <c r="H9670" s="348"/>
      <c r="I9670" s="348" t="s">
        <v>1253</v>
      </c>
      <c r="J9670" s="344" t="s">
        <v>113</v>
      </c>
      <c r="K9670" s="349">
        <v>70384.62</v>
      </c>
      <c r="L9670" s="349"/>
      <c r="N9670" s="251"/>
      <c r="O9670" s="251"/>
      <c r="P9670" s="251"/>
    </row>
    <row r="9671" spans="1:16" ht="11.25" customHeight="1" x14ac:dyDescent="0.2">
      <c r="A9671" s="350">
        <v>2025</v>
      </c>
      <c r="B9671" s="350">
        <v>8</v>
      </c>
      <c r="C9671" s="350">
        <v>7</v>
      </c>
      <c r="D9671" s="351">
        <f t="shared" si="1222"/>
        <v>45876</v>
      </c>
      <c r="E9671" s="352">
        <f t="shared" si="1227"/>
        <v>45876</v>
      </c>
      <c r="F9671" s="519"/>
      <c r="G9671" s="353" t="s">
        <v>1245</v>
      </c>
      <c r="H9671" s="354"/>
      <c r="I9671" s="354" t="s">
        <v>1253</v>
      </c>
      <c r="J9671" s="350" t="s">
        <v>153</v>
      </c>
      <c r="K9671" s="355"/>
      <c r="L9671" s="355">
        <f t="shared" ref="L9671" si="1229">K9670</f>
        <v>70384.62</v>
      </c>
    </row>
    <row r="9672" spans="1:16" ht="11.25" customHeight="1" x14ac:dyDescent="0.2">
      <c r="A9672" s="344">
        <v>2025</v>
      </c>
      <c r="B9672" s="344">
        <v>8</v>
      </c>
      <c r="C9672" s="344">
        <v>7</v>
      </c>
      <c r="D9672" s="345">
        <f t="shared" si="1222"/>
        <v>45876</v>
      </c>
      <c r="E9672" s="346">
        <f t="shared" si="1227"/>
        <v>45876</v>
      </c>
      <c r="F9672" s="518" t="s">
        <v>2039</v>
      </c>
      <c r="G9672" s="347" t="s">
        <v>1245</v>
      </c>
      <c r="H9672" s="348"/>
      <c r="I9672" s="348" t="s">
        <v>1253</v>
      </c>
      <c r="J9672" s="344" t="s">
        <v>113</v>
      </c>
      <c r="K9672" s="349">
        <v>9384.6153846153848</v>
      </c>
      <c r="L9672" s="349"/>
    </row>
    <row r="9673" spans="1:16" ht="11.25" customHeight="1" x14ac:dyDescent="0.2">
      <c r="A9673" s="350">
        <v>2025</v>
      </c>
      <c r="B9673" s="350">
        <v>8</v>
      </c>
      <c r="C9673" s="350">
        <v>7</v>
      </c>
      <c r="D9673" s="351">
        <f t="shared" si="1222"/>
        <v>45876</v>
      </c>
      <c r="E9673" s="352">
        <f t="shared" si="1227"/>
        <v>45876</v>
      </c>
      <c r="F9673" s="519"/>
      <c r="G9673" s="353" t="s">
        <v>1245</v>
      </c>
      <c r="H9673" s="354"/>
      <c r="I9673" s="354" t="s">
        <v>1253</v>
      </c>
      <c r="J9673" s="350" t="s">
        <v>153</v>
      </c>
      <c r="K9673" s="355"/>
      <c r="L9673" s="355">
        <f t="shared" ref="L9673" si="1230">K9672</f>
        <v>9384.6153846153848</v>
      </c>
    </row>
    <row r="9674" spans="1:16" ht="11.25" customHeight="1" x14ac:dyDescent="0.2">
      <c r="A9674" s="344">
        <v>2025</v>
      </c>
      <c r="B9674" s="344">
        <v>8</v>
      </c>
      <c r="C9674" s="344">
        <v>7</v>
      </c>
      <c r="D9674" s="345">
        <f t="shared" si="1222"/>
        <v>45876</v>
      </c>
      <c r="E9674" s="346">
        <f>DATE(A9674,B9674,C9674)</f>
        <v>45876</v>
      </c>
      <c r="F9674" s="518" t="s">
        <v>1991</v>
      </c>
      <c r="G9674" s="347" t="s">
        <v>1245</v>
      </c>
      <c r="H9674" s="348"/>
      <c r="I9674" s="348" t="s">
        <v>1253</v>
      </c>
      <c r="J9674" s="344" t="s">
        <v>113</v>
      </c>
      <c r="K9674" s="349">
        <v>39884.620000000003</v>
      </c>
      <c r="L9674" s="349"/>
    </row>
    <row r="9675" spans="1:16" ht="11.25" customHeight="1" x14ac:dyDescent="0.2">
      <c r="A9675" s="350">
        <v>2025</v>
      </c>
      <c r="B9675" s="350">
        <v>8</v>
      </c>
      <c r="C9675" s="350">
        <v>7</v>
      </c>
      <c r="D9675" s="351">
        <f t="shared" si="1222"/>
        <v>45876</v>
      </c>
      <c r="E9675" s="352">
        <f>DATE(A9675,B9675,C9675)</f>
        <v>45876</v>
      </c>
      <c r="F9675" s="519"/>
      <c r="G9675" s="353" t="s">
        <v>1245</v>
      </c>
      <c r="H9675" s="354"/>
      <c r="I9675" s="354" t="s">
        <v>1253</v>
      </c>
      <c r="J9675" s="350" t="s">
        <v>153</v>
      </c>
      <c r="K9675" s="355"/>
      <c r="L9675" s="355">
        <f t="shared" ref="L9675" si="1231">K9674</f>
        <v>39884.620000000003</v>
      </c>
    </row>
    <row r="9676" spans="1:16" ht="11.25" customHeight="1" x14ac:dyDescent="0.2">
      <c r="A9676" s="344">
        <v>2025</v>
      </c>
      <c r="B9676" s="344">
        <v>8</v>
      </c>
      <c r="C9676" s="344">
        <v>7</v>
      </c>
      <c r="D9676" s="345">
        <f t="shared" si="1222"/>
        <v>45876</v>
      </c>
      <c r="E9676" s="346">
        <f t="shared" ref="E9676:E9680" si="1232">DATE(A9676,B9676,C9676)</f>
        <v>45876</v>
      </c>
      <c r="F9676" s="518" t="s">
        <v>2052</v>
      </c>
      <c r="G9676" s="347" t="s">
        <v>1245</v>
      </c>
      <c r="H9676" s="348"/>
      <c r="I9676" s="348" t="s">
        <v>1253</v>
      </c>
      <c r="J9676" s="344" t="s">
        <v>113</v>
      </c>
      <c r="K9676" s="349">
        <v>11442.307692307691</v>
      </c>
      <c r="L9676" s="349"/>
    </row>
    <row r="9677" spans="1:16" ht="11.25" customHeight="1" x14ac:dyDescent="0.2">
      <c r="A9677" s="350">
        <v>2025</v>
      </c>
      <c r="B9677" s="350">
        <v>8</v>
      </c>
      <c r="C9677" s="350">
        <v>7</v>
      </c>
      <c r="D9677" s="351">
        <f t="shared" si="1222"/>
        <v>45876</v>
      </c>
      <c r="E9677" s="352">
        <f t="shared" si="1232"/>
        <v>45876</v>
      </c>
      <c r="F9677" s="519"/>
      <c r="G9677" s="353" t="s">
        <v>1245</v>
      </c>
      <c r="H9677" s="354"/>
      <c r="I9677" s="354" t="s">
        <v>1253</v>
      </c>
      <c r="J9677" s="350" t="s">
        <v>153</v>
      </c>
      <c r="K9677" s="355"/>
      <c r="L9677" s="355">
        <f t="shared" ref="L9677" si="1233">K9676</f>
        <v>11442.307692307691</v>
      </c>
    </row>
    <row r="9678" spans="1:16" ht="11.25" customHeight="1" x14ac:dyDescent="0.2">
      <c r="A9678" s="344">
        <v>2025</v>
      </c>
      <c r="B9678" s="344">
        <v>8</v>
      </c>
      <c r="C9678" s="344">
        <v>7</v>
      </c>
      <c r="D9678" s="345">
        <f t="shared" si="1222"/>
        <v>45876</v>
      </c>
      <c r="E9678" s="346">
        <f t="shared" si="1232"/>
        <v>45876</v>
      </c>
      <c r="F9678" s="518" t="s">
        <v>2053</v>
      </c>
      <c r="G9678" s="347" t="s">
        <v>1245</v>
      </c>
      <c r="H9678" s="348"/>
      <c r="I9678" s="348" t="s">
        <v>1253</v>
      </c>
      <c r="J9678" s="344" t="s">
        <v>113</v>
      </c>
      <c r="K9678" s="349">
        <v>11634.615384615385</v>
      </c>
      <c r="L9678" s="349"/>
    </row>
    <row r="9679" spans="1:16" ht="11.25" customHeight="1" x14ac:dyDescent="0.2">
      <c r="A9679" s="350">
        <v>2025</v>
      </c>
      <c r="B9679" s="350">
        <v>8</v>
      </c>
      <c r="C9679" s="350">
        <v>7</v>
      </c>
      <c r="D9679" s="351">
        <f t="shared" si="1222"/>
        <v>45876</v>
      </c>
      <c r="E9679" s="352">
        <f t="shared" si="1232"/>
        <v>45876</v>
      </c>
      <c r="F9679" s="519"/>
      <c r="G9679" s="353" t="s">
        <v>1245</v>
      </c>
      <c r="H9679" s="354"/>
      <c r="I9679" s="354" t="s">
        <v>1253</v>
      </c>
      <c r="J9679" s="350" t="s">
        <v>153</v>
      </c>
      <c r="K9679" s="355"/>
      <c r="L9679" s="355">
        <f t="shared" ref="L9679" si="1234">K9678</f>
        <v>11634.615384615385</v>
      </c>
    </row>
    <row r="9680" spans="1:16" ht="11.25" customHeight="1" x14ac:dyDescent="0.2">
      <c r="A9680" s="210">
        <v>2025</v>
      </c>
      <c r="B9680" s="210">
        <v>8</v>
      </c>
      <c r="C9680" s="210">
        <v>7</v>
      </c>
      <c r="D9680" s="211">
        <f t="shared" si="1222"/>
        <v>45876</v>
      </c>
      <c r="E9680" s="238">
        <f t="shared" si="1232"/>
        <v>45876</v>
      </c>
      <c r="F9680" s="520" t="s">
        <v>1857</v>
      </c>
      <c r="G9680" s="213" t="s">
        <v>1245</v>
      </c>
      <c r="H9680" s="214"/>
      <c r="I9680" s="214" t="s">
        <v>1253</v>
      </c>
      <c r="J9680" s="210" t="s">
        <v>1284</v>
      </c>
      <c r="K9680" s="215">
        <v>2341.8114143920593</v>
      </c>
      <c r="L9680" s="215"/>
    </row>
    <row r="9681" spans="1:13" ht="11.25" customHeight="1" x14ac:dyDescent="0.2">
      <c r="A9681" s="242">
        <v>2025</v>
      </c>
      <c r="B9681" s="242">
        <v>8</v>
      </c>
      <c r="C9681" s="242">
        <v>7</v>
      </c>
      <c r="D9681" s="243">
        <f t="shared" si="1222"/>
        <v>45876</v>
      </c>
      <c r="E9681" s="244">
        <f>DATE(A9681,B9681,C9681)</f>
        <v>45876</v>
      </c>
      <c r="F9681" s="524"/>
      <c r="G9681" s="245" t="s">
        <v>1245</v>
      </c>
      <c r="H9681" s="246"/>
      <c r="I9681" s="246"/>
      <c r="J9681" s="242" t="s">
        <v>1582</v>
      </c>
      <c r="K9681" s="247"/>
      <c r="L9681" s="247">
        <f>K9680</f>
        <v>2341.8114143920593</v>
      </c>
    </row>
    <row r="9682" spans="1:13" ht="11.25" customHeight="1" x14ac:dyDescent="0.2">
      <c r="A9682" s="210">
        <v>2025</v>
      </c>
      <c r="B9682" s="210">
        <v>8</v>
      </c>
      <c r="C9682" s="210">
        <v>7</v>
      </c>
      <c r="D9682" s="211">
        <f t="shared" si="1222"/>
        <v>45876</v>
      </c>
      <c r="E9682" s="238">
        <f t="shared" ref="E9682:E9739" si="1235">DATE(A9682,B9682,C9682)</f>
        <v>45876</v>
      </c>
      <c r="F9682" s="520" t="s">
        <v>2055</v>
      </c>
      <c r="G9682" s="213" t="s">
        <v>1245</v>
      </c>
      <c r="H9682" s="214"/>
      <c r="I9682" s="214" t="s">
        <v>1253</v>
      </c>
      <c r="J9682" s="210" t="s">
        <v>58</v>
      </c>
      <c r="K9682" s="215">
        <v>10829.83</v>
      </c>
      <c r="L9682" s="215"/>
    </row>
    <row r="9683" spans="1:13" ht="11.25" customHeight="1" x14ac:dyDescent="0.2">
      <c r="A9683" s="216">
        <v>2025</v>
      </c>
      <c r="B9683" s="216">
        <v>8</v>
      </c>
      <c r="C9683" s="216">
        <v>7</v>
      </c>
      <c r="D9683" s="217">
        <f t="shared" si="1222"/>
        <v>45876</v>
      </c>
      <c r="E9683" s="239">
        <f t="shared" si="1235"/>
        <v>45876</v>
      </c>
      <c r="F9683" s="521"/>
      <c r="G9683" s="219" t="s">
        <v>1245</v>
      </c>
      <c r="H9683" s="220"/>
      <c r="I9683" s="220" t="s">
        <v>1253</v>
      </c>
      <c r="J9683" s="216" t="s">
        <v>153</v>
      </c>
      <c r="K9683" s="221"/>
      <c r="L9683" s="221">
        <f>K9682</f>
        <v>10829.83</v>
      </c>
    </row>
    <row r="9684" spans="1:13" ht="11.25" customHeight="1" x14ac:dyDescent="0.2">
      <c r="A9684" s="312">
        <v>2025</v>
      </c>
      <c r="B9684" s="312">
        <v>8</v>
      </c>
      <c r="C9684" s="312">
        <v>7</v>
      </c>
      <c r="D9684" s="313">
        <f t="shared" si="1222"/>
        <v>45876</v>
      </c>
      <c r="E9684" s="314">
        <f t="shared" si="1235"/>
        <v>45876</v>
      </c>
      <c r="F9684" s="522" t="s">
        <v>1477</v>
      </c>
      <c r="G9684" s="315" t="s">
        <v>1245</v>
      </c>
      <c r="H9684" s="316"/>
      <c r="I9684" s="316" t="s">
        <v>1253</v>
      </c>
      <c r="J9684" s="312" t="s">
        <v>1458</v>
      </c>
      <c r="K9684" s="317">
        <v>0</v>
      </c>
      <c r="L9684" s="317"/>
    </row>
    <row r="9685" spans="1:13" ht="11.25" customHeight="1" x14ac:dyDescent="0.2">
      <c r="A9685" s="318">
        <v>2025</v>
      </c>
      <c r="B9685" s="318">
        <v>8</v>
      </c>
      <c r="C9685" s="318">
        <v>7</v>
      </c>
      <c r="D9685" s="319">
        <f t="shared" si="1222"/>
        <v>45876</v>
      </c>
      <c r="E9685" s="320">
        <f t="shared" si="1235"/>
        <v>45876</v>
      </c>
      <c r="F9685" s="523"/>
      <c r="G9685" s="321" t="s">
        <v>1245</v>
      </c>
      <c r="H9685" s="322"/>
      <c r="I9685" s="322" t="s">
        <v>1253</v>
      </c>
      <c r="J9685" s="318" t="s">
        <v>1460</v>
      </c>
      <c r="K9685" s="323"/>
      <c r="L9685" s="323">
        <f>K9684</f>
        <v>0</v>
      </c>
    </row>
    <row r="9686" spans="1:13" ht="11.25" customHeight="1" x14ac:dyDescent="0.2">
      <c r="A9686" s="312">
        <v>2025</v>
      </c>
      <c r="B9686" s="312">
        <v>8</v>
      </c>
      <c r="C9686" s="312">
        <v>7</v>
      </c>
      <c r="D9686" s="313">
        <f t="shared" si="1222"/>
        <v>45876</v>
      </c>
      <c r="E9686" s="314">
        <f t="shared" si="1235"/>
        <v>45876</v>
      </c>
      <c r="F9686" s="522" t="s">
        <v>1595</v>
      </c>
      <c r="G9686" s="315" t="s">
        <v>1245</v>
      </c>
      <c r="H9686" s="316"/>
      <c r="I9686" s="316" t="s">
        <v>1253</v>
      </c>
      <c r="J9686" s="312" t="s">
        <v>1461</v>
      </c>
      <c r="K9686" s="317">
        <v>2438460.0216614008</v>
      </c>
      <c r="L9686" s="317"/>
      <c r="M9686" s="328">
        <f>BS!$I$16</f>
        <v>0</v>
      </c>
    </row>
    <row r="9687" spans="1:13" ht="11.25" customHeight="1" x14ac:dyDescent="0.2">
      <c r="A9687" s="318">
        <v>2025</v>
      </c>
      <c r="B9687" s="318">
        <v>8</v>
      </c>
      <c r="C9687" s="318">
        <v>7</v>
      </c>
      <c r="D9687" s="319">
        <f t="shared" si="1222"/>
        <v>45876</v>
      </c>
      <c r="E9687" s="320">
        <f t="shared" si="1235"/>
        <v>45876</v>
      </c>
      <c r="F9687" s="523"/>
      <c r="G9687" s="321" t="s">
        <v>1245</v>
      </c>
      <c r="H9687" s="322"/>
      <c r="I9687" s="322" t="s">
        <v>1253</v>
      </c>
      <c r="J9687" s="318" t="s">
        <v>1459</v>
      </c>
      <c r="K9687" s="323"/>
      <c r="L9687" s="323">
        <f>K9686</f>
        <v>2438460.0216614008</v>
      </c>
      <c r="M9687" s="328"/>
    </row>
    <row r="9688" spans="1:13" ht="11.25" customHeight="1" x14ac:dyDescent="0.2">
      <c r="A9688" s="222">
        <v>2025</v>
      </c>
      <c r="B9688" s="222">
        <v>8</v>
      </c>
      <c r="C9688" s="222">
        <v>7</v>
      </c>
      <c r="D9688" s="223">
        <f t="shared" si="1222"/>
        <v>45876</v>
      </c>
      <c r="E9688" s="240">
        <f t="shared" si="1235"/>
        <v>45876</v>
      </c>
      <c r="F9688" s="511" t="s">
        <v>1244</v>
      </c>
      <c r="G9688" s="225" t="s">
        <v>1245</v>
      </c>
      <c r="H9688" s="226"/>
      <c r="I9688" s="226" t="s">
        <v>1253</v>
      </c>
      <c r="J9688" s="222" t="s">
        <v>87</v>
      </c>
      <c r="K9688" s="227">
        <v>712115.46999999881</v>
      </c>
      <c r="L9688" s="227"/>
      <c r="M9688" s="328">
        <f>BS!$I$9</f>
        <v>0</v>
      </c>
    </row>
    <row r="9689" spans="1:13" ht="11.25" customHeight="1" x14ac:dyDescent="0.2">
      <c r="A9689" s="228">
        <v>2025</v>
      </c>
      <c r="B9689" s="228">
        <v>8</v>
      </c>
      <c r="C9689" s="228">
        <v>7</v>
      </c>
      <c r="D9689" s="229">
        <f t="shared" si="1222"/>
        <v>45876</v>
      </c>
      <c r="E9689" s="241">
        <f t="shared" si="1235"/>
        <v>45876</v>
      </c>
      <c r="F9689" s="512"/>
      <c r="G9689" s="231" t="s">
        <v>1245</v>
      </c>
      <c r="H9689" s="232"/>
      <c r="I9689" s="232" t="s">
        <v>1253</v>
      </c>
      <c r="J9689" s="228" t="s">
        <v>72</v>
      </c>
      <c r="K9689" s="233"/>
      <c r="L9689" s="233">
        <f>K9688</f>
        <v>712115.46999999881</v>
      </c>
    </row>
    <row r="9690" spans="1:13" ht="11.25" customHeight="1" x14ac:dyDescent="0.2">
      <c r="A9690" s="222">
        <v>2025</v>
      </c>
      <c r="B9690" s="222">
        <v>8</v>
      </c>
      <c r="C9690" s="222">
        <v>7</v>
      </c>
      <c r="D9690" s="223">
        <f t="shared" si="1222"/>
        <v>45876</v>
      </c>
      <c r="E9690" s="240">
        <f t="shared" si="1235"/>
        <v>45876</v>
      </c>
      <c r="F9690" s="511" t="s">
        <v>1246</v>
      </c>
      <c r="G9690" s="225" t="s">
        <v>1245</v>
      </c>
      <c r="H9690" s="226"/>
      <c r="I9690" s="226" t="s">
        <v>1253</v>
      </c>
      <c r="J9690" s="222" t="s">
        <v>75</v>
      </c>
      <c r="K9690" s="227">
        <v>3623.123846153846</v>
      </c>
      <c r="L9690" s="227"/>
    </row>
    <row r="9691" spans="1:13" ht="11.25" customHeight="1" x14ac:dyDescent="0.2">
      <c r="A9691" s="228">
        <v>2025</v>
      </c>
      <c r="B9691" s="228">
        <v>8</v>
      </c>
      <c r="C9691" s="228">
        <v>7</v>
      </c>
      <c r="D9691" s="229">
        <f t="shared" si="1222"/>
        <v>45876</v>
      </c>
      <c r="E9691" s="241">
        <f t="shared" si="1235"/>
        <v>45876</v>
      </c>
      <c r="F9691" s="512"/>
      <c r="G9691" s="231" t="s">
        <v>1245</v>
      </c>
      <c r="H9691" s="232"/>
      <c r="I9691" s="232" t="s">
        <v>1253</v>
      </c>
      <c r="J9691" s="228" t="s">
        <v>55</v>
      </c>
      <c r="K9691" s="233"/>
      <c r="L9691" s="233">
        <f>K9690</f>
        <v>3623.123846153846</v>
      </c>
    </row>
    <row r="9692" spans="1:13" ht="11.25" customHeight="1" x14ac:dyDescent="0.2">
      <c r="A9692" s="222">
        <v>2025</v>
      </c>
      <c r="B9692" s="222">
        <v>8</v>
      </c>
      <c r="C9692" s="222">
        <v>7</v>
      </c>
      <c r="D9692" s="223">
        <f t="shared" si="1222"/>
        <v>45876</v>
      </c>
      <c r="E9692" s="240">
        <f t="shared" si="1235"/>
        <v>45876</v>
      </c>
      <c r="F9692" s="511" t="s">
        <v>1247</v>
      </c>
      <c r="G9692" s="225" t="s">
        <v>1245</v>
      </c>
      <c r="H9692" s="226"/>
      <c r="I9692" s="226" t="s">
        <v>1253</v>
      </c>
      <c r="J9692" s="222" t="s">
        <v>77</v>
      </c>
      <c r="K9692" s="227">
        <f>M9692</f>
        <v>62150.346226366222</v>
      </c>
      <c r="L9692" s="227"/>
      <c r="M9692" s="120">
        <v>62150.346226366222</v>
      </c>
    </row>
    <row r="9693" spans="1:13" ht="11.25" customHeight="1" x14ac:dyDescent="0.2">
      <c r="A9693" s="228">
        <v>2025</v>
      </c>
      <c r="B9693" s="228">
        <v>8</v>
      </c>
      <c r="C9693" s="228">
        <v>7</v>
      </c>
      <c r="D9693" s="229">
        <f t="shared" si="1222"/>
        <v>45876</v>
      </c>
      <c r="E9693" s="241">
        <f t="shared" si="1235"/>
        <v>45876</v>
      </c>
      <c r="F9693" s="512"/>
      <c r="G9693" s="231" t="s">
        <v>1245</v>
      </c>
      <c r="H9693" s="232"/>
      <c r="I9693" s="232" t="s">
        <v>1253</v>
      </c>
      <c r="J9693" s="228" t="s">
        <v>41</v>
      </c>
      <c r="K9693" s="233"/>
      <c r="L9693" s="233">
        <f>K9692</f>
        <v>62150.346226366222</v>
      </c>
      <c r="M9693" s="120">
        <v>6215.0346226366228</v>
      </c>
    </row>
    <row r="9694" spans="1:13" ht="11.25" customHeight="1" x14ac:dyDescent="0.2">
      <c r="A9694" s="222">
        <v>2025</v>
      </c>
      <c r="B9694" s="222">
        <v>8</v>
      </c>
      <c r="C9694" s="222">
        <v>7</v>
      </c>
      <c r="D9694" s="223">
        <f t="shared" si="1222"/>
        <v>45876</v>
      </c>
      <c r="E9694" s="240">
        <f t="shared" si="1235"/>
        <v>45876</v>
      </c>
      <c r="F9694" s="511" t="s">
        <v>1248</v>
      </c>
      <c r="G9694" s="225" t="s">
        <v>1245</v>
      </c>
      <c r="H9694" s="226"/>
      <c r="I9694" s="226" t="s">
        <v>1253</v>
      </c>
      <c r="J9694" s="222" t="s">
        <v>80</v>
      </c>
      <c r="K9694" s="227">
        <f>M9693</f>
        <v>6215.0346226366228</v>
      </c>
      <c r="L9694" s="227"/>
    </row>
    <row r="9695" spans="1:13" ht="11.25" customHeight="1" x14ac:dyDescent="0.2">
      <c r="A9695" s="228">
        <v>2025</v>
      </c>
      <c r="B9695" s="228">
        <v>8</v>
      </c>
      <c r="C9695" s="228">
        <v>7</v>
      </c>
      <c r="D9695" s="229">
        <f t="shared" si="1222"/>
        <v>45876</v>
      </c>
      <c r="E9695" s="241">
        <f t="shared" si="1235"/>
        <v>45876</v>
      </c>
      <c r="F9695" s="512"/>
      <c r="G9695" s="231" t="s">
        <v>1245</v>
      </c>
      <c r="H9695" s="232"/>
      <c r="I9695" s="232" t="s">
        <v>1253</v>
      </c>
      <c r="J9695" s="228" t="s">
        <v>42</v>
      </c>
      <c r="K9695" s="233"/>
      <c r="L9695" s="233">
        <f>K9694</f>
        <v>6215.0346226366228</v>
      </c>
    </row>
    <row r="9696" spans="1:13" x14ac:dyDescent="0.2">
      <c r="A9696" s="197">
        <v>2025</v>
      </c>
      <c r="B9696" s="197">
        <v>8</v>
      </c>
      <c r="C9696" s="197">
        <v>9</v>
      </c>
      <c r="D9696" s="198">
        <f t="shared" si="1222"/>
        <v>45878</v>
      </c>
      <c r="E9696" s="209">
        <f t="shared" si="1235"/>
        <v>45878</v>
      </c>
      <c r="F9696" s="513" t="s">
        <v>1210</v>
      </c>
      <c r="G9696" s="200" t="s">
        <v>1209</v>
      </c>
      <c r="H9696" s="201"/>
      <c r="I9696" s="201"/>
      <c r="J9696" s="197" t="s">
        <v>46</v>
      </c>
      <c r="K9696" s="202">
        <v>60000</v>
      </c>
      <c r="L9696" s="202"/>
    </row>
    <row r="9697" spans="1:12" x14ac:dyDescent="0.2">
      <c r="A9697" s="120">
        <v>2025</v>
      </c>
      <c r="B9697" s="120">
        <v>8</v>
      </c>
      <c r="C9697" s="120">
        <v>9</v>
      </c>
      <c r="D9697" s="208">
        <f t="shared" si="1222"/>
        <v>45878</v>
      </c>
      <c r="E9697" s="209">
        <f t="shared" si="1235"/>
        <v>45878</v>
      </c>
      <c r="F9697" s="515"/>
      <c r="G9697" s="132" t="s">
        <v>1209</v>
      </c>
      <c r="J9697" s="120" t="s">
        <v>16</v>
      </c>
      <c r="K9697" s="207"/>
      <c r="L9697" s="207">
        <v>46450</v>
      </c>
    </row>
    <row r="9698" spans="1:12" x14ac:dyDescent="0.2">
      <c r="A9698" s="191">
        <v>2025</v>
      </c>
      <c r="B9698" s="191">
        <v>8</v>
      </c>
      <c r="C9698" s="191">
        <v>9</v>
      </c>
      <c r="D9698" s="192">
        <f t="shared" si="1222"/>
        <v>45878</v>
      </c>
      <c r="E9698" s="193">
        <f t="shared" si="1235"/>
        <v>45878</v>
      </c>
      <c r="F9698" s="514"/>
      <c r="G9698" s="194" t="s">
        <v>1209</v>
      </c>
      <c r="H9698" s="195"/>
      <c r="I9698" s="195"/>
      <c r="J9698" s="191" t="s">
        <v>47</v>
      </c>
      <c r="K9698" s="196"/>
      <c r="L9698" s="196">
        <v>13550</v>
      </c>
    </row>
    <row r="9699" spans="1:12" ht="11.25" customHeight="1" x14ac:dyDescent="0.2">
      <c r="A9699" s="197">
        <v>2025</v>
      </c>
      <c r="B9699" s="197">
        <v>8</v>
      </c>
      <c r="C9699" s="197">
        <v>10</v>
      </c>
      <c r="D9699" s="198">
        <f t="shared" si="1222"/>
        <v>45879</v>
      </c>
      <c r="E9699" s="209">
        <f t="shared" si="1235"/>
        <v>45879</v>
      </c>
      <c r="F9699" s="513" t="s">
        <v>1280</v>
      </c>
      <c r="G9699" s="200" t="s">
        <v>1209</v>
      </c>
      <c r="H9699" s="201"/>
      <c r="I9699" s="201"/>
      <c r="J9699" s="197" t="s">
        <v>16</v>
      </c>
      <c r="K9699" s="202">
        <v>38710</v>
      </c>
      <c r="L9699" s="202"/>
    </row>
    <row r="9700" spans="1:12" ht="11.25" customHeight="1" x14ac:dyDescent="0.2">
      <c r="A9700" s="120">
        <v>2025</v>
      </c>
      <c r="B9700" s="120">
        <v>8</v>
      </c>
      <c r="C9700" s="120">
        <v>10</v>
      </c>
      <c r="D9700" s="208">
        <f t="shared" si="1222"/>
        <v>45879</v>
      </c>
      <c r="E9700" s="209">
        <f t="shared" si="1235"/>
        <v>45879</v>
      </c>
      <c r="F9700" s="515"/>
      <c r="G9700" s="132" t="s">
        <v>1209</v>
      </c>
      <c r="J9700" s="120" t="s">
        <v>47</v>
      </c>
      <c r="K9700" s="207">
        <v>11290</v>
      </c>
      <c r="L9700" s="207"/>
    </row>
    <row r="9701" spans="1:12" ht="11.25" customHeight="1" x14ac:dyDescent="0.2">
      <c r="A9701" s="191">
        <v>2025</v>
      </c>
      <c r="B9701" s="191">
        <v>8</v>
      </c>
      <c r="C9701" s="191">
        <v>10</v>
      </c>
      <c r="D9701" s="192">
        <f t="shared" si="1222"/>
        <v>45879</v>
      </c>
      <c r="E9701" s="193">
        <f t="shared" si="1235"/>
        <v>45879</v>
      </c>
      <c r="F9701" s="514"/>
      <c r="G9701" s="194" t="s">
        <v>1209</v>
      </c>
      <c r="H9701" s="195"/>
      <c r="I9701" s="195"/>
      <c r="J9701" s="191" t="s">
        <v>46</v>
      </c>
      <c r="K9701" s="196"/>
      <c r="L9701" s="196">
        <v>50000</v>
      </c>
    </row>
    <row r="9702" spans="1:12" ht="11.25" customHeight="1" x14ac:dyDescent="0.2">
      <c r="A9702" s="197">
        <v>2025</v>
      </c>
      <c r="B9702" s="197">
        <v>8</v>
      </c>
      <c r="C9702" s="197">
        <v>10</v>
      </c>
      <c r="D9702" s="198">
        <f t="shared" si="1222"/>
        <v>45879</v>
      </c>
      <c r="E9702" s="209">
        <f t="shared" si="1235"/>
        <v>45879</v>
      </c>
      <c r="F9702" s="513" t="s">
        <v>1280</v>
      </c>
      <c r="G9702" s="200" t="s">
        <v>1209</v>
      </c>
      <c r="H9702" s="201"/>
      <c r="I9702" s="201"/>
      <c r="J9702" s="197" t="s">
        <v>16</v>
      </c>
      <c r="K9702" s="202">
        <v>159480</v>
      </c>
      <c r="L9702" s="202"/>
    </row>
    <row r="9703" spans="1:12" ht="11.25" customHeight="1" x14ac:dyDescent="0.2">
      <c r="A9703" s="120">
        <v>2025</v>
      </c>
      <c r="B9703" s="120">
        <v>8</v>
      </c>
      <c r="C9703" s="120">
        <v>10</v>
      </c>
      <c r="D9703" s="208">
        <f t="shared" si="1222"/>
        <v>45879</v>
      </c>
      <c r="E9703" s="209">
        <f t="shared" si="1235"/>
        <v>45879</v>
      </c>
      <c r="F9703" s="515"/>
      <c r="G9703" s="132" t="s">
        <v>1209</v>
      </c>
      <c r="J9703" s="120" t="s">
        <v>47</v>
      </c>
      <c r="K9703" s="207">
        <v>46536.260000000009</v>
      </c>
      <c r="L9703" s="207"/>
    </row>
    <row r="9704" spans="1:12" ht="11.25" customHeight="1" x14ac:dyDescent="0.2">
      <c r="A9704" s="191">
        <v>2025</v>
      </c>
      <c r="B9704" s="191">
        <v>8</v>
      </c>
      <c r="C9704" s="191">
        <v>10</v>
      </c>
      <c r="D9704" s="192">
        <f t="shared" si="1222"/>
        <v>45879</v>
      </c>
      <c r="E9704" s="193">
        <f t="shared" si="1235"/>
        <v>45879</v>
      </c>
      <c r="F9704" s="514"/>
      <c r="G9704" s="194" t="s">
        <v>1209</v>
      </c>
      <c r="H9704" s="195"/>
      <c r="I9704" s="195"/>
      <c r="J9704" s="191" t="s">
        <v>46</v>
      </c>
      <c r="K9704" s="196"/>
      <c r="L9704" s="196">
        <v>206016.26</v>
      </c>
    </row>
    <row r="9705" spans="1:12" ht="11.25" customHeight="1" x14ac:dyDescent="0.2">
      <c r="A9705" s="197">
        <v>2025</v>
      </c>
      <c r="B9705" s="197">
        <v>8</v>
      </c>
      <c r="C9705" s="197">
        <v>10</v>
      </c>
      <c r="D9705" s="198">
        <f t="shared" si="1222"/>
        <v>45879</v>
      </c>
      <c r="E9705" s="209">
        <f t="shared" ref="E9705:E9707" si="1236">DATE(A9705,B9705,C9705)</f>
        <v>45879</v>
      </c>
      <c r="F9705" s="513" t="s">
        <v>1280</v>
      </c>
      <c r="G9705" s="200" t="s">
        <v>1209</v>
      </c>
      <c r="H9705" s="201"/>
      <c r="I9705" s="201"/>
      <c r="J9705" s="197" t="s">
        <v>16</v>
      </c>
      <c r="K9705" s="202">
        <v>403120</v>
      </c>
      <c r="L9705" s="202"/>
    </row>
    <row r="9706" spans="1:12" ht="11.25" customHeight="1" x14ac:dyDescent="0.2">
      <c r="A9706" s="120">
        <v>2025</v>
      </c>
      <c r="B9706" s="120">
        <v>8</v>
      </c>
      <c r="C9706" s="120">
        <v>10</v>
      </c>
      <c r="D9706" s="208">
        <f t="shared" si="1222"/>
        <v>45879</v>
      </c>
      <c r="E9706" s="209">
        <f t="shared" si="1236"/>
        <v>45879</v>
      </c>
      <c r="F9706" s="515"/>
      <c r="G9706" s="132" t="s">
        <v>1209</v>
      </c>
      <c r="J9706" s="120" t="s">
        <v>47</v>
      </c>
      <c r="K9706" s="207">
        <v>117630</v>
      </c>
      <c r="L9706" s="207"/>
    </row>
    <row r="9707" spans="1:12" ht="11.25" customHeight="1" x14ac:dyDescent="0.2">
      <c r="A9707" s="191">
        <v>2025</v>
      </c>
      <c r="B9707" s="191">
        <v>8</v>
      </c>
      <c r="C9707" s="191">
        <v>10</v>
      </c>
      <c r="D9707" s="192">
        <f t="shared" si="1222"/>
        <v>45879</v>
      </c>
      <c r="E9707" s="193">
        <f t="shared" si="1236"/>
        <v>45879</v>
      </c>
      <c r="F9707" s="514"/>
      <c r="G9707" s="194" t="s">
        <v>1209</v>
      </c>
      <c r="H9707" s="195"/>
      <c r="I9707" s="195"/>
      <c r="J9707" s="191" t="s">
        <v>46</v>
      </c>
      <c r="K9707" s="196"/>
      <c r="L9707" s="196">
        <v>520750</v>
      </c>
    </row>
    <row r="9708" spans="1:12" ht="11.25" customHeight="1" x14ac:dyDescent="0.2">
      <c r="A9708" s="197">
        <v>2025</v>
      </c>
      <c r="B9708" s="197">
        <v>8</v>
      </c>
      <c r="C9708" s="197">
        <v>10</v>
      </c>
      <c r="D9708" s="198">
        <f t="shared" ref="D9708:D9771" si="1237">DATE(A9708,B9708,C9708)</f>
        <v>45879</v>
      </c>
      <c r="E9708" s="209">
        <f t="shared" ref="E9708:E9710" si="1238">DATE(A9708,B9708,C9708)</f>
        <v>45879</v>
      </c>
      <c r="F9708" s="513" t="s">
        <v>1280</v>
      </c>
      <c r="G9708" s="200" t="s">
        <v>1209</v>
      </c>
      <c r="H9708" s="201"/>
      <c r="I9708" s="201"/>
      <c r="J9708" s="197" t="s">
        <v>16</v>
      </c>
      <c r="K9708" s="202">
        <v>90420</v>
      </c>
      <c r="L9708" s="202"/>
    </row>
    <row r="9709" spans="1:12" ht="11.25" customHeight="1" x14ac:dyDescent="0.2">
      <c r="A9709" s="120">
        <v>2025</v>
      </c>
      <c r="B9709" s="120">
        <v>8</v>
      </c>
      <c r="C9709" s="120">
        <v>10</v>
      </c>
      <c r="D9709" s="208">
        <f t="shared" si="1237"/>
        <v>45879</v>
      </c>
      <c r="E9709" s="209">
        <f t="shared" si="1238"/>
        <v>45879</v>
      </c>
      <c r="F9709" s="515"/>
      <c r="G9709" s="132" t="s">
        <v>1209</v>
      </c>
      <c r="J9709" s="120" t="s">
        <v>47</v>
      </c>
      <c r="K9709" s="207">
        <v>26384.559999999998</v>
      </c>
      <c r="L9709" s="207"/>
    </row>
    <row r="9710" spans="1:12" ht="11.25" customHeight="1" x14ac:dyDescent="0.2">
      <c r="A9710" s="191">
        <v>2025</v>
      </c>
      <c r="B9710" s="191">
        <v>8</v>
      </c>
      <c r="C9710" s="191">
        <v>10</v>
      </c>
      <c r="D9710" s="192">
        <f t="shared" si="1237"/>
        <v>45879</v>
      </c>
      <c r="E9710" s="193">
        <f t="shared" si="1238"/>
        <v>45879</v>
      </c>
      <c r="F9710" s="514"/>
      <c r="G9710" s="194" t="s">
        <v>1209</v>
      </c>
      <c r="H9710" s="195"/>
      <c r="I9710" s="195"/>
      <c r="J9710" s="191" t="s">
        <v>46</v>
      </c>
      <c r="K9710" s="196"/>
      <c r="L9710" s="196">
        <v>116804.56</v>
      </c>
    </row>
    <row r="9711" spans="1:12" ht="11.25" customHeight="1" x14ac:dyDescent="0.2">
      <c r="A9711" s="197">
        <v>2025</v>
      </c>
      <c r="B9711" s="197">
        <v>8</v>
      </c>
      <c r="C9711" s="197">
        <v>10</v>
      </c>
      <c r="D9711" s="198">
        <f t="shared" si="1237"/>
        <v>45879</v>
      </c>
      <c r="E9711" s="209">
        <f t="shared" ref="E9711:E9716" si="1239">DATE(A9711,B9711,C9711)</f>
        <v>45879</v>
      </c>
      <c r="F9711" s="513" t="s">
        <v>1280</v>
      </c>
      <c r="G9711" s="200" t="s">
        <v>1209</v>
      </c>
      <c r="H9711" s="201"/>
      <c r="I9711" s="201"/>
      <c r="J9711" s="197" t="s">
        <v>16</v>
      </c>
      <c r="K9711" s="202">
        <v>77410</v>
      </c>
      <c r="L9711" s="202"/>
    </row>
    <row r="9712" spans="1:12" ht="11.25" customHeight="1" x14ac:dyDescent="0.2">
      <c r="A9712" s="120">
        <v>2025</v>
      </c>
      <c r="B9712" s="120">
        <v>8</v>
      </c>
      <c r="C9712" s="120">
        <v>10</v>
      </c>
      <c r="D9712" s="208">
        <f t="shared" si="1237"/>
        <v>45879</v>
      </c>
      <c r="E9712" s="209">
        <f t="shared" si="1239"/>
        <v>45879</v>
      </c>
      <c r="F9712" s="515"/>
      <c r="G9712" s="132" t="s">
        <v>1209</v>
      </c>
      <c r="J9712" s="120" t="s">
        <v>47</v>
      </c>
      <c r="K9712" s="207">
        <v>22590</v>
      </c>
      <c r="L9712" s="207"/>
    </row>
    <row r="9713" spans="1:15" ht="11.25" customHeight="1" x14ac:dyDescent="0.2">
      <c r="A9713" s="191">
        <v>2025</v>
      </c>
      <c r="B9713" s="191">
        <v>8</v>
      </c>
      <c r="C9713" s="191">
        <v>10</v>
      </c>
      <c r="D9713" s="192">
        <f t="shared" si="1237"/>
        <v>45879</v>
      </c>
      <c r="E9713" s="193">
        <f t="shared" si="1239"/>
        <v>45879</v>
      </c>
      <c r="F9713" s="514"/>
      <c r="G9713" s="194" t="s">
        <v>1209</v>
      </c>
      <c r="H9713" s="195"/>
      <c r="I9713" s="195"/>
      <c r="J9713" s="191" t="s">
        <v>46</v>
      </c>
      <c r="K9713" s="196"/>
      <c r="L9713" s="196">
        <v>100000</v>
      </c>
    </row>
    <row r="9714" spans="1:15" ht="11.25" customHeight="1" x14ac:dyDescent="0.2">
      <c r="A9714" s="197">
        <v>2025</v>
      </c>
      <c r="B9714" s="197">
        <v>8</v>
      </c>
      <c r="C9714" s="197">
        <v>10</v>
      </c>
      <c r="D9714" s="198">
        <f t="shared" si="1237"/>
        <v>45879</v>
      </c>
      <c r="E9714" s="209">
        <f t="shared" si="1239"/>
        <v>45879</v>
      </c>
      <c r="F9714" s="513" t="s">
        <v>1280</v>
      </c>
      <c r="G9714" s="200" t="s">
        <v>1209</v>
      </c>
      <c r="H9714" s="201"/>
      <c r="I9714" s="201"/>
      <c r="J9714" s="197" t="s">
        <v>16</v>
      </c>
      <c r="K9714" s="202">
        <v>20130</v>
      </c>
      <c r="L9714" s="202"/>
    </row>
    <row r="9715" spans="1:15" ht="11.25" customHeight="1" x14ac:dyDescent="0.2">
      <c r="A9715" s="120">
        <v>2025</v>
      </c>
      <c r="B9715" s="120">
        <v>8</v>
      </c>
      <c r="C9715" s="120">
        <v>10</v>
      </c>
      <c r="D9715" s="208">
        <f t="shared" si="1237"/>
        <v>45879</v>
      </c>
      <c r="E9715" s="209">
        <f t="shared" si="1239"/>
        <v>45879</v>
      </c>
      <c r="F9715" s="515"/>
      <c r="G9715" s="132" t="s">
        <v>1209</v>
      </c>
      <c r="J9715" s="120" t="s">
        <v>47</v>
      </c>
      <c r="K9715" s="207">
        <v>5870</v>
      </c>
      <c r="L9715" s="207"/>
    </row>
    <row r="9716" spans="1:15" ht="11.25" customHeight="1" x14ac:dyDescent="0.2">
      <c r="A9716" s="191">
        <v>2025</v>
      </c>
      <c r="B9716" s="191">
        <v>8</v>
      </c>
      <c r="C9716" s="191">
        <v>10</v>
      </c>
      <c r="D9716" s="192">
        <f t="shared" si="1237"/>
        <v>45879</v>
      </c>
      <c r="E9716" s="193">
        <f t="shared" si="1239"/>
        <v>45879</v>
      </c>
      <c r="F9716" s="514"/>
      <c r="G9716" s="194" t="s">
        <v>1209</v>
      </c>
      <c r="H9716" s="195"/>
      <c r="I9716" s="195"/>
      <c r="J9716" s="191" t="s">
        <v>46</v>
      </c>
      <c r="K9716" s="196"/>
      <c r="L9716" s="196">
        <v>26000</v>
      </c>
    </row>
    <row r="9717" spans="1:15" ht="11.25" customHeight="1" x14ac:dyDescent="0.2">
      <c r="A9717" s="197">
        <v>2025</v>
      </c>
      <c r="B9717" s="197">
        <v>8</v>
      </c>
      <c r="C9717" s="197">
        <v>10</v>
      </c>
      <c r="D9717" s="198">
        <f t="shared" si="1237"/>
        <v>45879</v>
      </c>
      <c r="E9717" s="209">
        <f t="shared" ref="E9717:E9719" si="1240">DATE(A9717,B9717,C9717)</f>
        <v>45879</v>
      </c>
      <c r="F9717" s="513" t="s">
        <v>1280</v>
      </c>
      <c r="G9717" s="200" t="s">
        <v>1209</v>
      </c>
      <c r="H9717" s="201"/>
      <c r="I9717" s="201"/>
      <c r="J9717" s="197" t="s">
        <v>16</v>
      </c>
      <c r="K9717" s="202">
        <v>735410</v>
      </c>
      <c r="L9717" s="202"/>
    </row>
    <row r="9718" spans="1:15" ht="11.25" customHeight="1" x14ac:dyDescent="0.2">
      <c r="A9718" s="120">
        <v>2025</v>
      </c>
      <c r="B9718" s="120">
        <v>8</v>
      </c>
      <c r="C9718" s="120">
        <v>10</v>
      </c>
      <c r="D9718" s="208">
        <f t="shared" si="1237"/>
        <v>45879</v>
      </c>
      <c r="E9718" s="209">
        <f t="shared" si="1240"/>
        <v>45879</v>
      </c>
      <c r="F9718" s="515"/>
      <c r="G9718" s="132" t="s">
        <v>1209</v>
      </c>
      <c r="J9718" s="120" t="s">
        <v>47</v>
      </c>
      <c r="K9718" s="207">
        <v>214590</v>
      </c>
      <c r="L9718" s="207"/>
    </row>
    <row r="9719" spans="1:15" ht="11.25" customHeight="1" x14ac:dyDescent="0.2">
      <c r="A9719" s="191">
        <v>2025</v>
      </c>
      <c r="B9719" s="191">
        <v>8</v>
      </c>
      <c r="C9719" s="191">
        <v>10</v>
      </c>
      <c r="D9719" s="192">
        <f t="shared" si="1237"/>
        <v>45879</v>
      </c>
      <c r="E9719" s="193">
        <f t="shared" si="1240"/>
        <v>45879</v>
      </c>
      <c r="F9719" s="514"/>
      <c r="G9719" s="194" t="s">
        <v>1209</v>
      </c>
      <c r="H9719" s="195"/>
      <c r="I9719" s="195"/>
      <c r="J9719" s="191" t="s">
        <v>46</v>
      </c>
      <c r="K9719" s="196"/>
      <c r="L9719" s="196">
        <v>950000</v>
      </c>
    </row>
    <row r="9720" spans="1:15" ht="11.25" customHeight="1" x14ac:dyDescent="0.2">
      <c r="A9720" s="197">
        <v>2025</v>
      </c>
      <c r="B9720" s="197">
        <v>8</v>
      </c>
      <c r="C9720" s="197">
        <v>10</v>
      </c>
      <c r="D9720" s="198">
        <f t="shared" si="1237"/>
        <v>45879</v>
      </c>
      <c r="E9720" s="209">
        <f t="shared" ref="E9720:E9724" si="1241">DATE(A9720,B9720,C9720)</f>
        <v>45879</v>
      </c>
      <c r="F9720" s="513" t="s">
        <v>1280</v>
      </c>
      <c r="G9720" s="200" t="s">
        <v>1209</v>
      </c>
      <c r="H9720" s="201"/>
      <c r="I9720" s="201"/>
      <c r="J9720" s="197" t="s">
        <v>16</v>
      </c>
      <c r="K9720" s="202">
        <v>9420</v>
      </c>
      <c r="L9720" s="202"/>
    </row>
    <row r="9721" spans="1:15" ht="11.25" customHeight="1" x14ac:dyDescent="0.2">
      <c r="A9721" s="120">
        <v>2025</v>
      </c>
      <c r="B9721" s="120">
        <v>8</v>
      </c>
      <c r="C9721" s="120">
        <v>10</v>
      </c>
      <c r="D9721" s="208">
        <f t="shared" si="1237"/>
        <v>45879</v>
      </c>
      <c r="E9721" s="209">
        <f t="shared" si="1241"/>
        <v>45879</v>
      </c>
      <c r="F9721" s="515"/>
      <c r="G9721" s="132" t="s">
        <v>1209</v>
      </c>
      <c r="J9721" s="120" t="s">
        <v>47</v>
      </c>
      <c r="K9721" s="207">
        <v>2752.8600000000006</v>
      </c>
      <c r="L9721" s="207"/>
    </row>
    <row r="9722" spans="1:15" ht="11.25" customHeight="1" x14ac:dyDescent="0.2">
      <c r="A9722" s="191">
        <v>2025</v>
      </c>
      <c r="B9722" s="191">
        <v>8</v>
      </c>
      <c r="C9722" s="191">
        <v>10</v>
      </c>
      <c r="D9722" s="192">
        <f t="shared" si="1237"/>
        <v>45879</v>
      </c>
      <c r="E9722" s="193">
        <f t="shared" si="1241"/>
        <v>45879</v>
      </c>
      <c r="F9722" s="514"/>
      <c r="G9722" s="194" t="s">
        <v>1209</v>
      </c>
      <c r="H9722" s="195"/>
      <c r="I9722" s="195"/>
      <c r="J9722" s="191" t="s">
        <v>46</v>
      </c>
      <c r="K9722" s="196"/>
      <c r="L9722" s="196">
        <v>12172.86</v>
      </c>
    </row>
    <row r="9723" spans="1:15" ht="11.25" customHeight="1" x14ac:dyDescent="0.2">
      <c r="A9723" s="197">
        <v>2025</v>
      </c>
      <c r="B9723" s="197">
        <v>8</v>
      </c>
      <c r="C9723" s="197">
        <v>10</v>
      </c>
      <c r="D9723" s="198">
        <f t="shared" si="1237"/>
        <v>45879</v>
      </c>
      <c r="E9723" s="290">
        <f t="shared" si="1241"/>
        <v>45879</v>
      </c>
      <c r="F9723" s="513" t="s">
        <v>1514</v>
      </c>
      <c r="G9723" s="200" t="s">
        <v>1209</v>
      </c>
      <c r="H9723" s="201"/>
      <c r="I9723" s="201"/>
      <c r="J9723" s="197" t="s">
        <v>54</v>
      </c>
      <c r="K9723" s="202">
        <v>58</v>
      </c>
      <c r="L9723" s="202"/>
      <c r="M9723" s="251"/>
      <c r="N9723" s="251"/>
      <c r="O9723" s="251"/>
    </row>
    <row r="9724" spans="1:15" ht="11.25" customHeight="1" x14ac:dyDescent="0.2">
      <c r="A9724" s="191">
        <v>2025</v>
      </c>
      <c r="B9724" s="191">
        <v>8</v>
      </c>
      <c r="C9724" s="191">
        <v>10</v>
      </c>
      <c r="D9724" s="192">
        <f t="shared" si="1237"/>
        <v>45879</v>
      </c>
      <c r="E9724" s="291">
        <f t="shared" si="1241"/>
        <v>45879</v>
      </c>
      <c r="F9724" s="514"/>
      <c r="G9724" s="194" t="s">
        <v>1209</v>
      </c>
      <c r="H9724" s="195"/>
      <c r="I9724" s="195"/>
      <c r="J9724" s="191" t="s">
        <v>46</v>
      </c>
      <c r="K9724" s="196"/>
      <c r="L9724" s="196">
        <f>K9723</f>
        <v>58</v>
      </c>
      <c r="M9724" s="251"/>
    </row>
    <row r="9725" spans="1:15" ht="11.25" customHeight="1" x14ac:dyDescent="0.2">
      <c r="A9725" s="197">
        <v>2025</v>
      </c>
      <c r="B9725" s="197">
        <v>8</v>
      </c>
      <c r="C9725" s="197">
        <v>10</v>
      </c>
      <c r="D9725" s="198">
        <f t="shared" si="1237"/>
        <v>45879</v>
      </c>
      <c r="E9725" s="290">
        <f t="shared" si="1235"/>
        <v>45879</v>
      </c>
      <c r="F9725" s="513" t="s">
        <v>1514</v>
      </c>
      <c r="G9725" s="200" t="s">
        <v>1209</v>
      </c>
      <c r="H9725" s="201"/>
      <c r="I9725" s="201"/>
      <c r="J9725" s="197" t="s">
        <v>54</v>
      </c>
      <c r="K9725" s="202">
        <v>416</v>
      </c>
      <c r="L9725" s="202"/>
      <c r="M9725" s="251"/>
      <c r="N9725" s="251"/>
      <c r="O9725" s="251"/>
    </row>
    <row r="9726" spans="1:15" ht="11.25" customHeight="1" x14ac:dyDescent="0.2">
      <c r="A9726" s="191">
        <v>2025</v>
      </c>
      <c r="B9726" s="191">
        <v>8</v>
      </c>
      <c r="C9726" s="191">
        <v>10</v>
      </c>
      <c r="D9726" s="192">
        <f t="shared" si="1237"/>
        <v>45879</v>
      </c>
      <c r="E9726" s="291">
        <f t="shared" si="1235"/>
        <v>45879</v>
      </c>
      <c r="F9726" s="514"/>
      <c r="G9726" s="194" t="s">
        <v>1209</v>
      </c>
      <c r="H9726" s="195"/>
      <c r="I9726" s="195"/>
      <c r="J9726" s="191" t="s">
        <v>46</v>
      </c>
      <c r="K9726" s="196"/>
      <c r="L9726" s="196">
        <f>K9725</f>
        <v>416</v>
      </c>
      <c r="M9726" s="251"/>
    </row>
    <row r="9727" spans="1:15" ht="11.25" customHeight="1" x14ac:dyDescent="0.2">
      <c r="A9727" s="197">
        <v>2025</v>
      </c>
      <c r="B9727" s="197">
        <v>8</v>
      </c>
      <c r="C9727" s="197">
        <v>11</v>
      </c>
      <c r="D9727" s="198">
        <f t="shared" si="1237"/>
        <v>45880</v>
      </c>
      <c r="E9727" s="290">
        <f t="shared" si="1235"/>
        <v>45880</v>
      </c>
      <c r="F9727" s="513" t="s">
        <v>2034</v>
      </c>
      <c r="G9727" s="200" t="s">
        <v>1245</v>
      </c>
      <c r="H9727" s="201"/>
      <c r="I9727" s="201" t="s">
        <v>1253</v>
      </c>
      <c r="J9727" s="197" t="s">
        <v>46</v>
      </c>
      <c r="K9727" s="202">
        <v>305000</v>
      </c>
      <c r="L9727" s="202"/>
      <c r="M9727" s="130"/>
    </row>
    <row r="9728" spans="1:15" ht="11.25" customHeight="1" x14ac:dyDescent="0.2">
      <c r="A9728" s="191">
        <v>2025</v>
      </c>
      <c r="B9728" s="191">
        <v>8</v>
      </c>
      <c r="C9728" s="191">
        <v>11</v>
      </c>
      <c r="D9728" s="192">
        <f t="shared" si="1237"/>
        <v>45880</v>
      </c>
      <c r="E9728" s="291">
        <f t="shared" si="1235"/>
        <v>45880</v>
      </c>
      <c r="F9728" s="513"/>
      <c r="G9728" s="194" t="s">
        <v>1245</v>
      </c>
      <c r="H9728" s="195"/>
      <c r="I9728" s="195" t="s">
        <v>1253</v>
      </c>
      <c r="J9728" s="191" t="s">
        <v>113</v>
      </c>
      <c r="K9728" s="196"/>
      <c r="L9728" s="196">
        <v>305000</v>
      </c>
      <c r="N9728" s="251"/>
    </row>
    <row r="9729" spans="1:14" ht="11.25" customHeight="1" x14ac:dyDescent="0.2">
      <c r="A9729" s="197">
        <v>2025</v>
      </c>
      <c r="B9729" s="197">
        <v>8</v>
      </c>
      <c r="C9729" s="197">
        <v>11</v>
      </c>
      <c r="D9729" s="198">
        <f t="shared" si="1237"/>
        <v>45880</v>
      </c>
      <c r="E9729" s="290">
        <f t="shared" si="1235"/>
        <v>45880</v>
      </c>
      <c r="F9729" s="513" t="s">
        <v>2033</v>
      </c>
      <c r="G9729" s="200" t="s">
        <v>1245</v>
      </c>
      <c r="H9729" s="201"/>
      <c r="I9729" s="201" t="s">
        <v>1253</v>
      </c>
      <c r="J9729" s="197" t="s">
        <v>46</v>
      </c>
      <c r="K9729" s="202">
        <v>101666.67</v>
      </c>
      <c r="L9729" s="202"/>
      <c r="M9729" s="130"/>
      <c r="N9729" s="251"/>
    </row>
    <row r="9730" spans="1:14" ht="11.25" customHeight="1" x14ac:dyDescent="0.2">
      <c r="A9730" s="191">
        <v>2025</v>
      </c>
      <c r="B9730" s="191">
        <v>8</v>
      </c>
      <c r="C9730" s="191">
        <v>11</v>
      </c>
      <c r="D9730" s="192">
        <f t="shared" si="1237"/>
        <v>45880</v>
      </c>
      <c r="E9730" s="291">
        <f t="shared" si="1235"/>
        <v>45880</v>
      </c>
      <c r="F9730" s="527"/>
      <c r="G9730" s="194" t="s">
        <v>1245</v>
      </c>
      <c r="H9730" s="195"/>
      <c r="I9730" s="195" t="s">
        <v>1253</v>
      </c>
      <c r="J9730" s="191" t="s">
        <v>113</v>
      </c>
      <c r="K9730" s="196"/>
      <c r="L9730" s="196">
        <v>101666.67</v>
      </c>
      <c r="N9730" s="251"/>
    </row>
    <row r="9731" spans="1:14" x14ac:dyDescent="0.2">
      <c r="A9731" s="197">
        <v>2025</v>
      </c>
      <c r="B9731" s="197">
        <v>8</v>
      </c>
      <c r="C9731" s="197">
        <v>11</v>
      </c>
      <c r="D9731" s="198">
        <f t="shared" si="1237"/>
        <v>45880</v>
      </c>
      <c r="E9731" s="209">
        <f t="shared" si="1235"/>
        <v>45880</v>
      </c>
      <c r="F9731" s="513" t="s">
        <v>1210</v>
      </c>
      <c r="G9731" s="200" t="s">
        <v>1209</v>
      </c>
      <c r="H9731" s="201"/>
      <c r="I9731" s="201"/>
      <c r="J9731" s="197" t="s">
        <v>46</v>
      </c>
      <c r="K9731" s="202">
        <v>6459</v>
      </c>
      <c r="L9731" s="202"/>
    </row>
    <row r="9732" spans="1:14" x14ac:dyDescent="0.2">
      <c r="A9732" s="120">
        <v>2025</v>
      </c>
      <c r="B9732" s="120">
        <v>8</v>
      </c>
      <c r="C9732" s="120">
        <v>11</v>
      </c>
      <c r="D9732" s="208">
        <f t="shared" si="1237"/>
        <v>45880</v>
      </c>
      <c r="E9732" s="209">
        <f t="shared" si="1235"/>
        <v>45880</v>
      </c>
      <c r="F9732" s="515"/>
      <c r="G9732" s="132" t="s">
        <v>1209</v>
      </c>
      <c r="J9732" s="120" t="s">
        <v>16</v>
      </c>
      <c r="K9732" s="207"/>
      <c r="L9732" s="207">
        <v>5000</v>
      </c>
    </row>
    <row r="9733" spans="1:14" x14ac:dyDescent="0.2">
      <c r="A9733" s="191">
        <v>2025</v>
      </c>
      <c r="B9733" s="191">
        <v>8</v>
      </c>
      <c r="C9733" s="191">
        <v>11</v>
      </c>
      <c r="D9733" s="192">
        <f t="shared" si="1237"/>
        <v>45880</v>
      </c>
      <c r="E9733" s="193">
        <f t="shared" si="1235"/>
        <v>45880</v>
      </c>
      <c r="F9733" s="514"/>
      <c r="G9733" s="194" t="s">
        <v>1209</v>
      </c>
      <c r="H9733" s="195"/>
      <c r="I9733" s="195"/>
      <c r="J9733" s="191" t="s">
        <v>47</v>
      </c>
      <c r="K9733" s="196"/>
      <c r="L9733" s="196">
        <v>1459</v>
      </c>
    </row>
    <row r="9734" spans="1:14" x14ac:dyDescent="0.2">
      <c r="A9734" s="197">
        <v>2025</v>
      </c>
      <c r="B9734" s="197">
        <v>8</v>
      </c>
      <c r="C9734" s="197">
        <v>11</v>
      </c>
      <c r="D9734" s="198">
        <f t="shared" si="1237"/>
        <v>45880</v>
      </c>
      <c r="E9734" s="209">
        <f t="shared" ref="E9734:E9736" si="1242">DATE(A9734,B9734,C9734)</f>
        <v>45880</v>
      </c>
      <c r="F9734" s="513" t="s">
        <v>1210</v>
      </c>
      <c r="G9734" s="200" t="s">
        <v>1209</v>
      </c>
      <c r="H9734" s="201"/>
      <c r="I9734" s="201"/>
      <c r="J9734" s="197" t="s">
        <v>46</v>
      </c>
      <c r="K9734" s="202">
        <v>100000</v>
      </c>
      <c r="L9734" s="202"/>
    </row>
    <row r="9735" spans="1:14" x14ac:dyDescent="0.2">
      <c r="A9735" s="120">
        <v>2025</v>
      </c>
      <c r="B9735" s="120">
        <v>8</v>
      </c>
      <c r="C9735" s="120">
        <v>11</v>
      </c>
      <c r="D9735" s="208">
        <f t="shared" si="1237"/>
        <v>45880</v>
      </c>
      <c r="E9735" s="209">
        <f t="shared" si="1242"/>
        <v>45880</v>
      </c>
      <c r="F9735" s="515"/>
      <c r="G9735" s="132" t="s">
        <v>1209</v>
      </c>
      <c r="J9735" s="120" t="s">
        <v>16</v>
      </c>
      <c r="K9735" s="207"/>
      <c r="L9735" s="207">
        <v>77410</v>
      </c>
    </row>
    <row r="9736" spans="1:14" x14ac:dyDescent="0.2">
      <c r="A9736" s="191">
        <v>2025</v>
      </c>
      <c r="B9736" s="191">
        <v>8</v>
      </c>
      <c r="C9736" s="191">
        <v>11</v>
      </c>
      <c r="D9736" s="192">
        <f t="shared" si="1237"/>
        <v>45880</v>
      </c>
      <c r="E9736" s="193">
        <f t="shared" si="1242"/>
        <v>45880</v>
      </c>
      <c r="F9736" s="514"/>
      <c r="G9736" s="194" t="s">
        <v>1209</v>
      </c>
      <c r="H9736" s="195"/>
      <c r="I9736" s="195"/>
      <c r="J9736" s="191" t="s">
        <v>47</v>
      </c>
      <c r="K9736" s="196"/>
      <c r="L9736" s="196">
        <v>22590</v>
      </c>
    </row>
    <row r="9737" spans="1:14" ht="11.25" customHeight="1" x14ac:dyDescent="0.2">
      <c r="A9737" s="197">
        <v>2025</v>
      </c>
      <c r="B9737" s="197">
        <v>8</v>
      </c>
      <c r="C9737" s="197">
        <v>12</v>
      </c>
      <c r="D9737" s="198">
        <f t="shared" si="1237"/>
        <v>45881</v>
      </c>
      <c r="E9737" s="209">
        <f t="shared" si="1235"/>
        <v>45881</v>
      </c>
      <c r="F9737" s="513" t="s">
        <v>1280</v>
      </c>
      <c r="G9737" s="200" t="s">
        <v>1209</v>
      </c>
      <c r="H9737" s="201"/>
      <c r="I9737" s="201"/>
      <c r="J9737" s="197" t="s">
        <v>16</v>
      </c>
      <c r="K9737" s="202">
        <v>20510</v>
      </c>
      <c r="L9737" s="202"/>
    </row>
    <row r="9738" spans="1:14" ht="11.25" customHeight="1" x14ac:dyDescent="0.2">
      <c r="A9738" s="120">
        <v>2025</v>
      </c>
      <c r="B9738" s="120">
        <v>8</v>
      </c>
      <c r="C9738" s="120">
        <v>12</v>
      </c>
      <c r="D9738" s="208">
        <f t="shared" si="1237"/>
        <v>45881</v>
      </c>
      <c r="E9738" s="209">
        <f t="shared" si="1235"/>
        <v>45881</v>
      </c>
      <c r="F9738" s="515"/>
      <c r="G9738" s="132" t="s">
        <v>1209</v>
      </c>
      <c r="J9738" s="120" t="s">
        <v>47</v>
      </c>
      <c r="K9738" s="207">
        <v>5990</v>
      </c>
      <c r="L9738" s="207"/>
    </row>
    <row r="9739" spans="1:14" ht="11.25" customHeight="1" x14ac:dyDescent="0.2">
      <c r="A9739" s="191">
        <v>2025</v>
      </c>
      <c r="B9739" s="191">
        <v>8</v>
      </c>
      <c r="C9739" s="191">
        <v>12</v>
      </c>
      <c r="D9739" s="192">
        <f t="shared" si="1237"/>
        <v>45881</v>
      </c>
      <c r="E9739" s="193">
        <f t="shared" si="1235"/>
        <v>45881</v>
      </c>
      <c r="F9739" s="514"/>
      <c r="G9739" s="194" t="s">
        <v>1209</v>
      </c>
      <c r="H9739" s="195"/>
      <c r="I9739" s="195"/>
      <c r="J9739" s="191" t="s">
        <v>46</v>
      </c>
      <c r="K9739" s="196"/>
      <c r="L9739" s="196">
        <v>26500</v>
      </c>
    </row>
    <row r="9740" spans="1:14" ht="11.25" customHeight="1" x14ac:dyDescent="0.2">
      <c r="A9740" s="197">
        <v>2025</v>
      </c>
      <c r="B9740" s="197">
        <v>8</v>
      </c>
      <c r="C9740" s="197">
        <v>12</v>
      </c>
      <c r="D9740" s="198">
        <f t="shared" si="1237"/>
        <v>45881</v>
      </c>
      <c r="E9740" s="209">
        <f t="shared" ref="E9740:E9784" si="1243">DATE(A9740,B9740,C9740)</f>
        <v>45881</v>
      </c>
      <c r="F9740" s="513" t="s">
        <v>1280</v>
      </c>
      <c r="G9740" s="200" t="s">
        <v>1209</v>
      </c>
      <c r="H9740" s="201"/>
      <c r="I9740" s="201"/>
      <c r="J9740" s="197" t="s">
        <v>16</v>
      </c>
      <c r="K9740" s="202">
        <v>234710</v>
      </c>
      <c r="L9740" s="202"/>
    </row>
    <row r="9741" spans="1:14" ht="11.25" customHeight="1" x14ac:dyDescent="0.2">
      <c r="A9741" s="120">
        <v>2025</v>
      </c>
      <c r="B9741" s="120">
        <v>8</v>
      </c>
      <c r="C9741" s="120">
        <v>12</v>
      </c>
      <c r="D9741" s="208">
        <f t="shared" si="1237"/>
        <v>45881</v>
      </c>
      <c r="E9741" s="209">
        <f t="shared" si="1243"/>
        <v>45881</v>
      </c>
      <c r="F9741" s="515"/>
      <c r="G9741" s="132" t="s">
        <v>1209</v>
      </c>
      <c r="J9741" s="120" t="s">
        <v>47</v>
      </c>
      <c r="K9741" s="207">
        <v>68488.38</v>
      </c>
      <c r="L9741" s="207"/>
    </row>
    <row r="9742" spans="1:14" ht="11.25" customHeight="1" x14ac:dyDescent="0.2">
      <c r="A9742" s="191">
        <v>2025</v>
      </c>
      <c r="B9742" s="191">
        <v>8</v>
      </c>
      <c r="C9742" s="191">
        <v>12</v>
      </c>
      <c r="D9742" s="192">
        <f t="shared" si="1237"/>
        <v>45881</v>
      </c>
      <c r="E9742" s="193">
        <f t="shared" si="1243"/>
        <v>45881</v>
      </c>
      <c r="F9742" s="514"/>
      <c r="G9742" s="194" t="s">
        <v>1209</v>
      </c>
      <c r="H9742" s="195"/>
      <c r="I9742" s="195"/>
      <c r="J9742" s="191" t="s">
        <v>46</v>
      </c>
      <c r="K9742" s="196"/>
      <c r="L9742" s="196">
        <v>303198.38</v>
      </c>
    </row>
    <row r="9743" spans="1:14" x14ac:dyDescent="0.2">
      <c r="A9743" s="197">
        <v>2025</v>
      </c>
      <c r="B9743" s="197">
        <v>8</v>
      </c>
      <c r="C9743" s="197">
        <v>11</v>
      </c>
      <c r="D9743" s="198">
        <f t="shared" si="1237"/>
        <v>45880</v>
      </c>
      <c r="E9743" s="209">
        <f t="shared" si="1243"/>
        <v>45880</v>
      </c>
      <c r="F9743" s="513" t="s">
        <v>1210</v>
      </c>
      <c r="G9743" s="200" t="s">
        <v>1209</v>
      </c>
      <c r="H9743" s="201"/>
      <c r="I9743" s="201"/>
      <c r="J9743" s="197" t="s">
        <v>46</v>
      </c>
      <c r="K9743" s="202">
        <v>885000</v>
      </c>
      <c r="L9743" s="202"/>
    </row>
    <row r="9744" spans="1:14" x14ac:dyDescent="0.2">
      <c r="A9744" s="120">
        <v>2025</v>
      </c>
      <c r="B9744" s="120">
        <v>8</v>
      </c>
      <c r="C9744" s="120">
        <v>11</v>
      </c>
      <c r="D9744" s="208">
        <f t="shared" si="1237"/>
        <v>45880</v>
      </c>
      <c r="E9744" s="209">
        <f t="shared" si="1243"/>
        <v>45880</v>
      </c>
      <c r="F9744" s="515"/>
      <c r="G9744" s="132" t="s">
        <v>1209</v>
      </c>
      <c r="J9744" s="120" t="s">
        <v>16</v>
      </c>
      <c r="K9744" s="207"/>
      <c r="L9744" s="207">
        <v>685090</v>
      </c>
    </row>
    <row r="9745" spans="1:15" x14ac:dyDescent="0.2">
      <c r="A9745" s="191">
        <v>2025</v>
      </c>
      <c r="B9745" s="191">
        <v>8</v>
      </c>
      <c r="C9745" s="191">
        <v>11</v>
      </c>
      <c r="D9745" s="192">
        <f t="shared" si="1237"/>
        <v>45880</v>
      </c>
      <c r="E9745" s="193">
        <f t="shared" si="1243"/>
        <v>45880</v>
      </c>
      <c r="F9745" s="514"/>
      <c r="G9745" s="194" t="s">
        <v>1209</v>
      </c>
      <c r="H9745" s="195"/>
      <c r="I9745" s="195"/>
      <c r="J9745" s="191" t="s">
        <v>47</v>
      </c>
      <c r="K9745" s="196"/>
      <c r="L9745" s="196">
        <v>199910</v>
      </c>
    </row>
    <row r="9746" spans="1:15" ht="11.25" customHeight="1" x14ac:dyDescent="0.2">
      <c r="A9746" s="197">
        <v>2025</v>
      </c>
      <c r="B9746" s="197">
        <v>8</v>
      </c>
      <c r="C9746" s="197">
        <v>12</v>
      </c>
      <c r="D9746" s="198">
        <f t="shared" si="1237"/>
        <v>45881</v>
      </c>
      <c r="E9746" s="290">
        <f t="shared" si="1243"/>
        <v>45881</v>
      </c>
      <c r="F9746" s="513" t="s">
        <v>1514</v>
      </c>
      <c r="G9746" s="200" t="s">
        <v>1209</v>
      </c>
      <c r="H9746" s="201"/>
      <c r="I9746" s="201"/>
      <c r="J9746" s="197" t="s">
        <v>54</v>
      </c>
      <c r="K9746" s="202">
        <v>60</v>
      </c>
      <c r="L9746" s="202"/>
      <c r="M9746" s="251"/>
      <c r="N9746" s="251"/>
      <c r="O9746" s="251"/>
    </row>
    <row r="9747" spans="1:15" ht="11.25" customHeight="1" x14ac:dyDescent="0.2">
      <c r="A9747" s="191">
        <v>2025</v>
      </c>
      <c r="B9747" s="191">
        <v>8</v>
      </c>
      <c r="C9747" s="191">
        <v>12</v>
      </c>
      <c r="D9747" s="192">
        <f t="shared" si="1237"/>
        <v>45881</v>
      </c>
      <c r="E9747" s="291">
        <f t="shared" si="1243"/>
        <v>45881</v>
      </c>
      <c r="F9747" s="514"/>
      <c r="G9747" s="194" t="s">
        <v>1209</v>
      </c>
      <c r="H9747" s="195"/>
      <c r="I9747" s="195"/>
      <c r="J9747" s="191" t="s">
        <v>46</v>
      </c>
      <c r="K9747" s="196"/>
      <c r="L9747" s="196">
        <f>K9746</f>
        <v>60</v>
      </c>
      <c r="M9747" s="251"/>
    </row>
    <row r="9748" spans="1:15" ht="11.25" customHeight="1" x14ac:dyDescent="0.2">
      <c r="A9748" s="197">
        <v>2025</v>
      </c>
      <c r="B9748" s="197">
        <v>8</v>
      </c>
      <c r="C9748" s="197">
        <v>12</v>
      </c>
      <c r="D9748" s="198">
        <f t="shared" si="1237"/>
        <v>45881</v>
      </c>
      <c r="E9748" s="199">
        <f t="shared" si="1243"/>
        <v>45881</v>
      </c>
      <c r="F9748" s="513" t="s">
        <v>2070</v>
      </c>
      <c r="G9748" s="200" t="s">
        <v>1209</v>
      </c>
      <c r="H9748" s="201"/>
      <c r="I9748" s="201" t="s">
        <v>1253</v>
      </c>
      <c r="J9748" s="197" t="s">
        <v>46</v>
      </c>
      <c r="K9748" s="202">
        <v>933331.01</v>
      </c>
      <c r="L9748" s="202"/>
    </row>
    <row r="9749" spans="1:15" ht="11.25" customHeight="1" x14ac:dyDescent="0.2">
      <c r="A9749" s="120">
        <v>2025</v>
      </c>
      <c r="B9749" s="120">
        <v>8</v>
      </c>
      <c r="C9749" s="120">
        <v>12</v>
      </c>
      <c r="D9749" s="208">
        <f t="shared" si="1237"/>
        <v>45881</v>
      </c>
      <c r="E9749" s="209">
        <f t="shared" si="1243"/>
        <v>45881</v>
      </c>
      <c r="F9749" s="515"/>
      <c r="G9749" s="132" t="s">
        <v>1209</v>
      </c>
      <c r="J9749" s="120" t="s">
        <v>1463</v>
      </c>
      <c r="L9749" s="207">
        <v>1031.8399999999674</v>
      </c>
    </row>
    <row r="9750" spans="1:15" ht="11.25" customHeight="1" x14ac:dyDescent="0.2">
      <c r="A9750" s="191">
        <v>2025</v>
      </c>
      <c r="B9750" s="191">
        <v>8</v>
      </c>
      <c r="C9750" s="191">
        <v>12</v>
      </c>
      <c r="D9750" s="192">
        <f t="shared" si="1237"/>
        <v>45881</v>
      </c>
      <c r="E9750" s="193">
        <f t="shared" si="1243"/>
        <v>45881</v>
      </c>
      <c r="F9750" s="514"/>
      <c r="G9750" s="194" t="s">
        <v>1209</v>
      </c>
      <c r="H9750" s="195"/>
      <c r="I9750" s="195" t="s">
        <v>1253</v>
      </c>
      <c r="J9750" s="191" t="s">
        <v>1837</v>
      </c>
      <c r="K9750" s="196"/>
      <c r="L9750" s="196">
        <v>932299.17</v>
      </c>
      <c r="N9750" s="130"/>
    </row>
    <row r="9751" spans="1:15" ht="11.25" customHeight="1" x14ac:dyDescent="0.2">
      <c r="A9751" s="197">
        <v>2025</v>
      </c>
      <c r="B9751" s="197">
        <v>8</v>
      </c>
      <c r="C9751" s="197">
        <v>12</v>
      </c>
      <c r="D9751" s="198">
        <f t="shared" si="1237"/>
        <v>45881</v>
      </c>
      <c r="E9751" s="199">
        <f t="shared" si="1243"/>
        <v>45881</v>
      </c>
      <c r="F9751" s="513" t="s">
        <v>1962</v>
      </c>
      <c r="G9751" s="200" t="s">
        <v>1245</v>
      </c>
      <c r="H9751" s="201"/>
      <c r="I9751" s="201"/>
      <c r="J9751" s="197" t="s">
        <v>70</v>
      </c>
      <c r="K9751" s="202">
        <v>2479.5</v>
      </c>
      <c r="L9751" s="202"/>
    </row>
    <row r="9752" spans="1:15" ht="11.25" customHeight="1" x14ac:dyDescent="0.2">
      <c r="A9752" s="120">
        <v>2025</v>
      </c>
      <c r="B9752" s="120">
        <v>8</v>
      </c>
      <c r="C9752" s="120">
        <v>12</v>
      </c>
      <c r="D9752" s="208">
        <f t="shared" si="1237"/>
        <v>45881</v>
      </c>
      <c r="E9752" s="209">
        <f t="shared" si="1243"/>
        <v>45881</v>
      </c>
      <c r="F9752" s="515"/>
      <c r="G9752" s="132" t="s">
        <v>1245</v>
      </c>
      <c r="J9752" s="120" t="s">
        <v>1250</v>
      </c>
      <c r="K9752" s="207">
        <v>4.46</v>
      </c>
      <c r="L9752" s="207"/>
      <c r="M9752" s="130"/>
    </row>
    <row r="9753" spans="1:15" ht="11.25" customHeight="1" x14ac:dyDescent="0.2">
      <c r="A9753" s="191">
        <v>2025</v>
      </c>
      <c r="B9753" s="191">
        <v>8</v>
      </c>
      <c r="C9753" s="191">
        <v>12</v>
      </c>
      <c r="D9753" s="192">
        <f t="shared" si="1237"/>
        <v>45881</v>
      </c>
      <c r="E9753" s="193">
        <f t="shared" si="1243"/>
        <v>45881</v>
      </c>
      <c r="F9753" s="514"/>
      <c r="G9753" s="194" t="s">
        <v>1245</v>
      </c>
      <c r="H9753" s="195"/>
      <c r="I9753" s="195"/>
      <c r="J9753" s="191" t="s">
        <v>1251</v>
      </c>
      <c r="K9753" s="196"/>
      <c r="L9753" s="196">
        <v>2483.96</v>
      </c>
    </row>
    <row r="9754" spans="1:15" ht="11.25" customHeight="1" x14ac:dyDescent="0.2">
      <c r="A9754" s="197">
        <v>2025</v>
      </c>
      <c r="B9754" s="197">
        <v>8</v>
      </c>
      <c r="C9754" s="197">
        <v>13</v>
      </c>
      <c r="D9754" s="198">
        <f t="shared" si="1237"/>
        <v>45882</v>
      </c>
      <c r="E9754" s="290">
        <f t="shared" ref="E9754:E9755" si="1244">DATE(A9754,B9754,C9754)</f>
        <v>45882</v>
      </c>
      <c r="F9754" s="513" t="s">
        <v>1514</v>
      </c>
      <c r="G9754" s="200" t="s">
        <v>1209</v>
      </c>
      <c r="H9754" s="201"/>
      <c r="I9754" s="201"/>
      <c r="J9754" s="197" t="s">
        <v>54</v>
      </c>
      <c r="K9754" s="202">
        <v>10</v>
      </c>
      <c r="L9754" s="202"/>
      <c r="M9754" s="251"/>
      <c r="N9754" s="251"/>
      <c r="O9754" s="251"/>
    </row>
    <row r="9755" spans="1:15" ht="11.25" customHeight="1" x14ac:dyDescent="0.2">
      <c r="A9755" s="191">
        <v>2025</v>
      </c>
      <c r="B9755" s="191">
        <v>8</v>
      </c>
      <c r="C9755" s="191">
        <v>13</v>
      </c>
      <c r="D9755" s="192">
        <f t="shared" si="1237"/>
        <v>45882</v>
      </c>
      <c r="E9755" s="291">
        <f t="shared" si="1244"/>
        <v>45882</v>
      </c>
      <c r="F9755" s="514"/>
      <c r="G9755" s="194" t="s">
        <v>1209</v>
      </c>
      <c r="H9755" s="195"/>
      <c r="I9755" s="195"/>
      <c r="J9755" s="191" t="s">
        <v>46</v>
      </c>
      <c r="K9755" s="196"/>
      <c r="L9755" s="196">
        <f>K9754</f>
        <v>10</v>
      </c>
      <c r="M9755" s="251"/>
    </row>
    <row r="9756" spans="1:15" ht="11.25" customHeight="1" x14ac:dyDescent="0.2">
      <c r="A9756" s="197">
        <v>2025</v>
      </c>
      <c r="B9756" s="197">
        <v>8</v>
      </c>
      <c r="C9756" s="197">
        <v>13</v>
      </c>
      <c r="D9756" s="198">
        <f t="shared" si="1237"/>
        <v>45882</v>
      </c>
      <c r="E9756" s="199">
        <f t="shared" si="1243"/>
        <v>45882</v>
      </c>
      <c r="F9756" s="513" t="s">
        <v>1389</v>
      </c>
      <c r="G9756" s="200" t="s">
        <v>1209</v>
      </c>
      <c r="H9756" s="200"/>
      <c r="I9756" s="201" t="s">
        <v>1253</v>
      </c>
      <c r="J9756" s="248" t="s">
        <v>84</v>
      </c>
      <c r="K9756" s="202">
        <v>25</v>
      </c>
      <c r="L9756" s="202"/>
      <c r="M9756" s="251"/>
    </row>
    <row r="9757" spans="1:15" ht="11.25" customHeight="1" x14ac:dyDescent="0.2">
      <c r="A9757" s="120">
        <v>2025</v>
      </c>
      <c r="B9757" s="120">
        <v>8</v>
      </c>
      <c r="C9757" s="120">
        <v>13</v>
      </c>
      <c r="D9757" s="208">
        <f t="shared" si="1237"/>
        <v>45882</v>
      </c>
      <c r="E9757" s="209">
        <f t="shared" si="1243"/>
        <v>45882</v>
      </c>
      <c r="F9757" s="515"/>
      <c r="G9757" s="132" t="s">
        <v>1209</v>
      </c>
      <c r="H9757" s="132"/>
      <c r="J9757" s="129" t="s">
        <v>457</v>
      </c>
      <c r="K9757" s="207"/>
      <c r="L9757" s="207">
        <v>2.5</v>
      </c>
      <c r="M9757" s="251"/>
    </row>
    <row r="9758" spans="1:15" ht="11.25" customHeight="1" x14ac:dyDescent="0.2">
      <c r="A9758" s="191">
        <v>2025</v>
      </c>
      <c r="B9758" s="191">
        <v>8</v>
      </c>
      <c r="C9758" s="191">
        <v>13</v>
      </c>
      <c r="D9758" s="192">
        <f t="shared" si="1237"/>
        <v>45882</v>
      </c>
      <c r="E9758" s="193">
        <f t="shared" si="1243"/>
        <v>45882</v>
      </c>
      <c r="F9758" s="514"/>
      <c r="G9758" s="194" t="s">
        <v>1209</v>
      </c>
      <c r="H9758" s="194"/>
      <c r="I9758" s="195" t="s">
        <v>1253</v>
      </c>
      <c r="J9758" s="250" t="s">
        <v>46</v>
      </c>
      <c r="K9758" s="196"/>
      <c r="L9758" s="196">
        <v>22.5</v>
      </c>
      <c r="M9758" s="251"/>
    </row>
    <row r="9759" spans="1:15" x14ac:dyDescent="0.2">
      <c r="A9759" s="197">
        <v>2025</v>
      </c>
      <c r="B9759" s="197">
        <v>8</v>
      </c>
      <c r="C9759" s="197">
        <v>13</v>
      </c>
      <c r="D9759" s="198">
        <f t="shared" si="1237"/>
        <v>45882</v>
      </c>
      <c r="E9759" s="209">
        <f t="shared" si="1243"/>
        <v>45882</v>
      </c>
      <c r="F9759" s="513" t="s">
        <v>1210</v>
      </c>
      <c r="G9759" s="200" t="s">
        <v>1209</v>
      </c>
      <c r="H9759" s="201"/>
      <c r="I9759" s="201"/>
      <c r="J9759" s="197" t="s">
        <v>46</v>
      </c>
      <c r="K9759" s="202">
        <v>110000</v>
      </c>
      <c r="L9759" s="202"/>
    </row>
    <row r="9760" spans="1:15" x14ac:dyDescent="0.2">
      <c r="A9760" s="120">
        <v>2025</v>
      </c>
      <c r="B9760" s="120">
        <v>8</v>
      </c>
      <c r="C9760" s="120">
        <v>13</v>
      </c>
      <c r="D9760" s="208">
        <f t="shared" si="1237"/>
        <v>45882</v>
      </c>
      <c r="E9760" s="209">
        <f t="shared" si="1243"/>
        <v>45882</v>
      </c>
      <c r="F9760" s="515"/>
      <c r="G9760" s="132" t="s">
        <v>1209</v>
      </c>
      <c r="J9760" s="120" t="s">
        <v>16</v>
      </c>
      <c r="K9760" s="207"/>
      <c r="L9760" s="207">
        <v>85150</v>
      </c>
    </row>
    <row r="9761" spans="1:12" x14ac:dyDescent="0.2">
      <c r="A9761" s="191">
        <v>2025</v>
      </c>
      <c r="B9761" s="191">
        <v>8</v>
      </c>
      <c r="C9761" s="191">
        <v>13</v>
      </c>
      <c r="D9761" s="192">
        <f t="shared" si="1237"/>
        <v>45882</v>
      </c>
      <c r="E9761" s="193">
        <f t="shared" si="1243"/>
        <v>45882</v>
      </c>
      <c r="F9761" s="514"/>
      <c r="G9761" s="194" t="s">
        <v>1209</v>
      </c>
      <c r="H9761" s="195"/>
      <c r="I9761" s="195"/>
      <c r="J9761" s="191" t="s">
        <v>47</v>
      </c>
      <c r="K9761" s="196"/>
      <c r="L9761" s="196">
        <v>24850</v>
      </c>
    </row>
    <row r="9762" spans="1:12" x14ac:dyDescent="0.2">
      <c r="A9762" s="197">
        <v>2025</v>
      </c>
      <c r="B9762" s="197">
        <v>8</v>
      </c>
      <c r="C9762" s="197">
        <v>13</v>
      </c>
      <c r="D9762" s="198">
        <f t="shared" si="1237"/>
        <v>45882</v>
      </c>
      <c r="E9762" s="209">
        <f t="shared" ref="E9762:E9764" si="1245">DATE(A9762,B9762,C9762)</f>
        <v>45882</v>
      </c>
      <c r="F9762" s="513" t="s">
        <v>1210</v>
      </c>
      <c r="G9762" s="200" t="s">
        <v>1209</v>
      </c>
      <c r="H9762" s="201"/>
      <c r="I9762" s="201"/>
      <c r="J9762" s="197" t="s">
        <v>46</v>
      </c>
      <c r="K9762" s="202">
        <v>300000</v>
      </c>
      <c r="L9762" s="202"/>
    </row>
    <row r="9763" spans="1:12" x14ac:dyDescent="0.2">
      <c r="A9763" s="120">
        <v>2025</v>
      </c>
      <c r="B9763" s="120">
        <v>8</v>
      </c>
      <c r="C9763" s="120">
        <v>13</v>
      </c>
      <c r="D9763" s="208">
        <f t="shared" si="1237"/>
        <v>45882</v>
      </c>
      <c r="E9763" s="209">
        <f t="shared" si="1245"/>
        <v>45882</v>
      </c>
      <c r="F9763" s="515"/>
      <c r="G9763" s="132" t="s">
        <v>1209</v>
      </c>
      <c r="J9763" s="120" t="s">
        <v>16</v>
      </c>
      <c r="K9763" s="207"/>
      <c r="L9763" s="207">
        <v>232230</v>
      </c>
    </row>
    <row r="9764" spans="1:12" x14ac:dyDescent="0.2">
      <c r="A9764" s="191">
        <v>2025</v>
      </c>
      <c r="B9764" s="191">
        <v>8</v>
      </c>
      <c r="C9764" s="191">
        <v>13</v>
      </c>
      <c r="D9764" s="192">
        <f t="shared" si="1237"/>
        <v>45882</v>
      </c>
      <c r="E9764" s="193">
        <f t="shared" si="1245"/>
        <v>45882</v>
      </c>
      <c r="F9764" s="514"/>
      <c r="G9764" s="194" t="s">
        <v>1209</v>
      </c>
      <c r="H9764" s="195"/>
      <c r="I9764" s="195"/>
      <c r="J9764" s="191" t="s">
        <v>47</v>
      </c>
      <c r="K9764" s="196"/>
      <c r="L9764" s="196">
        <v>67770</v>
      </c>
    </row>
    <row r="9765" spans="1:12" x14ac:dyDescent="0.2">
      <c r="A9765" s="197">
        <v>2025</v>
      </c>
      <c r="B9765" s="197">
        <v>8</v>
      </c>
      <c r="C9765" s="197">
        <v>13</v>
      </c>
      <c r="D9765" s="198">
        <f t="shared" si="1237"/>
        <v>45882</v>
      </c>
      <c r="E9765" s="209">
        <f t="shared" ref="E9765:E9767" si="1246">DATE(A9765,B9765,C9765)</f>
        <v>45882</v>
      </c>
      <c r="F9765" s="513" t="s">
        <v>1210</v>
      </c>
      <c r="G9765" s="200" t="s">
        <v>1209</v>
      </c>
      <c r="H9765" s="201"/>
      <c r="I9765" s="201"/>
      <c r="J9765" s="197" t="s">
        <v>46</v>
      </c>
      <c r="K9765" s="202">
        <v>200000</v>
      </c>
      <c r="L9765" s="202"/>
    </row>
    <row r="9766" spans="1:12" x14ac:dyDescent="0.2">
      <c r="A9766" s="120">
        <v>2025</v>
      </c>
      <c r="B9766" s="120">
        <v>8</v>
      </c>
      <c r="C9766" s="120">
        <v>13</v>
      </c>
      <c r="D9766" s="208">
        <f t="shared" si="1237"/>
        <v>45882</v>
      </c>
      <c r="E9766" s="209">
        <f t="shared" si="1246"/>
        <v>45882</v>
      </c>
      <c r="F9766" s="515"/>
      <c r="G9766" s="132" t="s">
        <v>1209</v>
      </c>
      <c r="J9766" s="120" t="s">
        <v>16</v>
      </c>
      <c r="K9766" s="207"/>
      <c r="L9766" s="207">
        <v>154820</v>
      </c>
    </row>
    <row r="9767" spans="1:12" x14ac:dyDescent="0.2">
      <c r="A9767" s="191">
        <v>2025</v>
      </c>
      <c r="B9767" s="191">
        <v>8</v>
      </c>
      <c r="C9767" s="191">
        <v>13</v>
      </c>
      <c r="D9767" s="192">
        <f t="shared" si="1237"/>
        <v>45882</v>
      </c>
      <c r="E9767" s="193">
        <f t="shared" si="1246"/>
        <v>45882</v>
      </c>
      <c r="F9767" s="514"/>
      <c r="G9767" s="194" t="s">
        <v>1209</v>
      </c>
      <c r="H9767" s="195"/>
      <c r="I9767" s="195"/>
      <c r="J9767" s="191" t="s">
        <v>47</v>
      </c>
      <c r="K9767" s="196"/>
      <c r="L9767" s="196">
        <v>45180</v>
      </c>
    </row>
    <row r="9768" spans="1:12" x14ac:dyDescent="0.2">
      <c r="A9768" s="197">
        <v>2025</v>
      </c>
      <c r="B9768" s="197">
        <v>8</v>
      </c>
      <c r="C9768" s="197">
        <v>13</v>
      </c>
      <c r="D9768" s="198">
        <f t="shared" si="1237"/>
        <v>45882</v>
      </c>
      <c r="E9768" s="209">
        <f t="shared" ref="E9768:E9773" si="1247">DATE(A9768,B9768,C9768)</f>
        <v>45882</v>
      </c>
      <c r="F9768" s="513" t="s">
        <v>1210</v>
      </c>
      <c r="G9768" s="200" t="s">
        <v>1209</v>
      </c>
      <c r="H9768" s="201"/>
      <c r="I9768" s="201"/>
      <c r="J9768" s="197" t="s">
        <v>46</v>
      </c>
      <c r="K9768" s="202">
        <v>129180</v>
      </c>
      <c r="L9768" s="202"/>
    </row>
    <row r="9769" spans="1:12" x14ac:dyDescent="0.2">
      <c r="A9769" s="120">
        <v>2025</v>
      </c>
      <c r="B9769" s="120">
        <v>8</v>
      </c>
      <c r="C9769" s="120">
        <v>13</v>
      </c>
      <c r="D9769" s="208">
        <f t="shared" si="1237"/>
        <v>45882</v>
      </c>
      <c r="E9769" s="209">
        <f t="shared" si="1247"/>
        <v>45882</v>
      </c>
      <c r="F9769" s="515"/>
      <c r="G9769" s="132" t="s">
        <v>1209</v>
      </c>
      <c r="J9769" s="120" t="s">
        <v>16</v>
      </c>
      <c r="K9769" s="207"/>
      <c r="L9769" s="207">
        <v>100000</v>
      </c>
    </row>
    <row r="9770" spans="1:12" x14ac:dyDescent="0.2">
      <c r="A9770" s="191">
        <v>2025</v>
      </c>
      <c r="B9770" s="191">
        <v>8</v>
      </c>
      <c r="C9770" s="191">
        <v>13</v>
      </c>
      <c r="D9770" s="192">
        <f t="shared" si="1237"/>
        <v>45882</v>
      </c>
      <c r="E9770" s="193">
        <f t="shared" si="1247"/>
        <v>45882</v>
      </c>
      <c r="F9770" s="514"/>
      <c r="G9770" s="194" t="s">
        <v>1209</v>
      </c>
      <c r="H9770" s="195"/>
      <c r="I9770" s="195"/>
      <c r="J9770" s="191" t="s">
        <v>47</v>
      </c>
      <c r="K9770" s="196"/>
      <c r="L9770" s="196">
        <v>29180</v>
      </c>
    </row>
    <row r="9771" spans="1:12" ht="11.25" customHeight="1" x14ac:dyDescent="0.2">
      <c r="A9771" s="197">
        <v>2025</v>
      </c>
      <c r="B9771" s="197">
        <v>8</v>
      </c>
      <c r="C9771" s="197">
        <v>13</v>
      </c>
      <c r="D9771" s="198">
        <f t="shared" si="1237"/>
        <v>45882</v>
      </c>
      <c r="E9771" s="209">
        <f t="shared" si="1247"/>
        <v>45882</v>
      </c>
      <c r="F9771" s="513" t="s">
        <v>1280</v>
      </c>
      <c r="G9771" s="200" t="s">
        <v>1209</v>
      </c>
      <c r="H9771" s="201"/>
      <c r="I9771" s="201"/>
      <c r="J9771" s="197" t="s">
        <v>16</v>
      </c>
      <c r="K9771" s="202">
        <v>239220</v>
      </c>
      <c r="L9771" s="202"/>
    </row>
    <row r="9772" spans="1:12" ht="11.25" customHeight="1" x14ac:dyDescent="0.2">
      <c r="A9772" s="120">
        <v>2025</v>
      </c>
      <c r="B9772" s="120">
        <v>8</v>
      </c>
      <c r="C9772" s="120">
        <v>13</v>
      </c>
      <c r="D9772" s="208">
        <f t="shared" ref="D9772:D9835" si="1248">DATE(A9772,B9772,C9772)</f>
        <v>45882</v>
      </c>
      <c r="E9772" s="209">
        <f t="shared" si="1247"/>
        <v>45882</v>
      </c>
      <c r="F9772" s="515"/>
      <c r="G9772" s="132" t="s">
        <v>1209</v>
      </c>
      <c r="J9772" s="120" t="s">
        <v>47</v>
      </c>
      <c r="K9772" s="207">
        <v>69804.400000000023</v>
      </c>
      <c r="L9772" s="207"/>
    </row>
    <row r="9773" spans="1:12" ht="11.25" customHeight="1" x14ac:dyDescent="0.2">
      <c r="A9773" s="191">
        <v>2025</v>
      </c>
      <c r="B9773" s="191">
        <v>8</v>
      </c>
      <c r="C9773" s="191">
        <v>13</v>
      </c>
      <c r="D9773" s="192">
        <f t="shared" si="1248"/>
        <v>45882</v>
      </c>
      <c r="E9773" s="193">
        <f t="shared" si="1247"/>
        <v>45882</v>
      </c>
      <c r="F9773" s="514"/>
      <c r="G9773" s="194" t="s">
        <v>1209</v>
      </c>
      <c r="H9773" s="195"/>
      <c r="I9773" s="195"/>
      <c r="J9773" s="191" t="s">
        <v>46</v>
      </c>
      <c r="K9773" s="196"/>
      <c r="L9773" s="196">
        <v>309024.40000000002</v>
      </c>
    </row>
    <row r="9774" spans="1:12" x14ac:dyDescent="0.2">
      <c r="A9774" s="197">
        <v>2025</v>
      </c>
      <c r="B9774" s="197">
        <v>8</v>
      </c>
      <c r="C9774" s="197">
        <v>13</v>
      </c>
      <c r="D9774" s="198">
        <f t="shared" si="1248"/>
        <v>45882</v>
      </c>
      <c r="E9774" s="209">
        <f t="shared" ref="E9774:E9782" si="1249">DATE(A9774,B9774,C9774)</f>
        <v>45882</v>
      </c>
      <c r="F9774" s="513" t="s">
        <v>1210</v>
      </c>
      <c r="G9774" s="200" t="s">
        <v>1209</v>
      </c>
      <c r="H9774" s="201"/>
      <c r="I9774" s="201"/>
      <c r="J9774" s="197" t="s">
        <v>46</v>
      </c>
      <c r="K9774" s="202">
        <v>300000</v>
      </c>
      <c r="L9774" s="202"/>
    </row>
    <row r="9775" spans="1:12" x14ac:dyDescent="0.2">
      <c r="A9775" s="120">
        <v>2025</v>
      </c>
      <c r="B9775" s="120">
        <v>8</v>
      </c>
      <c r="C9775" s="120">
        <v>13</v>
      </c>
      <c r="D9775" s="208">
        <f t="shared" si="1248"/>
        <v>45882</v>
      </c>
      <c r="E9775" s="209">
        <f t="shared" si="1249"/>
        <v>45882</v>
      </c>
      <c r="F9775" s="515"/>
      <c r="G9775" s="132" t="s">
        <v>1209</v>
      </c>
      <c r="J9775" s="120" t="s">
        <v>16</v>
      </c>
      <c r="K9775" s="207"/>
      <c r="L9775" s="207">
        <v>232230</v>
      </c>
    </row>
    <row r="9776" spans="1:12" x14ac:dyDescent="0.2">
      <c r="A9776" s="191">
        <v>2025</v>
      </c>
      <c r="B9776" s="191">
        <v>8</v>
      </c>
      <c r="C9776" s="191">
        <v>13</v>
      </c>
      <c r="D9776" s="192">
        <f t="shared" si="1248"/>
        <v>45882</v>
      </c>
      <c r="E9776" s="193">
        <f t="shared" si="1249"/>
        <v>45882</v>
      </c>
      <c r="F9776" s="514"/>
      <c r="G9776" s="194" t="s">
        <v>1209</v>
      </c>
      <c r="H9776" s="195"/>
      <c r="I9776" s="195"/>
      <c r="J9776" s="191" t="s">
        <v>47</v>
      </c>
      <c r="K9776" s="196"/>
      <c r="L9776" s="196">
        <v>67770</v>
      </c>
    </row>
    <row r="9777" spans="1:15" ht="11.25" customHeight="1" x14ac:dyDescent="0.2">
      <c r="A9777" s="197">
        <v>2025</v>
      </c>
      <c r="B9777" s="197">
        <v>8</v>
      </c>
      <c r="C9777" s="197">
        <v>13</v>
      </c>
      <c r="D9777" s="198">
        <f t="shared" si="1248"/>
        <v>45882</v>
      </c>
      <c r="E9777" s="209">
        <f t="shared" si="1249"/>
        <v>45882</v>
      </c>
      <c r="F9777" s="513" t="s">
        <v>1280</v>
      </c>
      <c r="G9777" s="200" t="s">
        <v>1209</v>
      </c>
      <c r="H9777" s="201"/>
      <c r="I9777" s="201"/>
      <c r="J9777" s="197" t="s">
        <v>16</v>
      </c>
      <c r="K9777" s="202">
        <v>6968000</v>
      </c>
      <c r="L9777" s="202"/>
    </row>
    <row r="9778" spans="1:15" ht="11.25" customHeight="1" x14ac:dyDescent="0.2">
      <c r="A9778" s="120">
        <v>2025</v>
      </c>
      <c r="B9778" s="120">
        <v>8</v>
      </c>
      <c r="C9778" s="120">
        <v>13</v>
      </c>
      <c r="D9778" s="208">
        <f t="shared" si="1248"/>
        <v>45882</v>
      </c>
      <c r="E9778" s="209">
        <f t="shared" si="1249"/>
        <v>45882</v>
      </c>
      <c r="F9778" s="515"/>
      <c r="G9778" s="132" t="s">
        <v>1209</v>
      </c>
      <c r="J9778" s="120" t="s">
        <v>47</v>
      </c>
      <c r="K9778" s="207">
        <v>2033262.4000000004</v>
      </c>
      <c r="L9778" s="207"/>
    </row>
    <row r="9779" spans="1:15" ht="11.25" customHeight="1" x14ac:dyDescent="0.2">
      <c r="A9779" s="191">
        <v>2025</v>
      </c>
      <c r="B9779" s="191">
        <v>8</v>
      </c>
      <c r="C9779" s="191">
        <v>13</v>
      </c>
      <c r="D9779" s="192">
        <f t="shared" si="1248"/>
        <v>45882</v>
      </c>
      <c r="E9779" s="193">
        <f t="shared" si="1249"/>
        <v>45882</v>
      </c>
      <c r="F9779" s="514"/>
      <c r="G9779" s="194" t="s">
        <v>1209</v>
      </c>
      <c r="H9779" s="195"/>
      <c r="I9779" s="195"/>
      <c r="J9779" s="191" t="s">
        <v>46</v>
      </c>
      <c r="K9779" s="196"/>
      <c r="L9779" s="196">
        <v>9001262.4000000004</v>
      </c>
    </row>
    <row r="9780" spans="1:15" x14ac:dyDescent="0.2">
      <c r="A9780" s="197">
        <v>2025</v>
      </c>
      <c r="B9780" s="197">
        <v>8</v>
      </c>
      <c r="C9780" s="197">
        <v>13</v>
      </c>
      <c r="D9780" s="198">
        <f t="shared" si="1248"/>
        <v>45882</v>
      </c>
      <c r="E9780" s="209">
        <f t="shared" si="1249"/>
        <v>45882</v>
      </c>
      <c r="F9780" s="513" t="s">
        <v>1210</v>
      </c>
      <c r="G9780" s="200" t="s">
        <v>1209</v>
      </c>
      <c r="H9780" s="201"/>
      <c r="I9780" s="201"/>
      <c r="J9780" s="197" t="s">
        <v>46</v>
      </c>
      <c r="K9780" s="202">
        <v>800000</v>
      </c>
      <c r="L9780" s="202"/>
    </row>
    <row r="9781" spans="1:15" x14ac:dyDescent="0.2">
      <c r="A9781" s="120">
        <v>2025</v>
      </c>
      <c r="B9781" s="120">
        <v>8</v>
      </c>
      <c r="C9781" s="120">
        <v>13</v>
      </c>
      <c r="D9781" s="208">
        <f t="shared" si="1248"/>
        <v>45882</v>
      </c>
      <c r="E9781" s="209">
        <f t="shared" si="1249"/>
        <v>45882</v>
      </c>
      <c r="F9781" s="515"/>
      <c r="G9781" s="132" t="s">
        <v>1209</v>
      </c>
      <c r="J9781" s="120" t="s">
        <v>16</v>
      </c>
      <c r="K9781" s="207"/>
      <c r="L9781" s="207">
        <v>619290</v>
      </c>
    </row>
    <row r="9782" spans="1:15" x14ac:dyDescent="0.2">
      <c r="A9782" s="191">
        <v>2025</v>
      </c>
      <c r="B9782" s="191">
        <v>8</v>
      </c>
      <c r="C9782" s="191">
        <v>13</v>
      </c>
      <c r="D9782" s="192">
        <f t="shared" si="1248"/>
        <v>45882</v>
      </c>
      <c r="E9782" s="193">
        <f t="shared" si="1249"/>
        <v>45882</v>
      </c>
      <c r="F9782" s="514"/>
      <c r="G9782" s="194" t="s">
        <v>1209</v>
      </c>
      <c r="H9782" s="195"/>
      <c r="I9782" s="195"/>
      <c r="J9782" s="191" t="s">
        <v>47</v>
      </c>
      <c r="K9782" s="196"/>
      <c r="L9782" s="196">
        <v>180710</v>
      </c>
    </row>
    <row r="9783" spans="1:15" ht="11.25" customHeight="1" x14ac:dyDescent="0.2">
      <c r="A9783" s="197">
        <v>2025</v>
      </c>
      <c r="B9783" s="197">
        <v>8</v>
      </c>
      <c r="C9783" s="197">
        <v>14</v>
      </c>
      <c r="D9783" s="198">
        <f t="shared" si="1248"/>
        <v>45883</v>
      </c>
      <c r="E9783" s="199">
        <f t="shared" si="1243"/>
        <v>45883</v>
      </c>
      <c r="F9783" s="513" t="s">
        <v>2072</v>
      </c>
      <c r="G9783" s="200" t="s">
        <v>1209</v>
      </c>
      <c r="H9783" s="201"/>
      <c r="I9783" s="201"/>
      <c r="J9783" s="197" t="s">
        <v>1251</v>
      </c>
      <c r="K9783" s="202">
        <v>2483.96</v>
      </c>
      <c r="L9783" s="202"/>
    </row>
    <row r="9784" spans="1:15" ht="11.25" customHeight="1" x14ac:dyDescent="0.2">
      <c r="A9784" s="191">
        <v>2025</v>
      </c>
      <c r="B9784" s="191">
        <v>8</v>
      </c>
      <c r="C9784" s="191">
        <v>14</v>
      </c>
      <c r="D9784" s="192">
        <f t="shared" si="1248"/>
        <v>45883</v>
      </c>
      <c r="E9784" s="193">
        <f t="shared" si="1243"/>
        <v>45883</v>
      </c>
      <c r="F9784" s="514"/>
      <c r="G9784" s="194" t="s">
        <v>1209</v>
      </c>
      <c r="H9784" s="195"/>
      <c r="I9784" s="195"/>
      <c r="J9784" s="191" t="s">
        <v>46</v>
      </c>
      <c r="K9784" s="196"/>
      <c r="L9784" s="196">
        <f>K9783</f>
        <v>2483.96</v>
      </c>
    </row>
    <row r="9785" spans="1:15" ht="11.25" customHeight="1" x14ac:dyDescent="0.2">
      <c r="A9785" s="197">
        <v>2025</v>
      </c>
      <c r="B9785" s="197">
        <v>8</v>
      </c>
      <c r="C9785" s="197">
        <v>14</v>
      </c>
      <c r="D9785" s="198">
        <f t="shared" si="1248"/>
        <v>45883</v>
      </c>
      <c r="E9785" s="199">
        <f t="shared" ref="E9785:E9791" si="1250">DATE(A9785,B9785,C9785)</f>
        <v>45883</v>
      </c>
      <c r="F9785" s="513" t="s">
        <v>2072</v>
      </c>
      <c r="G9785" s="200" t="s">
        <v>1209</v>
      </c>
      <c r="H9785" s="201"/>
      <c r="I9785" s="201"/>
      <c r="J9785" s="197" t="s">
        <v>1251</v>
      </c>
      <c r="K9785" s="202">
        <v>396011.45</v>
      </c>
      <c r="L9785" s="202"/>
    </row>
    <row r="9786" spans="1:15" ht="11.25" customHeight="1" x14ac:dyDescent="0.2">
      <c r="A9786" s="191">
        <v>2025</v>
      </c>
      <c r="B9786" s="191">
        <v>8</v>
      </c>
      <c r="C9786" s="191">
        <v>14</v>
      </c>
      <c r="D9786" s="192">
        <f t="shared" si="1248"/>
        <v>45883</v>
      </c>
      <c r="E9786" s="193">
        <f t="shared" si="1250"/>
        <v>45883</v>
      </c>
      <c r="F9786" s="514"/>
      <c r="G9786" s="194" t="s">
        <v>1209</v>
      </c>
      <c r="H9786" s="195"/>
      <c r="I9786" s="195"/>
      <c r="J9786" s="191" t="s">
        <v>46</v>
      </c>
      <c r="K9786" s="196"/>
      <c r="L9786" s="196">
        <f>K9785</f>
        <v>396011.45</v>
      </c>
    </row>
    <row r="9787" spans="1:15" ht="11.25" customHeight="1" x14ac:dyDescent="0.2">
      <c r="A9787" s="197">
        <v>2025</v>
      </c>
      <c r="B9787" s="197">
        <v>8</v>
      </c>
      <c r="C9787" s="197">
        <v>14</v>
      </c>
      <c r="D9787" s="198">
        <f t="shared" si="1248"/>
        <v>45883</v>
      </c>
      <c r="E9787" s="290">
        <f t="shared" si="1250"/>
        <v>45883</v>
      </c>
      <c r="F9787" s="513" t="s">
        <v>1514</v>
      </c>
      <c r="G9787" s="200" t="s">
        <v>1209</v>
      </c>
      <c r="H9787" s="201"/>
      <c r="I9787" s="201"/>
      <c r="J9787" s="197" t="s">
        <v>54</v>
      </c>
      <c r="K9787" s="202">
        <v>58</v>
      </c>
      <c r="L9787" s="202"/>
      <c r="M9787" s="251"/>
      <c r="N9787" s="251"/>
      <c r="O9787" s="251"/>
    </row>
    <row r="9788" spans="1:15" ht="11.25" customHeight="1" x14ac:dyDescent="0.2">
      <c r="A9788" s="191">
        <v>2025</v>
      </c>
      <c r="B9788" s="191">
        <v>8</v>
      </c>
      <c r="C9788" s="191">
        <v>14</v>
      </c>
      <c r="D9788" s="192">
        <f t="shared" si="1248"/>
        <v>45883</v>
      </c>
      <c r="E9788" s="291">
        <f t="shared" si="1250"/>
        <v>45883</v>
      </c>
      <c r="F9788" s="514"/>
      <c r="G9788" s="194" t="s">
        <v>1209</v>
      </c>
      <c r="H9788" s="195"/>
      <c r="I9788" s="195"/>
      <c r="J9788" s="191" t="s">
        <v>46</v>
      </c>
      <c r="K9788" s="196"/>
      <c r="L9788" s="196">
        <f>K9787</f>
        <v>58</v>
      </c>
      <c r="M9788" s="251"/>
    </row>
    <row r="9789" spans="1:15" ht="11.25" customHeight="1" x14ac:dyDescent="0.2">
      <c r="A9789" s="197">
        <v>2025</v>
      </c>
      <c r="B9789" s="197">
        <v>8</v>
      </c>
      <c r="C9789" s="197">
        <v>14</v>
      </c>
      <c r="D9789" s="198">
        <f t="shared" si="1248"/>
        <v>45883</v>
      </c>
      <c r="E9789" s="209">
        <f t="shared" si="1250"/>
        <v>45883</v>
      </c>
      <c r="F9789" s="513" t="s">
        <v>1280</v>
      </c>
      <c r="G9789" s="200" t="s">
        <v>1209</v>
      </c>
      <c r="H9789" s="201"/>
      <c r="I9789" s="201"/>
      <c r="J9789" s="197" t="s">
        <v>16</v>
      </c>
      <c r="K9789" s="202">
        <v>442000</v>
      </c>
      <c r="L9789" s="202"/>
    </row>
    <row r="9790" spans="1:15" ht="11.25" customHeight="1" x14ac:dyDescent="0.2">
      <c r="A9790" s="120">
        <v>2025</v>
      </c>
      <c r="B9790" s="120">
        <v>8</v>
      </c>
      <c r="C9790" s="120">
        <v>14</v>
      </c>
      <c r="D9790" s="208">
        <f t="shared" si="1248"/>
        <v>45883</v>
      </c>
      <c r="E9790" s="209">
        <f t="shared" si="1250"/>
        <v>45883</v>
      </c>
      <c r="F9790" s="515"/>
      <c r="G9790" s="132" t="s">
        <v>1209</v>
      </c>
      <c r="J9790" s="120" t="s">
        <v>47</v>
      </c>
      <c r="K9790" s="207">
        <v>128975.59999999998</v>
      </c>
      <c r="L9790" s="207"/>
    </row>
    <row r="9791" spans="1:15" ht="11.25" customHeight="1" x14ac:dyDescent="0.2">
      <c r="A9791" s="191">
        <v>2025</v>
      </c>
      <c r="B9791" s="191">
        <v>8</v>
      </c>
      <c r="C9791" s="191">
        <v>14</v>
      </c>
      <c r="D9791" s="192">
        <f t="shared" si="1248"/>
        <v>45883</v>
      </c>
      <c r="E9791" s="193">
        <f t="shared" si="1250"/>
        <v>45883</v>
      </c>
      <c r="F9791" s="514"/>
      <c r="G9791" s="194" t="s">
        <v>1209</v>
      </c>
      <c r="H9791" s="195"/>
      <c r="I9791" s="195"/>
      <c r="J9791" s="191" t="s">
        <v>46</v>
      </c>
      <c r="K9791" s="196"/>
      <c r="L9791" s="196">
        <v>570975.6</v>
      </c>
    </row>
    <row r="9792" spans="1:15" ht="11.25" customHeight="1" x14ac:dyDescent="0.2">
      <c r="A9792" s="197">
        <v>2025</v>
      </c>
      <c r="B9792" s="197">
        <v>8</v>
      </c>
      <c r="C9792" s="197">
        <v>14</v>
      </c>
      <c r="D9792" s="198">
        <f t="shared" si="1248"/>
        <v>45883</v>
      </c>
      <c r="E9792" s="209">
        <f t="shared" ref="E9792:E9803" si="1251">DATE(A9792,B9792,C9792)</f>
        <v>45883</v>
      </c>
      <c r="F9792" s="513" t="s">
        <v>1280</v>
      </c>
      <c r="G9792" s="200" t="s">
        <v>1209</v>
      </c>
      <c r="H9792" s="201"/>
      <c r="I9792" s="201"/>
      <c r="J9792" s="197" t="s">
        <v>16</v>
      </c>
      <c r="K9792" s="202">
        <v>77410</v>
      </c>
      <c r="L9792" s="202"/>
    </row>
    <row r="9793" spans="1:12" ht="11.25" customHeight="1" x14ac:dyDescent="0.2">
      <c r="A9793" s="120">
        <v>2025</v>
      </c>
      <c r="B9793" s="120">
        <v>8</v>
      </c>
      <c r="C9793" s="120">
        <v>14</v>
      </c>
      <c r="D9793" s="208">
        <f t="shared" si="1248"/>
        <v>45883</v>
      </c>
      <c r="E9793" s="209">
        <f t="shared" si="1251"/>
        <v>45883</v>
      </c>
      <c r="F9793" s="515"/>
      <c r="G9793" s="132" t="s">
        <v>1209</v>
      </c>
      <c r="J9793" s="120" t="s">
        <v>47</v>
      </c>
      <c r="K9793" s="207">
        <v>22590</v>
      </c>
      <c r="L9793" s="207"/>
    </row>
    <row r="9794" spans="1:12" ht="11.25" customHeight="1" x14ac:dyDescent="0.2">
      <c r="A9794" s="191">
        <v>2025</v>
      </c>
      <c r="B9794" s="191">
        <v>8</v>
      </c>
      <c r="C9794" s="191">
        <v>14</v>
      </c>
      <c r="D9794" s="192">
        <f t="shared" si="1248"/>
        <v>45883</v>
      </c>
      <c r="E9794" s="193">
        <f t="shared" si="1251"/>
        <v>45883</v>
      </c>
      <c r="F9794" s="514"/>
      <c r="G9794" s="194" t="s">
        <v>1209</v>
      </c>
      <c r="H9794" s="195"/>
      <c r="I9794" s="195"/>
      <c r="J9794" s="191" t="s">
        <v>46</v>
      </c>
      <c r="K9794" s="196"/>
      <c r="L9794" s="196">
        <v>100000</v>
      </c>
    </row>
    <row r="9795" spans="1:12" x14ac:dyDescent="0.2">
      <c r="A9795" s="197">
        <v>2025</v>
      </c>
      <c r="B9795" s="197">
        <v>8</v>
      </c>
      <c r="C9795" s="197">
        <v>14</v>
      </c>
      <c r="D9795" s="198">
        <f t="shared" si="1248"/>
        <v>45883</v>
      </c>
      <c r="E9795" s="209">
        <f t="shared" si="1251"/>
        <v>45883</v>
      </c>
      <c r="F9795" s="513" t="s">
        <v>1210</v>
      </c>
      <c r="G9795" s="200" t="s">
        <v>1209</v>
      </c>
      <c r="H9795" s="201"/>
      <c r="I9795" s="201"/>
      <c r="J9795" s="197" t="s">
        <v>46</v>
      </c>
      <c r="K9795" s="202">
        <v>500000</v>
      </c>
      <c r="L9795" s="202"/>
    </row>
    <row r="9796" spans="1:12" x14ac:dyDescent="0.2">
      <c r="A9796" s="120">
        <v>2025</v>
      </c>
      <c r="B9796" s="120">
        <v>8</v>
      </c>
      <c r="C9796" s="120">
        <v>14</v>
      </c>
      <c r="D9796" s="208">
        <f t="shared" si="1248"/>
        <v>45883</v>
      </c>
      <c r="E9796" s="209">
        <f t="shared" si="1251"/>
        <v>45883</v>
      </c>
      <c r="F9796" s="515"/>
      <c r="G9796" s="132" t="s">
        <v>1209</v>
      </c>
      <c r="J9796" s="120" t="s">
        <v>16</v>
      </c>
      <c r="K9796" s="207"/>
      <c r="L9796" s="207">
        <v>387060</v>
      </c>
    </row>
    <row r="9797" spans="1:12" x14ac:dyDescent="0.2">
      <c r="A9797" s="191">
        <v>2025</v>
      </c>
      <c r="B9797" s="191">
        <v>8</v>
      </c>
      <c r="C9797" s="191">
        <v>14</v>
      </c>
      <c r="D9797" s="192">
        <f t="shared" si="1248"/>
        <v>45883</v>
      </c>
      <c r="E9797" s="193">
        <f t="shared" si="1251"/>
        <v>45883</v>
      </c>
      <c r="F9797" s="514"/>
      <c r="G9797" s="194" t="s">
        <v>1209</v>
      </c>
      <c r="H9797" s="195"/>
      <c r="I9797" s="195"/>
      <c r="J9797" s="191" t="s">
        <v>47</v>
      </c>
      <c r="K9797" s="196"/>
      <c r="L9797" s="196">
        <v>112940</v>
      </c>
    </row>
    <row r="9798" spans="1:12" x14ac:dyDescent="0.2">
      <c r="A9798" s="197">
        <v>2025</v>
      </c>
      <c r="B9798" s="197">
        <v>8</v>
      </c>
      <c r="C9798" s="197">
        <v>14</v>
      </c>
      <c r="D9798" s="198">
        <f t="shared" si="1248"/>
        <v>45883</v>
      </c>
      <c r="E9798" s="209">
        <f t="shared" ref="E9798:E9800" si="1252">DATE(A9798,B9798,C9798)</f>
        <v>45883</v>
      </c>
      <c r="F9798" s="513" t="s">
        <v>1210</v>
      </c>
      <c r="G9798" s="200" t="s">
        <v>1209</v>
      </c>
      <c r="H9798" s="201"/>
      <c r="I9798" s="201"/>
      <c r="J9798" s="197" t="s">
        <v>46</v>
      </c>
      <c r="K9798" s="202">
        <v>500000</v>
      </c>
      <c r="L9798" s="202"/>
    </row>
    <row r="9799" spans="1:12" x14ac:dyDescent="0.2">
      <c r="A9799" s="120">
        <v>2025</v>
      </c>
      <c r="B9799" s="120">
        <v>8</v>
      </c>
      <c r="C9799" s="120">
        <v>14</v>
      </c>
      <c r="D9799" s="208">
        <f t="shared" si="1248"/>
        <v>45883</v>
      </c>
      <c r="E9799" s="209">
        <f t="shared" si="1252"/>
        <v>45883</v>
      </c>
      <c r="F9799" s="515"/>
      <c r="G9799" s="132" t="s">
        <v>1209</v>
      </c>
      <c r="J9799" s="120" t="s">
        <v>16</v>
      </c>
      <c r="K9799" s="207"/>
      <c r="L9799" s="207">
        <v>387060</v>
      </c>
    </row>
    <row r="9800" spans="1:12" x14ac:dyDescent="0.2">
      <c r="A9800" s="191">
        <v>2025</v>
      </c>
      <c r="B9800" s="191">
        <v>8</v>
      </c>
      <c r="C9800" s="191">
        <v>14</v>
      </c>
      <c r="D9800" s="192">
        <f t="shared" si="1248"/>
        <v>45883</v>
      </c>
      <c r="E9800" s="193">
        <f t="shared" si="1252"/>
        <v>45883</v>
      </c>
      <c r="F9800" s="514"/>
      <c r="G9800" s="194" t="s">
        <v>1209</v>
      </c>
      <c r="H9800" s="195"/>
      <c r="I9800" s="195"/>
      <c r="J9800" s="191" t="s">
        <v>47</v>
      </c>
      <c r="K9800" s="196"/>
      <c r="L9800" s="196">
        <v>112940</v>
      </c>
    </row>
    <row r="9801" spans="1:12" x14ac:dyDescent="0.2">
      <c r="A9801" s="197">
        <v>2025</v>
      </c>
      <c r="B9801" s="197">
        <v>8</v>
      </c>
      <c r="C9801" s="197">
        <v>14</v>
      </c>
      <c r="D9801" s="198">
        <f t="shared" si="1248"/>
        <v>45883</v>
      </c>
      <c r="E9801" s="209">
        <f t="shared" si="1251"/>
        <v>45883</v>
      </c>
      <c r="F9801" s="513" t="s">
        <v>1210</v>
      </c>
      <c r="G9801" s="200" t="s">
        <v>1209</v>
      </c>
      <c r="H9801" s="201"/>
      <c r="I9801" s="201"/>
      <c r="J9801" s="197" t="s">
        <v>46</v>
      </c>
      <c r="K9801" s="202">
        <v>300000</v>
      </c>
      <c r="L9801" s="202"/>
    </row>
    <row r="9802" spans="1:12" x14ac:dyDescent="0.2">
      <c r="A9802" s="120">
        <v>2025</v>
      </c>
      <c r="B9802" s="120">
        <v>8</v>
      </c>
      <c r="C9802" s="120">
        <v>14</v>
      </c>
      <c r="D9802" s="208">
        <f t="shared" si="1248"/>
        <v>45883</v>
      </c>
      <c r="E9802" s="209">
        <f t="shared" si="1251"/>
        <v>45883</v>
      </c>
      <c r="F9802" s="515"/>
      <c r="G9802" s="132" t="s">
        <v>1209</v>
      </c>
      <c r="J9802" s="120" t="s">
        <v>16</v>
      </c>
      <c r="K9802" s="207"/>
      <c r="L9802" s="207">
        <v>232230</v>
      </c>
    </row>
    <row r="9803" spans="1:12" x14ac:dyDescent="0.2">
      <c r="A9803" s="191">
        <v>2025</v>
      </c>
      <c r="B9803" s="191">
        <v>8</v>
      </c>
      <c r="C9803" s="191">
        <v>14</v>
      </c>
      <c r="D9803" s="192">
        <f t="shared" si="1248"/>
        <v>45883</v>
      </c>
      <c r="E9803" s="193">
        <f t="shared" si="1251"/>
        <v>45883</v>
      </c>
      <c r="F9803" s="514"/>
      <c r="G9803" s="194" t="s">
        <v>1209</v>
      </c>
      <c r="H9803" s="195"/>
      <c r="I9803" s="195"/>
      <c r="J9803" s="191" t="s">
        <v>47</v>
      </c>
      <c r="K9803" s="196"/>
      <c r="L9803" s="196">
        <v>67770</v>
      </c>
    </row>
    <row r="9804" spans="1:12" x14ac:dyDescent="0.2">
      <c r="A9804" s="197">
        <v>2025</v>
      </c>
      <c r="B9804" s="197">
        <v>8</v>
      </c>
      <c r="C9804" s="197">
        <v>14</v>
      </c>
      <c r="D9804" s="198">
        <f t="shared" si="1248"/>
        <v>45883</v>
      </c>
      <c r="E9804" s="209">
        <f t="shared" ref="E9804:E9806" si="1253">DATE(A9804,B9804,C9804)</f>
        <v>45883</v>
      </c>
      <c r="F9804" s="513" t="s">
        <v>1210</v>
      </c>
      <c r="G9804" s="200" t="s">
        <v>1209</v>
      </c>
      <c r="H9804" s="201"/>
      <c r="I9804" s="201"/>
      <c r="J9804" s="197" t="s">
        <v>46</v>
      </c>
      <c r="K9804" s="202">
        <v>100000</v>
      </c>
      <c r="L9804" s="202"/>
    </row>
    <row r="9805" spans="1:12" x14ac:dyDescent="0.2">
      <c r="A9805" s="120">
        <v>2025</v>
      </c>
      <c r="B9805" s="120">
        <v>8</v>
      </c>
      <c r="C9805" s="120">
        <v>14</v>
      </c>
      <c r="D9805" s="208">
        <f t="shared" si="1248"/>
        <v>45883</v>
      </c>
      <c r="E9805" s="209">
        <f t="shared" si="1253"/>
        <v>45883</v>
      </c>
      <c r="F9805" s="515"/>
      <c r="G9805" s="132" t="s">
        <v>1209</v>
      </c>
      <c r="J9805" s="120" t="s">
        <v>16</v>
      </c>
      <c r="K9805" s="207"/>
      <c r="L9805" s="207">
        <v>77410</v>
      </c>
    </row>
    <row r="9806" spans="1:12" x14ac:dyDescent="0.2">
      <c r="A9806" s="191">
        <v>2025</v>
      </c>
      <c r="B9806" s="191">
        <v>8</v>
      </c>
      <c r="C9806" s="191">
        <v>14</v>
      </c>
      <c r="D9806" s="192">
        <f t="shared" si="1248"/>
        <v>45883</v>
      </c>
      <c r="E9806" s="193">
        <f t="shared" si="1253"/>
        <v>45883</v>
      </c>
      <c r="F9806" s="514"/>
      <c r="G9806" s="194" t="s">
        <v>1209</v>
      </c>
      <c r="H9806" s="195"/>
      <c r="I9806" s="195"/>
      <c r="J9806" s="191" t="s">
        <v>47</v>
      </c>
      <c r="K9806" s="196"/>
      <c r="L9806" s="196">
        <v>22590</v>
      </c>
    </row>
    <row r="9807" spans="1:12" ht="11.25" customHeight="1" x14ac:dyDescent="0.2">
      <c r="A9807" s="197">
        <v>2025</v>
      </c>
      <c r="B9807" s="197">
        <v>8</v>
      </c>
      <c r="C9807" s="197">
        <v>14</v>
      </c>
      <c r="D9807" s="198">
        <f t="shared" si="1248"/>
        <v>45883</v>
      </c>
      <c r="E9807" s="290">
        <f>DATE(A9807,B9807,C9807)</f>
        <v>45883</v>
      </c>
      <c r="F9807" s="513" t="s">
        <v>2071</v>
      </c>
      <c r="G9807" s="200" t="s">
        <v>1209</v>
      </c>
      <c r="H9807" s="201"/>
      <c r="I9807" s="201" t="s">
        <v>1253</v>
      </c>
      <c r="J9807" s="197" t="s">
        <v>1873</v>
      </c>
      <c r="K9807" s="202">
        <v>1150000</v>
      </c>
      <c r="L9807" s="202"/>
    </row>
    <row r="9808" spans="1:12" ht="11.25" customHeight="1" x14ac:dyDescent="0.2">
      <c r="A9808" s="191">
        <v>2025</v>
      </c>
      <c r="B9808" s="191">
        <v>8</v>
      </c>
      <c r="C9808" s="191">
        <v>14</v>
      </c>
      <c r="D9808" s="192">
        <f t="shared" si="1248"/>
        <v>45883</v>
      </c>
      <c r="E9808" s="291">
        <f>DATE(A9808,B9808,C9808)</f>
        <v>45883</v>
      </c>
      <c r="F9808" s="514"/>
      <c r="G9808" s="194" t="s">
        <v>1209</v>
      </c>
      <c r="H9808" s="195"/>
      <c r="I9808" s="195"/>
      <c r="J9808" s="191" t="s">
        <v>1845</v>
      </c>
      <c r="K9808" s="196"/>
      <c r="L9808" s="196">
        <v>1150000</v>
      </c>
    </row>
    <row r="9809" spans="1:15" ht="11.25" customHeight="1" x14ac:dyDescent="0.2">
      <c r="A9809" s="197">
        <v>2025</v>
      </c>
      <c r="B9809" s="197">
        <v>8</v>
      </c>
      <c r="C9809" s="197">
        <v>14</v>
      </c>
      <c r="D9809" s="198">
        <f t="shared" si="1248"/>
        <v>45883</v>
      </c>
      <c r="E9809" s="209">
        <f t="shared" ref="E9809:E9813" si="1254">DATE(A9809,B9809,C9809)</f>
        <v>45883</v>
      </c>
      <c r="F9809" s="513" t="s">
        <v>1280</v>
      </c>
      <c r="G9809" s="200" t="s">
        <v>1209</v>
      </c>
      <c r="H9809" s="201"/>
      <c r="I9809" s="201"/>
      <c r="J9809" s="197" t="s">
        <v>16</v>
      </c>
      <c r="K9809" s="202">
        <v>38710</v>
      </c>
      <c r="L9809" s="202"/>
    </row>
    <row r="9810" spans="1:15" ht="11.25" customHeight="1" x14ac:dyDescent="0.2">
      <c r="A9810" s="120">
        <v>2025</v>
      </c>
      <c r="B9810" s="120">
        <v>8</v>
      </c>
      <c r="C9810" s="120">
        <v>14</v>
      </c>
      <c r="D9810" s="208">
        <f t="shared" si="1248"/>
        <v>45883</v>
      </c>
      <c r="E9810" s="209">
        <f t="shared" si="1254"/>
        <v>45883</v>
      </c>
      <c r="F9810" s="515"/>
      <c r="G9810" s="132" t="s">
        <v>1209</v>
      </c>
      <c r="J9810" s="120" t="s">
        <v>47</v>
      </c>
      <c r="K9810" s="207">
        <v>11290</v>
      </c>
      <c r="L9810" s="207"/>
    </row>
    <row r="9811" spans="1:15" ht="11.25" customHeight="1" x14ac:dyDescent="0.2">
      <c r="A9811" s="191">
        <v>2025</v>
      </c>
      <c r="B9811" s="191">
        <v>8</v>
      </c>
      <c r="C9811" s="191">
        <v>14</v>
      </c>
      <c r="D9811" s="192">
        <f t="shared" si="1248"/>
        <v>45883</v>
      </c>
      <c r="E9811" s="193">
        <f t="shared" si="1254"/>
        <v>45883</v>
      </c>
      <c r="F9811" s="514"/>
      <c r="G9811" s="194" t="s">
        <v>1209</v>
      </c>
      <c r="H9811" s="195"/>
      <c r="I9811" s="195"/>
      <c r="J9811" s="191" t="s">
        <v>46</v>
      </c>
      <c r="K9811" s="196"/>
      <c r="L9811" s="196">
        <v>50000</v>
      </c>
    </row>
    <row r="9812" spans="1:15" ht="11.25" customHeight="1" x14ac:dyDescent="0.2">
      <c r="A9812" s="197">
        <v>2025</v>
      </c>
      <c r="B9812" s="197">
        <v>8</v>
      </c>
      <c r="C9812" s="197">
        <v>14</v>
      </c>
      <c r="D9812" s="198">
        <f t="shared" si="1248"/>
        <v>45883</v>
      </c>
      <c r="E9812" s="290">
        <f t="shared" si="1254"/>
        <v>45883</v>
      </c>
      <c r="F9812" s="513" t="s">
        <v>1514</v>
      </c>
      <c r="G9812" s="200" t="s">
        <v>1209</v>
      </c>
      <c r="H9812" s="201"/>
      <c r="I9812" s="201"/>
      <c r="J9812" s="197" t="s">
        <v>54</v>
      </c>
      <c r="K9812" s="202">
        <v>158</v>
      </c>
      <c r="L9812" s="202"/>
      <c r="M9812" s="251"/>
      <c r="N9812" s="251"/>
      <c r="O9812" s="251"/>
    </row>
    <row r="9813" spans="1:15" ht="11.25" customHeight="1" x14ac:dyDescent="0.2">
      <c r="A9813" s="191">
        <v>2025</v>
      </c>
      <c r="B9813" s="191">
        <v>8</v>
      </c>
      <c r="C9813" s="191">
        <v>14</v>
      </c>
      <c r="D9813" s="192">
        <f t="shared" si="1248"/>
        <v>45883</v>
      </c>
      <c r="E9813" s="291">
        <f t="shared" si="1254"/>
        <v>45883</v>
      </c>
      <c r="F9813" s="514"/>
      <c r="G9813" s="194" t="s">
        <v>1209</v>
      </c>
      <c r="H9813" s="195"/>
      <c r="I9813" s="195"/>
      <c r="J9813" s="191" t="s">
        <v>46</v>
      </c>
      <c r="K9813" s="196"/>
      <c r="L9813" s="196">
        <f>K9812</f>
        <v>158</v>
      </c>
      <c r="M9813" s="251"/>
    </row>
    <row r="9814" spans="1:15" ht="11.25" customHeight="1" x14ac:dyDescent="0.2">
      <c r="A9814" s="424">
        <v>2025</v>
      </c>
      <c r="B9814" s="424">
        <v>8</v>
      </c>
      <c r="C9814" s="424">
        <v>14</v>
      </c>
      <c r="D9814" s="425">
        <f t="shared" si="1248"/>
        <v>45883</v>
      </c>
      <c r="E9814" s="384">
        <f t="shared" ref="E9814:E9823" si="1255">DATE(A9814,B9814,C9814)</f>
        <v>45883</v>
      </c>
      <c r="F9814" s="516" t="s">
        <v>1850</v>
      </c>
      <c r="G9814" s="426" t="s">
        <v>1209</v>
      </c>
      <c r="H9814" s="427"/>
      <c r="I9814" s="427"/>
      <c r="J9814" s="428" t="s">
        <v>81</v>
      </c>
      <c r="K9814" s="429">
        <v>11170.721538461539</v>
      </c>
      <c r="L9814" s="429"/>
    </row>
    <row r="9815" spans="1:15" ht="11.25" customHeight="1" x14ac:dyDescent="0.2">
      <c r="A9815" s="389">
        <v>2025</v>
      </c>
      <c r="B9815" s="389">
        <v>8</v>
      </c>
      <c r="C9815" s="389">
        <v>14</v>
      </c>
      <c r="D9815" s="390">
        <f t="shared" si="1248"/>
        <v>45883</v>
      </c>
      <c r="E9815" s="391">
        <f t="shared" si="1255"/>
        <v>45883</v>
      </c>
      <c r="F9815" s="517"/>
      <c r="G9815" s="392" t="s">
        <v>1209</v>
      </c>
      <c r="H9815" s="393"/>
      <c r="I9815" s="393"/>
      <c r="J9815" s="394" t="s">
        <v>1847</v>
      </c>
      <c r="K9815" s="423"/>
      <c r="L9815" s="423">
        <f>K9814</f>
        <v>11170.721538461539</v>
      </c>
    </row>
    <row r="9816" spans="1:15" ht="11.25" customHeight="1" x14ac:dyDescent="0.2">
      <c r="A9816" s="382">
        <v>2025</v>
      </c>
      <c r="B9816" s="382">
        <v>8</v>
      </c>
      <c r="C9816" s="382">
        <v>14</v>
      </c>
      <c r="D9816" s="383">
        <f t="shared" si="1248"/>
        <v>45883</v>
      </c>
      <c r="E9816" s="384">
        <f t="shared" si="1255"/>
        <v>45883</v>
      </c>
      <c r="F9816" s="516" t="s">
        <v>1892</v>
      </c>
      <c r="G9816" s="385" t="s">
        <v>1209</v>
      </c>
      <c r="H9816" s="386"/>
      <c r="I9816" s="386"/>
      <c r="J9816" s="387" t="s">
        <v>173</v>
      </c>
      <c r="K9816" s="388">
        <v>5551.9314212499994</v>
      </c>
      <c r="L9816" s="388"/>
    </row>
    <row r="9817" spans="1:15" ht="11.25" customHeight="1" x14ac:dyDescent="0.2">
      <c r="A9817" s="389">
        <v>2025</v>
      </c>
      <c r="B9817" s="389">
        <v>8</v>
      </c>
      <c r="C9817" s="389">
        <v>14</v>
      </c>
      <c r="D9817" s="390">
        <f t="shared" si="1248"/>
        <v>45883</v>
      </c>
      <c r="E9817" s="391">
        <f t="shared" si="1255"/>
        <v>45883</v>
      </c>
      <c r="F9817" s="517"/>
      <c r="G9817" s="392" t="s">
        <v>1209</v>
      </c>
      <c r="H9817" s="393"/>
      <c r="I9817" s="393"/>
      <c r="J9817" s="394" t="s">
        <v>43</v>
      </c>
      <c r="K9817" s="388"/>
      <c r="L9817" s="423">
        <f>K9816</f>
        <v>5551.9314212499994</v>
      </c>
    </row>
    <row r="9818" spans="1:15" ht="11.25" customHeight="1" x14ac:dyDescent="0.2">
      <c r="A9818" s="344">
        <v>2025</v>
      </c>
      <c r="B9818" s="344">
        <v>8</v>
      </c>
      <c r="C9818" s="344">
        <v>14</v>
      </c>
      <c r="D9818" s="345">
        <f t="shared" si="1248"/>
        <v>45883</v>
      </c>
      <c r="E9818" s="346">
        <f t="shared" si="1255"/>
        <v>45883</v>
      </c>
      <c r="F9818" s="518" t="s">
        <v>1982</v>
      </c>
      <c r="G9818" s="347" t="s">
        <v>1245</v>
      </c>
      <c r="H9818" s="348"/>
      <c r="I9818" s="348" t="s">
        <v>1253</v>
      </c>
      <c r="J9818" s="344" t="s">
        <v>1978</v>
      </c>
      <c r="K9818" s="349">
        <v>145230.76923076922</v>
      </c>
      <c r="L9818" s="349"/>
    </row>
    <row r="9819" spans="1:15" ht="11.25" customHeight="1" x14ac:dyDescent="0.2">
      <c r="A9819" s="350">
        <v>2025</v>
      </c>
      <c r="B9819" s="350">
        <v>8</v>
      </c>
      <c r="C9819" s="350">
        <v>14</v>
      </c>
      <c r="D9819" s="351">
        <f t="shared" si="1248"/>
        <v>45883</v>
      </c>
      <c r="E9819" s="352">
        <f t="shared" si="1255"/>
        <v>45883</v>
      </c>
      <c r="F9819" s="519"/>
      <c r="G9819" s="353" t="s">
        <v>1245</v>
      </c>
      <c r="H9819" s="354"/>
      <c r="I9819" s="354" t="s">
        <v>1253</v>
      </c>
      <c r="J9819" s="350" t="s">
        <v>1979</v>
      </c>
      <c r="K9819" s="355"/>
      <c r="L9819" s="355">
        <f>K9818</f>
        <v>145230.76923076922</v>
      </c>
    </row>
    <row r="9820" spans="1:15" ht="11.25" customHeight="1" x14ac:dyDescent="0.2">
      <c r="A9820" s="344">
        <v>2025</v>
      </c>
      <c r="B9820" s="344">
        <v>8</v>
      </c>
      <c r="C9820" s="344">
        <v>14</v>
      </c>
      <c r="D9820" s="345">
        <f t="shared" si="1248"/>
        <v>45883</v>
      </c>
      <c r="E9820" s="346">
        <f t="shared" si="1255"/>
        <v>45883</v>
      </c>
      <c r="F9820" s="518" t="s">
        <v>2009</v>
      </c>
      <c r="G9820" s="347" t="s">
        <v>1245</v>
      </c>
      <c r="H9820" s="348"/>
      <c r="I9820" s="348" t="s">
        <v>1253</v>
      </c>
      <c r="J9820" s="344" t="s">
        <v>2004</v>
      </c>
      <c r="K9820" s="349">
        <v>49692.31</v>
      </c>
      <c r="L9820" s="349"/>
    </row>
    <row r="9821" spans="1:15" ht="11.25" customHeight="1" x14ac:dyDescent="0.2">
      <c r="A9821" s="350">
        <v>2025</v>
      </c>
      <c r="B9821" s="350">
        <v>8</v>
      </c>
      <c r="C9821" s="350">
        <v>14</v>
      </c>
      <c r="D9821" s="351">
        <f t="shared" si="1248"/>
        <v>45883</v>
      </c>
      <c r="E9821" s="352">
        <f t="shared" si="1255"/>
        <v>45883</v>
      </c>
      <c r="F9821" s="519"/>
      <c r="G9821" s="353" t="s">
        <v>1245</v>
      </c>
      <c r="H9821" s="354"/>
      <c r="I9821" s="354" t="s">
        <v>1253</v>
      </c>
      <c r="J9821" s="350" t="s">
        <v>2008</v>
      </c>
      <c r="K9821" s="355"/>
      <c r="L9821" s="355">
        <f t="shared" ref="L9821" si="1256">K9820</f>
        <v>49692.31</v>
      </c>
    </row>
    <row r="9822" spans="1:15" ht="11.25" customHeight="1" x14ac:dyDescent="0.2">
      <c r="A9822" s="344">
        <v>2025</v>
      </c>
      <c r="B9822" s="344">
        <v>8</v>
      </c>
      <c r="C9822" s="344">
        <v>14</v>
      </c>
      <c r="D9822" s="345">
        <f t="shared" si="1248"/>
        <v>45883</v>
      </c>
      <c r="E9822" s="346">
        <f t="shared" si="1255"/>
        <v>45883</v>
      </c>
      <c r="F9822" s="518" t="s">
        <v>2009</v>
      </c>
      <c r="G9822" s="347" t="s">
        <v>1245</v>
      </c>
      <c r="H9822" s="348"/>
      <c r="I9822" s="348" t="s">
        <v>1253</v>
      </c>
      <c r="J9822" s="344" t="s">
        <v>2004</v>
      </c>
      <c r="K9822" s="349">
        <v>49692.31</v>
      </c>
      <c r="L9822" s="349"/>
    </row>
    <row r="9823" spans="1:15" ht="11.25" customHeight="1" x14ac:dyDescent="0.2">
      <c r="A9823" s="350">
        <v>2025</v>
      </c>
      <c r="B9823" s="350">
        <v>8</v>
      </c>
      <c r="C9823" s="350">
        <v>14</v>
      </c>
      <c r="D9823" s="351">
        <f t="shared" si="1248"/>
        <v>45883</v>
      </c>
      <c r="E9823" s="352">
        <f t="shared" si="1255"/>
        <v>45883</v>
      </c>
      <c r="F9823" s="519"/>
      <c r="G9823" s="353" t="s">
        <v>1245</v>
      </c>
      <c r="H9823" s="354"/>
      <c r="I9823" s="354" t="s">
        <v>1253</v>
      </c>
      <c r="J9823" s="350" t="s">
        <v>2008</v>
      </c>
      <c r="K9823" s="355"/>
      <c r="L9823" s="355">
        <f t="shared" ref="L9823" si="1257">K9822</f>
        <v>49692.31</v>
      </c>
    </row>
    <row r="9824" spans="1:15" ht="11.25" customHeight="1" x14ac:dyDescent="0.2">
      <c r="A9824" s="344">
        <v>2025</v>
      </c>
      <c r="B9824" s="344">
        <v>8</v>
      </c>
      <c r="C9824" s="344">
        <v>14</v>
      </c>
      <c r="D9824" s="345">
        <f t="shared" si="1248"/>
        <v>45883</v>
      </c>
      <c r="E9824" s="346">
        <f>DATE(A9824,B9824,C9824)</f>
        <v>45883</v>
      </c>
      <c r="F9824" s="518" t="s">
        <v>1988</v>
      </c>
      <c r="G9824" s="347" t="s">
        <v>1245</v>
      </c>
      <c r="H9824" s="348"/>
      <c r="I9824" s="348" t="s">
        <v>1253</v>
      </c>
      <c r="J9824" s="344" t="s">
        <v>113</v>
      </c>
      <c r="K9824" s="349">
        <v>32846.15</v>
      </c>
      <c r="L9824" s="349"/>
    </row>
    <row r="9825" spans="1:16" ht="11.25" customHeight="1" x14ac:dyDescent="0.2">
      <c r="A9825" s="350">
        <v>2025</v>
      </c>
      <c r="B9825" s="350">
        <v>8</v>
      </c>
      <c r="C9825" s="350">
        <v>14</v>
      </c>
      <c r="D9825" s="351">
        <f t="shared" si="1248"/>
        <v>45883</v>
      </c>
      <c r="E9825" s="352">
        <f>DATE(A9825,B9825,C9825)</f>
        <v>45883</v>
      </c>
      <c r="F9825" s="519"/>
      <c r="G9825" s="353" t="s">
        <v>1245</v>
      </c>
      <c r="H9825" s="354"/>
      <c r="I9825" s="354" t="s">
        <v>1253</v>
      </c>
      <c r="J9825" s="350" t="s">
        <v>153</v>
      </c>
      <c r="K9825" s="355"/>
      <c r="L9825" s="355">
        <f t="shared" ref="L9825" si="1258">K9824</f>
        <v>32846.15</v>
      </c>
    </row>
    <row r="9826" spans="1:16" ht="11.25" customHeight="1" x14ac:dyDescent="0.2">
      <c r="A9826" s="344">
        <v>2025</v>
      </c>
      <c r="B9826" s="344">
        <v>8</v>
      </c>
      <c r="C9826" s="344">
        <v>14</v>
      </c>
      <c r="D9826" s="345">
        <f t="shared" si="1248"/>
        <v>45883</v>
      </c>
      <c r="E9826" s="346">
        <f t="shared" ref="E9826:E9831" si="1259">DATE(A9826,B9826,C9826)</f>
        <v>45883</v>
      </c>
      <c r="F9826" s="518" t="s">
        <v>1989</v>
      </c>
      <c r="G9826" s="347" t="s">
        <v>1245</v>
      </c>
      <c r="H9826" s="348"/>
      <c r="I9826" s="348" t="s">
        <v>1253</v>
      </c>
      <c r="J9826" s="344" t="s">
        <v>113</v>
      </c>
      <c r="K9826" s="349">
        <v>23461.538461538461</v>
      </c>
      <c r="L9826" s="349"/>
    </row>
    <row r="9827" spans="1:16" ht="11.25" customHeight="1" x14ac:dyDescent="0.2">
      <c r="A9827" s="350">
        <v>2025</v>
      </c>
      <c r="B9827" s="350">
        <v>8</v>
      </c>
      <c r="C9827" s="350">
        <v>14</v>
      </c>
      <c r="D9827" s="351">
        <f t="shared" si="1248"/>
        <v>45883</v>
      </c>
      <c r="E9827" s="352">
        <f t="shared" si="1259"/>
        <v>45883</v>
      </c>
      <c r="F9827" s="519"/>
      <c r="G9827" s="353" t="s">
        <v>1245</v>
      </c>
      <c r="H9827" s="354"/>
      <c r="I9827" s="354" t="s">
        <v>1253</v>
      </c>
      <c r="J9827" s="350" t="s">
        <v>153</v>
      </c>
      <c r="K9827" s="355"/>
      <c r="L9827" s="355">
        <f t="shared" ref="L9827" si="1260">K9826</f>
        <v>23461.538461538461</v>
      </c>
    </row>
    <row r="9828" spans="1:16" ht="11.25" customHeight="1" x14ac:dyDescent="0.2">
      <c r="A9828" s="344">
        <v>2025</v>
      </c>
      <c r="B9828" s="344">
        <v>8</v>
      </c>
      <c r="C9828" s="344">
        <v>14</v>
      </c>
      <c r="D9828" s="345">
        <f t="shared" si="1248"/>
        <v>45883</v>
      </c>
      <c r="E9828" s="346">
        <f t="shared" si="1259"/>
        <v>45883</v>
      </c>
      <c r="F9828" s="518" t="s">
        <v>1990</v>
      </c>
      <c r="G9828" s="347" t="s">
        <v>1245</v>
      </c>
      <c r="H9828" s="348"/>
      <c r="I9828" s="348" t="s">
        <v>1253</v>
      </c>
      <c r="J9828" s="344" t="s">
        <v>113</v>
      </c>
      <c r="K9828" s="349">
        <v>70384.62</v>
      </c>
      <c r="L9828" s="349"/>
      <c r="N9828" s="251"/>
      <c r="O9828" s="251"/>
      <c r="P9828" s="251"/>
    </row>
    <row r="9829" spans="1:16" ht="11.25" customHeight="1" x14ac:dyDescent="0.2">
      <c r="A9829" s="350">
        <v>2025</v>
      </c>
      <c r="B9829" s="350">
        <v>8</v>
      </c>
      <c r="C9829" s="350">
        <v>14</v>
      </c>
      <c r="D9829" s="351">
        <f t="shared" si="1248"/>
        <v>45883</v>
      </c>
      <c r="E9829" s="352">
        <f t="shared" si="1259"/>
        <v>45883</v>
      </c>
      <c r="F9829" s="519"/>
      <c r="G9829" s="353" t="s">
        <v>1245</v>
      </c>
      <c r="H9829" s="354"/>
      <c r="I9829" s="354" t="s">
        <v>1253</v>
      </c>
      <c r="J9829" s="350" t="s">
        <v>153</v>
      </c>
      <c r="K9829" s="355"/>
      <c r="L9829" s="355">
        <f t="shared" ref="L9829" si="1261">K9828</f>
        <v>70384.62</v>
      </c>
    </row>
    <row r="9830" spans="1:16" ht="11.25" customHeight="1" x14ac:dyDescent="0.2">
      <c r="A9830" s="344">
        <v>2025</v>
      </c>
      <c r="B9830" s="344">
        <v>8</v>
      </c>
      <c r="C9830" s="344">
        <v>14</v>
      </c>
      <c r="D9830" s="345">
        <f t="shared" si="1248"/>
        <v>45883</v>
      </c>
      <c r="E9830" s="346">
        <f t="shared" si="1259"/>
        <v>45883</v>
      </c>
      <c r="F9830" s="518" t="s">
        <v>2039</v>
      </c>
      <c r="G9830" s="347" t="s">
        <v>1245</v>
      </c>
      <c r="H9830" s="348"/>
      <c r="I9830" s="348" t="s">
        <v>1253</v>
      </c>
      <c r="J9830" s="344" t="s">
        <v>113</v>
      </c>
      <c r="K9830" s="349">
        <v>9384.6153846153848</v>
      </c>
      <c r="L9830" s="349"/>
    </row>
    <row r="9831" spans="1:16" ht="11.25" customHeight="1" x14ac:dyDescent="0.2">
      <c r="A9831" s="350">
        <v>2025</v>
      </c>
      <c r="B9831" s="350">
        <v>8</v>
      </c>
      <c r="C9831" s="350">
        <v>14</v>
      </c>
      <c r="D9831" s="351">
        <f t="shared" si="1248"/>
        <v>45883</v>
      </c>
      <c r="E9831" s="352">
        <f t="shared" si="1259"/>
        <v>45883</v>
      </c>
      <c r="F9831" s="519"/>
      <c r="G9831" s="353" t="s">
        <v>1245</v>
      </c>
      <c r="H9831" s="354"/>
      <c r="I9831" s="354" t="s">
        <v>1253</v>
      </c>
      <c r="J9831" s="350" t="s">
        <v>153</v>
      </c>
      <c r="K9831" s="355"/>
      <c r="L9831" s="355">
        <f t="shared" ref="L9831" si="1262">K9830</f>
        <v>9384.6153846153848</v>
      </c>
    </row>
    <row r="9832" spans="1:16" ht="11.25" customHeight="1" x14ac:dyDescent="0.2">
      <c r="A9832" s="344">
        <v>2025</v>
      </c>
      <c r="B9832" s="344">
        <v>8</v>
      </c>
      <c r="C9832" s="344">
        <v>14</v>
      </c>
      <c r="D9832" s="345">
        <f t="shared" si="1248"/>
        <v>45883</v>
      </c>
      <c r="E9832" s="346">
        <f>DATE(A9832,B9832,C9832)</f>
        <v>45883</v>
      </c>
      <c r="F9832" s="518" t="s">
        <v>1991</v>
      </c>
      <c r="G9832" s="347" t="s">
        <v>1245</v>
      </c>
      <c r="H9832" s="348"/>
      <c r="I9832" s="348" t="s">
        <v>1253</v>
      </c>
      <c r="J9832" s="344" t="s">
        <v>113</v>
      </c>
      <c r="K9832" s="349">
        <v>39884.5</v>
      </c>
      <c r="L9832" s="349"/>
    </row>
    <row r="9833" spans="1:16" ht="11.25" customHeight="1" x14ac:dyDescent="0.2">
      <c r="A9833" s="350">
        <v>2025</v>
      </c>
      <c r="B9833" s="350">
        <v>8</v>
      </c>
      <c r="C9833" s="350">
        <v>14</v>
      </c>
      <c r="D9833" s="351">
        <f t="shared" si="1248"/>
        <v>45883</v>
      </c>
      <c r="E9833" s="352">
        <f>DATE(A9833,B9833,C9833)</f>
        <v>45883</v>
      </c>
      <c r="F9833" s="519"/>
      <c r="G9833" s="353" t="s">
        <v>1245</v>
      </c>
      <c r="H9833" s="354"/>
      <c r="I9833" s="354" t="s">
        <v>1253</v>
      </c>
      <c r="J9833" s="350" t="s">
        <v>153</v>
      </c>
      <c r="K9833" s="355"/>
      <c r="L9833" s="355">
        <f t="shared" ref="L9833" si="1263">K9832</f>
        <v>39884.5</v>
      </c>
    </row>
    <row r="9834" spans="1:16" ht="11.25" customHeight="1" x14ac:dyDescent="0.2">
      <c r="A9834" s="344">
        <v>2025</v>
      </c>
      <c r="B9834" s="344">
        <v>8</v>
      </c>
      <c r="C9834" s="344">
        <v>14</v>
      </c>
      <c r="D9834" s="345">
        <f t="shared" si="1248"/>
        <v>45883</v>
      </c>
      <c r="E9834" s="346">
        <f t="shared" ref="E9834:E9838" si="1264">DATE(A9834,B9834,C9834)</f>
        <v>45883</v>
      </c>
      <c r="F9834" s="518" t="s">
        <v>2052</v>
      </c>
      <c r="G9834" s="347" t="s">
        <v>1245</v>
      </c>
      <c r="H9834" s="348"/>
      <c r="I9834" s="348" t="s">
        <v>1253</v>
      </c>
      <c r="J9834" s="344" t="s">
        <v>113</v>
      </c>
      <c r="K9834" s="349">
        <v>11442.307692307691</v>
      </c>
      <c r="L9834" s="349"/>
    </row>
    <row r="9835" spans="1:16" ht="11.25" customHeight="1" x14ac:dyDescent="0.2">
      <c r="A9835" s="350">
        <v>2025</v>
      </c>
      <c r="B9835" s="350">
        <v>8</v>
      </c>
      <c r="C9835" s="350">
        <v>14</v>
      </c>
      <c r="D9835" s="351">
        <f t="shared" si="1248"/>
        <v>45883</v>
      </c>
      <c r="E9835" s="352">
        <f t="shared" si="1264"/>
        <v>45883</v>
      </c>
      <c r="F9835" s="519"/>
      <c r="G9835" s="353" t="s">
        <v>1245</v>
      </c>
      <c r="H9835" s="354"/>
      <c r="I9835" s="354" t="s">
        <v>1253</v>
      </c>
      <c r="J9835" s="350" t="s">
        <v>153</v>
      </c>
      <c r="K9835" s="355"/>
      <c r="L9835" s="355">
        <f t="shared" ref="L9835" si="1265">K9834</f>
        <v>11442.307692307691</v>
      </c>
    </row>
    <row r="9836" spans="1:16" ht="11.25" customHeight="1" x14ac:dyDescent="0.2">
      <c r="A9836" s="344">
        <v>2025</v>
      </c>
      <c r="B9836" s="344">
        <v>8</v>
      </c>
      <c r="C9836" s="344">
        <v>14</v>
      </c>
      <c r="D9836" s="345">
        <f t="shared" ref="D9836:D9899" si="1266">DATE(A9836,B9836,C9836)</f>
        <v>45883</v>
      </c>
      <c r="E9836" s="346">
        <f t="shared" si="1264"/>
        <v>45883</v>
      </c>
      <c r="F9836" s="518" t="s">
        <v>2053</v>
      </c>
      <c r="G9836" s="347" t="s">
        <v>1245</v>
      </c>
      <c r="H9836" s="348"/>
      <c r="I9836" s="348" t="s">
        <v>1253</v>
      </c>
      <c r="J9836" s="344" t="s">
        <v>113</v>
      </c>
      <c r="K9836" s="349">
        <v>11634.615384615385</v>
      </c>
      <c r="L9836" s="349"/>
    </row>
    <row r="9837" spans="1:16" ht="11.25" customHeight="1" x14ac:dyDescent="0.2">
      <c r="A9837" s="350">
        <v>2025</v>
      </c>
      <c r="B9837" s="350">
        <v>8</v>
      </c>
      <c r="C9837" s="350">
        <v>14</v>
      </c>
      <c r="D9837" s="351">
        <f t="shared" si="1266"/>
        <v>45883</v>
      </c>
      <c r="E9837" s="352">
        <f t="shared" si="1264"/>
        <v>45883</v>
      </c>
      <c r="F9837" s="519"/>
      <c r="G9837" s="353" t="s">
        <v>1245</v>
      </c>
      <c r="H9837" s="354"/>
      <c r="I9837" s="354" t="s">
        <v>1253</v>
      </c>
      <c r="J9837" s="350" t="s">
        <v>153</v>
      </c>
      <c r="K9837" s="355"/>
      <c r="L9837" s="355">
        <f t="shared" ref="L9837" si="1267">K9836</f>
        <v>11634.615384615385</v>
      </c>
    </row>
    <row r="9838" spans="1:16" ht="11.25" customHeight="1" x14ac:dyDescent="0.2">
      <c r="A9838" s="210">
        <v>2025</v>
      </c>
      <c r="B9838" s="210">
        <v>8</v>
      </c>
      <c r="C9838" s="210">
        <v>14</v>
      </c>
      <c r="D9838" s="211">
        <f t="shared" si="1266"/>
        <v>45883</v>
      </c>
      <c r="E9838" s="238">
        <f t="shared" si="1264"/>
        <v>45883</v>
      </c>
      <c r="F9838" s="520" t="s">
        <v>1857</v>
      </c>
      <c r="G9838" s="213" t="s">
        <v>1245</v>
      </c>
      <c r="H9838" s="214"/>
      <c r="I9838" s="214" t="s">
        <v>1253</v>
      </c>
      <c r="J9838" s="210" t="s">
        <v>1284</v>
      </c>
      <c r="K9838" s="215">
        <v>2341.8114143920593</v>
      </c>
      <c r="L9838" s="215"/>
    </row>
    <row r="9839" spans="1:16" ht="11.25" customHeight="1" x14ac:dyDescent="0.2">
      <c r="A9839" s="242">
        <v>2025</v>
      </c>
      <c r="B9839" s="242">
        <v>8</v>
      </c>
      <c r="C9839" s="242">
        <v>14</v>
      </c>
      <c r="D9839" s="243">
        <f t="shared" si="1266"/>
        <v>45883</v>
      </c>
      <c r="E9839" s="244">
        <f>DATE(A9839,B9839,C9839)</f>
        <v>45883</v>
      </c>
      <c r="F9839" s="524"/>
      <c r="G9839" s="245" t="s">
        <v>1245</v>
      </c>
      <c r="H9839" s="246"/>
      <c r="I9839" s="246"/>
      <c r="J9839" s="242" t="s">
        <v>1582</v>
      </c>
      <c r="K9839" s="247"/>
      <c r="L9839" s="247">
        <f>K9838</f>
        <v>2341.8114143920593</v>
      </c>
    </row>
    <row r="9840" spans="1:16" ht="11.25" customHeight="1" x14ac:dyDescent="0.2">
      <c r="A9840" s="210">
        <v>2025</v>
      </c>
      <c r="B9840" s="210">
        <v>8</v>
      </c>
      <c r="C9840" s="210">
        <v>14</v>
      </c>
      <c r="D9840" s="211">
        <f t="shared" si="1266"/>
        <v>45883</v>
      </c>
      <c r="E9840" s="238">
        <f t="shared" ref="E9840:E9900" si="1268">DATE(A9840,B9840,C9840)</f>
        <v>45883</v>
      </c>
      <c r="F9840" s="520" t="s">
        <v>2055</v>
      </c>
      <c r="G9840" s="213" t="s">
        <v>1245</v>
      </c>
      <c r="H9840" s="214"/>
      <c r="I9840" s="214" t="s">
        <v>1253</v>
      </c>
      <c r="J9840" s="210" t="s">
        <v>58</v>
      </c>
      <c r="K9840" s="215">
        <v>5444.66</v>
      </c>
      <c r="L9840" s="215"/>
    </row>
    <row r="9841" spans="1:13" ht="11.25" customHeight="1" x14ac:dyDescent="0.2">
      <c r="A9841" s="216">
        <v>2025</v>
      </c>
      <c r="B9841" s="216">
        <v>8</v>
      </c>
      <c r="C9841" s="216">
        <v>14</v>
      </c>
      <c r="D9841" s="217">
        <f t="shared" si="1266"/>
        <v>45883</v>
      </c>
      <c r="E9841" s="239">
        <f t="shared" si="1268"/>
        <v>45883</v>
      </c>
      <c r="F9841" s="521"/>
      <c r="G9841" s="219" t="s">
        <v>1245</v>
      </c>
      <c r="H9841" s="220"/>
      <c r="I9841" s="220" t="s">
        <v>1253</v>
      </c>
      <c r="J9841" s="216" t="s">
        <v>153</v>
      </c>
      <c r="K9841" s="221"/>
      <c r="L9841" s="221">
        <f>K9840</f>
        <v>5444.66</v>
      </c>
    </row>
    <row r="9842" spans="1:13" ht="11.25" customHeight="1" x14ac:dyDescent="0.2">
      <c r="A9842" s="312">
        <v>2025</v>
      </c>
      <c r="B9842" s="312">
        <v>8</v>
      </c>
      <c r="C9842" s="312">
        <v>14</v>
      </c>
      <c r="D9842" s="313">
        <f t="shared" si="1266"/>
        <v>45883</v>
      </c>
      <c r="E9842" s="314">
        <f t="shared" si="1268"/>
        <v>45883</v>
      </c>
      <c r="F9842" s="522" t="s">
        <v>1477</v>
      </c>
      <c r="G9842" s="315" t="s">
        <v>1245</v>
      </c>
      <c r="H9842" s="316"/>
      <c r="I9842" s="316" t="s">
        <v>1253</v>
      </c>
      <c r="J9842" s="312" t="s">
        <v>1458</v>
      </c>
      <c r="K9842" s="317">
        <v>0</v>
      </c>
      <c r="L9842" s="317"/>
    </row>
    <row r="9843" spans="1:13" ht="11.25" customHeight="1" x14ac:dyDescent="0.2">
      <c r="A9843" s="318">
        <v>2025</v>
      </c>
      <c r="B9843" s="318">
        <v>8</v>
      </c>
      <c r="C9843" s="318">
        <v>14</v>
      </c>
      <c r="D9843" s="319">
        <f t="shared" si="1266"/>
        <v>45883</v>
      </c>
      <c r="E9843" s="320">
        <f t="shared" si="1268"/>
        <v>45883</v>
      </c>
      <c r="F9843" s="523"/>
      <c r="G9843" s="321" t="s">
        <v>1245</v>
      </c>
      <c r="H9843" s="322"/>
      <c r="I9843" s="322" t="s">
        <v>1253</v>
      </c>
      <c r="J9843" s="318" t="s">
        <v>1460</v>
      </c>
      <c r="K9843" s="323"/>
      <c r="L9843" s="323">
        <f>K9842</f>
        <v>0</v>
      </c>
    </row>
    <row r="9844" spans="1:13" ht="11.25" customHeight="1" x14ac:dyDescent="0.2">
      <c r="A9844" s="312">
        <v>2025</v>
      </c>
      <c r="B9844" s="312">
        <v>8</v>
      </c>
      <c r="C9844" s="312">
        <v>14</v>
      </c>
      <c r="D9844" s="313">
        <f t="shared" si="1266"/>
        <v>45883</v>
      </c>
      <c r="E9844" s="314">
        <f t="shared" si="1268"/>
        <v>45883</v>
      </c>
      <c r="F9844" s="522" t="s">
        <v>1595</v>
      </c>
      <c r="G9844" s="315" t="s">
        <v>1245</v>
      </c>
      <c r="H9844" s="316"/>
      <c r="I9844" s="316" t="s">
        <v>1253</v>
      </c>
      <c r="J9844" s="312" t="s">
        <v>1461</v>
      </c>
      <c r="K9844" s="317">
        <v>2323464.2119998932</v>
      </c>
      <c r="L9844" s="317"/>
      <c r="M9844" s="328">
        <f>BS!$I$14</f>
        <v>0</v>
      </c>
    </row>
    <row r="9845" spans="1:13" ht="11.25" customHeight="1" x14ac:dyDescent="0.2">
      <c r="A9845" s="318">
        <v>2025</v>
      </c>
      <c r="B9845" s="318">
        <v>8</v>
      </c>
      <c r="C9845" s="318">
        <v>14</v>
      </c>
      <c r="D9845" s="319">
        <f t="shared" si="1266"/>
        <v>45883</v>
      </c>
      <c r="E9845" s="320">
        <f t="shared" si="1268"/>
        <v>45883</v>
      </c>
      <c r="F9845" s="523"/>
      <c r="G9845" s="321" t="s">
        <v>1245</v>
      </c>
      <c r="H9845" s="322"/>
      <c r="I9845" s="322" t="s">
        <v>1253</v>
      </c>
      <c r="J9845" s="318" t="s">
        <v>1459</v>
      </c>
      <c r="K9845" s="323"/>
      <c r="L9845" s="323">
        <f>K9844</f>
        <v>2323464.2119998932</v>
      </c>
      <c r="M9845" s="328"/>
    </row>
    <row r="9846" spans="1:13" ht="11.25" customHeight="1" x14ac:dyDescent="0.2">
      <c r="A9846" s="222">
        <v>2025</v>
      </c>
      <c r="B9846" s="222">
        <v>8</v>
      </c>
      <c r="C9846" s="222">
        <v>14</v>
      </c>
      <c r="D9846" s="223">
        <f t="shared" si="1266"/>
        <v>45883</v>
      </c>
      <c r="E9846" s="240">
        <f t="shared" si="1268"/>
        <v>45883</v>
      </c>
      <c r="F9846" s="511" t="s">
        <v>1244</v>
      </c>
      <c r="G9846" s="225" t="s">
        <v>1245</v>
      </c>
      <c r="H9846" s="226"/>
      <c r="I9846" s="226" t="s">
        <v>1253</v>
      </c>
      <c r="J9846" s="222" t="s">
        <v>87</v>
      </c>
      <c r="K9846" s="227">
        <v>287113.59499999881</v>
      </c>
      <c r="L9846" s="227"/>
      <c r="M9846" s="328">
        <f>BS!$I$7</f>
        <v>0</v>
      </c>
    </row>
    <row r="9847" spans="1:13" ht="11.25" customHeight="1" x14ac:dyDescent="0.2">
      <c r="A9847" s="228">
        <v>2025</v>
      </c>
      <c r="B9847" s="228">
        <v>8</v>
      </c>
      <c r="C9847" s="228">
        <v>14</v>
      </c>
      <c r="D9847" s="229">
        <f t="shared" si="1266"/>
        <v>45883</v>
      </c>
      <c r="E9847" s="241">
        <f t="shared" si="1268"/>
        <v>45883</v>
      </c>
      <c r="F9847" s="512"/>
      <c r="G9847" s="231" t="s">
        <v>1245</v>
      </c>
      <c r="H9847" s="232"/>
      <c r="I9847" s="232" t="s">
        <v>1253</v>
      </c>
      <c r="J9847" s="228" t="s">
        <v>72</v>
      </c>
      <c r="K9847" s="233"/>
      <c r="L9847" s="233">
        <f>K9846</f>
        <v>287113.59499999881</v>
      </c>
    </row>
    <row r="9848" spans="1:13" ht="11.25" customHeight="1" x14ac:dyDescent="0.2">
      <c r="A9848" s="222">
        <v>2025</v>
      </c>
      <c r="B9848" s="222">
        <v>8</v>
      </c>
      <c r="C9848" s="222">
        <v>14</v>
      </c>
      <c r="D9848" s="223">
        <f t="shared" si="1266"/>
        <v>45883</v>
      </c>
      <c r="E9848" s="240">
        <f t="shared" si="1268"/>
        <v>45883</v>
      </c>
      <c r="F9848" s="511" t="s">
        <v>1246</v>
      </c>
      <c r="G9848" s="225" t="s">
        <v>1245</v>
      </c>
      <c r="H9848" s="226"/>
      <c r="I9848" s="226" t="s">
        <v>1253</v>
      </c>
      <c r="J9848" s="222" t="s">
        <v>75</v>
      </c>
      <c r="K9848" s="227">
        <v>3623.123846153846</v>
      </c>
      <c r="L9848" s="227"/>
    </row>
    <row r="9849" spans="1:13" ht="11.25" customHeight="1" x14ac:dyDescent="0.2">
      <c r="A9849" s="228">
        <v>2025</v>
      </c>
      <c r="B9849" s="228">
        <v>8</v>
      </c>
      <c r="C9849" s="228">
        <v>14</v>
      </c>
      <c r="D9849" s="229">
        <f t="shared" si="1266"/>
        <v>45883</v>
      </c>
      <c r="E9849" s="241">
        <f t="shared" si="1268"/>
        <v>45883</v>
      </c>
      <c r="F9849" s="512"/>
      <c r="G9849" s="231" t="s">
        <v>1245</v>
      </c>
      <c r="H9849" s="232"/>
      <c r="I9849" s="232" t="s">
        <v>1253</v>
      </c>
      <c r="J9849" s="228" t="s">
        <v>55</v>
      </c>
      <c r="K9849" s="233"/>
      <c r="L9849" s="233">
        <f>K9848</f>
        <v>3623.123846153846</v>
      </c>
    </row>
    <row r="9850" spans="1:13" ht="11.25" customHeight="1" x14ac:dyDescent="0.2">
      <c r="A9850" s="222">
        <v>2025</v>
      </c>
      <c r="B9850" s="222">
        <v>8</v>
      </c>
      <c r="C9850" s="222">
        <v>14</v>
      </c>
      <c r="D9850" s="223">
        <f t="shared" si="1266"/>
        <v>45883</v>
      </c>
      <c r="E9850" s="240">
        <f t="shared" si="1268"/>
        <v>45883</v>
      </c>
      <c r="F9850" s="511" t="s">
        <v>1247</v>
      </c>
      <c r="G9850" s="225" t="s">
        <v>1245</v>
      </c>
      <c r="H9850" s="226"/>
      <c r="I9850" s="226" t="s">
        <v>1253</v>
      </c>
      <c r="J9850" s="222" t="s">
        <v>77</v>
      </c>
      <c r="K9850" s="227">
        <f>M9850</f>
        <v>61700.416456838648</v>
      </c>
      <c r="L9850" s="227"/>
      <c r="M9850" s="120">
        <v>61700.416456838648</v>
      </c>
    </row>
    <row r="9851" spans="1:13" ht="11.25" customHeight="1" x14ac:dyDescent="0.2">
      <c r="A9851" s="228">
        <v>2025</v>
      </c>
      <c r="B9851" s="228">
        <v>8</v>
      </c>
      <c r="C9851" s="228">
        <v>14</v>
      </c>
      <c r="D9851" s="229">
        <f t="shared" si="1266"/>
        <v>45883</v>
      </c>
      <c r="E9851" s="241">
        <f t="shared" si="1268"/>
        <v>45883</v>
      </c>
      <c r="F9851" s="512"/>
      <c r="G9851" s="231" t="s">
        <v>1245</v>
      </c>
      <c r="H9851" s="232"/>
      <c r="I9851" s="232" t="s">
        <v>1253</v>
      </c>
      <c r="J9851" s="228" t="s">
        <v>41</v>
      </c>
      <c r="K9851" s="233"/>
      <c r="L9851" s="233">
        <f>K9850</f>
        <v>61700.416456838648</v>
      </c>
      <c r="M9851" s="120">
        <v>6170.0416456838657</v>
      </c>
    </row>
    <row r="9852" spans="1:13" ht="11.25" customHeight="1" x14ac:dyDescent="0.2">
      <c r="A9852" s="222">
        <v>2025</v>
      </c>
      <c r="B9852" s="222">
        <v>8</v>
      </c>
      <c r="C9852" s="222">
        <v>14</v>
      </c>
      <c r="D9852" s="223">
        <f t="shared" si="1266"/>
        <v>45883</v>
      </c>
      <c r="E9852" s="240">
        <f t="shared" si="1268"/>
        <v>45883</v>
      </c>
      <c r="F9852" s="511" t="s">
        <v>1248</v>
      </c>
      <c r="G9852" s="225" t="s">
        <v>1245</v>
      </c>
      <c r="H9852" s="226"/>
      <c r="I9852" s="226" t="s">
        <v>1253</v>
      </c>
      <c r="J9852" s="222" t="s">
        <v>80</v>
      </c>
      <c r="K9852" s="227">
        <f>M9851</f>
        <v>6170.0416456838657</v>
      </c>
      <c r="L9852" s="227"/>
    </row>
    <row r="9853" spans="1:13" ht="11.25" customHeight="1" x14ac:dyDescent="0.2">
      <c r="A9853" s="228">
        <v>2025</v>
      </c>
      <c r="B9853" s="228">
        <v>8</v>
      </c>
      <c r="C9853" s="228">
        <v>14</v>
      </c>
      <c r="D9853" s="229">
        <f t="shared" si="1266"/>
        <v>45883</v>
      </c>
      <c r="E9853" s="241">
        <f t="shared" si="1268"/>
        <v>45883</v>
      </c>
      <c r="F9853" s="512"/>
      <c r="G9853" s="231" t="s">
        <v>1245</v>
      </c>
      <c r="H9853" s="232"/>
      <c r="I9853" s="232" t="s">
        <v>1253</v>
      </c>
      <c r="J9853" s="228" t="s">
        <v>42</v>
      </c>
      <c r="K9853" s="233"/>
      <c r="L9853" s="233">
        <f>K9852</f>
        <v>6170.0416456838657</v>
      </c>
    </row>
    <row r="9854" spans="1:13" x14ac:dyDescent="0.2">
      <c r="A9854" s="197">
        <v>2025</v>
      </c>
      <c r="B9854" s="197">
        <v>8</v>
      </c>
      <c r="C9854" s="197">
        <v>15</v>
      </c>
      <c r="D9854" s="198">
        <f t="shared" si="1266"/>
        <v>45884</v>
      </c>
      <c r="E9854" s="209">
        <f t="shared" ref="E9854:E9856" si="1269">DATE(A9854,B9854,C9854)</f>
        <v>45884</v>
      </c>
      <c r="F9854" s="513" t="s">
        <v>1296</v>
      </c>
      <c r="G9854" s="200" t="s">
        <v>1209</v>
      </c>
      <c r="H9854" s="201"/>
      <c r="I9854" s="201"/>
      <c r="J9854" s="197" t="s">
        <v>46</v>
      </c>
      <c r="K9854" s="202">
        <v>5000</v>
      </c>
      <c r="L9854" s="202"/>
    </row>
    <row r="9855" spans="1:13" x14ac:dyDescent="0.2">
      <c r="A9855" s="120">
        <v>2025</v>
      </c>
      <c r="B9855" s="120">
        <v>8</v>
      </c>
      <c r="C9855" s="120">
        <v>15</v>
      </c>
      <c r="D9855" s="208">
        <f t="shared" si="1266"/>
        <v>45884</v>
      </c>
      <c r="E9855" s="209">
        <f t="shared" si="1269"/>
        <v>45884</v>
      </c>
      <c r="F9855" s="515"/>
      <c r="G9855" s="132" t="s">
        <v>1209</v>
      </c>
      <c r="J9855" s="120" t="s">
        <v>16</v>
      </c>
      <c r="K9855" s="207"/>
      <c r="L9855" s="207">
        <v>3820</v>
      </c>
    </row>
    <row r="9856" spans="1:13" x14ac:dyDescent="0.2">
      <c r="A9856" s="191">
        <v>2025</v>
      </c>
      <c r="B9856" s="191">
        <v>8</v>
      </c>
      <c r="C9856" s="191">
        <v>15</v>
      </c>
      <c r="D9856" s="192">
        <f t="shared" si="1266"/>
        <v>45884</v>
      </c>
      <c r="E9856" s="193">
        <f t="shared" si="1269"/>
        <v>45884</v>
      </c>
      <c r="F9856" s="514"/>
      <c r="G9856" s="194" t="s">
        <v>1209</v>
      </c>
      <c r="H9856" s="195"/>
      <c r="I9856" s="195"/>
      <c r="J9856" s="191" t="s">
        <v>47</v>
      </c>
      <c r="K9856" s="196"/>
      <c r="L9856" s="196">
        <v>1180</v>
      </c>
    </row>
    <row r="9857" spans="1:15" x14ac:dyDescent="0.2">
      <c r="A9857" s="197">
        <v>2025</v>
      </c>
      <c r="B9857" s="197">
        <v>8</v>
      </c>
      <c r="C9857" s="197">
        <v>17</v>
      </c>
      <c r="D9857" s="198">
        <f t="shared" si="1266"/>
        <v>45886</v>
      </c>
      <c r="E9857" s="209">
        <f t="shared" ref="E9857:E9859" si="1270">DATE(A9857,B9857,C9857)</f>
        <v>45886</v>
      </c>
      <c r="F9857" s="513" t="s">
        <v>1296</v>
      </c>
      <c r="G9857" s="200" t="s">
        <v>1209</v>
      </c>
      <c r="H9857" s="201"/>
      <c r="I9857" s="201"/>
      <c r="J9857" s="197" t="s">
        <v>46</v>
      </c>
      <c r="K9857" s="202">
        <v>99000</v>
      </c>
      <c r="L9857" s="202"/>
    </row>
    <row r="9858" spans="1:15" x14ac:dyDescent="0.2">
      <c r="A9858" s="120">
        <v>2025</v>
      </c>
      <c r="B9858" s="120">
        <v>8</v>
      </c>
      <c r="C9858" s="120">
        <v>17</v>
      </c>
      <c r="D9858" s="208">
        <f t="shared" si="1266"/>
        <v>45886</v>
      </c>
      <c r="E9858" s="209">
        <f t="shared" si="1270"/>
        <v>45886</v>
      </c>
      <c r="F9858" s="515"/>
      <c r="G9858" s="132" t="s">
        <v>1209</v>
      </c>
      <c r="J9858" s="120" t="s">
        <v>16</v>
      </c>
      <c r="K9858" s="207"/>
      <c r="L9858" s="207">
        <v>75640</v>
      </c>
    </row>
    <row r="9859" spans="1:15" x14ac:dyDescent="0.2">
      <c r="A9859" s="191">
        <v>2025</v>
      </c>
      <c r="B9859" s="191">
        <v>8</v>
      </c>
      <c r="C9859" s="191">
        <v>17</v>
      </c>
      <c r="D9859" s="192">
        <f t="shared" si="1266"/>
        <v>45886</v>
      </c>
      <c r="E9859" s="193">
        <f t="shared" si="1270"/>
        <v>45886</v>
      </c>
      <c r="F9859" s="514"/>
      <c r="G9859" s="194" t="s">
        <v>1209</v>
      </c>
      <c r="H9859" s="195"/>
      <c r="I9859" s="195"/>
      <c r="J9859" s="191" t="s">
        <v>47</v>
      </c>
      <c r="K9859" s="196"/>
      <c r="L9859" s="196">
        <v>23360</v>
      </c>
    </row>
    <row r="9860" spans="1:15" ht="11.25" customHeight="1" x14ac:dyDescent="0.2">
      <c r="A9860" s="197">
        <v>2025</v>
      </c>
      <c r="B9860" s="197">
        <v>8</v>
      </c>
      <c r="C9860" s="197">
        <v>17</v>
      </c>
      <c r="D9860" s="198">
        <f t="shared" si="1266"/>
        <v>45886</v>
      </c>
      <c r="E9860" s="209">
        <f t="shared" si="1268"/>
        <v>45886</v>
      </c>
      <c r="F9860" s="513" t="s">
        <v>1280</v>
      </c>
      <c r="G9860" s="200" t="s">
        <v>1209</v>
      </c>
      <c r="H9860" s="201"/>
      <c r="I9860" s="201"/>
      <c r="J9860" s="197" t="s">
        <v>16</v>
      </c>
      <c r="K9860" s="202">
        <v>267420</v>
      </c>
      <c r="L9860" s="202"/>
    </row>
    <row r="9861" spans="1:15" ht="11.25" customHeight="1" x14ac:dyDescent="0.2">
      <c r="A9861" s="120">
        <v>2025</v>
      </c>
      <c r="B9861" s="120">
        <v>8</v>
      </c>
      <c r="C9861" s="120">
        <v>17</v>
      </c>
      <c r="D9861" s="208">
        <f t="shared" si="1266"/>
        <v>45886</v>
      </c>
      <c r="E9861" s="209">
        <f t="shared" si="1268"/>
        <v>45886</v>
      </c>
      <c r="F9861" s="515"/>
      <c r="G9861" s="132" t="s">
        <v>1209</v>
      </c>
      <c r="J9861" s="120" t="s">
        <v>47</v>
      </c>
      <c r="K9861" s="207">
        <v>82580</v>
      </c>
      <c r="L9861" s="207"/>
    </row>
    <row r="9862" spans="1:15" ht="11.25" customHeight="1" x14ac:dyDescent="0.2">
      <c r="A9862" s="191">
        <v>2025</v>
      </c>
      <c r="B9862" s="191">
        <v>8</v>
      </c>
      <c r="C9862" s="191">
        <v>17</v>
      </c>
      <c r="D9862" s="192">
        <f t="shared" si="1266"/>
        <v>45886</v>
      </c>
      <c r="E9862" s="193">
        <f t="shared" si="1268"/>
        <v>45886</v>
      </c>
      <c r="F9862" s="514"/>
      <c r="G9862" s="194" t="s">
        <v>1209</v>
      </c>
      <c r="H9862" s="195"/>
      <c r="I9862" s="195"/>
      <c r="J9862" s="191" t="s">
        <v>46</v>
      </c>
      <c r="K9862" s="196"/>
      <c r="L9862" s="196">
        <v>350000</v>
      </c>
    </row>
    <row r="9863" spans="1:15" x14ac:dyDescent="0.2">
      <c r="A9863" s="197">
        <v>2025</v>
      </c>
      <c r="B9863" s="197">
        <v>8</v>
      </c>
      <c r="C9863" s="197">
        <v>17</v>
      </c>
      <c r="D9863" s="198">
        <f t="shared" si="1266"/>
        <v>45886</v>
      </c>
      <c r="E9863" s="209">
        <f t="shared" si="1268"/>
        <v>45886</v>
      </c>
      <c r="F9863" s="513" t="s">
        <v>1210</v>
      </c>
      <c r="G9863" s="200" t="s">
        <v>1209</v>
      </c>
      <c r="H9863" s="201"/>
      <c r="I9863" s="201"/>
      <c r="J9863" s="197" t="s">
        <v>46</v>
      </c>
      <c r="K9863" s="202">
        <v>81015</v>
      </c>
      <c r="L9863" s="202"/>
    </row>
    <row r="9864" spans="1:15" x14ac:dyDescent="0.2">
      <c r="A9864" s="120">
        <v>2025</v>
      </c>
      <c r="B9864" s="120">
        <v>8</v>
      </c>
      <c r="C9864" s="120">
        <v>17</v>
      </c>
      <c r="D9864" s="208">
        <f t="shared" si="1266"/>
        <v>45886</v>
      </c>
      <c r="E9864" s="209">
        <f t="shared" si="1268"/>
        <v>45886</v>
      </c>
      <c r="F9864" s="515"/>
      <c r="G9864" s="132" t="s">
        <v>1209</v>
      </c>
      <c r="J9864" s="120" t="s">
        <v>16</v>
      </c>
      <c r="K9864" s="207"/>
      <c r="L9864" s="207">
        <v>61900</v>
      </c>
    </row>
    <row r="9865" spans="1:15" x14ac:dyDescent="0.2">
      <c r="A9865" s="191">
        <v>2025</v>
      </c>
      <c r="B9865" s="191">
        <v>8</v>
      </c>
      <c r="C9865" s="191">
        <v>17</v>
      </c>
      <c r="D9865" s="192">
        <f t="shared" si="1266"/>
        <v>45886</v>
      </c>
      <c r="E9865" s="193">
        <f t="shared" si="1268"/>
        <v>45886</v>
      </c>
      <c r="F9865" s="514"/>
      <c r="G9865" s="194" t="s">
        <v>1209</v>
      </c>
      <c r="H9865" s="195"/>
      <c r="I9865" s="195"/>
      <c r="J9865" s="191" t="s">
        <v>47</v>
      </c>
      <c r="K9865" s="196"/>
      <c r="L9865" s="196">
        <v>19115</v>
      </c>
    </row>
    <row r="9866" spans="1:15" ht="11.25" customHeight="1" x14ac:dyDescent="0.2">
      <c r="A9866" s="197">
        <v>2025</v>
      </c>
      <c r="B9866" s="197">
        <v>8</v>
      </c>
      <c r="C9866" s="197">
        <v>17</v>
      </c>
      <c r="D9866" s="198">
        <f t="shared" si="1266"/>
        <v>45886</v>
      </c>
      <c r="E9866" s="209">
        <f t="shared" ref="E9866:E9868" si="1271">DATE(A9866,B9866,C9866)</f>
        <v>45886</v>
      </c>
      <c r="F9866" s="513" t="s">
        <v>1280</v>
      </c>
      <c r="G9866" s="200" t="s">
        <v>1209</v>
      </c>
      <c r="H9866" s="201"/>
      <c r="I9866" s="201"/>
      <c r="J9866" s="197" t="s">
        <v>16</v>
      </c>
      <c r="K9866" s="202">
        <v>5000</v>
      </c>
      <c r="L9866" s="202"/>
    </row>
    <row r="9867" spans="1:15" ht="11.25" customHeight="1" x14ac:dyDescent="0.2">
      <c r="A9867" s="120">
        <v>2025</v>
      </c>
      <c r="B9867" s="120">
        <v>8</v>
      </c>
      <c r="C9867" s="120">
        <v>17</v>
      </c>
      <c r="D9867" s="208">
        <f t="shared" si="1266"/>
        <v>45886</v>
      </c>
      <c r="E9867" s="209">
        <f t="shared" si="1271"/>
        <v>45886</v>
      </c>
      <c r="F9867" s="515"/>
      <c r="G9867" s="132" t="s">
        <v>1209</v>
      </c>
      <c r="J9867" s="120" t="s">
        <v>47</v>
      </c>
      <c r="K9867" s="207">
        <v>1544</v>
      </c>
      <c r="L9867" s="207"/>
    </row>
    <row r="9868" spans="1:15" ht="11.25" customHeight="1" x14ac:dyDescent="0.2">
      <c r="A9868" s="191">
        <v>2025</v>
      </c>
      <c r="B9868" s="191">
        <v>8</v>
      </c>
      <c r="C9868" s="191">
        <v>17</v>
      </c>
      <c r="D9868" s="192">
        <f t="shared" si="1266"/>
        <v>45886</v>
      </c>
      <c r="E9868" s="193">
        <f t="shared" si="1271"/>
        <v>45886</v>
      </c>
      <c r="F9868" s="514"/>
      <c r="G9868" s="194" t="s">
        <v>1209</v>
      </c>
      <c r="H9868" s="195"/>
      <c r="I9868" s="195"/>
      <c r="J9868" s="191" t="s">
        <v>46</v>
      </c>
      <c r="K9868" s="196"/>
      <c r="L9868" s="196">
        <v>6544</v>
      </c>
    </row>
    <row r="9869" spans="1:15" ht="11.25" customHeight="1" x14ac:dyDescent="0.2">
      <c r="A9869" s="197">
        <v>2025</v>
      </c>
      <c r="B9869" s="197">
        <v>8</v>
      </c>
      <c r="C9869" s="197">
        <v>17</v>
      </c>
      <c r="D9869" s="198">
        <f t="shared" si="1266"/>
        <v>45886</v>
      </c>
      <c r="E9869" s="209">
        <f t="shared" si="1268"/>
        <v>45886</v>
      </c>
      <c r="F9869" s="513" t="s">
        <v>1280</v>
      </c>
      <c r="G9869" s="200" t="s">
        <v>1209</v>
      </c>
      <c r="H9869" s="201"/>
      <c r="I9869" s="201"/>
      <c r="J9869" s="197" t="s">
        <v>16</v>
      </c>
      <c r="K9869" s="202">
        <v>152810</v>
      </c>
      <c r="L9869" s="202"/>
    </row>
    <row r="9870" spans="1:15" ht="11.25" customHeight="1" x14ac:dyDescent="0.2">
      <c r="A9870" s="120">
        <v>2025</v>
      </c>
      <c r="B9870" s="120">
        <v>8</v>
      </c>
      <c r="C9870" s="120">
        <v>17</v>
      </c>
      <c r="D9870" s="208">
        <f t="shared" si="1266"/>
        <v>45886</v>
      </c>
      <c r="E9870" s="209">
        <f t="shared" si="1268"/>
        <v>45886</v>
      </c>
      <c r="F9870" s="515"/>
      <c r="G9870" s="132" t="s">
        <v>1209</v>
      </c>
      <c r="J9870" s="120" t="s">
        <v>47</v>
      </c>
      <c r="K9870" s="207">
        <v>47190</v>
      </c>
      <c r="L9870" s="207"/>
    </row>
    <row r="9871" spans="1:15" ht="11.25" customHeight="1" x14ac:dyDescent="0.2">
      <c r="A9871" s="191">
        <v>2025</v>
      </c>
      <c r="B9871" s="191">
        <v>8</v>
      </c>
      <c r="C9871" s="191">
        <v>17</v>
      </c>
      <c r="D9871" s="192">
        <f t="shared" si="1266"/>
        <v>45886</v>
      </c>
      <c r="E9871" s="193">
        <f t="shared" si="1268"/>
        <v>45886</v>
      </c>
      <c r="F9871" s="514"/>
      <c r="G9871" s="194" t="s">
        <v>1209</v>
      </c>
      <c r="H9871" s="195"/>
      <c r="I9871" s="195"/>
      <c r="J9871" s="191" t="s">
        <v>46</v>
      </c>
      <c r="K9871" s="196"/>
      <c r="L9871" s="196">
        <v>200000</v>
      </c>
    </row>
    <row r="9872" spans="1:15" ht="11.25" customHeight="1" x14ac:dyDescent="0.2">
      <c r="A9872" s="197">
        <v>2025</v>
      </c>
      <c r="B9872" s="197">
        <v>8</v>
      </c>
      <c r="C9872" s="197">
        <v>17</v>
      </c>
      <c r="D9872" s="198">
        <f t="shared" si="1266"/>
        <v>45886</v>
      </c>
      <c r="E9872" s="290">
        <f t="shared" si="1268"/>
        <v>45886</v>
      </c>
      <c r="F9872" s="513" t="s">
        <v>1514</v>
      </c>
      <c r="G9872" s="200" t="s">
        <v>1209</v>
      </c>
      <c r="H9872" s="201"/>
      <c r="I9872" s="201"/>
      <c r="J9872" s="197" t="s">
        <v>54</v>
      </c>
      <c r="K9872" s="202">
        <v>58</v>
      </c>
      <c r="L9872" s="202"/>
      <c r="M9872" s="251"/>
      <c r="N9872" s="251"/>
      <c r="O9872" s="251"/>
    </row>
    <row r="9873" spans="1:13" ht="11.25" customHeight="1" x14ac:dyDescent="0.2">
      <c r="A9873" s="191">
        <v>2025</v>
      </c>
      <c r="B9873" s="191">
        <v>8</v>
      </c>
      <c r="C9873" s="191">
        <v>17</v>
      </c>
      <c r="D9873" s="192">
        <f t="shared" si="1266"/>
        <v>45886</v>
      </c>
      <c r="E9873" s="291">
        <f t="shared" si="1268"/>
        <v>45886</v>
      </c>
      <c r="F9873" s="514"/>
      <c r="G9873" s="194" t="s">
        <v>1209</v>
      </c>
      <c r="H9873" s="195"/>
      <c r="I9873" s="195"/>
      <c r="J9873" s="191" t="s">
        <v>46</v>
      </c>
      <c r="K9873" s="196"/>
      <c r="L9873" s="196">
        <f>K9872</f>
        <v>58</v>
      </c>
      <c r="M9873" s="251"/>
    </row>
    <row r="9874" spans="1:13" ht="11.25" customHeight="1" x14ac:dyDescent="0.2">
      <c r="A9874" s="197">
        <v>2025</v>
      </c>
      <c r="B9874" s="197">
        <v>8</v>
      </c>
      <c r="C9874" s="197">
        <v>17</v>
      </c>
      <c r="D9874" s="198">
        <f t="shared" si="1266"/>
        <v>45886</v>
      </c>
      <c r="E9874" s="290">
        <f>DATE(A9874,B9874,C9874)</f>
        <v>45886</v>
      </c>
      <c r="F9874" s="513" t="s">
        <v>2071</v>
      </c>
      <c r="G9874" s="200" t="s">
        <v>1209</v>
      </c>
      <c r="H9874" s="201"/>
      <c r="I9874" s="201" t="s">
        <v>1253</v>
      </c>
      <c r="J9874" s="197" t="s">
        <v>46</v>
      </c>
      <c r="K9874" s="202">
        <v>1150000</v>
      </c>
      <c r="L9874" s="202"/>
    </row>
    <row r="9875" spans="1:13" ht="11.25" customHeight="1" x14ac:dyDescent="0.2">
      <c r="A9875" s="191">
        <v>2025</v>
      </c>
      <c r="B9875" s="191">
        <v>8</v>
      </c>
      <c r="C9875" s="191">
        <v>17</v>
      </c>
      <c r="D9875" s="192">
        <f t="shared" si="1266"/>
        <v>45886</v>
      </c>
      <c r="E9875" s="291">
        <f>DATE(A9875,B9875,C9875)</f>
        <v>45886</v>
      </c>
      <c r="F9875" s="514"/>
      <c r="G9875" s="194" t="s">
        <v>1209</v>
      </c>
      <c r="H9875" s="195"/>
      <c r="I9875" s="195"/>
      <c r="J9875" s="191" t="s">
        <v>1873</v>
      </c>
      <c r="K9875" s="196"/>
      <c r="L9875" s="196">
        <v>1150000</v>
      </c>
    </row>
    <row r="9876" spans="1:13" ht="11.25" customHeight="1" x14ac:dyDescent="0.2">
      <c r="A9876" s="197">
        <v>2025</v>
      </c>
      <c r="B9876" s="197">
        <v>8</v>
      </c>
      <c r="C9876" s="197">
        <v>17</v>
      </c>
      <c r="D9876" s="198">
        <f t="shared" si="1266"/>
        <v>45886</v>
      </c>
      <c r="E9876" s="290">
        <f t="shared" ref="E9876:E9880" si="1272">DATE(A9876,B9876,C9876)</f>
        <v>45886</v>
      </c>
      <c r="F9876" s="513" t="s">
        <v>2073</v>
      </c>
      <c r="G9876" s="200" t="s">
        <v>1245</v>
      </c>
      <c r="H9876" s="201"/>
      <c r="I9876" s="201" t="s">
        <v>1253</v>
      </c>
      <c r="J9876" s="197" t="s">
        <v>46</v>
      </c>
      <c r="K9876" s="202">
        <v>3744964</v>
      </c>
      <c r="L9876" s="202"/>
    </row>
    <row r="9877" spans="1:13" ht="11.25" customHeight="1" x14ac:dyDescent="0.2">
      <c r="A9877" s="120">
        <v>2025</v>
      </c>
      <c r="B9877" s="120">
        <v>8</v>
      </c>
      <c r="C9877" s="120">
        <v>17</v>
      </c>
      <c r="D9877" s="208">
        <f t="shared" si="1266"/>
        <v>45886</v>
      </c>
      <c r="E9877" s="293">
        <v>45886</v>
      </c>
      <c r="F9877" s="515"/>
      <c r="G9877" s="132" t="s">
        <v>1245</v>
      </c>
      <c r="J9877" s="120" t="s">
        <v>1979</v>
      </c>
      <c r="K9877" s="207">
        <v>31036</v>
      </c>
      <c r="L9877" s="207"/>
    </row>
    <row r="9878" spans="1:13" ht="11.25" customHeight="1" x14ac:dyDescent="0.2">
      <c r="A9878" s="191">
        <v>2025</v>
      </c>
      <c r="B9878" s="191">
        <v>8</v>
      </c>
      <c r="C9878" s="191">
        <v>17</v>
      </c>
      <c r="D9878" s="192">
        <f t="shared" si="1266"/>
        <v>45886</v>
      </c>
      <c r="E9878" s="291">
        <f t="shared" si="1272"/>
        <v>45886</v>
      </c>
      <c r="F9878" s="514"/>
      <c r="G9878" s="194" t="s">
        <v>1245</v>
      </c>
      <c r="H9878" s="195"/>
      <c r="I9878" s="195" t="s">
        <v>1253</v>
      </c>
      <c r="J9878" s="191" t="s">
        <v>1978</v>
      </c>
      <c r="K9878" s="196"/>
      <c r="L9878" s="196">
        <v>3776000</v>
      </c>
    </row>
    <row r="9879" spans="1:13" ht="11.25" customHeight="1" x14ac:dyDescent="0.2">
      <c r="A9879" s="197">
        <v>2025</v>
      </c>
      <c r="B9879" s="197">
        <v>8</v>
      </c>
      <c r="C9879" s="197">
        <v>17</v>
      </c>
      <c r="D9879" s="198">
        <f t="shared" si="1266"/>
        <v>45886</v>
      </c>
      <c r="E9879" s="199">
        <f t="shared" si="1272"/>
        <v>45886</v>
      </c>
      <c r="F9879" s="513" t="s">
        <v>2079</v>
      </c>
      <c r="G9879" s="200" t="s">
        <v>1209</v>
      </c>
      <c r="H9879" s="201"/>
      <c r="I9879" s="201"/>
      <c r="J9879" s="197" t="s">
        <v>46</v>
      </c>
      <c r="K9879" s="202">
        <v>134104.5</v>
      </c>
      <c r="L9879" s="202"/>
    </row>
    <row r="9880" spans="1:13" ht="11.25" customHeight="1" x14ac:dyDescent="0.2">
      <c r="A9880" s="191">
        <v>2025</v>
      </c>
      <c r="B9880" s="191">
        <v>8</v>
      </c>
      <c r="C9880" s="191">
        <v>17</v>
      </c>
      <c r="D9880" s="192">
        <f t="shared" si="1266"/>
        <v>45886</v>
      </c>
      <c r="E9880" s="193">
        <f t="shared" si="1272"/>
        <v>45886</v>
      </c>
      <c r="F9880" s="514"/>
      <c r="G9880" s="194" t="s">
        <v>1209</v>
      </c>
      <c r="H9880" s="195"/>
      <c r="I9880" s="195"/>
      <c r="J9880" s="191" t="s">
        <v>178</v>
      </c>
      <c r="K9880" s="196"/>
      <c r="L9880" s="196">
        <f>K9879</f>
        <v>134104.5</v>
      </c>
    </row>
    <row r="9881" spans="1:13" ht="11.25" customHeight="1" x14ac:dyDescent="0.2">
      <c r="A9881" s="197">
        <v>2025</v>
      </c>
      <c r="B9881" s="197">
        <v>8</v>
      </c>
      <c r="C9881" s="197">
        <v>18</v>
      </c>
      <c r="D9881" s="198">
        <f t="shared" si="1266"/>
        <v>45887</v>
      </c>
      <c r="E9881" s="209">
        <f t="shared" ref="E9881:E9894" si="1273">DATE(A9881,B9881,C9881)</f>
        <v>45887</v>
      </c>
      <c r="F9881" s="513" t="s">
        <v>1280</v>
      </c>
      <c r="G9881" s="200" t="s">
        <v>1209</v>
      </c>
      <c r="H9881" s="201"/>
      <c r="I9881" s="201"/>
      <c r="J9881" s="197" t="s">
        <v>16</v>
      </c>
      <c r="K9881" s="202">
        <v>114610</v>
      </c>
      <c r="L9881" s="202"/>
    </row>
    <row r="9882" spans="1:13" ht="11.25" customHeight="1" x14ac:dyDescent="0.2">
      <c r="A9882" s="120">
        <v>2025</v>
      </c>
      <c r="B9882" s="120">
        <v>8</v>
      </c>
      <c r="C9882" s="120">
        <v>18</v>
      </c>
      <c r="D9882" s="208">
        <f t="shared" si="1266"/>
        <v>45887</v>
      </c>
      <c r="E9882" s="209">
        <f t="shared" si="1273"/>
        <v>45887</v>
      </c>
      <c r="F9882" s="515"/>
      <c r="G9882" s="132" t="s">
        <v>1209</v>
      </c>
      <c r="J9882" s="120" t="s">
        <v>47</v>
      </c>
      <c r="K9882" s="207">
        <v>35390</v>
      </c>
      <c r="L9882" s="207"/>
    </row>
    <row r="9883" spans="1:13" ht="11.25" customHeight="1" x14ac:dyDescent="0.2">
      <c r="A9883" s="191">
        <v>2025</v>
      </c>
      <c r="B9883" s="191">
        <v>8</v>
      </c>
      <c r="C9883" s="191">
        <v>18</v>
      </c>
      <c r="D9883" s="192">
        <f t="shared" si="1266"/>
        <v>45887</v>
      </c>
      <c r="E9883" s="193">
        <f t="shared" si="1273"/>
        <v>45887</v>
      </c>
      <c r="F9883" s="514"/>
      <c r="G9883" s="194" t="s">
        <v>1209</v>
      </c>
      <c r="H9883" s="195"/>
      <c r="I9883" s="195"/>
      <c r="J9883" s="191" t="s">
        <v>46</v>
      </c>
      <c r="K9883" s="196"/>
      <c r="L9883" s="196">
        <v>150000</v>
      </c>
    </row>
    <row r="9884" spans="1:13" ht="11.25" customHeight="1" x14ac:dyDescent="0.2">
      <c r="A9884" s="197">
        <v>2025</v>
      </c>
      <c r="B9884" s="197">
        <v>8</v>
      </c>
      <c r="C9884" s="197">
        <v>18</v>
      </c>
      <c r="D9884" s="198">
        <f t="shared" si="1266"/>
        <v>45887</v>
      </c>
      <c r="E9884" s="209">
        <f t="shared" ref="E9884:E9886" si="1274">DATE(A9884,B9884,C9884)</f>
        <v>45887</v>
      </c>
      <c r="F9884" s="513" t="s">
        <v>1280</v>
      </c>
      <c r="G9884" s="200" t="s">
        <v>1209</v>
      </c>
      <c r="H9884" s="201"/>
      <c r="I9884" s="201"/>
      <c r="J9884" s="197" t="s">
        <v>16</v>
      </c>
      <c r="K9884" s="202">
        <v>1528120</v>
      </c>
      <c r="L9884" s="202"/>
    </row>
    <row r="9885" spans="1:13" ht="11.25" customHeight="1" x14ac:dyDescent="0.2">
      <c r="A9885" s="120">
        <v>2025</v>
      </c>
      <c r="B9885" s="120">
        <v>8</v>
      </c>
      <c r="C9885" s="120">
        <v>18</v>
      </c>
      <c r="D9885" s="208">
        <f t="shared" si="1266"/>
        <v>45887</v>
      </c>
      <c r="E9885" s="209">
        <f t="shared" si="1274"/>
        <v>45887</v>
      </c>
      <c r="F9885" s="515"/>
      <c r="G9885" s="132" t="s">
        <v>1209</v>
      </c>
      <c r="J9885" s="120" t="s">
        <v>47</v>
      </c>
      <c r="K9885" s="207">
        <v>471880</v>
      </c>
      <c r="L9885" s="207"/>
    </row>
    <row r="9886" spans="1:13" ht="11.25" customHeight="1" x14ac:dyDescent="0.2">
      <c r="A9886" s="191">
        <v>2025</v>
      </c>
      <c r="B9886" s="191">
        <v>8</v>
      </c>
      <c r="C9886" s="191">
        <v>18</v>
      </c>
      <c r="D9886" s="192">
        <f t="shared" si="1266"/>
        <v>45887</v>
      </c>
      <c r="E9886" s="193">
        <f t="shared" si="1274"/>
        <v>45887</v>
      </c>
      <c r="F9886" s="514"/>
      <c r="G9886" s="194" t="s">
        <v>1209</v>
      </c>
      <c r="H9886" s="195"/>
      <c r="I9886" s="195"/>
      <c r="J9886" s="191" t="s">
        <v>46</v>
      </c>
      <c r="K9886" s="196"/>
      <c r="L9886" s="196">
        <v>2000000</v>
      </c>
    </row>
    <row r="9887" spans="1:13" ht="11.25" customHeight="1" x14ac:dyDescent="0.2">
      <c r="A9887" s="197">
        <v>2025</v>
      </c>
      <c r="B9887" s="197">
        <v>8</v>
      </c>
      <c r="C9887" s="197">
        <v>18</v>
      </c>
      <c r="D9887" s="198">
        <f t="shared" si="1266"/>
        <v>45887</v>
      </c>
      <c r="E9887" s="209">
        <f t="shared" ref="E9887:E9891" si="1275">DATE(A9887,B9887,C9887)</f>
        <v>45887</v>
      </c>
      <c r="F9887" s="513" t="s">
        <v>1280</v>
      </c>
      <c r="G9887" s="200" t="s">
        <v>1209</v>
      </c>
      <c r="H9887" s="201"/>
      <c r="I9887" s="201"/>
      <c r="J9887" s="197" t="s">
        <v>16</v>
      </c>
      <c r="K9887" s="202">
        <v>584500</v>
      </c>
      <c r="L9887" s="202"/>
    </row>
    <row r="9888" spans="1:13" ht="11.25" customHeight="1" x14ac:dyDescent="0.2">
      <c r="A9888" s="120">
        <v>2025</v>
      </c>
      <c r="B9888" s="120">
        <v>8</v>
      </c>
      <c r="C9888" s="120">
        <v>18</v>
      </c>
      <c r="D9888" s="208">
        <f t="shared" si="1266"/>
        <v>45887</v>
      </c>
      <c r="E9888" s="209">
        <f t="shared" si="1275"/>
        <v>45887</v>
      </c>
      <c r="F9888" s="515"/>
      <c r="G9888" s="132" t="s">
        <v>1209</v>
      </c>
      <c r="J9888" s="120" t="s">
        <v>47</v>
      </c>
      <c r="K9888" s="207">
        <v>180500</v>
      </c>
      <c r="L9888" s="207"/>
    </row>
    <row r="9889" spans="1:15" ht="11.25" customHeight="1" x14ac:dyDescent="0.2">
      <c r="A9889" s="191">
        <v>2025</v>
      </c>
      <c r="B9889" s="191">
        <v>8</v>
      </c>
      <c r="C9889" s="191">
        <v>18</v>
      </c>
      <c r="D9889" s="192">
        <f t="shared" si="1266"/>
        <v>45887</v>
      </c>
      <c r="E9889" s="193">
        <f t="shared" si="1275"/>
        <v>45887</v>
      </c>
      <c r="F9889" s="514"/>
      <c r="G9889" s="194" t="s">
        <v>1209</v>
      </c>
      <c r="H9889" s="195"/>
      <c r="I9889" s="195"/>
      <c r="J9889" s="191" t="s">
        <v>46</v>
      </c>
      <c r="K9889" s="196"/>
      <c r="L9889" s="196">
        <v>765000</v>
      </c>
    </row>
    <row r="9890" spans="1:15" ht="11.25" customHeight="1" x14ac:dyDescent="0.2">
      <c r="A9890" s="197">
        <v>2025</v>
      </c>
      <c r="B9890" s="197">
        <v>8</v>
      </c>
      <c r="C9890" s="197">
        <v>18</v>
      </c>
      <c r="D9890" s="198">
        <f t="shared" si="1266"/>
        <v>45887</v>
      </c>
      <c r="E9890" s="290">
        <f t="shared" si="1275"/>
        <v>45887</v>
      </c>
      <c r="F9890" s="513" t="s">
        <v>1514</v>
      </c>
      <c r="G9890" s="200" t="s">
        <v>1209</v>
      </c>
      <c r="H9890" s="201"/>
      <c r="I9890" s="201"/>
      <c r="J9890" s="197" t="s">
        <v>54</v>
      </c>
      <c r="K9890" s="202">
        <v>258</v>
      </c>
      <c r="L9890" s="202"/>
      <c r="M9890" s="251"/>
      <c r="N9890" s="251"/>
      <c r="O9890" s="251"/>
    </row>
    <row r="9891" spans="1:15" ht="11.25" customHeight="1" x14ac:dyDescent="0.2">
      <c r="A9891" s="191">
        <v>2025</v>
      </c>
      <c r="B9891" s="191">
        <v>8</v>
      </c>
      <c r="C9891" s="191">
        <v>18</v>
      </c>
      <c r="D9891" s="192">
        <f t="shared" si="1266"/>
        <v>45887</v>
      </c>
      <c r="E9891" s="291">
        <f t="shared" si="1275"/>
        <v>45887</v>
      </c>
      <c r="F9891" s="514"/>
      <c r="G9891" s="194" t="s">
        <v>1209</v>
      </c>
      <c r="H9891" s="195"/>
      <c r="I9891" s="195"/>
      <c r="J9891" s="191" t="s">
        <v>46</v>
      </c>
      <c r="K9891" s="196"/>
      <c r="L9891" s="196">
        <f>K9890</f>
        <v>258</v>
      </c>
      <c r="M9891" s="251"/>
    </row>
    <row r="9892" spans="1:15" x14ac:dyDescent="0.2">
      <c r="A9892" s="197">
        <v>2025</v>
      </c>
      <c r="B9892" s="197">
        <v>8</v>
      </c>
      <c r="C9892" s="197">
        <v>19</v>
      </c>
      <c r="D9892" s="198">
        <f t="shared" si="1266"/>
        <v>45888</v>
      </c>
      <c r="E9892" s="209">
        <f t="shared" si="1273"/>
        <v>45888</v>
      </c>
      <c r="F9892" s="513" t="s">
        <v>1210</v>
      </c>
      <c r="G9892" s="200" t="s">
        <v>1209</v>
      </c>
      <c r="H9892" s="201"/>
      <c r="I9892" s="201"/>
      <c r="J9892" s="197" t="s">
        <v>46</v>
      </c>
      <c r="K9892" s="202">
        <v>50000</v>
      </c>
      <c r="L9892" s="202"/>
    </row>
    <row r="9893" spans="1:15" x14ac:dyDescent="0.2">
      <c r="A9893" s="120">
        <v>2025</v>
      </c>
      <c r="B9893" s="120">
        <v>8</v>
      </c>
      <c r="C9893" s="120">
        <v>19</v>
      </c>
      <c r="D9893" s="208">
        <f t="shared" si="1266"/>
        <v>45888</v>
      </c>
      <c r="E9893" s="209">
        <f t="shared" si="1273"/>
        <v>45888</v>
      </c>
      <c r="F9893" s="515"/>
      <c r="G9893" s="132" t="s">
        <v>1209</v>
      </c>
      <c r="J9893" s="120" t="s">
        <v>16</v>
      </c>
      <c r="K9893" s="207"/>
      <c r="L9893" s="207">
        <v>38200</v>
      </c>
    </row>
    <row r="9894" spans="1:15" x14ac:dyDescent="0.2">
      <c r="A9894" s="191">
        <v>2025</v>
      </c>
      <c r="B9894" s="191">
        <v>8</v>
      </c>
      <c r="C9894" s="191">
        <v>19</v>
      </c>
      <c r="D9894" s="192">
        <f t="shared" si="1266"/>
        <v>45888</v>
      </c>
      <c r="E9894" s="193">
        <f t="shared" si="1273"/>
        <v>45888</v>
      </c>
      <c r="F9894" s="514"/>
      <c r="G9894" s="194" t="s">
        <v>1209</v>
      </c>
      <c r="H9894" s="195"/>
      <c r="I9894" s="195"/>
      <c r="J9894" s="191" t="s">
        <v>47</v>
      </c>
      <c r="K9894" s="196"/>
      <c r="L9894" s="196">
        <v>11800</v>
      </c>
    </row>
    <row r="9895" spans="1:15" ht="11.25" customHeight="1" x14ac:dyDescent="0.2">
      <c r="A9895" s="197">
        <v>2025</v>
      </c>
      <c r="B9895" s="197">
        <v>8</v>
      </c>
      <c r="C9895" s="197">
        <v>19</v>
      </c>
      <c r="D9895" s="198">
        <f t="shared" si="1266"/>
        <v>45888</v>
      </c>
      <c r="E9895" s="209">
        <f t="shared" si="1268"/>
        <v>45888</v>
      </c>
      <c r="F9895" s="513" t="s">
        <v>1280</v>
      </c>
      <c r="G9895" s="200" t="s">
        <v>1209</v>
      </c>
      <c r="H9895" s="201"/>
      <c r="I9895" s="201"/>
      <c r="J9895" s="197" t="s">
        <v>16</v>
      </c>
      <c r="K9895" s="202">
        <v>764060</v>
      </c>
      <c r="L9895" s="202"/>
    </row>
    <row r="9896" spans="1:15" ht="11.25" customHeight="1" x14ac:dyDescent="0.2">
      <c r="A9896" s="120">
        <v>2025</v>
      </c>
      <c r="B9896" s="120">
        <v>8</v>
      </c>
      <c r="C9896" s="120">
        <v>19</v>
      </c>
      <c r="D9896" s="208">
        <f t="shared" si="1266"/>
        <v>45888</v>
      </c>
      <c r="E9896" s="209">
        <f t="shared" si="1268"/>
        <v>45888</v>
      </c>
      <c r="F9896" s="515"/>
      <c r="G9896" s="132" t="s">
        <v>1209</v>
      </c>
      <c r="J9896" s="120" t="s">
        <v>47</v>
      </c>
      <c r="K9896" s="207">
        <v>235940</v>
      </c>
      <c r="L9896" s="207"/>
    </row>
    <row r="9897" spans="1:15" ht="11.25" customHeight="1" x14ac:dyDescent="0.2">
      <c r="A9897" s="191">
        <v>2025</v>
      </c>
      <c r="B9897" s="191">
        <v>8</v>
      </c>
      <c r="C9897" s="191">
        <v>19</v>
      </c>
      <c r="D9897" s="192">
        <f t="shared" si="1266"/>
        <v>45888</v>
      </c>
      <c r="E9897" s="193">
        <f t="shared" si="1268"/>
        <v>45888</v>
      </c>
      <c r="F9897" s="514"/>
      <c r="G9897" s="194" t="s">
        <v>1209</v>
      </c>
      <c r="H9897" s="195"/>
      <c r="I9897" s="195"/>
      <c r="J9897" s="191" t="s">
        <v>46</v>
      </c>
      <c r="K9897" s="196"/>
      <c r="L9897" s="196">
        <v>1000000</v>
      </c>
    </row>
    <row r="9898" spans="1:15" x14ac:dyDescent="0.2">
      <c r="A9898" s="197">
        <v>2025</v>
      </c>
      <c r="B9898" s="197">
        <v>8</v>
      </c>
      <c r="C9898" s="197">
        <v>19</v>
      </c>
      <c r="D9898" s="198">
        <f t="shared" si="1266"/>
        <v>45888</v>
      </c>
      <c r="E9898" s="209">
        <f t="shared" si="1268"/>
        <v>45888</v>
      </c>
      <c r="F9898" s="513" t="s">
        <v>1210</v>
      </c>
      <c r="G9898" s="200" t="s">
        <v>1209</v>
      </c>
      <c r="H9898" s="201"/>
      <c r="I9898" s="201"/>
      <c r="J9898" s="197" t="s">
        <v>46</v>
      </c>
      <c r="K9898" s="202">
        <v>6544</v>
      </c>
      <c r="L9898" s="202"/>
    </row>
    <row r="9899" spans="1:15" x14ac:dyDescent="0.2">
      <c r="A9899" s="120">
        <v>2025</v>
      </c>
      <c r="B9899" s="120">
        <v>8</v>
      </c>
      <c r="C9899" s="120">
        <v>19</v>
      </c>
      <c r="D9899" s="208">
        <f t="shared" si="1266"/>
        <v>45888</v>
      </c>
      <c r="E9899" s="209">
        <f t="shared" si="1268"/>
        <v>45888</v>
      </c>
      <c r="F9899" s="515"/>
      <c r="G9899" s="132" t="s">
        <v>1209</v>
      </c>
      <c r="J9899" s="120" t="s">
        <v>16</v>
      </c>
      <c r="K9899" s="207"/>
      <c r="L9899" s="207">
        <v>5000</v>
      </c>
    </row>
    <row r="9900" spans="1:15" x14ac:dyDescent="0.2">
      <c r="A9900" s="191">
        <v>2025</v>
      </c>
      <c r="B9900" s="191">
        <v>8</v>
      </c>
      <c r="C9900" s="191">
        <v>19</v>
      </c>
      <c r="D9900" s="192">
        <f t="shared" ref="D9900:D9963" si="1276">DATE(A9900,B9900,C9900)</f>
        <v>45888</v>
      </c>
      <c r="E9900" s="193">
        <f t="shared" si="1268"/>
        <v>45888</v>
      </c>
      <c r="F9900" s="514"/>
      <c r="G9900" s="194" t="s">
        <v>1209</v>
      </c>
      <c r="H9900" s="195"/>
      <c r="I9900" s="195"/>
      <c r="J9900" s="191" t="s">
        <v>47</v>
      </c>
      <c r="K9900" s="196"/>
      <c r="L9900" s="196">
        <v>1544</v>
      </c>
    </row>
    <row r="9901" spans="1:15" ht="11.25" customHeight="1" x14ac:dyDescent="0.2">
      <c r="A9901" s="197">
        <v>2025</v>
      </c>
      <c r="B9901" s="197">
        <v>8</v>
      </c>
      <c r="C9901" s="197">
        <v>19</v>
      </c>
      <c r="D9901" s="198">
        <f t="shared" si="1276"/>
        <v>45888</v>
      </c>
      <c r="E9901" s="209">
        <f t="shared" ref="E9901:E9905" si="1277">DATE(A9901,B9901,C9901)</f>
        <v>45888</v>
      </c>
      <c r="F9901" s="513" t="s">
        <v>1280</v>
      </c>
      <c r="G9901" s="200" t="s">
        <v>1209</v>
      </c>
      <c r="H9901" s="201"/>
      <c r="I9901" s="201"/>
      <c r="J9901" s="197" t="s">
        <v>16</v>
      </c>
      <c r="K9901" s="202">
        <v>150000</v>
      </c>
      <c r="L9901" s="202"/>
    </row>
    <row r="9902" spans="1:15" ht="11.25" customHeight="1" x14ac:dyDescent="0.2">
      <c r="A9902" s="120">
        <v>2025</v>
      </c>
      <c r="B9902" s="120">
        <v>8</v>
      </c>
      <c r="C9902" s="120">
        <v>19</v>
      </c>
      <c r="D9902" s="208">
        <f t="shared" si="1276"/>
        <v>45888</v>
      </c>
      <c r="E9902" s="209">
        <f t="shared" si="1277"/>
        <v>45888</v>
      </c>
      <c r="F9902" s="515"/>
      <c r="G9902" s="132" t="s">
        <v>1209</v>
      </c>
      <c r="J9902" s="120" t="s">
        <v>47</v>
      </c>
      <c r="K9902" s="207">
        <v>46320</v>
      </c>
      <c r="L9902" s="207"/>
    </row>
    <row r="9903" spans="1:15" ht="11.25" customHeight="1" x14ac:dyDescent="0.2">
      <c r="A9903" s="191">
        <v>2025</v>
      </c>
      <c r="B9903" s="191">
        <v>8</v>
      </c>
      <c r="C9903" s="191">
        <v>19</v>
      </c>
      <c r="D9903" s="192">
        <f t="shared" si="1276"/>
        <v>45888</v>
      </c>
      <c r="E9903" s="193">
        <f t="shared" si="1277"/>
        <v>45888</v>
      </c>
      <c r="F9903" s="514"/>
      <c r="G9903" s="194" t="s">
        <v>1209</v>
      </c>
      <c r="H9903" s="195"/>
      <c r="I9903" s="195"/>
      <c r="J9903" s="191" t="s">
        <v>46</v>
      </c>
      <c r="K9903" s="196"/>
      <c r="L9903" s="196">
        <v>196320</v>
      </c>
    </row>
    <row r="9904" spans="1:15" ht="11.25" customHeight="1" x14ac:dyDescent="0.2">
      <c r="A9904" s="197">
        <v>2025</v>
      </c>
      <c r="B9904" s="197">
        <v>8</v>
      </c>
      <c r="C9904" s="197">
        <v>19</v>
      </c>
      <c r="D9904" s="198">
        <f t="shared" si="1276"/>
        <v>45888</v>
      </c>
      <c r="E9904" s="290">
        <f t="shared" si="1277"/>
        <v>45888</v>
      </c>
      <c r="F9904" s="513" t="s">
        <v>1514</v>
      </c>
      <c r="G9904" s="200" t="s">
        <v>1209</v>
      </c>
      <c r="H9904" s="201"/>
      <c r="I9904" s="201"/>
      <c r="J9904" s="197" t="s">
        <v>54</v>
      </c>
      <c r="K9904" s="202">
        <v>58</v>
      </c>
      <c r="L9904" s="202"/>
      <c r="M9904" s="251"/>
      <c r="N9904" s="251"/>
      <c r="O9904" s="251"/>
    </row>
    <row r="9905" spans="1:14" ht="11.25" customHeight="1" x14ac:dyDescent="0.2">
      <c r="A9905" s="191">
        <v>2025</v>
      </c>
      <c r="B9905" s="191">
        <v>8</v>
      </c>
      <c r="C9905" s="191">
        <v>19</v>
      </c>
      <c r="D9905" s="192">
        <f t="shared" si="1276"/>
        <v>45888</v>
      </c>
      <c r="E9905" s="291">
        <f t="shared" si="1277"/>
        <v>45888</v>
      </c>
      <c r="F9905" s="514"/>
      <c r="G9905" s="194" t="s">
        <v>1209</v>
      </c>
      <c r="H9905" s="195"/>
      <c r="I9905" s="195"/>
      <c r="J9905" s="191" t="s">
        <v>46</v>
      </c>
      <c r="K9905" s="196"/>
      <c r="L9905" s="196">
        <f>K9904</f>
        <v>58</v>
      </c>
      <c r="M9905" s="251"/>
    </row>
    <row r="9906" spans="1:14" ht="11.25" customHeight="1" x14ac:dyDescent="0.2">
      <c r="A9906" s="197">
        <v>2025</v>
      </c>
      <c r="B9906" s="197">
        <v>8</v>
      </c>
      <c r="C9906" s="197">
        <v>19</v>
      </c>
      <c r="D9906" s="198">
        <f t="shared" si="1276"/>
        <v>45888</v>
      </c>
      <c r="E9906" s="199">
        <f t="shared" ref="E9906:E9907" si="1278">DATE(A9906,B9906,C9906)</f>
        <v>45888</v>
      </c>
      <c r="F9906" s="513" t="s">
        <v>1864</v>
      </c>
      <c r="G9906" s="200" t="s">
        <v>1209</v>
      </c>
      <c r="H9906" s="201"/>
      <c r="I9906" s="201" t="s">
        <v>1253</v>
      </c>
      <c r="J9906" s="197" t="s">
        <v>1837</v>
      </c>
      <c r="K9906" s="202">
        <v>1122933.5900000001</v>
      </c>
      <c r="L9906" s="202"/>
    </row>
    <row r="9907" spans="1:14" ht="11.25" customHeight="1" x14ac:dyDescent="0.2">
      <c r="A9907" s="191">
        <v>2025</v>
      </c>
      <c r="B9907" s="191">
        <v>8</v>
      </c>
      <c r="C9907" s="191">
        <v>19</v>
      </c>
      <c r="D9907" s="192">
        <f t="shared" si="1276"/>
        <v>45888</v>
      </c>
      <c r="E9907" s="193">
        <f t="shared" si="1278"/>
        <v>45888</v>
      </c>
      <c r="F9907" s="514"/>
      <c r="G9907" s="194" t="s">
        <v>1209</v>
      </c>
      <c r="H9907" s="195"/>
      <c r="I9907" s="195" t="s">
        <v>1253</v>
      </c>
      <c r="J9907" s="191" t="s">
        <v>46</v>
      </c>
      <c r="K9907" s="196"/>
      <c r="L9907" s="196">
        <v>1122933.5900000001</v>
      </c>
      <c r="N9907" s="130"/>
    </row>
    <row r="9908" spans="1:14" ht="11.25" customHeight="1" x14ac:dyDescent="0.2">
      <c r="A9908" s="197">
        <v>2025</v>
      </c>
      <c r="B9908" s="197">
        <v>8</v>
      </c>
      <c r="C9908" s="197">
        <v>21</v>
      </c>
      <c r="D9908" s="198">
        <f t="shared" si="1276"/>
        <v>45890</v>
      </c>
      <c r="E9908" s="290">
        <f>DATE(A9908,B9908,C9908)</f>
        <v>45890</v>
      </c>
      <c r="F9908" s="513" t="s">
        <v>2074</v>
      </c>
      <c r="G9908" s="200" t="s">
        <v>1209</v>
      </c>
      <c r="H9908" s="201"/>
      <c r="I9908" s="201" t="s">
        <v>1253</v>
      </c>
      <c r="J9908" s="197" t="s">
        <v>1873</v>
      </c>
      <c r="K9908" s="202">
        <v>168700</v>
      </c>
      <c r="L9908" s="202"/>
    </row>
    <row r="9909" spans="1:14" ht="11.25" customHeight="1" x14ac:dyDescent="0.2">
      <c r="A9909" s="191">
        <v>2025</v>
      </c>
      <c r="B9909" s="191">
        <v>8</v>
      </c>
      <c r="C9909" s="191">
        <v>21</v>
      </c>
      <c r="D9909" s="192">
        <f t="shared" si="1276"/>
        <v>45890</v>
      </c>
      <c r="E9909" s="291">
        <f>DATE(A9909,B9909,C9909)</f>
        <v>45890</v>
      </c>
      <c r="F9909" s="514"/>
      <c r="G9909" s="194" t="s">
        <v>1209</v>
      </c>
      <c r="H9909" s="195"/>
      <c r="I9909" s="195"/>
      <c r="J9909" s="191" t="s">
        <v>1845</v>
      </c>
      <c r="K9909" s="196"/>
      <c r="L9909" s="196">
        <v>168700</v>
      </c>
    </row>
    <row r="9910" spans="1:14" ht="11.25" customHeight="1" x14ac:dyDescent="0.2">
      <c r="A9910" s="197">
        <v>2025</v>
      </c>
      <c r="B9910" s="197">
        <v>8</v>
      </c>
      <c r="C9910" s="197">
        <v>21</v>
      </c>
      <c r="D9910" s="198">
        <f t="shared" si="1276"/>
        <v>45890</v>
      </c>
      <c r="E9910" s="209">
        <f t="shared" ref="E9910:E9917" si="1279">DATE(A9910,B9910,C9910)</f>
        <v>45890</v>
      </c>
      <c r="F9910" s="513" t="s">
        <v>2077</v>
      </c>
      <c r="G9910" s="200" t="s">
        <v>1209</v>
      </c>
      <c r="H9910" s="201"/>
      <c r="I9910" s="201"/>
      <c r="J9910" s="248" t="s">
        <v>46</v>
      </c>
      <c r="K9910" s="202">
        <v>3997850</v>
      </c>
      <c r="L9910" s="202"/>
      <c r="M9910" s="251"/>
    </row>
    <row r="9911" spans="1:14" ht="11.25" customHeight="1" x14ac:dyDescent="0.2">
      <c r="A9911" s="120">
        <v>2025</v>
      </c>
      <c r="B9911" s="120">
        <v>8</v>
      </c>
      <c r="C9911" s="120">
        <v>21</v>
      </c>
      <c r="D9911" s="208">
        <f t="shared" si="1276"/>
        <v>45890</v>
      </c>
      <c r="E9911" s="209">
        <f t="shared" si="1279"/>
        <v>45890</v>
      </c>
      <c r="F9911" s="515"/>
      <c r="G9911" s="132" t="s">
        <v>1209</v>
      </c>
      <c r="J9911" s="129" t="s">
        <v>54</v>
      </c>
      <c r="K9911" s="207">
        <v>2150</v>
      </c>
      <c r="L9911" s="207"/>
      <c r="M9911" s="251"/>
    </row>
    <row r="9912" spans="1:14" ht="11.25" customHeight="1" x14ac:dyDescent="0.2">
      <c r="A9912" s="191">
        <v>2025</v>
      </c>
      <c r="B9912" s="191">
        <v>8</v>
      </c>
      <c r="C9912" s="191">
        <v>21</v>
      </c>
      <c r="D9912" s="192">
        <f t="shared" si="1276"/>
        <v>45890</v>
      </c>
      <c r="E9912" s="193">
        <f t="shared" si="1279"/>
        <v>45890</v>
      </c>
      <c r="F9912" s="514"/>
      <c r="G9912" s="194" t="s">
        <v>1209</v>
      </c>
      <c r="H9912" s="195"/>
      <c r="I9912" s="195"/>
      <c r="J9912" s="250" t="s">
        <v>76</v>
      </c>
      <c r="K9912" s="196"/>
      <c r="L9912" s="196">
        <v>4000000</v>
      </c>
    </row>
    <row r="9913" spans="1:14" ht="11.25" customHeight="1" x14ac:dyDescent="0.2">
      <c r="A9913" s="197">
        <v>2025</v>
      </c>
      <c r="B9913" s="197">
        <v>8</v>
      </c>
      <c r="C9913" s="197">
        <v>21</v>
      </c>
      <c r="D9913" s="198">
        <f t="shared" si="1276"/>
        <v>45890</v>
      </c>
      <c r="E9913" s="209">
        <f t="shared" ref="E9913:E9915" si="1280">DATE(A9913,B9913,C9913)</f>
        <v>45890</v>
      </c>
      <c r="F9913" s="513" t="s">
        <v>2078</v>
      </c>
      <c r="G9913" s="200" t="s">
        <v>1209</v>
      </c>
      <c r="H9913" s="201"/>
      <c r="I9913" s="201"/>
      <c r="J9913" s="248" t="s">
        <v>46</v>
      </c>
      <c r="K9913" s="202">
        <v>16990000</v>
      </c>
      <c r="L9913" s="202"/>
      <c r="M9913" s="251"/>
    </row>
    <row r="9914" spans="1:14" ht="11.25" customHeight="1" x14ac:dyDescent="0.2">
      <c r="A9914" s="120">
        <v>2025</v>
      </c>
      <c r="B9914" s="120">
        <v>8</v>
      </c>
      <c r="C9914" s="120">
        <v>21</v>
      </c>
      <c r="D9914" s="208">
        <f t="shared" si="1276"/>
        <v>45890</v>
      </c>
      <c r="E9914" s="209">
        <f t="shared" si="1280"/>
        <v>45890</v>
      </c>
      <c r="F9914" s="515"/>
      <c r="G9914" s="132" t="s">
        <v>1209</v>
      </c>
      <c r="J9914" s="129" t="s">
        <v>54</v>
      </c>
      <c r="K9914" s="207">
        <v>10000</v>
      </c>
      <c r="L9914" s="207"/>
      <c r="M9914" s="251"/>
    </row>
    <row r="9915" spans="1:14" ht="11.25" customHeight="1" x14ac:dyDescent="0.2">
      <c r="A9915" s="191">
        <v>2025</v>
      </c>
      <c r="B9915" s="191">
        <v>8</v>
      </c>
      <c r="C9915" s="191">
        <v>21</v>
      </c>
      <c r="D9915" s="192">
        <f t="shared" si="1276"/>
        <v>45890</v>
      </c>
      <c r="E9915" s="193">
        <f t="shared" si="1280"/>
        <v>45890</v>
      </c>
      <c r="F9915" s="514"/>
      <c r="G9915" s="194" t="s">
        <v>1209</v>
      </c>
      <c r="H9915" s="195"/>
      <c r="I9915" s="195"/>
      <c r="J9915" s="250" t="s">
        <v>76</v>
      </c>
      <c r="K9915" s="196"/>
      <c r="L9915" s="196">
        <v>17000000</v>
      </c>
    </row>
    <row r="9916" spans="1:14" ht="11.25" customHeight="1" x14ac:dyDescent="0.2">
      <c r="A9916" s="197">
        <v>2025</v>
      </c>
      <c r="B9916" s="197">
        <v>8</v>
      </c>
      <c r="C9916" s="197">
        <v>21</v>
      </c>
      <c r="D9916" s="198">
        <f t="shared" si="1276"/>
        <v>45890</v>
      </c>
      <c r="E9916" s="290">
        <f t="shared" si="1279"/>
        <v>45890</v>
      </c>
      <c r="F9916" s="513" t="s">
        <v>2075</v>
      </c>
      <c r="G9916" s="200" t="s">
        <v>1245</v>
      </c>
      <c r="H9916" s="201"/>
      <c r="I9916" s="201" t="s">
        <v>1253</v>
      </c>
      <c r="J9916" s="197" t="s">
        <v>46</v>
      </c>
      <c r="K9916" s="202">
        <v>244000</v>
      </c>
      <c r="L9916" s="202"/>
    </row>
    <row r="9917" spans="1:14" ht="11.25" customHeight="1" x14ac:dyDescent="0.2">
      <c r="A9917" s="191">
        <v>2025</v>
      </c>
      <c r="B9917" s="191">
        <v>8</v>
      </c>
      <c r="C9917" s="191">
        <v>21</v>
      </c>
      <c r="D9917" s="192">
        <f t="shared" si="1276"/>
        <v>45890</v>
      </c>
      <c r="E9917" s="291">
        <f t="shared" si="1279"/>
        <v>45890</v>
      </c>
      <c r="F9917" s="514"/>
      <c r="G9917" s="194" t="s">
        <v>1245</v>
      </c>
      <c r="H9917" s="195"/>
      <c r="I9917" s="195" t="s">
        <v>1253</v>
      </c>
      <c r="J9917" s="191" t="s">
        <v>113</v>
      </c>
      <c r="K9917" s="196"/>
      <c r="L9917" s="196">
        <f t="shared" ref="L9917" si="1281">K9916</f>
        <v>244000</v>
      </c>
    </row>
    <row r="9918" spans="1:14" ht="11.25" customHeight="1" x14ac:dyDescent="0.2">
      <c r="A9918" s="197">
        <v>2025</v>
      </c>
      <c r="B9918" s="197">
        <v>8</v>
      </c>
      <c r="C9918" s="197">
        <v>21</v>
      </c>
      <c r="D9918" s="198">
        <f t="shared" si="1276"/>
        <v>45890</v>
      </c>
      <c r="E9918" s="290">
        <f>DATE(A9918,B9918,C9918)</f>
        <v>45890</v>
      </c>
      <c r="F9918" s="513" t="s">
        <v>2076</v>
      </c>
      <c r="G9918" s="200" t="s">
        <v>1245</v>
      </c>
      <c r="H9918" s="201"/>
      <c r="I9918" s="201" t="s">
        <v>1253</v>
      </c>
      <c r="J9918" s="197" t="s">
        <v>46</v>
      </c>
      <c r="K9918" s="202">
        <v>1037000</v>
      </c>
      <c r="L9918" s="202"/>
    </row>
    <row r="9919" spans="1:14" ht="11.25" customHeight="1" x14ac:dyDescent="0.2">
      <c r="A9919" s="191">
        <v>2025</v>
      </c>
      <c r="B9919" s="191">
        <v>8</v>
      </c>
      <c r="C9919" s="191">
        <v>21</v>
      </c>
      <c r="D9919" s="192">
        <f t="shared" si="1276"/>
        <v>45890</v>
      </c>
      <c r="E9919" s="291">
        <f>DATE(A9919,B9919,C9919)</f>
        <v>45890</v>
      </c>
      <c r="F9919" s="514"/>
      <c r="G9919" s="194" t="s">
        <v>1245</v>
      </c>
      <c r="H9919" s="195"/>
      <c r="I9919" s="195" t="s">
        <v>1253</v>
      </c>
      <c r="J9919" s="191" t="s">
        <v>113</v>
      </c>
      <c r="K9919" s="196"/>
      <c r="L9919" s="196">
        <f t="shared" ref="L9919" si="1282">K9918</f>
        <v>1037000</v>
      </c>
    </row>
    <row r="9920" spans="1:14" ht="11.25" customHeight="1" x14ac:dyDescent="0.2">
      <c r="A9920" s="197">
        <v>2025</v>
      </c>
      <c r="B9920" s="197">
        <v>8</v>
      </c>
      <c r="C9920" s="197">
        <v>21</v>
      </c>
      <c r="D9920" s="198">
        <f t="shared" si="1276"/>
        <v>45890</v>
      </c>
      <c r="E9920" s="199">
        <f t="shared" ref="E9920:E9921" si="1283">DATE(A9920,B9920,C9920)</f>
        <v>45890</v>
      </c>
      <c r="F9920" s="513" t="s">
        <v>1870</v>
      </c>
      <c r="G9920" s="200" t="s">
        <v>1209</v>
      </c>
      <c r="H9920" s="201"/>
      <c r="I9920" s="201" t="s">
        <v>1253</v>
      </c>
      <c r="J9920" s="197" t="s">
        <v>1837</v>
      </c>
      <c r="K9920" s="202">
        <v>1371644.71</v>
      </c>
      <c r="L9920" s="202"/>
    </row>
    <row r="9921" spans="1:16" ht="11.25" customHeight="1" x14ac:dyDescent="0.2">
      <c r="A9921" s="191">
        <v>2025</v>
      </c>
      <c r="B9921" s="191">
        <v>8</v>
      </c>
      <c r="C9921" s="191">
        <v>21</v>
      </c>
      <c r="D9921" s="192">
        <f t="shared" si="1276"/>
        <v>45890</v>
      </c>
      <c r="E9921" s="193">
        <f t="shared" si="1283"/>
        <v>45890</v>
      </c>
      <c r="F9921" s="514"/>
      <c r="G9921" s="194" t="s">
        <v>1209</v>
      </c>
      <c r="H9921" s="195"/>
      <c r="I9921" s="195" t="s">
        <v>1253</v>
      </c>
      <c r="J9921" s="191" t="s">
        <v>46</v>
      </c>
      <c r="K9921" s="196"/>
      <c r="L9921" s="196">
        <v>1371644.71</v>
      </c>
      <c r="N9921" s="130"/>
    </row>
    <row r="9922" spans="1:16" ht="11.25" customHeight="1" x14ac:dyDescent="0.2">
      <c r="A9922" s="424">
        <v>2025</v>
      </c>
      <c r="B9922" s="424">
        <v>8</v>
      </c>
      <c r="C9922" s="424">
        <v>21</v>
      </c>
      <c r="D9922" s="425">
        <f t="shared" si="1276"/>
        <v>45890</v>
      </c>
      <c r="E9922" s="384">
        <f t="shared" ref="E9922:E9931" si="1284">DATE(A9922,B9922,C9922)</f>
        <v>45890</v>
      </c>
      <c r="F9922" s="516" t="s">
        <v>1850</v>
      </c>
      <c r="G9922" s="426" t="s">
        <v>1209</v>
      </c>
      <c r="H9922" s="427"/>
      <c r="I9922" s="427"/>
      <c r="J9922" s="428" t="s">
        <v>81</v>
      </c>
      <c r="K9922" s="429">
        <v>11170.721538461539</v>
      </c>
      <c r="L9922" s="429"/>
    </row>
    <row r="9923" spans="1:16" ht="11.25" customHeight="1" x14ac:dyDescent="0.2">
      <c r="A9923" s="389">
        <v>2025</v>
      </c>
      <c r="B9923" s="389">
        <v>8</v>
      </c>
      <c r="C9923" s="389">
        <v>21</v>
      </c>
      <c r="D9923" s="390">
        <f t="shared" si="1276"/>
        <v>45890</v>
      </c>
      <c r="E9923" s="391">
        <f t="shared" si="1284"/>
        <v>45890</v>
      </c>
      <c r="F9923" s="517"/>
      <c r="G9923" s="392" t="s">
        <v>1209</v>
      </c>
      <c r="H9923" s="393"/>
      <c r="I9923" s="393"/>
      <c r="J9923" s="394" t="s">
        <v>1847</v>
      </c>
      <c r="K9923" s="423"/>
      <c r="L9923" s="423">
        <f>K9922</f>
        <v>11170.721538461539</v>
      </c>
    </row>
    <row r="9924" spans="1:16" ht="11.25" customHeight="1" x14ac:dyDescent="0.2">
      <c r="A9924" s="382">
        <v>2025</v>
      </c>
      <c r="B9924" s="382">
        <v>8</v>
      </c>
      <c r="C9924" s="382">
        <v>21</v>
      </c>
      <c r="D9924" s="383">
        <f t="shared" si="1276"/>
        <v>45890</v>
      </c>
      <c r="E9924" s="384">
        <f t="shared" si="1284"/>
        <v>45890</v>
      </c>
      <c r="F9924" s="516" t="s">
        <v>1892</v>
      </c>
      <c r="G9924" s="385" t="s">
        <v>1209</v>
      </c>
      <c r="H9924" s="386"/>
      <c r="I9924" s="386"/>
      <c r="J9924" s="387" t="s">
        <v>173</v>
      </c>
      <c r="K9924" s="388">
        <v>5369.370178718751</v>
      </c>
      <c r="L9924" s="388"/>
    </row>
    <row r="9925" spans="1:16" ht="11.25" customHeight="1" x14ac:dyDescent="0.2">
      <c r="A9925" s="389">
        <v>2025</v>
      </c>
      <c r="B9925" s="389">
        <v>8</v>
      </c>
      <c r="C9925" s="389">
        <v>21</v>
      </c>
      <c r="D9925" s="390">
        <f t="shared" si="1276"/>
        <v>45890</v>
      </c>
      <c r="E9925" s="391">
        <f t="shared" si="1284"/>
        <v>45890</v>
      </c>
      <c r="F9925" s="517"/>
      <c r="G9925" s="392" t="s">
        <v>1209</v>
      </c>
      <c r="H9925" s="393"/>
      <c r="I9925" s="393"/>
      <c r="J9925" s="394" t="s">
        <v>43</v>
      </c>
      <c r="K9925" s="388"/>
      <c r="L9925" s="423">
        <f>K9924</f>
        <v>5369.370178718751</v>
      </c>
    </row>
    <row r="9926" spans="1:16" ht="11.25" customHeight="1" x14ac:dyDescent="0.2">
      <c r="A9926" s="344">
        <v>2025</v>
      </c>
      <c r="B9926" s="344">
        <v>8</v>
      </c>
      <c r="C9926" s="344">
        <v>21</v>
      </c>
      <c r="D9926" s="345">
        <f t="shared" si="1276"/>
        <v>45890</v>
      </c>
      <c r="E9926" s="346">
        <f t="shared" si="1284"/>
        <v>45890</v>
      </c>
      <c r="F9926" s="518" t="s">
        <v>1982</v>
      </c>
      <c r="G9926" s="347" t="s">
        <v>1245</v>
      </c>
      <c r="H9926" s="348"/>
      <c r="I9926" s="348" t="s">
        <v>1253</v>
      </c>
      <c r="J9926" s="344" t="s">
        <v>1978</v>
      </c>
      <c r="K9926" s="349">
        <v>148748.07692307694</v>
      </c>
      <c r="L9926" s="349"/>
    </row>
    <row r="9927" spans="1:16" ht="11.25" customHeight="1" x14ac:dyDescent="0.2">
      <c r="A9927" s="350">
        <v>2025</v>
      </c>
      <c r="B9927" s="350">
        <v>8</v>
      </c>
      <c r="C9927" s="350">
        <v>21</v>
      </c>
      <c r="D9927" s="351">
        <f t="shared" si="1276"/>
        <v>45890</v>
      </c>
      <c r="E9927" s="352">
        <f t="shared" si="1284"/>
        <v>45890</v>
      </c>
      <c r="F9927" s="519"/>
      <c r="G9927" s="353" t="s">
        <v>1245</v>
      </c>
      <c r="H9927" s="354"/>
      <c r="I9927" s="354" t="s">
        <v>1253</v>
      </c>
      <c r="J9927" s="350" t="s">
        <v>1979</v>
      </c>
      <c r="K9927" s="355"/>
      <c r="L9927" s="355">
        <f>K9926</f>
        <v>148748.07692307694</v>
      </c>
    </row>
    <row r="9928" spans="1:16" ht="11.25" customHeight="1" x14ac:dyDescent="0.2">
      <c r="A9928" s="344">
        <v>2025</v>
      </c>
      <c r="B9928" s="344">
        <v>8</v>
      </c>
      <c r="C9928" s="344">
        <v>21</v>
      </c>
      <c r="D9928" s="345">
        <f t="shared" si="1276"/>
        <v>45890</v>
      </c>
      <c r="E9928" s="346">
        <f t="shared" si="1284"/>
        <v>45890</v>
      </c>
      <c r="F9928" s="518" t="s">
        <v>2009</v>
      </c>
      <c r="G9928" s="347" t="s">
        <v>1245</v>
      </c>
      <c r="H9928" s="348"/>
      <c r="I9928" s="348" t="s">
        <v>1253</v>
      </c>
      <c r="J9928" s="344" t="s">
        <v>2004</v>
      </c>
      <c r="K9928" s="349">
        <v>49692.31</v>
      </c>
      <c r="L9928" s="349"/>
    </row>
    <row r="9929" spans="1:16" ht="11.25" customHeight="1" x14ac:dyDescent="0.2">
      <c r="A9929" s="350">
        <v>2025</v>
      </c>
      <c r="B9929" s="350">
        <v>8</v>
      </c>
      <c r="C9929" s="350">
        <v>21</v>
      </c>
      <c r="D9929" s="351">
        <f t="shared" si="1276"/>
        <v>45890</v>
      </c>
      <c r="E9929" s="352">
        <f t="shared" si="1284"/>
        <v>45890</v>
      </c>
      <c r="F9929" s="519"/>
      <c r="G9929" s="353" t="s">
        <v>1245</v>
      </c>
      <c r="H9929" s="354"/>
      <c r="I9929" s="354" t="s">
        <v>1253</v>
      </c>
      <c r="J9929" s="350" t="s">
        <v>2008</v>
      </c>
      <c r="K9929" s="355"/>
      <c r="L9929" s="355">
        <f t="shared" ref="L9929" si="1285">K9928</f>
        <v>49692.31</v>
      </c>
    </row>
    <row r="9930" spans="1:16" ht="11.25" customHeight="1" x14ac:dyDescent="0.2">
      <c r="A9930" s="344">
        <v>2025</v>
      </c>
      <c r="B9930" s="344">
        <v>8</v>
      </c>
      <c r="C9930" s="344">
        <v>21</v>
      </c>
      <c r="D9930" s="345">
        <f t="shared" si="1276"/>
        <v>45890</v>
      </c>
      <c r="E9930" s="346">
        <f t="shared" si="1284"/>
        <v>45890</v>
      </c>
      <c r="F9930" s="518" t="s">
        <v>2009</v>
      </c>
      <c r="G9930" s="347" t="s">
        <v>1245</v>
      </c>
      <c r="H9930" s="348"/>
      <c r="I9930" s="348" t="s">
        <v>1253</v>
      </c>
      <c r="J9930" s="344" t="s">
        <v>2004</v>
      </c>
      <c r="K9930" s="349">
        <v>49692.31</v>
      </c>
      <c r="L9930" s="349"/>
    </row>
    <row r="9931" spans="1:16" ht="11.25" customHeight="1" x14ac:dyDescent="0.2">
      <c r="A9931" s="350">
        <v>2025</v>
      </c>
      <c r="B9931" s="350">
        <v>8</v>
      </c>
      <c r="C9931" s="350">
        <v>21</v>
      </c>
      <c r="D9931" s="351">
        <f t="shared" si="1276"/>
        <v>45890</v>
      </c>
      <c r="E9931" s="352">
        <f t="shared" si="1284"/>
        <v>45890</v>
      </c>
      <c r="F9931" s="519"/>
      <c r="G9931" s="353" t="s">
        <v>1245</v>
      </c>
      <c r="H9931" s="354"/>
      <c r="I9931" s="354" t="s">
        <v>1253</v>
      </c>
      <c r="J9931" s="350" t="s">
        <v>2008</v>
      </c>
      <c r="K9931" s="355"/>
      <c r="L9931" s="355">
        <f t="shared" ref="L9931" si="1286">K9930</f>
        <v>49692.31</v>
      </c>
    </row>
    <row r="9932" spans="1:16" ht="11.25" customHeight="1" x14ac:dyDescent="0.2">
      <c r="A9932" s="344">
        <v>2025</v>
      </c>
      <c r="B9932" s="344">
        <v>8</v>
      </c>
      <c r="C9932" s="344">
        <v>21</v>
      </c>
      <c r="D9932" s="345">
        <f t="shared" si="1276"/>
        <v>45890</v>
      </c>
      <c r="E9932" s="346">
        <f>DATE(A9932,B9932,C9932)</f>
        <v>45890</v>
      </c>
      <c r="F9932" s="518" t="s">
        <v>1988</v>
      </c>
      <c r="G9932" s="347" t="s">
        <v>1245</v>
      </c>
      <c r="H9932" s="348"/>
      <c r="I9932" s="348" t="s">
        <v>1253</v>
      </c>
      <c r="J9932" s="344" t="s">
        <v>113</v>
      </c>
      <c r="K9932" s="349">
        <v>32846.15</v>
      </c>
      <c r="L9932" s="349"/>
    </row>
    <row r="9933" spans="1:16" ht="11.25" customHeight="1" x14ac:dyDescent="0.2">
      <c r="A9933" s="350">
        <v>2025</v>
      </c>
      <c r="B9933" s="350">
        <v>8</v>
      </c>
      <c r="C9933" s="350">
        <v>21</v>
      </c>
      <c r="D9933" s="351">
        <f t="shared" si="1276"/>
        <v>45890</v>
      </c>
      <c r="E9933" s="352">
        <f>DATE(A9933,B9933,C9933)</f>
        <v>45890</v>
      </c>
      <c r="F9933" s="519"/>
      <c r="G9933" s="353" t="s">
        <v>1245</v>
      </c>
      <c r="H9933" s="354"/>
      <c r="I9933" s="354" t="s">
        <v>1253</v>
      </c>
      <c r="J9933" s="350" t="s">
        <v>153</v>
      </c>
      <c r="K9933" s="355"/>
      <c r="L9933" s="355">
        <f t="shared" ref="L9933" si="1287">K9932</f>
        <v>32846.15</v>
      </c>
    </row>
    <row r="9934" spans="1:16" ht="11.25" customHeight="1" x14ac:dyDescent="0.2">
      <c r="A9934" s="344">
        <v>2025</v>
      </c>
      <c r="B9934" s="344">
        <v>8</v>
      </c>
      <c r="C9934" s="344">
        <v>21</v>
      </c>
      <c r="D9934" s="345">
        <f t="shared" si="1276"/>
        <v>45890</v>
      </c>
      <c r="E9934" s="346">
        <f t="shared" ref="E9934:E9937" si="1288">DATE(A9934,B9934,C9934)</f>
        <v>45890</v>
      </c>
      <c r="F9934" s="518" t="s">
        <v>1989</v>
      </c>
      <c r="G9934" s="347" t="s">
        <v>1245</v>
      </c>
      <c r="H9934" s="348"/>
      <c r="I9934" s="348" t="s">
        <v>1253</v>
      </c>
      <c r="J9934" s="344" t="s">
        <v>113</v>
      </c>
      <c r="K9934" s="349">
        <v>23461.538461538461</v>
      </c>
      <c r="L9934" s="349"/>
    </row>
    <row r="9935" spans="1:16" ht="11.25" customHeight="1" x14ac:dyDescent="0.2">
      <c r="A9935" s="350">
        <v>2025</v>
      </c>
      <c r="B9935" s="350">
        <v>8</v>
      </c>
      <c r="C9935" s="350">
        <v>21</v>
      </c>
      <c r="D9935" s="351">
        <f t="shared" si="1276"/>
        <v>45890</v>
      </c>
      <c r="E9935" s="352">
        <f t="shared" si="1288"/>
        <v>45890</v>
      </c>
      <c r="F9935" s="519"/>
      <c r="G9935" s="353" t="s">
        <v>1245</v>
      </c>
      <c r="H9935" s="354"/>
      <c r="I9935" s="354" t="s">
        <v>1253</v>
      </c>
      <c r="J9935" s="350" t="s">
        <v>153</v>
      </c>
      <c r="K9935" s="355"/>
      <c r="L9935" s="355">
        <f t="shared" ref="L9935" si="1289">K9934</f>
        <v>23461.538461538461</v>
      </c>
    </row>
    <row r="9936" spans="1:16" ht="11.25" customHeight="1" x14ac:dyDescent="0.2">
      <c r="A9936" s="344">
        <v>2025</v>
      </c>
      <c r="B9936" s="344">
        <v>8</v>
      </c>
      <c r="C9936" s="344">
        <v>21</v>
      </c>
      <c r="D9936" s="345">
        <f t="shared" si="1276"/>
        <v>45890</v>
      </c>
      <c r="E9936" s="346">
        <f t="shared" si="1288"/>
        <v>45890</v>
      </c>
      <c r="F9936" s="518" t="s">
        <v>1990</v>
      </c>
      <c r="G9936" s="347" t="s">
        <v>1245</v>
      </c>
      <c r="H9936" s="348"/>
      <c r="I9936" s="348" t="s">
        <v>1253</v>
      </c>
      <c r="J9936" s="344" t="s">
        <v>113</v>
      </c>
      <c r="K9936" s="349">
        <v>70384.62</v>
      </c>
      <c r="L9936" s="349"/>
      <c r="N9936" s="251"/>
      <c r="O9936" s="251"/>
      <c r="P9936" s="251"/>
    </row>
    <row r="9937" spans="1:13" ht="11.25" customHeight="1" x14ac:dyDescent="0.2">
      <c r="A9937" s="350">
        <v>2025</v>
      </c>
      <c r="B9937" s="350">
        <v>8</v>
      </c>
      <c r="C9937" s="350">
        <v>21</v>
      </c>
      <c r="D9937" s="351">
        <f t="shared" si="1276"/>
        <v>45890</v>
      </c>
      <c r="E9937" s="352">
        <f t="shared" si="1288"/>
        <v>45890</v>
      </c>
      <c r="F9937" s="519"/>
      <c r="G9937" s="353" t="s">
        <v>1245</v>
      </c>
      <c r="H9937" s="354"/>
      <c r="I9937" s="354" t="s">
        <v>1253</v>
      </c>
      <c r="J9937" s="350" t="s">
        <v>153</v>
      </c>
      <c r="K9937" s="355"/>
      <c r="L9937" s="355">
        <f t="shared" ref="L9937" si="1290">K9936</f>
        <v>70384.62</v>
      </c>
    </row>
    <row r="9938" spans="1:13" ht="11.25" customHeight="1" x14ac:dyDescent="0.2">
      <c r="A9938" s="344">
        <v>2025</v>
      </c>
      <c r="B9938" s="344">
        <v>8</v>
      </c>
      <c r="C9938" s="344">
        <v>21</v>
      </c>
      <c r="D9938" s="345">
        <f t="shared" si="1276"/>
        <v>45890</v>
      </c>
      <c r="E9938" s="346">
        <f t="shared" ref="E9938:E9942" si="1291">DATE(A9938,B9938,C9938)</f>
        <v>45890</v>
      </c>
      <c r="F9938" s="518" t="s">
        <v>2052</v>
      </c>
      <c r="G9938" s="347" t="s">
        <v>1245</v>
      </c>
      <c r="H9938" s="348"/>
      <c r="I9938" s="348" t="s">
        <v>1253</v>
      </c>
      <c r="J9938" s="344" t="s">
        <v>113</v>
      </c>
      <c r="K9938" s="349">
        <v>11442.307692307691</v>
      </c>
      <c r="L9938" s="349"/>
    </row>
    <row r="9939" spans="1:13" ht="11.25" customHeight="1" x14ac:dyDescent="0.2">
      <c r="A9939" s="350">
        <v>2025</v>
      </c>
      <c r="B9939" s="350">
        <v>8</v>
      </c>
      <c r="C9939" s="350">
        <v>21</v>
      </c>
      <c r="D9939" s="351">
        <f t="shared" si="1276"/>
        <v>45890</v>
      </c>
      <c r="E9939" s="352">
        <f t="shared" si="1291"/>
        <v>45890</v>
      </c>
      <c r="F9939" s="519"/>
      <c r="G9939" s="353" t="s">
        <v>1245</v>
      </c>
      <c r="H9939" s="354"/>
      <c r="I9939" s="354" t="s">
        <v>1253</v>
      </c>
      <c r="J9939" s="350" t="s">
        <v>153</v>
      </c>
      <c r="K9939" s="355"/>
      <c r="L9939" s="355">
        <f t="shared" ref="L9939" si="1292">K9938</f>
        <v>11442.307692307691</v>
      </c>
    </row>
    <row r="9940" spans="1:13" ht="11.25" customHeight="1" x14ac:dyDescent="0.2">
      <c r="A9940" s="344">
        <v>2025</v>
      </c>
      <c r="B9940" s="344">
        <v>8</v>
      </c>
      <c r="C9940" s="344">
        <v>21</v>
      </c>
      <c r="D9940" s="345">
        <f t="shared" si="1276"/>
        <v>45890</v>
      </c>
      <c r="E9940" s="346">
        <f t="shared" si="1291"/>
        <v>45890</v>
      </c>
      <c r="F9940" s="518" t="s">
        <v>2053</v>
      </c>
      <c r="G9940" s="347" t="s">
        <v>1245</v>
      </c>
      <c r="H9940" s="348"/>
      <c r="I9940" s="348" t="s">
        <v>1253</v>
      </c>
      <c r="J9940" s="344" t="s">
        <v>113</v>
      </c>
      <c r="K9940" s="349">
        <v>11634.615384615385</v>
      </c>
      <c r="L9940" s="349"/>
    </row>
    <row r="9941" spans="1:13" ht="11.25" customHeight="1" x14ac:dyDescent="0.2">
      <c r="A9941" s="350">
        <v>2025</v>
      </c>
      <c r="B9941" s="350">
        <v>8</v>
      </c>
      <c r="C9941" s="350">
        <v>21</v>
      </c>
      <c r="D9941" s="351">
        <f t="shared" si="1276"/>
        <v>45890</v>
      </c>
      <c r="E9941" s="352">
        <f t="shared" si="1291"/>
        <v>45890</v>
      </c>
      <c r="F9941" s="519"/>
      <c r="G9941" s="353" t="s">
        <v>1245</v>
      </c>
      <c r="H9941" s="354"/>
      <c r="I9941" s="354" t="s">
        <v>1253</v>
      </c>
      <c r="J9941" s="350" t="s">
        <v>153</v>
      </c>
      <c r="K9941" s="355"/>
      <c r="L9941" s="355">
        <f t="shared" ref="L9941" si="1293">K9940</f>
        <v>11634.615384615385</v>
      </c>
    </row>
    <row r="9942" spans="1:13" ht="11.25" customHeight="1" x14ac:dyDescent="0.2">
      <c r="A9942" s="210">
        <v>2025</v>
      </c>
      <c r="B9942" s="210">
        <v>8</v>
      </c>
      <c r="C9942" s="210">
        <v>21</v>
      </c>
      <c r="D9942" s="211">
        <f t="shared" si="1276"/>
        <v>45890</v>
      </c>
      <c r="E9942" s="238">
        <f t="shared" si="1291"/>
        <v>45890</v>
      </c>
      <c r="F9942" s="520" t="s">
        <v>1857</v>
      </c>
      <c r="G9942" s="213" t="s">
        <v>1245</v>
      </c>
      <c r="H9942" s="214"/>
      <c r="I9942" s="214" t="s">
        <v>1253</v>
      </c>
      <c r="J9942" s="210" t="s">
        <v>1284</v>
      </c>
      <c r="K9942" s="215">
        <v>2341.8114143920593</v>
      </c>
      <c r="L9942" s="215"/>
    </row>
    <row r="9943" spans="1:13" ht="11.25" customHeight="1" x14ac:dyDescent="0.2">
      <c r="A9943" s="242">
        <v>2025</v>
      </c>
      <c r="B9943" s="242">
        <v>8</v>
      </c>
      <c r="C9943" s="242">
        <v>21</v>
      </c>
      <c r="D9943" s="243">
        <f t="shared" si="1276"/>
        <v>45890</v>
      </c>
      <c r="E9943" s="244">
        <f>DATE(A9943,B9943,C9943)</f>
        <v>45890</v>
      </c>
      <c r="F9943" s="524"/>
      <c r="G9943" s="245" t="s">
        <v>1245</v>
      </c>
      <c r="H9943" s="246"/>
      <c r="I9943" s="246"/>
      <c r="J9943" s="242" t="s">
        <v>1582</v>
      </c>
      <c r="K9943" s="247"/>
      <c r="L9943" s="247">
        <f>K9942</f>
        <v>2341.8114143920593</v>
      </c>
    </row>
    <row r="9944" spans="1:13" ht="11.25" customHeight="1" x14ac:dyDescent="0.2">
      <c r="A9944" s="210">
        <v>2025</v>
      </c>
      <c r="B9944" s="210">
        <v>8</v>
      </c>
      <c r="C9944" s="210">
        <v>21</v>
      </c>
      <c r="D9944" s="211">
        <f t="shared" si="1276"/>
        <v>45890</v>
      </c>
      <c r="E9944" s="238">
        <f t="shared" ref="E9944:E10002" si="1294">DATE(A9944,B9944,C9944)</f>
        <v>45890</v>
      </c>
      <c r="F9944" s="520" t="s">
        <v>2055</v>
      </c>
      <c r="G9944" s="213" t="s">
        <v>1245</v>
      </c>
      <c r="H9944" s="214"/>
      <c r="I9944" s="214" t="s">
        <v>1253</v>
      </c>
      <c r="J9944" s="210" t="s">
        <v>58</v>
      </c>
      <c r="K9944" s="215">
        <v>10982.78</v>
      </c>
      <c r="L9944" s="215"/>
    </row>
    <row r="9945" spans="1:13" ht="11.25" customHeight="1" x14ac:dyDescent="0.2">
      <c r="A9945" s="216">
        <v>2025</v>
      </c>
      <c r="B9945" s="216">
        <v>8</v>
      </c>
      <c r="C9945" s="216">
        <v>21</v>
      </c>
      <c r="D9945" s="217">
        <f t="shared" si="1276"/>
        <v>45890</v>
      </c>
      <c r="E9945" s="239">
        <f t="shared" si="1294"/>
        <v>45890</v>
      </c>
      <c r="F9945" s="521"/>
      <c r="G9945" s="219" t="s">
        <v>1245</v>
      </c>
      <c r="H9945" s="220"/>
      <c r="I9945" s="220" t="s">
        <v>1253</v>
      </c>
      <c r="J9945" s="216" t="s">
        <v>153</v>
      </c>
      <c r="K9945" s="221"/>
      <c r="L9945" s="221">
        <f>K9944</f>
        <v>10982.78</v>
      </c>
    </row>
    <row r="9946" spans="1:13" ht="11.25" customHeight="1" x14ac:dyDescent="0.2">
      <c r="A9946" s="312">
        <v>2025</v>
      </c>
      <c r="B9946" s="312">
        <v>8</v>
      </c>
      <c r="C9946" s="312">
        <v>21</v>
      </c>
      <c r="D9946" s="313">
        <f t="shared" si="1276"/>
        <v>45890</v>
      </c>
      <c r="E9946" s="314">
        <f t="shared" si="1294"/>
        <v>45890</v>
      </c>
      <c r="F9946" s="522" t="s">
        <v>1477</v>
      </c>
      <c r="G9946" s="315" t="s">
        <v>1245</v>
      </c>
      <c r="H9946" s="316"/>
      <c r="I9946" s="316" t="s">
        <v>1253</v>
      </c>
      <c r="J9946" s="312" t="s">
        <v>1458</v>
      </c>
      <c r="K9946" s="317">
        <v>0</v>
      </c>
      <c r="L9946" s="317"/>
    </row>
    <row r="9947" spans="1:13" ht="11.25" customHeight="1" x14ac:dyDescent="0.2">
      <c r="A9947" s="318">
        <v>2025</v>
      </c>
      <c r="B9947" s="318">
        <v>8</v>
      </c>
      <c r="C9947" s="318">
        <v>21</v>
      </c>
      <c r="D9947" s="319">
        <f t="shared" si="1276"/>
        <v>45890</v>
      </c>
      <c r="E9947" s="320">
        <f t="shared" si="1294"/>
        <v>45890</v>
      </c>
      <c r="F9947" s="523"/>
      <c r="G9947" s="321" t="s">
        <v>1245</v>
      </c>
      <c r="H9947" s="322"/>
      <c r="I9947" s="322" t="s">
        <v>1253</v>
      </c>
      <c r="J9947" s="318" t="s">
        <v>1460</v>
      </c>
      <c r="K9947" s="323"/>
      <c r="L9947" s="323">
        <f>K9946</f>
        <v>0</v>
      </c>
    </row>
    <row r="9948" spans="1:13" ht="11.25" customHeight="1" x14ac:dyDescent="0.2">
      <c r="A9948" s="312">
        <v>2025</v>
      </c>
      <c r="B9948" s="312">
        <v>8</v>
      </c>
      <c r="C9948" s="312">
        <v>21</v>
      </c>
      <c r="D9948" s="313">
        <f t="shared" si="1276"/>
        <v>45890</v>
      </c>
      <c r="E9948" s="314">
        <f t="shared" si="1294"/>
        <v>45890</v>
      </c>
      <c r="F9948" s="522" t="s">
        <v>1595</v>
      </c>
      <c r="G9948" s="315" t="s">
        <v>1245</v>
      </c>
      <c r="H9948" s="316"/>
      <c r="I9948" s="316" t="s">
        <v>1253</v>
      </c>
      <c r="J9948" s="312" t="s">
        <v>1461</v>
      </c>
      <c r="K9948" s="317">
        <v>2183681.7170001268</v>
      </c>
      <c r="L9948" s="317"/>
      <c r="M9948" s="328">
        <f>BS!$I$14</f>
        <v>0</v>
      </c>
    </row>
    <row r="9949" spans="1:13" ht="11.25" customHeight="1" x14ac:dyDescent="0.2">
      <c r="A9949" s="318">
        <v>2025</v>
      </c>
      <c r="B9949" s="318">
        <v>8</v>
      </c>
      <c r="C9949" s="318">
        <v>21</v>
      </c>
      <c r="D9949" s="319">
        <f t="shared" si="1276"/>
        <v>45890</v>
      </c>
      <c r="E9949" s="320">
        <f t="shared" si="1294"/>
        <v>45890</v>
      </c>
      <c r="F9949" s="523"/>
      <c r="G9949" s="321" t="s">
        <v>1245</v>
      </c>
      <c r="H9949" s="322"/>
      <c r="I9949" s="322" t="s">
        <v>1253</v>
      </c>
      <c r="J9949" s="318" t="s">
        <v>1459</v>
      </c>
      <c r="K9949" s="323"/>
      <c r="L9949" s="323">
        <f>K9948</f>
        <v>2183681.7170001268</v>
      </c>
      <c r="M9949" s="328"/>
    </row>
    <row r="9950" spans="1:13" ht="11.25" customHeight="1" x14ac:dyDescent="0.2">
      <c r="A9950" s="222">
        <v>2025</v>
      </c>
      <c r="B9950" s="222">
        <v>8</v>
      </c>
      <c r="C9950" s="222">
        <v>21</v>
      </c>
      <c r="D9950" s="223">
        <f t="shared" si="1276"/>
        <v>45890</v>
      </c>
      <c r="E9950" s="240">
        <f t="shared" si="1294"/>
        <v>45890</v>
      </c>
      <c r="F9950" s="511" t="s">
        <v>1244</v>
      </c>
      <c r="G9950" s="225" t="s">
        <v>1245</v>
      </c>
      <c r="H9950" s="226"/>
      <c r="I9950" s="226" t="s">
        <v>1253</v>
      </c>
      <c r="J9950" s="222" t="s">
        <v>87</v>
      </c>
      <c r="K9950" s="227">
        <v>167505.40999999642</v>
      </c>
      <c r="L9950" s="227"/>
      <c r="M9950" s="328">
        <f>BS!$I$7</f>
        <v>0</v>
      </c>
    </row>
    <row r="9951" spans="1:13" ht="11.25" customHeight="1" x14ac:dyDescent="0.2">
      <c r="A9951" s="228">
        <v>2025</v>
      </c>
      <c r="B9951" s="228">
        <v>8</v>
      </c>
      <c r="C9951" s="228">
        <v>21</v>
      </c>
      <c r="D9951" s="229">
        <f t="shared" si="1276"/>
        <v>45890</v>
      </c>
      <c r="E9951" s="241">
        <f t="shared" si="1294"/>
        <v>45890</v>
      </c>
      <c r="F9951" s="512"/>
      <c r="G9951" s="231" t="s">
        <v>1245</v>
      </c>
      <c r="H9951" s="232"/>
      <c r="I9951" s="232" t="s">
        <v>1253</v>
      </c>
      <c r="J9951" s="228" t="s">
        <v>72</v>
      </c>
      <c r="K9951" s="233"/>
      <c r="L9951" s="233">
        <f>K9950</f>
        <v>167505.40999999642</v>
      </c>
    </row>
    <row r="9952" spans="1:13" ht="11.25" customHeight="1" x14ac:dyDescent="0.2">
      <c r="A9952" s="222">
        <v>2025</v>
      </c>
      <c r="B9952" s="222">
        <v>8</v>
      </c>
      <c r="C9952" s="222">
        <v>21</v>
      </c>
      <c r="D9952" s="223">
        <f t="shared" si="1276"/>
        <v>45890</v>
      </c>
      <c r="E9952" s="240">
        <f t="shared" si="1294"/>
        <v>45890</v>
      </c>
      <c r="F9952" s="511" t="s">
        <v>1246</v>
      </c>
      <c r="G9952" s="225" t="s">
        <v>1245</v>
      </c>
      <c r="H9952" s="226"/>
      <c r="I9952" s="226" t="s">
        <v>1253</v>
      </c>
      <c r="J9952" s="222" t="s">
        <v>75</v>
      </c>
      <c r="K9952" s="227">
        <v>3623.123846153846</v>
      </c>
      <c r="L9952" s="227"/>
    </row>
    <row r="9953" spans="1:15" ht="11.25" customHeight="1" x14ac:dyDescent="0.2">
      <c r="A9953" s="228">
        <v>2025</v>
      </c>
      <c r="B9953" s="228">
        <v>8</v>
      </c>
      <c r="C9953" s="228">
        <v>21</v>
      </c>
      <c r="D9953" s="229">
        <f t="shared" si="1276"/>
        <v>45890</v>
      </c>
      <c r="E9953" s="241">
        <f t="shared" si="1294"/>
        <v>45890</v>
      </c>
      <c r="F9953" s="512"/>
      <c r="G9953" s="231" t="s">
        <v>1245</v>
      </c>
      <c r="H9953" s="232"/>
      <c r="I9953" s="232" t="s">
        <v>1253</v>
      </c>
      <c r="J9953" s="228" t="s">
        <v>55</v>
      </c>
      <c r="K9953" s="233"/>
      <c r="L9953" s="233">
        <f>K9952</f>
        <v>3623.123846153846</v>
      </c>
    </row>
    <row r="9954" spans="1:15" ht="11.25" customHeight="1" x14ac:dyDescent="0.2">
      <c r="A9954" s="222">
        <v>2025</v>
      </c>
      <c r="B9954" s="222">
        <v>8</v>
      </c>
      <c r="C9954" s="222">
        <v>21</v>
      </c>
      <c r="D9954" s="223">
        <f t="shared" si="1276"/>
        <v>45890</v>
      </c>
      <c r="E9954" s="240">
        <f t="shared" si="1294"/>
        <v>45890</v>
      </c>
      <c r="F9954" s="511" t="s">
        <v>1247</v>
      </c>
      <c r="G9954" s="225" t="s">
        <v>1245</v>
      </c>
      <c r="H9954" s="226"/>
      <c r="I9954" s="226" t="s">
        <v>1253</v>
      </c>
      <c r="J9954" s="222" t="s">
        <v>77</v>
      </c>
      <c r="K9954" s="227">
        <f>M9954</f>
        <v>61613.690481185789</v>
      </c>
      <c r="L9954" s="227"/>
      <c r="M9954" s="120">
        <v>61613.690481185789</v>
      </c>
    </row>
    <row r="9955" spans="1:15" ht="11.25" customHeight="1" x14ac:dyDescent="0.2">
      <c r="A9955" s="228">
        <v>2025</v>
      </c>
      <c r="B9955" s="228">
        <v>8</v>
      </c>
      <c r="C9955" s="228">
        <v>21</v>
      </c>
      <c r="D9955" s="229">
        <f t="shared" si="1276"/>
        <v>45890</v>
      </c>
      <c r="E9955" s="241">
        <f t="shared" si="1294"/>
        <v>45890</v>
      </c>
      <c r="F9955" s="512"/>
      <c r="G9955" s="231" t="s">
        <v>1245</v>
      </c>
      <c r="H9955" s="232"/>
      <c r="I9955" s="232" t="s">
        <v>1253</v>
      </c>
      <c r="J9955" s="228" t="s">
        <v>41</v>
      </c>
      <c r="K9955" s="233"/>
      <c r="L9955" s="233">
        <f>K9954</f>
        <v>61613.690481185789</v>
      </c>
      <c r="M9955" s="120">
        <v>6161.3690481185786</v>
      </c>
    </row>
    <row r="9956" spans="1:15" ht="11.25" customHeight="1" x14ac:dyDescent="0.2">
      <c r="A9956" s="222">
        <v>2025</v>
      </c>
      <c r="B9956" s="222">
        <v>8</v>
      </c>
      <c r="C9956" s="222">
        <v>21</v>
      </c>
      <c r="D9956" s="223">
        <f t="shared" si="1276"/>
        <v>45890</v>
      </c>
      <c r="E9956" s="240">
        <f t="shared" si="1294"/>
        <v>45890</v>
      </c>
      <c r="F9956" s="511" t="s">
        <v>1248</v>
      </c>
      <c r="G9956" s="225" t="s">
        <v>1245</v>
      </c>
      <c r="H9956" s="226"/>
      <c r="I9956" s="226" t="s">
        <v>1253</v>
      </c>
      <c r="J9956" s="222" t="s">
        <v>80</v>
      </c>
      <c r="K9956" s="227">
        <f>M9955</f>
        <v>6161.3690481185786</v>
      </c>
      <c r="L9956" s="227"/>
    </row>
    <row r="9957" spans="1:15" ht="11.25" customHeight="1" x14ac:dyDescent="0.2">
      <c r="A9957" s="228">
        <v>2025</v>
      </c>
      <c r="B9957" s="228">
        <v>8</v>
      </c>
      <c r="C9957" s="228">
        <v>21</v>
      </c>
      <c r="D9957" s="229">
        <f t="shared" si="1276"/>
        <v>45890</v>
      </c>
      <c r="E9957" s="241">
        <f t="shared" si="1294"/>
        <v>45890</v>
      </c>
      <c r="F9957" s="512"/>
      <c r="G9957" s="231" t="s">
        <v>1245</v>
      </c>
      <c r="H9957" s="232"/>
      <c r="I9957" s="232" t="s">
        <v>1253</v>
      </c>
      <c r="J9957" s="228" t="s">
        <v>42</v>
      </c>
      <c r="K9957" s="233"/>
      <c r="L9957" s="233">
        <f>K9956</f>
        <v>6161.3690481185786</v>
      </c>
    </row>
    <row r="9958" spans="1:15" ht="11.25" customHeight="1" x14ac:dyDescent="0.2">
      <c r="A9958" s="197">
        <v>2025</v>
      </c>
      <c r="B9958" s="197">
        <v>8</v>
      </c>
      <c r="C9958" s="197">
        <v>24</v>
      </c>
      <c r="D9958" s="198">
        <f t="shared" si="1276"/>
        <v>45893</v>
      </c>
      <c r="E9958" s="209">
        <f t="shared" ref="E9958:E9960" si="1295">DATE(A9958,B9958,C9958)</f>
        <v>45893</v>
      </c>
      <c r="F9958" s="513" t="s">
        <v>1280</v>
      </c>
      <c r="G9958" s="200" t="s">
        <v>1209</v>
      </c>
      <c r="H9958" s="201"/>
      <c r="I9958" s="201"/>
      <c r="J9958" s="197" t="s">
        <v>16</v>
      </c>
      <c r="K9958" s="202">
        <v>15190</v>
      </c>
      <c r="L9958" s="202"/>
    </row>
    <row r="9959" spans="1:15" ht="11.25" customHeight="1" x14ac:dyDescent="0.2">
      <c r="A9959" s="120">
        <v>2025</v>
      </c>
      <c r="B9959" s="120">
        <v>8</v>
      </c>
      <c r="C9959" s="120">
        <v>24</v>
      </c>
      <c r="D9959" s="208">
        <f t="shared" si="1276"/>
        <v>45893</v>
      </c>
      <c r="E9959" s="209">
        <f t="shared" si="1295"/>
        <v>45893</v>
      </c>
      <c r="F9959" s="515"/>
      <c r="G9959" s="132" t="s">
        <v>1209</v>
      </c>
      <c r="J9959" s="120" t="s">
        <v>47</v>
      </c>
      <c r="K9959" s="207">
        <v>4810</v>
      </c>
      <c r="L9959" s="207"/>
    </row>
    <row r="9960" spans="1:15" ht="11.25" customHeight="1" x14ac:dyDescent="0.2">
      <c r="A9960" s="191">
        <v>2025</v>
      </c>
      <c r="B9960" s="191">
        <v>8</v>
      </c>
      <c r="C9960" s="191">
        <v>24</v>
      </c>
      <c r="D9960" s="192">
        <f t="shared" si="1276"/>
        <v>45893</v>
      </c>
      <c r="E9960" s="193">
        <f t="shared" si="1295"/>
        <v>45893</v>
      </c>
      <c r="F9960" s="514"/>
      <c r="G9960" s="194" t="s">
        <v>1209</v>
      </c>
      <c r="H9960" s="195"/>
      <c r="I9960" s="195"/>
      <c r="J9960" s="191" t="s">
        <v>46</v>
      </c>
      <c r="K9960" s="196"/>
      <c r="L9960" s="196">
        <v>20000</v>
      </c>
    </row>
    <row r="9961" spans="1:15" ht="11.25" customHeight="1" x14ac:dyDescent="0.2">
      <c r="A9961" s="197">
        <v>2025</v>
      </c>
      <c r="B9961" s="197">
        <v>8</v>
      </c>
      <c r="C9961" s="197">
        <v>24</v>
      </c>
      <c r="D9961" s="198">
        <f t="shared" si="1276"/>
        <v>45893</v>
      </c>
      <c r="E9961" s="209">
        <f t="shared" si="1294"/>
        <v>45893</v>
      </c>
      <c r="F9961" s="513" t="s">
        <v>1280</v>
      </c>
      <c r="G9961" s="200" t="s">
        <v>1209</v>
      </c>
      <c r="H9961" s="201"/>
      <c r="I9961" s="201"/>
      <c r="J9961" s="197" t="s">
        <v>16</v>
      </c>
      <c r="K9961" s="202">
        <v>774150</v>
      </c>
      <c r="L9961" s="202"/>
    </row>
    <row r="9962" spans="1:15" ht="11.25" customHeight="1" x14ac:dyDescent="0.2">
      <c r="A9962" s="120">
        <v>2025</v>
      </c>
      <c r="B9962" s="120">
        <v>8</v>
      </c>
      <c r="C9962" s="120">
        <v>24</v>
      </c>
      <c r="D9962" s="208">
        <f t="shared" si="1276"/>
        <v>45893</v>
      </c>
      <c r="E9962" s="209">
        <f t="shared" si="1294"/>
        <v>45893</v>
      </c>
      <c r="F9962" s="515"/>
      <c r="G9962" s="132" t="s">
        <v>1209</v>
      </c>
      <c r="J9962" s="120" t="s">
        <v>47</v>
      </c>
      <c r="K9962" s="207">
        <v>244941.06000000006</v>
      </c>
      <c r="L9962" s="207"/>
    </row>
    <row r="9963" spans="1:15" ht="11.25" customHeight="1" x14ac:dyDescent="0.2">
      <c r="A9963" s="191">
        <v>2025</v>
      </c>
      <c r="B9963" s="191">
        <v>8</v>
      </c>
      <c r="C9963" s="191">
        <v>24</v>
      </c>
      <c r="D9963" s="192">
        <f t="shared" si="1276"/>
        <v>45893</v>
      </c>
      <c r="E9963" s="193">
        <f t="shared" si="1294"/>
        <v>45893</v>
      </c>
      <c r="F9963" s="514"/>
      <c r="G9963" s="194" t="s">
        <v>1209</v>
      </c>
      <c r="H9963" s="195"/>
      <c r="I9963" s="195"/>
      <c r="J9963" s="191" t="s">
        <v>46</v>
      </c>
      <c r="K9963" s="196"/>
      <c r="L9963" s="196">
        <v>1019091.06</v>
      </c>
    </row>
    <row r="9964" spans="1:15" ht="11.25" customHeight="1" x14ac:dyDescent="0.2">
      <c r="A9964" s="197">
        <v>2025</v>
      </c>
      <c r="B9964" s="197">
        <v>8</v>
      </c>
      <c r="C9964" s="197">
        <v>24</v>
      </c>
      <c r="D9964" s="198">
        <f t="shared" ref="D9964:D10027" si="1296">DATE(A9964,B9964,C9964)</f>
        <v>45893</v>
      </c>
      <c r="E9964" s="290">
        <f t="shared" si="1294"/>
        <v>45893</v>
      </c>
      <c r="F9964" s="513" t="s">
        <v>1514</v>
      </c>
      <c r="G9964" s="200" t="s">
        <v>1209</v>
      </c>
      <c r="H9964" s="201"/>
      <c r="I9964" s="201"/>
      <c r="J9964" s="197" t="s">
        <v>54</v>
      </c>
      <c r="K9964" s="202">
        <v>100</v>
      </c>
      <c r="L9964" s="202"/>
      <c r="M9964" s="251"/>
      <c r="N9964" s="251"/>
      <c r="O9964" s="251"/>
    </row>
    <row r="9965" spans="1:15" ht="11.25" customHeight="1" x14ac:dyDescent="0.2">
      <c r="A9965" s="191">
        <v>2025</v>
      </c>
      <c r="B9965" s="191">
        <v>8</v>
      </c>
      <c r="C9965" s="191">
        <v>24</v>
      </c>
      <c r="D9965" s="192">
        <f t="shared" si="1296"/>
        <v>45893</v>
      </c>
      <c r="E9965" s="291">
        <f t="shared" si="1294"/>
        <v>45893</v>
      </c>
      <c r="F9965" s="514"/>
      <c r="G9965" s="194" t="s">
        <v>1209</v>
      </c>
      <c r="H9965" s="195"/>
      <c r="I9965" s="195"/>
      <c r="J9965" s="191" t="s">
        <v>46</v>
      </c>
      <c r="K9965" s="196"/>
      <c r="L9965" s="196">
        <f>K9964</f>
        <v>100</v>
      </c>
      <c r="M9965" s="251"/>
    </row>
    <row r="9966" spans="1:15" ht="11.25" customHeight="1" x14ac:dyDescent="0.2">
      <c r="A9966" s="197">
        <v>2025</v>
      </c>
      <c r="B9966" s="197">
        <v>8</v>
      </c>
      <c r="C9966" s="197">
        <v>24</v>
      </c>
      <c r="D9966" s="198">
        <f t="shared" si="1296"/>
        <v>45893</v>
      </c>
      <c r="E9966" s="290">
        <f>DATE(A9966,B9966,C9966)</f>
        <v>45893</v>
      </c>
      <c r="F9966" s="513" t="s">
        <v>2074</v>
      </c>
      <c r="G9966" s="200" t="s">
        <v>1209</v>
      </c>
      <c r="H9966" s="201"/>
      <c r="I9966" s="201" t="s">
        <v>1253</v>
      </c>
      <c r="J9966" s="197" t="s">
        <v>46</v>
      </c>
      <c r="K9966" s="202">
        <v>168700</v>
      </c>
      <c r="L9966" s="202"/>
    </row>
    <row r="9967" spans="1:15" ht="11.25" customHeight="1" x14ac:dyDescent="0.2">
      <c r="A9967" s="191">
        <v>2025</v>
      </c>
      <c r="B9967" s="191">
        <v>8</v>
      </c>
      <c r="C9967" s="191">
        <v>24</v>
      </c>
      <c r="D9967" s="192">
        <f t="shared" si="1296"/>
        <v>45893</v>
      </c>
      <c r="E9967" s="291">
        <f>DATE(A9967,B9967,C9967)</f>
        <v>45893</v>
      </c>
      <c r="F9967" s="514"/>
      <c r="G9967" s="194" t="s">
        <v>1209</v>
      </c>
      <c r="H9967" s="195"/>
      <c r="I9967" s="195"/>
      <c r="J9967" s="191" t="s">
        <v>1873</v>
      </c>
      <c r="K9967" s="196"/>
      <c r="L9967" s="196">
        <v>168700</v>
      </c>
    </row>
    <row r="9968" spans="1:15" ht="11.25" customHeight="1" x14ac:dyDescent="0.2">
      <c r="A9968" s="197">
        <v>2025</v>
      </c>
      <c r="B9968" s="197">
        <v>8</v>
      </c>
      <c r="C9968" s="197">
        <v>24</v>
      </c>
      <c r="D9968" s="198">
        <f t="shared" si="1296"/>
        <v>45893</v>
      </c>
      <c r="E9968" s="199">
        <f t="shared" ref="E9968:E9970" si="1297">DATE(A9968,B9968,C9968)</f>
        <v>45893</v>
      </c>
      <c r="F9968" s="513" t="s">
        <v>2012</v>
      </c>
      <c r="G9968" s="200" t="s">
        <v>1209</v>
      </c>
      <c r="H9968" s="201"/>
      <c r="I9968" s="201" t="s">
        <v>1253</v>
      </c>
      <c r="J9968" s="197" t="s">
        <v>46</v>
      </c>
      <c r="K9968" s="202">
        <v>27320399.699999999</v>
      </c>
      <c r="L9968" s="202"/>
    </row>
    <row r="9969" spans="1:14" ht="11.25" customHeight="1" x14ac:dyDescent="0.2">
      <c r="A9969" s="120">
        <v>2025</v>
      </c>
      <c r="B9969" s="120">
        <v>8</v>
      </c>
      <c r="C9969" s="120">
        <v>24</v>
      </c>
      <c r="D9969" s="208">
        <f t="shared" si="1296"/>
        <v>45893</v>
      </c>
      <c r="E9969" s="209">
        <f t="shared" si="1297"/>
        <v>45893</v>
      </c>
      <c r="F9969" s="515"/>
      <c r="G9969" s="132" t="s">
        <v>1209</v>
      </c>
      <c r="J9969" s="120" t="s">
        <v>1463</v>
      </c>
      <c r="L9969" s="207">
        <v>1288060.31</v>
      </c>
    </row>
    <row r="9970" spans="1:14" ht="11.25" customHeight="1" x14ac:dyDescent="0.2">
      <c r="A9970" s="191">
        <v>2025</v>
      </c>
      <c r="B9970" s="191">
        <v>8</v>
      </c>
      <c r="C9970" s="191">
        <v>24</v>
      </c>
      <c r="D9970" s="192">
        <f t="shared" si="1296"/>
        <v>45893</v>
      </c>
      <c r="E9970" s="193">
        <f t="shared" si="1297"/>
        <v>45893</v>
      </c>
      <c r="F9970" s="514"/>
      <c r="G9970" s="194" t="s">
        <v>1209</v>
      </c>
      <c r="H9970" s="195"/>
      <c r="I9970" s="195" t="s">
        <v>1253</v>
      </c>
      <c r="J9970" s="191" t="s">
        <v>1837</v>
      </c>
      <c r="K9970" s="196"/>
      <c r="L9970" s="196">
        <v>26032339.390000001</v>
      </c>
      <c r="N9970" s="130"/>
    </row>
    <row r="9971" spans="1:14" ht="11.25" customHeight="1" x14ac:dyDescent="0.2">
      <c r="A9971" s="197">
        <v>2025</v>
      </c>
      <c r="B9971" s="197">
        <v>8</v>
      </c>
      <c r="C9971" s="197">
        <v>24</v>
      </c>
      <c r="D9971" s="198">
        <f t="shared" si="1296"/>
        <v>45893</v>
      </c>
      <c r="E9971" s="199">
        <f t="shared" ref="E9971:E9973" si="1298">DATE(A9971,B9971,C9971)</f>
        <v>45893</v>
      </c>
      <c r="F9971" s="513" t="s">
        <v>2080</v>
      </c>
      <c r="G9971" s="200" t="s">
        <v>1209</v>
      </c>
      <c r="H9971" s="201"/>
      <c r="I9971" s="201" t="s">
        <v>1253</v>
      </c>
      <c r="J9971" s="197" t="s">
        <v>46</v>
      </c>
      <c r="K9971" s="202">
        <v>8797543.8699999992</v>
      </c>
      <c r="L9971" s="202"/>
    </row>
    <row r="9972" spans="1:14" ht="11.25" customHeight="1" x14ac:dyDescent="0.2">
      <c r="A9972" s="120">
        <v>2025</v>
      </c>
      <c r="B9972" s="120">
        <v>8</v>
      </c>
      <c r="C9972" s="120">
        <v>24</v>
      </c>
      <c r="D9972" s="208">
        <f t="shared" si="1296"/>
        <v>45893</v>
      </c>
      <c r="E9972" s="209">
        <f t="shared" si="1298"/>
        <v>45893</v>
      </c>
      <c r="F9972" s="515"/>
      <c r="G9972" s="132" t="s">
        <v>1209</v>
      </c>
      <c r="J9972" s="120" t="s">
        <v>1463</v>
      </c>
      <c r="L9972" s="207">
        <v>791695.86999999918</v>
      </c>
    </row>
    <row r="9973" spans="1:14" ht="11.25" customHeight="1" x14ac:dyDescent="0.2">
      <c r="A9973" s="191">
        <v>2025</v>
      </c>
      <c r="B9973" s="191">
        <v>8</v>
      </c>
      <c r="C9973" s="191">
        <v>24</v>
      </c>
      <c r="D9973" s="192">
        <f t="shared" si="1296"/>
        <v>45893</v>
      </c>
      <c r="E9973" s="193">
        <f t="shared" si="1298"/>
        <v>45893</v>
      </c>
      <c r="F9973" s="514"/>
      <c r="G9973" s="194" t="s">
        <v>1209</v>
      </c>
      <c r="H9973" s="195"/>
      <c r="I9973" s="195" t="s">
        <v>1253</v>
      </c>
      <c r="J9973" s="191" t="s">
        <v>1837</v>
      </c>
      <c r="K9973" s="196"/>
      <c r="L9973" s="196">
        <v>8005848</v>
      </c>
      <c r="N9973" s="130"/>
    </row>
    <row r="9974" spans="1:14" ht="11.25" customHeight="1" x14ac:dyDescent="0.2">
      <c r="A9974" s="197">
        <v>2025</v>
      </c>
      <c r="B9974" s="197">
        <v>8</v>
      </c>
      <c r="C9974" s="197">
        <v>25</v>
      </c>
      <c r="D9974" s="198">
        <f t="shared" si="1296"/>
        <v>45894</v>
      </c>
      <c r="E9974" s="209">
        <f t="shared" ref="E9974:E9982" si="1299">DATE(A9974,B9974,C9974)</f>
        <v>45894</v>
      </c>
      <c r="F9974" s="513" t="s">
        <v>1280</v>
      </c>
      <c r="G9974" s="200" t="s">
        <v>1209</v>
      </c>
      <c r="H9974" s="201"/>
      <c r="I9974" s="201"/>
      <c r="J9974" s="197" t="s">
        <v>16</v>
      </c>
      <c r="K9974" s="202">
        <v>36094570</v>
      </c>
      <c r="L9974" s="202"/>
    </row>
    <row r="9975" spans="1:14" ht="11.25" customHeight="1" x14ac:dyDescent="0.2">
      <c r="A9975" s="120">
        <v>2025</v>
      </c>
      <c r="B9975" s="120">
        <v>8</v>
      </c>
      <c r="C9975" s="120">
        <v>25</v>
      </c>
      <c r="D9975" s="208">
        <f t="shared" si="1296"/>
        <v>45894</v>
      </c>
      <c r="E9975" s="209">
        <f t="shared" si="1299"/>
        <v>45894</v>
      </c>
      <c r="F9975" s="515"/>
      <c r="G9975" s="132" t="s">
        <v>1209</v>
      </c>
      <c r="J9975" s="120" t="s">
        <v>47</v>
      </c>
      <c r="K9975" s="207">
        <v>11420321.990000002</v>
      </c>
      <c r="L9975" s="207"/>
    </row>
    <row r="9976" spans="1:14" ht="11.25" customHeight="1" x14ac:dyDescent="0.2">
      <c r="A9976" s="191">
        <v>2025</v>
      </c>
      <c r="B9976" s="191">
        <v>8</v>
      </c>
      <c r="C9976" s="191">
        <v>25</v>
      </c>
      <c r="D9976" s="192">
        <f t="shared" si="1296"/>
        <v>45894</v>
      </c>
      <c r="E9976" s="193">
        <f t="shared" si="1299"/>
        <v>45894</v>
      </c>
      <c r="F9976" s="514"/>
      <c r="G9976" s="194" t="s">
        <v>1209</v>
      </c>
      <c r="H9976" s="195"/>
      <c r="I9976" s="195"/>
      <c r="J9976" s="191" t="s">
        <v>46</v>
      </c>
      <c r="K9976" s="196"/>
      <c r="L9976" s="196">
        <v>47514891.990000002</v>
      </c>
    </row>
    <row r="9977" spans="1:14" x14ac:dyDescent="0.2">
      <c r="A9977" s="197">
        <v>2025</v>
      </c>
      <c r="B9977" s="197">
        <v>8</v>
      </c>
      <c r="C9977" s="197">
        <v>25</v>
      </c>
      <c r="D9977" s="198">
        <f t="shared" si="1296"/>
        <v>45894</v>
      </c>
      <c r="E9977" s="209">
        <f t="shared" ref="E9977:E9979" si="1300">DATE(A9977,B9977,C9977)</f>
        <v>45894</v>
      </c>
      <c r="F9977" s="513" t="s">
        <v>1210</v>
      </c>
      <c r="G9977" s="200" t="s">
        <v>1209</v>
      </c>
      <c r="H9977" s="201"/>
      <c r="I9977" s="201"/>
      <c r="J9977" s="197" t="s">
        <v>46</v>
      </c>
      <c r="K9977" s="202">
        <v>1000000</v>
      </c>
      <c r="L9977" s="202"/>
    </row>
    <row r="9978" spans="1:14" x14ac:dyDescent="0.2">
      <c r="A9978" s="120">
        <v>2025</v>
      </c>
      <c r="B9978" s="120">
        <v>8</v>
      </c>
      <c r="C9978" s="120">
        <v>25</v>
      </c>
      <c r="D9978" s="208">
        <f t="shared" si="1296"/>
        <v>45894</v>
      </c>
      <c r="E9978" s="209">
        <f t="shared" si="1300"/>
        <v>45894</v>
      </c>
      <c r="F9978" s="515"/>
      <c r="G9978" s="132" t="s">
        <v>1209</v>
      </c>
      <c r="J9978" s="120" t="s">
        <v>16</v>
      </c>
      <c r="K9978" s="207"/>
      <c r="L9978" s="207">
        <v>759650</v>
      </c>
    </row>
    <row r="9979" spans="1:14" x14ac:dyDescent="0.2">
      <c r="A9979" s="191">
        <v>2025</v>
      </c>
      <c r="B9979" s="191">
        <v>8</v>
      </c>
      <c r="C9979" s="191">
        <v>25</v>
      </c>
      <c r="D9979" s="192">
        <f t="shared" si="1296"/>
        <v>45894</v>
      </c>
      <c r="E9979" s="193">
        <f t="shared" si="1300"/>
        <v>45894</v>
      </c>
      <c r="F9979" s="514"/>
      <c r="G9979" s="194" t="s">
        <v>1209</v>
      </c>
      <c r="H9979" s="195"/>
      <c r="I9979" s="195"/>
      <c r="J9979" s="191" t="s">
        <v>47</v>
      </c>
      <c r="K9979" s="196"/>
      <c r="L9979" s="196">
        <v>240350</v>
      </c>
    </row>
    <row r="9980" spans="1:14" x14ac:dyDescent="0.2">
      <c r="A9980" s="197">
        <v>2025</v>
      </c>
      <c r="B9980" s="197">
        <v>8</v>
      </c>
      <c r="C9980" s="197">
        <v>25</v>
      </c>
      <c r="D9980" s="198">
        <f t="shared" si="1296"/>
        <v>45894</v>
      </c>
      <c r="E9980" s="209">
        <f t="shared" si="1299"/>
        <v>45894</v>
      </c>
      <c r="F9980" s="513" t="s">
        <v>1210</v>
      </c>
      <c r="G9980" s="200" t="s">
        <v>1209</v>
      </c>
      <c r="H9980" s="201"/>
      <c r="I9980" s="201"/>
      <c r="J9980" s="197" t="s">
        <v>46</v>
      </c>
      <c r="K9980" s="202">
        <v>600000</v>
      </c>
      <c r="L9980" s="202"/>
    </row>
    <row r="9981" spans="1:14" x14ac:dyDescent="0.2">
      <c r="A9981" s="120">
        <v>2025</v>
      </c>
      <c r="B9981" s="120">
        <v>8</v>
      </c>
      <c r="C9981" s="120">
        <v>25</v>
      </c>
      <c r="D9981" s="208">
        <f t="shared" si="1296"/>
        <v>45894</v>
      </c>
      <c r="E9981" s="209">
        <f t="shared" si="1299"/>
        <v>45894</v>
      </c>
      <c r="F9981" s="515"/>
      <c r="G9981" s="132" t="s">
        <v>1209</v>
      </c>
      <c r="J9981" s="120" t="s">
        <v>16</v>
      </c>
      <c r="K9981" s="207"/>
      <c r="L9981" s="207">
        <v>455790</v>
      </c>
    </row>
    <row r="9982" spans="1:14" x14ac:dyDescent="0.2">
      <c r="A9982" s="191">
        <v>2025</v>
      </c>
      <c r="B9982" s="191">
        <v>8</v>
      </c>
      <c r="C9982" s="191">
        <v>25</v>
      </c>
      <c r="D9982" s="192">
        <f t="shared" si="1296"/>
        <v>45894</v>
      </c>
      <c r="E9982" s="193">
        <f t="shared" si="1299"/>
        <v>45894</v>
      </c>
      <c r="F9982" s="514"/>
      <c r="G9982" s="194" t="s">
        <v>1209</v>
      </c>
      <c r="H9982" s="195"/>
      <c r="I9982" s="195"/>
      <c r="J9982" s="191" t="s">
        <v>47</v>
      </c>
      <c r="K9982" s="196"/>
      <c r="L9982" s="196">
        <v>144210</v>
      </c>
    </row>
    <row r="9983" spans="1:14" x14ac:dyDescent="0.2">
      <c r="A9983" s="197">
        <v>2025</v>
      </c>
      <c r="B9983" s="197">
        <v>8</v>
      </c>
      <c r="C9983" s="197">
        <v>25</v>
      </c>
      <c r="D9983" s="198">
        <f t="shared" si="1296"/>
        <v>45894</v>
      </c>
      <c r="E9983" s="209">
        <f t="shared" si="1294"/>
        <v>45894</v>
      </c>
      <c r="F9983" s="513" t="s">
        <v>1210</v>
      </c>
      <c r="G9983" s="200" t="s">
        <v>1209</v>
      </c>
      <c r="H9983" s="201"/>
      <c r="I9983" s="201"/>
      <c r="J9983" s="197" t="s">
        <v>46</v>
      </c>
      <c r="K9983" s="202">
        <v>40000000</v>
      </c>
      <c r="L9983" s="202"/>
    </row>
    <row r="9984" spans="1:14" x14ac:dyDescent="0.2">
      <c r="A9984" s="120">
        <v>2025</v>
      </c>
      <c r="B9984" s="120">
        <v>8</v>
      </c>
      <c r="C9984" s="120">
        <v>25</v>
      </c>
      <c r="D9984" s="208">
        <f t="shared" si="1296"/>
        <v>45894</v>
      </c>
      <c r="E9984" s="209">
        <f t="shared" si="1294"/>
        <v>45894</v>
      </c>
      <c r="F9984" s="515"/>
      <c r="G9984" s="132" t="s">
        <v>1209</v>
      </c>
      <c r="J9984" s="120" t="s">
        <v>16</v>
      </c>
      <c r="K9984" s="207"/>
      <c r="L9984" s="207">
        <v>30385900</v>
      </c>
    </row>
    <row r="9985" spans="1:15" x14ac:dyDescent="0.2">
      <c r="A9985" s="191">
        <v>2025</v>
      </c>
      <c r="B9985" s="191">
        <v>8</v>
      </c>
      <c r="C9985" s="191">
        <v>25</v>
      </c>
      <c r="D9985" s="192">
        <f t="shared" si="1296"/>
        <v>45894</v>
      </c>
      <c r="E9985" s="193">
        <f t="shared" si="1294"/>
        <v>45894</v>
      </c>
      <c r="F9985" s="514"/>
      <c r="G9985" s="194" t="s">
        <v>1209</v>
      </c>
      <c r="H9985" s="195"/>
      <c r="I9985" s="195"/>
      <c r="J9985" s="191" t="s">
        <v>47</v>
      </c>
      <c r="K9985" s="196"/>
      <c r="L9985" s="196">
        <v>9614100</v>
      </c>
    </row>
    <row r="9986" spans="1:15" ht="11.25" customHeight="1" x14ac:dyDescent="0.2">
      <c r="A9986" s="197">
        <v>2025</v>
      </c>
      <c r="B9986" s="197">
        <v>8</v>
      </c>
      <c r="C9986" s="197">
        <v>25</v>
      </c>
      <c r="D9986" s="198">
        <f t="shared" si="1296"/>
        <v>45894</v>
      </c>
      <c r="E9986" s="290">
        <f t="shared" ref="E9986:E9987" si="1301">DATE(A9986,B9986,C9986)</f>
        <v>45894</v>
      </c>
      <c r="F9986" s="513" t="s">
        <v>1514</v>
      </c>
      <c r="G9986" s="200" t="s">
        <v>1209</v>
      </c>
      <c r="H9986" s="201"/>
      <c r="I9986" s="201"/>
      <c r="J9986" s="197" t="s">
        <v>54</v>
      </c>
      <c r="K9986" s="202">
        <v>150</v>
      </c>
      <c r="L9986" s="202"/>
      <c r="M9986" s="251"/>
      <c r="N9986" s="251"/>
      <c r="O9986" s="251"/>
    </row>
    <row r="9987" spans="1:15" ht="11.25" customHeight="1" x14ac:dyDescent="0.2">
      <c r="A9987" s="191">
        <v>2025</v>
      </c>
      <c r="B9987" s="191">
        <v>8</v>
      </c>
      <c r="C9987" s="191">
        <v>25</v>
      </c>
      <c r="D9987" s="192">
        <f t="shared" si="1296"/>
        <v>45894</v>
      </c>
      <c r="E9987" s="291">
        <f t="shared" si="1301"/>
        <v>45894</v>
      </c>
      <c r="F9987" s="514"/>
      <c r="G9987" s="194" t="s">
        <v>1209</v>
      </c>
      <c r="H9987" s="195"/>
      <c r="I9987" s="195"/>
      <c r="J9987" s="191" t="s">
        <v>46</v>
      </c>
      <c r="K9987" s="196"/>
      <c r="L9987" s="196">
        <f>K9986</f>
        <v>150</v>
      </c>
      <c r="M9987" s="251"/>
    </row>
    <row r="9988" spans="1:15" ht="11.25" customHeight="1" x14ac:dyDescent="0.2">
      <c r="A9988" s="197">
        <v>2025</v>
      </c>
      <c r="B9988" s="197">
        <v>8</v>
      </c>
      <c r="C9988" s="197">
        <v>26</v>
      </c>
      <c r="D9988" s="198">
        <f t="shared" si="1296"/>
        <v>45895</v>
      </c>
      <c r="E9988" s="209">
        <f t="shared" si="1294"/>
        <v>45895</v>
      </c>
      <c r="F9988" s="513" t="s">
        <v>1280</v>
      </c>
      <c r="G9988" s="200" t="s">
        <v>1209</v>
      </c>
      <c r="H9988" s="201"/>
      <c r="I9988" s="201"/>
      <c r="J9988" s="197" t="s">
        <v>16</v>
      </c>
      <c r="K9988" s="202">
        <v>5317600</v>
      </c>
      <c r="L9988" s="202"/>
    </row>
    <row r="9989" spans="1:15" ht="11.25" customHeight="1" x14ac:dyDescent="0.2">
      <c r="A9989" s="120">
        <v>2025</v>
      </c>
      <c r="B9989" s="120">
        <v>8</v>
      </c>
      <c r="C9989" s="120">
        <v>26</v>
      </c>
      <c r="D9989" s="208">
        <f t="shared" si="1296"/>
        <v>45895</v>
      </c>
      <c r="E9989" s="209">
        <f t="shared" si="1294"/>
        <v>45895</v>
      </c>
      <c r="F9989" s="515"/>
      <c r="G9989" s="132" t="s">
        <v>1209</v>
      </c>
      <c r="J9989" s="120" t="s">
        <v>47</v>
      </c>
      <c r="K9989" s="207">
        <v>1682488.6399999997</v>
      </c>
      <c r="L9989" s="207"/>
    </row>
    <row r="9990" spans="1:15" ht="11.25" customHeight="1" x14ac:dyDescent="0.2">
      <c r="A9990" s="191">
        <v>2025</v>
      </c>
      <c r="B9990" s="191">
        <v>8</v>
      </c>
      <c r="C9990" s="191">
        <v>26</v>
      </c>
      <c r="D9990" s="192">
        <f t="shared" si="1296"/>
        <v>45895</v>
      </c>
      <c r="E9990" s="193">
        <f t="shared" si="1294"/>
        <v>45895</v>
      </c>
      <c r="F9990" s="514"/>
      <c r="G9990" s="194" t="s">
        <v>1209</v>
      </c>
      <c r="H9990" s="195"/>
      <c r="I9990" s="195"/>
      <c r="J9990" s="191" t="s">
        <v>46</v>
      </c>
      <c r="K9990" s="196"/>
      <c r="L9990" s="196">
        <v>7000088.6399999997</v>
      </c>
    </row>
    <row r="9991" spans="1:15" ht="11.25" customHeight="1" x14ac:dyDescent="0.2">
      <c r="A9991" s="197">
        <v>2025</v>
      </c>
      <c r="B9991" s="197">
        <v>8</v>
      </c>
      <c r="C9991" s="197">
        <v>26</v>
      </c>
      <c r="D9991" s="198">
        <f t="shared" si="1296"/>
        <v>45895</v>
      </c>
      <c r="E9991" s="209">
        <f t="shared" ref="E9991:E9993" si="1302">DATE(A9991,B9991,C9991)</f>
        <v>45895</v>
      </c>
      <c r="F9991" s="513" t="s">
        <v>1280</v>
      </c>
      <c r="G9991" s="200" t="s">
        <v>1209</v>
      </c>
      <c r="H9991" s="201"/>
      <c r="I9991" s="201"/>
      <c r="J9991" s="197" t="s">
        <v>16</v>
      </c>
      <c r="K9991" s="202">
        <v>22789430</v>
      </c>
      <c r="L9991" s="202"/>
    </row>
    <row r="9992" spans="1:15" ht="11.25" customHeight="1" x14ac:dyDescent="0.2">
      <c r="A9992" s="120">
        <v>2025</v>
      </c>
      <c r="B9992" s="120">
        <v>8</v>
      </c>
      <c r="C9992" s="120">
        <v>26</v>
      </c>
      <c r="D9992" s="208">
        <f t="shared" si="1296"/>
        <v>45895</v>
      </c>
      <c r="E9992" s="209">
        <f t="shared" si="1302"/>
        <v>45895</v>
      </c>
      <c r="F9992" s="515"/>
      <c r="G9992" s="132" t="s">
        <v>1209</v>
      </c>
      <c r="J9992" s="120" t="s">
        <v>47</v>
      </c>
      <c r="K9992" s="207">
        <v>7210570</v>
      </c>
      <c r="L9992" s="207"/>
    </row>
    <row r="9993" spans="1:15" ht="11.25" customHeight="1" x14ac:dyDescent="0.2">
      <c r="A9993" s="191">
        <v>2025</v>
      </c>
      <c r="B9993" s="191">
        <v>8</v>
      </c>
      <c r="C9993" s="191">
        <v>26</v>
      </c>
      <c r="D9993" s="192">
        <f t="shared" si="1296"/>
        <v>45895</v>
      </c>
      <c r="E9993" s="193">
        <f t="shared" si="1302"/>
        <v>45895</v>
      </c>
      <c r="F9993" s="514"/>
      <c r="G9993" s="194" t="s">
        <v>1209</v>
      </c>
      <c r="H9993" s="195"/>
      <c r="I9993" s="195"/>
      <c r="J9993" s="191" t="s">
        <v>46</v>
      </c>
      <c r="K9993" s="196"/>
      <c r="L9993" s="196">
        <v>30000000</v>
      </c>
    </row>
    <row r="9994" spans="1:15" ht="11.25" customHeight="1" x14ac:dyDescent="0.2">
      <c r="A9994" s="197">
        <v>2025</v>
      </c>
      <c r="B9994" s="197">
        <v>8</v>
      </c>
      <c r="C9994" s="197">
        <v>26</v>
      </c>
      <c r="D9994" s="198">
        <f t="shared" si="1296"/>
        <v>45895</v>
      </c>
      <c r="E9994" s="209">
        <f t="shared" si="1294"/>
        <v>45895</v>
      </c>
      <c r="F9994" s="513" t="s">
        <v>1280</v>
      </c>
      <c r="G9994" s="200" t="s">
        <v>1209</v>
      </c>
      <c r="H9994" s="201"/>
      <c r="I9994" s="201"/>
      <c r="J9994" s="197" t="s">
        <v>16</v>
      </c>
      <c r="K9994" s="202">
        <v>635520</v>
      </c>
      <c r="L9994" s="202"/>
    </row>
    <row r="9995" spans="1:15" ht="11.25" customHeight="1" x14ac:dyDescent="0.2">
      <c r="A9995" s="120">
        <v>2025</v>
      </c>
      <c r="B9995" s="120">
        <v>8</v>
      </c>
      <c r="C9995" s="120">
        <v>26</v>
      </c>
      <c r="D9995" s="208">
        <f t="shared" si="1296"/>
        <v>45895</v>
      </c>
      <c r="E9995" s="209">
        <f t="shared" si="1294"/>
        <v>45895</v>
      </c>
      <c r="F9995" s="515"/>
      <c r="G9995" s="132" t="s">
        <v>1209</v>
      </c>
      <c r="J9995" s="120" t="s">
        <v>47</v>
      </c>
      <c r="K9995" s="207">
        <v>201080</v>
      </c>
      <c r="L9995" s="207"/>
    </row>
    <row r="9996" spans="1:15" ht="11.25" customHeight="1" x14ac:dyDescent="0.2">
      <c r="A9996" s="191">
        <v>2025</v>
      </c>
      <c r="B9996" s="191">
        <v>8</v>
      </c>
      <c r="C9996" s="191">
        <v>26</v>
      </c>
      <c r="D9996" s="192">
        <f t="shared" si="1296"/>
        <v>45895</v>
      </c>
      <c r="E9996" s="193">
        <f t="shared" si="1294"/>
        <v>45895</v>
      </c>
      <c r="F9996" s="514"/>
      <c r="G9996" s="194" t="s">
        <v>1209</v>
      </c>
      <c r="H9996" s="195"/>
      <c r="I9996" s="195"/>
      <c r="J9996" s="191" t="s">
        <v>46</v>
      </c>
      <c r="K9996" s="196"/>
      <c r="L9996" s="196">
        <v>836600</v>
      </c>
    </row>
    <row r="9997" spans="1:15" ht="11.25" customHeight="1" x14ac:dyDescent="0.2">
      <c r="A9997" s="197">
        <v>2025</v>
      </c>
      <c r="B9997" s="197">
        <v>8</v>
      </c>
      <c r="C9997" s="197">
        <v>26</v>
      </c>
      <c r="D9997" s="198">
        <f t="shared" si="1296"/>
        <v>45895</v>
      </c>
      <c r="E9997" s="209">
        <f t="shared" ref="E9997:E9999" si="1303">DATE(A9997,B9997,C9997)</f>
        <v>45895</v>
      </c>
      <c r="F9997" s="513" t="s">
        <v>1280</v>
      </c>
      <c r="G9997" s="200" t="s">
        <v>1209</v>
      </c>
      <c r="H9997" s="201"/>
      <c r="I9997" s="201"/>
      <c r="J9997" s="197" t="s">
        <v>16</v>
      </c>
      <c r="K9997" s="202">
        <v>821500</v>
      </c>
      <c r="L9997" s="202"/>
    </row>
    <row r="9998" spans="1:15" ht="11.25" customHeight="1" x14ac:dyDescent="0.2">
      <c r="A9998" s="120">
        <v>2025</v>
      </c>
      <c r="B9998" s="120">
        <v>8</v>
      </c>
      <c r="C9998" s="120">
        <v>26</v>
      </c>
      <c r="D9998" s="208">
        <f t="shared" si="1296"/>
        <v>45895</v>
      </c>
      <c r="E9998" s="209">
        <f t="shared" si="1303"/>
        <v>45895</v>
      </c>
      <c r="F9998" s="515"/>
      <c r="G9998" s="132" t="s">
        <v>1209</v>
      </c>
      <c r="J9998" s="120" t="s">
        <v>47</v>
      </c>
      <c r="K9998" s="207">
        <v>259922.60000000009</v>
      </c>
      <c r="L9998" s="207"/>
    </row>
    <row r="9999" spans="1:15" ht="11.25" customHeight="1" x14ac:dyDescent="0.2">
      <c r="A9999" s="191">
        <v>2025</v>
      </c>
      <c r="B9999" s="191">
        <v>8</v>
      </c>
      <c r="C9999" s="191">
        <v>26</v>
      </c>
      <c r="D9999" s="192">
        <f t="shared" si="1296"/>
        <v>45895</v>
      </c>
      <c r="E9999" s="193">
        <f t="shared" si="1303"/>
        <v>45895</v>
      </c>
      <c r="F9999" s="514"/>
      <c r="G9999" s="194" t="s">
        <v>1209</v>
      </c>
      <c r="H9999" s="195"/>
      <c r="I9999" s="195"/>
      <c r="J9999" s="191" t="s">
        <v>46</v>
      </c>
      <c r="K9999" s="196"/>
      <c r="L9999" s="196">
        <v>1081422.6000000001</v>
      </c>
    </row>
    <row r="10000" spans="1:15" ht="11.25" customHeight="1" x14ac:dyDescent="0.2">
      <c r="A10000" s="197">
        <v>2025</v>
      </c>
      <c r="B10000" s="197">
        <v>8</v>
      </c>
      <c r="C10000" s="197">
        <v>26</v>
      </c>
      <c r="D10000" s="198">
        <f t="shared" si="1296"/>
        <v>45895</v>
      </c>
      <c r="E10000" s="209">
        <f t="shared" si="1294"/>
        <v>45895</v>
      </c>
      <c r="F10000" s="513" t="s">
        <v>1280</v>
      </c>
      <c r="G10000" s="200" t="s">
        <v>1209</v>
      </c>
      <c r="H10000" s="201"/>
      <c r="I10000" s="201"/>
      <c r="J10000" s="197" t="s">
        <v>16</v>
      </c>
      <c r="K10000" s="202">
        <v>231990</v>
      </c>
      <c r="L10000" s="202"/>
    </row>
    <row r="10001" spans="1:15" ht="11.25" customHeight="1" x14ac:dyDescent="0.2">
      <c r="A10001" s="120">
        <v>2025</v>
      </c>
      <c r="B10001" s="120">
        <v>8</v>
      </c>
      <c r="C10001" s="120">
        <v>26</v>
      </c>
      <c r="D10001" s="208">
        <f t="shared" si="1296"/>
        <v>45895</v>
      </c>
      <c r="E10001" s="209">
        <f t="shared" si="1294"/>
        <v>45895</v>
      </c>
      <c r="F10001" s="515"/>
      <c r="G10001" s="132" t="s">
        <v>1209</v>
      </c>
      <c r="J10001" s="120" t="s">
        <v>47</v>
      </c>
      <c r="K10001" s="207">
        <v>73400.159999999974</v>
      </c>
      <c r="L10001" s="207"/>
    </row>
    <row r="10002" spans="1:15" ht="11.25" customHeight="1" x14ac:dyDescent="0.2">
      <c r="A10002" s="191">
        <v>2025</v>
      </c>
      <c r="B10002" s="191">
        <v>8</v>
      </c>
      <c r="C10002" s="191">
        <v>26</v>
      </c>
      <c r="D10002" s="192">
        <f t="shared" si="1296"/>
        <v>45895</v>
      </c>
      <c r="E10002" s="193">
        <f t="shared" si="1294"/>
        <v>45895</v>
      </c>
      <c r="F10002" s="514"/>
      <c r="G10002" s="194" t="s">
        <v>1209</v>
      </c>
      <c r="H10002" s="195"/>
      <c r="I10002" s="195"/>
      <c r="J10002" s="191" t="s">
        <v>46</v>
      </c>
      <c r="K10002" s="196"/>
      <c r="L10002" s="196">
        <v>305390.15999999997</v>
      </c>
    </row>
    <row r="10003" spans="1:15" ht="11.25" customHeight="1" x14ac:dyDescent="0.2">
      <c r="A10003" s="197">
        <v>2025</v>
      </c>
      <c r="B10003" s="197">
        <v>8</v>
      </c>
      <c r="C10003" s="197">
        <v>26</v>
      </c>
      <c r="D10003" s="198">
        <f t="shared" si="1296"/>
        <v>45895</v>
      </c>
      <c r="E10003" s="209">
        <f t="shared" ref="E10003:E10015" si="1304">DATE(A10003,B10003,C10003)</f>
        <v>45895</v>
      </c>
      <c r="F10003" s="513" t="s">
        <v>1280</v>
      </c>
      <c r="G10003" s="200" t="s">
        <v>1209</v>
      </c>
      <c r="H10003" s="201"/>
      <c r="I10003" s="201"/>
      <c r="J10003" s="197" t="s">
        <v>16</v>
      </c>
      <c r="K10003" s="202">
        <v>288670</v>
      </c>
      <c r="L10003" s="202"/>
    </row>
    <row r="10004" spans="1:15" ht="11.25" customHeight="1" x14ac:dyDescent="0.2">
      <c r="A10004" s="120">
        <v>2025</v>
      </c>
      <c r="B10004" s="120">
        <v>8</v>
      </c>
      <c r="C10004" s="120">
        <v>26</v>
      </c>
      <c r="D10004" s="208">
        <f t="shared" si="1296"/>
        <v>45895</v>
      </c>
      <c r="E10004" s="209">
        <f t="shared" si="1304"/>
        <v>45895</v>
      </c>
      <c r="F10004" s="515"/>
      <c r="G10004" s="132" t="s">
        <v>1209</v>
      </c>
      <c r="J10004" s="120" t="s">
        <v>47</v>
      </c>
      <c r="K10004" s="207">
        <v>91330</v>
      </c>
      <c r="L10004" s="207"/>
    </row>
    <row r="10005" spans="1:15" ht="11.25" customHeight="1" x14ac:dyDescent="0.2">
      <c r="A10005" s="191">
        <v>2025</v>
      </c>
      <c r="B10005" s="191">
        <v>8</v>
      </c>
      <c r="C10005" s="191">
        <v>26</v>
      </c>
      <c r="D10005" s="192">
        <f t="shared" si="1296"/>
        <v>45895</v>
      </c>
      <c r="E10005" s="193">
        <f t="shared" si="1304"/>
        <v>45895</v>
      </c>
      <c r="F10005" s="514"/>
      <c r="G10005" s="194" t="s">
        <v>1209</v>
      </c>
      <c r="H10005" s="195"/>
      <c r="I10005" s="195"/>
      <c r="J10005" s="191" t="s">
        <v>46</v>
      </c>
      <c r="K10005" s="196"/>
      <c r="L10005" s="196">
        <v>380000</v>
      </c>
    </row>
    <row r="10006" spans="1:15" x14ac:dyDescent="0.2">
      <c r="A10006" s="197">
        <v>2025</v>
      </c>
      <c r="B10006" s="197">
        <v>8</v>
      </c>
      <c r="C10006" s="197">
        <v>26</v>
      </c>
      <c r="D10006" s="198">
        <f t="shared" si="1296"/>
        <v>45895</v>
      </c>
      <c r="E10006" s="209">
        <f t="shared" si="1304"/>
        <v>45895</v>
      </c>
      <c r="F10006" s="513" t="s">
        <v>1210</v>
      </c>
      <c r="G10006" s="200" t="s">
        <v>1209</v>
      </c>
      <c r="H10006" s="201"/>
      <c r="I10006" s="201"/>
      <c r="J10006" s="197" t="s">
        <v>46</v>
      </c>
      <c r="K10006" s="202">
        <v>30000000</v>
      </c>
      <c r="L10006" s="202"/>
    </row>
    <row r="10007" spans="1:15" x14ac:dyDescent="0.2">
      <c r="A10007" s="120">
        <v>2025</v>
      </c>
      <c r="B10007" s="120">
        <v>8</v>
      </c>
      <c r="C10007" s="120">
        <v>26</v>
      </c>
      <c r="D10007" s="208">
        <f t="shared" si="1296"/>
        <v>45895</v>
      </c>
      <c r="E10007" s="209">
        <f t="shared" si="1304"/>
        <v>45895</v>
      </c>
      <c r="F10007" s="515"/>
      <c r="G10007" s="132" t="s">
        <v>1209</v>
      </c>
      <c r="J10007" s="120" t="s">
        <v>16</v>
      </c>
      <c r="K10007" s="207"/>
      <c r="L10007" s="207">
        <v>22789430</v>
      </c>
    </row>
    <row r="10008" spans="1:15" x14ac:dyDescent="0.2">
      <c r="A10008" s="191">
        <v>2025</v>
      </c>
      <c r="B10008" s="191">
        <v>8</v>
      </c>
      <c r="C10008" s="191">
        <v>26</v>
      </c>
      <c r="D10008" s="192">
        <f t="shared" si="1296"/>
        <v>45895</v>
      </c>
      <c r="E10008" s="193">
        <f t="shared" si="1304"/>
        <v>45895</v>
      </c>
      <c r="F10008" s="514"/>
      <c r="G10008" s="194" t="s">
        <v>1209</v>
      </c>
      <c r="H10008" s="195"/>
      <c r="I10008" s="195"/>
      <c r="J10008" s="191" t="s">
        <v>47</v>
      </c>
      <c r="K10008" s="196"/>
      <c r="L10008" s="196">
        <v>7210570</v>
      </c>
    </row>
    <row r="10009" spans="1:15" ht="11.25" customHeight="1" x14ac:dyDescent="0.2">
      <c r="A10009" s="197">
        <v>2025</v>
      </c>
      <c r="B10009" s="197">
        <v>8</v>
      </c>
      <c r="C10009" s="197">
        <v>26</v>
      </c>
      <c r="D10009" s="198">
        <f t="shared" si="1296"/>
        <v>45895</v>
      </c>
      <c r="E10009" s="290">
        <f t="shared" si="1304"/>
        <v>45895</v>
      </c>
      <c r="F10009" s="513" t="s">
        <v>1514</v>
      </c>
      <c r="G10009" s="200" t="s">
        <v>1209</v>
      </c>
      <c r="H10009" s="201"/>
      <c r="I10009" s="201"/>
      <c r="J10009" s="197" t="s">
        <v>54</v>
      </c>
      <c r="K10009" s="202">
        <v>125</v>
      </c>
      <c r="L10009" s="202"/>
      <c r="M10009" s="251"/>
      <c r="N10009" s="251"/>
      <c r="O10009" s="251"/>
    </row>
    <row r="10010" spans="1:15" ht="11.25" customHeight="1" x14ac:dyDescent="0.2">
      <c r="A10010" s="191">
        <v>2025</v>
      </c>
      <c r="B10010" s="191">
        <v>8</v>
      </c>
      <c r="C10010" s="191">
        <v>26</v>
      </c>
      <c r="D10010" s="192">
        <f t="shared" si="1296"/>
        <v>45895</v>
      </c>
      <c r="E10010" s="291">
        <f t="shared" si="1304"/>
        <v>45895</v>
      </c>
      <c r="F10010" s="514"/>
      <c r="G10010" s="194" t="s">
        <v>1209</v>
      </c>
      <c r="H10010" s="195"/>
      <c r="I10010" s="195"/>
      <c r="J10010" s="191" t="s">
        <v>46</v>
      </c>
      <c r="K10010" s="196"/>
      <c r="L10010" s="196">
        <f>K10009</f>
        <v>125</v>
      </c>
      <c r="M10010" s="251"/>
    </row>
    <row r="10011" spans="1:15" ht="11.25" customHeight="1" x14ac:dyDescent="0.2">
      <c r="A10011" s="197">
        <v>2025</v>
      </c>
      <c r="B10011" s="197">
        <v>8</v>
      </c>
      <c r="C10011" s="197">
        <v>26</v>
      </c>
      <c r="D10011" s="198">
        <f t="shared" si="1296"/>
        <v>45895</v>
      </c>
      <c r="E10011" s="209">
        <f t="shared" si="1304"/>
        <v>45895</v>
      </c>
      <c r="F10011" s="513" t="s">
        <v>2081</v>
      </c>
      <c r="G10011" s="200" t="s">
        <v>1209</v>
      </c>
      <c r="H10011" s="201"/>
      <c r="I10011" s="201"/>
      <c r="J10011" s="248" t="s">
        <v>46</v>
      </c>
      <c r="K10011" s="202">
        <v>4997000.0000000009</v>
      </c>
      <c r="L10011" s="202"/>
      <c r="M10011" s="251"/>
    </row>
    <row r="10012" spans="1:15" ht="11.25" customHeight="1" x14ac:dyDescent="0.2">
      <c r="A10012" s="120">
        <v>2025</v>
      </c>
      <c r="B10012" s="120">
        <v>8</v>
      </c>
      <c r="C10012" s="120">
        <v>26</v>
      </c>
      <c r="D10012" s="208">
        <f t="shared" si="1296"/>
        <v>45895</v>
      </c>
      <c r="E10012" s="209">
        <f t="shared" si="1304"/>
        <v>45895</v>
      </c>
      <c r="F10012" s="515"/>
      <c r="G10012" s="132" t="s">
        <v>1209</v>
      </c>
      <c r="J10012" s="129" t="s">
        <v>54</v>
      </c>
      <c r="K10012" s="207">
        <v>3000</v>
      </c>
      <c r="L10012" s="207"/>
      <c r="M10012" s="251"/>
    </row>
    <row r="10013" spans="1:15" ht="11.25" customHeight="1" x14ac:dyDescent="0.2">
      <c r="A10013" s="191">
        <v>2025</v>
      </c>
      <c r="B10013" s="191">
        <v>8</v>
      </c>
      <c r="C10013" s="191">
        <v>26</v>
      </c>
      <c r="D10013" s="192">
        <f t="shared" si="1296"/>
        <v>45895</v>
      </c>
      <c r="E10013" s="193">
        <f t="shared" si="1304"/>
        <v>45895</v>
      </c>
      <c r="F10013" s="514"/>
      <c r="G10013" s="194" t="s">
        <v>1209</v>
      </c>
      <c r="H10013" s="195"/>
      <c r="I10013" s="195"/>
      <c r="J10013" s="250" t="s">
        <v>76</v>
      </c>
      <c r="K10013" s="196"/>
      <c r="L10013" s="196">
        <v>5000000</v>
      </c>
    </row>
    <row r="10014" spans="1:15" ht="11.25" customHeight="1" x14ac:dyDescent="0.2">
      <c r="A10014" s="197">
        <v>2025</v>
      </c>
      <c r="B10014" s="197">
        <v>8</v>
      </c>
      <c r="C10014" s="197">
        <v>26</v>
      </c>
      <c r="D10014" s="198">
        <f t="shared" si="1296"/>
        <v>45895</v>
      </c>
      <c r="E10014" s="290">
        <f t="shared" si="1304"/>
        <v>45895</v>
      </c>
      <c r="F10014" s="513" t="s">
        <v>2082</v>
      </c>
      <c r="G10014" s="200" t="s">
        <v>1245</v>
      </c>
      <c r="H10014" s="201"/>
      <c r="I10014" s="201" t="s">
        <v>1253</v>
      </c>
      <c r="J10014" s="197" t="s">
        <v>46</v>
      </c>
      <c r="K10014" s="202">
        <v>148750</v>
      </c>
      <c r="L10014" s="202"/>
    </row>
    <row r="10015" spans="1:15" ht="11.25" customHeight="1" x14ac:dyDescent="0.2">
      <c r="A10015" s="191">
        <v>2025</v>
      </c>
      <c r="B10015" s="191">
        <v>8</v>
      </c>
      <c r="C10015" s="191">
        <v>26</v>
      </c>
      <c r="D10015" s="192">
        <f t="shared" si="1296"/>
        <v>45895</v>
      </c>
      <c r="E10015" s="291">
        <f t="shared" si="1304"/>
        <v>45895</v>
      </c>
      <c r="F10015" s="514"/>
      <c r="G10015" s="194" t="s">
        <v>1245</v>
      </c>
      <c r="H10015" s="195"/>
      <c r="I10015" s="195" t="s">
        <v>1253</v>
      </c>
      <c r="J10015" s="191" t="s">
        <v>113</v>
      </c>
      <c r="K10015" s="196"/>
      <c r="L10015" s="196">
        <f t="shared" ref="L10015" si="1305">K10014</f>
        <v>148750</v>
      </c>
    </row>
    <row r="10016" spans="1:15" ht="11.25" customHeight="1" x14ac:dyDescent="0.2">
      <c r="A10016" s="120">
        <v>2025</v>
      </c>
      <c r="B10016" s="197">
        <v>8</v>
      </c>
      <c r="C10016" s="197">
        <v>26</v>
      </c>
      <c r="D10016" s="208">
        <f t="shared" si="1296"/>
        <v>45895</v>
      </c>
      <c r="E10016" s="209">
        <f>DATE(A10016,B10016,C10016)</f>
        <v>45895</v>
      </c>
      <c r="F10016" s="515" t="s">
        <v>1922</v>
      </c>
      <c r="G10016" s="132" t="s">
        <v>1209</v>
      </c>
      <c r="H10016" s="132"/>
      <c r="J10016" s="120" t="s">
        <v>457</v>
      </c>
      <c r="K10016" s="202">
        <v>14718.44</v>
      </c>
      <c r="L10016" s="207"/>
    </row>
    <row r="10017" spans="1:15" ht="11.25" customHeight="1" x14ac:dyDescent="0.2">
      <c r="A10017" s="191">
        <v>2025</v>
      </c>
      <c r="B10017" s="191">
        <v>8</v>
      </c>
      <c r="C10017" s="191">
        <v>26</v>
      </c>
      <c r="D10017" s="192">
        <f t="shared" si="1296"/>
        <v>45895</v>
      </c>
      <c r="E10017" s="291">
        <f t="shared" ref="E10017:E10020" si="1306">DATE(A10017,B10017,C10017)</f>
        <v>45895</v>
      </c>
      <c r="F10017" s="514"/>
      <c r="G10017" s="194" t="s">
        <v>1209</v>
      </c>
      <c r="H10017" s="195"/>
      <c r="I10017" s="195" t="s">
        <v>1253</v>
      </c>
      <c r="J10017" s="191" t="s">
        <v>46</v>
      </c>
      <c r="K10017" s="196"/>
      <c r="L10017" s="196">
        <v>14718.44</v>
      </c>
    </row>
    <row r="10018" spans="1:15" x14ac:dyDescent="0.2">
      <c r="A10018" s="197">
        <v>2025</v>
      </c>
      <c r="B10018" s="197">
        <v>8</v>
      </c>
      <c r="C10018" s="197">
        <v>26</v>
      </c>
      <c r="D10018" s="198">
        <f t="shared" si="1296"/>
        <v>45895</v>
      </c>
      <c r="E10018" s="209">
        <f t="shared" si="1306"/>
        <v>45895</v>
      </c>
      <c r="F10018" s="513" t="s">
        <v>1296</v>
      </c>
      <c r="G10018" s="200" t="s">
        <v>1209</v>
      </c>
      <c r="H10018" s="201"/>
      <c r="I10018" s="201"/>
      <c r="J10018" s="197" t="s">
        <v>46</v>
      </c>
      <c r="K10018" s="202">
        <v>393140</v>
      </c>
      <c r="L10018" s="202"/>
    </row>
    <row r="10019" spans="1:15" x14ac:dyDescent="0.2">
      <c r="A10019" s="120">
        <v>2025</v>
      </c>
      <c r="B10019" s="120">
        <v>8</v>
      </c>
      <c r="C10019" s="120">
        <v>26</v>
      </c>
      <c r="D10019" s="208">
        <f t="shared" si="1296"/>
        <v>45895</v>
      </c>
      <c r="E10019" s="209">
        <f t="shared" si="1306"/>
        <v>45895</v>
      </c>
      <c r="F10019" s="515"/>
      <c r="G10019" s="132" t="s">
        <v>1209</v>
      </c>
      <c r="J10019" s="120" t="s">
        <v>16</v>
      </c>
      <c r="K10019" s="207"/>
      <c r="L10019" s="207">
        <v>298680</v>
      </c>
    </row>
    <row r="10020" spans="1:15" x14ac:dyDescent="0.2">
      <c r="A10020" s="191">
        <v>2025</v>
      </c>
      <c r="B10020" s="191">
        <v>8</v>
      </c>
      <c r="C10020" s="191">
        <v>26</v>
      </c>
      <c r="D10020" s="192">
        <f t="shared" si="1296"/>
        <v>45895</v>
      </c>
      <c r="E10020" s="193">
        <f t="shared" si="1306"/>
        <v>45895</v>
      </c>
      <c r="F10020" s="514"/>
      <c r="G10020" s="194" t="s">
        <v>1209</v>
      </c>
      <c r="H10020" s="195"/>
      <c r="I10020" s="195"/>
      <c r="J10020" s="191" t="s">
        <v>47</v>
      </c>
      <c r="K10020" s="196"/>
      <c r="L10020" s="196">
        <v>94460</v>
      </c>
    </row>
    <row r="10021" spans="1:15" ht="11.25" customHeight="1" x14ac:dyDescent="0.2">
      <c r="A10021" s="197">
        <v>2025</v>
      </c>
      <c r="B10021" s="197">
        <v>8</v>
      </c>
      <c r="C10021" s="197">
        <v>28</v>
      </c>
      <c r="D10021" s="198">
        <f t="shared" si="1296"/>
        <v>45897</v>
      </c>
      <c r="E10021" s="209">
        <f t="shared" ref="E10021:E10023" si="1307">DATE(A10021,B10021,C10021)</f>
        <v>45897</v>
      </c>
      <c r="F10021" s="513" t="s">
        <v>1280</v>
      </c>
      <c r="G10021" s="200" t="s">
        <v>1209</v>
      </c>
      <c r="H10021" s="201"/>
      <c r="I10021" s="201"/>
      <c r="J10021" s="197" t="s">
        <v>16</v>
      </c>
      <c r="K10021" s="202">
        <v>77410</v>
      </c>
      <c r="L10021" s="202"/>
    </row>
    <row r="10022" spans="1:15" ht="11.25" customHeight="1" x14ac:dyDescent="0.2">
      <c r="A10022" s="120">
        <v>2025</v>
      </c>
      <c r="B10022" s="120">
        <v>8</v>
      </c>
      <c r="C10022" s="120">
        <v>28</v>
      </c>
      <c r="D10022" s="208">
        <f t="shared" si="1296"/>
        <v>45897</v>
      </c>
      <c r="E10022" s="209">
        <f t="shared" si="1307"/>
        <v>45897</v>
      </c>
      <c r="F10022" s="515"/>
      <c r="G10022" s="132" t="s">
        <v>1209</v>
      </c>
      <c r="J10022" s="120" t="s">
        <v>47</v>
      </c>
      <c r="K10022" s="207">
        <v>24492.520000000004</v>
      </c>
      <c r="L10022" s="207"/>
    </row>
    <row r="10023" spans="1:15" ht="11.25" customHeight="1" x14ac:dyDescent="0.2">
      <c r="A10023" s="191">
        <v>2025</v>
      </c>
      <c r="B10023" s="191">
        <v>8</v>
      </c>
      <c r="C10023" s="191">
        <v>28</v>
      </c>
      <c r="D10023" s="192">
        <f t="shared" si="1296"/>
        <v>45897</v>
      </c>
      <c r="E10023" s="193">
        <f t="shared" si="1307"/>
        <v>45897</v>
      </c>
      <c r="F10023" s="514"/>
      <c r="G10023" s="194" t="s">
        <v>1209</v>
      </c>
      <c r="H10023" s="195"/>
      <c r="I10023" s="195"/>
      <c r="J10023" s="191" t="s">
        <v>46</v>
      </c>
      <c r="K10023" s="196"/>
      <c r="L10023" s="196">
        <v>101902.52</v>
      </c>
    </row>
    <row r="10024" spans="1:15" ht="11.25" customHeight="1" x14ac:dyDescent="0.2">
      <c r="A10024" s="197">
        <v>2025</v>
      </c>
      <c r="B10024" s="197">
        <v>8</v>
      </c>
      <c r="C10024" s="197">
        <v>28</v>
      </c>
      <c r="D10024" s="198">
        <f t="shared" si="1296"/>
        <v>45897</v>
      </c>
      <c r="E10024" s="209">
        <f t="shared" ref="E10024:E10052" si="1308">DATE(A10024,B10024,C10024)</f>
        <v>45897</v>
      </c>
      <c r="F10024" s="513" t="s">
        <v>1280</v>
      </c>
      <c r="G10024" s="200" t="s">
        <v>1209</v>
      </c>
      <c r="H10024" s="201"/>
      <c r="I10024" s="201"/>
      <c r="J10024" s="197" t="s">
        <v>16</v>
      </c>
      <c r="K10024" s="202">
        <v>305750</v>
      </c>
      <c r="L10024" s="202"/>
    </row>
    <row r="10025" spans="1:15" ht="11.25" customHeight="1" x14ac:dyDescent="0.2">
      <c r="A10025" s="120">
        <v>2025</v>
      </c>
      <c r="B10025" s="120">
        <v>8</v>
      </c>
      <c r="C10025" s="120">
        <v>28</v>
      </c>
      <c r="D10025" s="208">
        <f t="shared" si="1296"/>
        <v>45897</v>
      </c>
      <c r="E10025" s="209">
        <f t="shared" si="1308"/>
        <v>45897</v>
      </c>
      <c r="F10025" s="515"/>
      <c r="G10025" s="132" t="s">
        <v>1209</v>
      </c>
      <c r="J10025" s="120" t="s">
        <v>47</v>
      </c>
      <c r="K10025" s="207">
        <v>96739.299999999988</v>
      </c>
      <c r="L10025" s="207"/>
    </row>
    <row r="10026" spans="1:15" ht="11.25" customHeight="1" x14ac:dyDescent="0.2">
      <c r="A10026" s="191">
        <v>2025</v>
      </c>
      <c r="B10026" s="191">
        <v>8</v>
      </c>
      <c r="C10026" s="191">
        <v>28</v>
      </c>
      <c r="D10026" s="192">
        <f t="shared" si="1296"/>
        <v>45897</v>
      </c>
      <c r="E10026" s="193">
        <f t="shared" si="1308"/>
        <v>45897</v>
      </c>
      <c r="F10026" s="514"/>
      <c r="G10026" s="194" t="s">
        <v>1209</v>
      </c>
      <c r="H10026" s="195"/>
      <c r="I10026" s="195"/>
      <c r="J10026" s="191" t="s">
        <v>46</v>
      </c>
      <c r="K10026" s="196"/>
      <c r="L10026" s="196">
        <v>402489.3</v>
      </c>
    </row>
    <row r="10027" spans="1:15" ht="11.25" customHeight="1" x14ac:dyDescent="0.2">
      <c r="A10027" s="197">
        <v>2025</v>
      </c>
      <c r="B10027" s="197">
        <v>8</v>
      </c>
      <c r="C10027" s="197">
        <v>28</v>
      </c>
      <c r="D10027" s="198">
        <f t="shared" si="1296"/>
        <v>45897</v>
      </c>
      <c r="E10027" s="209">
        <f t="shared" ref="E10027:E10029" si="1309">DATE(A10027,B10027,C10027)</f>
        <v>45897</v>
      </c>
      <c r="F10027" s="513" t="s">
        <v>1280</v>
      </c>
      <c r="G10027" s="200" t="s">
        <v>1209</v>
      </c>
      <c r="H10027" s="201"/>
      <c r="I10027" s="201"/>
      <c r="J10027" s="197" t="s">
        <v>16</v>
      </c>
      <c r="K10027" s="202">
        <v>847040</v>
      </c>
      <c r="L10027" s="202"/>
    </row>
    <row r="10028" spans="1:15" ht="11.25" customHeight="1" x14ac:dyDescent="0.2">
      <c r="A10028" s="120">
        <v>2025</v>
      </c>
      <c r="B10028" s="120">
        <v>8</v>
      </c>
      <c r="C10028" s="120">
        <v>28</v>
      </c>
      <c r="D10028" s="208">
        <f t="shared" ref="D10028:D10091" si="1310">DATE(A10028,B10028,C10028)</f>
        <v>45897</v>
      </c>
      <c r="E10028" s="209">
        <f t="shared" si="1309"/>
        <v>45897</v>
      </c>
      <c r="F10028" s="515"/>
      <c r="G10028" s="132" t="s">
        <v>1209</v>
      </c>
      <c r="J10028" s="120" t="s">
        <v>47</v>
      </c>
      <c r="K10028" s="207">
        <v>268003.45999999996</v>
      </c>
      <c r="L10028" s="207"/>
    </row>
    <row r="10029" spans="1:15" ht="11.25" customHeight="1" x14ac:dyDescent="0.2">
      <c r="A10029" s="191">
        <v>2025</v>
      </c>
      <c r="B10029" s="191">
        <v>8</v>
      </c>
      <c r="C10029" s="191">
        <v>28</v>
      </c>
      <c r="D10029" s="192">
        <f t="shared" si="1310"/>
        <v>45897</v>
      </c>
      <c r="E10029" s="193">
        <f t="shared" si="1309"/>
        <v>45897</v>
      </c>
      <c r="F10029" s="514"/>
      <c r="G10029" s="194" t="s">
        <v>1209</v>
      </c>
      <c r="H10029" s="195"/>
      <c r="I10029" s="195"/>
      <c r="J10029" s="191" t="s">
        <v>46</v>
      </c>
      <c r="K10029" s="196"/>
      <c r="L10029" s="196">
        <v>1115043.46</v>
      </c>
    </row>
    <row r="10030" spans="1:15" ht="11.25" customHeight="1" x14ac:dyDescent="0.2">
      <c r="A10030" s="197">
        <v>2025</v>
      </c>
      <c r="B10030" s="197">
        <v>8</v>
      </c>
      <c r="C10030" s="197">
        <v>28</v>
      </c>
      <c r="D10030" s="198">
        <f t="shared" si="1310"/>
        <v>45897</v>
      </c>
      <c r="E10030" s="290">
        <f t="shared" si="1308"/>
        <v>45897</v>
      </c>
      <c r="F10030" s="513" t="s">
        <v>1514</v>
      </c>
      <c r="G10030" s="200" t="s">
        <v>1209</v>
      </c>
      <c r="H10030" s="201"/>
      <c r="I10030" s="201"/>
      <c r="J10030" s="197" t="s">
        <v>54</v>
      </c>
      <c r="K10030" s="202">
        <v>116</v>
      </c>
      <c r="L10030" s="202"/>
      <c r="M10030" s="251"/>
      <c r="N10030" s="251"/>
      <c r="O10030" s="251"/>
    </row>
    <row r="10031" spans="1:15" ht="11.25" customHeight="1" x14ac:dyDescent="0.2">
      <c r="A10031" s="191">
        <v>2025</v>
      </c>
      <c r="B10031" s="191">
        <v>8</v>
      </c>
      <c r="C10031" s="191">
        <v>28</v>
      </c>
      <c r="D10031" s="192">
        <f t="shared" si="1310"/>
        <v>45897</v>
      </c>
      <c r="E10031" s="291">
        <f t="shared" si="1308"/>
        <v>45897</v>
      </c>
      <c r="F10031" s="514"/>
      <c r="G10031" s="194" t="s">
        <v>1209</v>
      </c>
      <c r="H10031" s="195"/>
      <c r="I10031" s="195"/>
      <c r="J10031" s="191" t="s">
        <v>46</v>
      </c>
      <c r="K10031" s="196"/>
      <c r="L10031" s="196">
        <f>K10030</f>
        <v>116</v>
      </c>
      <c r="M10031" s="251"/>
    </row>
    <row r="10032" spans="1:15" ht="11.25" customHeight="1" x14ac:dyDescent="0.2">
      <c r="A10032" s="197">
        <v>2025</v>
      </c>
      <c r="B10032" s="197">
        <v>8</v>
      </c>
      <c r="C10032" s="197">
        <v>28</v>
      </c>
      <c r="D10032" s="198">
        <f t="shared" si="1310"/>
        <v>45897</v>
      </c>
      <c r="E10032" s="290">
        <f t="shared" si="1308"/>
        <v>45897</v>
      </c>
      <c r="F10032" s="513" t="s">
        <v>1514</v>
      </c>
      <c r="G10032" s="200" t="s">
        <v>1209</v>
      </c>
      <c r="H10032" s="201"/>
      <c r="I10032" s="201"/>
      <c r="J10032" s="197" t="s">
        <v>54</v>
      </c>
      <c r="K10032" s="202">
        <v>100</v>
      </c>
      <c r="L10032" s="202"/>
      <c r="M10032" s="251"/>
      <c r="N10032" s="251"/>
      <c r="O10032" s="251"/>
    </row>
    <row r="10033" spans="1:15" ht="11.25" customHeight="1" x14ac:dyDescent="0.2">
      <c r="A10033" s="191">
        <v>2025</v>
      </c>
      <c r="B10033" s="191">
        <v>8</v>
      </c>
      <c r="C10033" s="191">
        <v>28</v>
      </c>
      <c r="D10033" s="192">
        <f t="shared" si="1310"/>
        <v>45897</v>
      </c>
      <c r="E10033" s="291">
        <f t="shared" si="1308"/>
        <v>45897</v>
      </c>
      <c r="F10033" s="514"/>
      <c r="G10033" s="194" t="s">
        <v>1209</v>
      </c>
      <c r="H10033" s="195"/>
      <c r="I10033" s="195"/>
      <c r="J10033" s="191" t="s">
        <v>46</v>
      </c>
      <c r="K10033" s="196"/>
      <c r="L10033" s="196">
        <f>K10032</f>
        <v>100</v>
      </c>
      <c r="M10033" s="251"/>
    </row>
    <row r="10034" spans="1:15" ht="11.25" customHeight="1" x14ac:dyDescent="0.2">
      <c r="A10034" s="197">
        <v>2025</v>
      </c>
      <c r="B10034" s="197">
        <v>8</v>
      </c>
      <c r="C10034" s="197">
        <v>28</v>
      </c>
      <c r="D10034" s="198">
        <f t="shared" si="1310"/>
        <v>45897</v>
      </c>
      <c r="E10034" s="199">
        <f t="shared" si="1308"/>
        <v>45897</v>
      </c>
      <c r="F10034" s="513" t="s">
        <v>1864</v>
      </c>
      <c r="G10034" s="200" t="s">
        <v>1209</v>
      </c>
      <c r="H10034" s="201"/>
      <c r="I10034" s="201" t="s">
        <v>1253</v>
      </c>
      <c r="J10034" s="197" t="s">
        <v>1837</v>
      </c>
      <c r="K10034" s="202">
        <v>27353370.690000001</v>
      </c>
      <c r="L10034" s="202"/>
    </row>
    <row r="10035" spans="1:15" ht="11.25" customHeight="1" x14ac:dyDescent="0.2">
      <c r="A10035" s="191">
        <v>2025</v>
      </c>
      <c r="B10035" s="191">
        <v>8</v>
      </c>
      <c r="C10035" s="191">
        <v>28</v>
      </c>
      <c r="D10035" s="192">
        <f t="shared" si="1310"/>
        <v>45897</v>
      </c>
      <c r="E10035" s="193">
        <f t="shared" si="1308"/>
        <v>45897</v>
      </c>
      <c r="F10035" s="514"/>
      <c r="G10035" s="194" t="s">
        <v>1209</v>
      </c>
      <c r="H10035" s="195"/>
      <c r="I10035" s="195" t="s">
        <v>1253</v>
      </c>
      <c r="J10035" s="191" t="s">
        <v>46</v>
      </c>
      <c r="K10035" s="196"/>
      <c r="L10035" s="196">
        <f>K10034</f>
        <v>27353370.690000001</v>
      </c>
      <c r="N10035" s="130"/>
    </row>
    <row r="10036" spans="1:15" ht="11.25" customHeight="1" x14ac:dyDescent="0.2">
      <c r="A10036" s="197">
        <v>2025</v>
      </c>
      <c r="B10036" s="197">
        <v>8</v>
      </c>
      <c r="C10036" s="197">
        <v>28</v>
      </c>
      <c r="D10036" s="198">
        <f t="shared" si="1310"/>
        <v>45897</v>
      </c>
      <c r="E10036" s="199">
        <f t="shared" ref="E10036:E10042" si="1311">DATE(A10036,B10036,C10036)</f>
        <v>45897</v>
      </c>
      <c r="F10036" s="513" t="s">
        <v>1923</v>
      </c>
      <c r="G10036" s="200" t="s">
        <v>1209</v>
      </c>
      <c r="H10036" s="201"/>
      <c r="I10036" s="201" t="s">
        <v>1253</v>
      </c>
      <c r="J10036" s="197" t="s">
        <v>1837</v>
      </c>
      <c r="K10036" s="202">
        <v>8808169.9700000007</v>
      </c>
      <c r="L10036" s="202"/>
    </row>
    <row r="10037" spans="1:15" x14ac:dyDescent="0.2">
      <c r="A10037" s="191">
        <v>2025</v>
      </c>
      <c r="B10037" s="191">
        <v>8</v>
      </c>
      <c r="C10037" s="191">
        <v>28</v>
      </c>
      <c r="D10037" s="192">
        <f t="shared" si="1310"/>
        <v>45897</v>
      </c>
      <c r="E10037" s="193">
        <f t="shared" si="1311"/>
        <v>45897</v>
      </c>
      <c r="F10037" s="514"/>
      <c r="G10037" s="194" t="s">
        <v>1209</v>
      </c>
      <c r="H10037" s="195"/>
      <c r="I10037" s="195" t="s">
        <v>1253</v>
      </c>
      <c r="J10037" s="191" t="s">
        <v>46</v>
      </c>
      <c r="K10037" s="196"/>
      <c r="L10037" s="196">
        <f>K10036</f>
        <v>8808169.9700000007</v>
      </c>
      <c r="N10037" s="130"/>
    </row>
    <row r="10038" spans="1:15" x14ac:dyDescent="0.2">
      <c r="A10038" s="197">
        <v>2025</v>
      </c>
      <c r="B10038" s="197">
        <v>8</v>
      </c>
      <c r="C10038" s="197">
        <v>28</v>
      </c>
      <c r="D10038" s="198">
        <f t="shared" si="1310"/>
        <v>45897</v>
      </c>
      <c r="E10038" s="209">
        <f t="shared" si="1311"/>
        <v>45897</v>
      </c>
      <c r="F10038" s="513" t="s">
        <v>1210</v>
      </c>
      <c r="G10038" s="200" t="s">
        <v>1209</v>
      </c>
      <c r="H10038" s="201"/>
      <c r="I10038" s="201"/>
      <c r="J10038" s="197" t="s">
        <v>46</v>
      </c>
      <c r="K10038" s="202">
        <v>1475000</v>
      </c>
      <c r="L10038" s="202"/>
    </row>
    <row r="10039" spans="1:15" x14ac:dyDescent="0.2">
      <c r="A10039" s="120">
        <v>2025</v>
      </c>
      <c r="B10039" s="120">
        <v>8</v>
      </c>
      <c r="C10039" s="120">
        <v>28</v>
      </c>
      <c r="D10039" s="208">
        <f t="shared" si="1310"/>
        <v>45897</v>
      </c>
      <c r="E10039" s="209">
        <f t="shared" si="1311"/>
        <v>45897</v>
      </c>
      <c r="F10039" s="515"/>
      <c r="G10039" s="132" t="s">
        <v>1209</v>
      </c>
      <c r="J10039" s="120" t="s">
        <v>16</v>
      </c>
      <c r="K10039" s="207"/>
      <c r="L10039" s="207">
        <v>1120480</v>
      </c>
    </row>
    <row r="10040" spans="1:15" x14ac:dyDescent="0.2">
      <c r="A10040" s="191">
        <v>2025</v>
      </c>
      <c r="B10040" s="191">
        <v>8</v>
      </c>
      <c r="C10040" s="191">
        <v>28</v>
      </c>
      <c r="D10040" s="192">
        <f t="shared" si="1310"/>
        <v>45897</v>
      </c>
      <c r="E10040" s="193">
        <f t="shared" si="1311"/>
        <v>45897</v>
      </c>
      <c r="F10040" s="514"/>
      <c r="G10040" s="194" t="s">
        <v>1209</v>
      </c>
      <c r="H10040" s="195"/>
      <c r="I10040" s="195"/>
      <c r="J10040" s="191" t="s">
        <v>47</v>
      </c>
      <c r="K10040" s="196"/>
      <c r="L10040" s="196">
        <v>354520</v>
      </c>
    </row>
    <row r="10041" spans="1:15" ht="11.25" customHeight="1" x14ac:dyDescent="0.2">
      <c r="A10041" s="197">
        <v>2025</v>
      </c>
      <c r="B10041" s="197">
        <v>8</v>
      </c>
      <c r="C10041" s="197">
        <v>28</v>
      </c>
      <c r="D10041" s="198">
        <f t="shared" si="1310"/>
        <v>45897</v>
      </c>
      <c r="E10041" s="290">
        <f t="shared" si="1311"/>
        <v>45897</v>
      </c>
      <c r="F10041" s="513" t="s">
        <v>1527</v>
      </c>
      <c r="G10041" s="200" t="s">
        <v>1209</v>
      </c>
      <c r="H10041" s="201"/>
      <c r="I10041" s="201"/>
      <c r="J10041" s="197" t="s">
        <v>54</v>
      </c>
      <c r="K10041" s="202">
        <v>25</v>
      </c>
      <c r="L10041" s="202"/>
      <c r="M10041" s="251"/>
      <c r="N10041" s="251"/>
      <c r="O10041" s="251"/>
    </row>
    <row r="10042" spans="1:15" ht="11.25" customHeight="1" x14ac:dyDescent="0.2">
      <c r="A10042" s="191">
        <v>2025</v>
      </c>
      <c r="B10042" s="191">
        <v>8</v>
      </c>
      <c r="C10042" s="191">
        <v>28</v>
      </c>
      <c r="D10042" s="192">
        <f t="shared" si="1310"/>
        <v>45897</v>
      </c>
      <c r="E10042" s="291">
        <f t="shared" si="1311"/>
        <v>45897</v>
      </c>
      <c r="F10042" s="514"/>
      <c r="G10042" s="194" t="s">
        <v>1209</v>
      </c>
      <c r="H10042" s="195"/>
      <c r="I10042" s="195"/>
      <c r="J10042" s="191" t="s">
        <v>46</v>
      </c>
      <c r="K10042" s="196"/>
      <c r="L10042" s="196">
        <f>K10041</f>
        <v>25</v>
      </c>
      <c r="M10042" s="251"/>
    </row>
    <row r="10043" spans="1:15" x14ac:dyDescent="0.2">
      <c r="A10043" s="424">
        <v>2025</v>
      </c>
      <c r="B10043" s="424">
        <v>8</v>
      </c>
      <c r="C10043" s="424">
        <v>28</v>
      </c>
      <c r="D10043" s="425">
        <f t="shared" si="1310"/>
        <v>45897</v>
      </c>
      <c r="E10043" s="384">
        <f t="shared" si="1308"/>
        <v>45897</v>
      </c>
      <c r="F10043" s="516" t="s">
        <v>1850</v>
      </c>
      <c r="G10043" s="426" t="s">
        <v>1209</v>
      </c>
      <c r="H10043" s="427"/>
      <c r="I10043" s="427"/>
      <c r="J10043" s="428" t="s">
        <v>81</v>
      </c>
      <c r="K10043" s="429">
        <v>11170.721538461539</v>
      </c>
      <c r="L10043" s="429"/>
    </row>
    <row r="10044" spans="1:15" x14ac:dyDescent="0.2">
      <c r="A10044" s="389">
        <v>2025</v>
      </c>
      <c r="B10044" s="389">
        <v>8</v>
      </c>
      <c r="C10044" s="389">
        <v>28</v>
      </c>
      <c r="D10044" s="390">
        <f t="shared" si="1310"/>
        <v>45897</v>
      </c>
      <c r="E10044" s="391">
        <f t="shared" si="1308"/>
        <v>45897</v>
      </c>
      <c r="F10044" s="517"/>
      <c r="G10044" s="392" t="s">
        <v>1209</v>
      </c>
      <c r="H10044" s="393"/>
      <c r="I10044" s="393"/>
      <c r="J10044" s="394" t="s">
        <v>1847</v>
      </c>
      <c r="K10044" s="423"/>
      <c r="L10044" s="423">
        <f>K10043</f>
        <v>11170.721538461539</v>
      </c>
    </row>
    <row r="10045" spans="1:15" ht="11.25" customHeight="1" x14ac:dyDescent="0.2">
      <c r="A10045" s="382">
        <v>2025</v>
      </c>
      <c r="B10045" s="382">
        <v>8</v>
      </c>
      <c r="C10045" s="382">
        <v>28</v>
      </c>
      <c r="D10045" s="383">
        <f t="shared" si="1310"/>
        <v>45897</v>
      </c>
      <c r="E10045" s="384">
        <f t="shared" si="1308"/>
        <v>45897</v>
      </c>
      <c r="F10045" s="516" t="s">
        <v>1892</v>
      </c>
      <c r="G10045" s="385" t="s">
        <v>1209</v>
      </c>
      <c r="H10045" s="386"/>
      <c r="I10045" s="386"/>
      <c r="J10045" s="387" t="s">
        <v>173</v>
      </c>
      <c r="K10045" s="388">
        <v>5348.7566286583342</v>
      </c>
      <c r="L10045" s="388"/>
    </row>
    <row r="10046" spans="1:15" ht="11.25" customHeight="1" x14ac:dyDescent="0.2">
      <c r="A10046" s="389">
        <v>2025</v>
      </c>
      <c r="B10046" s="389">
        <v>8</v>
      </c>
      <c r="C10046" s="389">
        <v>28</v>
      </c>
      <c r="D10046" s="390">
        <f t="shared" si="1310"/>
        <v>45897</v>
      </c>
      <c r="E10046" s="391">
        <f t="shared" si="1308"/>
        <v>45897</v>
      </c>
      <c r="F10046" s="517"/>
      <c r="G10046" s="392" t="s">
        <v>1209</v>
      </c>
      <c r="H10046" s="393"/>
      <c r="I10046" s="393"/>
      <c r="J10046" s="394" t="s">
        <v>43</v>
      </c>
      <c r="K10046" s="388"/>
      <c r="L10046" s="423">
        <f>K10045</f>
        <v>5348.7566286583342</v>
      </c>
    </row>
    <row r="10047" spans="1:15" ht="11.25" customHeight="1" x14ac:dyDescent="0.2">
      <c r="A10047" s="344">
        <v>2025</v>
      </c>
      <c r="B10047" s="344">
        <v>8</v>
      </c>
      <c r="C10047" s="344">
        <v>28</v>
      </c>
      <c r="D10047" s="345">
        <f t="shared" si="1310"/>
        <v>45897</v>
      </c>
      <c r="E10047" s="346">
        <f t="shared" si="1308"/>
        <v>45897</v>
      </c>
      <c r="F10047" s="518" t="s">
        <v>1982</v>
      </c>
      <c r="G10047" s="347" t="s">
        <v>1245</v>
      </c>
      <c r="H10047" s="348"/>
      <c r="I10047" s="348" t="s">
        <v>1253</v>
      </c>
      <c r="J10047" s="344" t="s">
        <v>1978</v>
      </c>
      <c r="K10047" s="349">
        <v>148748.07692307694</v>
      </c>
      <c r="L10047" s="349"/>
    </row>
    <row r="10048" spans="1:15" ht="11.25" customHeight="1" x14ac:dyDescent="0.2">
      <c r="A10048" s="350">
        <v>2025</v>
      </c>
      <c r="B10048" s="350">
        <v>8</v>
      </c>
      <c r="C10048" s="350">
        <v>28</v>
      </c>
      <c r="D10048" s="351">
        <f t="shared" si="1310"/>
        <v>45897</v>
      </c>
      <c r="E10048" s="352">
        <f t="shared" si="1308"/>
        <v>45897</v>
      </c>
      <c r="F10048" s="519"/>
      <c r="G10048" s="353" t="s">
        <v>1245</v>
      </c>
      <c r="H10048" s="354"/>
      <c r="I10048" s="354" t="s">
        <v>1253</v>
      </c>
      <c r="J10048" s="350" t="s">
        <v>1979</v>
      </c>
      <c r="K10048" s="355"/>
      <c r="L10048" s="355">
        <f>K10047</f>
        <v>148748.07692307694</v>
      </c>
    </row>
    <row r="10049" spans="1:16" ht="11.25" customHeight="1" x14ac:dyDescent="0.2">
      <c r="A10049" s="344">
        <v>2025</v>
      </c>
      <c r="B10049" s="344">
        <v>8</v>
      </c>
      <c r="C10049" s="344">
        <v>28</v>
      </c>
      <c r="D10049" s="345">
        <f t="shared" si="1310"/>
        <v>45897</v>
      </c>
      <c r="E10049" s="346">
        <f t="shared" si="1308"/>
        <v>45897</v>
      </c>
      <c r="F10049" s="518" t="s">
        <v>2009</v>
      </c>
      <c r="G10049" s="347" t="s">
        <v>1245</v>
      </c>
      <c r="H10049" s="348"/>
      <c r="I10049" s="348" t="s">
        <v>1253</v>
      </c>
      <c r="J10049" s="344" t="s">
        <v>2004</v>
      </c>
      <c r="K10049" s="349">
        <v>49692.31</v>
      </c>
      <c r="L10049" s="349"/>
    </row>
    <row r="10050" spans="1:16" ht="11.25" customHeight="1" x14ac:dyDescent="0.2">
      <c r="A10050" s="350">
        <v>2025</v>
      </c>
      <c r="B10050" s="350">
        <v>8</v>
      </c>
      <c r="C10050" s="350">
        <v>28</v>
      </c>
      <c r="D10050" s="351">
        <f t="shared" si="1310"/>
        <v>45897</v>
      </c>
      <c r="E10050" s="352">
        <f t="shared" si="1308"/>
        <v>45897</v>
      </c>
      <c r="F10050" s="519"/>
      <c r="G10050" s="353" t="s">
        <v>1245</v>
      </c>
      <c r="H10050" s="354"/>
      <c r="I10050" s="354" t="s">
        <v>1253</v>
      </c>
      <c r="J10050" s="350" t="s">
        <v>2008</v>
      </c>
      <c r="K10050" s="355"/>
      <c r="L10050" s="355">
        <f t="shared" ref="L10050" si="1312">K10049</f>
        <v>49692.31</v>
      </c>
    </row>
    <row r="10051" spans="1:16" ht="11.25" customHeight="1" x14ac:dyDescent="0.2">
      <c r="A10051" s="344">
        <v>2025</v>
      </c>
      <c r="B10051" s="344">
        <v>8</v>
      </c>
      <c r="C10051" s="344">
        <v>28</v>
      </c>
      <c r="D10051" s="345">
        <f t="shared" si="1310"/>
        <v>45897</v>
      </c>
      <c r="E10051" s="346">
        <f t="shared" si="1308"/>
        <v>45897</v>
      </c>
      <c r="F10051" s="518" t="s">
        <v>2009</v>
      </c>
      <c r="G10051" s="347" t="s">
        <v>1245</v>
      </c>
      <c r="H10051" s="348"/>
      <c r="I10051" s="348" t="s">
        <v>1253</v>
      </c>
      <c r="J10051" s="344" t="s">
        <v>2004</v>
      </c>
      <c r="K10051" s="349">
        <v>49692.31</v>
      </c>
      <c r="L10051" s="349"/>
    </row>
    <row r="10052" spans="1:16" ht="11.25" customHeight="1" x14ac:dyDescent="0.2">
      <c r="A10052" s="350">
        <v>2025</v>
      </c>
      <c r="B10052" s="350">
        <v>8</v>
      </c>
      <c r="C10052" s="350">
        <v>28</v>
      </c>
      <c r="D10052" s="351">
        <f t="shared" si="1310"/>
        <v>45897</v>
      </c>
      <c r="E10052" s="352">
        <f t="shared" si="1308"/>
        <v>45897</v>
      </c>
      <c r="F10052" s="519"/>
      <c r="G10052" s="353" t="s">
        <v>1245</v>
      </c>
      <c r="H10052" s="354"/>
      <c r="I10052" s="354" t="s">
        <v>1253</v>
      </c>
      <c r="J10052" s="350" t="s">
        <v>2008</v>
      </c>
      <c r="K10052" s="355"/>
      <c r="L10052" s="355">
        <f t="shared" ref="L10052" si="1313">K10051</f>
        <v>49692.31</v>
      </c>
    </row>
    <row r="10053" spans="1:16" ht="11.25" customHeight="1" x14ac:dyDescent="0.2">
      <c r="A10053" s="344">
        <v>2025</v>
      </c>
      <c r="B10053" s="344">
        <v>8</v>
      </c>
      <c r="C10053" s="344">
        <v>28</v>
      </c>
      <c r="D10053" s="345">
        <f t="shared" si="1310"/>
        <v>45897</v>
      </c>
      <c r="E10053" s="346">
        <f>DATE(A10053,B10053,C10053)</f>
        <v>45897</v>
      </c>
      <c r="F10053" s="518" t="s">
        <v>1988</v>
      </c>
      <c r="G10053" s="347" t="s">
        <v>1245</v>
      </c>
      <c r="H10053" s="348"/>
      <c r="I10053" s="348" t="s">
        <v>1253</v>
      </c>
      <c r="J10053" s="344" t="s">
        <v>113</v>
      </c>
      <c r="K10053" s="349">
        <v>32846.15</v>
      </c>
      <c r="L10053" s="349"/>
    </row>
    <row r="10054" spans="1:16" ht="11.25" customHeight="1" x14ac:dyDescent="0.2">
      <c r="A10054" s="350">
        <v>2025</v>
      </c>
      <c r="B10054" s="350">
        <v>8</v>
      </c>
      <c r="C10054" s="350">
        <v>28</v>
      </c>
      <c r="D10054" s="351">
        <f t="shared" si="1310"/>
        <v>45897</v>
      </c>
      <c r="E10054" s="352">
        <f>DATE(A10054,B10054,C10054)</f>
        <v>45897</v>
      </c>
      <c r="F10054" s="519"/>
      <c r="G10054" s="353" t="s">
        <v>1245</v>
      </c>
      <c r="H10054" s="354"/>
      <c r="I10054" s="354" t="s">
        <v>1253</v>
      </c>
      <c r="J10054" s="350" t="s">
        <v>153</v>
      </c>
      <c r="K10054" s="355"/>
      <c r="L10054" s="355">
        <f t="shared" ref="L10054" si="1314">K10053</f>
        <v>32846.15</v>
      </c>
    </row>
    <row r="10055" spans="1:16" ht="11.25" customHeight="1" x14ac:dyDescent="0.2">
      <c r="A10055" s="344">
        <v>2025</v>
      </c>
      <c r="B10055" s="344">
        <v>8</v>
      </c>
      <c r="C10055" s="344">
        <v>28</v>
      </c>
      <c r="D10055" s="345">
        <f t="shared" si="1310"/>
        <v>45897</v>
      </c>
      <c r="E10055" s="346">
        <f t="shared" ref="E10055:E10059" si="1315">DATE(A10055,B10055,C10055)</f>
        <v>45897</v>
      </c>
      <c r="F10055" s="518" t="s">
        <v>1989</v>
      </c>
      <c r="G10055" s="347" t="s">
        <v>1245</v>
      </c>
      <c r="H10055" s="348"/>
      <c r="I10055" s="348" t="s">
        <v>1253</v>
      </c>
      <c r="J10055" s="344" t="s">
        <v>113</v>
      </c>
      <c r="K10055" s="349">
        <v>23461.538461538461</v>
      </c>
      <c r="L10055" s="349"/>
    </row>
    <row r="10056" spans="1:16" ht="11.25" customHeight="1" x14ac:dyDescent="0.2">
      <c r="A10056" s="350">
        <v>2025</v>
      </c>
      <c r="B10056" s="350">
        <v>8</v>
      </c>
      <c r="C10056" s="350">
        <v>28</v>
      </c>
      <c r="D10056" s="351">
        <f t="shared" si="1310"/>
        <v>45897</v>
      </c>
      <c r="E10056" s="352">
        <f t="shared" si="1315"/>
        <v>45897</v>
      </c>
      <c r="F10056" s="519"/>
      <c r="G10056" s="353" t="s">
        <v>1245</v>
      </c>
      <c r="H10056" s="354"/>
      <c r="I10056" s="354" t="s">
        <v>1253</v>
      </c>
      <c r="J10056" s="350" t="s">
        <v>153</v>
      </c>
      <c r="K10056" s="355"/>
      <c r="L10056" s="355">
        <f t="shared" ref="L10056" si="1316">K10055</f>
        <v>23461.538461538461</v>
      </c>
    </row>
    <row r="10057" spans="1:16" ht="11.25" customHeight="1" x14ac:dyDescent="0.2">
      <c r="A10057" s="344">
        <v>2025</v>
      </c>
      <c r="B10057" s="344">
        <v>8</v>
      </c>
      <c r="C10057" s="344">
        <v>28</v>
      </c>
      <c r="D10057" s="345">
        <f t="shared" si="1310"/>
        <v>45897</v>
      </c>
      <c r="E10057" s="346">
        <f t="shared" si="1315"/>
        <v>45897</v>
      </c>
      <c r="F10057" s="518" t="s">
        <v>1990</v>
      </c>
      <c r="G10057" s="347" t="s">
        <v>1245</v>
      </c>
      <c r="H10057" s="348"/>
      <c r="I10057" s="348" t="s">
        <v>1253</v>
      </c>
      <c r="J10057" s="344" t="s">
        <v>113</v>
      </c>
      <c r="K10057" s="349">
        <v>70384.62</v>
      </c>
      <c r="L10057" s="349"/>
      <c r="N10057" s="251"/>
      <c r="O10057" s="251"/>
      <c r="P10057" s="251"/>
    </row>
    <row r="10058" spans="1:16" ht="11.25" customHeight="1" x14ac:dyDescent="0.2">
      <c r="A10058" s="350">
        <v>2025</v>
      </c>
      <c r="B10058" s="350">
        <v>8</v>
      </c>
      <c r="C10058" s="350">
        <v>28</v>
      </c>
      <c r="D10058" s="351">
        <f t="shared" si="1310"/>
        <v>45897</v>
      </c>
      <c r="E10058" s="352">
        <f t="shared" si="1315"/>
        <v>45897</v>
      </c>
      <c r="F10058" s="519"/>
      <c r="G10058" s="353" t="s">
        <v>1245</v>
      </c>
      <c r="H10058" s="354"/>
      <c r="I10058" s="354" t="s">
        <v>1253</v>
      </c>
      <c r="J10058" s="350" t="s">
        <v>153</v>
      </c>
      <c r="K10058" s="355"/>
      <c r="L10058" s="355">
        <f t="shared" ref="L10058" si="1317">K10057</f>
        <v>70384.62</v>
      </c>
    </row>
    <row r="10059" spans="1:16" ht="11.25" customHeight="1" x14ac:dyDescent="0.2">
      <c r="A10059" s="210">
        <v>2025</v>
      </c>
      <c r="B10059" s="210">
        <v>8</v>
      </c>
      <c r="C10059" s="210">
        <v>28</v>
      </c>
      <c r="D10059" s="211">
        <f t="shared" si="1310"/>
        <v>45897</v>
      </c>
      <c r="E10059" s="238">
        <f t="shared" si="1315"/>
        <v>45897</v>
      </c>
      <c r="F10059" s="520" t="s">
        <v>1857</v>
      </c>
      <c r="G10059" s="213" t="s">
        <v>1245</v>
      </c>
      <c r="H10059" s="214"/>
      <c r="I10059" s="214" t="s">
        <v>1253</v>
      </c>
      <c r="J10059" s="210" t="s">
        <v>1284</v>
      </c>
      <c r="K10059" s="215">
        <v>2341.8114143920593</v>
      </c>
      <c r="L10059" s="215"/>
    </row>
    <row r="10060" spans="1:16" ht="11.25" customHeight="1" x14ac:dyDescent="0.2">
      <c r="A10060" s="242">
        <v>2025</v>
      </c>
      <c r="B10060" s="242">
        <v>8</v>
      </c>
      <c r="C10060" s="242">
        <v>28</v>
      </c>
      <c r="D10060" s="243">
        <f t="shared" si="1310"/>
        <v>45897</v>
      </c>
      <c r="E10060" s="244">
        <f>DATE(A10060,B10060,C10060)</f>
        <v>45897</v>
      </c>
      <c r="F10060" s="524"/>
      <c r="G10060" s="245" t="s">
        <v>1245</v>
      </c>
      <c r="H10060" s="246"/>
      <c r="I10060" s="246"/>
      <c r="J10060" s="242" t="s">
        <v>1582</v>
      </c>
      <c r="K10060" s="247"/>
      <c r="L10060" s="247">
        <f>K10059</f>
        <v>2341.8114143920593</v>
      </c>
    </row>
    <row r="10061" spans="1:16" ht="11.25" customHeight="1" x14ac:dyDescent="0.2">
      <c r="A10061" s="210">
        <v>2025</v>
      </c>
      <c r="B10061" s="210">
        <v>8</v>
      </c>
      <c r="C10061" s="210">
        <v>28</v>
      </c>
      <c r="D10061" s="211">
        <f t="shared" si="1310"/>
        <v>45897</v>
      </c>
      <c r="E10061" s="238">
        <f t="shared" ref="E10061:E10127" si="1318">DATE(A10061,B10061,C10061)</f>
        <v>45897</v>
      </c>
      <c r="F10061" s="520" t="s">
        <v>2055</v>
      </c>
      <c r="G10061" s="213" t="s">
        <v>1245</v>
      </c>
      <c r="H10061" s="214"/>
      <c r="I10061" s="214" t="s">
        <v>1253</v>
      </c>
      <c r="J10061" s="210" t="s">
        <v>58</v>
      </c>
      <c r="K10061" s="215">
        <v>38957.019999999997</v>
      </c>
      <c r="L10061" s="215"/>
    </row>
    <row r="10062" spans="1:16" ht="11.25" customHeight="1" x14ac:dyDescent="0.2">
      <c r="A10062" s="216">
        <v>2025</v>
      </c>
      <c r="B10062" s="216">
        <v>8</v>
      </c>
      <c r="C10062" s="216">
        <v>28</v>
      </c>
      <c r="D10062" s="217">
        <f t="shared" si="1310"/>
        <v>45897</v>
      </c>
      <c r="E10062" s="239">
        <f t="shared" si="1318"/>
        <v>45897</v>
      </c>
      <c r="F10062" s="521"/>
      <c r="G10062" s="219" t="s">
        <v>1245</v>
      </c>
      <c r="H10062" s="220"/>
      <c r="I10062" s="220" t="s">
        <v>1253</v>
      </c>
      <c r="J10062" s="216" t="s">
        <v>153</v>
      </c>
      <c r="K10062" s="221"/>
      <c r="L10062" s="221">
        <f>K10061</f>
        <v>38957.019999999997</v>
      </c>
    </row>
    <row r="10063" spans="1:16" ht="11.25" customHeight="1" x14ac:dyDescent="0.2">
      <c r="A10063" s="312">
        <v>2025</v>
      </c>
      <c r="B10063" s="312">
        <v>8</v>
      </c>
      <c r="C10063" s="312">
        <v>28</v>
      </c>
      <c r="D10063" s="313">
        <f t="shared" si="1310"/>
        <v>45897</v>
      </c>
      <c r="E10063" s="314">
        <f t="shared" si="1318"/>
        <v>45897</v>
      </c>
      <c r="F10063" s="522" t="s">
        <v>1477</v>
      </c>
      <c r="G10063" s="315" t="s">
        <v>1245</v>
      </c>
      <c r="H10063" s="316"/>
      <c r="I10063" s="316" t="s">
        <v>1253</v>
      </c>
      <c r="J10063" s="312" t="s">
        <v>1458</v>
      </c>
      <c r="K10063" s="317">
        <v>0</v>
      </c>
      <c r="L10063" s="317"/>
    </row>
    <row r="10064" spans="1:16" ht="11.25" customHeight="1" x14ac:dyDescent="0.2">
      <c r="A10064" s="318">
        <v>2025</v>
      </c>
      <c r="B10064" s="318">
        <v>8</v>
      </c>
      <c r="C10064" s="318">
        <v>28</v>
      </c>
      <c r="D10064" s="319">
        <f t="shared" si="1310"/>
        <v>45897</v>
      </c>
      <c r="E10064" s="320">
        <f t="shared" si="1318"/>
        <v>45897</v>
      </c>
      <c r="F10064" s="523"/>
      <c r="G10064" s="321" t="s">
        <v>1245</v>
      </c>
      <c r="H10064" s="322"/>
      <c r="I10064" s="322" t="s">
        <v>1253</v>
      </c>
      <c r="J10064" s="318" t="s">
        <v>1460</v>
      </c>
      <c r="K10064" s="323"/>
      <c r="L10064" s="323">
        <f>K10063</f>
        <v>0</v>
      </c>
    </row>
    <row r="10065" spans="1:15" ht="11.25" customHeight="1" x14ac:dyDescent="0.2">
      <c r="A10065" s="312">
        <v>2025</v>
      </c>
      <c r="B10065" s="312">
        <v>8</v>
      </c>
      <c r="C10065" s="312">
        <v>28</v>
      </c>
      <c r="D10065" s="313">
        <f t="shared" si="1310"/>
        <v>45897</v>
      </c>
      <c r="E10065" s="314">
        <f t="shared" si="1318"/>
        <v>45897</v>
      </c>
      <c r="F10065" s="522" t="s">
        <v>1595</v>
      </c>
      <c r="G10065" s="315" t="s">
        <v>1245</v>
      </c>
      <c r="H10065" s="316"/>
      <c r="I10065" s="316" t="s">
        <v>1253</v>
      </c>
      <c r="J10065" s="312" t="s">
        <v>1459</v>
      </c>
      <c r="K10065" s="317">
        <v>636495.69100004435</v>
      </c>
      <c r="L10065" s="317"/>
      <c r="M10065" s="328">
        <f>BS!$I$14</f>
        <v>0</v>
      </c>
    </row>
    <row r="10066" spans="1:15" ht="11.25" customHeight="1" x14ac:dyDescent="0.2">
      <c r="A10066" s="318">
        <v>2025</v>
      </c>
      <c r="B10066" s="318">
        <v>8</v>
      </c>
      <c r="C10066" s="318">
        <v>28</v>
      </c>
      <c r="D10066" s="319">
        <f t="shared" si="1310"/>
        <v>45897</v>
      </c>
      <c r="E10066" s="320">
        <f t="shared" si="1318"/>
        <v>45897</v>
      </c>
      <c r="F10066" s="523"/>
      <c r="G10066" s="321" t="s">
        <v>1245</v>
      </c>
      <c r="H10066" s="322"/>
      <c r="I10066" s="322" t="s">
        <v>1253</v>
      </c>
      <c r="J10066" s="318" t="s">
        <v>1461</v>
      </c>
      <c r="K10066" s="323"/>
      <c r="L10066" s="323">
        <f>K10065</f>
        <v>636495.69100004435</v>
      </c>
      <c r="M10066" s="328"/>
    </row>
    <row r="10067" spans="1:15" ht="11.25" customHeight="1" x14ac:dyDescent="0.2">
      <c r="A10067" s="222">
        <v>2025</v>
      </c>
      <c r="B10067" s="222">
        <v>8</v>
      </c>
      <c r="C10067" s="222">
        <v>28</v>
      </c>
      <c r="D10067" s="223">
        <f t="shared" si="1310"/>
        <v>45897</v>
      </c>
      <c r="E10067" s="240">
        <f t="shared" si="1318"/>
        <v>45897</v>
      </c>
      <c r="F10067" s="511" t="s">
        <v>1244</v>
      </c>
      <c r="G10067" s="225" t="s">
        <v>1245</v>
      </c>
      <c r="H10067" s="226"/>
      <c r="I10067" s="226" t="s">
        <v>1253</v>
      </c>
      <c r="J10067" s="222" t="s">
        <v>87</v>
      </c>
      <c r="K10067" s="227">
        <v>162596.90520000458</v>
      </c>
      <c r="L10067" s="227"/>
      <c r="M10067" s="328">
        <f>BS!$I$7</f>
        <v>0</v>
      </c>
    </row>
    <row r="10068" spans="1:15" ht="11.25" customHeight="1" x14ac:dyDescent="0.2">
      <c r="A10068" s="228">
        <v>2025</v>
      </c>
      <c r="B10068" s="228">
        <v>8</v>
      </c>
      <c r="C10068" s="228">
        <v>28</v>
      </c>
      <c r="D10068" s="229">
        <f t="shared" si="1310"/>
        <v>45897</v>
      </c>
      <c r="E10068" s="241">
        <f t="shared" si="1318"/>
        <v>45897</v>
      </c>
      <c r="F10068" s="512"/>
      <c r="G10068" s="231" t="s">
        <v>1245</v>
      </c>
      <c r="H10068" s="232"/>
      <c r="I10068" s="232" t="s">
        <v>1253</v>
      </c>
      <c r="J10068" s="228" t="s">
        <v>72</v>
      </c>
      <c r="K10068" s="233"/>
      <c r="L10068" s="233">
        <f>K10067</f>
        <v>162596.90520000458</v>
      </c>
    </row>
    <row r="10069" spans="1:15" ht="11.25" customHeight="1" x14ac:dyDescent="0.2">
      <c r="A10069" s="222">
        <v>2025</v>
      </c>
      <c r="B10069" s="222">
        <v>8</v>
      </c>
      <c r="C10069" s="222">
        <v>28</v>
      </c>
      <c r="D10069" s="223">
        <f t="shared" si="1310"/>
        <v>45897</v>
      </c>
      <c r="E10069" s="240">
        <f t="shared" si="1318"/>
        <v>45897</v>
      </c>
      <c r="F10069" s="511" t="s">
        <v>1246</v>
      </c>
      <c r="G10069" s="225" t="s">
        <v>1245</v>
      </c>
      <c r="H10069" s="226"/>
      <c r="I10069" s="226" t="s">
        <v>1253</v>
      </c>
      <c r="J10069" s="222" t="s">
        <v>75</v>
      </c>
      <c r="K10069" s="227">
        <v>3623.123846153846</v>
      </c>
      <c r="L10069" s="227"/>
    </row>
    <row r="10070" spans="1:15" ht="11.25" customHeight="1" x14ac:dyDescent="0.2">
      <c r="A10070" s="228">
        <v>2025</v>
      </c>
      <c r="B10070" s="228">
        <v>8</v>
      </c>
      <c r="C10070" s="228">
        <v>28</v>
      </c>
      <c r="D10070" s="229">
        <f t="shared" si="1310"/>
        <v>45897</v>
      </c>
      <c r="E10070" s="241">
        <f t="shared" si="1318"/>
        <v>45897</v>
      </c>
      <c r="F10070" s="512"/>
      <c r="G10070" s="231" t="s">
        <v>1245</v>
      </c>
      <c r="H10070" s="232"/>
      <c r="I10070" s="232" t="s">
        <v>1253</v>
      </c>
      <c r="J10070" s="228" t="s">
        <v>55</v>
      </c>
      <c r="K10070" s="233"/>
      <c r="L10070" s="233">
        <f>K10069</f>
        <v>3623.123846153846</v>
      </c>
    </row>
    <row r="10071" spans="1:15" ht="11.25" customHeight="1" x14ac:dyDescent="0.2">
      <c r="A10071" s="222">
        <v>2025</v>
      </c>
      <c r="B10071" s="222">
        <v>8</v>
      </c>
      <c r="C10071" s="222">
        <v>28</v>
      </c>
      <c r="D10071" s="223">
        <f t="shared" si="1310"/>
        <v>45897</v>
      </c>
      <c r="E10071" s="240">
        <f t="shared" si="1318"/>
        <v>45897</v>
      </c>
      <c r="F10071" s="511" t="s">
        <v>1247</v>
      </c>
      <c r="G10071" s="225" t="s">
        <v>1245</v>
      </c>
      <c r="H10071" s="226"/>
      <c r="I10071" s="226" t="s">
        <v>1253</v>
      </c>
      <c r="J10071" s="222" t="s">
        <v>77</v>
      </c>
      <c r="K10071" s="227">
        <f>M10071</f>
        <v>60091.73167151813</v>
      </c>
      <c r="L10071" s="227"/>
      <c r="M10071" s="120">
        <v>60091.73167151813</v>
      </c>
    </row>
    <row r="10072" spans="1:15" ht="11.25" customHeight="1" x14ac:dyDescent="0.2">
      <c r="A10072" s="228">
        <v>2025</v>
      </c>
      <c r="B10072" s="228">
        <v>8</v>
      </c>
      <c r="C10072" s="228">
        <v>28</v>
      </c>
      <c r="D10072" s="229">
        <f t="shared" si="1310"/>
        <v>45897</v>
      </c>
      <c r="E10072" s="241">
        <f t="shared" si="1318"/>
        <v>45897</v>
      </c>
      <c r="F10072" s="512"/>
      <c r="G10072" s="231" t="s">
        <v>1245</v>
      </c>
      <c r="H10072" s="232"/>
      <c r="I10072" s="232" t="s">
        <v>1253</v>
      </c>
      <c r="J10072" s="228" t="s">
        <v>41</v>
      </c>
      <c r="K10072" s="233"/>
      <c r="L10072" s="233">
        <f>K10071</f>
        <v>60091.73167151813</v>
      </c>
      <c r="M10072" s="120">
        <v>6009.1731671518119</v>
      </c>
    </row>
    <row r="10073" spans="1:15" ht="11.25" customHeight="1" x14ac:dyDescent="0.2">
      <c r="A10073" s="222">
        <v>2025</v>
      </c>
      <c r="B10073" s="222">
        <v>8</v>
      </c>
      <c r="C10073" s="222">
        <v>28</v>
      </c>
      <c r="D10073" s="223">
        <f t="shared" si="1310"/>
        <v>45897</v>
      </c>
      <c r="E10073" s="240">
        <f t="shared" si="1318"/>
        <v>45897</v>
      </c>
      <c r="F10073" s="511" t="s">
        <v>1248</v>
      </c>
      <c r="G10073" s="225" t="s">
        <v>1245</v>
      </c>
      <c r="H10073" s="226"/>
      <c r="I10073" s="226" t="s">
        <v>1253</v>
      </c>
      <c r="J10073" s="222" t="s">
        <v>80</v>
      </c>
      <c r="K10073" s="227">
        <f>M10072</f>
        <v>6009.1731671518119</v>
      </c>
      <c r="L10073" s="227"/>
    </row>
    <row r="10074" spans="1:15" ht="11.25" customHeight="1" x14ac:dyDescent="0.2">
      <c r="A10074" s="228">
        <v>2025</v>
      </c>
      <c r="B10074" s="228">
        <v>8</v>
      </c>
      <c r="C10074" s="228">
        <v>28</v>
      </c>
      <c r="D10074" s="229">
        <f t="shared" si="1310"/>
        <v>45897</v>
      </c>
      <c r="E10074" s="241">
        <f t="shared" si="1318"/>
        <v>45897</v>
      </c>
      <c r="F10074" s="512"/>
      <c r="G10074" s="231" t="s">
        <v>1245</v>
      </c>
      <c r="H10074" s="232"/>
      <c r="I10074" s="232" t="s">
        <v>1253</v>
      </c>
      <c r="J10074" s="228" t="s">
        <v>42</v>
      </c>
      <c r="K10074" s="233"/>
      <c r="L10074" s="233">
        <f>K10073</f>
        <v>6009.1731671518119</v>
      </c>
    </row>
    <row r="10075" spans="1:15" x14ac:dyDescent="0.2">
      <c r="A10075" s="197">
        <v>2025</v>
      </c>
      <c r="B10075" s="197">
        <v>8</v>
      </c>
      <c r="C10075" s="197">
        <v>31</v>
      </c>
      <c r="D10075" s="198">
        <f t="shared" si="1310"/>
        <v>45900</v>
      </c>
      <c r="E10075" s="209">
        <f t="shared" si="1318"/>
        <v>45900</v>
      </c>
      <c r="F10075" s="513" t="s">
        <v>1280</v>
      </c>
      <c r="G10075" s="200" t="s">
        <v>1209</v>
      </c>
      <c r="H10075" s="201"/>
      <c r="I10075" s="201"/>
      <c r="J10075" s="197" t="s">
        <v>16</v>
      </c>
      <c r="K10075" s="202">
        <v>6820770</v>
      </c>
      <c r="L10075" s="202"/>
    </row>
    <row r="10076" spans="1:15" x14ac:dyDescent="0.2">
      <c r="A10076" s="120">
        <v>2025</v>
      </c>
      <c r="B10076" s="120">
        <v>8</v>
      </c>
      <c r="C10076" s="120">
        <v>31</v>
      </c>
      <c r="D10076" s="208">
        <f t="shared" si="1310"/>
        <v>45900</v>
      </c>
      <c r="E10076" s="209">
        <f t="shared" si="1318"/>
        <v>45900</v>
      </c>
      <c r="F10076" s="515"/>
      <c r="G10076" s="132" t="s">
        <v>1209</v>
      </c>
      <c r="J10076" s="120" t="s">
        <v>47</v>
      </c>
      <c r="K10076" s="207">
        <v>2179230</v>
      </c>
      <c r="L10076" s="207"/>
    </row>
    <row r="10077" spans="1:15" x14ac:dyDescent="0.2">
      <c r="A10077" s="191">
        <v>2025</v>
      </c>
      <c r="B10077" s="191">
        <v>8</v>
      </c>
      <c r="C10077" s="191">
        <v>31</v>
      </c>
      <c r="D10077" s="192">
        <f t="shared" si="1310"/>
        <v>45900</v>
      </c>
      <c r="E10077" s="193">
        <f t="shared" si="1318"/>
        <v>45900</v>
      </c>
      <c r="F10077" s="514"/>
      <c r="G10077" s="194" t="s">
        <v>1209</v>
      </c>
      <c r="H10077" s="195"/>
      <c r="I10077" s="195"/>
      <c r="J10077" s="191" t="s">
        <v>46</v>
      </c>
      <c r="K10077" s="196"/>
      <c r="L10077" s="196">
        <v>9000000</v>
      </c>
    </row>
    <row r="10078" spans="1:15" ht="11.25" customHeight="1" x14ac:dyDescent="0.2">
      <c r="A10078" s="197">
        <v>2025</v>
      </c>
      <c r="B10078" s="197">
        <v>8</v>
      </c>
      <c r="C10078" s="197">
        <v>31</v>
      </c>
      <c r="D10078" s="198">
        <f t="shared" si="1310"/>
        <v>45900</v>
      </c>
      <c r="E10078" s="290">
        <f t="shared" si="1318"/>
        <v>45900</v>
      </c>
      <c r="F10078" s="513" t="s">
        <v>1514</v>
      </c>
      <c r="G10078" s="200" t="s">
        <v>1209</v>
      </c>
      <c r="H10078" s="201"/>
      <c r="I10078" s="201"/>
      <c r="J10078" s="197" t="s">
        <v>54</v>
      </c>
      <c r="K10078" s="202">
        <v>100</v>
      </c>
      <c r="L10078" s="202"/>
      <c r="M10078" s="251"/>
      <c r="N10078" s="251"/>
      <c r="O10078" s="251"/>
    </row>
    <row r="10079" spans="1:15" ht="11.25" customHeight="1" x14ac:dyDescent="0.2">
      <c r="A10079" s="191">
        <v>2025</v>
      </c>
      <c r="B10079" s="191">
        <v>8</v>
      </c>
      <c r="C10079" s="191">
        <v>31</v>
      </c>
      <c r="D10079" s="192">
        <f t="shared" si="1310"/>
        <v>45900</v>
      </c>
      <c r="E10079" s="291">
        <f t="shared" si="1318"/>
        <v>45900</v>
      </c>
      <c r="F10079" s="514"/>
      <c r="G10079" s="194" t="s">
        <v>1209</v>
      </c>
      <c r="H10079" s="195"/>
      <c r="I10079" s="195"/>
      <c r="J10079" s="191" t="s">
        <v>46</v>
      </c>
      <c r="K10079" s="196"/>
      <c r="L10079" s="196">
        <f>K10078</f>
        <v>100</v>
      </c>
      <c r="M10079" s="251"/>
    </row>
    <row r="10080" spans="1:15" x14ac:dyDescent="0.2">
      <c r="A10080" s="197">
        <v>2025</v>
      </c>
      <c r="B10080" s="197">
        <v>8</v>
      </c>
      <c r="C10080" s="197">
        <v>31</v>
      </c>
      <c r="D10080" s="198">
        <f t="shared" si="1310"/>
        <v>45900</v>
      </c>
      <c r="E10080" s="209">
        <f t="shared" si="1318"/>
        <v>45900</v>
      </c>
      <c r="F10080" s="513" t="s">
        <v>1210</v>
      </c>
      <c r="G10080" s="200" t="s">
        <v>1209</v>
      </c>
      <c r="H10080" s="201"/>
      <c r="I10080" s="201"/>
      <c r="J10080" s="197" t="s">
        <v>46</v>
      </c>
      <c r="K10080" s="202">
        <v>3000</v>
      </c>
      <c r="L10080" s="202"/>
    </row>
    <row r="10081" spans="1:12" x14ac:dyDescent="0.2">
      <c r="A10081" s="120">
        <v>2025</v>
      </c>
      <c r="B10081" s="120">
        <v>8</v>
      </c>
      <c r="C10081" s="120">
        <v>31</v>
      </c>
      <c r="D10081" s="208">
        <f t="shared" si="1310"/>
        <v>45900</v>
      </c>
      <c r="E10081" s="209">
        <f t="shared" si="1318"/>
        <v>45900</v>
      </c>
      <c r="F10081" s="515"/>
      <c r="G10081" s="132" t="s">
        <v>1209</v>
      </c>
      <c r="J10081" s="120" t="s">
        <v>16</v>
      </c>
      <c r="K10081" s="207"/>
      <c r="L10081" s="207">
        <v>2270</v>
      </c>
    </row>
    <row r="10082" spans="1:12" x14ac:dyDescent="0.2">
      <c r="A10082" s="191">
        <v>2025</v>
      </c>
      <c r="B10082" s="191">
        <v>8</v>
      </c>
      <c r="C10082" s="191">
        <v>31</v>
      </c>
      <c r="D10082" s="192">
        <f t="shared" si="1310"/>
        <v>45900</v>
      </c>
      <c r="E10082" s="193">
        <f t="shared" si="1318"/>
        <v>45900</v>
      </c>
      <c r="F10082" s="514"/>
      <c r="G10082" s="194" t="s">
        <v>1209</v>
      </c>
      <c r="H10082" s="195"/>
      <c r="I10082" s="195"/>
      <c r="J10082" s="191" t="s">
        <v>47</v>
      </c>
      <c r="K10082" s="196"/>
      <c r="L10082" s="196">
        <v>730</v>
      </c>
    </row>
    <row r="10083" spans="1:12" x14ac:dyDescent="0.2">
      <c r="A10083" s="197">
        <v>2025</v>
      </c>
      <c r="B10083" s="197">
        <v>9</v>
      </c>
      <c r="C10083" s="197">
        <v>1</v>
      </c>
      <c r="D10083" s="198">
        <f t="shared" si="1310"/>
        <v>45901</v>
      </c>
      <c r="E10083" s="209">
        <f t="shared" ref="E10083:E10085" si="1319">DATE(A10083,B10083,C10083)</f>
        <v>45901</v>
      </c>
      <c r="F10083" s="513" t="s">
        <v>1210</v>
      </c>
      <c r="G10083" s="200" t="s">
        <v>1209</v>
      </c>
      <c r="H10083" s="201"/>
      <c r="I10083" s="201"/>
      <c r="J10083" s="197" t="s">
        <v>46</v>
      </c>
      <c r="K10083" s="202">
        <v>150000</v>
      </c>
      <c r="L10083" s="202"/>
    </row>
    <row r="10084" spans="1:12" x14ac:dyDescent="0.2">
      <c r="A10084" s="120">
        <v>2025</v>
      </c>
      <c r="B10084" s="120">
        <v>9</v>
      </c>
      <c r="C10084" s="120">
        <v>1</v>
      </c>
      <c r="D10084" s="208">
        <f t="shared" si="1310"/>
        <v>45901</v>
      </c>
      <c r="E10084" s="209">
        <f t="shared" si="1319"/>
        <v>45901</v>
      </c>
      <c r="F10084" s="515"/>
      <c r="G10084" s="132" t="s">
        <v>1209</v>
      </c>
      <c r="J10084" s="120" t="s">
        <v>16</v>
      </c>
      <c r="K10084" s="207"/>
      <c r="L10084" s="207">
        <v>113680</v>
      </c>
    </row>
    <row r="10085" spans="1:12" x14ac:dyDescent="0.2">
      <c r="A10085" s="191">
        <v>2025</v>
      </c>
      <c r="B10085" s="191">
        <v>9</v>
      </c>
      <c r="C10085" s="191">
        <v>1</v>
      </c>
      <c r="D10085" s="192">
        <f t="shared" si="1310"/>
        <v>45901</v>
      </c>
      <c r="E10085" s="193">
        <f t="shared" si="1319"/>
        <v>45901</v>
      </c>
      <c r="F10085" s="514"/>
      <c r="G10085" s="194" t="s">
        <v>1209</v>
      </c>
      <c r="H10085" s="195"/>
      <c r="I10085" s="195"/>
      <c r="J10085" s="191" t="s">
        <v>47</v>
      </c>
      <c r="K10085" s="196"/>
      <c r="L10085" s="196">
        <v>36320</v>
      </c>
    </row>
    <row r="10086" spans="1:12" x14ac:dyDescent="0.2">
      <c r="A10086" s="197">
        <v>2025</v>
      </c>
      <c r="B10086" s="197">
        <v>9</v>
      </c>
      <c r="C10086" s="197">
        <v>1</v>
      </c>
      <c r="D10086" s="198">
        <f t="shared" si="1310"/>
        <v>45901</v>
      </c>
      <c r="E10086" s="209">
        <f t="shared" ref="E10086:E10108" si="1320">DATE(A10086,B10086,C10086)</f>
        <v>45901</v>
      </c>
      <c r="F10086" s="513" t="s">
        <v>1280</v>
      </c>
      <c r="G10086" s="200" t="s">
        <v>1209</v>
      </c>
      <c r="H10086" s="201"/>
      <c r="I10086" s="201"/>
      <c r="J10086" s="197" t="s">
        <v>16</v>
      </c>
      <c r="K10086" s="202">
        <v>35000</v>
      </c>
      <c r="L10086" s="202"/>
    </row>
    <row r="10087" spans="1:12" x14ac:dyDescent="0.2">
      <c r="A10087" s="120">
        <v>2025</v>
      </c>
      <c r="B10087" s="120">
        <v>9</v>
      </c>
      <c r="C10087" s="120">
        <v>1</v>
      </c>
      <c r="D10087" s="208">
        <f t="shared" si="1310"/>
        <v>45901</v>
      </c>
      <c r="E10087" s="209">
        <f t="shared" si="1320"/>
        <v>45901</v>
      </c>
      <c r="F10087" s="515"/>
      <c r="G10087" s="132" t="s">
        <v>1209</v>
      </c>
      <c r="J10087" s="120" t="s">
        <v>47</v>
      </c>
      <c r="K10087" s="207">
        <v>11182.5</v>
      </c>
      <c r="L10087" s="207"/>
    </row>
    <row r="10088" spans="1:12" x14ac:dyDescent="0.2">
      <c r="A10088" s="191">
        <v>2025</v>
      </c>
      <c r="B10088" s="191">
        <v>9</v>
      </c>
      <c r="C10088" s="191">
        <v>1</v>
      </c>
      <c r="D10088" s="192">
        <f t="shared" si="1310"/>
        <v>45901</v>
      </c>
      <c r="E10088" s="193">
        <f t="shared" si="1320"/>
        <v>45901</v>
      </c>
      <c r="F10088" s="514"/>
      <c r="G10088" s="194" t="s">
        <v>1209</v>
      </c>
      <c r="H10088" s="195"/>
      <c r="I10088" s="195"/>
      <c r="J10088" s="191" t="s">
        <v>46</v>
      </c>
      <c r="K10088" s="196"/>
      <c r="L10088" s="196">
        <v>46182.5</v>
      </c>
    </row>
    <row r="10089" spans="1:12" x14ac:dyDescent="0.2">
      <c r="A10089" s="197">
        <v>2025</v>
      </c>
      <c r="B10089" s="197">
        <v>9</v>
      </c>
      <c r="C10089" s="197">
        <v>1</v>
      </c>
      <c r="D10089" s="198">
        <f t="shared" si="1310"/>
        <v>45901</v>
      </c>
      <c r="E10089" s="209">
        <f t="shared" si="1320"/>
        <v>45901</v>
      </c>
      <c r="F10089" s="513" t="s">
        <v>1280</v>
      </c>
      <c r="G10089" s="200" t="s">
        <v>1209</v>
      </c>
      <c r="H10089" s="201"/>
      <c r="I10089" s="201"/>
      <c r="J10089" s="197" t="s">
        <v>16</v>
      </c>
      <c r="K10089" s="202">
        <v>17430850</v>
      </c>
      <c r="L10089" s="202"/>
    </row>
    <row r="10090" spans="1:12" x14ac:dyDescent="0.2">
      <c r="A10090" s="120">
        <v>2025</v>
      </c>
      <c r="B10090" s="120">
        <v>9</v>
      </c>
      <c r="C10090" s="120">
        <v>1</v>
      </c>
      <c r="D10090" s="208">
        <f t="shared" si="1310"/>
        <v>45901</v>
      </c>
      <c r="E10090" s="209">
        <f t="shared" si="1320"/>
        <v>45901</v>
      </c>
      <c r="F10090" s="515"/>
      <c r="G10090" s="132" t="s">
        <v>1209</v>
      </c>
      <c r="J10090" s="120" t="s">
        <v>47</v>
      </c>
      <c r="K10090" s="207">
        <v>5569150</v>
      </c>
      <c r="L10090" s="207"/>
    </row>
    <row r="10091" spans="1:12" x14ac:dyDescent="0.2">
      <c r="A10091" s="191">
        <v>2025</v>
      </c>
      <c r="B10091" s="191">
        <v>9</v>
      </c>
      <c r="C10091" s="191">
        <v>1</v>
      </c>
      <c r="D10091" s="192">
        <f t="shared" si="1310"/>
        <v>45901</v>
      </c>
      <c r="E10091" s="193">
        <f t="shared" si="1320"/>
        <v>45901</v>
      </c>
      <c r="F10091" s="514"/>
      <c r="G10091" s="194" t="s">
        <v>1209</v>
      </c>
      <c r="H10091" s="195"/>
      <c r="I10091" s="195"/>
      <c r="J10091" s="191" t="s">
        <v>46</v>
      </c>
      <c r="K10091" s="196"/>
      <c r="L10091" s="196">
        <v>23000000</v>
      </c>
    </row>
    <row r="10092" spans="1:12" x14ac:dyDescent="0.2">
      <c r="A10092" s="197">
        <v>2025</v>
      </c>
      <c r="B10092" s="197">
        <v>9</v>
      </c>
      <c r="C10092" s="197">
        <v>1</v>
      </c>
      <c r="D10092" s="198">
        <f t="shared" ref="D10092:D10155" si="1321">DATE(A10092,B10092,C10092)</f>
        <v>45901</v>
      </c>
      <c r="E10092" s="209">
        <f t="shared" si="1320"/>
        <v>45901</v>
      </c>
      <c r="F10092" s="513" t="s">
        <v>1280</v>
      </c>
      <c r="G10092" s="200" t="s">
        <v>1209</v>
      </c>
      <c r="H10092" s="201"/>
      <c r="I10092" s="201"/>
      <c r="J10092" s="197" t="s">
        <v>16</v>
      </c>
      <c r="K10092" s="202">
        <v>29560</v>
      </c>
      <c r="L10092" s="202"/>
    </row>
    <row r="10093" spans="1:12" x14ac:dyDescent="0.2">
      <c r="A10093" s="120">
        <v>2025</v>
      </c>
      <c r="B10093" s="120">
        <v>9</v>
      </c>
      <c r="C10093" s="120">
        <v>1</v>
      </c>
      <c r="D10093" s="208">
        <f t="shared" si="1321"/>
        <v>45901</v>
      </c>
      <c r="E10093" s="209">
        <f t="shared" si="1320"/>
        <v>45901</v>
      </c>
      <c r="F10093" s="515"/>
      <c r="G10093" s="132" t="s">
        <v>1209</v>
      </c>
      <c r="J10093" s="120" t="s">
        <v>47</v>
      </c>
      <c r="K10093" s="207">
        <v>9440</v>
      </c>
      <c r="L10093" s="207"/>
    </row>
    <row r="10094" spans="1:12" x14ac:dyDescent="0.2">
      <c r="A10094" s="191">
        <v>2025</v>
      </c>
      <c r="B10094" s="191">
        <v>9</v>
      </c>
      <c r="C10094" s="191">
        <v>1</v>
      </c>
      <c r="D10094" s="192">
        <f t="shared" si="1321"/>
        <v>45901</v>
      </c>
      <c r="E10094" s="193">
        <f t="shared" si="1320"/>
        <v>45901</v>
      </c>
      <c r="F10094" s="514"/>
      <c r="G10094" s="194" t="s">
        <v>1209</v>
      </c>
      <c r="H10094" s="195"/>
      <c r="I10094" s="195"/>
      <c r="J10094" s="191" t="s">
        <v>46</v>
      </c>
      <c r="K10094" s="196"/>
      <c r="L10094" s="196">
        <v>39000</v>
      </c>
    </row>
    <row r="10095" spans="1:12" x14ac:dyDescent="0.2">
      <c r="A10095" s="197">
        <v>2025</v>
      </c>
      <c r="B10095" s="197">
        <v>9</v>
      </c>
      <c r="C10095" s="197">
        <v>1</v>
      </c>
      <c r="D10095" s="198">
        <f t="shared" si="1321"/>
        <v>45901</v>
      </c>
      <c r="E10095" s="209">
        <f t="shared" ref="E10095:E10097" si="1322">DATE(A10095,B10095,C10095)</f>
        <v>45901</v>
      </c>
      <c r="F10095" s="513" t="s">
        <v>1280</v>
      </c>
      <c r="G10095" s="200" t="s">
        <v>1209</v>
      </c>
      <c r="H10095" s="201"/>
      <c r="I10095" s="201"/>
      <c r="J10095" s="197" t="s">
        <v>16</v>
      </c>
      <c r="K10095" s="202">
        <v>416820</v>
      </c>
      <c r="L10095" s="202"/>
    </row>
    <row r="10096" spans="1:12" x14ac:dyDescent="0.2">
      <c r="A10096" s="120">
        <v>2025</v>
      </c>
      <c r="B10096" s="120">
        <v>9</v>
      </c>
      <c r="C10096" s="120">
        <v>1</v>
      </c>
      <c r="D10096" s="208">
        <f t="shared" si="1321"/>
        <v>45901</v>
      </c>
      <c r="E10096" s="209">
        <f t="shared" si="1322"/>
        <v>45901</v>
      </c>
      <c r="F10096" s="515"/>
      <c r="G10096" s="132" t="s">
        <v>1209</v>
      </c>
      <c r="J10096" s="120" t="s">
        <v>47</v>
      </c>
      <c r="K10096" s="207">
        <v>133180</v>
      </c>
      <c r="L10096" s="207"/>
    </row>
    <row r="10097" spans="1:15" x14ac:dyDescent="0.2">
      <c r="A10097" s="191">
        <v>2025</v>
      </c>
      <c r="B10097" s="191">
        <v>9</v>
      </c>
      <c r="C10097" s="191">
        <v>1</v>
      </c>
      <c r="D10097" s="192">
        <f t="shared" si="1321"/>
        <v>45901</v>
      </c>
      <c r="E10097" s="193">
        <f t="shared" si="1322"/>
        <v>45901</v>
      </c>
      <c r="F10097" s="514"/>
      <c r="G10097" s="194" t="s">
        <v>1209</v>
      </c>
      <c r="H10097" s="195"/>
      <c r="I10097" s="195"/>
      <c r="J10097" s="191" t="s">
        <v>46</v>
      </c>
      <c r="K10097" s="196"/>
      <c r="L10097" s="196">
        <v>550000</v>
      </c>
    </row>
    <row r="10098" spans="1:15" x14ac:dyDescent="0.2">
      <c r="A10098" s="197">
        <v>2025</v>
      </c>
      <c r="B10098" s="197">
        <v>9</v>
      </c>
      <c r="C10098" s="197">
        <v>1</v>
      </c>
      <c r="D10098" s="198">
        <f t="shared" si="1321"/>
        <v>45901</v>
      </c>
      <c r="E10098" s="209">
        <f t="shared" si="1320"/>
        <v>45901</v>
      </c>
      <c r="F10098" s="513" t="s">
        <v>1280</v>
      </c>
      <c r="G10098" s="200" t="s">
        <v>1209</v>
      </c>
      <c r="H10098" s="201"/>
      <c r="I10098" s="201"/>
      <c r="J10098" s="197" t="s">
        <v>16</v>
      </c>
      <c r="K10098" s="202">
        <v>3990</v>
      </c>
      <c r="L10098" s="202"/>
    </row>
    <row r="10099" spans="1:15" x14ac:dyDescent="0.2">
      <c r="A10099" s="120">
        <v>2025</v>
      </c>
      <c r="B10099" s="120">
        <v>9</v>
      </c>
      <c r="C10099" s="120">
        <v>1</v>
      </c>
      <c r="D10099" s="208">
        <f t="shared" si="1321"/>
        <v>45901</v>
      </c>
      <c r="E10099" s="209">
        <f t="shared" si="1320"/>
        <v>45901</v>
      </c>
      <c r="F10099" s="515"/>
      <c r="G10099" s="132" t="s">
        <v>1209</v>
      </c>
      <c r="J10099" s="120" t="s">
        <v>47</v>
      </c>
      <c r="K10099" s="207">
        <v>1274.8100000000004</v>
      </c>
      <c r="L10099" s="207"/>
    </row>
    <row r="10100" spans="1:15" x14ac:dyDescent="0.2">
      <c r="A10100" s="191">
        <v>2025</v>
      </c>
      <c r="B10100" s="191">
        <v>9</v>
      </c>
      <c r="C10100" s="191">
        <v>1</v>
      </c>
      <c r="D10100" s="192">
        <f t="shared" si="1321"/>
        <v>45901</v>
      </c>
      <c r="E10100" s="193">
        <f t="shared" si="1320"/>
        <v>45901</v>
      </c>
      <c r="F10100" s="514"/>
      <c r="G10100" s="194" t="s">
        <v>1209</v>
      </c>
      <c r="H10100" s="195"/>
      <c r="I10100" s="195"/>
      <c r="J10100" s="191" t="s">
        <v>46</v>
      </c>
      <c r="K10100" s="196"/>
      <c r="L10100" s="196">
        <v>5264.81</v>
      </c>
    </row>
    <row r="10101" spans="1:15" x14ac:dyDescent="0.2">
      <c r="A10101" s="197">
        <v>2025</v>
      </c>
      <c r="B10101" s="197">
        <v>9</v>
      </c>
      <c r="C10101" s="197">
        <v>1</v>
      </c>
      <c r="D10101" s="198">
        <f t="shared" si="1321"/>
        <v>45901</v>
      </c>
      <c r="E10101" s="209">
        <f t="shared" ref="E10101:E10105" si="1323">DATE(A10101,B10101,C10101)</f>
        <v>45901</v>
      </c>
      <c r="F10101" s="513" t="s">
        <v>1280</v>
      </c>
      <c r="G10101" s="200" t="s">
        <v>1209</v>
      </c>
      <c r="H10101" s="201"/>
      <c r="I10101" s="201"/>
      <c r="J10101" s="197" t="s">
        <v>16</v>
      </c>
      <c r="K10101" s="202">
        <v>1631320</v>
      </c>
      <c r="L10101" s="202"/>
    </row>
    <row r="10102" spans="1:15" x14ac:dyDescent="0.2">
      <c r="A10102" s="120">
        <v>2025</v>
      </c>
      <c r="B10102" s="120">
        <v>9</v>
      </c>
      <c r="C10102" s="120">
        <v>1</v>
      </c>
      <c r="D10102" s="208">
        <f t="shared" si="1321"/>
        <v>45901</v>
      </c>
      <c r="E10102" s="209">
        <f t="shared" si="1323"/>
        <v>45901</v>
      </c>
      <c r="F10102" s="515"/>
      <c r="G10102" s="132" t="s">
        <v>1209</v>
      </c>
      <c r="J10102" s="120" t="s">
        <v>47</v>
      </c>
      <c r="K10102" s="207">
        <v>521206.74000000022</v>
      </c>
      <c r="L10102" s="207"/>
    </row>
    <row r="10103" spans="1:15" x14ac:dyDescent="0.2">
      <c r="A10103" s="191">
        <v>2025</v>
      </c>
      <c r="B10103" s="191">
        <v>9</v>
      </c>
      <c r="C10103" s="191">
        <v>1</v>
      </c>
      <c r="D10103" s="192">
        <f t="shared" si="1321"/>
        <v>45901</v>
      </c>
      <c r="E10103" s="193">
        <f t="shared" si="1323"/>
        <v>45901</v>
      </c>
      <c r="F10103" s="514"/>
      <c r="G10103" s="194" t="s">
        <v>1209</v>
      </c>
      <c r="H10103" s="195"/>
      <c r="I10103" s="195"/>
      <c r="J10103" s="191" t="s">
        <v>46</v>
      </c>
      <c r="K10103" s="196"/>
      <c r="L10103" s="196">
        <v>2152526.7400000002</v>
      </c>
    </row>
    <row r="10104" spans="1:15" ht="11.25" customHeight="1" x14ac:dyDescent="0.2">
      <c r="A10104" s="197">
        <v>2025</v>
      </c>
      <c r="B10104" s="197">
        <v>9</v>
      </c>
      <c r="C10104" s="197">
        <v>1</v>
      </c>
      <c r="D10104" s="198">
        <f t="shared" si="1321"/>
        <v>45901</v>
      </c>
      <c r="E10104" s="290">
        <f t="shared" si="1323"/>
        <v>45901</v>
      </c>
      <c r="F10104" s="513" t="s">
        <v>1514</v>
      </c>
      <c r="G10104" s="200" t="s">
        <v>1209</v>
      </c>
      <c r="H10104" s="201"/>
      <c r="I10104" s="201"/>
      <c r="J10104" s="197" t="s">
        <v>54</v>
      </c>
      <c r="K10104" s="202">
        <v>300</v>
      </c>
      <c r="L10104" s="202"/>
      <c r="M10104" s="251"/>
      <c r="N10104" s="251"/>
      <c r="O10104" s="251"/>
    </row>
    <row r="10105" spans="1:15" ht="11.25" customHeight="1" x14ac:dyDescent="0.2">
      <c r="A10105" s="191">
        <v>2025</v>
      </c>
      <c r="B10105" s="191">
        <v>9</v>
      </c>
      <c r="C10105" s="191">
        <v>1</v>
      </c>
      <c r="D10105" s="192">
        <f t="shared" si="1321"/>
        <v>45901</v>
      </c>
      <c r="E10105" s="291">
        <f t="shared" si="1323"/>
        <v>45901</v>
      </c>
      <c r="F10105" s="514"/>
      <c r="G10105" s="194" t="s">
        <v>1209</v>
      </c>
      <c r="H10105" s="195"/>
      <c r="I10105" s="195"/>
      <c r="J10105" s="191" t="s">
        <v>46</v>
      </c>
      <c r="K10105" s="196"/>
      <c r="L10105" s="196">
        <f>K10104</f>
        <v>300</v>
      </c>
      <c r="M10105" s="251"/>
    </row>
    <row r="10106" spans="1:15" x14ac:dyDescent="0.2">
      <c r="A10106" s="197">
        <v>2025</v>
      </c>
      <c r="B10106" s="197">
        <v>9</v>
      </c>
      <c r="C10106" s="197">
        <v>2</v>
      </c>
      <c r="D10106" s="198">
        <f t="shared" si="1321"/>
        <v>45902</v>
      </c>
      <c r="E10106" s="209">
        <f t="shared" si="1320"/>
        <v>45902</v>
      </c>
      <c r="F10106" s="513" t="s">
        <v>1280</v>
      </c>
      <c r="G10106" s="200" t="s">
        <v>1209</v>
      </c>
      <c r="H10106" s="201"/>
      <c r="I10106" s="201"/>
      <c r="J10106" s="197" t="s">
        <v>16</v>
      </c>
      <c r="K10106" s="202">
        <v>106100</v>
      </c>
      <c r="L10106" s="202"/>
    </row>
    <row r="10107" spans="1:15" x14ac:dyDescent="0.2">
      <c r="A10107" s="120">
        <v>2025</v>
      </c>
      <c r="B10107" s="120">
        <v>9</v>
      </c>
      <c r="C10107" s="120">
        <v>2</v>
      </c>
      <c r="D10107" s="208">
        <f t="shared" si="1321"/>
        <v>45902</v>
      </c>
      <c r="E10107" s="209">
        <f t="shared" si="1320"/>
        <v>45902</v>
      </c>
      <c r="F10107" s="515"/>
      <c r="G10107" s="132" t="s">
        <v>1209</v>
      </c>
      <c r="J10107" s="120" t="s">
        <v>47</v>
      </c>
      <c r="K10107" s="207">
        <v>33900</v>
      </c>
      <c r="L10107" s="207"/>
    </row>
    <row r="10108" spans="1:15" x14ac:dyDescent="0.2">
      <c r="A10108" s="191">
        <v>2025</v>
      </c>
      <c r="B10108" s="191">
        <v>9</v>
      </c>
      <c r="C10108" s="191">
        <v>2</v>
      </c>
      <c r="D10108" s="192">
        <f t="shared" si="1321"/>
        <v>45902</v>
      </c>
      <c r="E10108" s="193">
        <f t="shared" si="1320"/>
        <v>45902</v>
      </c>
      <c r="F10108" s="514"/>
      <c r="G10108" s="194" t="s">
        <v>1209</v>
      </c>
      <c r="H10108" s="195"/>
      <c r="I10108" s="195"/>
      <c r="J10108" s="191" t="s">
        <v>46</v>
      </c>
      <c r="K10108" s="196"/>
      <c r="L10108" s="196">
        <v>140000</v>
      </c>
    </row>
    <row r="10109" spans="1:15" x14ac:dyDescent="0.2">
      <c r="A10109" s="197">
        <v>2025</v>
      </c>
      <c r="B10109" s="197">
        <v>9</v>
      </c>
      <c r="C10109" s="197">
        <v>2</v>
      </c>
      <c r="D10109" s="198">
        <f t="shared" si="1321"/>
        <v>45902</v>
      </c>
      <c r="E10109" s="209">
        <f t="shared" ref="E10109:E10111" si="1324">DATE(A10109,B10109,C10109)</f>
        <v>45902</v>
      </c>
      <c r="F10109" s="513" t="s">
        <v>1280</v>
      </c>
      <c r="G10109" s="200" t="s">
        <v>1209</v>
      </c>
      <c r="H10109" s="201"/>
      <c r="I10109" s="201"/>
      <c r="J10109" s="197" t="s">
        <v>16</v>
      </c>
      <c r="K10109" s="202">
        <v>477450</v>
      </c>
      <c r="L10109" s="202"/>
    </row>
    <row r="10110" spans="1:15" x14ac:dyDescent="0.2">
      <c r="A10110" s="120">
        <v>2025</v>
      </c>
      <c r="B10110" s="120">
        <v>9</v>
      </c>
      <c r="C10110" s="120">
        <v>2</v>
      </c>
      <c r="D10110" s="208">
        <f t="shared" si="1321"/>
        <v>45902</v>
      </c>
      <c r="E10110" s="209">
        <f t="shared" si="1324"/>
        <v>45902</v>
      </c>
      <c r="F10110" s="515"/>
      <c r="G10110" s="132" t="s">
        <v>1209</v>
      </c>
      <c r="J10110" s="120" t="s">
        <v>47</v>
      </c>
      <c r="K10110" s="207">
        <v>152550</v>
      </c>
      <c r="L10110" s="207"/>
    </row>
    <row r="10111" spans="1:15" x14ac:dyDescent="0.2">
      <c r="A10111" s="191">
        <v>2025</v>
      </c>
      <c r="B10111" s="191">
        <v>9</v>
      </c>
      <c r="C10111" s="191">
        <v>2</v>
      </c>
      <c r="D10111" s="192">
        <f t="shared" si="1321"/>
        <v>45902</v>
      </c>
      <c r="E10111" s="193">
        <f t="shared" si="1324"/>
        <v>45902</v>
      </c>
      <c r="F10111" s="514"/>
      <c r="G10111" s="194" t="s">
        <v>1209</v>
      </c>
      <c r="H10111" s="195"/>
      <c r="I10111" s="195"/>
      <c r="J10111" s="191" t="s">
        <v>46</v>
      </c>
      <c r="K10111" s="196"/>
      <c r="L10111" s="196">
        <v>630000</v>
      </c>
    </row>
    <row r="10112" spans="1:15" x14ac:dyDescent="0.2">
      <c r="A10112" s="197">
        <v>2025</v>
      </c>
      <c r="B10112" s="197">
        <v>9</v>
      </c>
      <c r="C10112" s="197">
        <v>2</v>
      </c>
      <c r="D10112" s="198">
        <f t="shared" si="1321"/>
        <v>45902</v>
      </c>
      <c r="E10112" s="209">
        <f t="shared" ref="E10112:E10114" si="1325">DATE(A10112,B10112,C10112)</f>
        <v>45902</v>
      </c>
      <c r="F10112" s="513" t="s">
        <v>1280</v>
      </c>
      <c r="G10112" s="200" t="s">
        <v>1209</v>
      </c>
      <c r="H10112" s="201"/>
      <c r="I10112" s="201"/>
      <c r="J10112" s="197" t="s">
        <v>16</v>
      </c>
      <c r="K10112" s="202">
        <v>795760</v>
      </c>
      <c r="L10112" s="202"/>
    </row>
    <row r="10113" spans="1:15" x14ac:dyDescent="0.2">
      <c r="A10113" s="120">
        <v>2025</v>
      </c>
      <c r="B10113" s="120">
        <v>9</v>
      </c>
      <c r="C10113" s="120">
        <v>2</v>
      </c>
      <c r="D10113" s="208">
        <f t="shared" si="1321"/>
        <v>45902</v>
      </c>
      <c r="E10113" s="209">
        <f t="shared" si="1325"/>
        <v>45902</v>
      </c>
      <c r="F10113" s="515"/>
      <c r="G10113" s="132" t="s">
        <v>1209</v>
      </c>
      <c r="J10113" s="120" t="s">
        <v>47</v>
      </c>
      <c r="K10113" s="207">
        <v>254240</v>
      </c>
      <c r="L10113" s="207"/>
    </row>
    <row r="10114" spans="1:15" x14ac:dyDescent="0.2">
      <c r="A10114" s="191">
        <v>2025</v>
      </c>
      <c r="B10114" s="191">
        <v>9</v>
      </c>
      <c r="C10114" s="191">
        <v>2</v>
      </c>
      <c r="D10114" s="192">
        <f t="shared" si="1321"/>
        <v>45902</v>
      </c>
      <c r="E10114" s="193">
        <f t="shared" si="1325"/>
        <v>45902</v>
      </c>
      <c r="F10114" s="514"/>
      <c r="G10114" s="194" t="s">
        <v>1209</v>
      </c>
      <c r="H10114" s="195"/>
      <c r="I10114" s="195"/>
      <c r="J10114" s="191" t="s">
        <v>46</v>
      </c>
      <c r="K10114" s="196"/>
      <c r="L10114" s="196">
        <v>1050000</v>
      </c>
    </row>
    <row r="10115" spans="1:15" ht="11.25" customHeight="1" x14ac:dyDescent="0.2">
      <c r="A10115" s="197">
        <v>2025</v>
      </c>
      <c r="B10115" s="197">
        <v>9</v>
      </c>
      <c r="C10115" s="197">
        <v>2</v>
      </c>
      <c r="D10115" s="198">
        <f t="shared" si="1321"/>
        <v>45902</v>
      </c>
      <c r="E10115" s="199">
        <f t="shared" si="1318"/>
        <v>45902</v>
      </c>
      <c r="F10115" s="513" t="s">
        <v>2080</v>
      </c>
      <c r="G10115" s="200" t="s">
        <v>1209</v>
      </c>
      <c r="H10115" s="201"/>
      <c r="I10115" s="201" t="s">
        <v>1253</v>
      </c>
      <c r="J10115" s="197" t="s">
        <v>46</v>
      </c>
      <c r="K10115" s="202">
        <v>28757151.210000001</v>
      </c>
      <c r="L10115" s="202"/>
    </row>
    <row r="10116" spans="1:15" ht="11.25" customHeight="1" x14ac:dyDescent="0.2">
      <c r="A10116" s="120">
        <v>2025</v>
      </c>
      <c r="B10116" s="120">
        <v>9</v>
      </c>
      <c r="C10116" s="120">
        <v>2</v>
      </c>
      <c r="D10116" s="208">
        <f t="shared" si="1321"/>
        <v>45902</v>
      </c>
      <c r="E10116" s="209">
        <f t="shared" si="1318"/>
        <v>45902</v>
      </c>
      <c r="F10116" s="515"/>
      <c r="G10116" s="132" t="s">
        <v>1209</v>
      </c>
      <c r="J10116" s="120" t="s">
        <v>1463</v>
      </c>
      <c r="L10116" s="207">
        <v>280846.93</v>
      </c>
    </row>
    <row r="10117" spans="1:15" ht="11.25" customHeight="1" x14ac:dyDescent="0.2">
      <c r="A10117" s="191">
        <v>2025</v>
      </c>
      <c r="B10117" s="191">
        <v>9</v>
      </c>
      <c r="C10117" s="191">
        <v>2</v>
      </c>
      <c r="D10117" s="192">
        <f t="shared" si="1321"/>
        <v>45902</v>
      </c>
      <c r="E10117" s="193">
        <f t="shared" si="1318"/>
        <v>45902</v>
      </c>
      <c r="F10117" s="514"/>
      <c r="G10117" s="194" t="s">
        <v>1209</v>
      </c>
      <c r="H10117" s="195"/>
      <c r="I10117" s="195" t="s">
        <v>1253</v>
      </c>
      <c r="J10117" s="191" t="s">
        <v>1837</v>
      </c>
      <c r="K10117" s="196"/>
      <c r="L10117" s="196">
        <v>28476304.280000001</v>
      </c>
      <c r="N10117" s="130"/>
    </row>
    <row r="10118" spans="1:15" ht="11.25" customHeight="1" x14ac:dyDescent="0.2">
      <c r="A10118" s="197">
        <v>2025</v>
      </c>
      <c r="B10118" s="197">
        <v>9</v>
      </c>
      <c r="C10118" s="197">
        <v>2</v>
      </c>
      <c r="D10118" s="198">
        <f t="shared" si="1321"/>
        <v>45902</v>
      </c>
      <c r="E10118" s="209">
        <f t="shared" si="1318"/>
        <v>45902</v>
      </c>
      <c r="F10118" s="513" t="s">
        <v>2083</v>
      </c>
      <c r="G10118" s="200" t="s">
        <v>1209</v>
      </c>
      <c r="H10118" s="201"/>
      <c r="I10118" s="201"/>
      <c r="J10118" s="248" t="s">
        <v>46</v>
      </c>
      <c r="K10118" s="202">
        <f>7910225.87-2761975.87</f>
        <v>5148250</v>
      </c>
      <c r="L10118" s="202"/>
      <c r="M10118" s="251"/>
    </row>
    <row r="10119" spans="1:15" ht="11.25" customHeight="1" x14ac:dyDescent="0.2">
      <c r="A10119" s="120">
        <v>2025</v>
      </c>
      <c r="B10119" s="120">
        <v>9</v>
      </c>
      <c r="C10119" s="120">
        <v>2</v>
      </c>
      <c r="D10119" s="208">
        <f t="shared" si="1321"/>
        <v>45902</v>
      </c>
      <c r="E10119" s="209">
        <f t="shared" si="1318"/>
        <v>45902</v>
      </c>
      <c r="F10119" s="515"/>
      <c r="G10119" s="132" t="s">
        <v>1209</v>
      </c>
      <c r="J10119" s="129" t="s">
        <v>54</v>
      </c>
      <c r="K10119" s="207">
        <v>3000</v>
      </c>
      <c r="L10119" s="207"/>
      <c r="M10119" s="251"/>
    </row>
    <row r="10120" spans="1:15" ht="11.25" customHeight="1" x14ac:dyDescent="0.2">
      <c r="A10120" s="120">
        <v>2025</v>
      </c>
      <c r="B10120" s="120">
        <v>9</v>
      </c>
      <c r="C10120" s="120">
        <v>2</v>
      </c>
      <c r="D10120" s="208">
        <f t="shared" si="1321"/>
        <v>45902</v>
      </c>
      <c r="E10120" s="293">
        <f t="shared" ref="E10120" si="1326">DATE(A10120,B10120,C10120)</f>
        <v>45902</v>
      </c>
      <c r="F10120" s="515"/>
      <c r="G10120" s="132" t="s">
        <v>1209</v>
      </c>
      <c r="I10120" s="128" t="s">
        <v>1253</v>
      </c>
      <c r="J10120" s="120" t="s">
        <v>113</v>
      </c>
      <c r="K10120" s="207"/>
      <c r="L10120" s="207">
        <v>151250</v>
      </c>
    </row>
    <row r="10121" spans="1:15" ht="11.25" customHeight="1" x14ac:dyDescent="0.2">
      <c r="A10121" s="191">
        <v>2025</v>
      </c>
      <c r="B10121" s="191">
        <v>9</v>
      </c>
      <c r="C10121" s="191">
        <v>2</v>
      </c>
      <c r="D10121" s="192">
        <f t="shared" si="1321"/>
        <v>45902</v>
      </c>
      <c r="E10121" s="193">
        <f t="shared" si="1318"/>
        <v>45902</v>
      </c>
      <c r="F10121" s="514"/>
      <c r="G10121" s="194" t="s">
        <v>1209</v>
      </c>
      <c r="H10121" s="195"/>
      <c r="I10121" s="195"/>
      <c r="J10121" s="250" t="s">
        <v>76</v>
      </c>
      <c r="K10121" s="196"/>
      <c r="L10121" s="196">
        <v>5000000</v>
      </c>
    </row>
    <row r="10122" spans="1:15" ht="11.25" customHeight="1" x14ac:dyDescent="0.2">
      <c r="A10122" s="197">
        <v>2025</v>
      </c>
      <c r="B10122" s="197">
        <v>9</v>
      </c>
      <c r="C10122" s="197">
        <v>2</v>
      </c>
      <c r="D10122" s="198">
        <f t="shared" si="1321"/>
        <v>45902</v>
      </c>
      <c r="E10122" s="290">
        <f t="shared" si="1318"/>
        <v>45902</v>
      </c>
      <c r="F10122" s="513" t="s">
        <v>1514</v>
      </c>
      <c r="G10122" s="200" t="s">
        <v>1209</v>
      </c>
      <c r="H10122" s="201"/>
      <c r="I10122" s="201"/>
      <c r="J10122" s="197" t="s">
        <v>54</v>
      </c>
      <c r="K10122" s="202">
        <v>158</v>
      </c>
      <c r="L10122" s="202"/>
      <c r="M10122" s="251"/>
      <c r="N10122" s="251"/>
      <c r="O10122" s="251"/>
    </row>
    <row r="10123" spans="1:15" ht="11.25" customHeight="1" x14ac:dyDescent="0.2">
      <c r="A10123" s="191">
        <v>2025</v>
      </c>
      <c r="B10123" s="191">
        <v>9</v>
      </c>
      <c r="C10123" s="191">
        <v>2</v>
      </c>
      <c r="D10123" s="192">
        <f t="shared" si="1321"/>
        <v>45902</v>
      </c>
      <c r="E10123" s="291">
        <f t="shared" si="1318"/>
        <v>45902</v>
      </c>
      <c r="F10123" s="514"/>
      <c r="G10123" s="194" t="s">
        <v>1209</v>
      </c>
      <c r="H10123" s="195"/>
      <c r="I10123" s="195"/>
      <c r="J10123" s="191" t="s">
        <v>46</v>
      </c>
      <c r="K10123" s="196"/>
      <c r="L10123" s="196">
        <f>K10122</f>
        <v>158</v>
      </c>
      <c r="M10123" s="251"/>
    </row>
    <row r="10124" spans="1:15" ht="11.25" customHeight="1" x14ac:dyDescent="0.2">
      <c r="A10124" s="197">
        <v>2025</v>
      </c>
      <c r="B10124" s="197">
        <v>9</v>
      </c>
      <c r="C10124" s="197">
        <v>2</v>
      </c>
      <c r="D10124" s="198">
        <f t="shared" si="1321"/>
        <v>45902</v>
      </c>
      <c r="E10124" s="199">
        <f t="shared" si="1318"/>
        <v>45902</v>
      </c>
      <c r="F10124" s="513" t="s">
        <v>1389</v>
      </c>
      <c r="G10124" s="200" t="s">
        <v>1209</v>
      </c>
      <c r="H10124" s="200"/>
      <c r="I10124" s="201" t="s">
        <v>1253</v>
      </c>
      <c r="J10124" s="248" t="s">
        <v>84</v>
      </c>
      <c r="K10124" s="202">
        <v>4343.6899999999996</v>
      </c>
      <c r="L10124" s="202"/>
      <c r="M10124" s="251"/>
    </row>
    <row r="10125" spans="1:15" ht="11.25" customHeight="1" x14ac:dyDescent="0.2">
      <c r="A10125" s="120">
        <v>2025</v>
      </c>
      <c r="B10125" s="120">
        <v>9</v>
      </c>
      <c r="C10125" s="120">
        <v>2</v>
      </c>
      <c r="D10125" s="208">
        <f t="shared" si="1321"/>
        <v>45902</v>
      </c>
      <c r="E10125" s="209">
        <f t="shared" si="1318"/>
        <v>45902</v>
      </c>
      <c r="F10125" s="515"/>
      <c r="G10125" s="132" t="s">
        <v>1209</v>
      </c>
      <c r="H10125" s="132"/>
      <c r="J10125" s="129" t="s">
        <v>457</v>
      </c>
      <c r="K10125" s="207"/>
      <c r="L10125" s="207">
        <v>434.44</v>
      </c>
      <c r="M10125" s="251"/>
    </row>
    <row r="10126" spans="1:15" ht="11.25" customHeight="1" x14ac:dyDescent="0.2">
      <c r="A10126" s="191">
        <v>2025</v>
      </c>
      <c r="B10126" s="191">
        <v>9</v>
      </c>
      <c r="C10126" s="191">
        <v>2</v>
      </c>
      <c r="D10126" s="192">
        <f t="shared" si="1321"/>
        <v>45902</v>
      </c>
      <c r="E10126" s="193">
        <f t="shared" si="1318"/>
        <v>45902</v>
      </c>
      <c r="F10126" s="514"/>
      <c r="G10126" s="194" t="s">
        <v>1209</v>
      </c>
      <c r="H10126" s="194"/>
      <c r="I10126" s="195" t="s">
        <v>1253</v>
      </c>
      <c r="J10126" s="250" t="s">
        <v>46</v>
      </c>
      <c r="K10126" s="196"/>
      <c r="L10126" s="196">
        <v>3909.25</v>
      </c>
      <c r="M10126" s="251"/>
    </row>
    <row r="10127" spans="1:15" x14ac:dyDescent="0.2">
      <c r="A10127" s="197">
        <v>2025</v>
      </c>
      <c r="B10127" s="197">
        <v>9</v>
      </c>
      <c r="C10127" s="197">
        <v>3</v>
      </c>
      <c r="D10127" s="198">
        <f t="shared" si="1321"/>
        <v>45903</v>
      </c>
      <c r="E10127" s="209">
        <f t="shared" si="1318"/>
        <v>45903</v>
      </c>
      <c r="F10127" s="513" t="s">
        <v>1280</v>
      </c>
      <c r="G10127" s="200" t="s">
        <v>1209</v>
      </c>
      <c r="H10127" s="201"/>
      <c r="I10127" s="201"/>
      <c r="J10127" s="197" t="s">
        <v>16</v>
      </c>
      <c r="K10127" s="202">
        <v>487000</v>
      </c>
      <c r="L10127" s="202"/>
    </row>
    <row r="10128" spans="1:15" x14ac:dyDescent="0.2">
      <c r="A10128" s="120">
        <v>2025</v>
      </c>
      <c r="B10128" s="120">
        <v>9</v>
      </c>
      <c r="C10128" s="120">
        <v>3</v>
      </c>
      <c r="D10128" s="208">
        <f t="shared" si="1321"/>
        <v>45903</v>
      </c>
      <c r="E10128" s="209">
        <f t="shared" ref="E10128:E10129" si="1327">DATE(A10128,B10128,C10128)</f>
        <v>45903</v>
      </c>
      <c r="F10128" s="515"/>
      <c r="G10128" s="132" t="s">
        <v>1209</v>
      </c>
      <c r="J10128" s="120" t="s">
        <v>47</v>
      </c>
      <c r="K10128" s="207">
        <v>155596.5</v>
      </c>
      <c r="L10128" s="207"/>
    </row>
    <row r="10129" spans="1:15" x14ac:dyDescent="0.2">
      <c r="A10129" s="191">
        <v>2025</v>
      </c>
      <c r="B10129" s="191">
        <v>9</v>
      </c>
      <c r="C10129" s="191">
        <v>3</v>
      </c>
      <c r="D10129" s="192">
        <f t="shared" si="1321"/>
        <v>45903</v>
      </c>
      <c r="E10129" s="193">
        <f t="shared" si="1327"/>
        <v>45903</v>
      </c>
      <c r="F10129" s="514"/>
      <c r="G10129" s="194" t="s">
        <v>1209</v>
      </c>
      <c r="H10129" s="195"/>
      <c r="I10129" s="195"/>
      <c r="J10129" s="191" t="s">
        <v>46</v>
      </c>
      <c r="K10129" s="196"/>
      <c r="L10129" s="196">
        <v>642596.5</v>
      </c>
    </row>
    <row r="10130" spans="1:15" ht="11.25" customHeight="1" x14ac:dyDescent="0.2">
      <c r="A10130" s="197">
        <v>2025</v>
      </c>
      <c r="B10130" s="197">
        <v>9</v>
      </c>
      <c r="C10130" s="197">
        <v>3</v>
      </c>
      <c r="D10130" s="198">
        <f t="shared" si="1321"/>
        <v>45903</v>
      </c>
      <c r="E10130" s="199">
        <f>DATE(A10130,B10130,C10130)</f>
        <v>45903</v>
      </c>
      <c r="F10130" s="513" t="s">
        <v>2084</v>
      </c>
      <c r="G10130" s="200" t="s">
        <v>1209</v>
      </c>
      <c r="H10130" s="201"/>
      <c r="I10130" s="201"/>
      <c r="J10130" s="197" t="s">
        <v>43</v>
      </c>
      <c r="K10130" s="202">
        <v>123123.68233037347</v>
      </c>
      <c r="L10130" s="202"/>
    </row>
    <row r="10131" spans="1:15" ht="11.25" customHeight="1" x14ac:dyDescent="0.2">
      <c r="A10131" s="120">
        <v>2025</v>
      </c>
      <c r="B10131" s="120">
        <v>9</v>
      </c>
      <c r="C10131" s="120">
        <v>3</v>
      </c>
      <c r="D10131" s="208">
        <f t="shared" si="1321"/>
        <v>45903</v>
      </c>
      <c r="E10131" s="209">
        <f t="shared" ref="E10131" si="1328">DATE(A10131,B10131,C10131)</f>
        <v>45903</v>
      </c>
      <c r="F10131" s="515"/>
      <c r="G10131" s="132" t="s">
        <v>1209</v>
      </c>
      <c r="H10131" s="132"/>
      <c r="J10131" s="129" t="s">
        <v>173</v>
      </c>
      <c r="K10131" s="207">
        <v>41142.370000000003</v>
      </c>
      <c r="L10131" s="207"/>
    </row>
    <row r="10132" spans="1:15" ht="11.25" customHeight="1" x14ac:dyDescent="0.2">
      <c r="A10132" s="120">
        <v>2025</v>
      </c>
      <c r="B10132" s="120">
        <v>9</v>
      </c>
      <c r="C10132" s="120">
        <v>3</v>
      </c>
      <c r="D10132" s="208">
        <f t="shared" si="1321"/>
        <v>45903</v>
      </c>
      <c r="E10132" s="209">
        <f t="shared" ref="E10132" si="1329">DATE(A10132,B10132,C10132)</f>
        <v>45903</v>
      </c>
      <c r="F10132" s="515"/>
      <c r="G10132" s="132" t="s">
        <v>1209</v>
      </c>
      <c r="H10132" s="132"/>
      <c r="J10132" s="129" t="s">
        <v>457</v>
      </c>
      <c r="K10132" s="207"/>
      <c r="L10132" s="207">
        <v>14284</v>
      </c>
      <c r="M10132" s="251"/>
    </row>
    <row r="10133" spans="1:15" ht="11.25" customHeight="1" x14ac:dyDescent="0.2">
      <c r="A10133" s="191">
        <v>2025</v>
      </c>
      <c r="B10133" s="191">
        <v>9</v>
      </c>
      <c r="C10133" s="191">
        <v>3</v>
      </c>
      <c r="D10133" s="192">
        <f t="shared" si="1321"/>
        <v>45903</v>
      </c>
      <c r="E10133" s="193">
        <f>DATE(A10133,B10133,C10133)</f>
        <v>45903</v>
      </c>
      <c r="F10133" s="514"/>
      <c r="G10133" s="194" t="s">
        <v>1209</v>
      </c>
      <c r="H10133" s="195"/>
      <c r="I10133" s="195"/>
      <c r="J10133" s="191" t="s">
        <v>46</v>
      </c>
      <c r="K10133" s="196"/>
      <c r="L10133" s="196">
        <v>149982.04999999999</v>
      </c>
    </row>
    <row r="10134" spans="1:15" ht="11.25" customHeight="1" x14ac:dyDescent="0.2">
      <c r="A10134" s="197">
        <v>2025</v>
      </c>
      <c r="B10134" s="197">
        <v>9</v>
      </c>
      <c r="C10134" s="197">
        <v>4</v>
      </c>
      <c r="D10134" s="198">
        <f t="shared" si="1321"/>
        <v>45904</v>
      </c>
      <c r="E10134" s="290">
        <f t="shared" ref="E10134:E10147" si="1330">DATE(A10134,B10134,C10134)</f>
        <v>45904</v>
      </c>
      <c r="F10134" s="513" t="s">
        <v>2035</v>
      </c>
      <c r="G10134" s="200" t="s">
        <v>1245</v>
      </c>
      <c r="H10134" s="201"/>
      <c r="I10134" s="201" t="s">
        <v>1253</v>
      </c>
      <c r="J10134" s="197" t="s">
        <v>46</v>
      </c>
      <c r="K10134" s="202">
        <v>142333.24</v>
      </c>
      <c r="L10134" s="202"/>
      <c r="M10134" s="130"/>
    </row>
    <row r="10135" spans="1:15" ht="11.25" customHeight="1" x14ac:dyDescent="0.2">
      <c r="A10135" s="191">
        <v>2025</v>
      </c>
      <c r="B10135" s="191">
        <v>9</v>
      </c>
      <c r="C10135" s="191">
        <v>4</v>
      </c>
      <c r="D10135" s="192">
        <f t="shared" si="1321"/>
        <v>45904</v>
      </c>
      <c r="E10135" s="291">
        <f t="shared" si="1330"/>
        <v>45904</v>
      </c>
      <c r="F10135" s="527"/>
      <c r="G10135" s="194" t="s">
        <v>1245</v>
      </c>
      <c r="H10135" s="195"/>
      <c r="I10135" s="195" t="s">
        <v>1253</v>
      </c>
      <c r="J10135" s="191" t="s">
        <v>113</v>
      </c>
      <c r="K10135" s="196"/>
      <c r="L10135" s="196">
        <v>142333.24</v>
      </c>
    </row>
    <row r="10136" spans="1:15" ht="11.25" customHeight="1" x14ac:dyDescent="0.2">
      <c r="A10136" s="197">
        <v>2025</v>
      </c>
      <c r="B10136" s="197">
        <v>9</v>
      </c>
      <c r="C10136" s="197">
        <v>4</v>
      </c>
      <c r="D10136" s="198">
        <f t="shared" si="1321"/>
        <v>45904</v>
      </c>
      <c r="E10136" s="290">
        <f t="shared" si="1330"/>
        <v>45904</v>
      </c>
      <c r="F10136" s="513" t="s">
        <v>1527</v>
      </c>
      <c r="G10136" s="200" t="s">
        <v>1209</v>
      </c>
      <c r="H10136" s="201"/>
      <c r="I10136" s="201"/>
      <c r="J10136" s="197" t="s">
        <v>54</v>
      </c>
      <c r="K10136" s="202">
        <v>100</v>
      </c>
      <c r="L10136" s="202"/>
      <c r="M10136" s="251"/>
      <c r="N10136" s="251"/>
      <c r="O10136" s="251"/>
    </row>
    <row r="10137" spans="1:15" ht="11.25" customHeight="1" x14ac:dyDescent="0.2">
      <c r="A10137" s="191">
        <v>2025</v>
      </c>
      <c r="B10137" s="191">
        <v>9</v>
      </c>
      <c r="C10137" s="191">
        <v>4</v>
      </c>
      <c r="D10137" s="192">
        <f t="shared" si="1321"/>
        <v>45904</v>
      </c>
      <c r="E10137" s="291">
        <f t="shared" si="1330"/>
        <v>45904</v>
      </c>
      <c r="F10137" s="514"/>
      <c r="G10137" s="194" t="s">
        <v>1209</v>
      </c>
      <c r="H10137" s="195"/>
      <c r="I10137" s="195"/>
      <c r="J10137" s="191" t="s">
        <v>46</v>
      </c>
      <c r="K10137" s="196"/>
      <c r="L10137" s="196">
        <f>K10136</f>
        <v>100</v>
      </c>
      <c r="M10137" s="251"/>
    </row>
    <row r="10138" spans="1:15" x14ac:dyDescent="0.2">
      <c r="A10138" s="424">
        <v>2025</v>
      </c>
      <c r="B10138" s="424">
        <v>9</v>
      </c>
      <c r="C10138" s="424">
        <v>4</v>
      </c>
      <c r="D10138" s="425">
        <f t="shared" si="1321"/>
        <v>45904</v>
      </c>
      <c r="E10138" s="384">
        <f t="shared" si="1330"/>
        <v>45904</v>
      </c>
      <c r="F10138" s="516" t="s">
        <v>1850</v>
      </c>
      <c r="G10138" s="426" t="s">
        <v>1209</v>
      </c>
      <c r="H10138" s="427"/>
      <c r="I10138" s="427"/>
      <c r="J10138" s="428" t="s">
        <v>81</v>
      </c>
      <c r="K10138" s="429">
        <v>11170.721538461539</v>
      </c>
      <c r="L10138" s="429"/>
    </row>
    <row r="10139" spans="1:15" x14ac:dyDescent="0.2">
      <c r="A10139" s="389">
        <v>2025</v>
      </c>
      <c r="B10139" s="389">
        <v>9</v>
      </c>
      <c r="C10139" s="389">
        <v>4</v>
      </c>
      <c r="D10139" s="390">
        <f t="shared" si="1321"/>
        <v>45904</v>
      </c>
      <c r="E10139" s="391">
        <f t="shared" si="1330"/>
        <v>45904</v>
      </c>
      <c r="F10139" s="517"/>
      <c r="G10139" s="392" t="s">
        <v>1209</v>
      </c>
      <c r="H10139" s="393"/>
      <c r="I10139" s="393"/>
      <c r="J10139" s="394" t="s">
        <v>1847</v>
      </c>
      <c r="K10139" s="423"/>
      <c r="L10139" s="423">
        <f>K10138</f>
        <v>11170.721538461539</v>
      </c>
    </row>
    <row r="10140" spans="1:15" ht="11.25" customHeight="1" x14ac:dyDescent="0.2">
      <c r="A10140" s="382">
        <v>2025</v>
      </c>
      <c r="B10140" s="382">
        <v>9</v>
      </c>
      <c r="C10140" s="382">
        <v>4</v>
      </c>
      <c r="D10140" s="383">
        <f t="shared" si="1321"/>
        <v>45904</v>
      </c>
      <c r="E10140" s="384">
        <f t="shared" si="1330"/>
        <v>45904</v>
      </c>
      <c r="F10140" s="516" t="s">
        <v>1892</v>
      </c>
      <c r="G10140" s="385" t="s">
        <v>1209</v>
      </c>
      <c r="H10140" s="386"/>
      <c r="I10140" s="386"/>
      <c r="J10140" s="387" t="s">
        <v>173</v>
      </c>
      <c r="K10140" s="388">
        <v>5006.7592287916659</v>
      </c>
      <c r="L10140" s="388"/>
    </row>
    <row r="10141" spans="1:15" ht="11.25" customHeight="1" x14ac:dyDescent="0.2">
      <c r="A10141" s="389">
        <v>2025</v>
      </c>
      <c r="B10141" s="389">
        <v>9</v>
      </c>
      <c r="C10141" s="389">
        <v>4</v>
      </c>
      <c r="D10141" s="390">
        <f t="shared" si="1321"/>
        <v>45904</v>
      </c>
      <c r="E10141" s="391">
        <f t="shared" si="1330"/>
        <v>45904</v>
      </c>
      <c r="F10141" s="517"/>
      <c r="G10141" s="392" t="s">
        <v>1209</v>
      </c>
      <c r="H10141" s="393"/>
      <c r="I10141" s="393"/>
      <c r="J10141" s="394" t="s">
        <v>43</v>
      </c>
      <c r="K10141" s="388"/>
      <c r="L10141" s="423">
        <f>K10140</f>
        <v>5006.7592287916659</v>
      </c>
    </row>
    <row r="10142" spans="1:15" ht="11.25" customHeight="1" x14ac:dyDescent="0.2">
      <c r="A10142" s="344">
        <v>2025</v>
      </c>
      <c r="B10142" s="344">
        <v>9</v>
      </c>
      <c r="C10142" s="344">
        <v>4</v>
      </c>
      <c r="D10142" s="345">
        <f t="shared" si="1321"/>
        <v>45904</v>
      </c>
      <c r="E10142" s="346">
        <f t="shared" si="1330"/>
        <v>45904</v>
      </c>
      <c r="F10142" s="518" t="s">
        <v>1982</v>
      </c>
      <c r="G10142" s="347" t="s">
        <v>1245</v>
      </c>
      <c r="H10142" s="348"/>
      <c r="I10142" s="348" t="s">
        <v>1253</v>
      </c>
      <c r="J10142" s="344" t="s">
        <v>1978</v>
      </c>
      <c r="K10142" s="349">
        <v>148748.07692307694</v>
      </c>
      <c r="L10142" s="349"/>
    </row>
    <row r="10143" spans="1:15" ht="11.25" customHeight="1" x14ac:dyDescent="0.2">
      <c r="A10143" s="350">
        <v>2025</v>
      </c>
      <c r="B10143" s="350">
        <v>9</v>
      </c>
      <c r="C10143" s="350">
        <v>4</v>
      </c>
      <c r="D10143" s="351">
        <f t="shared" si="1321"/>
        <v>45904</v>
      </c>
      <c r="E10143" s="352">
        <f t="shared" si="1330"/>
        <v>45904</v>
      </c>
      <c r="F10143" s="519"/>
      <c r="G10143" s="353" t="s">
        <v>1245</v>
      </c>
      <c r="H10143" s="354"/>
      <c r="I10143" s="354" t="s">
        <v>1253</v>
      </c>
      <c r="J10143" s="350" t="s">
        <v>1979</v>
      </c>
      <c r="K10143" s="355"/>
      <c r="L10143" s="355">
        <f>K10142</f>
        <v>148748.07692307694</v>
      </c>
    </row>
    <row r="10144" spans="1:15" ht="11.25" customHeight="1" x14ac:dyDescent="0.2">
      <c r="A10144" s="344">
        <v>2025</v>
      </c>
      <c r="B10144" s="344">
        <v>9</v>
      </c>
      <c r="C10144" s="344">
        <v>4</v>
      </c>
      <c r="D10144" s="345">
        <f t="shared" si="1321"/>
        <v>45904</v>
      </c>
      <c r="E10144" s="346">
        <f t="shared" si="1330"/>
        <v>45904</v>
      </c>
      <c r="F10144" s="518" t="s">
        <v>2009</v>
      </c>
      <c r="G10144" s="347" t="s">
        <v>1245</v>
      </c>
      <c r="H10144" s="348"/>
      <c r="I10144" s="348" t="s">
        <v>1253</v>
      </c>
      <c r="J10144" s="344" t="s">
        <v>2004</v>
      </c>
      <c r="K10144" s="349">
        <v>49692.31</v>
      </c>
      <c r="L10144" s="349"/>
    </row>
    <row r="10145" spans="1:16" ht="11.25" customHeight="1" x14ac:dyDescent="0.2">
      <c r="A10145" s="350">
        <v>2025</v>
      </c>
      <c r="B10145" s="350">
        <v>9</v>
      </c>
      <c r="C10145" s="350">
        <v>4</v>
      </c>
      <c r="D10145" s="351">
        <f t="shared" si="1321"/>
        <v>45904</v>
      </c>
      <c r="E10145" s="352">
        <f t="shared" si="1330"/>
        <v>45904</v>
      </c>
      <c r="F10145" s="519"/>
      <c r="G10145" s="353" t="s">
        <v>1245</v>
      </c>
      <c r="H10145" s="354"/>
      <c r="I10145" s="354" t="s">
        <v>1253</v>
      </c>
      <c r="J10145" s="350" t="s">
        <v>2008</v>
      </c>
      <c r="K10145" s="355"/>
      <c r="L10145" s="355">
        <f t="shared" ref="L10145" si="1331">K10144</f>
        <v>49692.31</v>
      </c>
    </row>
    <row r="10146" spans="1:16" ht="11.25" customHeight="1" x14ac:dyDescent="0.2">
      <c r="A10146" s="344">
        <v>2025</v>
      </c>
      <c r="B10146" s="344">
        <v>9</v>
      </c>
      <c r="C10146" s="344">
        <v>4</v>
      </c>
      <c r="D10146" s="345">
        <f t="shared" si="1321"/>
        <v>45904</v>
      </c>
      <c r="E10146" s="346">
        <f t="shared" si="1330"/>
        <v>45904</v>
      </c>
      <c r="F10146" s="518" t="s">
        <v>2009</v>
      </c>
      <c r="G10146" s="347" t="s">
        <v>1245</v>
      </c>
      <c r="H10146" s="348"/>
      <c r="I10146" s="348" t="s">
        <v>1253</v>
      </c>
      <c r="J10146" s="344" t="s">
        <v>2004</v>
      </c>
      <c r="K10146" s="349">
        <v>49692.31</v>
      </c>
      <c r="L10146" s="349"/>
    </row>
    <row r="10147" spans="1:16" ht="11.25" customHeight="1" x14ac:dyDescent="0.2">
      <c r="A10147" s="350">
        <v>2025</v>
      </c>
      <c r="B10147" s="350">
        <v>9</v>
      </c>
      <c r="C10147" s="350">
        <v>4</v>
      </c>
      <c r="D10147" s="351">
        <f t="shared" si="1321"/>
        <v>45904</v>
      </c>
      <c r="E10147" s="352">
        <f t="shared" si="1330"/>
        <v>45904</v>
      </c>
      <c r="F10147" s="519"/>
      <c r="G10147" s="353" t="s">
        <v>1245</v>
      </c>
      <c r="H10147" s="354"/>
      <c r="I10147" s="354" t="s">
        <v>1253</v>
      </c>
      <c r="J10147" s="350" t="s">
        <v>2008</v>
      </c>
      <c r="K10147" s="355"/>
      <c r="L10147" s="355">
        <f t="shared" ref="L10147" si="1332">K10146</f>
        <v>49692.31</v>
      </c>
    </row>
    <row r="10148" spans="1:16" ht="11.25" customHeight="1" x14ac:dyDescent="0.2">
      <c r="A10148" s="344">
        <v>2025</v>
      </c>
      <c r="B10148" s="344">
        <v>9</v>
      </c>
      <c r="C10148" s="344">
        <v>4</v>
      </c>
      <c r="D10148" s="345">
        <f t="shared" si="1321"/>
        <v>45904</v>
      </c>
      <c r="E10148" s="346">
        <f>DATE(A10148,B10148,C10148)</f>
        <v>45904</v>
      </c>
      <c r="F10148" s="518" t="s">
        <v>1988</v>
      </c>
      <c r="G10148" s="347" t="s">
        <v>1245</v>
      </c>
      <c r="H10148" s="348"/>
      <c r="I10148" s="348" t="s">
        <v>1253</v>
      </c>
      <c r="J10148" s="344" t="s">
        <v>113</v>
      </c>
      <c r="K10148" s="349">
        <v>32846.15</v>
      </c>
      <c r="L10148" s="349"/>
    </row>
    <row r="10149" spans="1:16" ht="11.25" customHeight="1" x14ac:dyDescent="0.2">
      <c r="A10149" s="350">
        <v>2025</v>
      </c>
      <c r="B10149" s="350">
        <v>9</v>
      </c>
      <c r="C10149" s="350">
        <v>4</v>
      </c>
      <c r="D10149" s="351">
        <f t="shared" si="1321"/>
        <v>45904</v>
      </c>
      <c r="E10149" s="352">
        <f>DATE(A10149,B10149,C10149)</f>
        <v>45904</v>
      </c>
      <c r="F10149" s="519"/>
      <c r="G10149" s="353" t="s">
        <v>1245</v>
      </c>
      <c r="H10149" s="354"/>
      <c r="I10149" s="354" t="s">
        <v>1253</v>
      </c>
      <c r="J10149" s="350" t="s">
        <v>153</v>
      </c>
      <c r="K10149" s="355"/>
      <c r="L10149" s="355">
        <f t="shared" ref="L10149" si="1333">K10148</f>
        <v>32846.15</v>
      </c>
    </row>
    <row r="10150" spans="1:16" ht="11.25" customHeight="1" x14ac:dyDescent="0.2">
      <c r="A10150" s="344">
        <v>2025</v>
      </c>
      <c r="B10150" s="344">
        <v>9</v>
      </c>
      <c r="C10150" s="344">
        <v>4</v>
      </c>
      <c r="D10150" s="345">
        <f t="shared" si="1321"/>
        <v>45904</v>
      </c>
      <c r="E10150" s="346">
        <f t="shared" ref="E10150:E10154" si="1334">DATE(A10150,B10150,C10150)</f>
        <v>45904</v>
      </c>
      <c r="F10150" s="518" t="s">
        <v>1989</v>
      </c>
      <c r="G10150" s="347" t="s">
        <v>1245</v>
      </c>
      <c r="H10150" s="348"/>
      <c r="I10150" s="348" t="s">
        <v>1253</v>
      </c>
      <c r="J10150" s="344" t="s">
        <v>113</v>
      </c>
      <c r="K10150" s="349">
        <v>23461.538461538461</v>
      </c>
      <c r="L10150" s="349"/>
    </row>
    <row r="10151" spans="1:16" ht="11.25" customHeight="1" x14ac:dyDescent="0.2">
      <c r="A10151" s="350">
        <v>2025</v>
      </c>
      <c r="B10151" s="350">
        <v>9</v>
      </c>
      <c r="C10151" s="350">
        <v>4</v>
      </c>
      <c r="D10151" s="351">
        <f t="shared" si="1321"/>
        <v>45904</v>
      </c>
      <c r="E10151" s="352">
        <f t="shared" si="1334"/>
        <v>45904</v>
      </c>
      <c r="F10151" s="519"/>
      <c r="G10151" s="353" t="s">
        <v>1245</v>
      </c>
      <c r="H10151" s="354"/>
      <c r="I10151" s="354" t="s">
        <v>1253</v>
      </c>
      <c r="J10151" s="350" t="s">
        <v>153</v>
      </c>
      <c r="K10151" s="355"/>
      <c r="L10151" s="355">
        <f t="shared" ref="L10151" si="1335">K10150</f>
        <v>23461.538461538461</v>
      </c>
    </row>
    <row r="10152" spans="1:16" ht="11.25" customHeight="1" x14ac:dyDescent="0.2">
      <c r="A10152" s="344">
        <v>2025</v>
      </c>
      <c r="B10152" s="344">
        <v>9</v>
      </c>
      <c r="C10152" s="344">
        <v>4</v>
      </c>
      <c r="D10152" s="345">
        <f t="shared" si="1321"/>
        <v>45904</v>
      </c>
      <c r="E10152" s="346">
        <f t="shared" si="1334"/>
        <v>45904</v>
      </c>
      <c r="F10152" s="518" t="s">
        <v>1990</v>
      </c>
      <c r="G10152" s="347" t="s">
        <v>1245</v>
      </c>
      <c r="H10152" s="348"/>
      <c r="I10152" s="348" t="s">
        <v>1253</v>
      </c>
      <c r="J10152" s="344" t="s">
        <v>113</v>
      </c>
      <c r="K10152" s="349">
        <v>70384.62</v>
      </c>
      <c r="L10152" s="349"/>
      <c r="N10152" s="251"/>
      <c r="O10152" s="251"/>
      <c r="P10152" s="251"/>
    </row>
    <row r="10153" spans="1:16" ht="11.25" customHeight="1" x14ac:dyDescent="0.2">
      <c r="A10153" s="350">
        <v>2025</v>
      </c>
      <c r="B10153" s="350">
        <v>9</v>
      </c>
      <c r="C10153" s="350">
        <v>4</v>
      </c>
      <c r="D10153" s="351">
        <f t="shared" si="1321"/>
        <v>45904</v>
      </c>
      <c r="E10153" s="352">
        <f t="shared" si="1334"/>
        <v>45904</v>
      </c>
      <c r="F10153" s="519"/>
      <c r="G10153" s="353" t="s">
        <v>1245</v>
      </c>
      <c r="H10153" s="354"/>
      <c r="I10153" s="354" t="s">
        <v>1253</v>
      </c>
      <c r="J10153" s="350" t="s">
        <v>153</v>
      </c>
      <c r="K10153" s="355"/>
      <c r="L10153" s="355">
        <f t="shared" ref="L10153" si="1336">K10152</f>
        <v>70384.62</v>
      </c>
    </row>
    <row r="10154" spans="1:16" ht="11.25" customHeight="1" x14ac:dyDescent="0.2">
      <c r="A10154" s="210">
        <v>2025</v>
      </c>
      <c r="B10154" s="210">
        <v>9</v>
      </c>
      <c r="C10154" s="210">
        <v>4</v>
      </c>
      <c r="D10154" s="211">
        <f t="shared" si="1321"/>
        <v>45904</v>
      </c>
      <c r="E10154" s="238">
        <f t="shared" si="1334"/>
        <v>45904</v>
      </c>
      <c r="F10154" s="520" t="s">
        <v>1857</v>
      </c>
      <c r="G10154" s="213" t="s">
        <v>1245</v>
      </c>
      <c r="H10154" s="214"/>
      <c r="I10154" s="214" t="s">
        <v>1253</v>
      </c>
      <c r="J10154" s="210" t="s">
        <v>1284</v>
      </c>
      <c r="K10154" s="215">
        <v>2341.8114143920593</v>
      </c>
      <c r="L10154" s="215"/>
    </row>
    <row r="10155" spans="1:16" ht="11.25" customHeight="1" x14ac:dyDescent="0.2">
      <c r="A10155" s="242">
        <v>2025</v>
      </c>
      <c r="B10155" s="242">
        <v>9</v>
      </c>
      <c r="C10155" s="242">
        <v>4</v>
      </c>
      <c r="D10155" s="243">
        <f t="shared" si="1321"/>
        <v>45904</v>
      </c>
      <c r="E10155" s="244">
        <f>DATE(A10155,B10155,C10155)</f>
        <v>45904</v>
      </c>
      <c r="F10155" s="524"/>
      <c r="G10155" s="245" t="s">
        <v>1245</v>
      </c>
      <c r="H10155" s="246"/>
      <c r="I10155" s="246"/>
      <c r="J10155" s="242" t="s">
        <v>1582</v>
      </c>
      <c r="K10155" s="247"/>
      <c r="L10155" s="247">
        <f>K10154</f>
        <v>2341.8114143920593</v>
      </c>
    </row>
    <row r="10156" spans="1:16" ht="11.25" customHeight="1" x14ac:dyDescent="0.2">
      <c r="A10156" s="210">
        <v>2025</v>
      </c>
      <c r="B10156" s="210">
        <v>9</v>
      </c>
      <c r="C10156" s="210">
        <v>4</v>
      </c>
      <c r="D10156" s="211">
        <f t="shared" ref="D10156:D10219" si="1337">DATE(A10156,B10156,C10156)</f>
        <v>45904</v>
      </c>
      <c r="E10156" s="238">
        <f t="shared" ref="E10156:E10181" si="1338">DATE(A10156,B10156,C10156)</f>
        <v>45904</v>
      </c>
      <c r="F10156" s="520" t="s">
        <v>2055</v>
      </c>
      <c r="G10156" s="213" t="s">
        <v>1245</v>
      </c>
      <c r="H10156" s="214"/>
      <c r="I10156" s="214" t="s">
        <v>1253</v>
      </c>
      <c r="J10156" s="210" t="s">
        <v>58</v>
      </c>
      <c r="K10156" s="215">
        <v>9708.86</v>
      </c>
      <c r="L10156" s="215"/>
    </row>
    <row r="10157" spans="1:16" ht="11.25" customHeight="1" x14ac:dyDescent="0.2">
      <c r="A10157" s="216">
        <v>2025</v>
      </c>
      <c r="B10157" s="216">
        <v>9</v>
      </c>
      <c r="C10157" s="216">
        <v>4</v>
      </c>
      <c r="D10157" s="217">
        <f t="shared" si="1337"/>
        <v>45904</v>
      </c>
      <c r="E10157" s="239">
        <f t="shared" si="1338"/>
        <v>45904</v>
      </c>
      <c r="F10157" s="521"/>
      <c r="G10157" s="219" t="s">
        <v>1245</v>
      </c>
      <c r="H10157" s="220"/>
      <c r="I10157" s="220" t="s">
        <v>1253</v>
      </c>
      <c r="J10157" s="216" t="s">
        <v>153</v>
      </c>
      <c r="K10157" s="221"/>
      <c r="L10157" s="221">
        <f>K10156</f>
        <v>9708.86</v>
      </c>
    </row>
    <row r="10158" spans="1:16" ht="11.25" customHeight="1" x14ac:dyDescent="0.2">
      <c r="A10158" s="312">
        <v>2025</v>
      </c>
      <c r="B10158" s="312">
        <v>9</v>
      </c>
      <c r="C10158" s="312">
        <v>4</v>
      </c>
      <c r="D10158" s="313">
        <f t="shared" si="1337"/>
        <v>45904</v>
      </c>
      <c r="E10158" s="314">
        <f t="shared" si="1338"/>
        <v>45904</v>
      </c>
      <c r="F10158" s="522" t="s">
        <v>1477</v>
      </c>
      <c r="G10158" s="315" t="s">
        <v>1245</v>
      </c>
      <c r="H10158" s="316"/>
      <c r="I10158" s="316" t="s">
        <v>1253</v>
      </c>
      <c r="J10158" s="312" t="s">
        <v>1458</v>
      </c>
      <c r="K10158" s="317">
        <v>0</v>
      </c>
      <c r="L10158" s="317"/>
    </row>
    <row r="10159" spans="1:16" ht="11.25" customHeight="1" x14ac:dyDescent="0.2">
      <c r="A10159" s="318">
        <v>2025</v>
      </c>
      <c r="B10159" s="318">
        <v>9</v>
      </c>
      <c r="C10159" s="318">
        <v>4</v>
      </c>
      <c r="D10159" s="319">
        <f t="shared" si="1337"/>
        <v>45904</v>
      </c>
      <c r="E10159" s="320">
        <f t="shared" si="1338"/>
        <v>45904</v>
      </c>
      <c r="F10159" s="523"/>
      <c r="G10159" s="321" t="s">
        <v>1245</v>
      </c>
      <c r="H10159" s="322"/>
      <c r="I10159" s="322" t="s">
        <v>1253</v>
      </c>
      <c r="J10159" s="318" t="s">
        <v>1460</v>
      </c>
      <c r="K10159" s="323"/>
      <c r="L10159" s="323">
        <f>K10158</f>
        <v>0</v>
      </c>
    </row>
    <row r="10160" spans="1:16" ht="11.25" customHeight="1" x14ac:dyDescent="0.2">
      <c r="A10160" s="312">
        <v>2025</v>
      </c>
      <c r="B10160" s="312">
        <v>9</v>
      </c>
      <c r="C10160" s="312">
        <v>4</v>
      </c>
      <c r="D10160" s="313">
        <f t="shared" si="1337"/>
        <v>45904</v>
      </c>
      <c r="E10160" s="314">
        <f t="shared" si="1338"/>
        <v>45904</v>
      </c>
      <c r="F10160" s="522" t="s">
        <v>1595</v>
      </c>
      <c r="G10160" s="315" t="s">
        <v>1245</v>
      </c>
      <c r="H10160" s="316"/>
      <c r="I10160" s="316" t="s">
        <v>1253</v>
      </c>
      <c r="J10160" s="312" t="s">
        <v>1461</v>
      </c>
      <c r="K10160" s="317">
        <v>412343.68799990416</v>
      </c>
      <c r="L10160" s="317"/>
      <c r="M10160" s="328">
        <f>BS!$I$14</f>
        <v>0</v>
      </c>
    </row>
    <row r="10161" spans="1:13" ht="11.25" customHeight="1" x14ac:dyDescent="0.2">
      <c r="A10161" s="318">
        <v>2025</v>
      </c>
      <c r="B10161" s="318">
        <v>9</v>
      </c>
      <c r="C10161" s="318">
        <v>4</v>
      </c>
      <c r="D10161" s="319">
        <f t="shared" si="1337"/>
        <v>45904</v>
      </c>
      <c r="E10161" s="320">
        <f t="shared" si="1338"/>
        <v>45904</v>
      </c>
      <c r="F10161" s="523"/>
      <c r="G10161" s="321" t="s">
        <v>1245</v>
      </c>
      <c r="H10161" s="322"/>
      <c r="I10161" s="322" t="s">
        <v>1253</v>
      </c>
      <c r="J10161" s="318" t="s">
        <v>1459</v>
      </c>
      <c r="K10161" s="323"/>
      <c r="L10161" s="323">
        <f>K10160</f>
        <v>412343.68799990416</v>
      </c>
      <c r="M10161" s="328"/>
    </row>
    <row r="10162" spans="1:13" ht="11.25" customHeight="1" x14ac:dyDescent="0.2">
      <c r="A10162" s="222">
        <v>2025</v>
      </c>
      <c r="B10162" s="222">
        <v>9</v>
      </c>
      <c r="C10162" s="222">
        <v>4</v>
      </c>
      <c r="D10162" s="223">
        <f t="shared" si="1337"/>
        <v>45904</v>
      </c>
      <c r="E10162" s="240">
        <f t="shared" si="1338"/>
        <v>45904</v>
      </c>
      <c r="F10162" s="511" t="s">
        <v>1244</v>
      </c>
      <c r="G10162" s="225" t="s">
        <v>1245</v>
      </c>
      <c r="H10162" s="226"/>
      <c r="I10162" s="226" t="s">
        <v>1253</v>
      </c>
      <c r="J10162" s="222" t="s">
        <v>87</v>
      </c>
      <c r="K10162" s="227">
        <v>232210.20479999483</v>
      </c>
      <c r="L10162" s="227"/>
      <c r="M10162" s="328">
        <f>BS!$I$7</f>
        <v>0</v>
      </c>
    </row>
    <row r="10163" spans="1:13" ht="11.25" customHeight="1" x14ac:dyDescent="0.2">
      <c r="A10163" s="228">
        <v>2025</v>
      </c>
      <c r="B10163" s="228">
        <v>9</v>
      </c>
      <c r="C10163" s="228">
        <v>4</v>
      </c>
      <c r="D10163" s="229">
        <f t="shared" si="1337"/>
        <v>45904</v>
      </c>
      <c r="E10163" s="241">
        <f t="shared" si="1338"/>
        <v>45904</v>
      </c>
      <c r="F10163" s="512"/>
      <c r="G10163" s="231" t="s">
        <v>1245</v>
      </c>
      <c r="H10163" s="232"/>
      <c r="I10163" s="232" t="s">
        <v>1253</v>
      </c>
      <c r="J10163" s="228" t="s">
        <v>72</v>
      </c>
      <c r="K10163" s="233"/>
      <c r="L10163" s="233">
        <f>K10162</f>
        <v>232210.20479999483</v>
      </c>
    </row>
    <row r="10164" spans="1:13" ht="11.25" customHeight="1" x14ac:dyDescent="0.2">
      <c r="A10164" s="222">
        <v>2025</v>
      </c>
      <c r="B10164" s="222">
        <v>9</v>
      </c>
      <c r="C10164" s="222">
        <v>4</v>
      </c>
      <c r="D10164" s="223">
        <f t="shared" si="1337"/>
        <v>45904</v>
      </c>
      <c r="E10164" s="240">
        <f t="shared" si="1338"/>
        <v>45904</v>
      </c>
      <c r="F10164" s="511" t="s">
        <v>1246</v>
      </c>
      <c r="G10164" s="225" t="s">
        <v>1245</v>
      </c>
      <c r="H10164" s="226"/>
      <c r="I10164" s="226" t="s">
        <v>1253</v>
      </c>
      <c r="J10164" s="222" t="s">
        <v>75</v>
      </c>
      <c r="K10164" s="227">
        <v>3623.123846153846</v>
      </c>
      <c r="L10164" s="227"/>
    </row>
    <row r="10165" spans="1:13" ht="11.25" customHeight="1" x14ac:dyDescent="0.2">
      <c r="A10165" s="228">
        <v>2025</v>
      </c>
      <c r="B10165" s="228">
        <v>9</v>
      </c>
      <c r="C10165" s="228">
        <v>4</v>
      </c>
      <c r="D10165" s="229">
        <f t="shared" si="1337"/>
        <v>45904</v>
      </c>
      <c r="E10165" s="241">
        <f t="shared" si="1338"/>
        <v>45904</v>
      </c>
      <c r="F10165" s="512"/>
      <c r="G10165" s="231" t="s">
        <v>1245</v>
      </c>
      <c r="H10165" s="232"/>
      <c r="I10165" s="232" t="s">
        <v>1253</v>
      </c>
      <c r="J10165" s="228" t="s">
        <v>55</v>
      </c>
      <c r="K10165" s="233"/>
      <c r="L10165" s="233">
        <f>K10164</f>
        <v>3623.123846153846</v>
      </c>
    </row>
    <row r="10166" spans="1:13" ht="11.25" customHeight="1" x14ac:dyDescent="0.2">
      <c r="A10166" s="222">
        <v>2025</v>
      </c>
      <c r="B10166" s="222">
        <v>9</v>
      </c>
      <c r="C10166" s="222">
        <v>4</v>
      </c>
      <c r="D10166" s="223">
        <f t="shared" si="1337"/>
        <v>45904</v>
      </c>
      <c r="E10166" s="240">
        <f t="shared" si="1338"/>
        <v>45904</v>
      </c>
      <c r="F10166" s="511" t="s">
        <v>1247</v>
      </c>
      <c r="G10166" s="225" t="s">
        <v>1245</v>
      </c>
      <c r="H10166" s="226"/>
      <c r="I10166" s="226" t="s">
        <v>1253</v>
      </c>
      <c r="J10166" s="222" t="s">
        <v>77</v>
      </c>
      <c r="K10166" s="227">
        <f>M10166</f>
        <v>56779.202521532243</v>
      </c>
      <c r="L10166" s="227"/>
      <c r="M10166" s="120">
        <v>56779.202521532243</v>
      </c>
    </row>
    <row r="10167" spans="1:13" ht="11.25" customHeight="1" x14ac:dyDescent="0.2">
      <c r="A10167" s="228">
        <v>2025</v>
      </c>
      <c r="B10167" s="228">
        <v>9</v>
      </c>
      <c r="C10167" s="228">
        <v>4</v>
      </c>
      <c r="D10167" s="229">
        <f t="shared" si="1337"/>
        <v>45904</v>
      </c>
      <c r="E10167" s="241">
        <f t="shared" si="1338"/>
        <v>45904</v>
      </c>
      <c r="F10167" s="512"/>
      <c r="G10167" s="231" t="s">
        <v>1245</v>
      </c>
      <c r="H10167" s="232"/>
      <c r="I10167" s="232" t="s">
        <v>1253</v>
      </c>
      <c r="J10167" s="228" t="s">
        <v>41</v>
      </c>
      <c r="K10167" s="233"/>
      <c r="L10167" s="233">
        <f>K10166</f>
        <v>56779.202521532243</v>
      </c>
      <c r="M10167" s="120">
        <v>5677.9202521532243</v>
      </c>
    </row>
    <row r="10168" spans="1:13" ht="11.25" customHeight="1" x14ac:dyDescent="0.2">
      <c r="A10168" s="222">
        <v>2025</v>
      </c>
      <c r="B10168" s="222">
        <v>9</v>
      </c>
      <c r="C10168" s="222">
        <v>4</v>
      </c>
      <c r="D10168" s="223">
        <f t="shared" si="1337"/>
        <v>45904</v>
      </c>
      <c r="E10168" s="240">
        <f t="shared" si="1338"/>
        <v>45904</v>
      </c>
      <c r="F10168" s="511" t="s">
        <v>1248</v>
      </c>
      <c r="G10168" s="225" t="s">
        <v>1245</v>
      </c>
      <c r="H10168" s="226"/>
      <c r="I10168" s="226" t="s">
        <v>1253</v>
      </c>
      <c r="J10168" s="222" t="s">
        <v>80</v>
      </c>
      <c r="K10168" s="227">
        <f>M10167</f>
        <v>5677.9202521532243</v>
      </c>
      <c r="L10168" s="227"/>
    </row>
    <row r="10169" spans="1:13" ht="11.25" customHeight="1" x14ac:dyDescent="0.2">
      <c r="A10169" s="228">
        <v>2025</v>
      </c>
      <c r="B10169" s="228">
        <v>9</v>
      </c>
      <c r="C10169" s="228">
        <v>4</v>
      </c>
      <c r="D10169" s="229">
        <f t="shared" si="1337"/>
        <v>45904</v>
      </c>
      <c r="E10169" s="241">
        <f t="shared" si="1338"/>
        <v>45904</v>
      </c>
      <c r="F10169" s="512"/>
      <c r="G10169" s="231" t="s">
        <v>1245</v>
      </c>
      <c r="H10169" s="232"/>
      <c r="I10169" s="232" t="s">
        <v>1253</v>
      </c>
      <c r="J10169" s="228" t="s">
        <v>42</v>
      </c>
      <c r="K10169" s="233"/>
      <c r="L10169" s="233">
        <f>K10168</f>
        <v>5677.9202521532243</v>
      </c>
    </row>
    <row r="10170" spans="1:13" x14ac:dyDescent="0.2">
      <c r="A10170" s="197">
        <v>2025</v>
      </c>
      <c r="B10170" s="197">
        <v>9</v>
      </c>
      <c r="C10170" s="197">
        <v>5</v>
      </c>
      <c r="D10170" s="198">
        <f t="shared" si="1337"/>
        <v>45905</v>
      </c>
      <c r="E10170" s="209">
        <f t="shared" si="1338"/>
        <v>45905</v>
      </c>
      <c r="F10170" s="513" t="s">
        <v>1296</v>
      </c>
      <c r="G10170" s="200" t="s">
        <v>1209</v>
      </c>
      <c r="H10170" s="201"/>
      <c r="I10170" s="201"/>
      <c r="J10170" s="197" t="s">
        <v>46</v>
      </c>
      <c r="K10170" s="202">
        <v>36000</v>
      </c>
      <c r="L10170" s="202"/>
    </row>
    <row r="10171" spans="1:13" x14ac:dyDescent="0.2">
      <c r="A10171" s="120">
        <v>2025</v>
      </c>
      <c r="B10171" s="120">
        <v>9</v>
      </c>
      <c r="C10171" s="120">
        <v>5</v>
      </c>
      <c r="D10171" s="208">
        <f t="shared" si="1337"/>
        <v>45905</v>
      </c>
      <c r="E10171" s="209">
        <f t="shared" si="1338"/>
        <v>45905</v>
      </c>
      <c r="F10171" s="515"/>
      <c r="G10171" s="132" t="s">
        <v>1209</v>
      </c>
      <c r="J10171" s="120" t="s">
        <v>16</v>
      </c>
      <c r="K10171" s="207"/>
      <c r="L10171" s="207">
        <v>27210</v>
      </c>
    </row>
    <row r="10172" spans="1:13" x14ac:dyDescent="0.2">
      <c r="A10172" s="191">
        <v>2025</v>
      </c>
      <c r="B10172" s="191">
        <v>9</v>
      </c>
      <c r="C10172" s="191">
        <v>5</v>
      </c>
      <c r="D10172" s="192">
        <f t="shared" si="1337"/>
        <v>45905</v>
      </c>
      <c r="E10172" s="193">
        <f t="shared" si="1338"/>
        <v>45905</v>
      </c>
      <c r="F10172" s="514"/>
      <c r="G10172" s="194" t="s">
        <v>1209</v>
      </c>
      <c r="H10172" s="195"/>
      <c r="I10172" s="195"/>
      <c r="J10172" s="191" t="s">
        <v>47</v>
      </c>
      <c r="K10172" s="196"/>
      <c r="L10172" s="196">
        <v>8790</v>
      </c>
    </row>
    <row r="10173" spans="1:13" x14ac:dyDescent="0.2">
      <c r="A10173" s="197">
        <v>2025</v>
      </c>
      <c r="B10173" s="197">
        <v>9</v>
      </c>
      <c r="C10173" s="197">
        <v>7</v>
      </c>
      <c r="D10173" s="198">
        <f t="shared" si="1337"/>
        <v>45907</v>
      </c>
      <c r="E10173" s="209">
        <f t="shared" ref="E10173:E10175" si="1339">DATE(A10173,B10173,C10173)</f>
        <v>45907</v>
      </c>
      <c r="F10173" s="513" t="s">
        <v>1296</v>
      </c>
      <c r="G10173" s="200" t="s">
        <v>1209</v>
      </c>
      <c r="H10173" s="201"/>
      <c r="I10173" s="201"/>
      <c r="J10173" s="197" t="s">
        <v>46</v>
      </c>
      <c r="K10173" s="202">
        <v>132000</v>
      </c>
      <c r="L10173" s="202"/>
    </row>
    <row r="10174" spans="1:13" x14ac:dyDescent="0.2">
      <c r="A10174" s="120">
        <v>2025</v>
      </c>
      <c r="B10174" s="120">
        <v>9</v>
      </c>
      <c r="C10174" s="120">
        <v>7</v>
      </c>
      <c r="D10174" s="208">
        <f t="shared" si="1337"/>
        <v>45907</v>
      </c>
      <c r="E10174" s="209">
        <f t="shared" si="1339"/>
        <v>45907</v>
      </c>
      <c r="F10174" s="515"/>
      <c r="G10174" s="132" t="s">
        <v>1209</v>
      </c>
      <c r="J10174" s="120" t="s">
        <v>16</v>
      </c>
      <c r="K10174" s="207"/>
      <c r="L10174" s="207">
        <v>99750</v>
      </c>
    </row>
    <row r="10175" spans="1:13" x14ac:dyDescent="0.2">
      <c r="A10175" s="191">
        <v>2025</v>
      </c>
      <c r="B10175" s="191">
        <v>9</v>
      </c>
      <c r="C10175" s="191">
        <v>7</v>
      </c>
      <c r="D10175" s="192">
        <f t="shared" si="1337"/>
        <v>45907</v>
      </c>
      <c r="E10175" s="193">
        <f t="shared" si="1339"/>
        <v>45907</v>
      </c>
      <c r="F10175" s="514"/>
      <c r="G10175" s="194" t="s">
        <v>1209</v>
      </c>
      <c r="H10175" s="195"/>
      <c r="I10175" s="195"/>
      <c r="J10175" s="191" t="s">
        <v>47</v>
      </c>
      <c r="K10175" s="196"/>
      <c r="L10175" s="196">
        <v>32250</v>
      </c>
    </row>
    <row r="10176" spans="1:13" x14ac:dyDescent="0.2">
      <c r="A10176" s="197">
        <v>2025</v>
      </c>
      <c r="B10176" s="197">
        <v>9</v>
      </c>
      <c r="C10176" s="197">
        <v>7</v>
      </c>
      <c r="D10176" s="198">
        <f t="shared" si="1337"/>
        <v>45907</v>
      </c>
      <c r="E10176" s="209">
        <f t="shared" si="1338"/>
        <v>45907</v>
      </c>
      <c r="F10176" s="513" t="s">
        <v>1280</v>
      </c>
      <c r="G10176" s="200" t="s">
        <v>1209</v>
      </c>
      <c r="H10176" s="201"/>
      <c r="I10176" s="201"/>
      <c r="J10176" s="197" t="s">
        <v>16</v>
      </c>
      <c r="K10176" s="202">
        <v>75570</v>
      </c>
      <c r="L10176" s="202"/>
    </row>
    <row r="10177" spans="1:12" x14ac:dyDescent="0.2">
      <c r="A10177" s="120">
        <v>2025</v>
      </c>
      <c r="B10177" s="120">
        <v>9</v>
      </c>
      <c r="C10177" s="120">
        <v>7</v>
      </c>
      <c r="D10177" s="208">
        <f t="shared" si="1337"/>
        <v>45907</v>
      </c>
      <c r="E10177" s="209">
        <f t="shared" si="1338"/>
        <v>45907</v>
      </c>
      <c r="F10177" s="515"/>
      <c r="G10177" s="132" t="s">
        <v>1209</v>
      </c>
      <c r="J10177" s="120" t="s">
        <v>47</v>
      </c>
      <c r="K10177" s="207">
        <v>24431.78</v>
      </c>
      <c r="L10177" s="207"/>
    </row>
    <row r="10178" spans="1:12" x14ac:dyDescent="0.2">
      <c r="A10178" s="191">
        <v>2025</v>
      </c>
      <c r="B10178" s="191">
        <v>9</v>
      </c>
      <c r="C10178" s="191">
        <v>7</v>
      </c>
      <c r="D10178" s="192">
        <f t="shared" si="1337"/>
        <v>45907</v>
      </c>
      <c r="E10178" s="193">
        <f t="shared" si="1338"/>
        <v>45907</v>
      </c>
      <c r="F10178" s="514"/>
      <c r="G10178" s="194" t="s">
        <v>1209</v>
      </c>
      <c r="H10178" s="195"/>
      <c r="I10178" s="195"/>
      <c r="J10178" s="191" t="s">
        <v>46</v>
      </c>
      <c r="K10178" s="196"/>
      <c r="L10178" s="196">
        <v>100001.78</v>
      </c>
    </row>
    <row r="10179" spans="1:12" x14ac:dyDescent="0.2">
      <c r="A10179" s="197">
        <v>2025</v>
      </c>
      <c r="B10179" s="197">
        <v>9</v>
      </c>
      <c r="C10179" s="197">
        <v>7</v>
      </c>
      <c r="D10179" s="198">
        <f t="shared" si="1337"/>
        <v>45907</v>
      </c>
      <c r="E10179" s="209">
        <f t="shared" si="1338"/>
        <v>45907</v>
      </c>
      <c r="F10179" s="513" t="s">
        <v>1280</v>
      </c>
      <c r="G10179" s="200" t="s">
        <v>1209</v>
      </c>
      <c r="H10179" s="201"/>
      <c r="I10179" s="201"/>
      <c r="J10179" s="197" t="s">
        <v>16</v>
      </c>
      <c r="K10179" s="202">
        <v>33420</v>
      </c>
      <c r="L10179" s="202"/>
    </row>
    <row r="10180" spans="1:12" x14ac:dyDescent="0.2">
      <c r="A10180" s="120">
        <v>2025</v>
      </c>
      <c r="B10180" s="120">
        <v>9</v>
      </c>
      <c r="C10180" s="120">
        <v>7</v>
      </c>
      <c r="D10180" s="208">
        <f t="shared" si="1337"/>
        <v>45907</v>
      </c>
      <c r="E10180" s="209">
        <f t="shared" si="1338"/>
        <v>45907</v>
      </c>
      <c r="F10180" s="515"/>
      <c r="G10180" s="132" t="s">
        <v>1209</v>
      </c>
      <c r="J10180" s="120" t="s">
        <v>47</v>
      </c>
      <c r="K10180" s="207">
        <v>10804.940000000002</v>
      </c>
      <c r="L10180" s="207"/>
    </row>
    <row r="10181" spans="1:12" x14ac:dyDescent="0.2">
      <c r="A10181" s="191">
        <v>2025</v>
      </c>
      <c r="B10181" s="191">
        <v>9</v>
      </c>
      <c r="C10181" s="191">
        <v>7</v>
      </c>
      <c r="D10181" s="192">
        <f t="shared" si="1337"/>
        <v>45907</v>
      </c>
      <c r="E10181" s="193">
        <f t="shared" si="1338"/>
        <v>45907</v>
      </c>
      <c r="F10181" s="514"/>
      <c r="G10181" s="194" t="s">
        <v>1209</v>
      </c>
      <c r="H10181" s="195"/>
      <c r="I10181" s="195"/>
      <c r="J10181" s="191" t="s">
        <v>46</v>
      </c>
      <c r="K10181" s="196"/>
      <c r="L10181" s="196">
        <v>44224.94</v>
      </c>
    </row>
    <row r="10182" spans="1:12" x14ac:dyDescent="0.2">
      <c r="A10182" s="197">
        <v>2025</v>
      </c>
      <c r="B10182" s="197">
        <v>9</v>
      </c>
      <c r="C10182" s="197">
        <v>7</v>
      </c>
      <c r="D10182" s="198">
        <f t="shared" si="1337"/>
        <v>45907</v>
      </c>
      <c r="E10182" s="209">
        <f t="shared" ref="E10182:E10187" si="1340">DATE(A10182,B10182,C10182)</f>
        <v>45907</v>
      </c>
      <c r="F10182" s="513" t="s">
        <v>1280</v>
      </c>
      <c r="G10182" s="200" t="s">
        <v>1209</v>
      </c>
      <c r="H10182" s="201"/>
      <c r="I10182" s="201"/>
      <c r="J10182" s="197" t="s">
        <v>16</v>
      </c>
      <c r="K10182" s="202">
        <v>5290</v>
      </c>
      <c r="L10182" s="202"/>
    </row>
    <row r="10183" spans="1:12" x14ac:dyDescent="0.2">
      <c r="A10183" s="120">
        <v>2025</v>
      </c>
      <c r="B10183" s="120">
        <v>9</v>
      </c>
      <c r="C10183" s="120">
        <v>7</v>
      </c>
      <c r="D10183" s="208">
        <f t="shared" si="1337"/>
        <v>45907</v>
      </c>
      <c r="E10183" s="209">
        <f t="shared" si="1340"/>
        <v>45907</v>
      </c>
      <c r="F10183" s="515"/>
      <c r="G10183" s="132" t="s">
        <v>1209</v>
      </c>
      <c r="J10183" s="120" t="s">
        <v>47</v>
      </c>
      <c r="K10183" s="207">
        <v>1710</v>
      </c>
      <c r="L10183" s="207"/>
    </row>
    <row r="10184" spans="1:12" x14ac:dyDescent="0.2">
      <c r="A10184" s="191">
        <v>2025</v>
      </c>
      <c r="B10184" s="191">
        <v>9</v>
      </c>
      <c r="C10184" s="191">
        <v>7</v>
      </c>
      <c r="D10184" s="192">
        <f t="shared" si="1337"/>
        <v>45907</v>
      </c>
      <c r="E10184" s="193">
        <f t="shared" si="1340"/>
        <v>45907</v>
      </c>
      <c r="F10184" s="514"/>
      <c r="G10184" s="194" t="s">
        <v>1209</v>
      </c>
      <c r="H10184" s="195"/>
      <c r="I10184" s="195"/>
      <c r="J10184" s="191" t="s">
        <v>46</v>
      </c>
      <c r="K10184" s="196"/>
      <c r="L10184" s="196">
        <v>7000</v>
      </c>
    </row>
    <row r="10185" spans="1:12" x14ac:dyDescent="0.2">
      <c r="A10185" s="197">
        <v>2025</v>
      </c>
      <c r="B10185" s="197">
        <v>9</v>
      </c>
      <c r="C10185" s="197">
        <v>7</v>
      </c>
      <c r="D10185" s="198">
        <f t="shared" si="1337"/>
        <v>45907</v>
      </c>
      <c r="E10185" s="209">
        <f t="shared" si="1340"/>
        <v>45907</v>
      </c>
      <c r="F10185" s="513" t="s">
        <v>1210</v>
      </c>
      <c r="G10185" s="200" t="s">
        <v>1209</v>
      </c>
      <c r="H10185" s="201"/>
      <c r="I10185" s="201"/>
      <c r="J10185" s="197" t="s">
        <v>46</v>
      </c>
      <c r="K10185" s="202">
        <v>150000</v>
      </c>
      <c r="L10185" s="202"/>
    </row>
    <row r="10186" spans="1:12" x14ac:dyDescent="0.2">
      <c r="A10186" s="120">
        <v>2025</v>
      </c>
      <c r="B10186" s="120">
        <v>9</v>
      </c>
      <c r="C10186" s="120">
        <v>7</v>
      </c>
      <c r="D10186" s="208">
        <f t="shared" si="1337"/>
        <v>45907</v>
      </c>
      <c r="E10186" s="209">
        <f t="shared" si="1340"/>
        <v>45907</v>
      </c>
      <c r="F10186" s="515"/>
      <c r="G10186" s="132" t="s">
        <v>1209</v>
      </c>
      <c r="J10186" s="120" t="s">
        <v>16</v>
      </c>
      <c r="K10186" s="207"/>
      <c r="L10186" s="207">
        <v>113350</v>
      </c>
    </row>
    <row r="10187" spans="1:12" x14ac:dyDescent="0.2">
      <c r="A10187" s="191">
        <v>2025</v>
      </c>
      <c r="B10187" s="191">
        <v>9</v>
      </c>
      <c r="C10187" s="191">
        <v>7</v>
      </c>
      <c r="D10187" s="192">
        <f t="shared" si="1337"/>
        <v>45907</v>
      </c>
      <c r="E10187" s="193">
        <f t="shared" si="1340"/>
        <v>45907</v>
      </c>
      <c r="F10187" s="514"/>
      <c r="G10187" s="194" t="s">
        <v>1209</v>
      </c>
      <c r="H10187" s="195"/>
      <c r="I10187" s="195"/>
      <c r="J10187" s="191" t="s">
        <v>47</v>
      </c>
      <c r="K10187" s="196"/>
      <c r="L10187" s="196">
        <v>36650</v>
      </c>
    </row>
    <row r="10188" spans="1:12" x14ac:dyDescent="0.2">
      <c r="A10188" s="197">
        <v>2025</v>
      </c>
      <c r="B10188" s="197">
        <v>9</v>
      </c>
      <c r="C10188" s="197">
        <v>8</v>
      </c>
      <c r="D10188" s="198">
        <f t="shared" si="1337"/>
        <v>45908</v>
      </c>
      <c r="E10188" s="209">
        <f t="shared" ref="E10188:E10190" si="1341">DATE(A10188,B10188,C10188)</f>
        <v>45908</v>
      </c>
      <c r="F10188" s="513" t="s">
        <v>1280</v>
      </c>
      <c r="G10188" s="200" t="s">
        <v>1209</v>
      </c>
      <c r="H10188" s="201"/>
      <c r="I10188" s="201"/>
      <c r="J10188" s="197" t="s">
        <v>16</v>
      </c>
      <c r="K10188" s="202">
        <v>188920</v>
      </c>
      <c r="L10188" s="202"/>
    </row>
    <row r="10189" spans="1:12" x14ac:dyDescent="0.2">
      <c r="A10189" s="120">
        <v>2025</v>
      </c>
      <c r="B10189" s="120">
        <v>9</v>
      </c>
      <c r="C10189" s="120">
        <v>8</v>
      </c>
      <c r="D10189" s="208">
        <f t="shared" si="1337"/>
        <v>45908</v>
      </c>
      <c r="E10189" s="209">
        <f t="shared" si="1341"/>
        <v>45908</v>
      </c>
      <c r="F10189" s="515"/>
      <c r="G10189" s="132" t="s">
        <v>1209</v>
      </c>
      <c r="J10189" s="120" t="s">
        <v>47</v>
      </c>
      <c r="K10189" s="207">
        <v>61080</v>
      </c>
      <c r="L10189" s="207"/>
    </row>
    <row r="10190" spans="1:12" x14ac:dyDescent="0.2">
      <c r="A10190" s="191">
        <v>2025</v>
      </c>
      <c r="B10190" s="191">
        <v>9</v>
      </c>
      <c r="C10190" s="191">
        <v>8</v>
      </c>
      <c r="D10190" s="192">
        <f t="shared" si="1337"/>
        <v>45908</v>
      </c>
      <c r="E10190" s="193">
        <f t="shared" si="1341"/>
        <v>45908</v>
      </c>
      <c r="F10190" s="514"/>
      <c r="G10190" s="194" t="s">
        <v>1209</v>
      </c>
      <c r="H10190" s="195"/>
      <c r="I10190" s="195"/>
      <c r="J10190" s="191" t="s">
        <v>46</v>
      </c>
      <c r="K10190" s="196"/>
      <c r="L10190" s="196">
        <v>250000</v>
      </c>
    </row>
    <row r="10191" spans="1:12" x14ac:dyDescent="0.2">
      <c r="A10191" s="197">
        <v>2025</v>
      </c>
      <c r="B10191" s="197">
        <v>9</v>
      </c>
      <c r="C10191" s="197">
        <v>8</v>
      </c>
      <c r="D10191" s="198">
        <f t="shared" si="1337"/>
        <v>45908</v>
      </c>
      <c r="E10191" s="209">
        <f t="shared" ref="E10191:E10193" si="1342">DATE(A10191,B10191,C10191)</f>
        <v>45908</v>
      </c>
      <c r="F10191" s="513" t="s">
        <v>1280</v>
      </c>
      <c r="G10191" s="200" t="s">
        <v>1209</v>
      </c>
      <c r="H10191" s="201"/>
      <c r="I10191" s="201"/>
      <c r="J10191" s="197" t="s">
        <v>16</v>
      </c>
      <c r="K10191" s="202">
        <v>36850</v>
      </c>
      <c r="L10191" s="202"/>
    </row>
    <row r="10192" spans="1:12" x14ac:dyDescent="0.2">
      <c r="A10192" s="120">
        <v>2025</v>
      </c>
      <c r="B10192" s="120">
        <v>9</v>
      </c>
      <c r="C10192" s="120">
        <v>8</v>
      </c>
      <c r="D10192" s="208">
        <f t="shared" si="1337"/>
        <v>45908</v>
      </c>
      <c r="E10192" s="209">
        <f t="shared" si="1342"/>
        <v>45908</v>
      </c>
      <c r="F10192" s="515"/>
      <c r="G10192" s="132" t="s">
        <v>1209</v>
      </c>
      <c r="J10192" s="120" t="s">
        <v>47</v>
      </c>
      <c r="K10192" s="207">
        <v>11913.61</v>
      </c>
      <c r="L10192" s="207"/>
    </row>
    <row r="10193" spans="1:15" x14ac:dyDescent="0.2">
      <c r="A10193" s="191">
        <v>2025</v>
      </c>
      <c r="B10193" s="191">
        <v>9</v>
      </c>
      <c r="C10193" s="191">
        <v>8</v>
      </c>
      <c r="D10193" s="192">
        <f t="shared" si="1337"/>
        <v>45908</v>
      </c>
      <c r="E10193" s="193">
        <f t="shared" si="1342"/>
        <v>45908</v>
      </c>
      <c r="F10193" s="514"/>
      <c r="G10193" s="194" t="s">
        <v>1209</v>
      </c>
      <c r="H10193" s="195"/>
      <c r="I10193" s="195"/>
      <c r="J10193" s="191" t="s">
        <v>46</v>
      </c>
      <c r="K10193" s="196"/>
      <c r="L10193" s="196">
        <v>48763.61</v>
      </c>
    </row>
    <row r="10194" spans="1:15" x14ac:dyDescent="0.2">
      <c r="A10194" s="197">
        <v>2025</v>
      </c>
      <c r="B10194" s="197">
        <v>9</v>
      </c>
      <c r="C10194" s="197">
        <v>8</v>
      </c>
      <c r="D10194" s="198">
        <f t="shared" si="1337"/>
        <v>45908</v>
      </c>
      <c r="E10194" s="209">
        <f t="shared" ref="E10194:E10201" si="1343">DATE(A10194,B10194,C10194)</f>
        <v>45908</v>
      </c>
      <c r="F10194" s="513" t="s">
        <v>1280</v>
      </c>
      <c r="G10194" s="200" t="s">
        <v>1209</v>
      </c>
      <c r="H10194" s="201"/>
      <c r="I10194" s="201"/>
      <c r="J10194" s="197" t="s">
        <v>16</v>
      </c>
      <c r="K10194" s="202">
        <v>392960</v>
      </c>
      <c r="L10194" s="202"/>
    </row>
    <row r="10195" spans="1:15" x14ac:dyDescent="0.2">
      <c r="A10195" s="120">
        <v>2025</v>
      </c>
      <c r="B10195" s="120">
        <v>9</v>
      </c>
      <c r="C10195" s="120">
        <v>8</v>
      </c>
      <c r="D10195" s="208">
        <f t="shared" si="1337"/>
        <v>45908</v>
      </c>
      <c r="E10195" s="209">
        <f t="shared" si="1343"/>
        <v>45908</v>
      </c>
      <c r="F10195" s="515"/>
      <c r="G10195" s="132" t="s">
        <v>1209</v>
      </c>
      <c r="J10195" s="120" t="s">
        <v>47</v>
      </c>
      <c r="K10195" s="207">
        <v>127040</v>
      </c>
      <c r="L10195" s="207"/>
    </row>
    <row r="10196" spans="1:15" x14ac:dyDescent="0.2">
      <c r="A10196" s="191">
        <v>2025</v>
      </c>
      <c r="B10196" s="191">
        <v>9</v>
      </c>
      <c r="C10196" s="191">
        <v>8</v>
      </c>
      <c r="D10196" s="192">
        <f t="shared" si="1337"/>
        <v>45908</v>
      </c>
      <c r="E10196" s="193">
        <f t="shared" si="1343"/>
        <v>45908</v>
      </c>
      <c r="F10196" s="514"/>
      <c r="G10196" s="194" t="s">
        <v>1209</v>
      </c>
      <c r="H10196" s="195"/>
      <c r="I10196" s="195"/>
      <c r="J10196" s="191" t="s">
        <v>46</v>
      </c>
      <c r="K10196" s="196"/>
      <c r="L10196" s="196">
        <v>520000</v>
      </c>
    </row>
    <row r="10197" spans="1:15" x14ac:dyDescent="0.2">
      <c r="A10197" s="197">
        <v>2025</v>
      </c>
      <c r="B10197" s="197">
        <v>9</v>
      </c>
      <c r="C10197" s="197">
        <v>8</v>
      </c>
      <c r="D10197" s="198">
        <f t="shared" si="1337"/>
        <v>45908</v>
      </c>
      <c r="E10197" s="209">
        <f t="shared" si="1343"/>
        <v>45908</v>
      </c>
      <c r="F10197" s="513" t="s">
        <v>1210</v>
      </c>
      <c r="G10197" s="200" t="s">
        <v>1209</v>
      </c>
      <c r="H10197" s="201"/>
      <c r="I10197" s="201"/>
      <c r="J10197" s="197" t="s">
        <v>46</v>
      </c>
      <c r="K10197" s="202">
        <v>1000000</v>
      </c>
      <c r="L10197" s="202"/>
    </row>
    <row r="10198" spans="1:15" x14ac:dyDescent="0.2">
      <c r="A10198" s="120">
        <v>2025</v>
      </c>
      <c r="B10198" s="120">
        <v>9</v>
      </c>
      <c r="C10198" s="120">
        <v>8</v>
      </c>
      <c r="D10198" s="208">
        <f t="shared" si="1337"/>
        <v>45908</v>
      </c>
      <c r="E10198" s="209">
        <f t="shared" si="1343"/>
        <v>45908</v>
      </c>
      <c r="F10198" s="515"/>
      <c r="G10198" s="132" t="s">
        <v>1209</v>
      </c>
      <c r="J10198" s="120" t="s">
        <v>16</v>
      </c>
      <c r="K10198" s="207"/>
      <c r="L10198" s="207">
        <v>755690</v>
      </c>
    </row>
    <row r="10199" spans="1:15" x14ac:dyDescent="0.2">
      <c r="A10199" s="191">
        <v>2025</v>
      </c>
      <c r="B10199" s="191">
        <v>9</v>
      </c>
      <c r="C10199" s="191">
        <v>8</v>
      </c>
      <c r="D10199" s="192">
        <f t="shared" si="1337"/>
        <v>45908</v>
      </c>
      <c r="E10199" s="193">
        <f t="shared" si="1343"/>
        <v>45908</v>
      </c>
      <c r="F10199" s="514"/>
      <c r="G10199" s="194" t="s">
        <v>1209</v>
      </c>
      <c r="H10199" s="195"/>
      <c r="I10199" s="195"/>
      <c r="J10199" s="191" t="s">
        <v>47</v>
      </c>
      <c r="K10199" s="196"/>
      <c r="L10199" s="196">
        <v>244310</v>
      </c>
    </row>
    <row r="10200" spans="1:15" ht="11.25" customHeight="1" x14ac:dyDescent="0.2">
      <c r="A10200" s="197">
        <v>2025</v>
      </c>
      <c r="B10200" s="197">
        <v>9</v>
      </c>
      <c r="C10200" s="197">
        <v>8</v>
      </c>
      <c r="D10200" s="198">
        <f t="shared" si="1337"/>
        <v>45908</v>
      </c>
      <c r="E10200" s="290">
        <f t="shared" si="1343"/>
        <v>45908</v>
      </c>
      <c r="F10200" s="513" t="s">
        <v>1527</v>
      </c>
      <c r="G10200" s="200" t="s">
        <v>1209</v>
      </c>
      <c r="H10200" s="201"/>
      <c r="I10200" s="201"/>
      <c r="J10200" s="197" t="s">
        <v>54</v>
      </c>
      <c r="K10200" s="202">
        <f>158+60</f>
        <v>218</v>
      </c>
      <c r="L10200" s="202"/>
      <c r="M10200" s="251"/>
      <c r="N10200" s="251"/>
      <c r="O10200" s="251"/>
    </row>
    <row r="10201" spans="1:15" ht="11.25" customHeight="1" x14ac:dyDescent="0.2">
      <c r="A10201" s="191">
        <v>2025</v>
      </c>
      <c r="B10201" s="191">
        <v>9</v>
      </c>
      <c r="C10201" s="191">
        <v>8</v>
      </c>
      <c r="D10201" s="192">
        <f t="shared" si="1337"/>
        <v>45908</v>
      </c>
      <c r="E10201" s="291">
        <f t="shared" si="1343"/>
        <v>45908</v>
      </c>
      <c r="F10201" s="514"/>
      <c r="G10201" s="194" t="s">
        <v>1209</v>
      </c>
      <c r="H10201" s="195"/>
      <c r="I10201" s="195"/>
      <c r="J10201" s="191" t="s">
        <v>46</v>
      </c>
      <c r="K10201" s="196"/>
      <c r="L10201" s="196">
        <f>K10200</f>
        <v>218</v>
      </c>
      <c r="M10201" s="251"/>
    </row>
    <row r="10202" spans="1:15" x14ac:dyDescent="0.2">
      <c r="A10202" s="197">
        <v>2025</v>
      </c>
      <c r="B10202" s="197">
        <v>9</v>
      </c>
      <c r="C10202" s="197">
        <v>9</v>
      </c>
      <c r="D10202" s="198">
        <f t="shared" si="1337"/>
        <v>45909</v>
      </c>
      <c r="E10202" s="209">
        <f t="shared" ref="E10202:E10207" si="1344">DATE(A10202,B10202,C10202)</f>
        <v>45909</v>
      </c>
      <c r="F10202" s="513" t="s">
        <v>1280</v>
      </c>
      <c r="G10202" s="200" t="s">
        <v>1209</v>
      </c>
      <c r="H10202" s="201"/>
      <c r="I10202" s="201"/>
      <c r="J10202" s="197" t="s">
        <v>16</v>
      </c>
      <c r="K10202" s="202">
        <v>25800</v>
      </c>
      <c r="L10202" s="202"/>
    </row>
    <row r="10203" spans="1:15" x14ac:dyDescent="0.2">
      <c r="A10203" s="120">
        <v>2025</v>
      </c>
      <c r="B10203" s="120">
        <v>9</v>
      </c>
      <c r="C10203" s="120">
        <v>9</v>
      </c>
      <c r="D10203" s="208">
        <f t="shared" si="1337"/>
        <v>45909</v>
      </c>
      <c r="E10203" s="209">
        <f t="shared" si="1344"/>
        <v>45909</v>
      </c>
      <c r="F10203" s="515"/>
      <c r="G10203" s="132" t="s">
        <v>1209</v>
      </c>
      <c r="J10203" s="120" t="s">
        <v>47</v>
      </c>
      <c r="K10203" s="207">
        <v>8339.61</v>
      </c>
      <c r="L10203" s="207"/>
    </row>
    <row r="10204" spans="1:15" x14ac:dyDescent="0.2">
      <c r="A10204" s="191">
        <v>2025</v>
      </c>
      <c r="B10204" s="191">
        <v>9</v>
      </c>
      <c r="C10204" s="191">
        <v>9</v>
      </c>
      <c r="D10204" s="192">
        <f t="shared" si="1337"/>
        <v>45909</v>
      </c>
      <c r="E10204" s="193">
        <f t="shared" si="1344"/>
        <v>45909</v>
      </c>
      <c r="F10204" s="514"/>
      <c r="G10204" s="194" t="s">
        <v>1209</v>
      </c>
      <c r="H10204" s="195"/>
      <c r="I10204" s="195"/>
      <c r="J10204" s="191" t="s">
        <v>46</v>
      </c>
      <c r="K10204" s="196"/>
      <c r="L10204" s="196">
        <v>34139.61</v>
      </c>
    </row>
    <row r="10205" spans="1:15" x14ac:dyDescent="0.2">
      <c r="A10205" s="197">
        <v>2025</v>
      </c>
      <c r="B10205" s="197">
        <v>9</v>
      </c>
      <c r="C10205" s="197">
        <v>10</v>
      </c>
      <c r="D10205" s="198">
        <f t="shared" si="1337"/>
        <v>45910</v>
      </c>
      <c r="E10205" s="209">
        <f t="shared" si="1344"/>
        <v>45910</v>
      </c>
      <c r="F10205" s="513" t="s">
        <v>1210</v>
      </c>
      <c r="G10205" s="200" t="s">
        <v>1209</v>
      </c>
      <c r="H10205" s="201"/>
      <c r="I10205" s="201"/>
      <c r="J10205" s="197" t="s">
        <v>46</v>
      </c>
      <c r="K10205" s="202">
        <v>100000</v>
      </c>
      <c r="L10205" s="202"/>
    </row>
    <row r="10206" spans="1:15" x14ac:dyDescent="0.2">
      <c r="A10206" s="120">
        <v>2025</v>
      </c>
      <c r="B10206" s="120">
        <v>9</v>
      </c>
      <c r="C10206" s="120">
        <v>10</v>
      </c>
      <c r="D10206" s="208">
        <f t="shared" si="1337"/>
        <v>45910</v>
      </c>
      <c r="E10206" s="209">
        <f t="shared" si="1344"/>
        <v>45910</v>
      </c>
      <c r="F10206" s="515"/>
      <c r="G10206" s="132" t="s">
        <v>1209</v>
      </c>
      <c r="J10206" s="120" t="s">
        <v>16</v>
      </c>
      <c r="K10206" s="207"/>
      <c r="L10206" s="207">
        <v>75570</v>
      </c>
    </row>
    <row r="10207" spans="1:15" x14ac:dyDescent="0.2">
      <c r="A10207" s="191">
        <v>2025</v>
      </c>
      <c r="B10207" s="191">
        <v>9</v>
      </c>
      <c r="C10207" s="191">
        <v>10</v>
      </c>
      <c r="D10207" s="192">
        <f t="shared" si="1337"/>
        <v>45910</v>
      </c>
      <c r="E10207" s="193">
        <f t="shared" si="1344"/>
        <v>45910</v>
      </c>
      <c r="F10207" s="514"/>
      <c r="G10207" s="194" t="s">
        <v>1209</v>
      </c>
      <c r="H10207" s="195"/>
      <c r="I10207" s="195"/>
      <c r="J10207" s="191" t="s">
        <v>47</v>
      </c>
      <c r="K10207" s="196"/>
      <c r="L10207" s="196">
        <v>24430</v>
      </c>
    </row>
    <row r="10208" spans="1:15" x14ac:dyDescent="0.2">
      <c r="A10208" s="197">
        <v>2025</v>
      </c>
      <c r="B10208" s="197">
        <v>9</v>
      </c>
      <c r="C10208" s="197">
        <v>10</v>
      </c>
      <c r="D10208" s="198">
        <f t="shared" si="1337"/>
        <v>45910</v>
      </c>
      <c r="E10208" s="209">
        <f t="shared" ref="E10208:E10237" si="1345">DATE(A10208,B10208,C10208)</f>
        <v>45910</v>
      </c>
      <c r="F10208" s="513" t="s">
        <v>1210</v>
      </c>
      <c r="G10208" s="200" t="s">
        <v>1209</v>
      </c>
      <c r="H10208" s="201"/>
      <c r="I10208" s="201"/>
      <c r="J10208" s="197" t="s">
        <v>46</v>
      </c>
      <c r="K10208" s="202">
        <v>450000</v>
      </c>
      <c r="L10208" s="202"/>
    </row>
    <row r="10209" spans="1:15" x14ac:dyDescent="0.2">
      <c r="A10209" s="120">
        <v>2025</v>
      </c>
      <c r="B10209" s="120">
        <v>9</v>
      </c>
      <c r="C10209" s="120">
        <v>10</v>
      </c>
      <c r="D10209" s="208">
        <f t="shared" si="1337"/>
        <v>45910</v>
      </c>
      <c r="E10209" s="209">
        <f t="shared" si="1345"/>
        <v>45910</v>
      </c>
      <c r="F10209" s="515"/>
      <c r="G10209" s="132" t="s">
        <v>1209</v>
      </c>
      <c r="J10209" s="120" t="s">
        <v>16</v>
      </c>
      <c r="K10209" s="207"/>
      <c r="L10209" s="207">
        <v>340060</v>
      </c>
    </row>
    <row r="10210" spans="1:15" x14ac:dyDescent="0.2">
      <c r="A10210" s="191">
        <v>2025</v>
      </c>
      <c r="B10210" s="191">
        <v>9</v>
      </c>
      <c r="C10210" s="191">
        <v>10</v>
      </c>
      <c r="D10210" s="192">
        <f t="shared" si="1337"/>
        <v>45910</v>
      </c>
      <c r="E10210" s="193">
        <f t="shared" si="1345"/>
        <v>45910</v>
      </c>
      <c r="F10210" s="514"/>
      <c r="G10210" s="194" t="s">
        <v>1209</v>
      </c>
      <c r="H10210" s="195"/>
      <c r="I10210" s="195"/>
      <c r="J10210" s="191" t="s">
        <v>47</v>
      </c>
      <c r="K10210" s="196"/>
      <c r="L10210" s="196">
        <v>109940</v>
      </c>
    </row>
    <row r="10211" spans="1:15" ht="11.25" customHeight="1" x14ac:dyDescent="0.2">
      <c r="A10211" s="197">
        <v>2025</v>
      </c>
      <c r="B10211" s="197">
        <v>9</v>
      </c>
      <c r="C10211" s="197">
        <v>10</v>
      </c>
      <c r="D10211" s="198">
        <f t="shared" si="1337"/>
        <v>45910</v>
      </c>
      <c r="E10211" s="290">
        <f t="shared" si="1345"/>
        <v>45910</v>
      </c>
      <c r="F10211" s="513" t="s">
        <v>2033</v>
      </c>
      <c r="G10211" s="200" t="s">
        <v>1245</v>
      </c>
      <c r="H10211" s="201"/>
      <c r="I10211" s="201" t="s">
        <v>1253</v>
      </c>
      <c r="J10211" s="197" t="s">
        <v>46</v>
      </c>
      <c r="K10211" s="202">
        <v>101666.67</v>
      </c>
      <c r="L10211" s="202"/>
      <c r="M10211" s="130"/>
      <c r="N10211" s="251"/>
    </row>
    <row r="10212" spans="1:15" ht="11.25" customHeight="1" x14ac:dyDescent="0.2">
      <c r="A10212" s="191">
        <v>2025</v>
      </c>
      <c r="B10212" s="191">
        <v>9</v>
      </c>
      <c r="C10212" s="191">
        <v>10</v>
      </c>
      <c r="D10212" s="192">
        <f t="shared" si="1337"/>
        <v>45910</v>
      </c>
      <c r="E10212" s="291">
        <f t="shared" si="1345"/>
        <v>45910</v>
      </c>
      <c r="F10212" s="527"/>
      <c r="G10212" s="194" t="s">
        <v>1245</v>
      </c>
      <c r="H10212" s="195"/>
      <c r="I10212" s="195" t="s">
        <v>1253</v>
      </c>
      <c r="J10212" s="191" t="s">
        <v>113</v>
      </c>
      <c r="K10212" s="196"/>
      <c r="L10212" s="196">
        <v>101666.67</v>
      </c>
      <c r="N10212" s="251"/>
    </row>
    <row r="10213" spans="1:15" x14ac:dyDescent="0.2">
      <c r="A10213" s="197">
        <v>2025</v>
      </c>
      <c r="B10213" s="197">
        <v>9</v>
      </c>
      <c r="C10213" s="197">
        <v>11</v>
      </c>
      <c r="D10213" s="198">
        <f t="shared" si="1337"/>
        <v>45911</v>
      </c>
      <c r="E10213" s="209">
        <f t="shared" si="1345"/>
        <v>45911</v>
      </c>
      <c r="F10213" s="513" t="s">
        <v>1280</v>
      </c>
      <c r="G10213" s="200" t="s">
        <v>1209</v>
      </c>
      <c r="H10213" s="201"/>
      <c r="I10213" s="201"/>
      <c r="J10213" s="197" t="s">
        <v>16</v>
      </c>
      <c r="K10213" s="202">
        <v>302270</v>
      </c>
      <c r="L10213" s="202"/>
    </row>
    <row r="10214" spans="1:15" x14ac:dyDescent="0.2">
      <c r="A10214" s="120">
        <v>2025</v>
      </c>
      <c r="B10214" s="120">
        <v>9</v>
      </c>
      <c r="C10214" s="120">
        <v>11</v>
      </c>
      <c r="D10214" s="208">
        <f t="shared" si="1337"/>
        <v>45911</v>
      </c>
      <c r="E10214" s="209">
        <f t="shared" si="1345"/>
        <v>45911</v>
      </c>
      <c r="F10214" s="515"/>
      <c r="G10214" s="132" t="s">
        <v>1209</v>
      </c>
      <c r="J10214" s="120" t="s">
        <v>47</v>
      </c>
      <c r="K10214" s="207">
        <v>97730</v>
      </c>
      <c r="L10214" s="207"/>
    </row>
    <row r="10215" spans="1:15" x14ac:dyDescent="0.2">
      <c r="A10215" s="191">
        <v>2025</v>
      </c>
      <c r="B10215" s="191">
        <v>9</v>
      </c>
      <c r="C10215" s="191">
        <v>11</v>
      </c>
      <c r="D10215" s="192">
        <f t="shared" si="1337"/>
        <v>45911</v>
      </c>
      <c r="E10215" s="193">
        <f t="shared" si="1345"/>
        <v>45911</v>
      </c>
      <c r="F10215" s="514"/>
      <c r="G10215" s="194" t="s">
        <v>1209</v>
      </c>
      <c r="H10215" s="195"/>
      <c r="I10215" s="195"/>
      <c r="J10215" s="191" t="s">
        <v>46</v>
      </c>
      <c r="K10215" s="196"/>
      <c r="L10215" s="196">
        <v>400000</v>
      </c>
    </row>
    <row r="10216" spans="1:15" x14ac:dyDescent="0.2">
      <c r="A10216" s="197">
        <v>2025</v>
      </c>
      <c r="B10216" s="197">
        <v>9</v>
      </c>
      <c r="C10216" s="197">
        <v>11</v>
      </c>
      <c r="D10216" s="198">
        <f t="shared" si="1337"/>
        <v>45911</v>
      </c>
      <c r="E10216" s="209">
        <f t="shared" si="1345"/>
        <v>45911</v>
      </c>
      <c r="F10216" s="513" t="s">
        <v>1210</v>
      </c>
      <c r="G10216" s="200" t="s">
        <v>1209</v>
      </c>
      <c r="H10216" s="201"/>
      <c r="I10216" s="201"/>
      <c r="J10216" s="197" t="s">
        <v>46</v>
      </c>
      <c r="K10216" s="202">
        <v>20101</v>
      </c>
      <c r="L10216" s="202"/>
    </row>
    <row r="10217" spans="1:15" x14ac:dyDescent="0.2">
      <c r="A10217" s="120">
        <v>2025</v>
      </c>
      <c r="B10217" s="120">
        <v>9</v>
      </c>
      <c r="C10217" s="120">
        <v>11</v>
      </c>
      <c r="D10217" s="208">
        <f t="shared" si="1337"/>
        <v>45911</v>
      </c>
      <c r="E10217" s="209">
        <f t="shared" si="1345"/>
        <v>45911</v>
      </c>
      <c r="F10217" s="515"/>
      <c r="G10217" s="132" t="s">
        <v>1209</v>
      </c>
      <c r="J10217" s="120" t="s">
        <v>16</v>
      </c>
      <c r="K10217" s="207"/>
      <c r="L10217" s="207">
        <v>15190</v>
      </c>
    </row>
    <row r="10218" spans="1:15" x14ac:dyDescent="0.2">
      <c r="A10218" s="191">
        <v>2025</v>
      </c>
      <c r="B10218" s="191">
        <v>9</v>
      </c>
      <c r="C10218" s="191">
        <v>11</v>
      </c>
      <c r="D10218" s="192">
        <f t="shared" si="1337"/>
        <v>45911</v>
      </c>
      <c r="E10218" s="193">
        <f t="shared" si="1345"/>
        <v>45911</v>
      </c>
      <c r="F10218" s="514"/>
      <c r="G10218" s="194" t="s">
        <v>1209</v>
      </c>
      <c r="H10218" s="195"/>
      <c r="I10218" s="195"/>
      <c r="J10218" s="191" t="s">
        <v>47</v>
      </c>
      <c r="K10218" s="196"/>
      <c r="L10218" s="196">
        <v>4911</v>
      </c>
    </row>
    <row r="10219" spans="1:15" ht="11.25" customHeight="1" x14ac:dyDescent="0.2">
      <c r="A10219" s="197">
        <v>2025</v>
      </c>
      <c r="B10219" s="197">
        <v>9</v>
      </c>
      <c r="C10219" s="197">
        <v>11</v>
      </c>
      <c r="D10219" s="198">
        <f t="shared" si="1337"/>
        <v>45911</v>
      </c>
      <c r="E10219" s="290">
        <f t="shared" si="1345"/>
        <v>45911</v>
      </c>
      <c r="F10219" s="513" t="s">
        <v>1514</v>
      </c>
      <c r="G10219" s="200" t="s">
        <v>1209</v>
      </c>
      <c r="H10219" s="201"/>
      <c r="I10219" s="201"/>
      <c r="J10219" s="197" t="s">
        <v>54</v>
      </c>
      <c r="K10219" s="202">
        <v>58</v>
      </c>
      <c r="L10219" s="202"/>
      <c r="M10219" s="251"/>
      <c r="N10219" s="251"/>
      <c r="O10219" s="251"/>
    </row>
    <row r="10220" spans="1:15" ht="11.25" customHeight="1" x14ac:dyDescent="0.2">
      <c r="A10220" s="191">
        <v>2025</v>
      </c>
      <c r="B10220" s="191">
        <v>9</v>
      </c>
      <c r="C10220" s="191">
        <v>11</v>
      </c>
      <c r="D10220" s="192">
        <f t="shared" ref="D10220:D10283" si="1346">DATE(A10220,B10220,C10220)</f>
        <v>45911</v>
      </c>
      <c r="E10220" s="291">
        <f t="shared" si="1345"/>
        <v>45911</v>
      </c>
      <c r="F10220" s="514"/>
      <c r="G10220" s="194" t="s">
        <v>1209</v>
      </c>
      <c r="H10220" s="195"/>
      <c r="I10220" s="195"/>
      <c r="J10220" s="191" t="s">
        <v>46</v>
      </c>
      <c r="K10220" s="196"/>
      <c r="L10220" s="196">
        <f>K10219</f>
        <v>58</v>
      </c>
      <c r="M10220" s="251"/>
    </row>
    <row r="10221" spans="1:15" ht="11.25" customHeight="1" x14ac:dyDescent="0.2">
      <c r="A10221" s="197">
        <v>2025</v>
      </c>
      <c r="B10221" s="197">
        <v>9</v>
      </c>
      <c r="C10221" s="197">
        <v>11</v>
      </c>
      <c r="D10221" s="198">
        <f t="shared" si="1346"/>
        <v>45911</v>
      </c>
      <c r="E10221" s="290">
        <f t="shared" si="1345"/>
        <v>45911</v>
      </c>
      <c r="F10221" s="513" t="s">
        <v>2034</v>
      </c>
      <c r="G10221" s="200" t="s">
        <v>1245</v>
      </c>
      <c r="H10221" s="201"/>
      <c r="I10221" s="201" t="s">
        <v>1253</v>
      </c>
      <c r="J10221" s="197" t="s">
        <v>46</v>
      </c>
      <c r="K10221" s="202">
        <v>305000</v>
      </c>
      <c r="L10221" s="202"/>
      <c r="M10221" s="130"/>
    </row>
    <row r="10222" spans="1:15" ht="11.25" customHeight="1" x14ac:dyDescent="0.2">
      <c r="A10222" s="191">
        <v>2025</v>
      </c>
      <c r="B10222" s="191">
        <v>9</v>
      </c>
      <c r="C10222" s="191">
        <v>11</v>
      </c>
      <c r="D10222" s="192">
        <f t="shared" si="1346"/>
        <v>45911</v>
      </c>
      <c r="E10222" s="291">
        <f t="shared" si="1345"/>
        <v>45911</v>
      </c>
      <c r="F10222" s="513"/>
      <c r="G10222" s="194" t="s">
        <v>1245</v>
      </c>
      <c r="H10222" s="195"/>
      <c r="I10222" s="195" t="s">
        <v>1253</v>
      </c>
      <c r="J10222" s="191" t="s">
        <v>113</v>
      </c>
      <c r="K10222" s="196"/>
      <c r="L10222" s="196">
        <v>305000</v>
      </c>
      <c r="N10222" s="251"/>
    </row>
    <row r="10223" spans="1:15" x14ac:dyDescent="0.2">
      <c r="A10223" s="197">
        <v>2025</v>
      </c>
      <c r="B10223" s="197">
        <v>9</v>
      </c>
      <c r="C10223" s="197">
        <v>11</v>
      </c>
      <c r="D10223" s="198">
        <f t="shared" si="1346"/>
        <v>45911</v>
      </c>
      <c r="E10223" s="209">
        <f t="shared" ref="E10223:E10227" si="1347">DATE(A10223,B10223,C10223)</f>
        <v>45911</v>
      </c>
      <c r="F10223" s="513" t="s">
        <v>1210</v>
      </c>
      <c r="G10223" s="200" t="s">
        <v>1209</v>
      </c>
      <c r="H10223" s="201"/>
      <c r="I10223" s="201"/>
      <c r="J10223" s="197" t="s">
        <v>46</v>
      </c>
      <c r="K10223" s="202">
        <v>660000</v>
      </c>
      <c r="L10223" s="202"/>
    </row>
    <row r="10224" spans="1:15" x14ac:dyDescent="0.2">
      <c r="A10224" s="120">
        <v>2025</v>
      </c>
      <c r="B10224" s="120">
        <v>9</v>
      </c>
      <c r="C10224" s="120">
        <v>11</v>
      </c>
      <c r="D10224" s="208">
        <f t="shared" si="1346"/>
        <v>45911</v>
      </c>
      <c r="E10224" s="209">
        <f t="shared" si="1347"/>
        <v>45911</v>
      </c>
      <c r="F10224" s="515"/>
      <c r="G10224" s="132" t="s">
        <v>1209</v>
      </c>
      <c r="J10224" s="120" t="s">
        <v>16</v>
      </c>
      <c r="K10224" s="207"/>
      <c r="L10224" s="207">
        <v>498750</v>
      </c>
    </row>
    <row r="10225" spans="1:15" x14ac:dyDescent="0.2">
      <c r="A10225" s="191">
        <v>2025</v>
      </c>
      <c r="B10225" s="191">
        <v>9</v>
      </c>
      <c r="C10225" s="191">
        <v>11</v>
      </c>
      <c r="D10225" s="192">
        <f t="shared" si="1346"/>
        <v>45911</v>
      </c>
      <c r="E10225" s="193">
        <f t="shared" si="1347"/>
        <v>45911</v>
      </c>
      <c r="F10225" s="514"/>
      <c r="G10225" s="194" t="s">
        <v>1209</v>
      </c>
      <c r="H10225" s="195"/>
      <c r="I10225" s="195"/>
      <c r="J10225" s="191" t="s">
        <v>47</v>
      </c>
      <c r="K10225" s="196"/>
      <c r="L10225" s="196">
        <v>161250</v>
      </c>
    </row>
    <row r="10226" spans="1:15" ht="11.25" customHeight="1" x14ac:dyDescent="0.2">
      <c r="A10226" s="197">
        <v>2025</v>
      </c>
      <c r="B10226" s="197">
        <v>9</v>
      </c>
      <c r="C10226" s="197">
        <v>11</v>
      </c>
      <c r="D10226" s="198">
        <f t="shared" si="1346"/>
        <v>45911</v>
      </c>
      <c r="E10226" s="290">
        <f t="shared" si="1347"/>
        <v>45911</v>
      </c>
      <c r="F10226" s="513" t="s">
        <v>1527</v>
      </c>
      <c r="G10226" s="200" t="s">
        <v>1209</v>
      </c>
      <c r="H10226" s="201"/>
      <c r="I10226" s="201"/>
      <c r="J10226" s="197" t="s">
        <v>54</v>
      </c>
      <c r="K10226" s="202">
        <v>60</v>
      </c>
      <c r="L10226" s="202"/>
      <c r="M10226" s="251"/>
      <c r="N10226" s="251"/>
      <c r="O10226" s="251"/>
    </row>
    <row r="10227" spans="1:15" ht="11.25" customHeight="1" x14ac:dyDescent="0.2">
      <c r="A10227" s="191">
        <v>2025</v>
      </c>
      <c r="B10227" s="191">
        <v>9</v>
      </c>
      <c r="C10227" s="191">
        <v>11</v>
      </c>
      <c r="D10227" s="192">
        <f t="shared" si="1346"/>
        <v>45911</v>
      </c>
      <c r="E10227" s="291">
        <f t="shared" si="1347"/>
        <v>45911</v>
      </c>
      <c r="F10227" s="514"/>
      <c r="G10227" s="194" t="s">
        <v>1209</v>
      </c>
      <c r="H10227" s="195"/>
      <c r="I10227" s="195"/>
      <c r="J10227" s="191" t="s">
        <v>46</v>
      </c>
      <c r="K10227" s="196"/>
      <c r="L10227" s="196">
        <f>K10226</f>
        <v>60</v>
      </c>
      <c r="M10227" s="251"/>
    </row>
    <row r="10228" spans="1:15" x14ac:dyDescent="0.2">
      <c r="A10228" s="424">
        <v>2025</v>
      </c>
      <c r="B10228" s="424">
        <v>9</v>
      </c>
      <c r="C10228" s="424">
        <v>11</v>
      </c>
      <c r="D10228" s="425">
        <f t="shared" si="1346"/>
        <v>45911</v>
      </c>
      <c r="E10228" s="384">
        <f t="shared" si="1345"/>
        <v>45911</v>
      </c>
      <c r="F10228" s="516" t="s">
        <v>1850</v>
      </c>
      <c r="G10228" s="426" t="s">
        <v>1209</v>
      </c>
      <c r="H10228" s="427"/>
      <c r="I10228" s="427"/>
      <c r="J10228" s="428" t="s">
        <v>81</v>
      </c>
      <c r="K10228" s="429">
        <v>11170.721538461539</v>
      </c>
      <c r="L10228" s="429"/>
    </row>
    <row r="10229" spans="1:15" x14ac:dyDescent="0.2">
      <c r="A10229" s="389">
        <v>2025</v>
      </c>
      <c r="B10229" s="389">
        <v>9</v>
      </c>
      <c r="C10229" s="389">
        <v>11</v>
      </c>
      <c r="D10229" s="390">
        <f t="shared" si="1346"/>
        <v>45911</v>
      </c>
      <c r="E10229" s="391">
        <f t="shared" si="1345"/>
        <v>45911</v>
      </c>
      <c r="F10229" s="517"/>
      <c r="G10229" s="392" t="s">
        <v>1209</v>
      </c>
      <c r="H10229" s="393"/>
      <c r="I10229" s="393"/>
      <c r="J10229" s="394" t="s">
        <v>1847</v>
      </c>
      <c r="K10229" s="423"/>
      <c r="L10229" s="423">
        <f>K10228</f>
        <v>11170.721538461539</v>
      </c>
    </row>
    <row r="10230" spans="1:15" ht="11.25" customHeight="1" x14ac:dyDescent="0.2">
      <c r="A10230" s="382">
        <v>2025</v>
      </c>
      <c r="B10230" s="382">
        <v>9</v>
      </c>
      <c r="C10230" s="382">
        <v>11</v>
      </c>
      <c r="D10230" s="383">
        <f t="shared" si="1346"/>
        <v>45911</v>
      </c>
      <c r="E10230" s="384">
        <f t="shared" si="1345"/>
        <v>45911</v>
      </c>
      <c r="F10230" s="516" t="s">
        <v>1892</v>
      </c>
      <c r="G10230" s="385" t="s">
        <v>1209</v>
      </c>
      <c r="H10230" s="386"/>
      <c r="I10230" s="386"/>
      <c r="J10230" s="387" t="s">
        <v>173</v>
      </c>
      <c r="K10230" s="388">
        <v>5025.2643845552084</v>
      </c>
      <c r="L10230" s="388"/>
    </row>
    <row r="10231" spans="1:15" ht="11.25" customHeight="1" x14ac:dyDescent="0.2">
      <c r="A10231" s="389">
        <v>2025</v>
      </c>
      <c r="B10231" s="389">
        <v>9</v>
      </c>
      <c r="C10231" s="389">
        <v>11</v>
      </c>
      <c r="D10231" s="390">
        <f t="shared" si="1346"/>
        <v>45911</v>
      </c>
      <c r="E10231" s="391">
        <f t="shared" si="1345"/>
        <v>45911</v>
      </c>
      <c r="F10231" s="517"/>
      <c r="G10231" s="392" t="s">
        <v>1209</v>
      </c>
      <c r="H10231" s="393"/>
      <c r="I10231" s="393"/>
      <c r="J10231" s="394" t="s">
        <v>43</v>
      </c>
      <c r="K10231" s="388"/>
      <c r="L10231" s="423">
        <f>K10230</f>
        <v>5025.2643845552084</v>
      </c>
    </row>
    <row r="10232" spans="1:15" ht="11.25" customHeight="1" x14ac:dyDescent="0.2">
      <c r="A10232" s="344">
        <v>2025</v>
      </c>
      <c r="B10232" s="344">
        <v>9</v>
      </c>
      <c r="C10232" s="344">
        <v>11</v>
      </c>
      <c r="D10232" s="345">
        <f t="shared" si="1346"/>
        <v>45911</v>
      </c>
      <c r="E10232" s="346">
        <f t="shared" si="1345"/>
        <v>45911</v>
      </c>
      <c r="F10232" s="518" t="s">
        <v>1982</v>
      </c>
      <c r="G10232" s="347" t="s">
        <v>1245</v>
      </c>
      <c r="H10232" s="348"/>
      <c r="I10232" s="348" t="s">
        <v>1253</v>
      </c>
      <c r="J10232" s="344" t="s">
        <v>1978</v>
      </c>
      <c r="K10232" s="349">
        <v>148748.07692307694</v>
      </c>
      <c r="L10232" s="349"/>
    </row>
    <row r="10233" spans="1:15" ht="11.25" customHeight="1" x14ac:dyDescent="0.2">
      <c r="A10233" s="350">
        <v>2025</v>
      </c>
      <c r="B10233" s="350">
        <v>9</v>
      </c>
      <c r="C10233" s="350">
        <v>11</v>
      </c>
      <c r="D10233" s="351">
        <f t="shared" si="1346"/>
        <v>45911</v>
      </c>
      <c r="E10233" s="352">
        <f t="shared" si="1345"/>
        <v>45911</v>
      </c>
      <c r="F10233" s="519"/>
      <c r="G10233" s="353" t="s">
        <v>1245</v>
      </c>
      <c r="H10233" s="354"/>
      <c r="I10233" s="354" t="s">
        <v>1253</v>
      </c>
      <c r="J10233" s="350" t="s">
        <v>1979</v>
      </c>
      <c r="K10233" s="355"/>
      <c r="L10233" s="355">
        <f>K10232</f>
        <v>148748.07692307694</v>
      </c>
    </row>
    <row r="10234" spans="1:15" ht="11.25" customHeight="1" x14ac:dyDescent="0.2">
      <c r="A10234" s="344">
        <v>2025</v>
      </c>
      <c r="B10234" s="344">
        <v>9</v>
      </c>
      <c r="C10234" s="344">
        <v>11</v>
      </c>
      <c r="D10234" s="345">
        <f t="shared" si="1346"/>
        <v>45911</v>
      </c>
      <c r="E10234" s="346">
        <f t="shared" si="1345"/>
        <v>45911</v>
      </c>
      <c r="F10234" s="518" t="s">
        <v>2009</v>
      </c>
      <c r="G10234" s="347" t="s">
        <v>1245</v>
      </c>
      <c r="H10234" s="348"/>
      <c r="I10234" s="348" t="s">
        <v>1253</v>
      </c>
      <c r="J10234" s="344" t="s">
        <v>2004</v>
      </c>
      <c r="K10234" s="349">
        <v>49692.31</v>
      </c>
      <c r="L10234" s="349"/>
    </row>
    <row r="10235" spans="1:15" ht="11.25" customHeight="1" x14ac:dyDescent="0.2">
      <c r="A10235" s="350">
        <v>2025</v>
      </c>
      <c r="B10235" s="350">
        <v>9</v>
      </c>
      <c r="C10235" s="350">
        <v>11</v>
      </c>
      <c r="D10235" s="351">
        <f t="shared" si="1346"/>
        <v>45911</v>
      </c>
      <c r="E10235" s="352">
        <f t="shared" si="1345"/>
        <v>45911</v>
      </c>
      <c r="F10235" s="519"/>
      <c r="G10235" s="353" t="s">
        <v>1245</v>
      </c>
      <c r="H10235" s="354"/>
      <c r="I10235" s="354" t="s">
        <v>1253</v>
      </c>
      <c r="J10235" s="350" t="s">
        <v>2008</v>
      </c>
      <c r="K10235" s="355"/>
      <c r="L10235" s="355">
        <f t="shared" ref="L10235" si="1348">K10234</f>
        <v>49692.31</v>
      </c>
    </row>
    <row r="10236" spans="1:15" ht="11.25" customHeight="1" x14ac:dyDescent="0.2">
      <c r="A10236" s="344">
        <v>2025</v>
      </c>
      <c r="B10236" s="344">
        <v>9</v>
      </c>
      <c r="C10236" s="344">
        <v>11</v>
      </c>
      <c r="D10236" s="345">
        <f t="shared" si="1346"/>
        <v>45911</v>
      </c>
      <c r="E10236" s="346">
        <f t="shared" si="1345"/>
        <v>45911</v>
      </c>
      <c r="F10236" s="518" t="s">
        <v>2009</v>
      </c>
      <c r="G10236" s="347" t="s">
        <v>1245</v>
      </c>
      <c r="H10236" s="348"/>
      <c r="I10236" s="348" t="s">
        <v>1253</v>
      </c>
      <c r="J10236" s="344" t="s">
        <v>2004</v>
      </c>
      <c r="K10236" s="349">
        <v>49692.31</v>
      </c>
      <c r="L10236" s="349"/>
    </row>
    <row r="10237" spans="1:15" ht="11.25" customHeight="1" x14ac:dyDescent="0.2">
      <c r="A10237" s="350">
        <v>2025</v>
      </c>
      <c r="B10237" s="350">
        <v>9</v>
      </c>
      <c r="C10237" s="350">
        <v>11</v>
      </c>
      <c r="D10237" s="351">
        <f t="shared" si="1346"/>
        <v>45911</v>
      </c>
      <c r="E10237" s="352">
        <f t="shared" si="1345"/>
        <v>45911</v>
      </c>
      <c r="F10237" s="519"/>
      <c r="G10237" s="353" t="s">
        <v>1245</v>
      </c>
      <c r="H10237" s="354"/>
      <c r="I10237" s="354" t="s">
        <v>1253</v>
      </c>
      <c r="J10237" s="350" t="s">
        <v>2008</v>
      </c>
      <c r="K10237" s="355"/>
      <c r="L10237" s="355">
        <f t="shared" ref="L10237" si="1349">K10236</f>
        <v>49692.31</v>
      </c>
    </row>
    <row r="10238" spans="1:15" ht="11.25" customHeight="1" x14ac:dyDescent="0.2">
      <c r="A10238" s="344">
        <v>2025</v>
      </c>
      <c r="B10238" s="344">
        <v>9</v>
      </c>
      <c r="C10238" s="344">
        <v>11</v>
      </c>
      <c r="D10238" s="345">
        <f t="shared" si="1346"/>
        <v>45911</v>
      </c>
      <c r="E10238" s="346">
        <f>DATE(A10238,B10238,C10238)</f>
        <v>45911</v>
      </c>
      <c r="F10238" s="518" t="s">
        <v>1988</v>
      </c>
      <c r="G10238" s="347" t="s">
        <v>1245</v>
      </c>
      <c r="H10238" s="348"/>
      <c r="I10238" s="348" t="s">
        <v>1253</v>
      </c>
      <c r="J10238" s="344" t="s">
        <v>113</v>
      </c>
      <c r="K10238" s="349">
        <v>32846.15</v>
      </c>
      <c r="L10238" s="349"/>
    </row>
    <row r="10239" spans="1:15" ht="11.25" customHeight="1" x14ac:dyDescent="0.2">
      <c r="A10239" s="350">
        <v>2025</v>
      </c>
      <c r="B10239" s="350">
        <v>9</v>
      </c>
      <c r="C10239" s="350">
        <v>11</v>
      </c>
      <c r="D10239" s="351">
        <f t="shared" si="1346"/>
        <v>45911</v>
      </c>
      <c r="E10239" s="352">
        <f>DATE(A10239,B10239,C10239)</f>
        <v>45911</v>
      </c>
      <c r="F10239" s="519"/>
      <c r="G10239" s="353" t="s">
        <v>1245</v>
      </c>
      <c r="H10239" s="354"/>
      <c r="I10239" s="354" t="s">
        <v>1253</v>
      </c>
      <c r="J10239" s="350" t="s">
        <v>153</v>
      </c>
      <c r="K10239" s="355"/>
      <c r="L10239" s="355">
        <f t="shared" ref="L10239" si="1350">K10238</f>
        <v>32846.15</v>
      </c>
    </row>
    <row r="10240" spans="1:15" ht="11.25" customHeight="1" x14ac:dyDescent="0.2">
      <c r="A10240" s="344">
        <v>2025</v>
      </c>
      <c r="B10240" s="344">
        <v>9</v>
      </c>
      <c r="C10240" s="344">
        <v>11</v>
      </c>
      <c r="D10240" s="345">
        <f t="shared" si="1346"/>
        <v>45911</v>
      </c>
      <c r="E10240" s="346">
        <f t="shared" ref="E10240:E10244" si="1351">DATE(A10240,B10240,C10240)</f>
        <v>45911</v>
      </c>
      <c r="F10240" s="518" t="s">
        <v>1989</v>
      </c>
      <c r="G10240" s="347" t="s">
        <v>1245</v>
      </c>
      <c r="H10240" s="348"/>
      <c r="I10240" s="348" t="s">
        <v>1253</v>
      </c>
      <c r="J10240" s="344" t="s">
        <v>113</v>
      </c>
      <c r="K10240" s="349">
        <v>23461.538461538461</v>
      </c>
      <c r="L10240" s="349"/>
    </row>
    <row r="10241" spans="1:16" ht="11.25" customHeight="1" x14ac:dyDescent="0.2">
      <c r="A10241" s="350">
        <v>2025</v>
      </c>
      <c r="B10241" s="350">
        <v>9</v>
      </c>
      <c r="C10241" s="350">
        <v>11</v>
      </c>
      <c r="D10241" s="351">
        <f t="shared" si="1346"/>
        <v>45911</v>
      </c>
      <c r="E10241" s="352">
        <f t="shared" si="1351"/>
        <v>45911</v>
      </c>
      <c r="F10241" s="519"/>
      <c r="G10241" s="353" t="s">
        <v>1245</v>
      </c>
      <c r="H10241" s="354"/>
      <c r="I10241" s="354" t="s">
        <v>1253</v>
      </c>
      <c r="J10241" s="350" t="s">
        <v>153</v>
      </c>
      <c r="K10241" s="355"/>
      <c r="L10241" s="355">
        <f t="shared" ref="L10241" si="1352">K10240</f>
        <v>23461.538461538461</v>
      </c>
    </row>
    <row r="10242" spans="1:16" ht="11.25" customHeight="1" x14ac:dyDescent="0.2">
      <c r="A10242" s="344">
        <v>2025</v>
      </c>
      <c r="B10242" s="344">
        <v>9</v>
      </c>
      <c r="C10242" s="344">
        <v>11</v>
      </c>
      <c r="D10242" s="345">
        <f t="shared" si="1346"/>
        <v>45911</v>
      </c>
      <c r="E10242" s="346">
        <f t="shared" si="1351"/>
        <v>45911</v>
      </c>
      <c r="F10242" s="518" t="s">
        <v>1990</v>
      </c>
      <c r="G10242" s="347" t="s">
        <v>1245</v>
      </c>
      <c r="H10242" s="348"/>
      <c r="I10242" s="348" t="s">
        <v>1253</v>
      </c>
      <c r="J10242" s="344" t="s">
        <v>113</v>
      </c>
      <c r="K10242" s="349">
        <v>70384.62</v>
      </c>
      <c r="L10242" s="349"/>
      <c r="N10242" s="251"/>
      <c r="O10242" s="251"/>
      <c r="P10242" s="251"/>
    </row>
    <row r="10243" spans="1:16" ht="11.25" customHeight="1" x14ac:dyDescent="0.2">
      <c r="A10243" s="350">
        <v>2025</v>
      </c>
      <c r="B10243" s="350">
        <v>9</v>
      </c>
      <c r="C10243" s="350">
        <v>11</v>
      </c>
      <c r="D10243" s="351">
        <f t="shared" si="1346"/>
        <v>45911</v>
      </c>
      <c r="E10243" s="352">
        <f t="shared" si="1351"/>
        <v>45911</v>
      </c>
      <c r="F10243" s="519"/>
      <c r="G10243" s="353" t="s">
        <v>1245</v>
      </c>
      <c r="H10243" s="354"/>
      <c r="I10243" s="354" t="s">
        <v>1253</v>
      </c>
      <c r="J10243" s="350" t="s">
        <v>153</v>
      </c>
      <c r="K10243" s="355"/>
      <c r="L10243" s="355">
        <f t="shared" ref="L10243" si="1353">K10242</f>
        <v>70384.62</v>
      </c>
    </row>
    <row r="10244" spans="1:16" ht="11.25" customHeight="1" x14ac:dyDescent="0.2">
      <c r="A10244" s="210">
        <v>2025</v>
      </c>
      <c r="B10244" s="210">
        <v>9</v>
      </c>
      <c r="C10244" s="210">
        <v>11</v>
      </c>
      <c r="D10244" s="211">
        <f t="shared" si="1346"/>
        <v>45911</v>
      </c>
      <c r="E10244" s="238">
        <f t="shared" si="1351"/>
        <v>45911</v>
      </c>
      <c r="F10244" s="520" t="s">
        <v>1857</v>
      </c>
      <c r="G10244" s="213" t="s">
        <v>1245</v>
      </c>
      <c r="H10244" s="214"/>
      <c r="I10244" s="214" t="s">
        <v>1253</v>
      </c>
      <c r="J10244" s="210" t="s">
        <v>1284</v>
      </c>
      <c r="K10244" s="215">
        <v>2341.8114143920593</v>
      </c>
      <c r="L10244" s="215"/>
    </row>
    <row r="10245" spans="1:16" ht="11.25" customHeight="1" x14ac:dyDescent="0.2">
      <c r="A10245" s="242">
        <v>2025</v>
      </c>
      <c r="B10245" s="242">
        <v>9</v>
      </c>
      <c r="C10245" s="242">
        <v>11</v>
      </c>
      <c r="D10245" s="243">
        <f t="shared" si="1346"/>
        <v>45911</v>
      </c>
      <c r="E10245" s="244">
        <f>DATE(A10245,B10245,C10245)</f>
        <v>45911</v>
      </c>
      <c r="F10245" s="524"/>
      <c r="G10245" s="245" t="s">
        <v>1245</v>
      </c>
      <c r="H10245" s="246"/>
      <c r="I10245" s="246"/>
      <c r="J10245" s="242" t="s">
        <v>1582</v>
      </c>
      <c r="K10245" s="247"/>
      <c r="L10245" s="247">
        <f>K10244</f>
        <v>2341.8114143920593</v>
      </c>
    </row>
    <row r="10246" spans="1:16" ht="11.25" customHeight="1" x14ac:dyDescent="0.2">
      <c r="A10246" s="210">
        <v>2025</v>
      </c>
      <c r="B10246" s="210">
        <v>9</v>
      </c>
      <c r="C10246" s="210">
        <v>11</v>
      </c>
      <c r="D10246" s="211">
        <f t="shared" si="1346"/>
        <v>45911</v>
      </c>
      <c r="E10246" s="238">
        <f t="shared" ref="E10246:E10262" si="1354">DATE(A10246,B10246,C10246)</f>
        <v>45911</v>
      </c>
      <c r="F10246" s="520" t="s">
        <v>2055</v>
      </c>
      <c r="G10246" s="213" t="s">
        <v>1245</v>
      </c>
      <c r="H10246" s="214"/>
      <c r="I10246" s="214" t="s">
        <v>1253</v>
      </c>
      <c r="J10246" s="210" t="s">
        <v>58</v>
      </c>
      <c r="K10246" s="215">
        <v>7807.24</v>
      </c>
      <c r="L10246" s="215"/>
    </row>
    <row r="10247" spans="1:16" ht="11.25" customHeight="1" x14ac:dyDescent="0.2">
      <c r="A10247" s="216">
        <v>2025</v>
      </c>
      <c r="B10247" s="216">
        <v>9</v>
      </c>
      <c r="C10247" s="216">
        <v>11</v>
      </c>
      <c r="D10247" s="217">
        <f t="shared" si="1346"/>
        <v>45911</v>
      </c>
      <c r="E10247" s="239">
        <f t="shared" si="1354"/>
        <v>45911</v>
      </c>
      <c r="F10247" s="521"/>
      <c r="G10247" s="219" t="s">
        <v>1245</v>
      </c>
      <c r="H10247" s="220"/>
      <c r="I10247" s="220" t="s">
        <v>1253</v>
      </c>
      <c r="J10247" s="216" t="s">
        <v>153</v>
      </c>
      <c r="K10247" s="221"/>
      <c r="L10247" s="221">
        <f>K10246</f>
        <v>7807.24</v>
      </c>
    </row>
    <row r="10248" spans="1:16" ht="11.25" customHeight="1" x14ac:dyDescent="0.2">
      <c r="A10248" s="312">
        <v>2025</v>
      </c>
      <c r="B10248" s="312">
        <v>9</v>
      </c>
      <c r="C10248" s="312">
        <v>11</v>
      </c>
      <c r="D10248" s="313">
        <f t="shared" si="1346"/>
        <v>45911</v>
      </c>
      <c r="E10248" s="314">
        <f t="shared" si="1354"/>
        <v>45911</v>
      </c>
      <c r="F10248" s="522" t="s">
        <v>1477</v>
      </c>
      <c r="G10248" s="315" t="s">
        <v>1245</v>
      </c>
      <c r="H10248" s="316"/>
      <c r="I10248" s="316" t="s">
        <v>1253</v>
      </c>
      <c r="J10248" s="312" t="s">
        <v>1458</v>
      </c>
      <c r="K10248" s="317">
        <v>0</v>
      </c>
      <c r="L10248" s="317"/>
    </row>
    <row r="10249" spans="1:16" ht="11.25" customHeight="1" x14ac:dyDescent="0.2">
      <c r="A10249" s="318">
        <v>2025</v>
      </c>
      <c r="B10249" s="318">
        <v>9</v>
      </c>
      <c r="C10249" s="318">
        <v>11</v>
      </c>
      <c r="D10249" s="319">
        <f t="shared" si="1346"/>
        <v>45911</v>
      </c>
      <c r="E10249" s="320">
        <f t="shared" si="1354"/>
        <v>45911</v>
      </c>
      <c r="F10249" s="523"/>
      <c r="G10249" s="321" t="s">
        <v>1245</v>
      </c>
      <c r="H10249" s="322"/>
      <c r="I10249" s="322" t="s">
        <v>1253</v>
      </c>
      <c r="J10249" s="318" t="s">
        <v>1460</v>
      </c>
      <c r="K10249" s="323"/>
      <c r="L10249" s="323">
        <f>K10248</f>
        <v>0</v>
      </c>
    </row>
    <row r="10250" spans="1:16" ht="11.25" customHeight="1" x14ac:dyDescent="0.2">
      <c r="A10250" s="312">
        <v>2025</v>
      </c>
      <c r="B10250" s="312">
        <v>9</v>
      </c>
      <c r="C10250" s="312">
        <v>11</v>
      </c>
      <c r="D10250" s="313">
        <f t="shared" si="1346"/>
        <v>45911</v>
      </c>
      <c r="E10250" s="314">
        <f t="shared" si="1354"/>
        <v>45911</v>
      </c>
      <c r="F10250" s="522" t="s">
        <v>1595</v>
      </c>
      <c r="G10250" s="315" t="s">
        <v>1245</v>
      </c>
      <c r="H10250" s="316"/>
      <c r="I10250" s="316" t="s">
        <v>1253</v>
      </c>
      <c r="J10250" s="312" t="s">
        <v>1461</v>
      </c>
      <c r="K10250" s="317">
        <v>1634545.0120000839</v>
      </c>
      <c r="L10250" s="317"/>
      <c r="M10250" s="328">
        <f>BS!$I$14</f>
        <v>0</v>
      </c>
    </row>
    <row r="10251" spans="1:16" ht="11.25" customHeight="1" x14ac:dyDescent="0.2">
      <c r="A10251" s="318">
        <v>2025</v>
      </c>
      <c r="B10251" s="318">
        <v>9</v>
      </c>
      <c r="C10251" s="318">
        <v>11</v>
      </c>
      <c r="D10251" s="319">
        <f t="shared" si="1346"/>
        <v>45911</v>
      </c>
      <c r="E10251" s="320">
        <f t="shared" si="1354"/>
        <v>45911</v>
      </c>
      <c r="F10251" s="523"/>
      <c r="G10251" s="321" t="s">
        <v>1245</v>
      </c>
      <c r="H10251" s="322"/>
      <c r="I10251" s="322" t="s">
        <v>1253</v>
      </c>
      <c r="J10251" s="318" t="s">
        <v>1459</v>
      </c>
      <c r="K10251" s="323"/>
      <c r="L10251" s="323">
        <f>K10250</f>
        <v>1634545.0120000839</v>
      </c>
      <c r="M10251" s="328"/>
    </row>
    <row r="10252" spans="1:16" ht="11.25" customHeight="1" x14ac:dyDescent="0.2">
      <c r="A10252" s="222">
        <v>2025</v>
      </c>
      <c r="B10252" s="222">
        <v>9</v>
      </c>
      <c r="C10252" s="222">
        <v>11</v>
      </c>
      <c r="D10252" s="223">
        <f t="shared" si="1346"/>
        <v>45911</v>
      </c>
      <c r="E10252" s="240">
        <f t="shared" si="1354"/>
        <v>45911</v>
      </c>
      <c r="F10252" s="511" t="s">
        <v>1244</v>
      </c>
      <c r="G10252" s="225" t="s">
        <v>1245</v>
      </c>
      <c r="H10252" s="226"/>
      <c r="I10252" s="226" t="s">
        <v>1253</v>
      </c>
      <c r="J10252" s="222" t="s">
        <v>87</v>
      </c>
      <c r="K10252" s="227">
        <v>242638.44130000472</v>
      </c>
      <c r="L10252" s="227"/>
      <c r="M10252" s="328">
        <f>BS!$I$7</f>
        <v>0</v>
      </c>
    </row>
    <row r="10253" spans="1:16" ht="11.25" customHeight="1" x14ac:dyDescent="0.2">
      <c r="A10253" s="228">
        <v>2025</v>
      </c>
      <c r="B10253" s="228">
        <v>9</v>
      </c>
      <c r="C10253" s="228">
        <v>11</v>
      </c>
      <c r="D10253" s="229">
        <f t="shared" si="1346"/>
        <v>45911</v>
      </c>
      <c r="E10253" s="241">
        <f t="shared" si="1354"/>
        <v>45911</v>
      </c>
      <c r="F10253" s="512"/>
      <c r="G10253" s="231" t="s">
        <v>1245</v>
      </c>
      <c r="H10253" s="232"/>
      <c r="I10253" s="232" t="s">
        <v>1253</v>
      </c>
      <c r="J10253" s="228" t="s">
        <v>72</v>
      </c>
      <c r="K10253" s="233"/>
      <c r="L10253" s="233">
        <f>K10252</f>
        <v>242638.44130000472</v>
      </c>
    </row>
    <row r="10254" spans="1:16" ht="11.25" customHeight="1" x14ac:dyDescent="0.2">
      <c r="A10254" s="222">
        <v>2025</v>
      </c>
      <c r="B10254" s="222">
        <v>9</v>
      </c>
      <c r="C10254" s="222">
        <v>11</v>
      </c>
      <c r="D10254" s="223">
        <f t="shared" si="1346"/>
        <v>45911</v>
      </c>
      <c r="E10254" s="240">
        <f t="shared" si="1354"/>
        <v>45911</v>
      </c>
      <c r="F10254" s="511" t="s">
        <v>1246</v>
      </c>
      <c r="G10254" s="225" t="s">
        <v>1245</v>
      </c>
      <c r="H10254" s="226"/>
      <c r="I10254" s="226" t="s">
        <v>1253</v>
      </c>
      <c r="J10254" s="222" t="s">
        <v>75</v>
      </c>
      <c r="K10254" s="227">
        <v>3623.123846153846</v>
      </c>
      <c r="L10254" s="227"/>
    </row>
    <row r="10255" spans="1:16" ht="11.25" customHeight="1" x14ac:dyDescent="0.2">
      <c r="A10255" s="228">
        <v>2025</v>
      </c>
      <c r="B10255" s="228">
        <v>9</v>
      </c>
      <c r="C10255" s="228">
        <v>11</v>
      </c>
      <c r="D10255" s="229">
        <f t="shared" si="1346"/>
        <v>45911</v>
      </c>
      <c r="E10255" s="241">
        <f t="shared" si="1354"/>
        <v>45911</v>
      </c>
      <c r="F10255" s="512"/>
      <c r="G10255" s="231" t="s">
        <v>1245</v>
      </c>
      <c r="H10255" s="232"/>
      <c r="I10255" s="232" t="s">
        <v>1253</v>
      </c>
      <c r="J10255" s="228" t="s">
        <v>55</v>
      </c>
      <c r="K10255" s="233"/>
      <c r="L10255" s="233">
        <f>K10254</f>
        <v>3623.123846153846</v>
      </c>
    </row>
    <row r="10256" spans="1:16" ht="11.25" customHeight="1" x14ac:dyDescent="0.2">
      <c r="A10256" s="222">
        <v>2025</v>
      </c>
      <c r="B10256" s="222">
        <v>9</v>
      </c>
      <c r="C10256" s="222">
        <v>11</v>
      </c>
      <c r="D10256" s="223">
        <f t="shared" si="1346"/>
        <v>45911</v>
      </c>
      <c r="E10256" s="240">
        <f t="shared" si="1354"/>
        <v>45911</v>
      </c>
      <c r="F10256" s="511" t="s">
        <v>1247</v>
      </c>
      <c r="G10256" s="225" t="s">
        <v>1245</v>
      </c>
      <c r="H10256" s="226"/>
      <c r="I10256" s="226" t="s">
        <v>1253</v>
      </c>
      <c r="J10256" s="222" t="s">
        <v>77</v>
      </c>
      <c r="K10256" s="227">
        <f>M10256</f>
        <v>57025.634044374194</v>
      </c>
      <c r="L10256" s="227"/>
      <c r="M10256" s="120">
        <v>57025.634044374194</v>
      </c>
    </row>
    <row r="10257" spans="1:15" ht="11.25" customHeight="1" x14ac:dyDescent="0.2">
      <c r="A10257" s="228">
        <v>2025</v>
      </c>
      <c r="B10257" s="228">
        <v>9</v>
      </c>
      <c r="C10257" s="228">
        <v>11</v>
      </c>
      <c r="D10257" s="229">
        <f t="shared" si="1346"/>
        <v>45911</v>
      </c>
      <c r="E10257" s="241">
        <f t="shared" si="1354"/>
        <v>45911</v>
      </c>
      <c r="F10257" s="512"/>
      <c r="G10257" s="231" t="s">
        <v>1245</v>
      </c>
      <c r="H10257" s="232"/>
      <c r="I10257" s="232" t="s">
        <v>1253</v>
      </c>
      <c r="J10257" s="228" t="s">
        <v>41</v>
      </c>
      <c r="K10257" s="233"/>
      <c r="L10257" s="233">
        <f>K10256</f>
        <v>57025.634044374194</v>
      </c>
      <c r="M10257" s="120">
        <v>5702.5634044374201</v>
      </c>
    </row>
    <row r="10258" spans="1:15" ht="11.25" customHeight="1" x14ac:dyDescent="0.2">
      <c r="A10258" s="222">
        <v>2025</v>
      </c>
      <c r="B10258" s="222">
        <v>9</v>
      </c>
      <c r="C10258" s="222">
        <v>11</v>
      </c>
      <c r="D10258" s="223">
        <f t="shared" si="1346"/>
        <v>45911</v>
      </c>
      <c r="E10258" s="240">
        <f t="shared" si="1354"/>
        <v>45911</v>
      </c>
      <c r="F10258" s="511" t="s">
        <v>1248</v>
      </c>
      <c r="G10258" s="225" t="s">
        <v>1245</v>
      </c>
      <c r="H10258" s="226"/>
      <c r="I10258" s="226" t="s">
        <v>1253</v>
      </c>
      <c r="J10258" s="222" t="s">
        <v>80</v>
      </c>
      <c r="K10258" s="227">
        <f>M10257</f>
        <v>5702.5634044374201</v>
      </c>
      <c r="L10258" s="227"/>
    </row>
    <row r="10259" spans="1:15" ht="11.25" customHeight="1" x14ac:dyDescent="0.2">
      <c r="A10259" s="228">
        <v>2025</v>
      </c>
      <c r="B10259" s="228">
        <v>9</v>
      </c>
      <c r="C10259" s="228">
        <v>11</v>
      </c>
      <c r="D10259" s="229">
        <f t="shared" si="1346"/>
        <v>45911</v>
      </c>
      <c r="E10259" s="241">
        <f t="shared" si="1354"/>
        <v>45911</v>
      </c>
      <c r="F10259" s="512"/>
      <c r="G10259" s="231" t="s">
        <v>1245</v>
      </c>
      <c r="H10259" s="232"/>
      <c r="I10259" s="232" t="s">
        <v>1253</v>
      </c>
      <c r="J10259" s="228" t="s">
        <v>42</v>
      </c>
      <c r="K10259" s="233"/>
      <c r="L10259" s="233">
        <f>K10258</f>
        <v>5702.5634044374201</v>
      </c>
    </row>
    <row r="10260" spans="1:15" x14ac:dyDescent="0.2">
      <c r="A10260" s="197">
        <v>2025</v>
      </c>
      <c r="B10260" s="197">
        <v>9</v>
      </c>
      <c r="C10260" s="197">
        <v>14</v>
      </c>
      <c r="D10260" s="198">
        <f t="shared" si="1346"/>
        <v>45914</v>
      </c>
      <c r="E10260" s="209">
        <f t="shared" si="1354"/>
        <v>45914</v>
      </c>
      <c r="F10260" s="513" t="s">
        <v>1280</v>
      </c>
      <c r="G10260" s="200" t="s">
        <v>1209</v>
      </c>
      <c r="H10260" s="201"/>
      <c r="I10260" s="201"/>
      <c r="J10260" s="197" t="s">
        <v>16</v>
      </c>
      <c r="K10260" s="202">
        <v>48980</v>
      </c>
      <c r="L10260" s="202"/>
    </row>
    <row r="10261" spans="1:15" x14ac:dyDescent="0.2">
      <c r="A10261" s="120">
        <v>2025</v>
      </c>
      <c r="B10261" s="120">
        <v>9</v>
      </c>
      <c r="C10261" s="120">
        <v>14</v>
      </c>
      <c r="D10261" s="208">
        <f t="shared" si="1346"/>
        <v>45914</v>
      </c>
      <c r="E10261" s="209">
        <f t="shared" si="1354"/>
        <v>45914</v>
      </c>
      <c r="F10261" s="515"/>
      <c r="G10261" s="132" t="s">
        <v>1209</v>
      </c>
      <c r="J10261" s="120" t="s">
        <v>47</v>
      </c>
      <c r="K10261" s="207">
        <v>16020</v>
      </c>
      <c r="L10261" s="207"/>
    </row>
    <row r="10262" spans="1:15" x14ac:dyDescent="0.2">
      <c r="A10262" s="191">
        <v>2025</v>
      </c>
      <c r="B10262" s="191">
        <v>9</v>
      </c>
      <c r="C10262" s="191">
        <v>14</v>
      </c>
      <c r="D10262" s="192">
        <f t="shared" si="1346"/>
        <v>45914</v>
      </c>
      <c r="E10262" s="193">
        <f t="shared" si="1354"/>
        <v>45914</v>
      </c>
      <c r="F10262" s="514"/>
      <c r="G10262" s="194" t="s">
        <v>1209</v>
      </c>
      <c r="H10262" s="195"/>
      <c r="I10262" s="195"/>
      <c r="J10262" s="191" t="s">
        <v>46</v>
      </c>
      <c r="K10262" s="196"/>
      <c r="L10262" s="196">
        <v>65000</v>
      </c>
    </row>
    <row r="10263" spans="1:15" x14ac:dyDescent="0.2">
      <c r="A10263" s="197">
        <v>2025</v>
      </c>
      <c r="B10263" s="197">
        <v>9</v>
      </c>
      <c r="C10263" s="197">
        <v>14</v>
      </c>
      <c r="D10263" s="198">
        <f t="shared" si="1346"/>
        <v>45914</v>
      </c>
      <c r="E10263" s="209">
        <f t="shared" ref="E10263:E10309" si="1355">DATE(A10263,B10263,C10263)</f>
        <v>45914</v>
      </c>
      <c r="F10263" s="513" t="s">
        <v>1280</v>
      </c>
      <c r="G10263" s="200" t="s">
        <v>1209</v>
      </c>
      <c r="H10263" s="201"/>
      <c r="I10263" s="201"/>
      <c r="J10263" s="197" t="s">
        <v>16</v>
      </c>
      <c r="K10263" s="202">
        <v>144570</v>
      </c>
      <c r="L10263" s="202"/>
    </row>
    <row r="10264" spans="1:15" x14ac:dyDescent="0.2">
      <c r="A10264" s="120">
        <v>2025</v>
      </c>
      <c r="B10264" s="120">
        <v>9</v>
      </c>
      <c r="C10264" s="120">
        <v>14</v>
      </c>
      <c r="D10264" s="208">
        <f t="shared" si="1346"/>
        <v>45914</v>
      </c>
      <c r="E10264" s="209">
        <f t="shared" si="1355"/>
        <v>45914</v>
      </c>
      <c r="F10264" s="515"/>
      <c r="G10264" s="132" t="s">
        <v>1209</v>
      </c>
      <c r="J10264" s="120" t="s">
        <v>47</v>
      </c>
      <c r="K10264" s="207">
        <v>47288.850000000006</v>
      </c>
      <c r="L10264" s="207"/>
    </row>
    <row r="10265" spans="1:15" x14ac:dyDescent="0.2">
      <c r="A10265" s="191">
        <v>2025</v>
      </c>
      <c r="B10265" s="191">
        <v>9</v>
      </c>
      <c r="C10265" s="191">
        <v>14</v>
      </c>
      <c r="D10265" s="192">
        <f t="shared" si="1346"/>
        <v>45914</v>
      </c>
      <c r="E10265" s="193">
        <f t="shared" si="1355"/>
        <v>45914</v>
      </c>
      <c r="F10265" s="514"/>
      <c r="G10265" s="194" t="s">
        <v>1209</v>
      </c>
      <c r="H10265" s="195"/>
      <c r="I10265" s="195"/>
      <c r="J10265" s="191" t="s">
        <v>46</v>
      </c>
      <c r="K10265" s="196"/>
      <c r="L10265" s="196">
        <v>191858.85</v>
      </c>
    </row>
    <row r="10266" spans="1:15" x14ac:dyDescent="0.2">
      <c r="A10266" s="197">
        <v>2025</v>
      </c>
      <c r="B10266" s="197">
        <v>9</v>
      </c>
      <c r="C10266" s="197">
        <v>14</v>
      </c>
      <c r="D10266" s="198">
        <f t="shared" si="1346"/>
        <v>45914</v>
      </c>
      <c r="E10266" s="209">
        <f>DATE(A10266,B10266,C10266)</f>
        <v>45914</v>
      </c>
      <c r="F10266" s="513" t="s">
        <v>1210</v>
      </c>
      <c r="G10266" s="200" t="s">
        <v>1209</v>
      </c>
      <c r="H10266" s="201"/>
      <c r="I10266" s="201"/>
      <c r="J10266" s="197" t="s">
        <v>46</v>
      </c>
      <c r="K10266" s="202">
        <v>17000</v>
      </c>
      <c r="L10266" s="202"/>
    </row>
    <row r="10267" spans="1:15" x14ac:dyDescent="0.2">
      <c r="A10267" s="120">
        <v>2025</v>
      </c>
      <c r="B10267" s="120">
        <v>9</v>
      </c>
      <c r="C10267" s="120">
        <v>14</v>
      </c>
      <c r="D10267" s="208">
        <f t="shared" si="1346"/>
        <v>45914</v>
      </c>
      <c r="E10267" s="209">
        <f>DATE(A10267,B10267,C10267)</f>
        <v>45914</v>
      </c>
      <c r="F10267" s="515"/>
      <c r="G10267" s="132" t="s">
        <v>1209</v>
      </c>
      <c r="J10267" s="120" t="s">
        <v>16</v>
      </c>
      <c r="K10267" s="207"/>
      <c r="L10267" s="207">
        <v>12810</v>
      </c>
    </row>
    <row r="10268" spans="1:15" x14ac:dyDescent="0.2">
      <c r="A10268" s="191">
        <v>2025</v>
      </c>
      <c r="B10268" s="191">
        <v>9</v>
      </c>
      <c r="C10268" s="191">
        <v>14</v>
      </c>
      <c r="D10268" s="192">
        <f t="shared" si="1346"/>
        <v>45914</v>
      </c>
      <c r="E10268" s="193">
        <f>DATE(A10268,B10268,C10268)</f>
        <v>45914</v>
      </c>
      <c r="F10268" s="514"/>
      <c r="G10268" s="194" t="s">
        <v>1209</v>
      </c>
      <c r="H10268" s="195"/>
      <c r="I10268" s="195"/>
      <c r="J10268" s="191" t="s">
        <v>47</v>
      </c>
      <c r="K10268" s="196"/>
      <c r="L10268" s="196">
        <v>4190</v>
      </c>
    </row>
    <row r="10269" spans="1:15" ht="11.25" customHeight="1" x14ac:dyDescent="0.2">
      <c r="A10269" s="197">
        <v>2025</v>
      </c>
      <c r="B10269" s="197">
        <v>9</v>
      </c>
      <c r="C10269" s="197">
        <v>15</v>
      </c>
      <c r="D10269" s="198">
        <f t="shared" si="1346"/>
        <v>45915</v>
      </c>
      <c r="E10269" s="199">
        <f t="shared" si="1355"/>
        <v>45915</v>
      </c>
      <c r="F10269" s="513" t="s">
        <v>2085</v>
      </c>
      <c r="G10269" s="200" t="s">
        <v>1209</v>
      </c>
      <c r="H10269" s="201"/>
      <c r="I10269" s="201" t="s">
        <v>1253</v>
      </c>
      <c r="J10269" s="197" t="s">
        <v>2085</v>
      </c>
      <c r="K10269" s="202">
        <v>5000000</v>
      </c>
      <c r="L10269" s="202"/>
    </row>
    <row r="10270" spans="1:15" ht="11.25" customHeight="1" x14ac:dyDescent="0.2">
      <c r="A10270" s="191">
        <v>2025</v>
      </c>
      <c r="B10270" s="191">
        <v>9</v>
      </c>
      <c r="C10270" s="191">
        <v>15</v>
      </c>
      <c r="D10270" s="192">
        <f t="shared" si="1346"/>
        <v>45915</v>
      </c>
      <c r="E10270" s="193">
        <f t="shared" si="1355"/>
        <v>45915</v>
      </c>
      <c r="F10270" s="514"/>
      <c r="G10270" s="194" t="s">
        <v>1209</v>
      </c>
      <c r="H10270" s="195"/>
      <c r="I10270" s="195" t="s">
        <v>1253</v>
      </c>
      <c r="J10270" s="191" t="s">
        <v>46</v>
      </c>
      <c r="K10270" s="196"/>
      <c r="L10270" s="196">
        <v>5000000</v>
      </c>
      <c r="N10270" s="130"/>
    </row>
    <row r="10271" spans="1:15" ht="11.25" customHeight="1" x14ac:dyDescent="0.2">
      <c r="A10271" s="197">
        <v>2025</v>
      </c>
      <c r="B10271" s="197">
        <v>9</v>
      </c>
      <c r="C10271" s="197">
        <v>15</v>
      </c>
      <c r="D10271" s="198">
        <f t="shared" si="1346"/>
        <v>45915</v>
      </c>
      <c r="E10271" s="290">
        <f t="shared" si="1355"/>
        <v>45915</v>
      </c>
      <c r="F10271" s="513" t="s">
        <v>1527</v>
      </c>
      <c r="G10271" s="200" t="s">
        <v>1209</v>
      </c>
      <c r="H10271" s="201"/>
      <c r="I10271" s="201"/>
      <c r="J10271" s="197" t="s">
        <v>54</v>
      </c>
      <c r="K10271" s="202">
        <v>100</v>
      </c>
      <c r="L10271" s="202"/>
      <c r="M10271" s="251"/>
      <c r="N10271" s="251"/>
      <c r="O10271" s="251"/>
    </row>
    <row r="10272" spans="1:15" ht="11.25" customHeight="1" x14ac:dyDescent="0.2">
      <c r="A10272" s="191">
        <v>2025</v>
      </c>
      <c r="B10272" s="191">
        <v>9</v>
      </c>
      <c r="C10272" s="191">
        <v>15</v>
      </c>
      <c r="D10272" s="192">
        <f t="shared" si="1346"/>
        <v>45915</v>
      </c>
      <c r="E10272" s="291">
        <f t="shared" si="1355"/>
        <v>45915</v>
      </c>
      <c r="F10272" s="514"/>
      <c r="G10272" s="194" t="s">
        <v>1209</v>
      </c>
      <c r="H10272" s="195"/>
      <c r="I10272" s="195"/>
      <c r="J10272" s="191" t="s">
        <v>46</v>
      </c>
      <c r="K10272" s="196"/>
      <c r="L10272" s="196">
        <f>K10271</f>
        <v>100</v>
      </c>
      <c r="M10272" s="251"/>
    </row>
    <row r="10273" spans="1:12" x14ac:dyDescent="0.2">
      <c r="A10273" s="197">
        <v>2025</v>
      </c>
      <c r="B10273" s="197">
        <v>9</v>
      </c>
      <c r="C10273" s="197">
        <v>15</v>
      </c>
      <c r="D10273" s="198">
        <f t="shared" si="1346"/>
        <v>45915</v>
      </c>
      <c r="E10273" s="209">
        <f t="shared" si="1355"/>
        <v>45915</v>
      </c>
      <c r="F10273" s="513" t="s">
        <v>1296</v>
      </c>
      <c r="G10273" s="200" t="s">
        <v>1209</v>
      </c>
      <c r="H10273" s="201"/>
      <c r="I10273" s="201"/>
      <c r="J10273" s="197" t="s">
        <v>46</v>
      </c>
      <c r="K10273" s="202">
        <v>104000</v>
      </c>
      <c r="L10273" s="202"/>
    </row>
    <row r="10274" spans="1:12" x14ac:dyDescent="0.2">
      <c r="A10274" s="120">
        <v>2025</v>
      </c>
      <c r="B10274" s="120">
        <v>9</v>
      </c>
      <c r="C10274" s="120">
        <v>15</v>
      </c>
      <c r="D10274" s="208">
        <f t="shared" si="1346"/>
        <v>45915</v>
      </c>
      <c r="E10274" s="209">
        <f t="shared" si="1355"/>
        <v>45915</v>
      </c>
      <c r="F10274" s="515"/>
      <c r="G10274" s="132" t="s">
        <v>1209</v>
      </c>
      <c r="J10274" s="120" t="s">
        <v>16</v>
      </c>
      <c r="K10274" s="207"/>
      <c r="L10274" s="207">
        <v>78370</v>
      </c>
    </row>
    <row r="10275" spans="1:12" x14ac:dyDescent="0.2">
      <c r="A10275" s="191">
        <v>2025</v>
      </c>
      <c r="B10275" s="191">
        <v>9</v>
      </c>
      <c r="C10275" s="191">
        <v>15</v>
      </c>
      <c r="D10275" s="192">
        <f t="shared" si="1346"/>
        <v>45915</v>
      </c>
      <c r="E10275" s="193">
        <f t="shared" si="1355"/>
        <v>45915</v>
      </c>
      <c r="F10275" s="514"/>
      <c r="G10275" s="194" t="s">
        <v>1209</v>
      </c>
      <c r="H10275" s="195"/>
      <c r="I10275" s="195"/>
      <c r="J10275" s="191" t="s">
        <v>47</v>
      </c>
      <c r="K10275" s="196"/>
      <c r="L10275" s="196">
        <v>25630</v>
      </c>
    </row>
    <row r="10276" spans="1:12" x14ac:dyDescent="0.2">
      <c r="A10276" s="197">
        <v>2025</v>
      </c>
      <c r="B10276" s="197">
        <v>9</v>
      </c>
      <c r="C10276" s="197">
        <v>15</v>
      </c>
      <c r="D10276" s="198">
        <f t="shared" si="1346"/>
        <v>45915</v>
      </c>
      <c r="E10276" s="209">
        <f t="shared" si="1355"/>
        <v>45915</v>
      </c>
      <c r="F10276" s="513" t="s">
        <v>1210</v>
      </c>
      <c r="G10276" s="200" t="s">
        <v>1209</v>
      </c>
      <c r="H10276" s="201"/>
      <c r="I10276" s="201"/>
      <c r="J10276" s="197" t="s">
        <v>46</v>
      </c>
      <c r="K10276" s="202">
        <v>4000000</v>
      </c>
      <c r="L10276" s="202"/>
    </row>
    <row r="10277" spans="1:12" x14ac:dyDescent="0.2">
      <c r="A10277" s="120">
        <v>2025</v>
      </c>
      <c r="B10277" s="120">
        <v>9</v>
      </c>
      <c r="C10277" s="120">
        <v>15</v>
      </c>
      <c r="D10277" s="208">
        <f t="shared" si="1346"/>
        <v>45915</v>
      </c>
      <c r="E10277" s="209">
        <f t="shared" si="1355"/>
        <v>45915</v>
      </c>
      <c r="F10277" s="515"/>
      <c r="G10277" s="132" t="s">
        <v>1209</v>
      </c>
      <c r="J10277" s="120" t="s">
        <v>16</v>
      </c>
      <c r="K10277" s="207"/>
      <c r="L10277" s="207">
        <v>3014090</v>
      </c>
    </row>
    <row r="10278" spans="1:12" x14ac:dyDescent="0.2">
      <c r="A10278" s="191">
        <v>2025</v>
      </c>
      <c r="B10278" s="191">
        <v>9</v>
      </c>
      <c r="C10278" s="191">
        <v>15</v>
      </c>
      <c r="D10278" s="192">
        <f t="shared" si="1346"/>
        <v>45915</v>
      </c>
      <c r="E10278" s="193">
        <f t="shared" si="1355"/>
        <v>45915</v>
      </c>
      <c r="F10278" s="514"/>
      <c r="G10278" s="194" t="s">
        <v>1209</v>
      </c>
      <c r="H10278" s="195"/>
      <c r="I10278" s="195"/>
      <c r="J10278" s="191" t="s">
        <v>47</v>
      </c>
      <c r="K10278" s="196"/>
      <c r="L10278" s="196">
        <v>985910</v>
      </c>
    </row>
    <row r="10279" spans="1:12" x14ac:dyDescent="0.2">
      <c r="A10279" s="197">
        <v>2025</v>
      </c>
      <c r="B10279" s="197">
        <v>9</v>
      </c>
      <c r="C10279" s="197">
        <v>15</v>
      </c>
      <c r="D10279" s="198">
        <f t="shared" si="1346"/>
        <v>45915</v>
      </c>
      <c r="E10279" s="209">
        <f t="shared" ref="E10279:E10281" si="1356">DATE(A10279,B10279,C10279)</f>
        <v>45915</v>
      </c>
      <c r="F10279" s="513" t="s">
        <v>1210</v>
      </c>
      <c r="G10279" s="200" t="s">
        <v>1209</v>
      </c>
      <c r="H10279" s="201"/>
      <c r="I10279" s="201"/>
      <c r="J10279" s="197" t="s">
        <v>46</v>
      </c>
      <c r="K10279" s="202">
        <v>3500000</v>
      </c>
      <c r="L10279" s="202"/>
    </row>
    <row r="10280" spans="1:12" x14ac:dyDescent="0.2">
      <c r="A10280" s="120">
        <v>2025</v>
      </c>
      <c r="B10280" s="120">
        <v>9</v>
      </c>
      <c r="C10280" s="120">
        <v>15</v>
      </c>
      <c r="D10280" s="208">
        <f t="shared" si="1346"/>
        <v>45915</v>
      </c>
      <c r="E10280" s="209">
        <f t="shared" si="1356"/>
        <v>45915</v>
      </c>
      <c r="F10280" s="515"/>
      <c r="G10280" s="132" t="s">
        <v>1209</v>
      </c>
      <c r="J10280" s="120" t="s">
        <v>16</v>
      </c>
      <c r="K10280" s="207"/>
      <c r="L10280" s="207">
        <v>2637330</v>
      </c>
    </row>
    <row r="10281" spans="1:12" x14ac:dyDescent="0.2">
      <c r="A10281" s="191">
        <v>2025</v>
      </c>
      <c r="B10281" s="191">
        <v>9</v>
      </c>
      <c r="C10281" s="191">
        <v>15</v>
      </c>
      <c r="D10281" s="192">
        <f t="shared" si="1346"/>
        <v>45915</v>
      </c>
      <c r="E10281" s="193">
        <f t="shared" si="1356"/>
        <v>45915</v>
      </c>
      <c r="F10281" s="514"/>
      <c r="G10281" s="194" t="s">
        <v>1209</v>
      </c>
      <c r="H10281" s="195"/>
      <c r="I10281" s="195"/>
      <c r="J10281" s="191" t="s">
        <v>47</v>
      </c>
      <c r="K10281" s="196"/>
      <c r="L10281" s="196">
        <v>862670</v>
      </c>
    </row>
    <row r="10282" spans="1:12" x14ac:dyDescent="0.2">
      <c r="A10282" s="197">
        <v>2025</v>
      </c>
      <c r="B10282" s="197">
        <v>9</v>
      </c>
      <c r="C10282" s="197">
        <v>15</v>
      </c>
      <c r="D10282" s="198">
        <f t="shared" si="1346"/>
        <v>45915</v>
      </c>
      <c r="E10282" s="209">
        <f t="shared" si="1355"/>
        <v>45915</v>
      </c>
      <c r="F10282" s="513" t="s">
        <v>1210</v>
      </c>
      <c r="G10282" s="200" t="s">
        <v>1209</v>
      </c>
      <c r="H10282" s="201"/>
      <c r="I10282" s="201"/>
      <c r="J10282" s="197" t="s">
        <v>46</v>
      </c>
      <c r="K10282" s="202">
        <v>2500000</v>
      </c>
      <c r="L10282" s="202"/>
    </row>
    <row r="10283" spans="1:12" x14ac:dyDescent="0.2">
      <c r="A10283" s="120">
        <v>2025</v>
      </c>
      <c r="B10283" s="120">
        <v>9</v>
      </c>
      <c r="C10283" s="120">
        <v>15</v>
      </c>
      <c r="D10283" s="208">
        <f t="shared" si="1346"/>
        <v>45915</v>
      </c>
      <c r="E10283" s="209">
        <f t="shared" si="1355"/>
        <v>45915</v>
      </c>
      <c r="F10283" s="515"/>
      <c r="G10283" s="132" t="s">
        <v>1209</v>
      </c>
      <c r="J10283" s="120" t="s">
        <v>16</v>
      </c>
      <c r="K10283" s="207"/>
      <c r="L10283" s="207">
        <v>1883810</v>
      </c>
    </row>
    <row r="10284" spans="1:12" x14ac:dyDescent="0.2">
      <c r="A10284" s="191">
        <v>2025</v>
      </c>
      <c r="B10284" s="191">
        <v>9</v>
      </c>
      <c r="C10284" s="191">
        <v>15</v>
      </c>
      <c r="D10284" s="192">
        <f t="shared" ref="D10284:D10347" si="1357">DATE(A10284,B10284,C10284)</f>
        <v>45915</v>
      </c>
      <c r="E10284" s="193">
        <f t="shared" si="1355"/>
        <v>45915</v>
      </c>
      <c r="F10284" s="514"/>
      <c r="G10284" s="194" t="s">
        <v>1209</v>
      </c>
      <c r="H10284" s="195"/>
      <c r="I10284" s="195"/>
      <c r="J10284" s="191" t="s">
        <v>47</v>
      </c>
      <c r="K10284" s="196"/>
      <c r="L10284" s="196">
        <v>616190</v>
      </c>
    </row>
    <row r="10285" spans="1:12" x14ac:dyDescent="0.2">
      <c r="A10285" s="197">
        <v>2025</v>
      </c>
      <c r="B10285" s="197">
        <v>9</v>
      </c>
      <c r="C10285" s="197">
        <v>15</v>
      </c>
      <c r="D10285" s="198">
        <f t="shared" si="1357"/>
        <v>45915</v>
      </c>
      <c r="E10285" s="209">
        <f t="shared" ref="E10285:E10287" si="1358">DATE(A10285,B10285,C10285)</f>
        <v>45915</v>
      </c>
      <c r="F10285" s="513" t="s">
        <v>1210</v>
      </c>
      <c r="G10285" s="200" t="s">
        <v>1209</v>
      </c>
      <c r="H10285" s="201"/>
      <c r="I10285" s="201"/>
      <c r="J10285" s="197" t="s">
        <v>46</v>
      </c>
      <c r="K10285" s="202">
        <v>1200000</v>
      </c>
      <c r="L10285" s="202"/>
    </row>
    <row r="10286" spans="1:12" x14ac:dyDescent="0.2">
      <c r="A10286" s="120">
        <v>2025</v>
      </c>
      <c r="B10286" s="120">
        <v>9</v>
      </c>
      <c r="C10286" s="120">
        <v>15</v>
      </c>
      <c r="D10286" s="208">
        <f t="shared" si="1357"/>
        <v>45915</v>
      </c>
      <c r="E10286" s="209">
        <f t="shared" si="1358"/>
        <v>45915</v>
      </c>
      <c r="F10286" s="515"/>
      <c r="G10286" s="132" t="s">
        <v>1209</v>
      </c>
      <c r="J10286" s="120" t="s">
        <v>16</v>
      </c>
      <c r="K10286" s="207"/>
      <c r="L10286" s="207">
        <v>904230</v>
      </c>
    </row>
    <row r="10287" spans="1:12" x14ac:dyDescent="0.2">
      <c r="A10287" s="191">
        <v>2025</v>
      </c>
      <c r="B10287" s="191">
        <v>9</v>
      </c>
      <c r="C10287" s="191">
        <v>15</v>
      </c>
      <c r="D10287" s="192">
        <f t="shared" si="1357"/>
        <v>45915</v>
      </c>
      <c r="E10287" s="193">
        <f t="shared" si="1358"/>
        <v>45915</v>
      </c>
      <c r="F10287" s="514"/>
      <c r="G10287" s="194" t="s">
        <v>1209</v>
      </c>
      <c r="H10287" s="195"/>
      <c r="I10287" s="195"/>
      <c r="J10287" s="191" t="s">
        <v>47</v>
      </c>
      <c r="K10287" s="196"/>
      <c r="L10287" s="196">
        <v>295770</v>
      </c>
    </row>
    <row r="10288" spans="1:12" x14ac:dyDescent="0.2">
      <c r="A10288" s="197">
        <v>2025</v>
      </c>
      <c r="B10288" s="197">
        <v>9</v>
      </c>
      <c r="C10288" s="197">
        <v>15</v>
      </c>
      <c r="D10288" s="198">
        <f t="shared" si="1357"/>
        <v>45915</v>
      </c>
      <c r="E10288" s="209">
        <f t="shared" si="1355"/>
        <v>45915</v>
      </c>
      <c r="F10288" s="513" t="s">
        <v>1210</v>
      </c>
      <c r="G10288" s="200" t="s">
        <v>1209</v>
      </c>
      <c r="H10288" s="201"/>
      <c r="I10288" s="201"/>
      <c r="J10288" s="197" t="s">
        <v>46</v>
      </c>
      <c r="K10288" s="202">
        <v>100000</v>
      </c>
      <c r="L10288" s="202"/>
    </row>
    <row r="10289" spans="1:15" x14ac:dyDescent="0.2">
      <c r="A10289" s="120">
        <v>2025</v>
      </c>
      <c r="B10289" s="120">
        <v>9</v>
      </c>
      <c r="C10289" s="120">
        <v>15</v>
      </c>
      <c r="D10289" s="208">
        <f t="shared" si="1357"/>
        <v>45915</v>
      </c>
      <c r="E10289" s="209">
        <f t="shared" si="1355"/>
        <v>45915</v>
      </c>
      <c r="F10289" s="515"/>
      <c r="G10289" s="132" t="s">
        <v>1209</v>
      </c>
      <c r="J10289" s="120" t="s">
        <v>16</v>
      </c>
      <c r="K10289" s="207"/>
      <c r="L10289" s="207">
        <v>75350</v>
      </c>
    </row>
    <row r="10290" spans="1:15" x14ac:dyDescent="0.2">
      <c r="A10290" s="191">
        <v>2025</v>
      </c>
      <c r="B10290" s="191">
        <v>9</v>
      </c>
      <c r="C10290" s="191">
        <v>15</v>
      </c>
      <c r="D10290" s="192">
        <f t="shared" si="1357"/>
        <v>45915</v>
      </c>
      <c r="E10290" s="193">
        <f t="shared" si="1355"/>
        <v>45915</v>
      </c>
      <c r="F10290" s="514"/>
      <c r="G10290" s="194" t="s">
        <v>1209</v>
      </c>
      <c r="H10290" s="195"/>
      <c r="I10290" s="195"/>
      <c r="J10290" s="191" t="s">
        <v>47</v>
      </c>
      <c r="K10290" s="196"/>
      <c r="L10290" s="196">
        <v>24650</v>
      </c>
    </row>
    <row r="10291" spans="1:15" ht="11.25" customHeight="1" x14ac:dyDescent="0.2">
      <c r="A10291" s="197">
        <v>2025</v>
      </c>
      <c r="B10291" s="197">
        <v>9</v>
      </c>
      <c r="C10291" s="197">
        <v>15</v>
      </c>
      <c r="D10291" s="198">
        <f t="shared" si="1357"/>
        <v>45915</v>
      </c>
      <c r="E10291" s="290">
        <f t="shared" si="1355"/>
        <v>45915</v>
      </c>
      <c r="F10291" s="513" t="s">
        <v>1527</v>
      </c>
      <c r="G10291" s="200" t="s">
        <v>1209</v>
      </c>
      <c r="H10291" s="201"/>
      <c r="I10291" s="201"/>
      <c r="J10291" s="197" t="s">
        <v>54</v>
      </c>
      <c r="K10291" s="202">
        <v>60</v>
      </c>
      <c r="L10291" s="202"/>
      <c r="M10291" s="251"/>
      <c r="N10291" s="251"/>
      <c r="O10291" s="251"/>
    </row>
    <row r="10292" spans="1:15" ht="11.25" customHeight="1" x14ac:dyDescent="0.2">
      <c r="A10292" s="191">
        <v>2025</v>
      </c>
      <c r="B10292" s="191">
        <v>9</v>
      </c>
      <c r="C10292" s="191">
        <v>15</v>
      </c>
      <c r="D10292" s="192">
        <f t="shared" si="1357"/>
        <v>45915</v>
      </c>
      <c r="E10292" s="291">
        <f t="shared" si="1355"/>
        <v>45915</v>
      </c>
      <c r="F10292" s="514"/>
      <c r="G10292" s="194" t="s">
        <v>1209</v>
      </c>
      <c r="H10292" s="195"/>
      <c r="I10292" s="195"/>
      <c r="J10292" s="191" t="s">
        <v>46</v>
      </c>
      <c r="K10292" s="196"/>
      <c r="L10292" s="196">
        <f>K10291</f>
        <v>60</v>
      </c>
      <c r="M10292" s="251"/>
    </row>
    <row r="10293" spans="1:15" ht="11.25" customHeight="1" x14ac:dyDescent="0.2">
      <c r="A10293" s="197">
        <v>2025</v>
      </c>
      <c r="B10293" s="197">
        <v>9</v>
      </c>
      <c r="C10293" s="197">
        <v>15</v>
      </c>
      <c r="D10293" s="198">
        <f t="shared" si="1357"/>
        <v>45915</v>
      </c>
      <c r="E10293" s="290">
        <f t="shared" ref="E10293:E10294" si="1359">DATE(A10293,B10293,C10293)</f>
        <v>45915</v>
      </c>
      <c r="F10293" s="513" t="s">
        <v>1514</v>
      </c>
      <c r="G10293" s="200" t="s">
        <v>1209</v>
      </c>
      <c r="H10293" s="201"/>
      <c r="I10293" s="201"/>
      <c r="J10293" s="197" t="s">
        <v>54</v>
      </c>
      <c r="K10293" s="202">
        <v>75</v>
      </c>
      <c r="L10293" s="202"/>
      <c r="M10293" s="251"/>
      <c r="N10293" s="251"/>
      <c r="O10293" s="251"/>
    </row>
    <row r="10294" spans="1:15" ht="11.25" customHeight="1" x14ac:dyDescent="0.2">
      <c r="A10294" s="191">
        <v>2025</v>
      </c>
      <c r="B10294" s="191">
        <v>9</v>
      </c>
      <c r="C10294" s="191">
        <v>15</v>
      </c>
      <c r="D10294" s="192">
        <f t="shared" si="1357"/>
        <v>45915</v>
      </c>
      <c r="E10294" s="291">
        <f t="shared" si="1359"/>
        <v>45915</v>
      </c>
      <c r="F10294" s="514"/>
      <c r="G10294" s="194" t="s">
        <v>1209</v>
      </c>
      <c r="H10294" s="195"/>
      <c r="I10294" s="195"/>
      <c r="J10294" s="191" t="s">
        <v>46</v>
      </c>
      <c r="K10294" s="196"/>
      <c r="L10294" s="196">
        <f>K10293</f>
        <v>75</v>
      </c>
      <c r="M10294" s="251"/>
    </row>
    <row r="10295" spans="1:15" x14ac:dyDescent="0.2">
      <c r="A10295" s="197">
        <v>2025</v>
      </c>
      <c r="B10295" s="197">
        <v>9</v>
      </c>
      <c r="C10295" s="197">
        <v>16</v>
      </c>
      <c r="D10295" s="198">
        <f t="shared" si="1357"/>
        <v>45916</v>
      </c>
      <c r="E10295" s="209">
        <f t="shared" ref="E10295:E10297" si="1360">DATE(A10295,B10295,C10295)</f>
        <v>45916</v>
      </c>
      <c r="F10295" s="513" t="s">
        <v>1210</v>
      </c>
      <c r="G10295" s="200" t="s">
        <v>1209</v>
      </c>
      <c r="H10295" s="201"/>
      <c r="I10295" s="201"/>
      <c r="J10295" s="197" t="s">
        <v>46</v>
      </c>
      <c r="K10295" s="202">
        <v>300000</v>
      </c>
      <c r="L10295" s="202"/>
    </row>
    <row r="10296" spans="1:15" x14ac:dyDescent="0.2">
      <c r="A10296" s="120">
        <v>2025</v>
      </c>
      <c r="B10296" s="120">
        <v>9</v>
      </c>
      <c r="C10296" s="120">
        <v>16</v>
      </c>
      <c r="D10296" s="208">
        <f t="shared" si="1357"/>
        <v>45916</v>
      </c>
      <c r="E10296" s="209">
        <f t="shared" si="1360"/>
        <v>45916</v>
      </c>
      <c r="F10296" s="515"/>
      <c r="G10296" s="132" t="s">
        <v>1209</v>
      </c>
      <c r="J10296" s="120" t="s">
        <v>16</v>
      </c>
      <c r="K10296" s="207"/>
      <c r="L10296" s="207">
        <v>226060</v>
      </c>
    </row>
    <row r="10297" spans="1:15" x14ac:dyDescent="0.2">
      <c r="A10297" s="191">
        <v>2025</v>
      </c>
      <c r="B10297" s="191">
        <v>9</v>
      </c>
      <c r="C10297" s="191">
        <v>16</v>
      </c>
      <c r="D10297" s="192">
        <f t="shared" si="1357"/>
        <v>45916</v>
      </c>
      <c r="E10297" s="193">
        <f t="shared" si="1360"/>
        <v>45916</v>
      </c>
      <c r="F10297" s="514"/>
      <c r="G10297" s="194" t="s">
        <v>1209</v>
      </c>
      <c r="H10297" s="195"/>
      <c r="I10297" s="195"/>
      <c r="J10297" s="191" t="s">
        <v>47</v>
      </c>
      <c r="K10297" s="196"/>
      <c r="L10297" s="196">
        <v>73940</v>
      </c>
    </row>
    <row r="10298" spans="1:15" x14ac:dyDescent="0.2">
      <c r="A10298" s="197">
        <v>2025</v>
      </c>
      <c r="B10298" s="197">
        <v>9</v>
      </c>
      <c r="C10298" s="197">
        <v>16</v>
      </c>
      <c r="D10298" s="198">
        <f t="shared" si="1357"/>
        <v>45916</v>
      </c>
      <c r="E10298" s="209">
        <f t="shared" si="1355"/>
        <v>45916</v>
      </c>
      <c r="F10298" s="513" t="s">
        <v>1210</v>
      </c>
      <c r="G10298" s="200" t="s">
        <v>1209</v>
      </c>
      <c r="H10298" s="201"/>
      <c r="I10298" s="201"/>
      <c r="J10298" s="197" t="s">
        <v>46</v>
      </c>
      <c r="K10298" s="202">
        <v>200000</v>
      </c>
      <c r="L10298" s="202"/>
    </row>
    <row r="10299" spans="1:15" x14ac:dyDescent="0.2">
      <c r="A10299" s="120">
        <v>2025</v>
      </c>
      <c r="B10299" s="120">
        <v>9</v>
      </c>
      <c r="C10299" s="120">
        <v>16</v>
      </c>
      <c r="D10299" s="208">
        <f t="shared" si="1357"/>
        <v>45916</v>
      </c>
      <c r="E10299" s="209">
        <f t="shared" si="1355"/>
        <v>45916</v>
      </c>
      <c r="F10299" s="515"/>
      <c r="G10299" s="132" t="s">
        <v>1209</v>
      </c>
      <c r="J10299" s="120" t="s">
        <v>16</v>
      </c>
      <c r="K10299" s="207"/>
      <c r="L10299" s="207">
        <v>150700</v>
      </c>
    </row>
    <row r="10300" spans="1:15" x14ac:dyDescent="0.2">
      <c r="A10300" s="191">
        <v>2025</v>
      </c>
      <c r="B10300" s="191">
        <v>9</v>
      </c>
      <c r="C10300" s="191">
        <v>16</v>
      </c>
      <c r="D10300" s="192">
        <f t="shared" si="1357"/>
        <v>45916</v>
      </c>
      <c r="E10300" s="193">
        <f t="shared" si="1355"/>
        <v>45916</v>
      </c>
      <c r="F10300" s="514"/>
      <c r="G10300" s="194" t="s">
        <v>1209</v>
      </c>
      <c r="H10300" s="195"/>
      <c r="I10300" s="195"/>
      <c r="J10300" s="191" t="s">
        <v>47</v>
      </c>
      <c r="K10300" s="196"/>
      <c r="L10300" s="196">
        <v>49300</v>
      </c>
    </row>
    <row r="10301" spans="1:15" x14ac:dyDescent="0.2">
      <c r="A10301" s="197">
        <v>2025</v>
      </c>
      <c r="B10301" s="197">
        <v>9</v>
      </c>
      <c r="C10301" s="197">
        <v>17</v>
      </c>
      <c r="D10301" s="198">
        <f t="shared" si="1357"/>
        <v>45917</v>
      </c>
      <c r="E10301" s="209">
        <f t="shared" ref="E10301:E10306" si="1361">DATE(A10301,B10301,C10301)</f>
        <v>45917</v>
      </c>
      <c r="F10301" s="513" t="s">
        <v>1210</v>
      </c>
      <c r="G10301" s="200" t="s">
        <v>1209</v>
      </c>
      <c r="H10301" s="201"/>
      <c r="I10301" s="201"/>
      <c r="J10301" s="197" t="s">
        <v>46</v>
      </c>
      <c r="K10301" s="202">
        <v>100000</v>
      </c>
      <c r="L10301" s="202"/>
    </row>
    <row r="10302" spans="1:15" x14ac:dyDescent="0.2">
      <c r="A10302" s="120">
        <v>2025</v>
      </c>
      <c r="B10302" s="120">
        <v>9</v>
      </c>
      <c r="C10302" s="120">
        <v>17</v>
      </c>
      <c r="D10302" s="208">
        <f t="shared" si="1357"/>
        <v>45917</v>
      </c>
      <c r="E10302" s="209">
        <f t="shared" si="1361"/>
        <v>45917</v>
      </c>
      <c r="F10302" s="515"/>
      <c r="G10302" s="132" t="s">
        <v>1209</v>
      </c>
      <c r="J10302" s="120" t="s">
        <v>16</v>
      </c>
      <c r="K10302" s="207"/>
      <c r="L10302" s="207">
        <v>75350</v>
      </c>
    </row>
    <row r="10303" spans="1:15" x14ac:dyDescent="0.2">
      <c r="A10303" s="191">
        <v>2025</v>
      </c>
      <c r="B10303" s="191">
        <v>9</v>
      </c>
      <c r="C10303" s="191">
        <v>17</v>
      </c>
      <c r="D10303" s="192">
        <f t="shared" si="1357"/>
        <v>45917</v>
      </c>
      <c r="E10303" s="193">
        <f t="shared" si="1361"/>
        <v>45917</v>
      </c>
      <c r="F10303" s="514"/>
      <c r="G10303" s="194" t="s">
        <v>1209</v>
      </c>
      <c r="H10303" s="195"/>
      <c r="I10303" s="195"/>
      <c r="J10303" s="191" t="s">
        <v>47</v>
      </c>
      <c r="K10303" s="196"/>
      <c r="L10303" s="196">
        <v>24650</v>
      </c>
    </row>
    <row r="10304" spans="1:15" x14ac:dyDescent="0.2">
      <c r="A10304" s="197">
        <v>2025</v>
      </c>
      <c r="B10304" s="197">
        <v>9</v>
      </c>
      <c r="C10304" s="197">
        <v>17</v>
      </c>
      <c r="D10304" s="198">
        <f t="shared" si="1357"/>
        <v>45917</v>
      </c>
      <c r="E10304" s="209">
        <f t="shared" si="1361"/>
        <v>45917</v>
      </c>
      <c r="F10304" s="513" t="s">
        <v>1280</v>
      </c>
      <c r="G10304" s="200" t="s">
        <v>1209</v>
      </c>
      <c r="H10304" s="201"/>
      <c r="I10304" s="201"/>
      <c r="J10304" s="197" t="s">
        <v>16</v>
      </c>
      <c r="K10304" s="202">
        <v>235620</v>
      </c>
      <c r="L10304" s="202"/>
    </row>
    <row r="10305" spans="1:12" x14ac:dyDescent="0.2">
      <c r="A10305" s="120">
        <v>2025</v>
      </c>
      <c r="B10305" s="120">
        <v>9</v>
      </c>
      <c r="C10305" s="120">
        <v>17</v>
      </c>
      <c r="D10305" s="208">
        <f t="shared" si="1357"/>
        <v>45917</v>
      </c>
      <c r="E10305" s="209">
        <f t="shared" si="1361"/>
        <v>45917</v>
      </c>
      <c r="F10305" s="515"/>
      <c r="G10305" s="132" t="s">
        <v>1209</v>
      </c>
      <c r="J10305" s="120" t="s">
        <v>47</v>
      </c>
      <c r="K10305" s="207">
        <v>77071.299999999988</v>
      </c>
      <c r="L10305" s="207"/>
    </row>
    <row r="10306" spans="1:12" x14ac:dyDescent="0.2">
      <c r="A10306" s="191">
        <v>2025</v>
      </c>
      <c r="B10306" s="191">
        <v>9</v>
      </c>
      <c r="C10306" s="191">
        <v>17</v>
      </c>
      <c r="D10306" s="192">
        <f t="shared" si="1357"/>
        <v>45917</v>
      </c>
      <c r="E10306" s="193">
        <f t="shared" si="1361"/>
        <v>45917</v>
      </c>
      <c r="F10306" s="514"/>
      <c r="G10306" s="194" t="s">
        <v>1209</v>
      </c>
      <c r="H10306" s="195"/>
      <c r="I10306" s="195"/>
      <c r="J10306" s="191" t="s">
        <v>46</v>
      </c>
      <c r="K10306" s="196"/>
      <c r="L10306" s="196">
        <v>312691.3</v>
      </c>
    </row>
    <row r="10307" spans="1:12" x14ac:dyDescent="0.2">
      <c r="A10307" s="197">
        <v>2025</v>
      </c>
      <c r="B10307" s="197">
        <v>9</v>
      </c>
      <c r="C10307" s="197">
        <v>17</v>
      </c>
      <c r="D10307" s="198">
        <f t="shared" si="1357"/>
        <v>45917</v>
      </c>
      <c r="E10307" s="209">
        <f t="shared" si="1355"/>
        <v>45917</v>
      </c>
      <c r="F10307" s="513" t="s">
        <v>1210</v>
      </c>
      <c r="G10307" s="200" t="s">
        <v>1209</v>
      </c>
      <c r="H10307" s="201"/>
      <c r="I10307" s="201"/>
      <c r="J10307" s="197" t="s">
        <v>46</v>
      </c>
      <c r="K10307" s="202">
        <v>300000</v>
      </c>
      <c r="L10307" s="202"/>
    </row>
    <row r="10308" spans="1:12" x14ac:dyDescent="0.2">
      <c r="A10308" s="120">
        <v>2025</v>
      </c>
      <c r="B10308" s="120">
        <v>9</v>
      </c>
      <c r="C10308" s="120">
        <v>17</v>
      </c>
      <c r="D10308" s="208">
        <f t="shared" si="1357"/>
        <v>45917</v>
      </c>
      <c r="E10308" s="209">
        <f t="shared" si="1355"/>
        <v>45917</v>
      </c>
      <c r="F10308" s="515"/>
      <c r="G10308" s="132" t="s">
        <v>1209</v>
      </c>
      <c r="J10308" s="120" t="s">
        <v>16</v>
      </c>
      <c r="K10308" s="207"/>
      <c r="L10308" s="207">
        <v>226060</v>
      </c>
    </row>
    <row r="10309" spans="1:12" x14ac:dyDescent="0.2">
      <c r="A10309" s="191">
        <v>2025</v>
      </c>
      <c r="B10309" s="191">
        <v>9</v>
      </c>
      <c r="C10309" s="191">
        <v>17</v>
      </c>
      <c r="D10309" s="192">
        <f t="shared" si="1357"/>
        <v>45917</v>
      </c>
      <c r="E10309" s="193">
        <f t="shared" si="1355"/>
        <v>45917</v>
      </c>
      <c r="F10309" s="514"/>
      <c r="G10309" s="194" t="s">
        <v>1209</v>
      </c>
      <c r="H10309" s="195"/>
      <c r="I10309" s="195"/>
      <c r="J10309" s="191" t="s">
        <v>47</v>
      </c>
      <c r="K10309" s="196"/>
      <c r="L10309" s="196">
        <v>73940</v>
      </c>
    </row>
    <row r="10310" spans="1:12" x14ac:dyDescent="0.2">
      <c r="A10310" s="197">
        <v>2025</v>
      </c>
      <c r="B10310" s="197">
        <v>9</v>
      </c>
      <c r="C10310" s="197">
        <v>17</v>
      </c>
      <c r="D10310" s="198">
        <f t="shared" si="1357"/>
        <v>45917</v>
      </c>
      <c r="E10310" s="209">
        <f t="shared" ref="E10310:E10330" si="1362">DATE(A10310,B10310,C10310)</f>
        <v>45917</v>
      </c>
      <c r="F10310" s="513" t="s">
        <v>1210</v>
      </c>
      <c r="G10310" s="200" t="s">
        <v>1209</v>
      </c>
      <c r="H10310" s="201"/>
      <c r="I10310" s="201"/>
      <c r="J10310" s="197" t="s">
        <v>46</v>
      </c>
      <c r="K10310" s="202">
        <v>100000</v>
      </c>
      <c r="L10310" s="202"/>
    </row>
    <row r="10311" spans="1:12" x14ac:dyDescent="0.2">
      <c r="A10311" s="120">
        <v>2025</v>
      </c>
      <c r="B10311" s="120">
        <v>9</v>
      </c>
      <c r="C10311" s="120">
        <v>17</v>
      </c>
      <c r="D10311" s="208">
        <f t="shared" si="1357"/>
        <v>45917</v>
      </c>
      <c r="E10311" s="209">
        <f t="shared" si="1362"/>
        <v>45917</v>
      </c>
      <c r="F10311" s="515"/>
      <c r="G10311" s="132" t="s">
        <v>1209</v>
      </c>
      <c r="J10311" s="120" t="s">
        <v>16</v>
      </c>
      <c r="K10311" s="207"/>
      <c r="L10311" s="207">
        <v>75350</v>
      </c>
    </row>
    <row r="10312" spans="1:12" x14ac:dyDescent="0.2">
      <c r="A10312" s="191">
        <v>2025</v>
      </c>
      <c r="B10312" s="191">
        <v>9</v>
      </c>
      <c r="C10312" s="191">
        <v>17</v>
      </c>
      <c r="D10312" s="192">
        <f t="shared" si="1357"/>
        <v>45917</v>
      </c>
      <c r="E10312" s="193">
        <f t="shared" si="1362"/>
        <v>45917</v>
      </c>
      <c r="F10312" s="514"/>
      <c r="G10312" s="194" t="s">
        <v>1209</v>
      </c>
      <c r="H10312" s="195"/>
      <c r="I10312" s="195"/>
      <c r="J10312" s="191" t="s">
        <v>47</v>
      </c>
      <c r="K10312" s="196"/>
      <c r="L10312" s="196">
        <v>24650</v>
      </c>
    </row>
    <row r="10313" spans="1:12" ht="11.25" customHeight="1" x14ac:dyDescent="0.2">
      <c r="A10313" s="197">
        <v>2025</v>
      </c>
      <c r="B10313" s="197">
        <v>9</v>
      </c>
      <c r="C10313" s="197">
        <v>18</v>
      </c>
      <c r="D10313" s="198">
        <f t="shared" si="1357"/>
        <v>45918</v>
      </c>
      <c r="E10313" s="290">
        <f t="shared" ref="E10313:E10320" si="1363">DATE(A10313,B10313,C10313)</f>
        <v>45918</v>
      </c>
      <c r="F10313" s="513" t="s">
        <v>2087</v>
      </c>
      <c r="G10313" s="200" t="s">
        <v>1209</v>
      </c>
      <c r="H10313" s="201"/>
      <c r="I10313" s="201" t="s">
        <v>1253</v>
      </c>
      <c r="J10313" s="197" t="s">
        <v>1873</v>
      </c>
      <c r="K10313" s="202">
        <v>885675</v>
      </c>
      <c r="L10313" s="202"/>
    </row>
    <row r="10314" spans="1:12" ht="11.25" customHeight="1" x14ac:dyDescent="0.2">
      <c r="A10314" s="191">
        <v>2025</v>
      </c>
      <c r="B10314" s="191">
        <v>9</v>
      </c>
      <c r="C10314" s="191">
        <v>18</v>
      </c>
      <c r="D10314" s="192">
        <f t="shared" si="1357"/>
        <v>45918</v>
      </c>
      <c r="E10314" s="291">
        <f t="shared" si="1363"/>
        <v>45918</v>
      </c>
      <c r="F10314" s="514"/>
      <c r="G10314" s="194" t="s">
        <v>1209</v>
      </c>
      <c r="H10314" s="195"/>
      <c r="I10314" s="195"/>
      <c r="J10314" s="191" t="s">
        <v>1845</v>
      </c>
      <c r="K10314" s="196"/>
      <c r="L10314" s="196">
        <v>885675</v>
      </c>
    </row>
    <row r="10315" spans="1:12" x14ac:dyDescent="0.2">
      <c r="A10315" s="197">
        <v>2025</v>
      </c>
      <c r="B10315" s="197">
        <v>9</v>
      </c>
      <c r="C10315" s="197">
        <v>18</v>
      </c>
      <c r="D10315" s="198">
        <f t="shared" si="1357"/>
        <v>45918</v>
      </c>
      <c r="E10315" s="209">
        <f t="shared" si="1363"/>
        <v>45918</v>
      </c>
      <c r="F10315" s="513" t="s">
        <v>1280</v>
      </c>
      <c r="G10315" s="200" t="s">
        <v>1209</v>
      </c>
      <c r="H10315" s="201"/>
      <c r="I10315" s="201"/>
      <c r="J10315" s="197" t="s">
        <v>16</v>
      </c>
      <c r="K10315" s="202">
        <v>22610</v>
      </c>
      <c r="L10315" s="202"/>
    </row>
    <row r="10316" spans="1:12" x14ac:dyDescent="0.2">
      <c r="A10316" s="120">
        <v>2025</v>
      </c>
      <c r="B10316" s="120">
        <v>9</v>
      </c>
      <c r="C10316" s="120">
        <v>18</v>
      </c>
      <c r="D10316" s="208">
        <f t="shared" si="1357"/>
        <v>45918</v>
      </c>
      <c r="E10316" s="209">
        <f t="shared" si="1363"/>
        <v>45918</v>
      </c>
      <c r="F10316" s="515"/>
      <c r="G10316" s="132" t="s">
        <v>1209</v>
      </c>
      <c r="J10316" s="120" t="s">
        <v>47</v>
      </c>
      <c r="K10316" s="207">
        <v>7390</v>
      </c>
      <c r="L10316" s="207"/>
    </row>
    <row r="10317" spans="1:12" x14ac:dyDescent="0.2">
      <c r="A10317" s="191">
        <v>2025</v>
      </c>
      <c r="B10317" s="191">
        <v>9</v>
      </c>
      <c r="C10317" s="191">
        <v>18</v>
      </c>
      <c r="D10317" s="192">
        <f t="shared" si="1357"/>
        <v>45918</v>
      </c>
      <c r="E10317" s="193">
        <f t="shared" si="1363"/>
        <v>45918</v>
      </c>
      <c r="F10317" s="514"/>
      <c r="G10317" s="194" t="s">
        <v>1209</v>
      </c>
      <c r="H10317" s="195"/>
      <c r="I10317" s="195"/>
      <c r="J10317" s="191" t="s">
        <v>46</v>
      </c>
      <c r="K10317" s="196"/>
      <c r="L10317" s="196">
        <v>30000</v>
      </c>
    </row>
    <row r="10318" spans="1:12" x14ac:dyDescent="0.2">
      <c r="A10318" s="197">
        <v>2025</v>
      </c>
      <c r="B10318" s="197">
        <v>9</v>
      </c>
      <c r="C10318" s="197">
        <v>18</v>
      </c>
      <c r="D10318" s="198">
        <f t="shared" si="1357"/>
        <v>45918</v>
      </c>
      <c r="E10318" s="209">
        <f t="shared" si="1363"/>
        <v>45918</v>
      </c>
      <c r="F10318" s="513" t="s">
        <v>1280</v>
      </c>
      <c r="G10318" s="200" t="s">
        <v>1209</v>
      </c>
      <c r="H10318" s="201"/>
      <c r="I10318" s="201"/>
      <c r="J10318" s="197" t="s">
        <v>16</v>
      </c>
      <c r="K10318" s="202">
        <v>10300</v>
      </c>
      <c r="L10318" s="202"/>
    </row>
    <row r="10319" spans="1:12" x14ac:dyDescent="0.2">
      <c r="A10319" s="120">
        <v>2025</v>
      </c>
      <c r="B10319" s="120">
        <v>9</v>
      </c>
      <c r="C10319" s="120">
        <v>18</v>
      </c>
      <c r="D10319" s="208">
        <f t="shared" si="1357"/>
        <v>45918</v>
      </c>
      <c r="E10319" s="209">
        <f t="shared" si="1363"/>
        <v>45918</v>
      </c>
      <c r="F10319" s="515"/>
      <c r="G10319" s="132" t="s">
        <v>1209</v>
      </c>
      <c r="J10319" s="120" t="s">
        <v>47</v>
      </c>
      <c r="K10319" s="207">
        <v>3367.33</v>
      </c>
      <c r="L10319" s="207"/>
    </row>
    <row r="10320" spans="1:12" x14ac:dyDescent="0.2">
      <c r="A10320" s="191">
        <v>2025</v>
      </c>
      <c r="B10320" s="191">
        <v>9</v>
      </c>
      <c r="C10320" s="191">
        <v>18</v>
      </c>
      <c r="D10320" s="192">
        <f t="shared" si="1357"/>
        <v>45918</v>
      </c>
      <c r="E10320" s="193">
        <f t="shared" si="1363"/>
        <v>45918</v>
      </c>
      <c r="F10320" s="514"/>
      <c r="G10320" s="194" t="s">
        <v>1209</v>
      </c>
      <c r="H10320" s="195"/>
      <c r="I10320" s="195"/>
      <c r="J10320" s="191" t="s">
        <v>46</v>
      </c>
      <c r="K10320" s="196"/>
      <c r="L10320" s="196">
        <v>13667.33</v>
      </c>
    </row>
    <row r="10321" spans="1:12" x14ac:dyDescent="0.2">
      <c r="A10321" s="424">
        <v>2025</v>
      </c>
      <c r="B10321" s="424">
        <v>9</v>
      </c>
      <c r="C10321" s="424">
        <v>18</v>
      </c>
      <c r="D10321" s="425">
        <f t="shared" si="1357"/>
        <v>45918</v>
      </c>
      <c r="E10321" s="384">
        <f t="shared" si="1362"/>
        <v>45918</v>
      </c>
      <c r="F10321" s="516" t="s">
        <v>1850</v>
      </c>
      <c r="G10321" s="426" t="s">
        <v>1209</v>
      </c>
      <c r="H10321" s="427"/>
      <c r="I10321" s="427"/>
      <c r="J10321" s="428" t="s">
        <v>81</v>
      </c>
      <c r="K10321" s="429">
        <v>11170.721538461539</v>
      </c>
      <c r="L10321" s="429"/>
    </row>
    <row r="10322" spans="1:12" x14ac:dyDescent="0.2">
      <c r="A10322" s="389">
        <v>2025</v>
      </c>
      <c r="B10322" s="389">
        <v>9</v>
      </c>
      <c r="C10322" s="389">
        <v>18</v>
      </c>
      <c r="D10322" s="390">
        <f t="shared" si="1357"/>
        <v>45918</v>
      </c>
      <c r="E10322" s="391">
        <f t="shared" si="1362"/>
        <v>45918</v>
      </c>
      <c r="F10322" s="517"/>
      <c r="G10322" s="392" t="s">
        <v>1209</v>
      </c>
      <c r="H10322" s="393"/>
      <c r="I10322" s="393"/>
      <c r="J10322" s="394" t="s">
        <v>1847</v>
      </c>
      <c r="K10322" s="423"/>
      <c r="L10322" s="423">
        <f>K10321</f>
        <v>11170.721538461539</v>
      </c>
    </row>
    <row r="10323" spans="1:12" ht="11.25" customHeight="1" x14ac:dyDescent="0.2">
      <c r="A10323" s="382">
        <v>2025</v>
      </c>
      <c r="B10323" s="382">
        <v>9</v>
      </c>
      <c r="C10323" s="382">
        <v>18</v>
      </c>
      <c r="D10323" s="383">
        <f t="shared" si="1357"/>
        <v>45918</v>
      </c>
      <c r="E10323" s="384">
        <f t="shared" si="1362"/>
        <v>45918</v>
      </c>
      <c r="F10323" s="516" t="s">
        <v>1892</v>
      </c>
      <c r="G10323" s="385" t="s">
        <v>1209</v>
      </c>
      <c r="H10323" s="386"/>
      <c r="I10323" s="386"/>
      <c r="J10323" s="387" t="s">
        <v>173</v>
      </c>
      <c r="K10323" s="388">
        <v>5054.5536176281248</v>
      </c>
      <c r="L10323" s="388"/>
    </row>
    <row r="10324" spans="1:12" ht="11.25" customHeight="1" x14ac:dyDescent="0.2">
      <c r="A10324" s="389">
        <v>2025</v>
      </c>
      <c r="B10324" s="389">
        <v>9</v>
      </c>
      <c r="C10324" s="389">
        <v>18</v>
      </c>
      <c r="D10324" s="390">
        <f t="shared" si="1357"/>
        <v>45918</v>
      </c>
      <c r="E10324" s="391">
        <f t="shared" si="1362"/>
        <v>45918</v>
      </c>
      <c r="F10324" s="517"/>
      <c r="G10324" s="392" t="s">
        <v>1209</v>
      </c>
      <c r="H10324" s="393"/>
      <c r="I10324" s="393"/>
      <c r="J10324" s="394" t="s">
        <v>43</v>
      </c>
      <c r="K10324" s="388"/>
      <c r="L10324" s="423">
        <f>K10323</f>
        <v>5054.5536176281248</v>
      </c>
    </row>
    <row r="10325" spans="1:12" ht="11.25" customHeight="1" x14ac:dyDescent="0.2">
      <c r="A10325" s="344">
        <v>2025</v>
      </c>
      <c r="B10325" s="344">
        <v>9</v>
      </c>
      <c r="C10325" s="344">
        <v>18</v>
      </c>
      <c r="D10325" s="345">
        <f t="shared" si="1357"/>
        <v>45918</v>
      </c>
      <c r="E10325" s="346">
        <f t="shared" si="1362"/>
        <v>45918</v>
      </c>
      <c r="F10325" s="518" t="s">
        <v>1982</v>
      </c>
      <c r="G10325" s="347" t="s">
        <v>1245</v>
      </c>
      <c r="H10325" s="348"/>
      <c r="I10325" s="348" t="s">
        <v>1253</v>
      </c>
      <c r="J10325" s="344" t="s">
        <v>1978</v>
      </c>
      <c r="K10325" s="349">
        <v>148748.07692307694</v>
      </c>
      <c r="L10325" s="349"/>
    </row>
    <row r="10326" spans="1:12" ht="11.25" customHeight="1" x14ac:dyDescent="0.2">
      <c r="A10326" s="350">
        <v>2025</v>
      </c>
      <c r="B10326" s="350">
        <v>9</v>
      </c>
      <c r="C10326" s="350">
        <v>18</v>
      </c>
      <c r="D10326" s="351">
        <f t="shared" si="1357"/>
        <v>45918</v>
      </c>
      <c r="E10326" s="352">
        <f t="shared" si="1362"/>
        <v>45918</v>
      </c>
      <c r="F10326" s="519"/>
      <c r="G10326" s="353" t="s">
        <v>1245</v>
      </c>
      <c r="H10326" s="354"/>
      <c r="I10326" s="354" t="s">
        <v>1253</v>
      </c>
      <c r="J10326" s="350" t="s">
        <v>1979</v>
      </c>
      <c r="K10326" s="355"/>
      <c r="L10326" s="355">
        <f>K10325</f>
        <v>148748.07692307694</v>
      </c>
    </row>
    <row r="10327" spans="1:12" ht="11.25" customHeight="1" x14ac:dyDescent="0.2">
      <c r="A10327" s="344">
        <v>2025</v>
      </c>
      <c r="B10327" s="344">
        <v>9</v>
      </c>
      <c r="C10327" s="344">
        <v>18</v>
      </c>
      <c r="D10327" s="345">
        <f t="shared" si="1357"/>
        <v>45918</v>
      </c>
      <c r="E10327" s="346">
        <f t="shared" si="1362"/>
        <v>45918</v>
      </c>
      <c r="F10327" s="518" t="s">
        <v>2009</v>
      </c>
      <c r="G10327" s="347" t="s">
        <v>1245</v>
      </c>
      <c r="H10327" s="348"/>
      <c r="I10327" s="348" t="s">
        <v>1253</v>
      </c>
      <c r="J10327" s="344" t="s">
        <v>2004</v>
      </c>
      <c r="K10327" s="349">
        <v>49692.31</v>
      </c>
      <c r="L10327" s="349"/>
    </row>
    <row r="10328" spans="1:12" ht="11.25" customHeight="1" x14ac:dyDescent="0.2">
      <c r="A10328" s="350">
        <v>2025</v>
      </c>
      <c r="B10328" s="350">
        <v>9</v>
      </c>
      <c r="C10328" s="350">
        <v>18</v>
      </c>
      <c r="D10328" s="351">
        <f t="shared" si="1357"/>
        <v>45918</v>
      </c>
      <c r="E10328" s="352">
        <f t="shared" si="1362"/>
        <v>45918</v>
      </c>
      <c r="F10328" s="519"/>
      <c r="G10328" s="353" t="s">
        <v>1245</v>
      </c>
      <c r="H10328" s="354"/>
      <c r="I10328" s="354" t="s">
        <v>1253</v>
      </c>
      <c r="J10328" s="350" t="s">
        <v>2008</v>
      </c>
      <c r="K10328" s="355"/>
      <c r="L10328" s="355">
        <f t="shared" ref="L10328" si="1364">K10327</f>
        <v>49692.31</v>
      </c>
    </row>
    <row r="10329" spans="1:12" ht="11.25" customHeight="1" x14ac:dyDescent="0.2">
      <c r="A10329" s="344">
        <v>2025</v>
      </c>
      <c r="B10329" s="344">
        <v>9</v>
      </c>
      <c r="C10329" s="344">
        <v>18</v>
      </c>
      <c r="D10329" s="345">
        <f t="shared" si="1357"/>
        <v>45918</v>
      </c>
      <c r="E10329" s="346">
        <f t="shared" si="1362"/>
        <v>45918</v>
      </c>
      <c r="F10329" s="518" t="s">
        <v>2009</v>
      </c>
      <c r="G10329" s="347" t="s">
        <v>1245</v>
      </c>
      <c r="H10329" s="348"/>
      <c r="I10329" s="348" t="s">
        <v>1253</v>
      </c>
      <c r="J10329" s="344" t="s">
        <v>2004</v>
      </c>
      <c r="K10329" s="349">
        <v>49692.31</v>
      </c>
      <c r="L10329" s="349"/>
    </row>
    <row r="10330" spans="1:12" ht="11.25" customHeight="1" x14ac:dyDescent="0.2">
      <c r="A10330" s="350">
        <v>2025</v>
      </c>
      <c r="B10330" s="350">
        <v>9</v>
      </c>
      <c r="C10330" s="350">
        <v>18</v>
      </c>
      <c r="D10330" s="351">
        <f t="shared" si="1357"/>
        <v>45918</v>
      </c>
      <c r="E10330" s="352">
        <f t="shared" si="1362"/>
        <v>45918</v>
      </c>
      <c r="F10330" s="519"/>
      <c r="G10330" s="353" t="s">
        <v>1245</v>
      </c>
      <c r="H10330" s="354"/>
      <c r="I10330" s="354" t="s">
        <v>1253</v>
      </c>
      <c r="J10330" s="350" t="s">
        <v>2008</v>
      </c>
      <c r="K10330" s="355"/>
      <c r="L10330" s="355">
        <f t="shared" ref="L10330" si="1365">K10329</f>
        <v>49692.31</v>
      </c>
    </row>
    <row r="10331" spans="1:12" ht="11.25" customHeight="1" x14ac:dyDescent="0.2">
      <c r="A10331" s="344">
        <v>2025</v>
      </c>
      <c r="B10331" s="344">
        <v>9</v>
      </c>
      <c r="C10331" s="344">
        <v>18</v>
      </c>
      <c r="D10331" s="345">
        <f t="shared" si="1357"/>
        <v>45918</v>
      </c>
      <c r="E10331" s="346">
        <f t="shared" ref="E10331:E10332" si="1366">DATE(A10331,B10331,C10331)</f>
        <v>45918</v>
      </c>
      <c r="F10331" s="518" t="s">
        <v>2088</v>
      </c>
      <c r="G10331" s="347" t="s">
        <v>1245</v>
      </c>
      <c r="H10331" s="348"/>
      <c r="I10331" s="348" t="s">
        <v>1253</v>
      </c>
      <c r="J10331" s="344" t="s">
        <v>2086</v>
      </c>
      <c r="K10331" s="349">
        <v>12528.846153846154</v>
      </c>
      <c r="L10331" s="349"/>
    </row>
    <row r="10332" spans="1:12" ht="11.25" customHeight="1" x14ac:dyDescent="0.2">
      <c r="A10332" s="350">
        <v>2025</v>
      </c>
      <c r="B10332" s="350">
        <v>9</v>
      </c>
      <c r="C10332" s="350">
        <v>18</v>
      </c>
      <c r="D10332" s="351">
        <f t="shared" si="1357"/>
        <v>45918</v>
      </c>
      <c r="E10332" s="352">
        <f t="shared" si="1366"/>
        <v>45918</v>
      </c>
      <c r="F10332" s="519"/>
      <c r="G10332" s="353" t="s">
        <v>1245</v>
      </c>
      <c r="H10332" s="354"/>
      <c r="I10332" s="354" t="s">
        <v>1253</v>
      </c>
      <c r="J10332" s="350" t="s">
        <v>2089</v>
      </c>
      <c r="K10332" s="355"/>
      <c r="L10332" s="355">
        <v>12528.846153846154</v>
      </c>
    </row>
    <row r="10333" spans="1:12" ht="11.25" customHeight="1" x14ac:dyDescent="0.2">
      <c r="A10333" s="344">
        <v>2025</v>
      </c>
      <c r="B10333" s="344">
        <v>9</v>
      </c>
      <c r="C10333" s="344">
        <v>18</v>
      </c>
      <c r="D10333" s="345">
        <f t="shared" si="1357"/>
        <v>45918</v>
      </c>
      <c r="E10333" s="346">
        <f>DATE(A10333,B10333,C10333)</f>
        <v>45918</v>
      </c>
      <c r="F10333" s="518" t="s">
        <v>1988</v>
      </c>
      <c r="G10333" s="347" t="s">
        <v>1245</v>
      </c>
      <c r="H10333" s="348"/>
      <c r="I10333" s="348" t="s">
        <v>1253</v>
      </c>
      <c r="J10333" s="344" t="s">
        <v>113</v>
      </c>
      <c r="K10333" s="349">
        <v>32846.15</v>
      </c>
      <c r="L10333" s="349"/>
    </row>
    <row r="10334" spans="1:12" ht="11.25" customHeight="1" x14ac:dyDescent="0.2">
      <c r="A10334" s="350">
        <v>2025</v>
      </c>
      <c r="B10334" s="350">
        <v>9</v>
      </c>
      <c r="C10334" s="350">
        <v>18</v>
      </c>
      <c r="D10334" s="351">
        <f t="shared" si="1357"/>
        <v>45918</v>
      </c>
      <c r="E10334" s="352">
        <f>DATE(A10334,B10334,C10334)</f>
        <v>45918</v>
      </c>
      <c r="F10334" s="519"/>
      <c r="G10334" s="353" t="s">
        <v>1245</v>
      </c>
      <c r="H10334" s="354"/>
      <c r="I10334" s="354" t="s">
        <v>1253</v>
      </c>
      <c r="J10334" s="350" t="s">
        <v>153</v>
      </c>
      <c r="K10334" s="355"/>
      <c r="L10334" s="355">
        <f t="shared" ref="L10334" si="1367">K10333</f>
        <v>32846.15</v>
      </c>
    </row>
    <row r="10335" spans="1:12" ht="11.25" customHeight="1" x14ac:dyDescent="0.2">
      <c r="A10335" s="344">
        <v>2025</v>
      </c>
      <c r="B10335" s="344">
        <v>9</v>
      </c>
      <c r="C10335" s="344">
        <v>18</v>
      </c>
      <c r="D10335" s="345">
        <f t="shared" si="1357"/>
        <v>45918</v>
      </c>
      <c r="E10335" s="346">
        <f t="shared" ref="E10335:E10339" si="1368">DATE(A10335,B10335,C10335)</f>
        <v>45918</v>
      </c>
      <c r="F10335" s="518" t="s">
        <v>1989</v>
      </c>
      <c r="G10335" s="347" t="s">
        <v>1245</v>
      </c>
      <c r="H10335" s="348"/>
      <c r="I10335" s="348" t="s">
        <v>1253</v>
      </c>
      <c r="J10335" s="344" t="s">
        <v>113</v>
      </c>
      <c r="K10335" s="349">
        <v>23461.538461538461</v>
      </c>
      <c r="L10335" s="349"/>
    </row>
    <row r="10336" spans="1:12" ht="11.25" customHeight="1" x14ac:dyDescent="0.2">
      <c r="A10336" s="350">
        <v>2025</v>
      </c>
      <c r="B10336" s="350">
        <v>9</v>
      </c>
      <c r="C10336" s="350">
        <v>18</v>
      </c>
      <c r="D10336" s="351">
        <f t="shared" si="1357"/>
        <v>45918</v>
      </c>
      <c r="E10336" s="352">
        <f t="shared" si="1368"/>
        <v>45918</v>
      </c>
      <c r="F10336" s="519"/>
      <c r="G10336" s="353" t="s">
        <v>1245</v>
      </c>
      <c r="H10336" s="354"/>
      <c r="I10336" s="354" t="s">
        <v>1253</v>
      </c>
      <c r="J10336" s="350" t="s">
        <v>153</v>
      </c>
      <c r="K10336" s="355"/>
      <c r="L10336" s="355">
        <f t="shared" ref="L10336" si="1369">K10335</f>
        <v>23461.538461538461</v>
      </c>
    </row>
    <row r="10337" spans="1:16" ht="11.25" customHeight="1" x14ac:dyDescent="0.2">
      <c r="A10337" s="344">
        <v>2025</v>
      </c>
      <c r="B10337" s="344">
        <v>9</v>
      </c>
      <c r="C10337" s="344">
        <v>18</v>
      </c>
      <c r="D10337" s="345">
        <f t="shared" si="1357"/>
        <v>45918</v>
      </c>
      <c r="E10337" s="346">
        <f t="shared" si="1368"/>
        <v>45918</v>
      </c>
      <c r="F10337" s="518" t="s">
        <v>1990</v>
      </c>
      <c r="G10337" s="347" t="s">
        <v>1245</v>
      </c>
      <c r="H10337" s="348"/>
      <c r="I10337" s="348" t="s">
        <v>1253</v>
      </c>
      <c r="J10337" s="344" t="s">
        <v>113</v>
      </c>
      <c r="K10337" s="349">
        <v>70384.62</v>
      </c>
      <c r="L10337" s="349"/>
      <c r="N10337" s="251"/>
      <c r="O10337" s="251"/>
      <c r="P10337" s="251"/>
    </row>
    <row r="10338" spans="1:16" ht="11.25" customHeight="1" x14ac:dyDescent="0.2">
      <c r="A10338" s="350">
        <v>2025</v>
      </c>
      <c r="B10338" s="350">
        <v>9</v>
      </c>
      <c r="C10338" s="350">
        <v>18</v>
      </c>
      <c r="D10338" s="351">
        <f t="shared" si="1357"/>
        <v>45918</v>
      </c>
      <c r="E10338" s="352">
        <f t="shared" si="1368"/>
        <v>45918</v>
      </c>
      <c r="F10338" s="519"/>
      <c r="G10338" s="353" t="s">
        <v>1245</v>
      </c>
      <c r="H10338" s="354"/>
      <c r="I10338" s="354" t="s">
        <v>1253</v>
      </c>
      <c r="J10338" s="350" t="s">
        <v>153</v>
      </c>
      <c r="K10338" s="355"/>
      <c r="L10338" s="355">
        <f t="shared" ref="L10338" si="1370">K10337</f>
        <v>70384.62</v>
      </c>
    </row>
    <row r="10339" spans="1:16" ht="11.25" customHeight="1" x14ac:dyDescent="0.2">
      <c r="A10339" s="210">
        <v>2025</v>
      </c>
      <c r="B10339" s="210">
        <v>9</v>
      </c>
      <c r="C10339" s="210">
        <v>18</v>
      </c>
      <c r="D10339" s="211">
        <f t="shared" si="1357"/>
        <v>45918</v>
      </c>
      <c r="E10339" s="238">
        <f t="shared" si="1368"/>
        <v>45918</v>
      </c>
      <c r="F10339" s="520" t="s">
        <v>1857</v>
      </c>
      <c r="G10339" s="213" t="s">
        <v>1245</v>
      </c>
      <c r="H10339" s="214"/>
      <c r="I10339" s="214" t="s">
        <v>1253</v>
      </c>
      <c r="J10339" s="210" t="s">
        <v>1284</v>
      </c>
      <c r="K10339" s="215">
        <v>2341.8114143920593</v>
      </c>
      <c r="L10339" s="215"/>
    </row>
    <row r="10340" spans="1:16" ht="11.25" customHeight="1" x14ac:dyDescent="0.2">
      <c r="A10340" s="242">
        <v>2025</v>
      </c>
      <c r="B10340" s="242">
        <v>9</v>
      </c>
      <c r="C10340" s="242">
        <v>18</v>
      </c>
      <c r="D10340" s="243">
        <f t="shared" si="1357"/>
        <v>45918</v>
      </c>
      <c r="E10340" s="244">
        <f>DATE(A10340,B10340,C10340)</f>
        <v>45918</v>
      </c>
      <c r="F10340" s="524"/>
      <c r="G10340" s="245" t="s">
        <v>1245</v>
      </c>
      <c r="H10340" s="246"/>
      <c r="I10340" s="246"/>
      <c r="J10340" s="242" t="s">
        <v>1582</v>
      </c>
      <c r="K10340" s="247"/>
      <c r="L10340" s="247">
        <f>K10339</f>
        <v>2341.8114143920593</v>
      </c>
    </row>
    <row r="10341" spans="1:16" ht="11.25" customHeight="1" x14ac:dyDescent="0.2">
      <c r="A10341" s="210">
        <v>2025</v>
      </c>
      <c r="B10341" s="210">
        <v>9</v>
      </c>
      <c r="C10341" s="210">
        <v>18</v>
      </c>
      <c r="D10341" s="211">
        <f t="shared" si="1357"/>
        <v>45918</v>
      </c>
      <c r="E10341" s="238">
        <f t="shared" ref="E10341:E10366" si="1371">DATE(A10341,B10341,C10341)</f>
        <v>45918</v>
      </c>
      <c r="F10341" s="520" t="s">
        <v>2055</v>
      </c>
      <c r="G10341" s="213" t="s">
        <v>1245</v>
      </c>
      <c r="H10341" s="214"/>
      <c r="I10341" s="214" t="s">
        <v>1253</v>
      </c>
      <c r="J10341" s="210" t="s">
        <v>58</v>
      </c>
      <c r="K10341" s="215">
        <v>18654.689999999999</v>
      </c>
      <c r="L10341" s="215"/>
    </row>
    <row r="10342" spans="1:16" ht="11.25" customHeight="1" x14ac:dyDescent="0.2">
      <c r="A10342" s="216">
        <v>2025</v>
      </c>
      <c r="B10342" s="216">
        <v>9</v>
      </c>
      <c r="C10342" s="216">
        <v>18</v>
      </c>
      <c r="D10342" s="217">
        <f t="shared" si="1357"/>
        <v>45918</v>
      </c>
      <c r="E10342" s="239">
        <f t="shared" si="1371"/>
        <v>45918</v>
      </c>
      <c r="F10342" s="521"/>
      <c r="G10342" s="219" t="s">
        <v>1245</v>
      </c>
      <c r="H10342" s="220"/>
      <c r="I10342" s="220" t="s">
        <v>1253</v>
      </c>
      <c r="J10342" s="216" t="s">
        <v>153</v>
      </c>
      <c r="K10342" s="221"/>
      <c r="L10342" s="221">
        <f>K10341</f>
        <v>18654.689999999999</v>
      </c>
    </row>
    <row r="10343" spans="1:16" ht="11.25" customHeight="1" x14ac:dyDescent="0.2">
      <c r="A10343" s="312">
        <v>2025</v>
      </c>
      <c r="B10343" s="312">
        <v>9</v>
      </c>
      <c r="C10343" s="312">
        <v>18</v>
      </c>
      <c r="D10343" s="313">
        <f t="shared" si="1357"/>
        <v>45918</v>
      </c>
      <c r="E10343" s="314">
        <f t="shared" si="1371"/>
        <v>45918</v>
      </c>
      <c r="F10343" s="522" t="s">
        <v>1477</v>
      </c>
      <c r="G10343" s="315" t="s">
        <v>1245</v>
      </c>
      <c r="H10343" s="316"/>
      <c r="I10343" s="316" t="s">
        <v>1253</v>
      </c>
      <c r="J10343" s="312" t="s">
        <v>1458</v>
      </c>
      <c r="K10343" s="317">
        <v>0</v>
      </c>
      <c r="L10343" s="317"/>
    </row>
    <row r="10344" spans="1:16" ht="11.25" customHeight="1" x14ac:dyDescent="0.2">
      <c r="A10344" s="318">
        <v>2025</v>
      </c>
      <c r="B10344" s="318">
        <v>9</v>
      </c>
      <c r="C10344" s="318">
        <v>18</v>
      </c>
      <c r="D10344" s="319">
        <f t="shared" si="1357"/>
        <v>45918</v>
      </c>
      <c r="E10344" s="320">
        <f t="shared" si="1371"/>
        <v>45918</v>
      </c>
      <c r="F10344" s="523"/>
      <c r="G10344" s="321" t="s">
        <v>1245</v>
      </c>
      <c r="H10344" s="322"/>
      <c r="I10344" s="322" t="s">
        <v>1253</v>
      </c>
      <c r="J10344" s="318" t="s">
        <v>1460</v>
      </c>
      <c r="K10344" s="323"/>
      <c r="L10344" s="323">
        <f>K10343</f>
        <v>0</v>
      </c>
    </row>
    <row r="10345" spans="1:16" ht="11.25" customHeight="1" x14ac:dyDescent="0.2">
      <c r="A10345" s="312">
        <v>2025</v>
      </c>
      <c r="B10345" s="312">
        <v>9</v>
      </c>
      <c r="C10345" s="312">
        <v>18</v>
      </c>
      <c r="D10345" s="313">
        <f t="shared" si="1357"/>
        <v>45918</v>
      </c>
      <c r="E10345" s="314">
        <f t="shared" si="1371"/>
        <v>45918</v>
      </c>
      <c r="F10345" s="522" t="s">
        <v>1595</v>
      </c>
      <c r="G10345" s="315" t="s">
        <v>1245</v>
      </c>
      <c r="H10345" s="316"/>
      <c r="I10345" s="316" t="s">
        <v>1253</v>
      </c>
      <c r="J10345" s="312" t="s">
        <v>1461</v>
      </c>
      <c r="K10345" s="317">
        <v>2510658.3529999852</v>
      </c>
      <c r="L10345" s="317"/>
      <c r="M10345" s="328">
        <f>BS!$I$14</f>
        <v>0</v>
      </c>
    </row>
    <row r="10346" spans="1:16" ht="11.25" customHeight="1" x14ac:dyDescent="0.2">
      <c r="A10346" s="318">
        <v>2025</v>
      </c>
      <c r="B10346" s="318">
        <v>9</v>
      </c>
      <c r="C10346" s="318">
        <v>18</v>
      </c>
      <c r="D10346" s="319">
        <f t="shared" si="1357"/>
        <v>45918</v>
      </c>
      <c r="E10346" s="320">
        <f t="shared" si="1371"/>
        <v>45918</v>
      </c>
      <c r="F10346" s="523"/>
      <c r="G10346" s="321" t="s">
        <v>1245</v>
      </c>
      <c r="H10346" s="322"/>
      <c r="I10346" s="322" t="s">
        <v>1253</v>
      </c>
      <c r="J10346" s="318" t="s">
        <v>1459</v>
      </c>
      <c r="K10346" s="323"/>
      <c r="L10346" s="323">
        <f>K10345</f>
        <v>2510658.3529999852</v>
      </c>
      <c r="M10346" s="328"/>
    </row>
    <row r="10347" spans="1:16" ht="11.25" customHeight="1" x14ac:dyDescent="0.2">
      <c r="A10347" s="222">
        <v>2025</v>
      </c>
      <c r="B10347" s="222">
        <v>9</v>
      </c>
      <c r="C10347" s="222">
        <v>18</v>
      </c>
      <c r="D10347" s="223">
        <f t="shared" si="1357"/>
        <v>45918</v>
      </c>
      <c r="E10347" s="240">
        <f t="shared" si="1371"/>
        <v>45918</v>
      </c>
      <c r="F10347" s="511" t="s">
        <v>1244</v>
      </c>
      <c r="G10347" s="225" t="s">
        <v>1245</v>
      </c>
      <c r="H10347" s="226"/>
      <c r="I10347" s="226" t="s">
        <v>1253</v>
      </c>
      <c r="J10347" s="222" t="s">
        <v>87</v>
      </c>
      <c r="K10347" s="227">
        <v>200419.52199999988</v>
      </c>
      <c r="L10347" s="227"/>
      <c r="M10347" s="328">
        <f>BS!$I$7</f>
        <v>0</v>
      </c>
    </row>
    <row r="10348" spans="1:16" ht="11.25" customHeight="1" x14ac:dyDescent="0.2">
      <c r="A10348" s="228">
        <v>2025</v>
      </c>
      <c r="B10348" s="228">
        <v>9</v>
      </c>
      <c r="C10348" s="228">
        <v>18</v>
      </c>
      <c r="D10348" s="229">
        <f t="shared" ref="D10348:D10411" si="1372">DATE(A10348,B10348,C10348)</f>
        <v>45918</v>
      </c>
      <c r="E10348" s="241">
        <f t="shared" si="1371"/>
        <v>45918</v>
      </c>
      <c r="F10348" s="512"/>
      <c r="G10348" s="231" t="s">
        <v>1245</v>
      </c>
      <c r="H10348" s="232"/>
      <c r="I10348" s="232" t="s">
        <v>1253</v>
      </c>
      <c r="J10348" s="228" t="s">
        <v>72</v>
      </c>
      <c r="K10348" s="233"/>
      <c r="L10348" s="233">
        <f>K10347</f>
        <v>200419.52199999988</v>
      </c>
    </row>
    <row r="10349" spans="1:16" ht="11.25" customHeight="1" x14ac:dyDescent="0.2">
      <c r="A10349" s="222">
        <v>2025</v>
      </c>
      <c r="B10349" s="222">
        <v>9</v>
      </c>
      <c r="C10349" s="222">
        <v>18</v>
      </c>
      <c r="D10349" s="223">
        <f t="shared" si="1372"/>
        <v>45918</v>
      </c>
      <c r="E10349" s="240">
        <f t="shared" si="1371"/>
        <v>45918</v>
      </c>
      <c r="F10349" s="511" t="s">
        <v>1246</v>
      </c>
      <c r="G10349" s="225" t="s">
        <v>1245</v>
      </c>
      <c r="H10349" s="226"/>
      <c r="I10349" s="226" t="s">
        <v>1253</v>
      </c>
      <c r="J10349" s="222" t="s">
        <v>75</v>
      </c>
      <c r="K10349" s="227">
        <v>3623.123846153846</v>
      </c>
      <c r="L10349" s="227"/>
    </row>
    <row r="10350" spans="1:16" ht="11.25" customHeight="1" x14ac:dyDescent="0.2">
      <c r="A10350" s="228">
        <v>2025</v>
      </c>
      <c r="B10350" s="228">
        <v>9</v>
      </c>
      <c r="C10350" s="228">
        <v>18</v>
      </c>
      <c r="D10350" s="229">
        <f t="shared" si="1372"/>
        <v>45918</v>
      </c>
      <c r="E10350" s="241">
        <f t="shared" si="1371"/>
        <v>45918</v>
      </c>
      <c r="F10350" s="512"/>
      <c r="G10350" s="231" t="s">
        <v>1245</v>
      </c>
      <c r="H10350" s="232"/>
      <c r="I10350" s="232" t="s">
        <v>1253</v>
      </c>
      <c r="J10350" s="228" t="s">
        <v>55</v>
      </c>
      <c r="K10350" s="233"/>
      <c r="L10350" s="233">
        <f>K10349</f>
        <v>3623.123846153846</v>
      </c>
    </row>
    <row r="10351" spans="1:16" ht="11.25" customHeight="1" x14ac:dyDescent="0.2">
      <c r="A10351" s="222">
        <v>2025</v>
      </c>
      <c r="B10351" s="222">
        <v>9</v>
      </c>
      <c r="C10351" s="222">
        <v>18</v>
      </c>
      <c r="D10351" s="223">
        <f t="shared" si="1372"/>
        <v>45918</v>
      </c>
      <c r="E10351" s="240">
        <f t="shared" si="1371"/>
        <v>45918</v>
      </c>
      <c r="F10351" s="511" t="s">
        <v>1247</v>
      </c>
      <c r="G10351" s="225" t="s">
        <v>1245</v>
      </c>
      <c r="H10351" s="226"/>
      <c r="I10351" s="226" t="s">
        <v>1253</v>
      </c>
      <c r="J10351" s="222" t="s">
        <v>77</v>
      </c>
      <c r="K10351" s="227">
        <f>M10351</f>
        <v>58615.328493557055</v>
      </c>
      <c r="L10351" s="227"/>
      <c r="M10351" s="120">
        <v>58615.328493557055</v>
      </c>
    </row>
    <row r="10352" spans="1:16" ht="11.25" customHeight="1" x14ac:dyDescent="0.2">
      <c r="A10352" s="228">
        <v>2025</v>
      </c>
      <c r="B10352" s="228">
        <v>9</v>
      </c>
      <c r="C10352" s="228">
        <v>18</v>
      </c>
      <c r="D10352" s="229">
        <f t="shared" si="1372"/>
        <v>45918</v>
      </c>
      <c r="E10352" s="241">
        <f t="shared" si="1371"/>
        <v>45918</v>
      </c>
      <c r="F10352" s="512"/>
      <c r="G10352" s="231" t="s">
        <v>1245</v>
      </c>
      <c r="H10352" s="232"/>
      <c r="I10352" s="232" t="s">
        <v>1253</v>
      </c>
      <c r="J10352" s="228" t="s">
        <v>41</v>
      </c>
      <c r="K10352" s="233"/>
      <c r="L10352" s="233">
        <f>K10351</f>
        <v>58615.328493557055</v>
      </c>
      <c r="M10352" s="120">
        <v>5861.5328493557063</v>
      </c>
    </row>
    <row r="10353" spans="1:15" ht="11.25" customHeight="1" x14ac:dyDescent="0.2">
      <c r="A10353" s="222">
        <v>2025</v>
      </c>
      <c r="B10353" s="222">
        <v>9</v>
      </c>
      <c r="C10353" s="222">
        <v>18</v>
      </c>
      <c r="D10353" s="223">
        <f t="shared" si="1372"/>
        <v>45918</v>
      </c>
      <c r="E10353" s="240">
        <f t="shared" si="1371"/>
        <v>45918</v>
      </c>
      <c r="F10353" s="511" t="s">
        <v>1248</v>
      </c>
      <c r="G10353" s="225" t="s">
        <v>1245</v>
      </c>
      <c r="H10353" s="226"/>
      <c r="I10353" s="226" t="s">
        <v>1253</v>
      </c>
      <c r="J10353" s="222" t="s">
        <v>80</v>
      </c>
      <c r="K10353" s="227">
        <f>M10352</f>
        <v>5861.5328493557063</v>
      </c>
      <c r="L10353" s="227"/>
    </row>
    <row r="10354" spans="1:15" ht="11.25" customHeight="1" x14ac:dyDescent="0.2">
      <c r="A10354" s="228">
        <v>2025</v>
      </c>
      <c r="B10354" s="228">
        <v>9</v>
      </c>
      <c r="C10354" s="228">
        <v>18</v>
      </c>
      <c r="D10354" s="229">
        <f t="shared" si="1372"/>
        <v>45918</v>
      </c>
      <c r="E10354" s="241">
        <f t="shared" si="1371"/>
        <v>45918</v>
      </c>
      <c r="F10354" s="512"/>
      <c r="G10354" s="231" t="s">
        <v>1245</v>
      </c>
      <c r="H10354" s="232"/>
      <c r="I10354" s="232" t="s">
        <v>1253</v>
      </c>
      <c r="J10354" s="228" t="s">
        <v>42</v>
      </c>
      <c r="K10354" s="233"/>
      <c r="L10354" s="233">
        <f>K10353</f>
        <v>5861.5328493557063</v>
      </c>
    </row>
    <row r="10355" spans="1:15" x14ac:dyDescent="0.2">
      <c r="A10355" s="197">
        <v>2025</v>
      </c>
      <c r="B10355" s="197">
        <v>9</v>
      </c>
      <c r="C10355" s="197">
        <v>21</v>
      </c>
      <c r="D10355" s="198">
        <f t="shared" si="1372"/>
        <v>45921</v>
      </c>
      <c r="E10355" s="209">
        <f t="shared" si="1371"/>
        <v>45921</v>
      </c>
      <c r="F10355" s="513" t="s">
        <v>1210</v>
      </c>
      <c r="G10355" s="200" t="s">
        <v>1209</v>
      </c>
      <c r="H10355" s="201"/>
      <c r="I10355" s="201"/>
      <c r="J10355" s="197" t="s">
        <v>46</v>
      </c>
      <c r="K10355" s="202">
        <v>400000</v>
      </c>
      <c r="L10355" s="202"/>
    </row>
    <row r="10356" spans="1:15" x14ac:dyDescent="0.2">
      <c r="A10356" s="120">
        <v>2025</v>
      </c>
      <c r="B10356" s="120">
        <v>9</v>
      </c>
      <c r="C10356" s="120">
        <v>21</v>
      </c>
      <c r="D10356" s="208">
        <f t="shared" si="1372"/>
        <v>45921</v>
      </c>
      <c r="E10356" s="209">
        <f t="shared" si="1371"/>
        <v>45921</v>
      </c>
      <c r="F10356" s="515"/>
      <c r="G10356" s="132" t="s">
        <v>1209</v>
      </c>
      <c r="J10356" s="120" t="s">
        <v>16</v>
      </c>
      <c r="K10356" s="207"/>
      <c r="L10356" s="207">
        <v>301410</v>
      </c>
    </row>
    <row r="10357" spans="1:15" x14ac:dyDescent="0.2">
      <c r="A10357" s="191">
        <v>2025</v>
      </c>
      <c r="B10357" s="191">
        <v>9</v>
      </c>
      <c r="C10357" s="191">
        <v>21</v>
      </c>
      <c r="D10357" s="192">
        <f t="shared" si="1372"/>
        <v>45921</v>
      </c>
      <c r="E10357" s="193">
        <f t="shared" si="1371"/>
        <v>45921</v>
      </c>
      <c r="F10357" s="514"/>
      <c r="G10357" s="194" t="s">
        <v>1209</v>
      </c>
      <c r="H10357" s="195"/>
      <c r="I10357" s="195"/>
      <c r="J10357" s="191" t="s">
        <v>47</v>
      </c>
      <c r="K10357" s="196"/>
      <c r="L10357" s="196">
        <v>98590</v>
      </c>
    </row>
    <row r="10358" spans="1:15" ht="11.25" customHeight="1" x14ac:dyDescent="0.2">
      <c r="A10358" s="197">
        <v>2025</v>
      </c>
      <c r="B10358" s="197">
        <v>9</v>
      </c>
      <c r="C10358" s="197">
        <v>21</v>
      </c>
      <c r="D10358" s="198">
        <f t="shared" si="1372"/>
        <v>45921</v>
      </c>
      <c r="E10358" s="290">
        <f t="shared" si="1371"/>
        <v>45921</v>
      </c>
      <c r="F10358" s="513" t="s">
        <v>2087</v>
      </c>
      <c r="G10358" s="200" t="s">
        <v>1209</v>
      </c>
      <c r="H10358" s="201"/>
      <c r="I10358" s="201" t="s">
        <v>1253</v>
      </c>
      <c r="J10358" s="197" t="s">
        <v>46</v>
      </c>
      <c r="K10358" s="202">
        <v>885675</v>
      </c>
      <c r="L10358" s="202"/>
    </row>
    <row r="10359" spans="1:15" ht="11.25" customHeight="1" x14ac:dyDescent="0.2">
      <c r="A10359" s="191">
        <v>2025</v>
      </c>
      <c r="B10359" s="191">
        <v>9</v>
      </c>
      <c r="C10359" s="191">
        <v>21</v>
      </c>
      <c r="D10359" s="192">
        <f t="shared" si="1372"/>
        <v>45921</v>
      </c>
      <c r="E10359" s="291">
        <f t="shared" si="1371"/>
        <v>45921</v>
      </c>
      <c r="F10359" s="514"/>
      <c r="G10359" s="194" t="s">
        <v>1209</v>
      </c>
      <c r="H10359" s="195"/>
      <c r="I10359" s="195"/>
      <c r="J10359" s="191" t="s">
        <v>1873</v>
      </c>
      <c r="K10359" s="196"/>
      <c r="L10359" s="196">
        <v>885675</v>
      </c>
    </row>
    <row r="10360" spans="1:15" x14ac:dyDescent="0.2">
      <c r="A10360" s="197">
        <v>2025</v>
      </c>
      <c r="B10360" s="197">
        <v>9</v>
      </c>
      <c r="C10360" s="197">
        <v>22</v>
      </c>
      <c r="D10360" s="198">
        <f t="shared" si="1372"/>
        <v>45922</v>
      </c>
      <c r="E10360" s="209">
        <f t="shared" si="1371"/>
        <v>45922</v>
      </c>
      <c r="F10360" s="513" t="s">
        <v>1280</v>
      </c>
      <c r="G10360" s="200" t="s">
        <v>1209</v>
      </c>
      <c r="H10360" s="201"/>
      <c r="I10360" s="201"/>
      <c r="J10360" s="197" t="s">
        <v>16</v>
      </c>
      <c r="K10360" s="202">
        <v>297570</v>
      </c>
      <c r="L10360" s="202"/>
    </row>
    <row r="10361" spans="1:15" x14ac:dyDescent="0.2">
      <c r="A10361" s="120">
        <v>2025</v>
      </c>
      <c r="B10361" s="120">
        <v>9</v>
      </c>
      <c r="C10361" s="120">
        <v>22</v>
      </c>
      <c r="D10361" s="208">
        <f t="shared" si="1372"/>
        <v>45922</v>
      </c>
      <c r="E10361" s="209">
        <f t="shared" si="1371"/>
        <v>45922</v>
      </c>
      <c r="F10361" s="515"/>
      <c r="G10361" s="132" t="s">
        <v>1209</v>
      </c>
      <c r="J10361" s="120" t="s">
        <v>47</v>
      </c>
      <c r="K10361" s="207">
        <v>102430</v>
      </c>
      <c r="L10361" s="207"/>
    </row>
    <row r="10362" spans="1:15" x14ac:dyDescent="0.2">
      <c r="A10362" s="191">
        <v>2025</v>
      </c>
      <c r="B10362" s="191">
        <v>9</v>
      </c>
      <c r="C10362" s="191">
        <v>22</v>
      </c>
      <c r="D10362" s="192">
        <f t="shared" si="1372"/>
        <v>45922</v>
      </c>
      <c r="E10362" s="193">
        <f t="shared" si="1371"/>
        <v>45922</v>
      </c>
      <c r="F10362" s="514"/>
      <c r="G10362" s="194" t="s">
        <v>1209</v>
      </c>
      <c r="H10362" s="195"/>
      <c r="I10362" s="195"/>
      <c r="J10362" s="191" t="s">
        <v>46</v>
      </c>
      <c r="K10362" s="196"/>
      <c r="L10362" s="196">
        <v>400000</v>
      </c>
    </row>
    <row r="10363" spans="1:15" ht="11.25" customHeight="1" x14ac:dyDescent="0.2">
      <c r="A10363" s="197">
        <v>2025</v>
      </c>
      <c r="B10363" s="197">
        <v>9</v>
      </c>
      <c r="C10363" s="197">
        <v>22</v>
      </c>
      <c r="D10363" s="198">
        <f t="shared" si="1372"/>
        <v>45922</v>
      </c>
      <c r="E10363" s="290">
        <f t="shared" si="1371"/>
        <v>45922</v>
      </c>
      <c r="F10363" s="513" t="s">
        <v>1514</v>
      </c>
      <c r="G10363" s="200" t="s">
        <v>1209</v>
      </c>
      <c r="H10363" s="201"/>
      <c r="I10363" s="201"/>
      <c r="J10363" s="197" t="s">
        <v>54</v>
      </c>
      <c r="K10363" s="202">
        <v>58</v>
      </c>
      <c r="L10363" s="202"/>
      <c r="M10363" s="251"/>
      <c r="N10363" s="251"/>
      <c r="O10363" s="251"/>
    </row>
    <row r="10364" spans="1:15" ht="11.25" customHeight="1" x14ac:dyDescent="0.2">
      <c r="A10364" s="191">
        <v>2025</v>
      </c>
      <c r="B10364" s="191">
        <v>9</v>
      </c>
      <c r="C10364" s="191">
        <v>22</v>
      </c>
      <c r="D10364" s="192">
        <f t="shared" si="1372"/>
        <v>45922</v>
      </c>
      <c r="E10364" s="291">
        <f t="shared" si="1371"/>
        <v>45922</v>
      </c>
      <c r="F10364" s="514"/>
      <c r="G10364" s="194" t="s">
        <v>1209</v>
      </c>
      <c r="H10364" s="195"/>
      <c r="I10364" s="195"/>
      <c r="J10364" s="191" t="s">
        <v>46</v>
      </c>
      <c r="K10364" s="196"/>
      <c r="L10364" s="196">
        <f>K10363</f>
        <v>58</v>
      </c>
      <c r="M10364" s="251"/>
    </row>
    <row r="10365" spans="1:15" ht="11.25" customHeight="1" x14ac:dyDescent="0.2">
      <c r="A10365" s="197">
        <v>2025</v>
      </c>
      <c r="B10365" s="197">
        <v>9</v>
      </c>
      <c r="C10365" s="197">
        <v>22</v>
      </c>
      <c r="D10365" s="198">
        <f t="shared" si="1372"/>
        <v>45922</v>
      </c>
      <c r="E10365" s="199">
        <f t="shared" si="1371"/>
        <v>45922</v>
      </c>
      <c r="F10365" s="513" t="s">
        <v>2044</v>
      </c>
      <c r="G10365" s="200" t="s">
        <v>1209</v>
      </c>
      <c r="H10365" s="201"/>
      <c r="I10365" s="201" t="s">
        <v>1253</v>
      </c>
      <c r="J10365" s="197" t="s">
        <v>1837</v>
      </c>
      <c r="K10365" s="202">
        <v>5674897.1699999999</v>
      </c>
      <c r="L10365" s="202"/>
    </row>
    <row r="10366" spans="1:15" ht="11.25" customHeight="1" x14ac:dyDescent="0.2">
      <c r="A10366" s="191">
        <v>2025</v>
      </c>
      <c r="B10366" s="191">
        <v>9</v>
      </c>
      <c r="C10366" s="191">
        <v>22</v>
      </c>
      <c r="D10366" s="192">
        <f t="shared" si="1372"/>
        <v>45922</v>
      </c>
      <c r="E10366" s="193">
        <f t="shared" si="1371"/>
        <v>45922</v>
      </c>
      <c r="F10366" s="514"/>
      <c r="G10366" s="194" t="s">
        <v>1209</v>
      </c>
      <c r="H10366" s="195"/>
      <c r="I10366" s="195" t="s">
        <v>1253</v>
      </c>
      <c r="J10366" s="191" t="s">
        <v>46</v>
      </c>
      <c r="K10366" s="196"/>
      <c r="L10366" s="196">
        <f>K10365</f>
        <v>5674897.1699999999</v>
      </c>
      <c r="N10366" s="130"/>
    </row>
    <row r="10367" spans="1:15" x14ac:dyDescent="0.2">
      <c r="A10367" s="197">
        <v>2025</v>
      </c>
      <c r="B10367" s="197">
        <v>9</v>
      </c>
      <c r="C10367" s="197">
        <v>23</v>
      </c>
      <c r="D10367" s="198">
        <f t="shared" si="1372"/>
        <v>45923</v>
      </c>
      <c r="E10367" s="209">
        <f t="shared" ref="E10367:E10378" si="1373">DATE(A10367,B10367,C10367)</f>
        <v>45923</v>
      </c>
      <c r="F10367" s="513" t="s">
        <v>1280</v>
      </c>
      <c r="G10367" s="200" t="s">
        <v>1209</v>
      </c>
      <c r="H10367" s="201"/>
      <c r="I10367" s="201"/>
      <c r="J10367" s="197" t="s">
        <v>16</v>
      </c>
      <c r="K10367" s="202">
        <v>1936570</v>
      </c>
      <c r="L10367" s="202"/>
    </row>
    <row r="10368" spans="1:15" x14ac:dyDescent="0.2">
      <c r="A10368" s="120">
        <v>2025</v>
      </c>
      <c r="B10368" s="120">
        <v>9</v>
      </c>
      <c r="C10368" s="120">
        <v>23</v>
      </c>
      <c r="D10368" s="208">
        <f t="shared" si="1372"/>
        <v>45923</v>
      </c>
      <c r="E10368" s="209">
        <f t="shared" si="1373"/>
        <v>45923</v>
      </c>
      <c r="F10368" s="515"/>
      <c r="G10368" s="132" t="s">
        <v>1209</v>
      </c>
      <c r="J10368" s="120" t="s">
        <v>47</v>
      </c>
      <c r="K10368" s="207">
        <v>666567.39000000013</v>
      </c>
      <c r="L10368" s="207"/>
    </row>
    <row r="10369" spans="1:15" x14ac:dyDescent="0.2">
      <c r="A10369" s="191">
        <v>2025</v>
      </c>
      <c r="B10369" s="191">
        <v>9</v>
      </c>
      <c r="C10369" s="191">
        <v>23</v>
      </c>
      <c r="D10369" s="192">
        <f t="shared" si="1372"/>
        <v>45923</v>
      </c>
      <c r="E10369" s="193">
        <f t="shared" si="1373"/>
        <v>45923</v>
      </c>
      <c r="F10369" s="514"/>
      <c r="G10369" s="194" t="s">
        <v>1209</v>
      </c>
      <c r="H10369" s="195"/>
      <c r="I10369" s="195"/>
      <c r="J10369" s="191" t="s">
        <v>46</v>
      </c>
      <c r="K10369" s="196"/>
      <c r="L10369" s="196">
        <v>2603137.39</v>
      </c>
    </row>
    <row r="10370" spans="1:15" ht="11.25" customHeight="1" x14ac:dyDescent="0.2">
      <c r="A10370" s="197">
        <v>2025</v>
      </c>
      <c r="B10370" s="197">
        <v>9</v>
      </c>
      <c r="C10370" s="197">
        <v>23</v>
      </c>
      <c r="D10370" s="198">
        <f t="shared" si="1372"/>
        <v>45923</v>
      </c>
      <c r="E10370" s="290">
        <f t="shared" si="1373"/>
        <v>45923</v>
      </c>
      <c r="F10370" s="513" t="s">
        <v>1514</v>
      </c>
      <c r="G10370" s="200" t="s">
        <v>1209</v>
      </c>
      <c r="H10370" s="201"/>
      <c r="I10370" s="201"/>
      <c r="J10370" s="197" t="s">
        <v>54</v>
      </c>
      <c r="K10370" s="202">
        <v>100</v>
      </c>
      <c r="L10370" s="202"/>
      <c r="M10370" s="251"/>
      <c r="N10370" s="251"/>
      <c r="O10370" s="251"/>
    </row>
    <row r="10371" spans="1:15" ht="11.25" customHeight="1" x14ac:dyDescent="0.2">
      <c r="A10371" s="191">
        <v>2025</v>
      </c>
      <c r="B10371" s="191">
        <v>9</v>
      </c>
      <c r="C10371" s="191">
        <v>23</v>
      </c>
      <c r="D10371" s="192">
        <f t="shared" si="1372"/>
        <v>45923</v>
      </c>
      <c r="E10371" s="291">
        <f t="shared" si="1373"/>
        <v>45923</v>
      </c>
      <c r="F10371" s="514"/>
      <c r="G10371" s="194" t="s">
        <v>1209</v>
      </c>
      <c r="H10371" s="195"/>
      <c r="I10371" s="195"/>
      <c r="J10371" s="191" t="s">
        <v>46</v>
      </c>
      <c r="K10371" s="196"/>
      <c r="L10371" s="196">
        <f>K10370</f>
        <v>100</v>
      </c>
      <c r="M10371" s="251"/>
    </row>
    <row r="10372" spans="1:15" x14ac:dyDescent="0.2">
      <c r="A10372" s="197">
        <v>2025</v>
      </c>
      <c r="B10372" s="197">
        <v>9</v>
      </c>
      <c r="C10372" s="197">
        <v>24</v>
      </c>
      <c r="D10372" s="198">
        <f t="shared" si="1372"/>
        <v>45924</v>
      </c>
      <c r="E10372" s="209">
        <f t="shared" si="1373"/>
        <v>45924</v>
      </c>
      <c r="F10372" s="513" t="s">
        <v>1210</v>
      </c>
      <c r="G10372" s="200" t="s">
        <v>1209</v>
      </c>
      <c r="H10372" s="201"/>
      <c r="I10372" s="201"/>
      <c r="J10372" s="197" t="s">
        <v>46</v>
      </c>
      <c r="K10372" s="202">
        <v>998740.6</v>
      </c>
      <c r="L10372" s="202"/>
    </row>
    <row r="10373" spans="1:15" x14ac:dyDescent="0.2">
      <c r="A10373" s="120">
        <v>2025</v>
      </c>
      <c r="B10373" s="120">
        <v>9</v>
      </c>
      <c r="C10373" s="120">
        <v>24</v>
      </c>
      <c r="D10373" s="208">
        <f t="shared" si="1372"/>
        <v>45924</v>
      </c>
      <c r="E10373" s="209">
        <f t="shared" si="1373"/>
        <v>45924</v>
      </c>
      <c r="F10373" s="515"/>
      <c r="G10373" s="132" t="s">
        <v>1209</v>
      </c>
      <c r="J10373" s="120" t="s">
        <v>16</v>
      </c>
      <c r="K10373" s="207"/>
      <c r="L10373" s="207">
        <v>743000</v>
      </c>
    </row>
    <row r="10374" spans="1:15" x14ac:dyDescent="0.2">
      <c r="A10374" s="191">
        <v>2025</v>
      </c>
      <c r="B10374" s="191">
        <v>9</v>
      </c>
      <c r="C10374" s="191">
        <v>24</v>
      </c>
      <c r="D10374" s="192">
        <f t="shared" si="1372"/>
        <v>45924</v>
      </c>
      <c r="E10374" s="193">
        <f t="shared" si="1373"/>
        <v>45924</v>
      </c>
      <c r="F10374" s="514"/>
      <c r="G10374" s="194" t="s">
        <v>1209</v>
      </c>
      <c r="H10374" s="195"/>
      <c r="I10374" s="195"/>
      <c r="J10374" s="191" t="s">
        <v>47</v>
      </c>
      <c r="K10374" s="196"/>
      <c r="L10374" s="196">
        <v>255740.59999999998</v>
      </c>
    </row>
    <row r="10375" spans="1:15" ht="11.25" customHeight="1" x14ac:dyDescent="0.2">
      <c r="A10375" s="197">
        <v>2025</v>
      </c>
      <c r="B10375" s="197">
        <v>9</v>
      </c>
      <c r="C10375" s="197">
        <v>24</v>
      </c>
      <c r="D10375" s="198">
        <f t="shared" si="1372"/>
        <v>45924</v>
      </c>
      <c r="E10375" s="290">
        <f t="shared" si="1373"/>
        <v>45924</v>
      </c>
      <c r="F10375" s="513" t="s">
        <v>1514</v>
      </c>
      <c r="G10375" s="200" t="s">
        <v>1209</v>
      </c>
      <c r="H10375" s="201"/>
      <c r="I10375" s="201"/>
      <c r="J10375" s="197" t="s">
        <v>54</v>
      </c>
      <c r="K10375" s="202">
        <v>25</v>
      </c>
      <c r="L10375" s="202"/>
      <c r="M10375" s="251"/>
      <c r="N10375" s="251"/>
      <c r="O10375" s="251"/>
    </row>
    <row r="10376" spans="1:15" ht="11.25" customHeight="1" x14ac:dyDescent="0.2">
      <c r="A10376" s="191">
        <v>2025</v>
      </c>
      <c r="B10376" s="191">
        <v>9</v>
      </c>
      <c r="C10376" s="191">
        <v>24</v>
      </c>
      <c r="D10376" s="192">
        <f t="shared" si="1372"/>
        <v>45924</v>
      </c>
      <c r="E10376" s="291">
        <f t="shared" si="1373"/>
        <v>45924</v>
      </c>
      <c r="F10376" s="514"/>
      <c r="G10376" s="194" t="s">
        <v>1209</v>
      </c>
      <c r="H10376" s="195"/>
      <c r="I10376" s="195"/>
      <c r="J10376" s="191" t="s">
        <v>46</v>
      </c>
      <c r="K10376" s="196"/>
      <c r="L10376" s="196">
        <f>K10375</f>
        <v>25</v>
      </c>
      <c r="M10376" s="251"/>
    </row>
    <row r="10377" spans="1:15" ht="11.25" customHeight="1" x14ac:dyDescent="0.2">
      <c r="A10377" s="197">
        <v>2025</v>
      </c>
      <c r="B10377" s="197">
        <v>9</v>
      </c>
      <c r="C10377" s="197">
        <v>24</v>
      </c>
      <c r="D10377" s="198">
        <f t="shared" si="1372"/>
        <v>45924</v>
      </c>
      <c r="E10377" s="199">
        <f t="shared" si="1373"/>
        <v>45924</v>
      </c>
      <c r="F10377" s="513" t="s">
        <v>1389</v>
      </c>
      <c r="G10377" s="200" t="s">
        <v>1209</v>
      </c>
      <c r="H10377" s="200"/>
      <c r="I10377" s="201" t="s">
        <v>1253</v>
      </c>
      <c r="J10377" s="248" t="s">
        <v>84</v>
      </c>
      <c r="K10377" s="202">
        <v>0.31</v>
      </c>
      <c r="L10377" s="202"/>
      <c r="M10377" s="251"/>
    </row>
    <row r="10378" spans="1:15" ht="11.25" customHeight="1" x14ac:dyDescent="0.2">
      <c r="A10378" s="191">
        <v>2025</v>
      </c>
      <c r="B10378" s="191">
        <v>9</v>
      </c>
      <c r="C10378" s="191">
        <v>24</v>
      </c>
      <c r="D10378" s="192">
        <f t="shared" si="1372"/>
        <v>45924</v>
      </c>
      <c r="E10378" s="193">
        <f t="shared" si="1373"/>
        <v>45924</v>
      </c>
      <c r="F10378" s="514"/>
      <c r="G10378" s="194" t="s">
        <v>1209</v>
      </c>
      <c r="H10378" s="194"/>
      <c r="I10378" s="195" t="s">
        <v>1253</v>
      </c>
      <c r="J10378" s="250" t="s">
        <v>46</v>
      </c>
      <c r="K10378" s="196"/>
      <c r="L10378" s="196">
        <v>0.31</v>
      </c>
      <c r="M10378" s="251"/>
    </row>
    <row r="10379" spans="1:15" x14ac:dyDescent="0.2">
      <c r="A10379" s="197">
        <v>2025</v>
      </c>
      <c r="B10379" s="197">
        <v>9</v>
      </c>
      <c r="C10379" s="197">
        <v>25</v>
      </c>
      <c r="D10379" s="198">
        <f t="shared" si="1372"/>
        <v>45925</v>
      </c>
      <c r="E10379" s="209">
        <f t="shared" ref="E10379:E10385" si="1374">DATE(A10379,B10379,C10379)</f>
        <v>45925</v>
      </c>
      <c r="F10379" s="513" t="s">
        <v>1280</v>
      </c>
      <c r="G10379" s="200" t="s">
        <v>1209</v>
      </c>
      <c r="H10379" s="201"/>
      <c r="I10379" s="201"/>
      <c r="J10379" s="197" t="s">
        <v>16</v>
      </c>
      <c r="K10379" s="202">
        <v>446360</v>
      </c>
      <c r="L10379" s="202"/>
    </row>
    <row r="10380" spans="1:15" x14ac:dyDescent="0.2">
      <c r="A10380" s="120">
        <v>2025</v>
      </c>
      <c r="B10380" s="120">
        <v>9</v>
      </c>
      <c r="C10380" s="120">
        <v>25</v>
      </c>
      <c r="D10380" s="208">
        <f t="shared" si="1372"/>
        <v>45925</v>
      </c>
      <c r="E10380" s="209">
        <f t="shared" si="1374"/>
        <v>45925</v>
      </c>
      <c r="F10380" s="515"/>
      <c r="G10380" s="132" t="s">
        <v>1209</v>
      </c>
      <c r="J10380" s="120" t="s">
        <v>47</v>
      </c>
      <c r="K10380" s="207">
        <v>153640</v>
      </c>
      <c r="L10380" s="207"/>
    </row>
    <row r="10381" spans="1:15" x14ac:dyDescent="0.2">
      <c r="A10381" s="191">
        <v>2025</v>
      </c>
      <c r="B10381" s="191">
        <v>9</v>
      </c>
      <c r="C10381" s="191">
        <v>25</v>
      </c>
      <c r="D10381" s="192">
        <f t="shared" si="1372"/>
        <v>45925</v>
      </c>
      <c r="E10381" s="193">
        <f t="shared" si="1374"/>
        <v>45925</v>
      </c>
      <c r="F10381" s="514"/>
      <c r="G10381" s="194" t="s">
        <v>1209</v>
      </c>
      <c r="H10381" s="195"/>
      <c r="I10381" s="195"/>
      <c r="J10381" s="191" t="s">
        <v>46</v>
      </c>
      <c r="K10381" s="196"/>
      <c r="L10381" s="196">
        <v>600000</v>
      </c>
    </row>
    <row r="10382" spans="1:15" ht="11.25" customHeight="1" x14ac:dyDescent="0.2">
      <c r="A10382" s="197">
        <v>2025</v>
      </c>
      <c r="B10382" s="197">
        <v>9</v>
      </c>
      <c r="C10382" s="197">
        <v>25</v>
      </c>
      <c r="D10382" s="198">
        <f t="shared" si="1372"/>
        <v>45925</v>
      </c>
      <c r="E10382" s="290">
        <f t="shared" si="1374"/>
        <v>45925</v>
      </c>
      <c r="F10382" s="513" t="s">
        <v>1514</v>
      </c>
      <c r="G10382" s="200" t="s">
        <v>1209</v>
      </c>
      <c r="H10382" s="201"/>
      <c r="I10382" s="201"/>
      <c r="J10382" s="197" t="s">
        <v>54</v>
      </c>
      <c r="K10382" s="202">
        <v>100</v>
      </c>
      <c r="L10382" s="202"/>
      <c r="M10382" s="251"/>
      <c r="N10382" s="251"/>
      <c r="O10382" s="251"/>
    </row>
    <row r="10383" spans="1:15" ht="11.25" customHeight="1" x14ac:dyDescent="0.2">
      <c r="A10383" s="191">
        <v>2025</v>
      </c>
      <c r="B10383" s="191">
        <v>9</v>
      </c>
      <c r="C10383" s="191">
        <v>25</v>
      </c>
      <c r="D10383" s="192">
        <f t="shared" si="1372"/>
        <v>45925</v>
      </c>
      <c r="E10383" s="291">
        <f t="shared" si="1374"/>
        <v>45925</v>
      </c>
      <c r="F10383" s="514"/>
      <c r="G10383" s="194" t="s">
        <v>1209</v>
      </c>
      <c r="H10383" s="195"/>
      <c r="I10383" s="195"/>
      <c r="J10383" s="191" t="s">
        <v>46</v>
      </c>
      <c r="K10383" s="196"/>
      <c r="L10383" s="196">
        <f>K10382</f>
        <v>100</v>
      </c>
      <c r="M10383" s="251"/>
    </row>
    <row r="10384" spans="1:15" ht="11.25" customHeight="1" x14ac:dyDescent="0.2">
      <c r="A10384" s="197">
        <v>2025</v>
      </c>
      <c r="B10384" s="197">
        <v>9</v>
      </c>
      <c r="C10384" s="197">
        <v>25</v>
      </c>
      <c r="D10384" s="198">
        <f t="shared" si="1372"/>
        <v>45925</v>
      </c>
      <c r="E10384" s="290">
        <f t="shared" si="1374"/>
        <v>45925</v>
      </c>
      <c r="F10384" s="513" t="s">
        <v>2090</v>
      </c>
      <c r="G10384" s="200" t="s">
        <v>1209</v>
      </c>
      <c r="H10384" s="201"/>
      <c r="I10384" s="201" t="s">
        <v>1253</v>
      </c>
      <c r="J10384" s="197" t="s">
        <v>1873</v>
      </c>
      <c r="K10384" s="202">
        <v>911250</v>
      </c>
      <c r="L10384" s="202"/>
    </row>
    <row r="10385" spans="1:12" ht="11.25" customHeight="1" x14ac:dyDescent="0.2">
      <c r="A10385" s="191">
        <v>2025</v>
      </c>
      <c r="B10385" s="191">
        <v>9</v>
      </c>
      <c r="C10385" s="191">
        <v>25</v>
      </c>
      <c r="D10385" s="192">
        <f t="shared" si="1372"/>
        <v>45925</v>
      </c>
      <c r="E10385" s="291">
        <f t="shared" si="1374"/>
        <v>45925</v>
      </c>
      <c r="F10385" s="514"/>
      <c r="G10385" s="194" t="s">
        <v>1209</v>
      </c>
      <c r="H10385" s="195"/>
      <c r="I10385" s="195"/>
      <c r="J10385" s="191" t="s">
        <v>1845</v>
      </c>
      <c r="K10385" s="196"/>
      <c r="L10385" s="196">
        <f>K10384</f>
        <v>911250</v>
      </c>
    </row>
    <row r="10386" spans="1:12" ht="11.25" customHeight="1" x14ac:dyDescent="0.2">
      <c r="A10386" s="197">
        <v>2025</v>
      </c>
      <c r="B10386" s="197">
        <v>9</v>
      </c>
      <c r="C10386" s="197">
        <v>25</v>
      </c>
      <c r="D10386" s="198">
        <f t="shared" si="1372"/>
        <v>45925</v>
      </c>
      <c r="E10386" s="290">
        <f t="shared" ref="E10386:E10408" si="1375">DATE(A10386,B10386,C10386)</f>
        <v>45925</v>
      </c>
      <c r="F10386" s="513" t="s">
        <v>2091</v>
      </c>
      <c r="G10386" s="200" t="s">
        <v>1209</v>
      </c>
      <c r="H10386" s="201"/>
      <c r="I10386" s="201" t="s">
        <v>1253</v>
      </c>
      <c r="J10386" s="197" t="s">
        <v>1873</v>
      </c>
      <c r="K10386" s="202">
        <v>1657800</v>
      </c>
      <c r="L10386" s="202"/>
    </row>
    <row r="10387" spans="1:12" ht="11.25" customHeight="1" x14ac:dyDescent="0.2">
      <c r="A10387" s="191">
        <v>2025</v>
      </c>
      <c r="B10387" s="191">
        <v>9</v>
      </c>
      <c r="C10387" s="191">
        <v>25</v>
      </c>
      <c r="D10387" s="192">
        <f t="shared" si="1372"/>
        <v>45925</v>
      </c>
      <c r="E10387" s="291">
        <f t="shared" si="1375"/>
        <v>45925</v>
      </c>
      <c r="F10387" s="514"/>
      <c r="G10387" s="194" t="s">
        <v>1209</v>
      </c>
      <c r="H10387" s="195"/>
      <c r="I10387" s="195"/>
      <c r="J10387" s="191" t="s">
        <v>1845</v>
      </c>
      <c r="K10387" s="196"/>
      <c r="L10387" s="196">
        <f>K10386</f>
        <v>1657800</v>
      </c>
    </row>
    <row r="10388" spans="1:12" x14ac:dyDescent="0.2">
      <c r="A10388" s="197">
        <v>2025</v>
      </c>
      <c r="B10388" s="197">
        <v>9</v>
      </c>
      <c r="C10388" s="197">
        <v>25</v>
      </c>
      <c r="D10388" s="198">
        <f t="shared" si="1372"/>
        <v>45925</v>
      </c>
      <c r="E10388" s="209">
        <f t="shared" si="1375"/>
        <v>45925</v>
      </c>
      <c r="F10388" s="513" t="s">
        <v>1210</v>
      </c>
      <c r="G10388" s="200" t="s">
        <v>1209</v>
      </c>
      <c r="H10388" s="201"/>
      <c r="I10388" s="201"/>
      <c r="J10388" s="197" t="s">
        <v>46</v>
      </c>
      <c r="K10388" s="202">
        <v>100000</v>
      </c>
      <c r="L10388" s="202"/>
    </row>
    <row r="10389" spans="1:12" x14ac:dyDescent="0.2">
      <c r="A10389" s="120">
        <v>2025</v>
      </c>
      <c r="B10389" s="120">
        <v>9</v>
      </c>
      <c r="C10389" s="120">
        <v>25</v>
      </c>
      <c r="D10389" s="208">
        <f t="shared" si="1372"/>
        <v>45925</v>
      </c>
      <c r="E10389" s="209">
        <f t="shared" si="1375"/>
        <v>45925</v>
      </c>
      <c r="F10389" s="515"/>
      <c r="G10389" s="132" t="s">
        <v>1209</v>
      </c>
      <c r="J10389" s="120" t="s">
        <v>16</v>
      </c>
      <c r="K10389" s="207"/>
      <c r="L10389" s="207">
        <v>74390</v>
      </c>
    </row>
    <row r="10390" spans="1:12" x14ac:dyDescent="0.2">
      <c r="A10390" s="191">
        <v>2025</v>
      </c>
      <c r="B10390" s="191">
        <v>9</v>
      </c>
      <c r="C10390" s="191">
        <v>25</v>
      </c>
      <c r="D10390" s="192">
        <f t="shared" si="1372"/>
        <v>45925</v>
      </c>
      <c r="E10390" s="193">
        <f t="shared" si="1375"/>
        <v>45925</v>
      </c>
      <c r="F10390" s="514"/>
      <c r="G10390" s="194" t="s">
        <v>1209</v>
      </c>
      <c r="H10390" s="195"/>
      <c r="I10390" s="195"/>
      <c r="J10390" s="191" t="s">
        <v>47</v>
      </c>
      <c r="K10390" s="196"/>
      <c r="L10390" s="196">
        <v>25610</v>
      </c>
    </row>
    <row r="10391" spans="1:12" x14ac:dyDescent="0.2">
      <c r="A10391" s="197">
        <v>2025</v>
      </c>
      <c r="B10391" s="197">
        <v>9</v>
      </c>
      <c r="C10391" s="197">
        <v>25</v>
      </c>
      <c r="D10391" s="198">
        <f t="shared" si="1372"/>
        <v>45925</v>
      </c>
      <c r="E10391" s="209">
        <f t="shared" ref="E10391:E10393" si="1376">DATE(A10391,B10391,C10391)</f>
        <v>45925</v>
      </c>
      <c r="F10391" s="513" t="s">
        <v>1210</v>
      </c>
      <c r="G10391" s="200" t="s">
        <v>1209</v>
      </c>
      <c r="H10391" s="201"/>
      <c r="I10391" s="201"/>
      <c r="J10391" s="197" t="s">
        <v>46</v>
      </c>
      <c r="K10391" s="202">
        <v>105000</v>
      </c>
      <c r="L10391" s="202"/>
    </row>
    <row r="10392" spans="1:12" x14ac:dyDescent="0.2">
      <c r="A10392" s="120">
        <v>2025</v>
      </c>
      <c r="B10392" s="120">
        <v>9</v>
      </c>
      <c r="C10392" s="120">
        <v>25</v>
      </c>
      <c r="D10392" s="208">
        <f t="shared" si="1372"/>
        <v>45925</v>
      </c>
      <c r="E10392" s="209">
        <f t="shared" si="1376"/>
        <v>45925</v>
      </c>
      <c r="F10392" s="515"/>
      <c r="G10392" s="132" t="s">
        <v>1209</v>
      </c>
      <c r="J10392" s="120" t="s">
        <v>16</v>
      </c>
      <c r="K10392" s="207"/>
      <c r="L10392" s="207">
        <v>78110</v>
      </c>
    </row>
    <row r="10393" spans="1:12" x14ac:dyDescent="0.2">
      <c r="A10393" s="191">
        <v>2025</v>
      </c>
      <c r="B10393" s="191">
        <v>9</v>
      </c>
      <c r="C10393" s="191">
        <v>25</v>
      </c>
      <c r="D10393" s="192">
        <f t="shared" si="1372"/>
        <v>45925</v>
      </c>
      <c r="E10393" s="193">
        <f t="shared" si="1376"/>
        <v>45925</v>
      </c>
      <c r="F10393" s="514"/>
      <c r="G10393" s="194" t="s">
        <v>1209</v>
      </c>
      <c r="H10393" s="195"/>
      <c r="I10393" s="195"/>
      <c r="J10393" s="191" t="s">
        <v>47</v>
      </c>
      <c r="K10393" s="196"/>
      <c r="L10393" s="196">
        <v>26890</v>
      </c>
    </row>
    <row r="10394" spans="1:12" x14ac:dyDescent="0.2">
      <c r="A10394" s="197">
        <v>2025</v>
      </c>
      <c r="B10394" s="197">
        <v>9</v>
      </c>
      <c r="C10394" s="197">
        <v>25</v>
      </c>
      <c r="D10394" s="198">
        <f t="shared" si="1372"/>
        <v>45925</v>
      </c>
      <c r="E10394" s="209">
        <f t="shared" ref="E10394:E10396" si="1377">DATE(A10394,B10394,C10394)</f>
        <v>45925</v>
      </c>
      <c r="F10394" s="513" t="s">
        <v>1210</v>
      </c>
      <c r="G10394" s="200" t="s">
        <v>1209</v>
      </c>
      <c r="H10394" s="201"/>
      <c r="I10394" s="201"/>
      <c r="J10394" s="197" t="s">
        <v>46</v>
      </c>
      <c r="K10394" s="202">
        <v>50000</v>
      </c>
      <c r="L10394" s="202"/>
    </row>
    <row r="10395" spans="1:12" x14ac:dyDescent="0.2">
      <c r="A10395" s="120">
        <v>2025</v>
      </c>
      <c r="B10395" s="120">
        <v>9</v>
      </c>
      <c r="C10395" s="120">
        <v>25</v>
      </c>
      <c r="D10395" s="208">
        <f t="shared" si="1372"/>
        <v>45925</v>
      </c>
      <c r="E10395" s="209">
        <f t="shared" si="1377"/>
        <v>45925</v>
      </c>
      <c r="F10395" s="515"/>
      <c r="G10395" s="132" t="s">
        <v>1209</v>
      </c>
      <c r="J10395" s="120" t="s">
        <v>16</v>
      </c>
      <c r="K10395" s="207"/>
      <c r="L10395" s="207">
        <v>37200</v>
      </c>
    </row>
    <row r="10396" spans="1:12" x14ac:dyDescent="0.2">
      <c r="A10396" s="191">
        <v>2025</v>
      </c>
      <c r="B10396" s="191">
        <v>9</v>
      </c>
      <c r="C10396" s="191">
        <v>25</v>
      </c>
      <c r="D10396" s="192">
        <f t="shared" si="1372"/>
        <v>45925</v>
      </c>
      <c r="E10396" s="193">
        <f t="shared" si="1377"/>
        <v>45925</v>
      </c>
      <c r="F10396" s="514"/>
      <c r="G10396" s="194" t="s">
        <v>1209</v>
      </c>
      <c r="H10396" s="195"/>
      <c r="I10396" s="195"/>
      <c r="J10396" s="191" t="s">
        <v>47</v>
      </c>
      <c r="K10396" s="196"/>
      <c r="L10396" s="196">
        <v>12800</v>
      </c>
    </row>
    <row r="10397" spans="1:12" x14ac:dyDescent="0.2">
      <c r="A10397" s="424">
        <v>2025</v>
      </c>
      <c r="B10397" s="424">
        <v>9</v>
      </c>
      <c r="C10397" s="424">
        <v>25</v>
      </c>
      <c r="D10397" s="425">
        <f t="shared" si="1372"/>
        <v>45925</v>
      </c>
      <c r="E10397" s="384">
        <f t="shared" si="1375"/>
        <v>45925</v>
      </c>
      <c r="F10397" s="516" t="s">
        <v>1850</v>
      </c>
      <c r="G10397" s="426" t="s">
        <v>1209</v>
      </c>
      <c r="H10397" s="427"/>
      <c r="I10397" s="427"/>
      <c r="J10397" s="428" t="s">
        <v>81</v>
      </c>
      <c r="K10397" s="429">
        <v>11170.721538461539</v>
      </c>
      <c r="L10397" s="429"/>
    </row>
    <row r="10398" spans="1:12" x14ac:dyDescent="0.2">
      <c r="A10398" s="389">
        <v>2025</v>
      </c>
      <c r="B10398" s="389">
        <v>9</v>
      </c>
      <c r="C10398" s="389">
        <v>25</v>
      </c>
      <c r="D10398" s="390">
        <f t="shared" si="1372"/>
        <v>45925</v>
      </c>
      <c r="E10398" s="391">
        <f t="shared" si="1375"/>
        <v>45925</v>
      </c>
      <c r="F10398" s="517"/>
      <c r="G10398" s="392" t="s">
        <v>1209</v>
      </c>
      <c r="H10398" s="393"/>
      <c r="I10398" s="393"/>
      <c r="J10398" s="394" t="s">
        <v>1847</v>
      </c>
      <c r="K10398" s="423"/>
      <c r="L10398" s="423">
        <f>K10397</f>
        <v>11170.721538461539</v>
      </c>
    </row>
    <row r="10399" spans="1:12" ht="11.25" customHeight="1" x14ac:dyDescent="0.2">
      <c r="A10399" s="382">
        <v>2025</v>
      </c>
      <c r="B10399" s="382">
        <v>9</v>
      </c>
      <c r="C10399" s="382">
        <v>25</v>
      </c>
      <c r="D10399" s="383">
        <f t="shared" si="1372"/>
        <v>45925</v>
      </c>
      <c r="E10399" s="384">
        <f t="shared" si="1375"/>
        <v>45925</v>
      </c>
      <c r="F10399" s="516" t="s">
        <v>1892</v>
      </c>
      <c r="G10399" s="385" t="s">
        <v>1209</v>
      </c>
      <c r="H10399" s="386"/>
      <c r="I10399" s="386"/>
      <c r="J10399" s="387" t="s">
        <v>173</v>
      </c>
      <c r="K10399" s="388">
        <v>5119.2018915927083</v>
      </c>
      <c r="L10399" s="388"/>
    </row>
    <row r="10400" spans="1:12" ht="11.25" customHeight="1" x14ac:dyDescent="0.2">
      <c r="A10400" s="389">
        <v>2025</v>
      </c>
      <c r="B10400" s="389">
        <v>9</v>
      </c>
      <c r="C10400" s="389">
        <v>25</v>
      </c>
      <c r="D10400" s="390">
        <f t="shared" si="1372"/>
        <v>45925</v>
      </c>
      <c r="E10400" s="391">
        <f t="shared" si="1375"/>
        <v>45925</v>
      </c>
      <c r="F10400" s="517"/>
      <c r="G10400" s="392" t="s">
        <v>1209</v>
      </c>
      <c r="H10400" s="393"/>
      <c r="I10400" s="393"/>
      <c r="J10400" s="394" t="s">
        <v>43</v>
      </c>
      <c r="K10400" s="388"/>
      <c r="L10400" s="423">
        <f>K10399</f>
        <v>5119.2018915927083</v>
      </c>
    </row>
    <row r="10401" spans="1:16" ht="11.25" customHeight="1" x14ac:dyDescent="0.2">
      <c r="A10401" s="344">
        <v>2025</v>
      </c>
      <c r="B10401" s="344">
        <v>9</v>
      </c>
      <c r="C10401" s="344">
        <v>25</v>
      </c>
      <c r="D10401" s="345">
        <f t="shared" si="1372"/>
        <v>45925</v>
      </c>
      <c r="E10401" s="346">
        <f t="shared" si="1375"/>
        <v>45925</v>
      </c>
      <c r="F10401" s="518" t="s">
        <v>1982</v>
      </c>
      <c r="G10401" s="347" t="s">
        <v>1245</v>
      </c>
      <c r="H10401" s="348"/>
      <c r="I10401" s="348" t="s">
        <v>1253</v>
      </c>
      <c r="J10401" s="344" t="s">
        <v>1978</v>
      </c>
      <c r="K10401" s="349">
        <v>148748.07692307694</v>
      </c>
      <c r="L10401" s="349"/>
    </row>
    <row r="10402" spans="1:16" ht="11.25" customHeight="1" x14ac:dyDescent="0.2">
      <c r="A10402" s="350">
        <v>2025</v>
      </c>
      <c r="B10402" s="350">
        <v>9</v>
      </c>
      <c r="C10402" s="350">
        <v>25</v>
      </c>
      <c r="D10402" s="351">
        <f t="shared" si="1372"/>
        <v>45925</v>
      </c>
      <c r="E10402" s="352">
        <f t="shared" si="1375"/>
        <v>45925</v>
      </c>
      <c r="F10402" s="519"/>
      <c r="G10402" s="353" t="s">
        <v>1245</v>
      </c>
      <c r="H10402" s="354"/>
      <c r="I10402" s="354" t="s">
        <v>1253</v>
      </c>
      <c r="J10402" s="350" t="s">
        <v>1979</v>
      </c>
      <c r="K10402" s="355"/>
      <c r="L10402" s="355">
        <f>K10401</f>
        <v>148748.07692307694</v>
      </c>
    </row>
    <row r="10403" spans="1:16" ht="11.25" customHeight="1" x14ac:dyDescent="0.2">
      <c r="A10403" s="344">
        <v>2025</v>
      </c>
      <c r="B10403" s="344">
        <v>9</v>
      </c>
      <c r="C10403" s="344">
        <v>25</v>
      </c>
      <c r="D10403" s="345">
        <f t="shared" si="1372"/>
        <v>45925</v>
      </c>
      <c r="E10403" s="346">
        <f t="shared" si="1375"/>
        <v>45925</v>
      </c>
      <c r="F10403" s="518" t="s">
        <v>2009</v>
      </c>
      <c r="G10403" s="347" t="s">
        <v>1245</v>
      </c>
      <c r="H10403" s="348"/>
      <c r="I10403" s="348" t="s">
        <v>1253</v>
      </c>
      <c r="J10403" s="344" t="s">
        <v>2004</v>
      </c>
      <c r="K10403" s="349">
        <v>49692.31</v>
      </c>
      <c r="L10403" s="349"/>
    </row>
    <row r="10404" spans="1:16" ht="11.25" customHeight="1" x14ac:dyDescent="0.2">
      <c r="A10404" s="350">
        <v>2025</v>
      </c>
      <c r="B10404" s="350">
        <v>9</v>
      </c>
      <c r="C10404" s="350">
        <v>25</v>
      </c>
      <c r="D10404" s="351">
        <f t="shared" si="1372"/>
        <v>45925</v>
      </c>
      <c r="E10404" s="352">
        <f t="shared" si="1375"/>
        <v>45925</v>
      </c>
      <c r="F10404" s="519"/>
      <c r="G10404" s="353" t="s">
        <v>1245</v>
      </c>
      <c r="H10404" s="354"/>
      <c r="I10404" s="354" t="s">
        <v>1253</v>
      </c>
      <c r="J10404" s="350" t="s">
        <v>2008</v>
      </c>
      <c r="K10404" s="355"/>
      <c r="L10404" s="355">
        <f t="shared" ref="L10404" si="1378">K10403</f>
        <v>49692.31</v>
      </c>
    </row>
    <row r="10405" spans="1:16" ht="11.25" customHeight="1" x14ac:dyDescent="0.2">
      <c r="A10405" s="344">
        <v>2025</v>
      </c>
      <c r="B10405" s="344">
        <v>9</v>
      </c>
      <c r="C10405" s="344">
        <v>25</v>
      </c>
      <c r="D10405" s="345">
        <f t="shared" si="1372"/>
        <v>45925</v>
      </c>
      <c r="E10405" s="346">
        <f t="shared" si="1375"/>
        <v>45925</v>
      </c>
      <c r="F10405" s="518" t="s">
        <v>2009</v>
      </c>
      <c r="G10405" s="347" t="s">
        <v>1245</v>
      </c>
      <c r="H10405" s="348"/>
      <c r="I10405" s="348" t="s">
        <v>1253</v>
      </c>
      <c r="J10405" s="344" t="s">
        <v>2004</v>
      </c>
      <c r="K10405" s="349">
        <v>49692.31</v>
      </c>
      <c r="L10405" s="349"/>
    </row>
    <row r="10406" spans="1:16" ht="11.25" customHeight="1" x14ac:dyDescent="0.2">
      <c r="A10406" s="350">
        <v>2025</v>
      </c>
      <c r="B10406" s="350">
        <v>9</v>
      </c>
      <c r="C10406" s="350">
        <v>25</v>
      </c>
      <c r="D10406" s="351">
        <f t="shared" si="1372"/>
        <v>45925</v>
      </c>
      <c r="E10406" s="352">
        <f t="shared" si="1375"/>
        <v>45925</v>
      </c>
      <c r="F10406" s="519"/>
      <c r="G10406" s="353" t="s">
        <v>1245</v>
      </c>
      <c r="H10406" s="354"/>
      <c r="I10406" s="354" t="s">
        <v>1253</v>
      </c>
      <c r="J10406" s="350" t="s">
        <v>2008</v>
      </c>
      <c r="K10406" s="355"/>
      <c r="L10406" s="355">
        <f t="shared" ref="L10406" si="1379">K10405</f>
        <v>49692.31</v>
      </c>
    </row>
    <row r="10407" spans="1:16" ht="11.25" customHeight="1" x14ac:dyDescent="0.2">
      <c r="A10407" s="344">
        <v>2025</v>
      </c>
      <c r="B10407" s="344">
        <v>9</v>
      </c>
      <c r="C10407" s="344">
        <v>25</v>
      </c>
      <c r="D10407" s="345">
        <f t="shared" si="1372"/>
        <v>45925</v>
      </c>
      <c r="E10407" s="346">
        <f t="shared" si="1375"/>
        <v>45925</v>
      </c>
      <c r="F10407" s="518" t="s">
        <v>2088</v>
      </c>
      <c r="G10407" s="347" t="s">
        <v>1245</v>
      </c>
      <c r="H10407" s="348"/>
      <c r="I10407" s="348" t="s">
        <v>1253</v>
      </c>
      <c r="J10407" s="344" t="s">
        <v>2086</v>
      </c>
      <c r="K10407" s="349">
        <v>12528.846153846154</v>
      </c>
      <c r="L10407" s="349"/>
    </row>
    <row r="10408" spans="1:16" ht="11.25" customHeight="1" x14ac:dyDescent="0.2">
      <c r="A10408" s="350">
        <v>2025</v>
      </c>
      <c r="B10408" s="350">
        <v>9</v>
      </c>
      <c r="C10408" s="350">
        <v>25</v>
      </c>
      <c r="D10408" s="351">
        <f t="shared" si="1372"/>
        <v>45925</v>
      </c>
      <c r="E10408" s="352">
        <f t="shared" si="1375"/>
        <v>45925</v>
      </c>
      <c r="F10408" s="519"/>
      <c r="G10408" s="353" t="s">
        <v>1245</v>
      </c>
      <c r="H10408" s="354"/>
      <c r="I10408" s="354" t="s">
        <v>1253</v>
      </c>
      <c r="J10408" s="350" t="s">
        <v>2089</v>
      </c>
      <c r="K10408" s="355"/>
      <c r="L10408" s="355">
        <v>12528.846153846154</v>
      </c>
    </row>
    <row r="10409" spans="1:16" ht="11.25" customHeight="1" x14ac:dyDescent="0.2">
      <c r="A10409" s="344">
        <v>2025</v>
      </c>
      <c r="B10409" s="344">
        <v>9</v>
      </c>
      <c r="C10409" s="344">
        <v>25</v>
      </c>
      <c r="D10409" s="345">
        <f t="shared" si="1372"/>
        <v>45925</v>
      </c>
      <c r="E10409" s="346">
        <f>DATE(A10409,B10409,C10409)</f>
        <v>45925</v>
      </c>
      <c r="F10409" s="518" t="s">
        <v>1988</v>
      </c>
      <c r="G10409" s="347" t="s">
        <v>1245</v>
      </c>
      <c r="H10409" s="348"/>
      <c r="I10409" s="348" t="s">
        <v>1253</v>
      </c>
      <c r="J10409" s="344" t="s">
        <v>113</v>
      </c>
      <c r="K10409" s="349">
        <v>32846.15</v>
      </c>
      <c r="L10409" s="349"/>
    </row>
    <row r="10410" spans="1:16" ht="11.25" customHeight="1" x14ac:dyDescent="0.2">
      <c r="A10410" s="350">
        <v>2025</v>
      </c>
      <c r="B10410" s="350">
        <v>9</v>
      </c>
      <c r="C10410" s="350">
        <v>25</v>
      </c>
      <c r="D10410" s="351">
        <f t="shared" si="1372"/>
        <v>45925</v>
      </c>
      <c r="E10410" s="352">
        <f>DATE(A10410,B10410,C10410)</f>
        <v>45925</v>
      </c>
      <c r="F10410" s="519"/>
      <c r="G10410" s="353" t="s">
        <v>1245</v>
      </c>
      <c r="H10410" s="354"/>
      <c r="I10410" s="354" t="s">
        <v>1253</v>
      </c>
      <c r="J10410" s="350" t="s">
        <v>153</v>
      </c>
      <c r="K10410" s="355"/>
      <c r="L10410" s="355">
        <f t="shared" ref="L10410" si="1380">K10409</f>
        <v>32846.15</v>
      </c>
    </row>
    <row r="10411" spans="1:16" ht="11.25" customHeight="1" x14ac:dyDescent="0.2">
      <c r="A10411" s="344">
        <v>2025</v>
      </c>
      <c r="B10411" s="344">
        <v>9</v>
      </c>
      <c r="C10411" s="344">
        <v>25</v>
      </c>
      <c r="D10411" s="345">
        <f t="shared" si="1372"/>
        <v>45925</v>
      </c>
      <c r="E10411" s="346">
        <f t="shared" ref="E10411:E10415" si="1381">DATE(A10411,B10411,C10411)</f>
        <v>45925</v>
      </c>
      <c r="F10411" s="518" t="s">
        <v>1989</v>
      </c>
      <c r="G10411" s="347" t="s">
        <v>1245</v>
      </c>
      <c r="H10411" s="348"/>
      <c r="I10411" s="348" t="s">
        <v>1253</v>
      </c>
      <c r="J10411" s="344" t="s">
        <v>113</v>
      </c>
      <c r="K10411" s="349">
        <v>23461.538461538461</v>
      </c>
      <c r="L10411" s="349"/>
    </row>
    <row r="10412" spans="1:16" ht="11.25" customHeight="1" x14ac:dyDescent="0.2">
      <c r="A10412" s="350">
        <v>2025</v>
      </c>
      <c r="B10412" s="350">
        <v>9</v>
      </c>
      <c r="C10412" s="350">
        <v>25</v>
      </c>
      <c r="D10412" s="351">
        <f t="shared" ref="D10412:D10475" si="1382">DATE(A10412,B10412,C10412)</f>
        <v>45925</v>
      </c>
      <c r="E10412" s="352">
        <f t="shared" si="1381"/>
        <v>45925</v>
      </c>
      <c r="F10412" s="519"/>
      <c r="G10412" s="353" t="s">
        <v>1245</v>
      </c>
      <c r="H10412" s="354"/>
      <c r="I10412" s="354" t="s">
        <v>1253</v>
      </c>
      <c r="J10412" s="350" t="s">
        <v>153</v>
      </c>
      <c r="K10412" s="355"/>
      <c r="L10412" s="355">
        <f t="shared" ref="L10412" si="1383">K10411</f>
        <v>23461.538461538461</v>
      </c>
    </row>
    <row r="10413" spans="1:16" ht="11.25" customHeight="1" x14ac:dyDescent="0.2">
      <c r="A10413" s="344">
        <v>2025</v>
      </c>
      <c r="B10413" s="344">
        <v>9</v>
      </c>
      <c r="C10413" s="344">
        <v>25</v>
      </c>
      <c r="D10413" s="345">
        <f t="shared" si="1382"/>
        <v>45925</v>
      </c>
      <c r="E10413" s="346">
        <f t="shared" si="1381"/>
        <v>45925</v>
      </c>
      <c r="F10413" s="518" t="s">
        <v>1990</v>
      </c>
      <c r="G10413" s="347" t="s">
        <v>1245</v>
      </c>
      <c r="H10413" s="348"/>
      <c r="I10413" s="348" t="s">
        <v>1253</v>
      </c>
      <c r="J10413" s="344" t="s">
        <v>113</v>
      </c>
      <c r="K10413" s="349">
        <v>70384.62</v>
      </c>
      <c r="L10413" s="349"/>
      <c r="N10413" s="251"/>
      <c r="O10413" s="251"/>
      <c r="P10413" s="251"/>
    </row>
    <row r="10414" spans="1:16" ht="11.25" customHeight="1" x14ac:dyDescent="0.2">
      <c r="A10414" s="350">
        <v>2025</v>
      </c>
      <c r="B10414" s="350">
        <v>9</v>
      </c>
      <c r="C10414" s="350">
        <v>25</v>
      </c>
      <c r="D10414" s="351">
        <f t="shared" si="1382"/>
        <v>45925</v>
      </c>
      <c r="E10414" s="352">
        <f t="shared" si="1381"/>
        <v>45925</v>
      </c>
      <c r="F10414" s="519"/>
      <c r="G10414" s="353" t="s">
        <v>1245</v>
      </c>
      <c r="H10414" s="354"/>
      <c r="I10414" s="354" t="s">
        <v>1253</v>
      </c>
      <c r="J10414" s="350" t="s">
        <v>153</v>
      </c>
      <c r="K10414" s="355"/>
      <c r="L10414" s="355">
        <f t="shared" ref="L10414" si="1384">K10413</f>
        <v>70384.62</v>
      </c>
    </row>
    <row r="10415" spans="1:16" ht="11.25" customHeight="1" x14ac:dyDescent="0.2">
      <c r="A10415" s="210">
        <v>2025</v>
      </c>
      <c r="B10415" s="210">
        <v>9</v>
      </c>
      <c r="C10415" s="210">
        <v>25</v>
      </c>
      <c r="D10415" s="211">
        <f t="shared" si="1382"/>
        <v>45925</v>
      </c>
      <c r="E10415" s="238">
        <f t="shared" si="1381"/>
        <v>45925</v>
      </c>
      <c r="F10415" s="520" t="s">
        <v>1857</v>
      </c>
      <c r="G10415" s="213" t="s">
        <v>1245</v>
      </c>
      <c r="H10415" s="214"/>
      <c r="I10415" s="214" t="s">
        <v>1253</v>
      </c>
      <c r="J10415" s="210" t="s">
        <v>1284</v>
      </c>
      <c r="K10415" s="215">
        <v>2341.8114143920593</v>
      </c>
      <c r="L10415" s="215"/>
    </row>
    <row r="10416" spans="1:16" ht="11.25" customHeight="1" x14ac:dyDescent="0.2">
      <c r="A10416" s="242">
        <v>2025</v>
      </c>
      <c r="B10416" s="242">
        <v>9</v>
      </c>
      <c r="C10416" s="242">
        <v>25</v>
      </c>
      <c r="D10416" s="243">
        <f t="shared" si="1382"/>
        <v>45925</v>
      </c>
      <c r="E10416" s="244">
        <f>DATE(A10416,B10416,C10416)</f>
        <v>45925</v>
      </c>
      <c r="F10416" s="524"/>
      <c r="G10416" s="245" t="s">
        <v>1245</v>
      </c>
      <c r="H10416" s="246"/>
      <c r="I10416" s="246"/>
      <c r="J10416" s="242" t="s">
        <v>1582</v>
      </c>
      <c r="K10416" s="247"/>
      <c r="L10416" s="247">
        <f>K10415</f>
        <v>2341.8114143920593</v>
      </c>
    </row>
    <row r="10417" spans="1:13" ht="11.25" customHeight="1" x14ac:dyDescent="0.2">
      <c r="A10417" s="210">
        <v>2025</v>
      </c>
      <c r="B10417" s="210">
        <v>9</v>
      </c>
      <c r="C10417" s="210">
        <v>25</v>
      </c>
      <c r="D10417" s="211">
        <f t="shared" si="1382"/>
        <v>45925</v>
      </c>
      <c r="E10417" s="238">
        <f t="shared" ref="E10417:E10447" si="1385">DATE(A10417,B10417,C10417)</f>
        <v>45925</v>
      </c>
      <c r="F10417" s="520" t="s">
        <v>2055</v>
      </c>
      <c r="G10417" s="213" t="s">
        <v>1245</v>
      </c>
      <c r="H10417" s="214"/>
      <c r="I10417" s="214" t="s">
        <v>1253</v>
      </c>
      <c r="J10417" s="210" t="s">
        <v>58</v>
      </c>
      <c r="K10417" s="215">
        <v>14584.92</v>
      </c>
      <c r="L10417" s="215"/>
    </row>
    <row r="10418" spans="1:13" ht="11.25" customHeight="1" x14ac:dyDescent="0.2">
      <c r="A10418" s="216">
        <v>2025</v>
      </c>
      <c r="B10418" s="216">
        <v>9</v>
      </c>
      <c r="C10418" s="216">
        <v>25</v>
      </c>
      <c r="D10418" s="217">
        <f t="shared" si="1382"/>
        <v>45925</v>
      </c>
      <c r="E10418" s="239">
        <f t="shared" si="1385"/>
        <v>45925</v>
      </c>
      <c r="F10418" s="521"/>
      <c r="G10418" s="219" t="s">
        <v>1245</v>
      </c>
      <c r="H10418" s="220"/>
      <c r="I10418" s="220" t="s">
        <v>1253</v>
      </c>
      <c r="J10418" s="216" t="s">
        <v>153</v>
      </c>
      <c r="K10418" s="221"/>
      <c r="L10418" s="221">
        <f>K10417</f>
        <v>14584.92</v>
      </c>
    </row>
    <row r="10419" spans="1:13" ht="11.25" customHeight="1" x14ac:dyDescent="0.2">
      <c r="A10419" s="312">
        <v>2025</v>
      </c>
      <c r="B10419" s="312">
        <v>9</v>
      </c>
      <c r="C10419" s="312">
        <v>25</v>
      </c>
      <c r="D10419" s="313">
        <f t="shared" si="1382"/>
        <v>45925</v>
      </c>
      <c r="E10419" s="314">
        <f t="shared" si="1385"/>
        <v>45925</v>
      </c>
      <c r="F10419" s="522" t="s">
        <v>1477</v>
      </c>
      <c r="G10419" s="315" t="s">
        <v>1245</v>
      </c>
      <c r="H10419" s="316"/>
      <c r="I10419" s="316" t="s">
        <v>1253</v>
      </c>
      <c r="J10419" s="312" t="s">
        <v>1458</v>
      </c>
      <c r="K10419" s="317">
        <v>0</v>
      </c>
      <c r="L10419" s="317"/>
    </row>
    <row r="10420" spans="1:13" ht="11.25" customHeight="1" x14ac:dyDescent="0.2">
      <c r="A10420" s="318">
        <v>2025</v>
      </c>
      <c r="B10420" s="318">
        <v>9</v>
      </c>
      <c r="C10420" s="318">
        <v>25</v>
      </c>
      <c r="D10420" s="319">
        <f t="shared" si="1382"/>
        <v>45925</v>
      </c>
      <c r="E10420" s="320">
        <f t="shared" si="1385"/>
        <v>45925</v>
      </c>
      <c r="F10420" s="523"/>
      <c r="G10420" s="321" t="s">
        <v>1245</v>
      </c>
      <c r="H10420" s="322"/>
      <c r="I10420" s="322" t="s">
        <v>1253</v>
      </c>
      <c r="J10420" s="318" t="s">
        <v>1460</v>
      </c>
      <c r="K10420" s="323"/>
      <c r="L10420" s="323">
        <f>K10419</f>
        <v>0</v>
      </c>
    </row>
    <row r="10421" spans="1:13" ht="11.25" customHeight="1" x14ac:dyDescent="0.2">
      <c r="A10421" s="312">
        <v>2025</v>
      </c>
      <c r="B10421" s="312">
        <v>9</v>
      </c>
      <c r="C10421" s="312">
        <v>25</v>
      </c>
      <c r="D10421" s="313">
        <f t="shared" si="1382"/>
        <v>45925</v>
      </c>
      <c r="E10421" s="314">
        <f t="shared" si="1385"/>
        <v>45925</v>
      </c>
      <c r="F10421" s="522" t="s">
        <v>1595</v>
      </c>
      <c r="G10421" s="315" t="s">
        <v>1245</v>
      </c>
      <c r="H10421" s="316"/>
      <c r="I10421" s="316" t="s">
        <v>1253</v>
      </c>
      <c r="J10421" s="312" t="s">
        <v>1461</v>
      </c>
      <c r="K10421" s="317">
        <v>102859.93699997663</v>
      </c>
      <c r="L10421" s="317"/>
      <c r="M10421" s="328">
        <f>BS!$I$14</f>
        <v>0</v>
      </c>
    </row>
    <row r="10422" spans="1:13" ht="11.25" customHeight="1" x14ac:dyDescent="0.2">
      <c r="A10422" s="318">
        <v>2025</v>
      </c>
      <c r="B10422" s="318">
        <v>9</v>
      </c>
      <c r="C10422" s="318">
        <v>25</v>
      </c>
      <c r="D10422" s="319">
        <f t="shared" si="1382"/>
        <v>45925</v>
      </c>
      <c r="E10422" s="320">
        <f t="shared" si="1385"/>
        <v>45925</v>
      </c>
      <c r="F10422" s="523"/>
      <c r="G10422" s="321" t="s">
        <v>1245</v>
      </c>
      <c r="H10422" s="322"/>
      <c r="I10422" s="322" t="s">
        <v>1253</v>
      </c>
      <c r="J10422" s="318" t="s">
        <v>1459</v>
      </c>
      <c r="K10422" s="323"/>
      <c r="L10422" s="323">
        <f>K10421</f>
        <v>102859.93699997663</v>
      </c>
      <c r="M10422" s="328"/>
    </row>
    <row r="10423" spans="1:13" ht="11.25" customHeight="1" x14ac:dyDescent="0.2">
      <c r="A10423" s="222">
        <v>2025</v>
      </c>
      <c r="B10423" s="222">
        <v>9</v>
      </c>
      <c r="C10423" s="222">
        <v>25</v>
      </c>
      <c r="D10423" s="223">
        <f t="shared" si="1382"/>
        <v>45925</v>
      </c>
      <c r="E10423" s="240">
        <f t="shared" si="1385"/>
        <v>45925</v>
      </c>
      <c r="F10423" s="511" t="s">
        <v>1244</v>
      </c>
      <c r="G10423" s="225" t="s">
        <v>1245</v>
      </c>
      <c r="H10423" s="226"/>
      <c r="I10423" s="226" t="s">
        <v>1253</v>
      </c>
      <c r="J10423" s="222" t="s">
        <v>87</v>
      </c>
      <c r="K10423" s="227">
        <v>428477.19359999895</v>
      </c>
      <c r="L10423" s="227"/>
      <c r="M10423" s="328">
        <f>BS!$I$7</f>
        <v>0</v>
      </c>
    </row>
    <row r="10424" spans="1:13" ht="11.25" customHeight="1" x14ac:dyDescent="0.2">
      <c r="A10424" s="228">
        <v>2025</v>
      </c>
      <c r="B10424" s="228">
        <v>9</v>
      </c>
      <c r="C10424" s="228">
        <v>25</v>
      </c>
      <c r="D10424" s="229">
        <f t="shared" si="1382"/>
        <v>45925</v>
      </c>
      <c r="E10424" s="241">
        <f t="shared" si="1385"/>
        <v>45925</v>
      </c>
      <c r="F10424" s="512"/>
      <c r="G10424" s="231" t="s">
        <v>1245</v>
      </c>
      <c r="H10424" s="232"/>
      <c r="I10424" s="232" t="s">
        <v>1253</v>
      </c>
      <c r="J10424" s="228" t="s">
        <v>72</v>
      </c>
      <c r="K10424" s="233"/>
      <c r="L10424" s="233">
        <f>K10423</f>
        <v>428477.19359999895</v>
      </c>
    </row>
    <row r="10425" spans="1:13" ht="11.25" customHeight="1" x14ac:dyDescent="0.2">
      <c r="A10425" s="222">
        <v>2025</v>
      </c>
      <c r="B10425" s="222">
        <v>9</v>
      </c>
      <c r="C10425" s="222">
        <v>25</v>
      </c>
      <c r="D10425" s="223">
        <f t="shared" si="1382"/>
        <v>45925</v>
      </c>
      <c r="E10425" s="240">
        <f t="shared" si="1385"/>
        <v>45925</v>
      </c>
      <c r="F10425" s="511" t="s">
        <v>1246</v>
      </c>
      <c r="G10425" s="225" t="s">
        <v>1245</v>
      </c>
      <c r="H10425" s="226"/>
      <c r="I10425" s="226" t="s">
        <v>1253</v>
      </c>
      <c r="J10425" s="222" t="s">
        <v>75</v>
      </c>
      <c r="K10425" s="227">
        <v>3623.123846153846</v>
      </c>
      <c r="L10425" s="227"/>
    </row>
    <row r="10426" spans="1:13" ht="11.25" customHeight="1" x14ac:dyDescent="0.2">
      <c r="A10426" s="228">
        <v>2025</v>
      </c>
      <c r="B10426" s="228">
        <v>9</v>
      </c>
      <c r="C10426" s="228">
        <v>25</v>
      </c>
      <c r="D10426" s="229">
        <f t="shared" si="1382"/>
        <v>45925</v>
      </c>
      <c r="E10426" s="241">
        <f t="shared" si="1385"/>
        <v>45925</v>
      </c>
      <c r="F10426" s="512"/>
      <c r="G10426" s="231" t="s">
        <v>1245</v>
      </c>
      <c r="H10426" s="232"/>
      <c r="I10426" s="232" t="s">
        <v>1253</v>
      </c>
      <c r="J10426" s="228" t="s">
        <v>55</v>
      </c>
      <c r="K10426" s="233"/>
      <c r="L10426" s="233">
        <f>K10425</f>
        <v>3623.123846153846</v>
      </c>
    </row>
    <row r="10427" spans="1:13" ht="11.25" customHeight="1" x14ac:dyDescent="0.2">
      <c r="A10427" s="222">
        <v>2025</v>
      </c>
      <c r="B10427" s="222">
        <v>9</v>
      </c>
      <c r="C10427" s="222">
        <v>25</v>
      </c>
      <c r="D10427" s="223">
        <f t="shared" si="1382"/>
        <v>45925</v>
      </c>
      <c r="E10427" s="240">
        <f t="shared" si="1385"/>
        <v>45925</v>
      </c>
      <c r="F10427" s="511" t="s">
        <v>1247</v>
      </c>
      <c r="G10427" s="225" t="s">
        <v>1245</v>
      </c>
      <c r="H10427" s="226"/>
      <c r="I10427" s="226" t="s">
        <v>1253</v>
      </c>
      <c r="J10427" s="222" t="s">
        <v>77</v>
      </c>
      <c r="K10427" s="227">
        <f>M10427</f>
        <v>58728.142671916066</v>
      </c>
      <c r="L10427" s="227"/>
      <c r="M10427" s="120">
        <v>58728.142671916066</v>
      </c>
    </row>
    <row r="10428" spans="1:13" ht="11.25" customHeight="1" x14ac:dyDescent="0.2">
      <c r="A10428" s="228">
        <v>2025</v>
      </c>
      <c r="B10428" s="228">
        <v>9</v>
      </c>
      <c r="C10428" s="228">
        <v>25</v>
      </c>
      <c r="D10428" s="229">
        <f t="shared" si="1382"/>
        <v>45925</v>
      </c>
      <c r="E10428" s="241">
        <f t="shared" si="1385"/>
        <v>45925</v>
      </c>
      <c r="F10428" s="512"/>
      <c r="G10428" s="231" t="s">
        <v>1245</v>
      </c>
      <c r="H10428" s="232"/>
      <c r="I10428" s="232" t="s">
        <v>1253</v>
      </c>
      <c r="J10428" s="228" t="s">
        <v>41</v>
      </c>
      <c r="K10428" s="233"/>
      <c r="L10428" s="233">
        <f>K10427</f>
        <v>58728.142671916066</v>
      </c>
      <c r="M10428" s="120">
        <v>5872.8142671916075</v>
      </c>
    </row>
    <row r="10429" spans="1:13" ht="11.25" customHeight="1" x14ac:dyDescent="0.2">
      <c r="A10429" s="222">
        <v>2025</v>
      </c>
      <c r="B10429" s="222">
        <v>9</v>
      </c>
      <c r="C10429" s="222">
        <v>25</v>
      </c>
      <c r="D10429" s="223">
        <f t="shared" si="1382"/>
        <v>45925</v>
      </c>
      <c r="E10429" s="240">
        <f t="shared" si="1385"/>
        <v>45925</v>
      </c>
      <c r="F10429" s="511" t="s">
        <v>1248</v>
      </c>
      <c r="G10429" s="225" t="s">
        <v>1245</v>
      </c>
      <c r="H10429" s="226"/>
      <c r="I10429" s="226" t="s">
        <v>1253</v>
      </c>
      <c r="J10429" s="222" t="s">
        <v>80</v>
      </c>
      <c r="K10429" s="227">
        <f>M10428</f>
        <v>5872.8142671916075</v>
      </c>
      <c r="L10429" s="227"/>
    </row>
    <row r="10430" spans="1:13" ht="11.25" customHeight="1" x14ac:dyDescent="0.2">
      <c r="A10430" s="228">
        <v>2025</v>
      </c>
      <c r="B10430" s="228">
        <v>9</v>
      </c>
      <c r="C10430" s="228">
        <v>25</v>
      </c>
      <c r="D10430" s="229">
        <f t="shared" si="1382"/>
        <v>45925</v>
      </c>
      <c r="E10430" s="241">
        <f t="shared" si="1385"/>
        <v>45925</v>
      </c>
      <c r="F10430" s="512"/>
      <c r="G10430" s="231" t="s">
        <v>1245</v>
      </c>
      <c r="H10430" s="232"/>
      <c r="I10430" s="232" t="s">
        <v>1253</v>
      </c>
      <c r="J10430" s="228" t="s">
        <v>42</v>
      </c>
      <c r="K10430" s="233"/>
      <c r="L10430" s="233">
        <f>K10429</f>
        <v>5872.8142671916075</v>
      </c>
    </row>
    <row r="10431" spans="1:13" x14ac:dyDescent="0.2">
      <c r="A10431" s="197">
        <v>2025</v>
      </c>
      <c r="B10431" s="197">
        <v>9</v>
      </c>
      <c r="C10431" s="197">
        <v>26</v>
      </c>
      <c r="D10431" s="198">
        <f t="shared" si="1382"/>
        <v>45926</v>
      </c>
      <c r="E10431" s="209">
        <f t="shared" ref="E10431:E10433" si="1386">DATE(A10431,B10431,C10431)</f>
        <v>45926</v>
      </c>
      <c r="F10431" s="513" t="s">
        <v>1296</v>
      </c>
      <c r="G10431" s="200" t="s">
        <v>1209</v>
      </c>
      <c r="H10431" s="201"/>
      <c r="I10431" s="201"/>
      <c r="J10431" s="197" t="s">
        <v>46</v>
      </c>
      <c r="K10431" s="202">
        <v>16000</v>
      </c>
      <c r="L10431" s="202"/>
    </row>
    <row r="10432" spans="1:13" x14ac:dyDescent="0.2">
      <c r="A10432" s="120">
        <v>2025</v>
      </c>
      <c r="B10432" s="120">
        <v>9</v>
      </c>
      <c r="C10432" s="120">
        <v>26</v>
      </c>
      <c r="D10432" s="208">
        <f t="shared" si="1382"/>
        <v>45926</v>
      </c>
      <c r="E10432" s="209">
        <f t="shared" si="1386"/>
        <v>45926</v>
      </c>
      <c r="F10432" s="515"/>
      <c r="G10432" s="132" t="s">
        <v>1209</v>
      </c>
      <c r="J10432" s="120" t="s">
        <v>16</v>
      </c>
      <c r="K10432" s="207"/>
      <c r="L10432" s="207">
        <v>11840</v>
      </c>
    </row>
    <row r="10433" spans="1:15" x14ac:dyDescent="0.2">
      <c r="A10433" s="191">
        <v>2025</v>
      </c>
      <c r="B10433" s="191">
        <v>9</v>
      </c>
      <c r="C10433" s="191">
        <v>26</v>
      </c>
      <c r="D10433" s="192">
        <f t="shared" si="1382"/>
        <v>45926</v>
      </c>
      <c r="E10433" s="193">
        <f t="shared" si="1386"/>
        <v>45926</v>
      </c>
      <c r="F10433" s="514"/>
      <c r="G10433" s="194" t="s">
        <v>1209</v>
      </c>
      <c r="H10433" s="195"/>
      <c r="I10433" s="195"/>
      <c r="J10433" s="191" t="s">
        <v>47</v>
      </c>
      <c r="K10433" s="196"/>
      <c r="L10433" s="196">
        <v>4160</v>
      </c>
    </row>
    <row r="10434" spans="1:15" ht="11.25" customHeight="1" x14ac:dyDescent="0.2">
      <c r="A10434" s="197">
        <v>2025</v>
      </c>
      <c r="B10434" s="197">
        <v>9</v>
      </c>
      <c r="C10434" s="197">
        <v>28</v>
      </c>
      <c r="D10434" s="198">
        <f t="shared" si="1382"/>
        <v>45928</v>
      </c>
      <c r="E10434" s="290">
        <f t="shared" si="1385"/>
        <v>45928</v>
      </c>
      <c r="F10434" s="513" t="s">
        <v>2090</v>
      </c>
      <c r="G10434" s="200" t="s">
        <v>1209</v>
      </c>
      <c r="H10434" s="201"/>
      <c r="I10434" s="201" t="s">
        <v>1253</v>
      </c>
      <c r="J10434" s="197" t="s">
        <v>46</v>
      </c>
      <c r="K10434" s="202">
        <v>911250</v>
      </c>
      <c r="L10434" s="202"/>
    </row>
    <row r="10435" spans="1:15" ht="11.25" customHeight="1" x14ac:dyDescent="0.2">
      <c r="A10435" s="191">
        <v>2025</v>
      </c>
      <c r="B10435" s="191">
        <v>9</v>
      </c>
      <c r="C10435" s="191">
        <v>28</v>
      </c>
      <c r="D10435" s="192">
        <f t="shared" si="1382"/>
        <v>45928</v>
      </c>
      <c r="E10435" s="291">
        <f t="shared" si="1385"/>
        <v>45928</v>
      </c>
      <c r="F10435" s="514"/>
      <c r="G10435" s="194" t="s">
        <v>1209</v>
      </c>
      <c r="H10435" s="195"/>
      <c r="I10435" s="195"/>
      <c r="J10435" s="191" t="s">
        <v>1873</v>
      </c>
      <c r="K10435" s="196"/>
      <c r="L10435" s="196">
        <f>K10434</f>
        <v>911250</v>
      </c>
    </row>
    <row r="10436" spans="1:15" ht="11.25" customHeight="1" x14ac:dyDescent="0.2">
      <c r="A10436" s="197">
        <v>2025</v>
      </c>
      <c r="B10436" s="197">
        <v>9</v>
      </c>
      <c r="C10436" s="197">
        <v>28</v>
      </c>
      <c r="D10436" s="198">
        <f t="shared" si="1382"/>
        <v>45928</v>
      </c>
      <c r="E10436" s="290">
        <f t="shared" si="1385"/>
        <v>45928</v>
      </c>
      <c r="F10436" s="513" t="s">
        <v>2091</v>
      </c>
      <c r="G10436" s="200" t="s">
        <v>1209</v>
      </c>
      <c r="H10436" s="201"/>
      <c r="I10436" s="201" t="s">
        <v>1253</v>
      </c>
      <c r="J10436" s="197" t="s">
        <v>46</v>
      </c>
      <c r="K10436" s="202">
        <v>1657800</v>
      </c>
      <c r="L10436" s="202"/>
    </row>
    <row r="10437" spans="1:15" ht="11.25" customHeight="1" x14ac:dyDescent="0.2">
      <c r="A10437" s="191">
        <v>2025</v>
      </c>
      <c r="B10437" s="191">
        <v>9</v>
      </c>
      <c r="C10437" s="191">
        <v>28</v>
      </c>
      <c r="D10437" s="192">
        <f t="shared" si="1382"/>
        <v>45928</v>
      </c>
      <c r="E10437" s="291">
        <f t="shared" si="1385"/>
        <v>45928</v>
      </c>
      <c r="F10437" s="514"/>
      <c r="G10437" s="194" t="s">
        <v>1209</v>
      </c>
      <c r="H10437" s="195"/>
      <c r="I10437" s="195"/>
      <c r="J10437" s="191" t="s">
        <v>1873</v>
      </c>
      <c r="K10437" s="196"/>
      <c r="L10437" s="196">
        <f>K10436</f>
        <v>1657800</v>
      </c>
    </row>
    <row r="10438" spans="1:15" ht="11.25" customHeight="1" x14ac:dyDescent="0.2">
      <c r="A10438" s="197">
        <v>2025</v>
      </c>
      <c r="B10438" s="197">
        <v>9</v>
      </c>
      <c r="C10438" s="197">
        <v>28</v>
      </c>
      <c r="D10438" s="198">
        <f t="shared" si="1382"/>
        <v>45928</v>
      </c>
      <c r="E10438" s="290">
        <f t="shared" si="1385"/>
        <v>45928</v>
      </c>
      <c r="F10438" s="513" t="s">
        <v>1514</v>
      </c>
      <c r="G10438" s="200" t="s">
        <v>1209</v>
      </c>
      <c r="H10438" s="201"/>
      <c r="I10438" s="201"/>
      <c r="J10438" s="197" t="s">
        <v>54</v>
      </c>
      <c r="K10438" s="202">
        <v>100</v>
      </c>
      <c r="L10438" s="202"/>
      <c r="M10438" s="251"/>
      <c r="N10438" s="251"/>
      <c r="O10438" s="251"/>
    </row>
    <row r="10439" spans="1:15" ht="11.25" customHeight="1" x14ac:dyDescent="0.2">
      <c r="A10439" s="191">
        <v>2025</v>
      </c>
      <c r="B10439" s="191">
        <v>9</v>
      </c>
      <c r="C10439" s="191">
        <v>28</v>
      </c>
      <c r="D10439" s="192">
        <f t="shared" si="1382"/>
        <v>45928</v>
      </c>
      <c r="E10439" s="291">
        <f t="shared" si="1385"/>
        <v>45928</v>
      </c>
      <c r="F10439" s="514"/>
      <c r="G10439" s="194" t="s">
        <v>1209</v>
      </c>
      <c r="H10439" s="195"/>
      <c r="I10439" s="195"/>
      <c r="J10439" s="191" t="s">
        <v>46</v>
      </c>
      <c r="K10439" s="196"/>
      <c r="L10439" s="196">
        <f>K10438</f>
        <v>100</v>
      </c>
      <c r="M10439" s="251"/>
    </row>
    <row r="10440" spans="1:15" ht="11.25" customHeight="1" x14ac:dyDescent="0.2">
      <c r="A10440" s="197">
        <v>2025</v>
      </c>
      <c r="B10440" s="197">
        <v>9</v>
      </c>
      <c r="C10440" s="197">
        <v>28</v>
      </c>
      <c r="D10440" s="198">
        <f t="shared" si="1382"/>
        <v>45928</v>
      </c>
      <c r="E10440" s="199">
        <f t="shared" si="1385"/>
        <v>45928</v>
      </c>
      <c r="F10440" s="513" t="s">
        <v>2024</v>
      </c>
      <c r="G10440" s="200" t="s">
        <v>1209</v>
      </c>
      <c r="H10440" s="201"/>
      <c r="I10440" s="201" t="s">
        <v>1253</v>
      </c>
      <c r="J10440" s="197" t="s">
        <v>1837</v>
      </c>
      <c r="K10440" s="202">
        <v>1799440.84</v>
      </c>
      <c r="L10440" s="202"/>
    </row>
    <row r="10441" spans="1:15" ht="11.25" customHeight="1" x14ac:dyDescent="0.2">
      <c r="A10441" s="191">
        <v>2025</v>
      </c>
      <c r="B10441" s="191">
        <v>9</v>
      </c>
      <c r="C10441" s="191">
        <v>28</v>
      </c>
      <c r="D10441" s="192">
        <f t="shared" si="1382"/>
        <v>45928</v>
      </c>
      <c r="E10441" s="193">
        <f t="shared" si="1385"/>
        <v>45928</v>
      </c>
      <c r="F10441" s="514"/>
      <c r="G10441" s="194" t="s">
        <v>1209</v>
      </c>
      <c r="H10441" s="195"/>
      <c r="I10441" s="195" t="s">
        <v>1253</v>
      </c>
      <c r="J10441" s="191" t="s">
        <v>46</v>
      </c>
      <c r="K10441" s="196"/>
      <c r="L10441" s="196">
        <f>K10440</f>
        <v>1799440.84</v>
      </c>
      <c r="N10441" s="130"/>
    </row>
    <row r="10442" spans="1:15" x14ac:dyDescent="0.2">
      <c r="A10442" s="197">
        <v>2025</v>
      </c>
      <c r="B10442" s="197">
        <v>9</v>
      </c>
      <c r="C10442" s="197">
        <v>28</v>
      </c>
      <c r="D10442" s="198">
        <f t="shared" si="1382"/>
        <v>45928</v>
      </c>
      <c r="E10442" s="209">
        <f t="shared" si="1385"/>
        <v>45928</v>
      </c>
      <c r="F10442" s="513" t="s">
        <v>1296</v>
      </c>
      <c r="G10442" s="200" t="s">
        <v>1209</v>
      </c>
      <c r="H10442" s="201"/>
      <c r="I10442" s="201"/>
      <c r="J10442" s="197" t="s">
        <v>46</v>
      </c>
      <c r="K10442" s="202">
        <v>386180</v>
      </c>
      <c r="L10442" s="202"/>
    </row>
    <row r="10443" spans="1:15" x14ac:dyDescent="0.2">
      <c r="A10443" s="120">
        <v>2025</v>
      </c>
      <c r="B10443" s="120">
        <v>9</v>
      </c>
      <c r="C10443" s="120">
        <v>28</v>
      </c>
      <c r="D10443" s="208">
        <f t="shared" si="1382"/>
        <v>45928</v>
      </c>
      <c r="E10443" s="209">
        <f t="shared" si="1385"/>
        <v>45928</v>
      </c>
      <c r="F10443" s="515"/>
      <c r="G10443" s="132" t="s">
        <v>1209</v>
      </c>
      <c r="J10443" s="120" t="s">
        <v>16</v>
      </c>
      <c r="K10443" s="207"/>
      <c r="L10443" s="207">
        <v>285830</v>
      </c>
    </row>
    <row r="10444" spans="1:15" x14ac:dyDescent="0.2">
      <c r="A10444" s="191">
        <v>2025</v>
      </c>
      <c r="B10444" s="191">
        <v>9</v>
      </c>
      <c r="C10444" s="191">
        <v>28</v>
      </c>
      <c r="D10444" s="192">
        <f t="shared" si="1382"/>
        <v>45928</v>
      </c>
      <c r="E10444" s="193">
        <f t="shared" si="1385"/>
        <v>45928</v>
      </c>
      <c r="F10444" s="514"/>
      <c r="G10444" s="194" t="s">
        <v>1209</v>
      </c>
      <c r="H10444" s="195"/>
      <c r="I10444" s="195"/>
      <c r="J10444" s="191" t="s">
        <v>47</v>
      </c>
      <c r="K10444" s="196"/>
      <c r="L10444" s="196">
        <v>100350</v>
      </c>
    </row>
    <row r="10445" spans="1:15" x14ac:dyDescent="0.2">
      <c r="A10445" s="197">
        <v>2025</v>
      </c>
      <c r="B10445" s="197">
        <v>9</v>
      </c>
      <c r="C10445" s="197">
        <v>28</v>
      </c>
      <c r="D10445" s="198">
        <f t="shared" si="1382"/>
        <v>45928</v>
      </c>
      <c r="E10445" s="209">
        <f t="shared" si="1385"/>
        <v>45928</v>
      </c>
      <c r="F10445" s="513" t="s">
        <v>1280</v>
      </c>
      <c r="G10445" s="200" t="s">
        <v>1209</v>
      </c>
      <c r="H10445" s="201"/>
      <c r="I10445" s="201"/>
      <c r="J10445" s="197" t="s">
        <v>16</v>
      </c>
      <c r="K10445" s="202">
        <v>37000</v>
      </c>
      <c r="L10445" s="202"/>
    </row>
    <row r="10446" spans="1:15" x14ac:dyDescent="0.2">
      <c r="A10446" s="120">
        <v>2025</v>
      </c>
      <c r="B10446" s="120">
        <v>9</v>
      </c>
      <c r="C10446" s="120">
        <v>28</v>
      </c>
      <c r="D10446" s="208">
        <f t="shared" si="1382"/>
        <v>45928</v>
      </c>
      <c r="E10446" s="209">
        <f t="shared" si="1385"/>
        <v>45928</v>
      </c>
      <c r="F10446" s="515"/>
      <c r="G10446" s="132" t="s">
        <v>1209</v>
      </c>
      <c r="J10446" s="120" t="s">
        <v>47</v>
      </c>
      <c r="K10446" s="207">
        <v>12983.300000000003</v>
      </c>
      <c r="L10446" s="207"/>
    </row>
    <row r="10447" spans="1:15" x14ac:dyDescent="0.2">
      <c r="A10447" s="191">
        <v>2025</v>
      </c>
      <c r="B10447" s="191">
        <v>9</v>
      </c>
      <c r="C10447" s="191">
        <v>28</v>
      </c>
      <c r="D10447" s="192">
        <f t="shared" si="1382"/>
        <v>45928</v>
      </c>
      <c r="E10447" s="193">
        <f t="shared" si="1385"/>
        <v>45928</v>
      </c>
      <c r="F10447" s="514"/>
      <c r="G10447" s="194" t="s">
        <v>1209</v>
      </c>
      <c r="H10447" s="195"/>
      <c r="I10447" s="195"/>
      <c r="J10447" s="191" t="s">
        <v>46</v>
      </c>
      <c r="K10447" s="196"/>
      <c r="L10447" s="196">
        <v>49983.3</v>
      </c>
    </row>
    <row r="10448" spans="1:15" x14ac:dyDescent="0.2">
      <c r="A10448" s="197">
        <v>2025</v>
      </c>
      <c r="B10448" s="197">
        <v>9</v>
      </c>
      <c r="C10448" s="197">
        <v>28</v>
      </c>
      <c r="D10448" s="198">
        <f t="shared" si="1382"/>
        <v>45928</v>
      </c>
      <c r="E10448" s="209">
        <f t="shared" ref="E10448:E10450" si="1387">DATE(A10448,B10448,C10448)</f>
        <v>45928</v>
      </c>
      <c r="F10448" s="513" t="s">
        <v>1280</v>
      </c>
      <c r="G10448" s="200" t="s">
        <v>1209</v>
      </c>
      <c r="H10448" s="201"/>
      <c r="I10448" s="201"/>
      <c r="J10448" s="197" t="s">
        <v>16</v>
      </c>
      <c r="K10448" s="202">
        <v>216980</v>
      </c>
      <c r="L10448" s="202"/>
    </row>
    <row r="10449" spans="1:12" x14ac:dyDescent="0.2">
      <c r="A10449" s="120">
        <v>2025</v>
      </c>
      <c r="B10449" s="120">
        <v>9</v>
      </c>
      <c r="C10449" s="120">
        <v>28</v>
      </c>
      <c r="D10449" s="208">
        <f t="shared" si="1382"/>
        <v>45928</v>
      </c>
      <c r="E10449" s="209">
        <f t="shared" si="1387"/>
        <v>45928</v>
      </c>
      <c r="F10449" s="515"/>
      <c r="G10449" s="132" t="s">
        <v>1209</v>
      </c>
      <c r="J10449" s="120" t="s">
        <v>47</v>
      </c>
      <c r="K10449" s="207">
        <v>76138.280000000028</v>
      </c>
      <c r="L10449" s="207"/>
    </row>
    <row r="10450" spans="1:12" x14ac:dyDescent="0.2">
      <c r="A10450" s="191">
        <v>2025</v>
      </c>
      <c r="B10450" s="191">
        <v>9</v>
      </c>
      <c r="C10450" s="191">
        <v>28</v>
      </c>
      <c r="D10450" s="192">
        <f t="shared" si="1382"/>
        <v>45928</v>
      </c>
      <c r="E10450" s="193">
        <f t="shared" si="1387"/>
        <v>45928</v>
      </c>
      <c r="F10450" s="514"/>
      <c r="G10450" s="194" t="s">
        <v>1209</v>
      </c>
      <c r="H10450" s="195"/>
      <c r="I10450" s="195"/>
      <c r="J10450" s="191" t="s">
        <v>46</v>
      </c>
      <c r="K10450" s="196"/>
      <c r="L10450" s="196">
        <v>293118.28000000003</v>
      </c>
    </row>
    <row r="10451" spans="1:12" x14ac:dyDescent="0.2">
      <c r="A10451" s="197">
        <v>2025</v>
      </c>
      <c r="B10451" s="197">
        <v>9</v>
      </c>
      <c r="C10451" s="197">
        <v>28</v>
      </c>
      <c r="D10451" s="198">
        <f t="shared" si="1382"/>
        <v>45928</v>
      </c>
      <c r="E10451" s="209">
        <f t="shared" ref="E10451:E10453" si="1388">DATE(A10451,B10451,C10451)</f>
        <v>45928</v>
      </c>
      <c r="F10451" s="513" t="s">
        <v>1280</v>
      </c>
      <c r="G10451" s="200" t="s">
        <v>1209</v>
      </c>
      <c r="H10451" s="201"/>
      <c r="I10451" s="201"/>
      <c r="J10451" s="197" t="s">
        <v>16</v>
      </c>
      <c r="K10451" s="202">
        <v>7400</v>
      </c>
      <c r="L10451" s="202"/>
    </row>
    <row r="10452" spans="1:12" x14ac:dyDescent="0.2">
      <c r="A10452" s="120">
        <v>2025</v>
      </c>
      <c r="B10452" s="120">
        <v>9</v>
      </c>
      <c r="C10452" s="120">
        <v>28</v>
      </c>
      <c r="D10452" s="208">
        <f t="shared" si="1382"/>
        <v>45928</v>
      </c>
      <c r="E10452" s="209">
        <f t="shared" si="1388"/>
        <v>45928</v>
      </c>
      <c r="F10452" s="515"/>
      <c r="G10452" s="132" t="s">
        <v>1209</v>
      </c>
      <c r="J10452" s="120" t="s">
        <v>47</v>
      </c>
      <c r="K10452" s="207">
        <v>2600</v>
      </c>
      <c r="L10452" s="207"/>
    </row>
    <row r="10453" spans="1:12" x14ac:dyDescent="0.2">
      <c r="A10453" s="191">
        <v>2025</v>
      </c>
      <c r="B10453" s="191">
        <v>9</v>
      </c>
      <c r="C10453" s="191">
        <v>28</v>
      </c>
      <c r="D10453" s="192">
        <f t="shared" si="1382"/>
        <v>45928</v>
      </c>
      <c r="E10453" s="193">
        <f t="shared" si="1388"/>
        <v>45928</v>
      </c>
      <c r="F10453" s="514"/>
      <c r="G10453" s="194" t="s">
        <v>1209</v>
      </c>
      <c r="H10453" s="195"/>
      <c r="I10453" s="195"/>
      <c r="J10453" s="191" t="s">
        <v>46</v>
      </c>
      <c r="K10453" s="196"/>
      <c r="L10453" s="196">
        <v>10000</v>
      </c>
    </row>
    <row r="10454" spans="1:12" x14ac:dyDescent="0.2">
      <c r="A10454" s="197">
        <v>2025</v>
      </c>
      <c r="B10454" s="197">
        <v>9</v>
      </c>
      <c r="C10454" s="197">
        <v>28</v>
      </c>
      <c r="D10454" s="198">
        <f t="shared" si="1382"/>
        <v>45928</v>
      </c>
      <c r="E10454" s="209">
        <f t="shared" ref="E10454:E10465" si="1389">DATE(A10454,B10454,C10454)</f>
        <v>45928</v>
      </c>
      <c r="F10454" s="513" t="s">
        <v>1280</v>
      </c>
      <c r="G10454" s="200" t="s">
        <v>1209</v>
      </c>
      <c r="H10454" s="201"/>
      <c r="I10454" s="201"/>
      <c r="J10454" s="197" t="s">
        <v>16</v>
      </c>
      <c r="K10454" s="202">
        <v>560180</v>
      </c>
      <c r="L10454" s="202"/>
    </row>
    <row r="10455" spans="1:12" x14ac:dyDescent="0.2">
      <c r="A10455" s="120">
        <v>2025</v>
      </c>
      <c r="B10455" s="120">
        <v>9</v>
      </c>
      <c r="C10455" s="120">
        <v>28</v>
      </c>
      <c r="D10455" s="208">
        <f t="shared" si="1382"/>
        <v>45928</v>
      </c>
      <c r="E10455" s="209">
        <f t="shared" si="1389"/>
        <v>45928</v>
      </c>
      <c r="F10455" s="515"/>
      <c r="G10455" s="132" t="s">
        <v>1209</v>
      </c>
      <c r="J10455" s="120" t="s">
        <v>47</v>
      </c>
      <c r="K10455" s="207">
        <v>196567.16000000003</v>
      </c>
      <c r="L10455" s="207"/>
    </row>
    <row r="10456" spans="1:12" x14ac:dyDescent="0.2">
      <c r="A10456" s="191">
        <v>2025</v>
      </c>
      <c r="B10456" s="191">
        <v>9</v>
      </c>
      <c r="C10456" s="191">
        <v>28</v>
      </c>
      <c r="D10456" s="192">
        <f t="shared" si="1382"/>
        <v>45928</v>
      </c>
      <c r="E10456" s="193">
        <f t="shared" si="1389"/>
        <v>45928</v>
      </c>
      <c r="F10456" s="514"/>
      <c r="G10456" s="194" t="s">
        <v>1209</v>
      </c>
      <c r="H10456" s="195"/>
      <c r="I10456" s="195"/>
      <c r="J10456" s="191" t="s">
        <v>46</v>
      </c>
      <c r="K10456" s="196"/>
      <c r="L10456" s="196">
        <v>756747.16</v>
      </c>
    </row>
    <row r="10457" spans="1:12" x14ac:dyDescent="0.2">
      <c r="A10457" s="197">
        <v>2025</v>
      </c>
      <c r="B10457" s="197">
        <v>9</v>
      </c>
      <c r="C10457" s="197">
        <v>28</v>
      </c>
      <c r="D10457" s="198">
        <f t="shared" si="1382"/>
        <v>45928</v>
      </c>
      <c r="E10457" s="209">
        <f t="shared" si="1389"/>
        <v>45928</v>
      </c>
      <c r="F10457" s="513" t="s">
        <v>1210</v>
      </c>
      <c r="G10457" s="200" t="s">
        <v>1209</v>
      </c>
      <c r="H10457" s="201"/>
      <c r="I10457" s="201"/>
      <c r="J10457" s="197" t="s">
        <v>46</v>
      </c>
      <c r="K10457" s="202">
        <v>50000</v>
      </c>
      <c r="L10457" s="202"/>
    </row>
    <row r="10458" spans="1:12" x14ac:dyDescent="0.2">
      <c r="A10458" s="120">
        <v>2025</v>
      </c>
      <c r="B10458" s="120">
        <v>9</v>
      </c>
      <c r="C10458" s="120">
        <v>28</v>
      </c>
      <c r="D10458" s="208">
        <f t="shared" si="1382"/>
        <v>45928</v>
      </c>
      <c r="E10458" s="209">
        <f t="shared" si="1389"/>
        <v>45928</v>
      </c>
      <c r="F10458" s="515"/>
      <c r="G10458" s="132" t="s">
        <v>1209</v>
      </c>
      <c r="J10458" s="120" t="s">
        <v>16</v>
      </c>
      <c r="K10458" s="207"/>
      <c r="L10458" s="207">
        <v>37010</v>
      </c>
    </row>
    <row r="10459" spans="1:12" x14ac:dyDescent="0.2">
      <c r="A10459" s="191">
        <v>2025</v>
      </c>
      <c r="B10459" s="191">
        <v>9</v>
      </c>
      <c r="C10459" s="191">
        <v>28</v>
      </c>
      <c r="D10459" s="192">
        <f t="shared" si="1382"/>
        <v>45928</v>
      </c>
      <c r="E10459" s="193">
        <f t="shared" si="1389"/>
        <v>45928</v>
      </c>
      <c r="F10459" s="514"/>
      <c r="G10459" s="194" t="s">
        <v>1209</v>
      </c>
      <c r="H10459" s="195"/>
      <c r="I10459" s="195"/>
      <c r="J10459" s="191" t="s">
        <v>47</v>
      </c>
      <c r="K10459" s="196"/>
      <c r="L10459" s="196">
        <v>12990</v>
      </c>
    </row>
    <row r="10460" spans="1:12" x14ac:dyDescent="0.2">
      <c r="A10460" s="197">
        <v>2025</v>
      </c>
      <c r="B10460" s="197">
        <v>9</v>
      </c>
      <c r="C10460" s="197">
        <v>30</v>
      </c>
      <c r="D10460" s="198">
        <f t="shared" si="1382"/>
        <v>45930</v>
      </c>
      <c r="E10460" s="209">
        <f t="shared" ref="E10460:E10462" si="1390">DATE(A10460,B10460,C10460)</f>
        <v>45930</v>
      </c>
      <c r="F10460" s="513" t="s">
        <v>1210</v>
      </c>
      <c r="G10460" s="200" t="s">
        <v>1209</v>
      </c>
      <c r="H10460" s="201"/>
      <c r="I10460" s="201"/>
      <c r="J10460" s="197" t="s">
        <v>46</v>
      </c>
      <c r="K10460" s="202">
        <v>500000</v>
      </c>
      <c r="L10460" s="202"/>
    </row>
    <row r="10461" spans="1:12" x14ac:dyDescent="0.2">
      <c r="A10461" s="120">
        <v>2025</v>
      </c>
      <c r="B10461" s="120">
        <v>9</v>
      </c>
      <c r="C10461" s="120">
        <v>30</v>
      </c>
      <c r="D10461" s="208">
        <f t="shared" si="1382"/>
        <v>45930</v>
      </c>
      <c r="E10461" s="209">
        <f t="shared" si="1390"/>
        <v>45930</v>
      </c>
      <c r="F10461" s="515"/>
      <c r="G10461" s="132" t="s">
        <v>1209</v>
      </c>
      <c r="J10461" s="120" t="s">
        <v>16</v>
      </c>
      <c r="K10461" s="207"/>
      <c r="L10461" s="207">
        <v>370120</v>
      </c>
    </row>
    <row r="10462" spans="1:12" x14ac:dyDescent="0.2">
      <c r="A10462" s="191">
        <v>2025</v>
      </c>
      <c r="B10462" s="191">
        <v>9</v>
      </c>
      <c r="C10462" s="191">
        <v>30</v>
      </c>
      <c r="D10462" s="192">
        <f t="shared" si="1382"/>
        <v>45930</v>
      </c>
      <c r="E10462" s="193">
        <f t="shared" si="1390"/>
        <v>45930</v>
      </c>
      <c r="F10462" s="514"/>
      <c r="G10462" s="194" t="s">
        <v>1209</v>
      </c>
      <c r="H10462" s="195"/>
      <c r="I10462" s="195"/>
      <c r="J10462" s="191" t="s">
        <v>47</v>
      </c>
      <c r="K10462" s="196"/>
      <c r="L10462" s="196">
        <v>129880</v>
      </c>
    </row>
    <row r="10463" spans="1:12" x14ac:dyDescent="0.2">
      <c r="A10463" s="197">
        <v>2025</v>
      </c>
      <c r="B10463" s="197">
        <v>9</v>
      </c>
      <c r="C10463" s="197">
        <v>30</v>
      </c>
      <c r="D10463" s="198">
        <f t="shared" si="1382"/>
        <v>45930</v>
      </c>
      <c r="E10463" s="209">
        <f t="shared" si="1389"/>
        <v>45930</v>
      </c>
      <c r="F10463" s="513" t="s">
        <v>1210</v>
      </c>
      <c r="G10463" s="200" t="s">
        <v>1209</v>
      </c>
      <c r="H10463" s="201"/>
      <c r="I10463" s="201"/>
      <c r="J10463" s="197" t="s">
        <v>46</v>
      </c>
      <c r="K10463" s="202">
        <v>300000</v>
      </c>
      <c r="L10463" s="202"/>
    </row>
    <row r="10464" spans="1:12" x14ac:dyDescent="0.2">
      <c r="A10464" s="120">
        <v>2025</v>
      </c>
      <c r="B10464" s="120">
        <v>9</v>
      </c>
      <c r="C10464" s="120">
        <v>30</v>
      </c>
      <c r="D10464" s="208">
        <f t="shared" si="1382"/>
        <v>45930</v>
      </c>
      <c r="E10464" s="209">
        <f t="shared" si="1389"/>
        <v>45930</v>
      </c>
      <c r="F10464" s="515"/>
      <c r="G10464" s="132" t="s">
        <v>1209</v>
      </c>
      <c r="J10464" s="120" t="s">
        <v>16</v>
      </c>
      <c r="K10464" s="207"/>
      <c r="L10464" s="207">
        <v>222070</v>
      </c>
    </row>
    <row r="10465" spans="1:12" x14ac:dyDescent="0.2">
      <c r="A10465" s="191">
        <v>2025</v>
      </c>
      <c r="B10465" s="191">
        <v>9</v>
      </c>
      <c r="C10465" s="191">
        <v>30</v>
      </c>
      <c r="D10465" s="192">
        <f t="shared" si="1382"/>
        <v>45930</v>
      </c>
      <c r="E10465" s="193">
        <f t="shared" si="1389"/>
        <v>45930</v>
      </c>
      <c r="F10465" s="514"/>
      <c r="G10465" s="194" t="s">
        <v>1209</v>
      </c>
      <c r="H10465" s="195"/>
      <c r="I10465" s="195"/>
      <c r="J10465" s="191" t="s">
        <v>47</v>
      </c>
      <c r="K10465" s="196"/>
      <c r="L10465" s="196">
        <v>77930</v>
      </c>
    </row>
    <row r="10466" spans="1:12" x14ac:dyDescent="0.2">
      <c r="A10466" s="197">
        <v>2025</v>
      </c>
      <c r="B10466" s="197">
        <v>9</v>
      </c>
      <c r="C10466" s="197">
        <v>30</v>
      </c>
      <c r="D10466" s="198">
        <f t="shared" si="1382"/>
        <v>45930</v>
      </c>
      <c r="E10466" s="209">
        <f t="shared" ref="E10466:E10483" si="1391">DATE(A10466,B10466,C10466)</f>
        <v>45930</v>
      </c>
      <c r="F10466" s="513" t="s">
        <v>1210</v>
      </c>
      <c r="G10466" s="200" t="s">
        <v>1209</v>
      </c>
      <c r="H10466" s="201"/>
      <c r="I10466" s="201"/>
      <c r="J10466" s="197" t="s">
        <v>46</v>
      </c>
      <c r="K10466" s="202">
        <v>200000</v>
      </c>
      <c r="L10466" s="202"/>
    </row>
    <row r="10467" spans="1:12" x14ac:dyDescent="0.2">
      <c r="A10467" s="120">
        <v>2025</v>
      </c>
      <c r="B10467" s="120">
        <v>9</v>
      </c>
      <c r="C10467" s="120">
        <v>30</v>
      </c>
      <c r="D10467" s="208">
        <f t="shared" si="1382"/>
        <v>45930</v>
      </c>
      <c r="E10467" s="209">
        <f t="shared" si="1391"/>
        <v>45930</v>
      </c>
      <c r="F10467" s="515"/>
      <c r="G10467" s="132" t="s">
        <v>1209</v>
      </c>
      <c r="J10467" s="120" t="s">
        <v>16</v>
      </c>
      <c r="K10467" s="207"/>
      <c r="L10467" s="207">
        <v>148050</v>
      </c>
    </row>
    <row r="10468" spans="1:12" x14ac:dyDescent="0.2">
      <c r="A10468" s="191">
        <v>2025</v>
      </c>
      <c r="B10468" s="191">
        <v>9</v>
      </c>
      <c r="C10468" s="191">
        <v>30</v>
      </c>
      <c r="D10468" s="192">
        <f t="shared" si="1382"/>
        <v>45930</v>
      </c>
      <c r="E10468" s="193">
        <f t="shared" si="1391"/>
        <v>45930</v>
      </c>
      <c r="F10468" s="514"/>
      <c r="G10468" s="194" t="s">
        <v>1209</v>
      </c>
      <c r="H10468" s="195"/>
      <c r="I10468" s="195"/>
      <c r="J10468" s="191" t="s">
        <v>47</v>
      </c>
      <c r="K10468" s="196"/>
      <c r="L10468" s="196">
        <v>51950</v>
      </c>
    </row>
    <row r="10469" spans="1:12" x14ac:dyDescent="0.2">
      <c r="A10469" s="197">
        <v>2025</v>
      </c>
      <c r="B10469" s="197">
        <v>9</v>
      </c>
      <c r="C10469" s="197">
        <v>30</v>
      </c>
      <c r="D10469" s="198">
        <f t="shared" si="1382"/>
        <v>45930</v>
      </c>
      <c r="E10469" s="209">
        <f t="shared" ref="E10469:E10471" si="1392">DATE(A10469,B10469,C10469)</f>
        <v>45930</v>
      </c>
      <c r="F10469" s="513" t="s">
        <v>1210</v>
      </c>
      <c r="G10469" s="200" t="s">
        <v>1209</v>
      </c>
      <c r="H10469" s="201"/>
      <c r="I10469" s="201"/>
      <c r="J10469" s="197" t="s">
        <v>46</v>
      </c>
      <c r="K10469" s="202">
        <v>1300000</v>
      </c>
      <c r="L10469" s="202"/>
    </row>
    <row r="10470" spans="1:12" x14ac:dyDescent="0.2">
      <c r="A10470" s="120">
        <v>2025</v>
      </c>
      <c r="B10470" s="120">
        <v>9</v>
      </c>
      <c r="C10470" s="120">
        <v>30</v>
      </c>
      <c r="D10470" s="208">
        <f t="shared" si="1382"/>
        <v>45930</v>
      </c>
      <c r="E10470" s="209">
        <f t="shared" si="1392"/>
        <v>45930</v>
      </c>
      <c r="F10470" s="515"/>
      <c r="G10470" s="132" t="s">
        <v>1209</v>
      </c>
      <c r="J10470" s="120" t="s">
        <v>16</v>
      </c>
      <c r="K10470" s="207"/>
      <c r="L10470" s="207">
        <v>962320</v>
      </c>
    </row>
    <row r="10471" spans="1:12" x14ac:dyDescent="0.2">
      <c r="A10471" s="191">
        <v>2025</v>
      </c>
      <c r="B10471" s="191">
        <v>9</v>
      </c>
      <c r="C10471" s="191">
        <v>30</v>
      </c>
      <c r="D10471" s="192">
        <f t="shared" si="1382"/>
        <v>45930</v>
      </c>
      <c r="E10471" s="193">
        <f t="shared" si="1392"/>
        <v>45930</v>
      </c>
      <c r="F10471" s="514"/>
      <c r="G10471" s="194" t="s">
        <v>1209</v>
      </c>
      <c r="H10471" s="195"/>
      <c r="I10471" s="195"/>
      <c r="J10471" s="191" t="s">
        <v>47</v>
      </c>
      <c r="K10471" s="196"/>
      <c r="L10471" s="196">
        <v>337680</v>
      </c>
    </row>
    <row r="10472" spans="1:12" x14ac:dyDescent="0.2">
      <c r="A10472" s="424">
        <v>2025</v>
      </c>
      <c r="B10472" s="424">
        <v>9</v>
      </c>
      <c r="C10472" s="424">
        <v>30</v>
      </c>
      <c r="D10472" s="425">
        <f t="shared" si="1382"/>
        <v>45930</v>
      </c>
      <c r="E10472" s="384">
        <f t="shared" si="1391"/>
        <v>45930</v>
      </c>
      <c r="F10472" s="516" t="s">
        <v>1850</v>
      </c>
      <c r="G10472" s="426" t="s">
        <v>1209</v>
      </c>
      <c r="H10472" s="427"/>
      <c r="I10472" s="427"/>
      <c r="J10472" s="428" t="s">
        <v>81</v>
      </c>
      <c r="K10472" s="429">
        <v>11170.721538461539</v>
      </c>
      <c r="L10472" s="429"/>
    </row>
    <row r="10473" spans="1:12" x14ac:dyDescent="0.2">
      <c r="A10473" s="389">
        <v>2025</v>
      </c>
      <c r="B10473" s="389">
        <v>9</v>
      </c>
      <c r="C10473" s="389">
        <v>30</v>
      </c>
      <c r="D10473" s="390">
        <f t="shared" si="1382"/>
        <v>45930</v>
      </c>
      <c r="E10473" s="391">
        <f t="shared" si="1391"/>
        <v>45930</v>
      </c>
      <c r="F10473" s="517"/>
      <c r="G10473" s="392" t="s">
        <v>1209</v>
      </c>
      <c r="H10473" s="393"/>
      <c r="I10473" s="393"/>
      <c r="J10473" s="394" t="s">
        <v>1847</v>
      </c>
      <c r="K10473" s="423"/>
      <c r="L10473" s="423">
        <f>K10472</f>
        <v>11170.721538461539</v>
      </c>
    </row>
    <row r="10474" spans="1:12" ht="11.25" customHeight="1" x14ac:dyDescent="0.2">
      <c r="A10474" s="382">
        <v>2025</v>
      </c>
      <c r="B10474" s="382">
        <v>9</v>
      </c>
      <c r="C10474" s="382">
        <v>30</v>
      </c>
      <c r="D10474" s="383">
        <f t="shared" si="1382"/>
        <v>45930</v>
      </c>
      <c r="E10474" s="384">
        <f t="shared" si="1391"/>
        <v>45930</v>
      </c>
      <c r="F10474" s="516" t="s">
        <v>1892</v>
      </c>
      <c r="G10474" s="385" t="s">
        <v>1209</v>
      </c>
      <c r="H10474" s="386"/>
      <c r="I10474" s="386"/>
      <c r="J10474" s="387" t="s">
        <v>173</v>
      </c>
      <c r="K10474" s="388">
        <v>5150.8734137093752</v>
      </c>
      <c r="L10474" s="388"/>
    </row>
    <row r="10475" spans="1:12" ht="11.25" customHeight="1" x14ac:dyDescent="0.2">
      <c r="A10475" s="389">
        <v>2025</v>
      </c>
      <c r="B10475" s="389">
        <v>9</v>
      </c>
      <c r="C10475" s="389">
        <v>30</v>
      </c>
      <c r="D10475" s="390">
        <f t="shared" si="1382"/>
        <v>45930</v>
      </c>
      <c r="E10475" s="391">
        <f t="shared" si="1391"/>
        <v>45930</v>
      </c>
      <c r="F10475" s="517"/>
      <c r="G10475" s="392" t="s">
        <v>1209</v>
      </c>
      <c r="H10475" s="393"/>
      <c r="I10475" s="393"/>
      <c r="J10475" s="394" t="s">
        <v>43</v>
      </c>
      <c r="K10475" s="388"/>
      <c r="L10475" s="423">
        <f>K10474</f>
        <v>5150.8734137093752</v>
      </c>
    </row>
    <row r="10476" spans="1:12" ht="11.25" customHeight="1" x14ac:dyDescent="0.2">
      <c r="A10476" s="344">
        <v>2025</v>
      </c>
      <c r="B10476" s="344">
        <v>9</v>
      </c>
      <c r="C10476" s="344">
        <v>30</v>
      </c>
      <c r="D10476" s="345">
        <f t="shared" ref="D10476:D10539" si="1393">DATE(A10476,B10476,C10476)</f>
        <v>45930</v>
      </c>
      <c r="E10476" s="346">
        <f t="shared" si="1391"/>
        <v>45930</v>
      </c>
      <c r="F10476" s="518" t="s">
        <v>1982</v>
      </c>
      <c r="G10476" s="347" t="s">
        <v>1245</v>
      </c>
      <c r="H10476" s="348"/>
      <c r="I10476" s="348" t="s">
        <v>1253</v>
      </c>
      <c r="J10476" s="344" t="s">
        <v>1978</v>
      </c>
      <c r="K10476" s="349">
        <v>148748.07692307694</v>
      </c>
      <c r="L10476" s="349"/>
    </row>
    <row r="10477" spans="1:12" ht="11.25" customHeight="1" x14ac:dyDescent="0.2">
      <c r="A10477" s="350">
        <v>2025</v>
      </c>
      <c r="B10477" s="350">
        <v>9</v>
      </c>
      <c r="C10477" s="350">
        <v>30</v>
      </c>
      <c r="D10477" s="351">
        <f t="shared" si="1393"/>
        <v>45930</v>
      </c>
      <c r="E10477" s="352">
        <f t="shared" si="1391"/>
        <v>45930</v>
      </c>
      <c r="F10477" s="519"/>
      <c r="G10477" s="353" t="s">
        <v>1245</v>
      </c>
      <c r="H10477" s="354"/>
      <c r="I10477" s="354" t="s">
        <v>1253</v>
      </c>
      <c r="J10477" s="350" t="s">
        <v>1979</v>
      </c>
      <c r="K10477" s="355"/>
      <c r="L10477" s="355">
        <f>K10476</f>
        <v>148748.07692307694</v>
      </c>
    </row>
    <row r="10478" spans="1:12" ht="11.25" customHeight="1" x14ac:dyDescent="0.2">
      <c r="A10478" s="344">
        <v>2025</v>
      </c>
      <c r="B10478" s="344">
        <v>9</v>
      </c>
      <c r="C10478" s="344">
        <v>30</v>
      </c>
      <c r="D10478" s="345">
        <f t="shared" si="1393"/>
        <v>45930</v>
      </c>
      <c r="E10478" s="346">
        <f t="shared" si="1391"/>
        <v>45930</v>
      </c>
      <c r="F10478" s="518" t="s">
        <v>2009</v>
      </c>
      <c r="G10478" s="347" t="s">
        <v>1245</v>
      </c>
      <c r="H10478" s="348"/>
      <c r="I10478" s="348" t="s">
        <v>1253</v>
      </c>
      <c r="J10478" s="344" t="s">
        <v>2004</v>
      </c>
      <c r="K10478" s="349">
        <v>49692.31</v>
      </c>
      <c r="L10478" s="349"/>
    </row>
    <row r="10479" spans="1:12" ht="11.25" customHeight="1" x14ac:dyDescent="0.2">
      <c r="A10479" s="350">
        <v>2025</v>
      </c>
      <c r="B10479" s="350">
        <v>9</v>
      </c>
      <c r="C10479" s="350">
        <v>30</v>
      </c>
      <c r="D10479" s="351">
        <f t="shared" si="1393"/>
        <v>45930</v>
      </c>
      <c r="E10479" s="352">
        <f t="shared" si="1391"/>
        <v>45930</v>
      </c>
      <c r="F10479" s="519"/>
      <c r="G10479" s="353" t="s">
        <v>1245</v>
      </c>
      <c r="H10479" s="354"/>
      <c r="I10479" s="354" t="s">
        <v>1253</v>
      </c>
      <c r="J10479" s="350" t="s">
        <v>2008</v>
      </c>
      <c r="K10479" s="355"/>
      <c r="L10479" s="355">
        <f t="shared" ref="L10479" si="1394">K10478</f>
        <v>49692.31</v>
      </c>
    </row>
    <row r="10480" spans="1:12" ht="11.25" customHeight="1" x14ac:dyDescent="0.2">
      <c r="A10480" s="344">
        <v>2025</v>
      </c>
      <c r="B10480" s="344">
        <v>9</v>
      </c>
      <c r="C10480" s="344">
        <v>30</v>
      </c>
      <c r="D10480" s="345">
        <f t="shared" si="1393"/>
        <v>45930</v>
      </c>
      <c r="E10480" s="346">
        <f t="shared" si="1391"/>
        <v>45930</v>
      </c>
      <c r="F10480" s="518" t="s">
        <v>2009</v>
      </c>
      <c r="G10480" s="347" t="s">
        <v>1245</v>
      </c>
      <c r="H10480" s="348"/>
      <c r="I10480" s="348" t="s">
        <v>1253</v>
      </c>
      <c r="J10480" s="344" t="s">
        <v>2004</v>
      </c>
      <c r="K10480" s="349">
        <v>49692.31</v>
      </c>
      <c r="L10480" s="349"/>
    </row>
    <row r="10481" spans="1:16" ht="11.25" customHeight="1" x14ac:dyDescent="0.2">
      <c r="A10481" s="350">
        <v>2025</v>
      </c>
      <c r="B10481" s="350">
        <v>9</v>
      </c>
      <c r="C10481" s="350">
        <v>30</v>
      </c>
      <c r="D10481" s="351">
        <f t="shared" si="1393"/>
        <v>45930</v>
      </c>
      <c r="E10481" s="352">
        <f t="shared" si="1391"/>
        <v>45930</v>
      </c>
      <c r="F10481" s="519"/>
      <c r="G10481" s="353" t="s">
        <v>1245</v>
      </c>
      <c r="H10481" s="354"/>
      <c r="I10481" s="354" t="s">
        <v>1253</v>
      </c>
      <c r="J10481" s="350" t="s">
        <v>2008</v>
      </c>
      <c r="K10481" s="355"/>
      <c r="L10481" s="355">
        <f t="shared" ref="L10481" si="1395">K10480</f>
        <v>49692.31</v>
      </c>
    </row>
    <row r="10482" spans="1:16" ht="11.25" customHeight="1" x14ac:dyDescent="0.2">
      <c r="A10482" s="344">
        <v>2025</v>
      </c>
      <c r="B10482" s="344">
        <v>9</v>
      </c>
      <c r="C10482" s="344">
        <v>30</v>
      </c>
      <c r="D10482" s="345">
        <f t="shared" si="1393"/>
        <v>45930</v>
      </c>
      <c r="E10482" s="346">
        <f t="shared" si="1391"/>
        <v>45930</v>
      </c>
      <c r="F10482" s="518" t="s">
        <v>2088</v>
      </c>
      <c r="G10482" s="347" t="s">
        <v>1245</v>
      </c>
      <c r="H10482" s="348"/>
      <c r="I10482" s="348" t="s">
        <v>1253</v>
      </c>
      <c r="J10482" s="344" t="s">
        <v>2086</v>
      </c>
      <c r="K10482" s="349">
        <v>12528.846153846154</v>
      </c>
      <c r="L10482" s="349"/>
    </row>
    <row r="10483" spans="1:16" ht="11.25" customHeight="1" x14ac:dyDescent="0.2">
      <c r="A10483" s="350">
        <v>2025</v>
      </c>
      <c r="B10483" s="350">
        <v>9</v>
      </c>
      <c r="C10483" s="350">
        <v>30</v>
      </c>
      <c r="D10483" s="351">
        <f t="shared" si="1393"/>
        <v>45930</v>
      </c>
      <c r="E10483" s="352">
        <f t="shared" si="1391"/>
        <v>45930</v>
      </c>
      <c r="F10483" s="519"/>
      <c r="G10483" s="353" t="s">
        <v>1245</v>
      </c>
      <c r="H10483" s="354"/>
      <c r="I10483" s="354" t="s">
        <v>1253</v>
      </c>
      <c r="J10483" s="350" t="s">
        <v>2089</v>
      </c>
      <c r="K10483" s="355"/>
      <c r="L10483" s="355">
        <v>12528.846153846154</v>
      </c>
    </row>
    <row r="10484" spans="1:16" ht="11.25" customHeight="1" x14ac:dyDescent="0.2">
      <c r="A10484" s="344">
        <v>2025</v>
      </c>
      <c r="B10484" s="344">
        <v>9</v>
      </c>
      <c r="C10484" s="344">
        <v>30</v>
      </c>
      <c r="D10484" s="345">
        <f t="shared" si="1393"/>
        <v>45930</v>
      </c>
      <c r="E10484" s="346">
        <f>DATE(A10484,B10484,C10484)</f>
        <v>45930</v>
      </c>
      <c r="F10484" s="518" t="s">
        <v>1988</v>
      </c>
      <c r="G10484" s="347" t="s">
        <v>1245</v>
      </c>
      <c r="H10484" s="348"/>
      <c r="I10484" s="348" t="s">
        <v>1253</v>
      </c>
      <c r="J10484" s="344" t="s">
        <v>113</v>
      </c>
      <c r="K10484" s="349">
        <v>32846.15</v>
      </c>
      <c r="L10484" s="349"/>
    </row>
    <row r="10485" spans="1:16" ht="11.25" customHeight="1" x14ac:dyDescent="0.2">
      <c r="A10485" s="350">
        <v>2025</v>
      </c>
      <c r="B10485" s="350">
        <v>9</v>
      </c>
      <c r="C10485" s="350">
        <v>30</v>
      </c>
      <c r="D10485" s="351">
        <f t="shared" si="1393"/>
        <v>45930</v>
      </c>
      <c r="E10485" s="352">
        <f>DATE(A10485,B10485,C10485)</f>
        <v>45930</v>
      </c>
      <c r="F10485" s="519"/>
      <c r="G10485" s="353" t="s">
        <v>1245</v>
      </c>
      <c r="H10485" s="354"/>
      <c r="I10485" s="354" t="s">
        <v>1253</v>
      </c>
      <c r="J10485" s="350" t="s">
        <v>153</v>
      </c>
      <c r="K10485" s="355"/>
      <c r="L10485" s="355">
        <f t="shared" ref="L10485" si="1396">K10484</f>
        <v>32846.15</v>
      </c>
    </row>
    <row r="10486" spans="1:16" ht="11.25" customHeight="1" x14ac:dyDescent="0.2">
      <c r="A10486" s="344">
        <v>2025</v>
      </c>
      <c r="B10486" s="344">
        <v>9</v>
      </c>
      <c r="C10486" s="344">
        <v>30</v>
      </c>
      <c r="D10486" s="345">
        <f t="shared" si="1393"/>
        <v>45930</v>
      </c>
      <c r="E10486" s="346">
        <f t="shared" ref="E10486:E10490" si="1397">DATE(A10486,B10486,C10486)</f>
        <v>45930</v>
      </c>
      <c r="F10486" s="518" t="s">
        <v>1989</v>
      </c>
      <c r="G10486" s="347" t="s">
        <v>1245</v>
      </c>
      <c r="H10486" s="348"/>
      <c r="I10486" s="348" t="s">
        <v>1253</v>
      </c>
      <c r="J10486" s="344" t="s">
        <v>113</v>
      </c>
      <c r="K10486" s="349">
        <v>23461.538461538461</v>
      </c>
      <c r="L10486" s="349"/>
    </row>
    <row r="10487" spans="1:16" ht="11.25" customHeight="1" x14ac:dyDescent="0.2">
      <c r="A10487" s="350">
        <v>2025</v>
      </c>
      <c r="B10487" s="350">
        <v>9</v>
      </c>
      <c r="C10487" s="350">
        <v>30</v>
      </c>
      <c r="D10487" s="351">
        <f t="shared" si="1393"/>
        <v>45930</v>
      </c>
      <c r="E10487" s="352">
        <f t="shared" si="1397"/>
        <v>45930</v>
      </c>
      <c r="F10487" s="519"/>
      <c r="G10487" s="353" t="s">
        <v>1245</v>
      </c>
      <c r="H10487" s="354"/>
      <c r="I10487" s="354" t="s">
        <v>1253</v>
      </c>
      <c r="J10487" s="350" t="s">
        <v>153</v>
      </c>
      <c r="K10487" s="355"/>
      <c r="L10487" s="355">
        <f t="shared" ref="L10487" si="1398">K10486</f>
        <v>23461.538461538461</v>
      </c>
    </row>
    <row r="10488" spans="1:16" ht="11.25" customHeight="1" x14ac:dyDescent="0.2">
      <c r="A10488" s="344">
        <v>2025</v>
      </c>
      <c r="B10488" s="344">
        <v>9</v>
      </c>
      <c r="C10488" s="344">
        <v>30</v>
      </c>
      <c r="D10488" s="345">
        <f t="shared" si="1393"/>
        <v>45930</v>
      </c>
      <c r="E10488" s="346">
        <f t="shared" si="1397"/>
        <v>45930</v>
      </c>
      <c r="F10488" s="518" t="s">
        <v>1990</v>
      </c>
      <c r="G10488" s="347" t="s">
        <v>1245</v>
      </c>
      <c r="H10488" s="348"/>
      <c r="I10488" s="348" t="s">
        <v>1253</v>
      </c>
      <c r="J10488" s="344" t="s">
        <v>113</v>
      </c>
      <c r="K10488" s="349">
        <v>70384.62</v>
      </c>
      <c r="L10488" s="349"/>
      <c r="N10488" s="251"/>
      <c r="O10488" s="251"/>
      <c r="P10488" s="251"/>
    </row>
    <row r="10489" spans="1:16" ht="11.25" customHeight="1" x14ac:dyDescent="0.2">
      <c r="A10489" s="350">
        <v>2025</v>
      </c>
      <c r="B10489" s="350">
        <v>9</v>
      </c>
      <c r="C10489" s="350">
        <v>30</v>
      </c>
      <c r="D10489" s="351">
        <f t="shared" si="1393"/>
        <v>45930</v>
      </c>
      <c r="E10489" s="352">
        <f t="shared" si="1397"/>
        <v>45930</v>
      </c>
      <c r="F10489" s="519"/>
      <c r="G10489" s="353" t="s">
        <v>1245</v>
      </c>
      <c r="H10489" s="354"/>
      <c r="I10489" s="354" t="s">
        <v>1253</v>
      </c>
      <c r="J10489" s="350" t="s">
        <v>153</v>
      </c>
      <c r="K10489" s="355"/>
      <c r="L10489" s="355">
        <f t="shared" ref="L10489" si="1399">K10488</f>
        <v>70384.62</v>
      </c>
    </row>
    <row r="10490" spans="1:16" ht="11.25" customHeight="1" x14ac:dyDescent="0.2">
      <c r="A10490" s="210">
        <v>2025</v>
      </c>
      <c r="B10490" s="210">
        <v>9</v>
      </c>
      <c r="C10490" s="210">
        <v>30</v>
      </c>
      <c r="D10490" s="211">
        <f t="shared" si="1393"/>
        <v>45930</v>
      </c>
      <c r="E10490" s="238">
        <f t="shared" si="1397"/>
        <v>45930</v>
      </c>
      <c r="F10490" s="520" t="s">
        <v>1857</v>
      </c>
      <c r="G10490" s="213" t="s">
        <v>1245</v>
      </c>
      <c r="H10490" s="214"/>
      <c r="I10490" s="214" t="s">
        <v>1253</v>
      </c>
      <c r="J10490" s="210" t="s">
        <v>1284</v>
      </c>
      <c r="K10490" s="215">
        <v>2341.8114143920593</v>
      </c>
      <c r="L10490" s="215"/>
    </row>
    <row r="10491" spans="1:16" ht="11.25" customHeight="1" x14ac:dyDescent="0.2">
      <c r="A10491" s="242">
        <v>2025</v>
      </c>
      <c r="B10491" s="242">
        <v>9</v>
      </c>
      <c r="C10491" s="242">
        <v>30</v>
      </c>
      <c r="D10491" s="243">
        <f t="shared" si="1393"/>
        <v>45930</v>
      </c>
      <c r="E10491" s="244">
        <f>DATE(A10491,B10491,C10491)</f>
        <v>45930</v>
      </c>
      <c r="F10491" s="524"/>
      <c r="G10491" s="245" t="s">
        <v>1245</v>
      </c>
      <c r="H10491" s="246"/>
      <c r="I10491" s="246"/>
      <c r="J10491" s="242" t="s">
        <v>1582</v>
      </c>
      <c r="K10491" s="247"/>
      <c r="L10491" s="247">
        <f>K10490</f>
        <v>2341.8114143920593</v>
      </c>
    </row>
    <row r="10492" spans="1:16" ht="11.25" customHeight="1" x14ac:dyDescent="0.2">
      <c r="A10492" s="210">
        <v>2025</v>
      </c>
      <c r="B10492" s="210">
        <v>9</v>
      </c>
      <c r="C10492" s="210">
        <v>30</v>
      </c>
      <c r="D10492" s="211">
        <f t="shared" si="1393"/>
        <v>45930</v>
      </c>
      <c r="E10492" s="238">
        <f t="shared" ref="E10492:E10511" si="1400">DATE(A10492,B10492,C10492)</f>
        <v>45930</v>
      </c>
      <c r="F10492" s="520" t="s">
        <v>2055</v>
      </c>
      <c r="G10492" s="213" t="s">
        <v>1245</v>
      </c>
      <c r="H10492" s="214"/>
      <c r="I10492" s="214" t="s">
        <v>1253</v>
      </c>
      <c r="J10492" s="210" t="s">
        <v>58</v>
      </c>
      <c r="K10492" s="215">
        <v>12896.68</v>
      </c>
      <c r="L10492" s="215"/>
    </row>
    <row r="10493" spans="1:16" ht="11.25" customHeight="1" x14ac:dyDescent="0.2">
      <c r="A10493" s="216">
        <v>2025</v>
      </c>
      <c r="B10493" s="216">
        <v>9</v>
      </c>
      <c r="C10493" s="216">
        <v>30</v>
      </c>
      <c r="D10493" s="217">
        <f t="shared" si="1393"/>
        <v>45930</v>
      </c>
      <c r="E10493" s="239">
        <f t="shared" si="1400"/>
        <v>45930</v>
      </c>
      <c r="F10493" s="521"/>
      <c r="G10493" s="219" t="s">
        <v>1245</v>
      </c>
      <c r="H10493" s="220"/>
      <c r="I10493" s="220" t="s">
        <v>1253</v>
      </c>
      <c r="J10493" s="216" t="s">
        <v>153</v>
      </c>
      <c r="K10493" s="221"/>
      <c r="L10493" s="221">
        <f>K10492</f>
        <v>12896.68</v>
      </c>
    </row>
    <row r="10494" spans="1:16" ht="11.25" customHeight="1" x14ac:dyDescent="0.2">
      <c r="A10494" s="312">
        <v>2025</v>
      </c>
      <c r="B10494" s="312">
        <v>9</v>
      </c>
      <c r="C10494" s="312">
        <v>30</v>
      </c>
      <c r="D10494" s="313">
        <f t="shared" si="1393"/>
        <v>45930</v>
      </c>
      <c r="E10494" s="314">
        <f t="shared" si="1400"/>
        <v>45930</v>
      </c>
      <c r="F10494" s="522" t="s">
        <v>1477</v>
      </c>
      <c r="G10494" s="315" t="s">
        <v>1245</v>
      </c>
      <c r="H10494" s="316"/>
      <c r="I10494" s="316" t="s">
        <v>1253</v>
      </c>
      <c r="J10494" s="312" t="s">
        <v>1458</v>
      </c>
      <c r="K10494" s="317">
        <v>0</v>
      </c>
      <c r="L10494" s="317"/>
    </row>
    <row r="10495" spans="1:16" ht="11.25" customHeight="1" x14ac:dyDescent="0.2">
      <c r="A10495" s="318">
        <v>2025</v>
      </c>
      <c r="B10495" s="318">
        <v>9</v>
      </c>
      <c r="C10495" s="318">
        <v>30</v>
      </c>
      <c r="D10495" s="319">
        <f t="shared" si="1393"/>
        <v>45930</v>
      </c>
      <c r="E10495" s="320">
        <f t="shared" si="1400"/>
        <v>45930</v>
      </c>
      <c r="F10495" s="523"/>
      <c r="G10495" s="321" t="s">
        <v>1245</v>
      </c>
      <c r="H10495" s="322"/>
      <c r="I10495" s="322" t="s">
        <v>1253</v>
      </c>
      <c r="J10495" s="318" t="s">
        <v>1460</v>
      </c>
      <c r="K10495" s="323"/>
      <c r="L10495" s="323">
        <f>K10494</f>
        <v>0</v>
      </c>
    </row>
    <row r="10496" spans="1:16" ht="11.25" customHeight="1" x14ac:dyDescent="0.2">
      <c r="A10496" s="312">
        <v>2025</v>
      </c>
      <c r="B10496" s="312">
        <v>9</v>
      </c>
      <c r="C10496" s="312">
        <v>30</v>
      </c>
      <c r="D10496" s="313">
        <f t="shared" si="1393"/>
        <v>45930</v>
      </c>
      <c r="E10496" s="314">
        <f t="shared" si="1400"/>
        <v>45930</v>
      </c>
      <c r="F10496" s="522" t="s">
        <v>1595</v>
      </c>
      <c r="G10496" s="315" t="s">
        <v>1245</v>
      </c>
      <c r="H10496" s="316"/>
      <c r="I10496" s="316" t="s">
        <v>1253</v>
      </c>
      <c r="J10496" s="312" t="s">
        <v>1461</v>
      </c>
      <c r="K10496" s="317">
        <v>747598.09799998999</v>
      </c>
      <c r="L10496" s="317"/>
      <c r="M10496" s="328">
        <f>BS!$I$14</f>
        <v>0</v>
      </c>
    </row>
    <row r="10497" spans="1:13" ht="11.25" customHeight="1" x14ac:dyDescent="0.2">
      <c r="A10497" s="318">
        <v>2025</v>
      </c>
      <c r="B10497" s="318">
        <v>9</v>
      </c>
      <c r="C10497" s="318">
        <v>30</v>
      </c>
      <c r="D10497" s="319">
        <f t="shared" si="1393"/>
        <v>45930</v>
      </c>
      <c r="E10497" s="320">
        <f t="shared" si="1400"/>
        <v>45930</v>
      </c>
      <c r="F10497" s="523"/>
      <c r="G10497" s="321" t="s">
        <v>1245</v>
      </c>
      <c r="H10497" s="322"/>
      <c r="I10497" s="322" t="s">
        <v>1253</v>
      </c>
      <c r="J10497" s="318" t="s">
        <v>1459</v>
      </c>
      <c r="K10497" s="323"/>
      <c r="L10497" s="323">
        <f>K10496</f>
        <v>747598.09799998999</v>
      </c>
      <c r="M10497" s="328"/>
    </row>
    <row r="10498" spans="1:13" ht="11.25" customHeight="1" x14ac:dyDescent="0.2">
      <c r="A10498" s="222">
        <v>2025</v>
      </c>
      <c r="B10498" s="222">
        <v>9</v>
      </c>
      <c r="C10498" s="222">
        <v>30</v>
      </c>
      <c r="D10498" s="223">
        <f t="shared" si="1393"/>
        <v>45930</v>
      </c>
      <c r="E10498" s="240">
        <f t="shared" si="1400"/>
        <v>45930</v>
      </c>
      <c r="F10498" s="511" t="s">
        <v>1244</v>
      </c>
      <c r="G10498" s="225" t="s">
        <v>1245</v>
      </c>
      <c r="H10498" s="226"/>
      <c r="I10498" s="226" t="s">
        <v>1253</v>
      </c>
      <c r="J10498" s="222" t="s">
        <v>87</v>
      </c>
      <c r="K10498" s="227">
        <v>493427.18520000577</v>
      </c>
      <c r="L10498" s="227"/>
      <c r="M10498" s="328">
        <f>BS!$I$7</f>
        <v>0</v>
      </c>
    </row>
    <row r="10499" spans="1:13" ht="11.25" customHeight="1" x14ac:dyDescent="0.2">
      <c r="A10499" s="228">
        <v>2025</v>
      </c>
      <c r="B10499" s="228">
        <v>9</v>
      </c>
      <c r="C10499" s="228">
        <v>30</v>
      </c>
      <c r="D10499" s="229">
        <f t="shared" si="1393"/>
        <v>45930</v>
      </c>
      <c r="E10499" s="241">
        <f t="shared" si="1400"/>
        <v>45930</v>
      </c>
      <c r="F10499" s="512"/>
      <c r="G10499" s="231" t="s">
        <v>1245</v>
      </c>
      <c r="H10499" s="232"/>
      <c r="I10499" s="232" t="s">
        <v>1253</v>
      </c>
      <c r="J10499" s="228" t="s">
        <v>72</v>
      </c>
      <c r="K10499" s="233"/>
      <c r="L10499" s="233">
        <f>K10498</f>
        <v>493427.18520000577</v>
      </c>
    </row>
    <row r="10500" spans="1:13" ht="11.25" customHeight="1" x14ac:dyDescent="0.2">
      <c r="A10500" s="222">
        <v>2025</v>
      </c>
      <c r="B10500" s="222">
        <v>9</v>
      </c>
      <c r="C10500" s="222">
        <v>30</v>
      </c>
      <c r="D10500" s="223">
        <f t="shared" si="1393"/>
        <v>45930</v>
      </c>
      <c r="E10500" s="240">
        <f t="shared" si="1400"/>
        <v>45930</v>
      </c>
      <c r="F10500" s="511" t="s">
        <v>1246</v>
      </c>
      <c r="G10500" s="225" t="s">
        <v>1245</v>
      </c>
      <c r="H10500" s="226"/>
      <c r="I10500" s="226" t="s">
        <v>1253</v>
      </c>
      <c r="J10500" s="222" t="s">
        <v>75</v>
      </c>
      <c r="K10500" s="227">
        <v>3623.123846153846</v>
      </c>
      <c r="L10500" s="227"/>
    </row>
    <row r="10501" spans="1:13" ht="11.25" customHeight="1" x14ac:dyDescent="0.2">
      <c r="A10501" s="228">
        <v>2025</v>
      </c>
      <c r="B10501" s="228">
        <v>9</v>
      </c>
      <c r="C10501" s="228">
        <v>30</v>
      </c>
      <c r="D10501" s="229">
        <f t="shared" si="1393"/>
        <v>45930</v>
      </c>
      <c r="E10501" s="241">
        <f t="shared" si="1400"/>
        <v>45930</v>
      </c>
      <c r="F10501" s="512"/>
      <c r="G10501" s="231" t="s">
        <v>1245</v>
      </c>
      <c r="H10501" s="232"/>
      <c r="I10501" s="232" t="s">
        <v>1253</v>
      </c>
      <c r="J10501" s="228" t="s">
        <v>55</v>
      </c>
      <c r="K10501" s="233"/>
      <c r="L10501" s="233">
        <f>K10500</f>
        <v>3623.123846153846</v>
      </c>
    </row>
    <row r="10502" spans="1:13" ht="11.25" customHeight="1" x14ac:dyDescent="0.2">
      <c r="A10502" s="222">
        <v>2025</v>
      </c>
      <c r="B10502" s="222">
        <v>9</v>
      </c>
      <c r="C10502" s="222">
        <v>30</v>
      </c>
      <c r="D10502" s="223">
        <f t="shared" si="1393"/>
        <v>45930</v>
      </c>
      <c r="E10502" s="240">
        <f t="shared" si="1400"/>
        <v>45930</v>
      </c>
      <c r="F10502" s="511" t="s">
        <v>1247</v>
      </c>
      <c r="G10502" s="225" t="s">
        <v>1245</v>
      </c>
      <c r="H10502" s="226"/>
      <c r="I10502" s="226" t="s">
        <v>1253</v>
      </c>
      <c r="J10502" s="222" t="s">
        <v>77</v>
      </c>
      <c r="K10502" s="227">
        <f>M10502</f>
        <v>58935.480541186786</v>
      </c>
      <c r="L10502" s="227"/>
      <c r="M10502" s="120">
        <v>58935.480541186786</v>
      </c>
    </row>
    <row r="10503" spans="1:13" ht="11.25" customHeight="1" x14ac:dyDescent="0.2">
      <c r="A10503" s="228">
        <v>2025</v>
      </c>
      <c r="B10503" s="228">
        <v>9</v>
      </c>
      <c r="C10503" s="228">
        <v>30</v>
      </c>
      <c r="D10503" s="229">
        <f t="shared" si="1393"/>
        <v>45930</v>
      </c>
      <c r="E10503" s="241">
        <f t="shared" si="1400"/>
        <v>45930</v>
      </c>
      <c r="F10503" s="512"/>
      <c r="G10503" s="231" t="s">
        <v>1245</v>
      </c>
      <c r="H10503" s="232"/>
      <c r="I10503" s="232" t="s">
        <v>1253</v>
      </c>
      <c r="J10503" s="228" t="s">
        <v>41</v>
      </c>
      <c r="K10503" s="233"/>
      <c r="L10503" s="233">
        <f>K10502</f>
        <v>58935.480541186786</v>
      </c>
      <c r="M10503" s="120">
        <v>5893.548054118678</v>
      </c>
    </row>
    <row r="10504" spans="1:13" ht="11.25" customHeight="1" x14ac:dyDescent="0.2">
      <c r="A10504" s="222">
        <v>2025</v>
      </c>
      <c r="B10504" s="222">
        <v>9</v>
      </c>
      <c r="C10504" s="222">
        <v>30</v>
      </c>
      <c r="D10504" s="223">
        <f t="shared" si="1393"/>
        <v>45930</v>
      </c>
      <c r="E10504" s="240">
        <f t="shared" si="1400"/>
        <v>45930</v>
      </c>
      <c r="F10504" s="511" t="s">
        <v>1248</v>
      </c>
      <c r="G10504" s="225" t="s">
        <v>1245</v>
      </c>
      <c r="H10504" s="226"/>
      <c r="I10504" s="226" t="s">
        <v>1253</v>
      </c>
      <c r="J10504" s="222" t="s">
        <v>80</v>
      </c>
      <c r="K10504" s="227">
        <f>M10503</f>
        <v>5893.548054118678</v>
      </c>
      <c r="L10504" s="227"/>
    </row>
    <row r="10505" spans="1:13" ht="11.25" customHeight="1" x14ac:dyDescent="0.2">
      <c r="A10505" s="228">
        <v>2025</v>
      </c>
      <c r="B10505" s="228">
        <v>9</v>
      </c>
      <c r="C10505" s="228">
        <v>30</v>
      </c>
      <c r="D10505" s="229">
        <f t="shared" si="1393"/>
        <v>45930</v>
      </c>
      <c r="E10505" s="241">
        <f t="shared" si="1400"/>
        <v>45930</v>
      </c>
      <c r="F10505" s="512"/>
      <c r="G10505" s="231" t="s">
        <v>1245</v>
      </c>
      <c r="H10505" s="232"/>
      <c r="I10505" s="232" t="s">
        <v>1253</v>
      </c>
      <c r="J10505" s="228" t="s">
        <v>42</v>
      </c>
      <c r="K10505" s="233"/>
      <c r="L10505" s="233">
        <f>K10504</f>
        <v>5893.548054118678</v>
      </c>
    </row>
    <row r="10506" spans="1:13" x14ac:dyDescent="0.2">
      <c r="A10506" s="197">
        <v>2025</v>
      </c>
      <c r="B10506" s="197">
        <v>10</v>
      </c>
      <c r="C10506" s="197">
        <v>5</v>
      </c>
      <c r="D10506" s="198">
        <f t="shared" si="1393"/>
        <v>45935</v>
      </c>
      <c r="E10506" s="209">
        <f t="shared" si="1400"/>
        <v>45935</v>
      </c>
      <c r="F10506" s="513" t="s">
        <v>1210</v>
      </c>
      <c r="G10506" s="200" t="s">
        <v>1209</v>
      </c>
      <c r="H10506" s="201"/>
      <c r="I10506" s="201"/>
      <c r="J10506" s="197" t="s">
        <v>46</v>
      </c>
      <c r="K10506" s="202">
        <v>50000</v>
      </c>
      <c r="L10506" s="202"/>
    </row>
    <row r="10507" spans="1:13" x14ac:dyDescent="0.2">
      <c r="A10507" s="120">
        <v>2025</v>
      </c>
      <c r="B10507" s="120">
        <v>10</v>
      </c>
      <c r="C10507" s="120">
        <v>5</v>
      </c>
      <c r="D10507" s="208">
        <f t="shared" si="1393"/>
        <v>45935</v>
      </c>
      <c r="E10507" s="209">
        <f t="shared" si="1400"/>
        <v>45935</v>
      </c>
      <c r="F10507" s="515"/>
      <c r="G10507" s="132" t="s">
        <v>1209</v>
      </c>
      <c r="J10507" s="120" t="s">
        <v>16</v>
      </c>
      <c r="K10507" s="207"/>
      <c r="L10507" s="207">
        <v>36940</v>
      </c>
    </row>
    <row r="10508" spans="1:13" x14ac:dyDescent="0.2">
      <c r="A10508" s="191">
        <v>2025</v>
      </c>
      <c r="B10508" s="191">
        <v>10</v>
      </c>
      <c r="C10508" s="191">
        <v>5</v>
      </c>
      <c r="D10508" s="192">
        <f t="shared" si="1393"/>
        <v>45935</v>
      </c>
      <c r="E10508" s="193">
        <f t="shared" si="1400"/>
        <v>45935</v>
      </c>
      <c r="F10508" s="514"/>
      <c r="G10508" s="194" t="s">
        <v>1209</v>
      </c>
      <c r="H10508" s="195"/>
      <c r="I10508" s="195"/>
      <c r="J10508" s="191" t="s">
        <v>47</v>
      </c>
      <c r="K10508" s="196"/>
      <c r="L10508" s="196">
        <v>13060</v>
      </c>
    </row>
    <row r="10509" spans="1:13" x14ac:dyDescent="0.2">
      <c r="A10509" s="197">
        <v>2025</v>
      </c>
      <c r="B10509" s="197">
        <v>10</v>
      </c>
      <c r="C10509" s="197">
        <v>5</v>
      </c>
      <c r="D10509" s="198">
        <f t="shared" si="1393"/>
        <v>45935</v>
      </c>
      <c r="E10509" s="209">
        <f t="shared" si="1400"/>
        <v>45935</v>
      </c>
      <c r="F10509" s="513" t="s">
        <v>1280</v>
      </c>
      <c r="G10509" s="200" t="s">
        <v>1209</v>
      </c>
      <c r="H10509" s="201"/>
      <c r="I10509" s="201"/>
      <c r="J10509" s="197" t="s">
        <v>16</v>
      </c>
      <c r="K10509" s="202">
        <v>2954860</v>
      </c>
      <c r="L10509" s="202"/>
    </row>
    <row r="10510" spans="1:13" x14ac:dyDescent="0.2">
      <c r="A10510" s="120">
        <v>2025</v>
      </c>
      <c r="B10510" s="120">
        <v>10</v>
      </c>
      <c r="C10510" s="120">
        <v>5</v>
      </c>
      <c r="D10510" s="208">
        <f t="shared" si="1393"/>
        <v>45935</v>
      </c>
      <c r="E10510" s="209">
        <f t="shared" si="1400"/>
        <v>45935</v>
      </c>
      <c r="F10510" s="515"/>
      <c r="G10510" s="132" t="s">
        <v>1209</v>
      </c>
      <c r="J10510" s="120" t="s">
        <v>47</v>
      </c>
      <c r="K10510" s="207">
        <v>1045140</v>
      </c>
      <c r="L10510" s="207"/>
    </row>
    <row r="10511" spans="1:13" x14ac:dyDescent="0.2">
      <c r="A10511" s="191">
        <v>2025</v>
      </c>
      <c r="B10511" s="191">
        <v>10</v>
      </c>
      <c r="C10511" s="191">
        <v>5</v>
      </c>
      <c r="D10511" s="192">
        <f t="shared" si="1393"/>
        <v>45935</v>
      </c>
      <c r="E10511" s="193">
        <f t="shared" si="1400"/>
        <v>45935</v>
      </c>
      <c r="F10511" s="514"/>
      <c r="G10511" s="194" t="s">
        <v>1209</v>
      </c>
      <c r="H10511" s="195"/>
      <c r="I10511" s="195"/>
      <c r="J10511" s="191" t="s">
        <v>46</v>
      </c>
      <c r="K10511" s="196"/>
      <c r="L10511" s="196">
        <v>4000000</v>
      </c>
    </row>
    <row r="10512" spans="1:13" x14ac:dyDescent="0.2">
      <c r="A10512" s="197">
        <v>2025</v>
      </c>
      <c r="B10512" s="197">
        <v>10</v>
      </c>
      <c r="C10512" s="197">
        <v>5</v>
      </c>
      <c r="D10512" s="198">
        <f t="shared" si="1393"/>
        <v>45935</v>
      </c>
      <c r="E10512" s="209">
        <f t="shared" ref="E10512:E10520" si="1401">DATE(A10512,B10512,C10512)</f>
        <v>45935</v>
      </c>
      <c r="F10512" s="513" t="s">
        <v>1280</v>
      </c>
      <c r="G10512" s="200" t="s">
        <v>1209</v>
      </c>
      <c r="H10512" s="201"/>
      <c r="I10512" s="201"/>
      <c r="J10512" s="197" t="s">
        <v>16</v>
      </c>
      <c r="K10512" s="202">
        <v>122480</v>
      </c>
      <c r="L10512" s="202"/>
    </row>
    <row r="10513" spans="1:12" x14ac:dyDescent="0.2">
      <c r="A10513" s="120">
        <v>2025</v>
      </c>
      <c r="B10513" s="120">
        <v>10</v>
      </c>
      <c r="C10513" s="120">
        <v>5</v>
      </c>
      <c r="D10513" s="208">
        <f t="shared" si="1393"/>
        <v>45935</v>
      </c>
      <c r="E10513" s="209">
        <f t="shared" si="1401"/>
        <v>45935</v>
      </c>
      <c r="F10513" s="515"/>
      <c r="G10513" s="132" t="s">
        <v>1209</v>
      </c>
      <c r="J10513" s="120" t="s">
        <v>47</v>
      </c>
      <c r="K10513" s="207">
        <v>43321.179999999993</v>
      </c>
      <c r="L10513" s="207"/>
    </row>
    <row r="10514" spans="1:12" x14ac:dyDescent="0.2">
      <c r="A10514" s="191">
        <v>2025</v>
      </c>
      <c r="B10514" s="191">
        <v>10</v>
      </c>
      <c r="C10514" s="191">
        <v>5</v>
      </c>
      <c r="D10514" s="192">
        <f t="shared" si="1393"/>
        <v>45935</v>
      </c>
      <c r="E10514" s="193">
        <f t="shared" si="1401"/>
        <v>45935</v>
      </c>
      <c r="F10514" s="514"/>
      <c r="G10514" s="194" t="s">
        <v>1209</v>
      </c>
      <c r="H10514" s="195"/>
      <c r="I10514" s="195"/>
      <c r="J10514" s="191" t="s">
        <v>46</v>
      </c>
      <c r="K10514" s="196"/>
      <c r="L10514" s="196">
        <v>165801.18</v>
      </c>
    </row>
    <row r="10515" spans="1:12" x14ac:dyDescent="0.2">
      <c r="A10515" s="197">
        <v>2025</v>
      </c>
      <c r="B10515" s="197">
        <v>10</v>
      </c>
      <c r="C10515" s="197">
        <v>5</v>
      </c>
      <c r="D10515" s="198">
        <f t="shared" si="1393"/>
        <v>45935</v>
      </c>
      <c r="E10515" s="209">
        <f t="shared" si="1401"/>
        <v>45935</v>
      </c>
      <c r="F10515" s="513" t="s">
        <v>1280</v>
      </c>
      <c r="G10515" s="200" t="s">
        <v>1209</v>
      </c>
      <c r="H10515" s="201"/>
      <c r="I10515" s="201"/>
      <c r="J10515" s="197" t="s">
        <v>16</v>
      </c>
      <c r="K10515" s="202">
        <v>33240</v>
      </c>
      <c r="L10515" s="202"/>
    </row>
    <row r="10516" spans="1:12" x14ac:dyDescent="0.2">
      <c r="A10516" s="120">
        <v>2025</v>
      </c>
      <c r="B10516" s="120">
        <v>10</v>
      </c>
      <c r="C10516" s="120">
        <v>5</v>
      </c>
      <c r="D10516" s="208">
        <f t="shared" si="1393"/>
        <v>45935</v>
      </c>
      <c r="E10516" s="209">
        <f t="shared" si="1401"/>
        <v>45935</v>
      </c>
      <c r="F10516" s="515"/>
      <c r="G10516" s="132" t="s">
        <v>1209</v>
      </c>
      <c r="J10516" s="120" t="s">
        <v>47</v>
      </c>
      <c r="K10516" s="207">
        <v>11760</v>
      </c>
      <c r="L10516" s="207"/>
    </row>
    <row r="10517" spans="1:12" x14ac:dyDescent="0.2">
      <c r="A10517" s="191">
        <v>2025</v>
      </c>
      <c r="B10517" s="191">
        <v>10</v>
      </c>
      <c r="C10517" s="191">
        <v>5</v>
      </c>
      <c r="D10517" s="192">
        <f t="shared" si="1393"/>
        <v>45935</v>
      </c>
      <c r="E10517" s="193">
        <f t="shared" si="1401"/>
        <v>45935</v>
      </c>
      <c r="F10517" s="514"/>
      <c r="G10517" s="194" t="s">
        <v>1209</v>
      </c>
      <c r="H10517" s="195"/>
      <c r="I10517" s="195"/>
      <c r="J10517" s="191" t="s">
        <v>46</v>
      </c>
      <c r="K10517" s="196"/>
      <c r="L10517" s="196">
        <v>45000</v>
      </c>
    </row>
    <row r="10518" spans="1:12" x14ac:dyDescent="0.2">
      <c r="A10518" s="197">
        <v>2025</v>
      </c>
      <c r="B10518" s="197">
        <v>10</v>
      </c>
      <c r="C10518" s="197">
        <v>5</v>
      </c>
      <c r="D10518" s="198">
        <f t="shared" si="1393"/>
        <v>45935</v>
      </c>
      <c r="E10518" s="209">
        <f t="shared" si="1401"/>
        <v>45935</v>
      </c>
      <c r="F10518" s="513" t="s">
        <v>1210</v>
      </c>
      <c r="G10518" s="200" t="s">
        <v>1209</v>
      </c>
      <c r="H10518" s="201"/>
      <c r="I10518" s="201"/>
      <c r="J10518" s="197" t="s">
        <v>46</v>
      </c>
      <c r="K10518" s="202">
        <v>100000</v>
      </c>
      <c r="L10518" s="202"/>
    </row>
    <row r="10519" spans="1:12" x14ac:dyDescent="0.2">
      <c r="A10519" s="120">
        <v>2025</v>
      </c>
      <c r="B10519" s="120">
        <v>10</v>
      </c>
      <c r="C10519" s="120">
        <v>5</v>
      </c>
      <c r="D10519" s="208">
        <f t="shared" si="1393"/>
        <v>45935</v>
      </c>
      <c r="E10519" s="209">
        <f t="shared" si="1401"/>
        <v>45935</v>
      </c>
      <c r="F10519" s="515"/>
      <c r="G10519" s="132" t="s">
        <v>1209</v>
      </c>
      <c r="J10519" s="120" t="s">
        <v>16</v>
      </c>
      <c r="K10519" s="207"/>
      <c r="L10519" s="207">
        <v>73870</v>
      </c>
    </row>
    <row r="10520" spans="1:12" x14ac:dyDescent="0.2">
      <c r="A10520" s="191">
        <v>2025</v>
      </c>
      <c r="B10520" s="191">
        <v>10</v>
      </c>
      <c r="C10520" s="191">
        <v>5</v>
      </c>
      <c r="D10520" s="192">
        <f t="shared" si="1393"/>
        <v>45935</v>
      </c>
      <c r="E10520" s="193">
        <f t="shared" si="1401"/>
        <v>45935</v>
      </c>
      <c r="F10520" s="514"/>
      <c r="G10520" s="194" t="s">
        <v>1209</v>
      </c>
      <c r="H10520" s="195"/>
      <c r="I10520" s="195"/>
      <c r="J10520" s="191" t="s">
        <v>47</v>
      </c>
      <c r="K10520" s="196"/>
      <c r="L10520" s="196">
        <v>26130</v>
      </c>
    </row>
    <row r="10521" spans="1:12" x14ac:dyDescent="0.2">
      <c r="A10521" s="197">
        <v>2025</v>
      </c>
      <c r="B10521" s="197">
        <v>10</v>
      </c>
      <c r="C10521" s="197">
        <v>5</v>
      </c>
      <c r="D10521" s="198">
        <f t="shared" si="1393"/>
        <v>45935</v>
      </c>
      <c r="E10521" s="209">
        <f t="shared" ref="E10521:E10523" si="1402">DATE(A10521,B10521,C10521)</f>
        <v>45935</v>
      </c>
      <c r="F10521" s="513" t="s">
        <v>1210</v>
      </c>
      <c r="G10521" s="200" t="s">
        <v>1209</v>
      </c>
      <c r="H10521" s="201"/>
      <c r="I10521" s="201"/>
      <c r="J10521" s="197" t="s">
        <v>46</v>
      </c>
      <c r="K10521" s="202">
        <v>2000000</v>
      </c>
      <c r="L10521" s="202"/>
    </row>
    <row r="10522" spans="1:12" x14ac:dyDescent="0.2">
      <c r="A10522" s="120">
        <v>2025</v>
      </c>
      <c r="B10522" s="120">
        <v>10</v>
      </c>
      <c r="C10522" s="120">
        <v>5</v>
      </c>
      <c r="D10522" s="208">
        <f t="shared" si="1393"/>
        <v>45935</v>
      </c>
      <c r="E10522" s="209">
        <f t="shared" si="1402"/>
        <v>45935</v>
      </c>
      <c r="F10522" s="515"/>
      <c r="G10522" s="132" t="s">
        <v>1209</v>
      </c>
      <c r="J10522" s="120" t="s">
        <v>16</v>
      </c>
      <c r="K10522" s="207"/>
      <c r="L10522" s="207">
        <v>1477430</v>
      </c>
    </row>
    <row r="10523" spans="1:12" x14ac:dyDescent="0.2">
      <c r="A10523" s="191">
        <v>2025</v>
      </c>
      <c r="B10523" s="191">
        <v>10</v>
      </c>
      <c r="C10523" s="191">
        <v>5</v>
      </c>
      <c r="D10523" s="192">
        <f t="shared" si="1393"/>
        <v>45935</v>
      </c>
      <c r="E10523" s="193">
        <f t="shared" si="1402"/>
        <v>45935</v>
      </c>
      <c r="F10523" s="514"/>
      <c r="G10523" s="194" t="s">
        <v>1209</v>
      </c>
      <c r="H10523" s="195"/>
      <c r="I10523" s="195"/>
      <c r="J10523" s="191" t="s">
        <v>47</v>
      </c>
      <c r="K10523" s="196"/>
      <c r="L10523" s="196">
        <v>522570</v>
      </c>
    </row>
    <row r="10524" spans="1:12" x14ac:dyDescent="0.2">
      <c r="A10524" s="197">
        <v>2025</v>
      </c>
      <c r="B10524" s="197">
        <v>10</v>
      </c>
      <c r="C10524" s="197">
        <v>5</v>
      </c>
      <c r="D10524" s="198">
        <f t="shared" si="1393"/>
        <v>45935</v>
      </c>
      <c r="E10524" s="209">
        <f t="shared" ref="E10524:E10531" si="1403">DATE(A10524,B10524,C10524)</f>
        <v>45935</v>
      </c>
      <c r="F10524" s="513" t="s">
        <v>1280</v>
      </c>
      <c r="G10524" s="200" t="s">
        <v>1209</v>
      </c>
      <c r="H10524" s="201"/>
      <c r="I10524" s="201"/>
      <c r="J10524" s="197" t="s">
        <v>16</v>
      </c>
      <c r="K10524" s="202">
        <v>738720</v>
      </c>
      <c r="L10524" s="202"/>
    </row>
    <row r="10525" spans="1:12" x14ac:dyDescent="0.2">
      <c r="A10525" s="120">
        <v>2025</v>
      </c>
      <c r="B10525" s="120">
        <v>10</v>
      </c>
      <c r="C10525" s="120">
        <v>5</v>
      </c>
      <c r="D10525" s="208">
        <f t="shared" si="1393"/>
        <v>45935</v>
      </c>
      <c r="E10525" s="209">
        <f t="shared" si="1403"/>
        <v>45935</v>
      </c>
      <c r="F10525" s="515"/>
      <c r="G10525" s="132" t="s">
        <v>1209</v>
      </c>
      <c r="J10525" s="120" t="s">
        <v>47</v>
      </c>
      <c r="K10525" s="207">
        <v>261280</v>
      </c>
      <c r="L10525" s="207"/>
    </row>
    <row r="10526" spans="1:12" x14ac:dyDescent="0.2">
      <c r="A10526" s="191">
        <v>2025</v>
      </c>
      <c r="B10526" s="191">
        <v>10</v>
      </c>
      <c r="C10526" s="191">
        <v>5</v>
      </c>
      <c r="D10526" s="192">
        <f t="shared" si="1393"/>
        <v>45935</v>
      </c>
      <c r="E10526" s="193">
        <f t="shared" si="1403"/>
        <v>45935</v>
      </c>
      <c r="F10526" s="514"/>
      <c r="G10526" s="194" t="s">
        <v>1209</v>
      </c>
      <c r="H10526" s="195"/>
      <c r="I10526" s="195"/>
      <c r="J10526" s="191" t="s">
        <v>46</v>
      </c>
      <c r="K10526" s="196"/>
      <c r="L10526" s="196">
        <v>1000000</v>
      </c>
    </row>
    <row r="10527" spans="1:12" x14ac:dyDescent="0.2">
      <c r="A10527" s="197">
        <v>2025</v>
      </c>
      <c r="B10527" s="197">
        <v>10</v>
      </c>
      <c r="C10527" s="197">
        <v>5</v>
      </c>
      <c r="D10527" s="198">
        <f t="shared" si="1393"/>
        <v>45935</v>
      </c>
      <c r="E10527" s="209">
        <f t="shared" si="1403"/>
        <v>45935</v>
      </c>
      <c r="F10527" s="513" t="s">
        <v>1296</v>
      </c>
      <c r="G10527" s="200" t="s">
        <v>1209</v>
      </c>
      <c r="H10527" s="201"/>
      <c r="I10527" s="201"/>
      <c r="J10527" s="197" t="s">
        <v>46</v>
      </c>
      <c r="K10527" s="202">
        <v>178000</v>
      </c>
      <c r="L10527" s="202"/>
    </row>
    <row r="10528" spans="1:12" x14ac:dyDescent="0.2">
      <c r="A10528" s="120">
        <v>2025</v>
      </c>
      <c r="B10528" s="120">
        <v>10</v>
      </c>
      <c r="C10528" s="120">
        <v>5</v>
      </c>
      <c r="D10528" s="208">
        <f t="shared" si="1393"/>
        <v>45935</v>
      </c>
      <c r="E10528" s="209">
        <f t="shared" si="1403"/>
        <v>45935</v>
      </c>
      <c r="F10528" s="515"/>
      <c r="G10528" s="132" t="s">
        <v>1209</v>
      </c>
      <c r="J10528" s="120" t="s">
        <v>16</v>
      </c>
      <c r="K10528" s="207"/>
      <c r="L10528" s="207">
        <v>131470</v>
      </c>
    </row>
    <row r="10529" spans="1:15" x14ac:dyDescent="0.2">
      <c r="A10529" s="191">
        <v>2025</v>
      </c>
      <c r="B10529" s="191">
        <v>10</v>
      </c>
      <c r="C10529" s="191">
        <v>5</v>
      </c>
      <c r="D10529" s="192">
        <f t="shared" si="1393"/>
        <v>45935</v>
      </c>
      <c r="E10529" s="193">
        <f t="shared" si="1403"/>
        <v>45935</v>
      </c>
      <c r="F10529" s="514"/>
      <c r="G10529" s="194" t="s">
        <v>1209</v>
      </c>
      <c r="H10529" s="195"/>
      <c r="I10529" s="195"/>
      <c r="J10529" s="191" t="s">
        <v>47</v>
      </c>
      <c r="K10529" s="196"/>
      <c r="L10529" s="196">
        <v>46530</v>
      </c>
    </row>
    <row r="10530" spans="1:15" ht="11.25" customHeight="1" x14ac:dyDescent="0.2">
      <c r="A10530" s="197">
        <v>2025</v>
      </c>
      <c r="B10530" s="197">
        <v>10</v>
      </c>
      <c r="C10530" s="197">
        <v>5</v>
      </c>
      <c r="D10530" s="198">
        <f t="shared" si="1393"/>
        <v>45935</v>
      </c>
      <c r="E10530" s="290">
        <f t="shared" si="1403"/>
        <v>45935</v>
      </c>
      <c r="F10530" s="513" t="s">
        <v>1514</v>
      </c>
      <c r="G10530" s="200" t="s">
        <v>1209</v>
      </c>
      <c r="H10530" s="201"/>
      <c r="I10530" s="201"/>
      <c r="J10530" s="197" t="s">
        <v>54</v>
      </c>
      <c r="K10530" s="202">
        <f>100+58+60</f>
        <v>218</v>
      </c>
      <c r="L10530" s="202"/>
      <c r="M10530" s="251"/>
      <c r="N10530" s="251"/>
      <c r="O10530" s="251"/>
    </row>
    <row r="10531" spans="1:15" ht="11.25" customHeight="1" x14ac:dyDescent="0.2">
      <c r="A10531" s="191">
        <v>2025</v>
      </c>
      <c r="B10531" s="191">
        <v>10</v>
      </c>
      <c r="C10531" s="191">
        <v>5</v>
      </c>
      <c r="D10531" s="192">
        <f t="shared" si="1393"/>
        <v>45935</v>
      </c>
      <c r="E10531" s="291">
        <f t="shared" si="1403"/>
        <v>45935</v>
      </c>
      <c r="F10531" s="514"/>
      <c r="G10531" s="194" t="s">
        <v>1209</v>
      </c>
      <c r="H10531" s="195"/>
      <c r="I10531" s="195"/>
      <c r="J10531" s="191" t="s">
        <v>46</v>
      </c>
      <c r="K10531" s="196"/>
      <c r="L10531" s="196">
        <f>K10530</f>
        <v>218</v>
      </c>
      <c r="M10531" s="251"/>
    </row>
    <row r="10532" spans="1:15" x14ac:dyDescent="0.2">
      <c r="A10532" s="197">
        <v>2025</v>
      </c>
      <c r="B10532" s="197">
        <v>10</v>
      </c>
      <c r="C10532" s="197">
        <v>6</v>
      </c>
      <c r="D10532" s="198">
        <f t="shared" si="1393"/>
        <v>45936</v>
      </c>
      <c r="E10532" s="209">
        <f t="shared" ref="E10532:E10534" si="1404">DATE(A10532,B10532,C10532)</f>
        <v>45936</v>
      </c>
      <c r="F10532" s="513" t="s">
        <v>1280</v>
      </c>
      <c r="G10532" s="200" t="s">
        <v>1209</v>
      </c>
      <c r="H10532" s="201"/>
      <c r="I10532" s="201"/>
      <c r="J10532" s="197" t="s">
        <v>16</v>
      </c>
      <c r="K10532" s="202">
        <v>207000</v>
      </c>
      <c r="L10532" s="202"/>
    </row>
    <row r="10533" spans="1:15" x14ac:dyDescent="0.2">
      <c r="A10533" s="120">
        <v>2025</v>
      </c>
      <c r="B10533" s="120">
        <v>10</v>
      </c>
      <c r="C10533" s="120">
        <v>6</v>
      </c>
      <c r="D10533" s="208">
        <f t="shared" si="1393"/>
        <v>45936</v>
      </c>
      <c r="E10533" s="209">
        <f t="shared" si="1404"/>
        <v>45936</v>
      </c>
      <c r="F10533" s="515"/>
      <c r="G10533" s="132" t="s">
        <v>1209</v>
      </c>
      <c r="J10533" s="120" t="s">
        <v>47</v>
      </c>
      <c r="K10533" s="207">
        <v>73215.900000000023</v>
      </c>
      <c r="L10533" s="207"/>
    </row>
    <row r="10534" spans="1:15" x14ac:dyDescent="0.2">
      <c r="A10534" s="191">
        <v>2025</v>
      </c>
      <c r="B10534" s="191">
        <v>10</v>
      </c>
      <c r="C10534" s="191">
        <v>6</v>
      </c>
      <c r="D10534" s="192">
        <f t="shared" si="1393"/>
        <v>45936</v>
      </c>
      <c r="E10534" s="193">
        <f t="shared" si="1404"/>
        <v>45936</v>
      </c>
      <c r="F10534" s="514"/>
      <c r="G10534" s="194" t="s">
        <v>1209</v>
      </c>
      <c r="H10534" s="195"/>
      <c r="I10534" s="195"/>
      <c r="J10534" s="191" t="s">
        <v>46</v>
      </c>
      <c r="K10534" s="196"/>
      <c r="L10534" s="196">
        <v>280215.90000000002</v>
      </c>
    </row>
    <row r="10535" spans="1:15" x14ac:dyDescent="0.2">
      <c r="A10535" s="197">
        <v>2025</v>
      </c>
      <c r="B10535" s="197">
        <v>10</v>
      </c>
      <c r="C10535" s="197">
        <v>6</v>
      </c>
      <c r="D10535" s="198">
        <f t="shared" si="1393"/>
        <v>45936</v>
      </c>
      <c r="E10535" s="209">
        <f t="shared" ref="E10535:E10565" si="1405">DATE(A10535,B10535,C10535)</f>
        <v>45936</v>
      </c>
      <c r="F10535" s="513" t="s">
        <v>1280</v>
      </c>
      <c r="G10535" s="200" t="s">
        <v>1209</v>
      </c>
      <c r="H10535" s="201"/>
      <c r="I10535" s="201"/>
      <c r="J10535" s="197" t="s">
        <v>16</v>
      </c>
      <c r="K10535" s="202">
        <v>398910</v>
      </c>
      <c r="L10535" s="202"/>
    </row>
    <row r="10536" spans="1:15" x14ac:dyDescent="0.2">
      <c r="A10536" s="120">
        <v>2025</v>
      </c>
      <c r="B10536" s="120">
        <v>10</v>
      </c>
      <c r="C10536" s="120">
        <v>6</v>
      </c>
      <c r="D10536" s="208">
        <f t="shared" si="1393"/>
        <v>45936</v>
      </c>
      <c r="E10536" s="209">
        <f t="shared" si="1405"/>
        <v>45936</v>
      </c>
      <c r="F10536" s="515"/>
      <c r="G10536" s="132" t="s">
        <v>1209</v>
      </c>
      <c r="J10536" s="120" t="s">
        <v>47</v>
      </c>
      <c r="K10536" s="207">
        <v>141090</v>
      </c>
      <c r="L10536" s="207"/>
    </row>
    <row r="10537" spans="1:15" x14ac:dyDescent="0.2">
      <c r="A10537" s="191">
        <v>2025</v>
      </c>
      <c r="B10537" s="191">
        <v>10</v>
      </c>
      <c r="C10537" s="191">
        <v>6</v>
      </c>
      <c r="D10537" s="192">
        <f t="shared" si="1393"/>
        <v>45936</v>
      </c>
      <c r="E10537" s="193">
        <f t="shared" si="1405"/>
        <v>45936</v>
      </c>
      <c r="F10537" s="514"/>
      <c r="G10537" s="194" t="s">
        <v>1209</v>
      </c>
      <c r="H10537" s="195"/>
      <c r="I10537" s="195"/>
      <c r="J10537" s="191" t="s">
        <v>46</v>
      </c>
      <c r="K10537" s="196"/>
      <c r="L10537" s="196">
        <v>540000</v>
      </c>
    </row>
    <row r="10538" spans="1:15" ht="11.25" customHeight="1" x14ac:dyDescent="0.2">
      <c r="A10538" s="197">
        <v>2025</v>
      </c>
      <c r="B10538" s="197">
        <v>10</v>
      </c>
      <c r="C10538" s="197">
        <v>6</v>
      </c>
      <c r="D10538" s="198">
        <f t="shared" si="1393"/>
        <v>45936</v>
      </c>
      <c r="E10538" s="290">
        <f t="shared" si="1405"/>
        <v>45936</v>
      </c>
      <c r="F10538" s="513" t="s">
        <v>1514</v>
      </c>
      <c r="G10538" s="200" t="s">
        <v>1209</v>
      </c>
      <c r="H10538" s="201"/>
      <c r="I10538" s="201"/>
      <c r="J10538" s="197" t="s">
        <v>54</v>
      </c>
      <c r="K10538" s="202">
        <v>158</v>
      </c>
      <c r="L10538" s="202"/>
      <c r="M10538" s="251"/>
      <c r="N10538" s="251"/>
      <c r="O10538" s="251"/>
    </row>
    <row r="10539" spans="1:15" ht="11.25" customHeight="1" x14ac:dyDescent="0.2">
      <c r="A10539" s="191">
        <v>2025</v>
      </c>
      <c r="B10539" s="191">
        <v>10</v>
      </c>
      <c r="C10539" s="191">
        <v>6</v>
      </c>
      <c r="D10539" s="192">
        <f t="shared" si="1393"/>
        <v>45936</v>
      </c>
      <c r="E10539" s="291">
        <f t="shared" si="1405"/>
        <v>45936</v>
      </c>
      <c r="F10539" s="514"/>
      <c r="G10539" s="194" t="s">
        <v>1209</v>
      </c>
      <c r="H10539" s="195"/>
      <c r="I10539" s="195"/>
      <c r="J10539" s="191" t="s">
        <v>46</v>
      </c>
      <c r="K10539" s="196"/>
      <c r="L10539" s="196">
        <f>K10538</f>
        <v>158</v>
      </c>
      <c r="M10539" s="251"/>
    </row>
    <row r="10540" spans="1:15" ht="11.25" customHeight="1" x14ac:dyDescent="0.2">
      <c r="A10540" s="197">
        <v>2025</v>
      </c>
      <c r="B10540" s="197">
        <v>10</v>
      </c>
      <c r="C10540" s="197">
        <v>6</v>
      </c>
      <c r="D10540" s="198">
        <f t="shared" ref="D10540:D10603" si="1406">DATE(A10540,B10540,C10540)</f>
        <v>45936</v>
      </c>
      <c r="E10540" s="290">
        <f t="shared" si="1405"/>
        <v>45936</v>
      </c>
      <c r="F10540" s="513" t="s">
        <v>2035</v>
      </c>
      <c r="G10540" s="200" t="s">
        <v>1245</v>
      </c>
      <c r="H10540" s="201"/>
      <c r="I10540" s="201" t="s">
        <v>1253</v>
      </c>
      <c r="J10540" s="197" t="s">
        <v>46</v>
      </c>
      <c r="K10540" s="202">
        <v>142333.24</v>
      </c>
      <c r="L10540" s="202"/>
      <c r="M10540" s="130"/>
    </row>
    <row r="10541" spans="1:15" ht="11.25" customHeight="1" x14ac:dyDescent="0.2">
      <c r="A10541" s="191">
        <v>2025</v>
      </c>
      <c r="B10541" s="191">
        <v>10</v>
      </c>
      <c r="C10541" s="191">
        <v>6</v>
      </c>
      <c r="D10541" s="192">
        <f t="shared" si="1406"/>
        <v>45936</v>
      </c>
      <c r="E10541" s="291">
        <f t="shared" si="1405"/>
        <v>45936</v>
      </c>
      <c r="F10541" s="527"/>
      <c r="G10541" s="194" t="s">
        <v>1245</v>
      </c>
      <c r="H10541" s="195"/>
      <c r="I10541" s="195" t="s">
        <v>1253</v>
      </c>
      <c r="J10541" s="191" t="s">
        <v>113</v>
      </c>
      <c r="K10541" s="196"/>
      <c r="L10541" s="196">
        <v>142333.24</v>
      </c>
    </row>
    <row r="10542" spans="1:15" ht="11.25" customHeight="1" x14ac:dyDescent="0.2">
      <c r="A10542" s="197">
        <v>2025</v>
      </c>
      <c r="B10542" s="197">
        <v>10</v>
      </c>
      <c r="C10542" s="197">
        <v>6</v>
      </c>
      <c r="D10542" s="198">
        <f t="shared" si="1406"/>
        <v>45936</v>
      </c>
      <c r="E10542" s="290">
        <f t="shared" si="1405"/>
        <v>45936</v>
      </c>
      <c r="F10542" s="513" t="s">
        <v>2092</v>
      </c>
      <c r="G10542" s="200" t="s">
        <v>1245</v>
      </c>
      <c r="H10542" s="201"/>
      <c r="I10542" s="201" t="s">
        <v>1253</v>
      </c>
      <c r="J10542" s="197" t="s">
        <v>46</v>
      </c>
      <c r="K10542" s="202">
        <v>586178.63</v>
      </c>
      <c r="L10542" s="202"/>
    </row>
    <row r="10543" spans="1:15" ht="11.25" customHeight="1" x14ac:dyDescent="0.2">
      <c r="A10543" s="191">
        <v>2025</v>
      </c>
      <c r="B10543" s="191">
        <v>10</v>
      </c>
      <c r="C10543" s="191">
        <v>6</v>
      </c>
      <c r="D10543" s="192">
        <f t="shared" si="1406"/>
        <v>45936</v>
      </c>
      <c r="E10543" s="291">
        <f t="shared" si="1405"/>
        <v>45936</v>
      </c>
      <c r="F10543" s="514"/>
      <c r="G10543" s="194" t="s">
        <v>1245</v>
      </c>
      <c r="H10543" s="195"/>
      <c r="I10543" s="195" t="s">
        <v>1253</v>
      </c>
      <c r="J10543" s="191" t="s">
        <v>2004</v>
      </c>
      <c r="K10543" s="196"/>
      <c r="L10543" s="196">
        <f t="shared" ref="L10543" si="1407">K10542</f>
        <v>586178.63</v>
      </c>
    </row>
    <row r="10544" spans="1:15" ht="11.25" customHeight="1" x14ac:dyDescent="0.2">
      <c r="A10544" s="197">
        <v>2025</v>
      </c>
      <c r="B10544" s="197">
        <v>10</v>
      </c>
      <c r="C10544" s="197">
        <v>6</v>
      </c>
      <c r="D10544" s="198">
        <f t="shared" si="1406"/>
        <v>45936</v>
      </c>
      <c r="E10544" s="199">
        <f t="shared" si="1405"/>
        <v>45936</v>
      </c>
      <c r="F10544" s="513" t="s">
        <v>2094</v>
      </c>
      <c r="G10544" s="200" t="s">
        <v>1209</v>
      </c>
      <c r="H10544" s="201"/>
      <c r="I10544" s="201" t="s">
        <v>1253</v>
      </c>
      <c r="J10544" s="197" t="s">
        <v>46</v>
      </c>
      <c r="K10544" s="202">
        <v>7732994.21</v>
      </c>
      <c r="L10544" s="202"/>
    </row>
    <row r="10545" spans="1:15" ht="11.25" customHeight="1" x14ac:dyDescent="0.2">
      <c r="A10545" s="120">
        <v>2025</v>
      </c>
      <c r="B10545" s="120">
        <v>10</v>
      </c>
      <c r="C10545" s="120">
        <v>6</v>
      </c>
      <c r="D10545" s="208">
        <f t="shared" si="1406"/>
        <v>45936</v>
      </c>
      <c r="E10545" s="209">
        <f t="shared" si="1405"/>
        <v>45936</v>
      </c>
      <c r="F10545" s="515"/>
      <c r="G10545" s="132" t="s">
        <v>1209</v>
      </c>
      <c r="J10545" s="120" t="s">
        <v>1463</v>
      </c>
      <c r="K10545" s="328"/>
      <c r="L10545" s="207">
        <v>1324229.08</v>
      </c>
    </row>
    <row r="10546" spans="1:15" ht="11.25" customHeight="1" x14ac:dyDescent="0.2">
      <c r="A10546" s="191">
        <v>2025</v>
      </c>
      <c r="B10546" s="191">
        <v>10</v>
      </c>
      <c r="C10546" s="191">
        <v>6</v>
      </c>
      <c r="D10546" s="192">
        <f t="shared" si="1406"/>
        <v>45936</v>
      </c>
      <c r="E10546" s="193">
        <f t="shared" si="1405"/>
        <v>45936</v>
      </c>
      <c r="F10546" s="514"/>
      <c r="G10546" s="194" t="s">
        <v>1209</v>
      </c>
      <c r="H10546" s="195"/>
      <c r="I10546" s="195" t="s">
        <v>1253</v>
      </c>
      <c r="J10546" s="191" t="s">
        <v>1837</v>
      </c>
      <c r="K10546" s="196"/>
      <c r="L10546" s="196">
        <v>6408765.1299999999</v>
      </c>
      <c r="N10546" s="130"/>
    </row>
    <row r="10547" spans="1:15" ht="11.25" customHeight="1" x14ac:dyDescent="0.2">
      <c r="A10547" s="197">
        <v>2025</v>
      </c>
      <c r="B10547" s="197">
        <v>10</v>
      </c>
      <c r="C10547" s="197">
        <v>6</v>
      </c>
      <c r="D10547" s="198">
        <f t="shared" si="1406"/>
        <v>45936</v>
      </c>
      <c r="E10547" s="199">
        <f t="shared" ref="E10547:E10555" si="1408">DATE(A10547,B10547,C10547)</f>
        <v>45936</v>
      </c>
      <c r="F10547" s="513" t="s">
        <v>2094</v>
      </c>
      <c r="G10547" s="200" t="s">
        <v>1209</v>
      </c>
      <c r="H10547" s="201"/>
      <c r="I10547" s="201" t="s">
        <v>1253</v>
      </c>
      <c r="J10547" s="197" t="s">
        <v>46</v>
      </c>
      <c r="K10547" s="202">
        <v>5833485</v>
      </c>
      <c r="L10547" s="202"/>
    </row>
    <row r="10548" spans="1:15" ht="11.25" customHeight="1" x14ac:dyDescent="0.2">
      <c r="A10548" s="120">
        <v>2025</v>
      </c>
      <c r="B10548" s="120">
        <v>10</v>
      </c>
      <c r="C10548" s="120">
        <v>6</v>
      </c>
      <c r="D10548" s="208">
        <f t="shared" si="1406"/>
        <v>45936</v>
      </c>
      <c r="E10548" s="209">
        <f t="shared" si="1408"/>
        <v>45936</v>
      </c>
      <c r="F10548" s="515"/>
      <c r="G10548" s="132" t="s">
        <v>1209</v>
      </c>
      <c r="J10548" s="120" t="s">
        <v>1463</v>
      </c>
      <c r="K10548" s="328"/>
      <c r="L10548" s="207">
        <v>158587.83000000007</v>
      </c>
    </row>
    <row r="10549" spans="1:15" ht="11.25" customHeight="1" x14ac:dyDescent="0.2">
      <c r="A10549" s="191">
        <v>2025</v>
      </c>
      <c r="B10549" s="191">
        <v>10</v>
      </c>
      <c r="C10549" s="191">
        <v>6</v>
      </c>
      <c r="D10549" s="192">
        <f t="shared" si="1406"/>
        <v>45936</v>
      </c>
      <c r="E10549" s="193">
        <f t="shared" si="1408"/>
        <v>45936</v>
      </c>
      <c r="F10549" s="514"/>
      <c r="G10549" s="194" t="s">
        <v>1209</v>
      </c>
      <c r="H10549" s="195"/>
      <c r="I10549" s="195" t="s">
        <v>1253</v>
      </c>
      <c r="J10549" s="191" t="s">
        <v>1837</v>
      </c>
      <c r="K10549" s="196"/>
      <c r="L10549" s="196">
        <v>5674897.1699999999</v>
      </c>
      <c r="N10549" s="130"/>
    </row>
    <row r="10550" spans="1:15" ht="11.25" customHeight="1" x14ac:dyDescent="0.2">
      <c r="A10550" s="197">
        <v>2025</v>
      </c>
      <c r="B10550" s="197">
        <v>10</v>
      </c>
      <c r="C10550" s="197">
        <v>6</v>
      </c>
      <c r="D10550" s="198">
        <f t="shared" si="1406"/>
        <v>45936</v>
      </c>
      <c r="E10550" s="199">
        <f t="shared" ref="E10550:E10552" si="1409">DATE(A10550,B10550,C10550)</f>
        <v>45936</v>
      </c>
      <c r="F10550" s="513" t="s">
        <v>2093</v>
      </c>
      <c r="G10550" s="200" t="s">
        <v>1209</v>
      </c>
      <c r="H10550" s="201"/>
      <c r="I10550" s="201" t="s">
        <v>1253</v>
      </c>
      <c r="J10550" s="197" t="s">
        <v>46</v>
      </c>
      <c r="K10550" s="202">
        <v>14817051.9</v>
      </c>
      <c r="L10550" s="202"/>
    </row>
    <row r="10551" spans="1:15" ht="11.25" customHeight="1" x14ac:dyDescent="0.2">
      <c r="A10551" s="120">
        <v>2025</v>
      </c>
      <c r="B10551" s="120">
        <v>10</v>
      </c>
      <c r="C10551" s="120">
        <v>6</v>
      </c>
      <c r="D10551" s="208">
        <f t="shared" si="1406"/>
        <v>45936</v>
      </c>
      <c r="E10551" s="209">
        <f t="shared" si="1409"/>
        <v>45936</v>
      </c>
      <c r="F10551" s="515"/>
      <c r="G10551" s="132" t="s">
        <v>1209</v>
      </c>
      <c r="J10551" s="120" t="s">
        <v>1463</v>
      </c>
      <c r="K10551" s="328"/>
      <c r="L10551" s="207">
        <v>2267078.0999999996</v>
      </c>
    </row>
    <row r="10552" spans="1:15" ht="11.25" customHeight="1" x14ac:dyDescent="0.2">
      <c r="A10552" s="191">
        <v>2025</v>
      </c>
      <c r="B10552" s="191">
        <v>10</v>
      </c>
      <c r="C10552" s="191">
        <v>6</v>
      </c>
      <c r="D10552" s="192">
        <f t="shared" si="1406"/>
        <v>45936</v>
      </c>
      <c r="E10552" s="193">
        <f t="shared" si="1409"/>
        <v>45936</v>
      </c>
      <c r="F10552" s="514"/>
      <c r="G10552" s="194" t="s">
        <v>1209</v>
      </c>
      <c r="H10552" s="195"/>
      <c r="I10552" s="195" t="s">
        <v>1253</v>
      </c>
      <c r="J10552" s="191" t="s">
        <v>1837</v>
      </c>
      <c r="K10552" s="196"/>
      <c r="L10552" s="196">
        <v>12549973.800000001</v>
      </c>
      <c r="N10552" s="130"/>
    </row>
    <row r="10553" spans="1:15" ht="11.25" customHeight="1" x14ac:dyDescent="0.2">
      <c r="A10553" s="197">
        <v>2025</v>
      </c>
      <c r="B10553" s="197">
        <v>10</v>
      </c>
      <c r="C10553" s="197">
        <v>6</v>
      </c>
      <c r="D10553" s="198">
        <f t="shared" si="1406"/>
        <v>45936</v>
      </c>
      <c r="E10553" s="199">
        <f t="shared" si="1408"/>
        <v>45936</v>
      </c>
      <c r="F10553" s="513" t="s">
        <v>2093</v>
      </c>
      <c r="G10553" s="200" t="s">
        <v>1209</v>
      </c>
      <c r="H10553" s="201"/>
      <c r="I10553" s="201" t="s">
        <v>1253</v>
      </c>
      <c r="J10553" s="197" t="s">
        <v>46</v>
      </c>
      <c r="K10553" s="202">
        <v>2300523.5099999998</v>
      </c>
      <c r="L10553" s="202"/>
    </row>
    <row r="10554" spans="1:15" ht="11.25" customHeight="1" x14ac:dyDescent="0.2">
      <c r="A10554" s="120">
        <v>2025</v>
      </c>
      <c r="B10554" s="120">
        <v>10</v>
      </c>
      <c r="C10554" s="120">
        <v>6</v>
      </c>
      <c r="D10554" s="208">
        <f t="shared" si="1406"/>
        <v>45936</v>
      </c>
      <c r="E10554" s="209">
        <f t="shared" si="1408"/>
        <v>45936</v>
      </c>
      <c r="F10554" s="515"/>
      <c r="G10554" s="132" t="s">
        <v>1209</v>
      </c>
      <c r="J10554" s="120" t="s">
        <v>1463</v>
      </c>
      <c r="K10554" s="328"/>
      <c r="L10554" s="207">
        <v>125002.94999999972</v>
      </c>
    </row>
    <row r="10555" spans="1:15" ht="11.25" customHeight="1" x14ac:dyDescent="0.2">
      <c r="A10555" s="191">
        <v>2025</v>
      </c>
      <c r="B10555" s="191">
        <v>10</v>
      </c>
      <c r="C10555" s="191">
        <v>6</v>
      </c>
      <c r="D10555" s="192">
        <f t="shared" si="1406"/>
        <v>45936</v>
      </c>
      <c r="E10555" s="193">
        <f t="shared" si="1408"/>
        <v>45936</v>
      </c>
      <c r="F10555" s="514"/>
      <c r="G10555" s="194" t="s">
        <v>1209</v>
      </c>
      <c r="H10555" s="195"/>
      <c r="I10555" s="195" t="s">
        <v>1253</v>
      </c>
      <c r="J10555" s="191" t="s">
        <v>1837</v>
      </c>
      <c r="K10555" s="196"/>
      <c r="L10555" s="196">
        <v>2175520.56</v>
      </c>
      <c r="N10555" s="130"/>
    </row>
    <row r="10556" spans="1:15" ht="11.25" customHeight="1" x14ac:dyDescent="0.2">
      <c r="A10556" s="197">
        <v>2025</v>
      </c>
      <c r="B10556" s="197">
        <v>10</v>
      </c>
      <c r="C10556" s="197">
        <v>6</v>
      </c>
      <c r="D10556" s="198">
        <f t="shared" si="1406"/>
        <v>45936</v>
      </c>
      <c r="E10556" s="199">
        <f t="shared" ref="E10556:E10560" si="1410">DATE(A10556,B10556,C10556)</f>
        <v>45936</v>
      </c>
      <c r="F10556" s="513" t="s">
        <v>2093</v>
      </c>
      <c r="G10556" s="200" t="s">
        <v>1209</v>
      </c>
      <c r="H10556" s="201"/>
      <c r="I10556" s="201" t="s">
        <v>1253</v>
      </c>
      <c r="J10556" s="197" t="s">
        <v>46</v>
      </c>
      <c r="K10556" s="202">
        <v>2300523.5099999998</v>
      </c>
      <c r="L10556" s="202"/>
    </row>
    <row r="10557" spans="1:15" ht="11.25" customHeight="1" x14ac:dyDescent="0.2">
      <c r="A10557" s="120">
        <v>2025</v>
      </c>
      <c r="B10557" s="120">
        <v>10</v>
      </c>
      <c r="C10557" s="120">
        <v>6</v>
      </c>
      <c r="D10557" s="208">
        <f t="shared" si="1406"/>
        <v>45936</v>
      </c>
      <c r="E10557" s="209">
        <f t="shared" si="1410"/>
        <v>45936</v>
      </c>
      <c r="F10557" s="515"/>
      <c r="G10557" s="132" t="s">
        <v>1209</v>
      </c>
      <c r="J10557" s="120" t="s">
        <v>1463</v>
      </c>
      <c r="K10557" s="328"/>
      <c r="L10557" s="207">
        <v>125002.94999999972</v>
      </c>
    </row>
    <row r="10558" spans="1:15" ht="11.25" customHeight="1" x14ac:dyDescent="0.2">
      <c r="A10558" s="191">
        <v>2025</v>
      </c>
      <c r="B10558" s="191">
        <v>10</v>
      </c>
      <c r="C10558" s="191">
        <v>6</v>
      </c>
      <c r="D10558" s="192">
        <f t="shared" si="1406"/>
        <v>45936</v>
      </c>
      <c r="E10558" s="193">
        <f t="shared" si="1410"/>
        <v>45936</v>
      </c>
      <c r="F10558" s="514"/>
      <c r="G10558" s="194" t="s">
        <v>1209</v>
      </c>
      <c r="H10558" s="195"/>
      <c r="I10558" s="195" t="s">
        <v>1253</v>
      </c>
      <c r="J10558" s="191" t="s">
        <v>1837</v>
      </c>
      <c r="K10558" s="196"/>
      <c r="L10558" s="196">
        <v>2175520.56</v>
      </c>
      <c r="N10558" s="130"/>
    </row>
    <row r="10559" spans="1:15" ht="11.25" customHeight="1" x14ac:dyDescent="0.2">
      <c r="A10559" s="197">
        <v>2025</v>
      </c>
      <c r="B10559" s="197">
        <v>10</v>
      </c>
      <c r="C10559" s="197">
        <v>6</v>
      </c>
      <c r="D10559" s="198">
        <f t="shared" si="1406"/>
        <v>45936</v>
      </c>
      <c r="E10559" s="290">
        <f t="shared" si="1410"/>
        <v>45936</v>
      </c>
      <c r="F10559" s="513" t="s">
        <v>1514</v>
      </c>
      <c r="G10559" s="200" t="s">
        <v>1209</v>
      </c>
      <c r="H10559" s="201"/>
      <c r="I10559" s="201"/>
      <c r="J10559" s="197" t="s">
        <v>54</v>
      </c>
      <c r="K10559" s="202">
        <v>500</v>
      </c>
      <c r="L10559" s="202"/>
      <c r="M10559" s="251"/>
      <c r="N10559" s="251"/>
      <c r="O10559" s="251"/>
    </row>
    <row r="10560" spans="1:15" ht="11.25" customHeight="1" x14ac:dyDescent="0.2">
      <c r="A10560" s="191">
        <v>2025</v>
      </c>
      <c r="B10560" s="191">
        <v>10</v>
      </c>
      <c r="C10560" s="191">
        <v>6</v>
      </c>
      <c r="D10560" s="192">
        <f t="shared" si="1406"/>
        <v>45936</v>
      </c>
      <c r="E10560" s="291">
        <f t="shared" si="1410"/>
        <v>45936</v>
      </c>
      <c r="F10560" s="514"/>
      <c r="G10560" s="194" t="s">
        <v>1209</v>
      </c>
      <c r="H10560" s="195"/>
      <c r="I10560" s="195"/>
      <c r="J10560" s="191" t="s">
        <v>46</v>
      </c>
      <c r="K10560" s="196"/>
      <c r="L10560" s="196">
        <f>K10559</f>
        <v>500</v>
      </c>
      <c r="M10560" s="251"/>
    </row>
    <row r="10561" spans="1:15" ht="11.25" customHeight="1" x14ac:dyDescent="0.2">
      <c r="A10561" s="197">
        <v>2025</v>
      </c>
      <c r="B10561" s="197">
        <v>10</v>
      </c>
      <c r="C10561" s="197">
        <v>7</v>
      </c>
      <c r="D10561" s="198">
        <f t="shared" si="1406"/>
        <v>45937</v>
      </c>
      <c r="E10561" s="290">
        <f t="shared" ref="E10561:E10562" si="1411">DATE(A10561,B10561,C10561)</f>
        <v>45937</v>
      </c>
      <c r="F10561" s="513" t="s">
        <v>1514</v>
      </c>
      <c r="G10561" s="200" t="s">
        <v>1209</v>
      </c>
      <c r="H10561" s="201"/>
      <c r="I10561" s="201"/>
      <c r="J10561" s="197" t="s">
        <v>54</v>
      </c>
      <c r="K10561" s="202">
        <v>1020</v>
      </c>
      <c r="L10561" s="202"/>
      <c r="M10561" s="251"/>
      <c r="N10561" s="251"/>
      <c r="O10561" s="251"/>
    </row>
    <row r="10562" spans="1:15" ht="11.25" customHeight="1" x14ac:dyDescent="0.2">
      <c r="A10562" s="191">
        <v>2025</v>
      </c>
      <c r="B10562" s="191">
        <v>10</v>
      </c>
      <c r="C10562" s="191">
        <v>7</v>
      </c>
      <c r="D10562" s="192">
        <f t="shared" si="1406"/>
        <v>45937</v>
      </c>
      <c r="E10562" s="291">
        <f t="shared" si="1411"/>
        <v>45937</v>
      </c>
      <c r="F10562" s="514"/>
      <c r="G10562" s="194" t="s">
        <v>1209</v>
      </c>
      <c r="H10562" s="195"/>
      <c r="I10562" s="195"/>
      <c r="J10562" s="191" t="s">
        <v>46</v>
      </c>
      <c r="K10562" s="196"/>
      <c r="L10562" s="196">
        <f>K10561</f>
        <v>1020</v>
      </c>
      <c r="M10562" s="251"/>
    </row>
    <row r="10563" spans="1:15" x14ac:dyDescent="0.2">
      <c r="A10563" s="197">
        <v>2025</v>
      </c>
      <c r="B10563" s="197">
        <v>10</v>
      </c>
      <c r="C10563" s="197">
        <v>7</v>
      </c>
      <c r="D10563" s="198">
        <f t="shared" si="1406"/>
        <v>45937</v>
      </c>
      <c r="E10563" s="209">
        <f t="shared" si="1405"/>
        <v>45937</v>
      </c>
      <c r="F10563" s="513" t="s">
        <v>1280</v>
      </c>
      <c r="G10563" s="200" t="s">
        <v>1209</v>
      </c>
      <c r="H10563" s="201"/>
      <c r="I10563" s="201"/>
      <c r="J10563" s="197" t="s">
        <v>16</v>
      </c>
      <c r="K10563" s="202">
        <v>7390</v>
      </c>
      <c r="L10563" s="202"/>
    </row>
    <row r="10564" spans="1:15" x14ac:dyDescent="0.2">
      <c r="A10564" s="120">
        <v>2025</v>
      </c>
      <c r="B10564" s="120">
        <v>10</v>
      </c>
      <c r="C10564" s="120">
        <v>7</v>
      </c>
      <c r="D10564" s="208">
        <f t="shared" si="1406"/>
        <v>45937</v>
      </c>
      <c r="E10564" s="209">
        <f t="shared" si="1405"/>
        <v>45937</v>
      </c>
      <c r="F10564" s="515"/>
      <c r="G10564" s="132" t="s">
        <v>1209</v>
      </c>
      <c r="J10564" s="120" t="s">
        <v>47</v>
      </c>
      <c r="K10564" s="207">
        <v>2610</v>
      </c>
      <c r="L10564" s="207"/>
    </row>
    <row r="10565" spans="1:15" x14ac:dyDescent="0.2">
      <c r="A10565" s="191">
        <v>2025</v>
      </c>
      <c r="B10565" s="191">
        <v>10</v>
      </c>
      <c r="C10565" s="191">
        <v>7</v>
      </c>
      <c r="D10565" s="192">
        <f t="shared" si="1406"/>
        <v>45937</v>
      </c>
      <c r="E10565" s="193">
        <f t="shared" si="1405"/>
        <v>45937</v>
      </c>
      <c r="F10565" s="514"/>
      <c r="G10565" s="194" t="s">
        <v>1209</v>
      </c>
      <c r="H10565" s="195"/>
      <c r="I10565" s="195"/>
      <c r="J10565" s="191" t="s">
        <v>46</v>
      </c>
      <c r="K10565" s="196"/>
      <c r="L10565" s="196">
        <v>10000</v>
      </c>
    </row>
    <row r="10566" spans="1:15" x14ac:dyDescent="0.2">
      <c r="A10566" s="197">
        <v>2025</v>
      </c>
      <c r="B10566" s="197">
        <v>10</v>
      </c>
      <c r="C10566" s="197">
        <v>7</v>
      </c>
      <c r="D10566" s="198">
        <f t="shared" si="1406"/>
        <v>45937</v>
      </c>
      <c r="E10566" s="209">
        <f t="shared" ref="E10566:E10592" si="1412">DATE(A10566,B10566,C10566)</f>
        <v>45937</v>
      </c>
      <c r="F10566" s="513" t="s">
        <v>1280</v>
      </c>
      <c r="G10566" s="200" t="s">
        <v>1209</v>
      </c>
      <c r="H10566" s="201"/>
      <c r="I10566" s="201"/>
      <c r="J10566" s="197" t="s">
        <v>16</v>
      </c>
      <c r="K10566" s="202">
        <v>5170</v>
      </c>
      <c r="L10566" s="202"/>
    </row>
    <row r="10567" spans="1:15" x14ac:dyDescent="0.2">
      <c r="A10567" s="120">
        <v>2025</v>
      </c>
      <c r="B10567" s="120">
        <v>10</v>
      </c>
      <c r="C10567" s="120">
        <v>7</v>
      </c>
      <c r="D10567" s="208">
        <f t="shared" si="1406"/>
        <v>45937</v>
      </c>
      <c r="E10567" s="209">
        <f t="shared" si="1412"/>
        <v>45937</v>
      </c>
      <c r="F10567" s="515"/>
      <c r="G10567" s="132" t="s">
        <v>1209</v>
      </c>
      <c r="J10567" s="120" t="s">
        <v>47</v>
      </c>
      <c r="K10567" s="207">
        <v>1830</v>
      </c>
      <c r="L10567" s="207"/>
    </row>
    <row r="10568" spans="1:15" x14ac:dyDescent="0.2">
      <c r="A10568" s="191">
        <v>2025</v>
      </c>
      <c r="B10568" s="191">
        <v>10</v>
      </c>
      <c r="C10568" s="191">
        <v>7</v>
      </c>
      <c r="D10568" s="192">
        <f t="shared" si="1406"/>
        <v>45937</v>
      </c>
      <c r="E10568" s="193">
        <f t="shared" si="1412"/>
        <v>45937</v>
      </c>
      <c r="F10568" s="514"/>
      <c r="G10568" s="194" t="s">
        <v>1209</v>
      </c>
      <c r="H10568" s="195"/>
      <c r="I10568" s="195"/>
      <c r="J10568" s="191" t="s">
        <v>46</v>
      </c>
      <c r="K10568" s="196"/>
      <c r="L10568" s="196">
        <v>7000</v>
      </c>
    </row>
    <row r="10569" spans="1:15" x14ac:dyDescent="0.2">
      <c r="A10569" s="197">
        <v>2025</v>
      </c>
      <c r="B10569" s="197">
        <v>10</v>
      </c>
      <c r="C10569" s="197">
        <v>7</v>
      </c>
      <c r="D10569" s="198">
        <f t="shared" si="1406"/>
        <v>45937</v>
      </c>
      <c r="E10569" s="209">
        <f t="shared" si="1412"/>
        <v>45937</v>
      </c>
      <c r="F10569" s="513" t="s">
        <v>1296</v>
      </c>
      <c r="G10569" s="200" t="s">
        <v>1209</v>
      </c>
      <c r="H10569" s="201"/>
      <c r="I10569" s="201"/>
      <c r="J10569" s="197" t="s">
        <v>46</v>
      </c>
      <c r="K10569" s="202">
        <v>10000</v>
      </c>
      <c r="L10569" s="202"/>
    </row>
    <row r="10570" spans="1:15" x14ac:dyDescent="0.2">
      <c r="A10570" s="120">
        <v>2025</v>
      </c>
      <c r="B10570" s="120">
        <v>10</v>
      </c>
      <c r="C10570" s="120">
        <v>7</v>
      </c>
      <c r="D10570" s="208">
        <f t="shared" si="1406"/>
        <v>45937</v>
      </c>
      <c r="E10570" s="209">
        <f t="shared" si="1412"/>
        <v>45937</v>
      </c>
      <c r="F10570" s="515"/>
      <c r="G10570" s="132" t="s">
        <v>1209</v>
      </c>
      <c r="J10570" s="120" t="s">
        <v>16</v>
      </c>
      <c r="K10570" s="207"/>
      <c r="L10570" s="207">
        <v>7390</v>
      </c>
    </row>
    <row r="10571" spans="1:15" x14ac:dyDescent="0.2">
      <c r="A10571" s="191">
        <v>2025</v>
      </c>
      <c r="B10571" s="191">
        <v>10</v>
      </c>
      <c r="C10571" s="191">
        <v>7</v>
      </c>
      <c r="D10571" s="192">
        <f t="shared" si="1406"/>
        <v>45937</v>
      </c>
      <c r="E10571" s="193">
        <f t="shared" si="1412"/>
        <v>45937</v>
      </c>
      <c r="F10571" s="514"/>
      <c r="G10571" s="194" t="s">
        <v>1209</v>
      </c>
      <c r="H10571" s="195"/>
      <c r="I10571" s="195"/>
      <c r="J10571" s="191" t="s">
        <v>47</v>
      </c>
      <c r="K10571" s="196"/>
      <c r="L10571" s="196">
        <v>2610</v>
      </c>
    </row>
    <row r="10572" spans="1:15" ht="11.25" customHeight="1" x14ac:dyDescent="0.2">
      <c r="A10572" s="197">
        <v>2025</v>
      </c>
      <c r="B10572" s="197">
        <v>10</v>
      </c>
      <c r="C10572" s="197">
        <v>7</v>
      </c>
      <c r="D10572" s="198">
        <f t="shared" si="1406"/>
        <v>45937</v>
      </c>
      <c r="E10572" s="199">
        <f t="shared" si="1412"/>
        <v>45937</v>
      </c>
      <c r="F10572" s="513" t="s">
        <v>2024</v>
      </c>
      <c r="G10572" s="200" t="s">
        <v>1209</v>
      </c>
      <c r="H10572" s="201"/>
      <c r="I10572" s="201" t="s">
        <v>1253</v>
      </c>
      <c r="J10572" s="197" t="s">
        <v>1837</v>
      </c>
      <c r="K10572" s="202">
        <v>2404730.5299999998</v>
      </c>
      <c r="L10572" s="202"/>
    </row>
    <row r="10573" spans="1:15" ht="11.25" customHeight="1" x14ac:dyDescent="0.2">
      <c r="A10573" s="191">
        <v>2025</v>
      </c>
      <c r="B10573" s="191">
        <v>10</v>
      </c>
      <c r="C10573" s="191">
        <v>7</v>
      </c>
      <c r="D10573" s="192">
        <f t="shared" si="1406"/>
        <v>45937</v>
      </c>
      <c r="E10573" s="193">
        <f t="shared" si="1412"/>
        <v>45937</v>
      </c>
      <c r="F10573" s="514"/>
      <c r="G10573" s="194" t="s">
        <v>1209</v>
      </c>
      <c r="H10573" s="195"/>
      <c r="I10573" s="195" t="s">
        <v>1253</v>
      </c>
      <c r="J10573" s="191" t="s">
        <v>46</v>
      </c>
      <c r="K10573" s="196"/>
      <c r="L10573" s="196">
        <f>K10572</f>
        <v>2404730.5299999998</v>
      </c>
      <c r="N10573" s="130"/>
    </row>
    <row r="10574" spans="1:15" ht="11.25" customHeight="1" x14ac:dyDescent="0.2">
      <c r="A10574" s="197">
        <v>2025</v>
      </c>
      <c r="B10574" s="197">
        <v>10</v>
      </c>
      <c r="C10574" s="197">
        <v>7</v>
      </c>
      <c r="D10574" s="198">
        <f t="shared" si="1406"/>
        <v>45937</v>
      </c>
      <c r="E10574" s="199">
        <f t="shared" si="1412"/>
        <v>45937</v>
      </c>
      <c r="F10574" s="513" t="s">
        <v>2098</v>
      </c>
      <c r="G10574" s="200" t="s">
        <v>1245</v>
      </c>
      <c r="H10574" s="201"/>
      <c r="I10574" s="201"/>
      <c r="J10574" s="197" t="s">
        <v>1837</v>
      </c>
      <c r="K10574" s="202">
        <v>301583.33</v>
      </c>
      <c r="L10574" s="202"/>
    </row>
    <row r="10575" spans="1:15" ht="11.25" customHeight="1" x14ac:dyDescent="0.2">
      <c r="A10575" s="191">
        <v>2025</v>
      </c>
      <c r="B10575" s="191">
        <v>10</v>
      </c>
      <c r="C10575" s="191">
        <v>7</v>
      </c>
      <c r="D10575" s="192">
        <f t="shared" si="1406"/>
        <v>45937</v>
      </c>
      <c r="E10575" s="193">
        <f t="shared" si="1412"/>
        <v>45937</v>
      </c>
      <c r="F10575" s="514"/>
      <c r="G10575" s="194" t="s">
        <v>1245</v>
      </c>
      <c r="H10575" s="195"/>
      <c r="I10575" s="195"/>
      <c r="J10575" s="191" t="s">
        <v>1251</v>
      </c>
      <c r="K10575" s="196"/>
      <c r="L10575" s="196">
        <v>301583.33</v>
      </c>
    </row>
    <row r="10576" spans="1:15" x14ac:dyDescent="0.2">
      <c r="A10576" s="197">
        <v>2025</v>
      </c>
      <c r="B10576" s="197">
        <v>10</v>
      </c>
      <c r="C10576" s="197">
        <v>8</v>
      </c>
      <c r="D10576" s="198">
        <f t="shared" si="1406"/>
        <v>45938</v>
      </c>
      <c r="E10576" s="209">
        <f t="shared" si="1412"/>
        <v>45938</v>
      </c>
      <c r="F10576" s="513" t="s">
        <v>1210</v>
      </c>
      <c r="G10576" s="200" t="s">
        <v>1209</v>
      </c>
      <c r="H10576" s="201"/>
      <c r="I10576" s="201"/>
      <c r="J10576" s="197" t="s">
        <v>46</v>
      </c>
      <c r="K10576" s="202">
        <v>494100.5</v>
      </c>
      <c r="L10576" s="202"/>
    </row>
    <row r="10577" spans="1:15" x14ac:dyDescent="0.2">
      <c r="A10577" s="120">
        <v>2025</v>
      </c>
      <c r="B10577" s="120">
        <v>10</v>
      </c>
      <c r="C10577" s="120">
        <v>8</v>
      </c>
      <c r="D10577" s="208">
        <f t="shared" si="1406"/>
        <v>45938</v>
      </c>
      <c r="E10577" s="209">
        <f t="shared" si="1412"/>
        <v>45938</v>
      </c>
      <c r="F10577" s="515"/>
      <c r="G10577" s="132" t="s">
        <v>1209</v>
      </c>
      <c r="J10577" s="120" t="s">
        <v>16</v>
      </c>
      <c r="K10577" s="207"/>
      <c r="L10577" s="207">
        <v>365000</v>
      </c>
    </row>
    <row r="10578" spans="1:15" x14ac:dyDescent="0.2">
      <c r="A10578" s="191">
        <v>2025</v>
      </c>
      <c r="B10578" s="191">
        <v>10</v>
      </c>
      <c r="C10578" s="191">
        <v>8</v>
      </c>
      <c r="D10578" s="192">
        <f t="shared" si="1406"/>
        <v>45938</v>
      </c>
      <c r="E10578" s="193">
        <f t="shared" si="1412"/>
        <v>45938</v>
      </c>
      <c r="F10578" s="514"/>
      <c r="G10578" s="194" t="s">
        <v>1209</v>
      </c>
      <c r="H10578" s="195"/>
      <c r="I10578" s="195"/>
      <c r="J10578" s="191" t="s">
        <v>47</v>
      </c>
      <c r="K10578" s="196"/>
      <c r="L10578" s="196">
        <v>129100.5</v>
      </c>
    </row>
    <row r="10579" spans="1:15" x14ac:dyDescent="0.2">
      <c r="A10579" s="197">
        <v>2025</v>
      </c>
      <c r="B10579" s="197">
        <v>10</v>
      </c>
      <c r="C10579" s="197">
        <v>8</v>
      </c>
      <c r="D10579" s="198">
        <f t="shared" si="1406"/>
        <v>45938</v>
      </c>
      <c r="E10579" s="209">
        <f t="shared" si="1412"/>
        <v>45938</v>
      </c>
      <c r="F10579" s="513" t="s">
        <v>1280</v>
      </c>
      <c r="G10579" s="200" t="s">
        <v>1209</v>
      </c>
      <c r="H10579" s="201"/>
      <c r="I10579" s="201"/>
      <c r="J10579" s="197" t="s">
        <v>16</v>
      </c>
      <c r="K10579" s="202">
        <v>23760</v>
      </c>
      <c r="L10579" s="202"/>
    </row>
    <row r="10580" spans="1:15" x14ac:dyDescent="0.2">
      <c r="A10580" s="120">
        <v>2025</v>
      </c>
      <c r="B10580" s="120">
        <v>10</v>
      </c>
      <c r="C10580" s="120">
        <v>8</v>
      </c>
      <c r="D10580" s="208">
        <f t="shared" si="1406"/>
        <v>45938</v>
      </c>
      <c r="E10580" s="209">
        <f t="shared" si="1412"/>
        <v>45938</v>
      </c>
      <c r="F10580" s="515"/>
      <c r="G10580" s="132" t="s">
        <v>1209</v>
      </c>
      <c r="J10580" s="120" t="s">
        <v>47</v>
      </c>
      <c r="K10580" s="207">
        <v>8400.4500000000007</v>
      </c>
      <c r="L10580" s="207"/>
    </row>
    <row r="10581" spans="1:15" x14ac:dyDescent="0.2">
      <c r="A10581" s="191">
        <v>2025</v>
      </c>
      <c r="B10581" s="191">
        <v>10</v>
      </c>
      <c r="C10581" s="191">
        <v>8</v>
      </c>
      <c r="D10581" s="192">
        <f t="shared" si="1406"/>
        <v>45938</v>
      </c>
      <c r="E10581" s="193">
        <f t="shared" si="1412"/>
        <v>45938</v>
      </c>
      <c r="F10581" s="514"/>
      <c r="G10581" s="194" t="s">
        <v>1209</v>
      </c>
      <c r="H10581" s="195"/>
      <c r="I10581" s="195"/>
      <c r="J10581" s="191" t="s">
        <v>46</v>
      </c>
      <c r="K10581" s="196"/>
      <c r="L10581" s="196">
        <v>32160.45</v>
      </c>
    </row>
    <row r="10582" spans="1:15" x14ac:dyDescent="0.2">
      <c r="A10582" s="197">
        <v>2025</v>
      </c>
      <c r="B10582" s="197">
        <v>10</v>
      </c>
      <c r="C10582" s="197">
        <v>8</v>
      </c>
      <c r="D10582" s="198">
        <f t="shared" si="1406"/>
        <v>45938</v>
      </c>
      <c r="E10582" s="209">
        <f t="shared" si="1412"/>
        <v>45938</v>
      </c>
      <c r="F10582" s="513" t="s">
        <v>1210</v>
      </c>
      <c r="G10582" s="200" t="s">
        <v>1209</v>
      </c>
      <c r="H10582" s="201"/>
      <c r="I10582" s="201"/>
      <c r="J10582" s="197" t="s">
        <v>46</v>
      </c>
      <c r="K10582" s="202">
        <v>494100.5</v>
      </c>
      <c r="L10582" s="202"/>
    </row>
    <row r="10583" spans="1:15" x14ac:dyDescent="0.2">
      <c r="A10583" s="120">
        <v>2025</v>
      </c>
      <c r="B10583" s="120">
        <v>10</v>
      </c>
      <c r="C10583" s="120">
        <v>8</v>
      </c>
      <c r="D10583" s="208">
        <f t="shared" si="1406"/>
        <v>45938</v>
      </c>
      <c r="E10583" s="209">
        <f t="shared" si="1412"/>
        <v>45938</v>
      </c>
      <c r="F10583" s="515"/>
      <c r="G10583" s="132" t="s">
        <v>1209</v>
      </c>
      <c r="J10583" s="120" t="s">
        <v>16</v>
      </c>
      <c r="K10583" s="207"/>
      <c r="L10583" s="207">
        <v>365000</v>
      </c>
    </row>
    <row r="10584" spans="1:15" x14ac:dyDescent="0.2">
      <c r="A10584" s="191">
        <v>2025</v>
      </c>
      <c r="B10584" s="191">
        <v>10</v>
      </c>
      <c r="C10584" s="191">
        <v>8</v>
      </c>
      <c r="D10584" s="192">
        <f t="shared" si="1406"/>
        <v>45938</v>
      </c>
      <c r="E10584" s="193">
        <f t="shared" si="1412"/>
        <v>45938</v>
      </c>
      <c r="F10584" s="514"/>
      <c r="G10584" s="194" t="s">
        <v>1209</v>
      </c>
      <c r="H10584" s="195"/>
      <c r="I10584" s="195"/>
      <c r="J10584" s="191" t="s">
        <v>47</v>
      </c>
      <c r="K10584" s="196"/>
      <c r="L10584" s="196">
        <v>129100.5</v>
      </c>
    </row>
    <row r="10585" spans="1:15" x14ac:dyDescent="0.2">
      <c r="A10585" s="197">
        <v>2025</v>
      </c>
      <c r="B10585" s="197">
        <v>10</v>
      </c>
      <c r="C10585" s="197">
        <v>8</v>
      </c>
      <c r="D10585" s="198">
        <f t="shared" si="1406"/>
        <v>45938</v>
      </c>
      <c r="E10585" s="199">
        <f t="shared" si="1412"/>
        <v>45938</v>
      </c>
      <c r="F10585" s="513" t="s">
        <v>2095</v>
      </c>
      <c r="G10585" s="200" t="s">
        <v>1209</v>
      </c>
      <c r="H10585" s="200"/>
      <c r="I10585" s="201" t="s">
        <v>1253</v>
      </c>
      <c r="J10585" s="248" t="s">
        <v>175</v>
      </c>
      <c r="K10585" s="202">
        <v>30020000</v>
      </c>
      <c r="L10585" s="202"/>
      <c r="M10585" s="455"/>
      <c r="N10585" s="455"/>
    </row>
    <row r="10586" spans="1:15" ht="11.25" customHeight="1" x14ac:dyDescent="0.2">
      <c r="A10586" s="191">
        <v>2025</v>
      </c>
      <c r="B10586" s="191">
        <v>10</v>
      </c>
      <c r="C10586" s="191">
        <v>8</v>
      </c>
      <c r="D10586" s="192">
        <f t="shared" si="1406"/>
        <v>45938</v>
      </c>
      <c r="E10586" s="193">
        <f t="shared" si="1412"/>
        <v>45938</v>
      </c>
      <c r="F10586" s="514"/>
      <c r="G10586" s="194" t="s">
        <v>1209</v>
      </c>
      <c r="H10586" s="194"/>
      <c r="I10586" s="195" t="s">
        <v>1253</v>
      </c>
      <c r="J10586" s="250" t="s">
        <v>46</v>
      </c>
      <c r="K10586" s="196"/>
      <c r="L10586" s="196">
        <f>K10585</f>
        <v>30020000</v>
      </c>
      <c r="M10586" s="251"/>
    </row>
    <row r="10587" spans="1:15" ht="11.25" customHeight="1" x14ac:dyDescent="0.2">
      <c r="A10587" s="197">
        <v>2025</v>
      </c>
      <c r="B10587" s="197">
        <v>10</v>
      </c>
      <c r="C10587" s="197">
        <v>8</v>
      </c>
      <c r="D10587" s="198">
        <f t="shared" si="1406"/>
        <v>45938</v>
      </c>
      <c r="E10587" s="290">
        <f t="shared" si="1412"/>
        <v>45938</v>
      </c>
      <c r="F10587" s="513" t="s">
        <v>2096</v>
      </c>
      <c r="G10587" s="200" t="s">
        <v>1209</v>
      </c>
      <c r="H10587" s="201"/>
      <c r="I10587" s="201" t="s">
        <v>1253</v>
      </c>
      <c r="J10587" s="197" t="s">
        <v>46</v>
      </c>
      <c r="K10587" s="202">
        <v>332750</v>
      </c>
      <c r="L10587" s="202"/>
    </row>
    <row r="10588" spans="1:15" ht="11.25" customHeight="1" x14ac:dyDescent="0.2">
      <c r="A10588" s="191">
        <v>2025</v>
      </c>
      <c r="B10588" s="191">
        <v>10</v>
      </c>
      <c r="C10588" s="191">
        <v>8</v>
      </c>
      <c r="D10588" s="192">
        <f t="shared" si="1406"/>
        <v>45938</v>
      </c>
      <c r="E10588" s="291">
        <f t="shared" si="1412"/>
        <v>45938</v>
      </c>
      <c r="F10588" s="514"/>
      <c r="G10588" s="194" t="s">
        <v>1209</v>
      </c>
      <c r="H10588" s="195"/>
      <c r="I10588" s="195"/>
      <c r="J10588" s="191" t="s">
        <v>1845</v>
      </c>
      <c r="K10588" s="196"/>
      <c r="L10588" s="196">
        <f>K10587</f>
        <v>332750</v>
      </c>
    </row>
    <row r="10589" spans="1:15" ht="11.25" customHeight="1" x14ac:dyDescent="0.2">
      <c r="A10589" s="197">
        <v>2025</v>
      </c>
      <c r="B10589" s="197">
        <v>10</v>
      </c>
      <c r="C10589" s="197">
        <v>8</v>
      </c>
      <c r="D10589" s="198">
        <f t="shared" si="1406"/>
        <v>45938</v>
      </c>
      <c r="E10589" s="199">
        <f t="shared" si="1412"/>
        <v>45938</v>
      </c>
      <c r="F10589" s="513" t="s">
        <v>2097</v>
      </c>
      <c r="G10589" s="200" t="s">
        <v>1209</v>
      </c>
      <c r="H10589" s="201"/>
      <c r="I10589" s="201"/>
      <c r="J10589" s="197" t="s">
        <v>1251</v>
      </c>
      <c r="K10589" s="202">
        <v>301583.33</v>
      </c>
      <c r="L10589" s="202"/>
    </row>
    <row r="10590" spans="1:15" ht="11.25" customHeight="1" x14ac:dyDescent="0.2">
      <c r="A10590" s="191">
        <v>2025</v>
      </c>
      <c r="B10590" s="191">
        <v>10</v>
      </c>
      <c r="C10590" s="191">
        <v>8</v>
      </c>
      <c r="D10590" s="192">
        <f t="shared" si="1406"/>
        <v>45938</v>
      </c>
      <c r="E10590" s="193">
        <f t="shared" si="1412"/>
        <v>45938</v>
      </c>
      <c r="F10590" s="514"/>
      <c r="G10590" s="194" t="s">
        <v>1209</v>
      </c>
      <c r="H10590" s="195"/>
      <c r="I10590" s="195"/>
      <c r="J10590" s="191" t="s">
        <v>46</v>
      </c>
      <c r="K10590" s="196"/>
      <c r="L10590" s="196">
        <f>K10589</f>
        <v>301583.33</v>
      </c>
    </row>
    <row r="10591" spans="1:15" ht="11.25" customHeight="1" x14ac:dyDescent="0.2">
      <c r="A10591" s="197">
        <v>2025</v>
      </c>
      <c r="B10591" s="197">
        <v>10</v>
      </c>
      <c r="C10591" s="197">
        <v>8</v>
      </c>
      <c r="D10591" s="198">
        <f t="shared" si="1406"/>
        <v>45938</v>
      </c>
      <c r="E10591" s="290">
        <f t="shared" si="1412"/>
        <v>45938</v>
      </c>
      <c r="F10591" s="513" t="s">
        <v>1514</v>
      </c>
      <c r="G10591" s="200" t="s">
        <v>1209</v>
      </c>
      <c r="H10591" s="201"/>
      <c r="I10591" s="201"/>
      <c r="J10591" s="197" t="s">
        <v>54</v>
      </c>
      <c r="K10591" s="202">
        <v>258</v>
      </c>
      <c r="L10591" s="202"/>
      <c r="M10591" s="251"/>
      <c r="N10591" s="251"/>
      <c r="O10591" s="251"/>
    </row>
    <row r="10592" spans="1:15" ht="11.25" customHeight="1" x14ac:dyDescent="0.2">
      <c r="A10592" s="191">
        <v>2025</v>
      </c>
      <c r="B10592" s="191">
        <v>10</v>
      </c>
      <c r="C10592" s="191">
        <v>8</v>
      </c>
      <c r="D10592" s="192">
        <f t="shared" si="1406"/>
        <v>45938</v>
      </c>
      <c r="E10592" s="291">
        <f t="shared" si="1412"/>
        <v>45938</v>
      </c>
      <c r="F10592" s="514"/>
      <c r="G10592" s="194" t="s">
        <v>1209</v>
      </c>
      <c r="H10592" s="195"/>
      <c r="I10592" s="195"/>
      <c r="J10592" s="191" t="s">
        <v>46</v>
      </c>
      <c r="K10592" s="196"/>
      <c r="L10592" s="196">
        <f>K10591</f>
        <v>258</v>
      </c>
      <c r="M10592" s="251"/>
    </row>
    <row r="10593" spans="1:15" ht="10.5" customHeight="1" x14ac:dyDescent="0.2">
      <c r="A10593" s="197">
        <v>2025</v>
      </c>
      <c r="B10593" s="197">
        <v>10</v>
      </c>
      <c r="C10593" s="197">
        <v>9</v>
      </c>
      <c r="D10593" s="198">
        <f t="shared" si="1406"/>
        <v>45939</v>
      </c>
      <c r="E10593" s="209">
        <f t="shared" ref="E10593:E10595" si="1413">DATE(A10593,B10593,C10593)</f>
        <v>45939</v>
      </c>
      <c r="F10593" s="513" t="s">
        <v>1210</v>
      </c>
      <c r="G10593" s="200" t="s">
        <v>1209</v>
      </c>
      <c r="H10593" s="201"/>
      <c r="I10593" s="201"/>
      <c r="J10593" s="197" t="s">
        <v>46</v>
      </c>
      <c r="K10593" s="202">
        <v>60000</v>
      </c>
      <c r="L10593" s="202"/>
    </row>
    <row r="10594" spans="1:15" x14ac:dyDescent="0.2">
      <c r="A10594" s="120">
        <v>2025</v>
      </c>
      <c r="B10594" s="120">
        <v>10</v>
      </c>
      <c r="C10594" s="120">
        <v>9</v>
      </c>
      <c r="D10594" s="208">
        <f t="shared" si="1406"/>
        <v>45939</v>
      </c>
      <c r="E10594" s="209">
        <f t="shared" si="1413"/>
        <v>45939</v>
      </c>
      <c r="F10594" s="515"/>
      <c r="G10594" s="132" t="s">
        <v>1209</v>
      </c>
      <c r="J10594" s="120" t="s">
        <v>16</v>
      </c>
      <c r="K10594" s="207"/>
      <c r="L10594" s="207">
        <v>44320</v>
      </c>
    </row>
    <row r="10595" spans="1:15" x14ac:dyDescent="0.2">
      <c r="A10595" s="191">
        <v>2025</v>
      </c>
      <c r="B10595" s="191">
        <v>10</v>
      </c>
      <c r="C10595" s="191">
        <v>9</v>
      </c>
      <c r="D10595" s="192">
        <f t="shared" si="1406"/>
        <v>45939</v>
      </c>
      <c r="E10595" s="193">
        <f t="shared" si="1413"/>
        <v>45939</v>
      </c>
      <c r="F10595" s="514"/>
      <c r="G10595" s="194" t="s">
        <v>1209</v>
      </c>
      <c r="H10595" s="195"/>
      <c r="I10595" s="195"/>
      <c r="J10595" s="191" t="s">
        <v>47</v>
      </c>
      <c r="K10595" s="196"/>
      <c r="L10595" s="196">
        <v>15680</v>
      </c>
    </row>
    <row r="10596" spans="1:15" x14ac:dyDescent="0.2">
      <c r="A10596" s="197">
        <v>2025</v>
      </c>
      <c r="B10596" s="197">
        <v>10</v>
      </c>
      <c r="C10596" s="197">
        <v>9</v>
      </c>
      <c r="D10596" s="198">
        <f t="shared" si="1406"/>
        <v>45939</v>
      </c>
      <c r="E10596" s="209">
        <f t="shared" ref="E10596:E10621" si="1414">DATE(A10596,B10596,C10596)</f>
        <v>45939</v>
      </c>
      <c r="F10596" s="513" t="s">
        <v>1280</v>
      </c>
      <c r="G10596" s="200" t="s">
        <v>1209</v>
      </c>
      <c r="H10596" s="201"/>
      <c r="I10596" s="201"/>
      <c r="J10596" s="197" t="s">
        <v>16</v>
      </c>
      <c r="K10596" s="202">
        <v>88650</v>
      </c>
      <c r="L10596" s="202"/>
    </row>
    <row r="10597" spans="1:15" x14ac:dyDescent="0.2">
      <c r="A10597" s="120">
        <v>2025</v>
      </c>
      <c r="B10597" s="120">
        <v>10</v>
      </c>
      <c r="C10597" s="120">
        <v>9</v>
      </c>
      <c r="D10597" s="208">
        <f t="shared" si="1406"/>
        <v>45939</v>
      </c>
      <c r="E10597" s="209">
        <f t="shared" si="1414"/>
        <v>45939</v>
      </c>
      <c r="F10597" s="515"/>
      <c r="G10597" s="132" t="s">
        <v>1209</v>
      </c>
      <c r="J10597" s="120" t="s">
        <v>47</v>
      </c>
      <c r="K10597" s="207">
        <v>31350</v>
      </c>
      <c r="L10597" s="207"/>
    </row>
    <row r="10598" spans="1:15" x14ac:dyDescent="0.2">
      <c r="A10598" s="191">
        <v>2025</v>
      </c>
      <c r="B10598" s="191">
        <v>10</v>
      </c>
      <c r="C10598" s="191">
        <v>9</v>
      </c>
      <c r="D10598" s="192">
        <f t="shared" si="1406"/>
        <v>45939</v>
      </c>
      <c r="E10598" s="193">
        <f t="shared" si="1414"/>
        <v>45939</v>
      </c>
      <c r="F10598" s="514"/>
      <c r="G10598" s="194" t="s">
        <v>1209</v>
      </c>
      <c r="H10598" s="195"/>
      <c r="I10598" s="195"/>
      <c r="J10598" s="191" t="s">
        <v>46</v>
      </c>
      <c r="K10598" s="196"/>
      <c r="L10598" s="196">
        <v>120000</v>
      </c>
    </row>
    <row r="10599" spans="1:15" x14ac:dyDescent="0.2">
      <c r="A10599" s="197">
        <v>2025</v>
      </c>
      <c r="B10599" s="197">
        <v>10</v>
      </c>
      <c r="C10599" s="197">
        <v>9</v>
      </c>
      <c r="D10599" s="198">
        <f t="shared" si="1406"/>
        <v>45939</v>
      </c>
      <c r="E10599" s="209">
        <f t="shared" si="1414"/>
        <v>45939</v>
      </c>
      <c r="F10599" s="513" t="s">
        <v>1210</v>
      </c>
      <c r="G10599" s="200" t="s">
        <v>1209</v>
      </c>
      <c r="H10599" s="201"/>
      <c r="I10599" s="201"/>
      <c r="J10599" s="197" t="s">
        <v>46</v>
      </c>
      <c r="K10599" s="202">
        <v>399991.28</v>
      </c>
      <c r="L10599" s="202"/>
    </row>
    <row r="10600" spans="1:15" x14ac:dyDescent="0.2">
      <c r="A10600" s="120">
        <v>2025</v>
      </c>
      <c r="B10600" s="120">
        <v>10</v>
      </c>
      <c r="C10600" s="120">
        <v>9</v>
      </c>
      <c r="D10600" s="208">
        <f t="shared" si="1406"/>
        <v>45939</v>
      </c>
      <c r="E10600" s="209">
        <f t="shared" si="1414"/>
        <v>45939</v>
      </c>
      <c r="F10600" s="515"/>
      <c r="G10600" s="132" t="s">
        <v>1209</v>
      </c>
      <c r="J10600" s="120" t="s">
        <v>16</v>
      </c>
      <c r="K10600" s="207"/>
      <c r="L10600" s="207">
        <v>295480</v>
      </c>
    </row>
    <row r="10601" spans="1:15" x14ac:dyDescent="0.2">
      <c r="A10601" s="191">
        <v>2025</v>
      </c>
      <c r="B10601" s="191">
        <v>10</v>
      </c>
      <c r="C10601" s="191">
        <v>9</v>
      </c>
      <c r="D10601" s="192">
        <f t="shared" si="1406"/>
        <v>45939</v>
      </c>
      <c r="E10601" s="193">
        <f t="shared" si="1414"/>
        <v>45939</v>
      </c>
      <c r="F10601" s="514"/>
      <c r="G10601" s="194" t="s">
        <v>1209</v>
      </c>
      <c r="H10601" s="195"/>
      <c r="I10601" s="195"/>
      <c r="J10601" s="191" t="s">
        <v>47</v>
      </c>
      <c r="K10601" s="196"/>
      <c r="L10601" s="196">
        <v>104511.28000000003</v>
      </c>
    </row>
    <row r="10602" spans="1:15" ht="11.25" customHeight="1" x14ac:dyDescent="0.2">
      <c r="A10602" s="197">
        <v>2025</v>
      </c>
      <c r="B10602" s="197">
        <v>10</v>
      </c>
      <c r="C10602" s="197">
        <v>9</v>
      </c>
      <c r="D10602" s="198">
        <f t="shared" si="1406"/>
        <v>45939</v>
      </c>
      <c r="E10602" s="199">
        <f t="shared" si="1414"/>
        <v>45939</v>
      </c>
      <c r="F10602" s="513" t="s">
        <v>1875</v>
      </c>
      <c r="G10602" s="200" t="s">
        <v>1209</v>
      </c>
      <c r="H10602" s="201"/>
      <c r="I10602" s="201" t="s">
        <v>1253</v>
      </c>
      <c r="J10602" s="197" t="s">
        <v>1837</v>
      </c>
      <c r="K10602" s="202">
        <v>1066105.6299999999</v>
      </c>
      <c r="L10602" s="202"/>
    </row>
    <row r="10603" spans="1:15" ht="11.25" customHeight="1" x14ac:dyDescent="0.2">
      <c r="A10603" s="191">
        <v>2025</v>
      </c>
      <c r="B10603" s="191">
        <v>10</v>
      </c>
      <c r="C10603" s="191">
        <v>9</v>
      </c>
      <c r="D10603" s="192">
        <f t="shared" si="1406"/>
        <v>45939</v>
      </c>
      <c r="E10603" s="193">
        <f t="shared" si="1414"/>
        <v>45939</v>
      </c>
      <c r="F10603" s="514"/>
      <c r="G10603" s="194" t="s">
        <v>1209</v>
      </c>
      <c r="H10603" s="195"/>
      <c r="I10603" s="195" t="s">
        <v>1253</v>
      </c>
      <c r="J10603" s="191" t="s">
        <v>46</v>
      </c>
      <c r="K10603" s="196"/>
      <c r="L10603" s="196">
        <f>K10602</f>
        <v>1066105.6299999999</v>
      </c>
      <c r="N10603" s="130"/>
    </row>
    <row r="10604" spans="1:15" ht="11.25" customHeight="1" x14ac:dyDescent="0.2">
      <c r="A10604" s="197">
        <v>2025</v>
      </c>
      <c r="B10604" s="197">
        <v>10</v>
      </c>
      <c r="C10604" s="197">
        <v>9</v>
      </c>
      <c r="D10604" s="198">
        <f t="shared" ref="D10604:D10667" si="1415">DATE(A10604,B10604,C10604)</f>
        <v>45939</v>
      </c>
      <c r="E10604" s="290">
        <f t="shared" si="1414"/>
        <v>45939</v>
      </c>
      <c r="F10604" s="513" t="s">
        <v>2033</v>
      </c>
      <c r="G10604" s="200" t="s">
        <v>1245</v>
      </c>
      <c r="H10604" s="201"/>
      <c r="I10604" s="201" t="s">
        <v>1253</v>
      </c>
      <c r="J10604" s="197" t="s">
        <v>46</v>
      </c>
      <c r="K10604" s="202">
        <v>101666.67</v>
      </c>
      <c r="L10604" s="202"/>
      <c r="M10604" s="130"/>
      <c r="N10604" s="251"/>
    </row>
    <row r="10605" spans="1:15" ht="11.25" customHeight="1" x14ac:dyDescent="0.2">
      <c r="A10605" s="191">
        <v>2025</v>
      </c>
      <c r="B10605" s="191">
        <v>10</v>
      </c>
      <c r="C10605" s="191">
        <v>9</v>
      </c>
      <c r="D10605" s="192">
        <f t="shared" si="1415"/>
        <v>45939</v>
      </c>
      <c r="E10605" s="291">
        <f t="shared" si="1414"/>
        <v>45939</v>
      </c>
      <c r="F10605" s="527"/>
      <c r="G10605" s="194" t="s">
        <v>1245</v>
      </c>
      <c r="H10605" s="195"/>
      <c r="I10605" s="195" t="s">
        <v>1253</v>
      </c>
      <c r="J10605" s="191" t="s">
        <v>113</v>
      </c>
      <c r="K10605" s="196"/>
      <c r="L10605" s="196">
        <v>101666.67</v>
      </c>
      <c r="N10605" s="251"/>
    </row>
    <row r="10606" spans="1:15" ht="11.25" customHeight="1" x14ac:dyDescent="0.2">
      <c r="A10606" s="197">
        <v>2025</v>
      </c>
      <c r="B10606" s="197">
        <v>10</v>
      </c>
      <c r="C10606" s="197">
        <v>9</v>
      </c>
      <c r="D10606" s="198">
        <f t="shared" si="1415"/>
        <v>45939</v>
      </c>
      <c r="E10606" s="290">
        <f t="shared" si="1414"/>
        <v>45939</v>
      </c>
      <c r="F10606" s="513" t="s">
        <v>1514</v>
      </c>
      <c r="G10606" s="200" t="s">
        <v>1209</v>
      </c>
      <c r="H10606" s="201"/>
      <c r="I10606" s="201"/>
      <c r="J10606" s="197" t="s">
        <v>54</v>
      </c>
      <c r="K10606" s="202">
        <v>10</v>
      </c>
      <c r="L10606" s="202"/>
      <c r="M10606" s="251"/>
      <c r="N10606" s="251"/>
      <c r="O10606" s="251"/>
    </row>
    <row r="10607" spans="1:15" ht="11.25" customHeight="1" x14ac:dyDescent="0.2">
      <c r="A10607" s="191">
        <v>2025</v>
      </c>
      <c r="B10607" s="191">
        <v>10</v>
      </c>
      <c r="C10607" s="191">
        <v>9</v>
      </c>
      <c r="D10607" s="192">
        <f t="shared" si="1415"/>
        <v>45939</v>
      </c>
      <c r="E10607" s="291">
        <f t="shared" si="1414"/>
        <v>45939</v>
      </c>
      <c r="F10607" s="514"/>
      <c r="G10607" s="194" t="s">
        <v>1209</v>
      </c>
      <c r="H10607" s="195"/>
      <c r="I10607" s="195"/>
      <c r="J10607" s="191" t="s">
        <v>46</v>
      </c>
      <c r="K10607" s="196"/>
      <c r="L10607" s="196">
        <f>K10606</f>
        <v>10</v>
      </c>
      <c r="M10607" s="251"/>
    </row>
    <row r="10608" spans="1:15" ht="11.25" customHeight="1" x14ac:dyDescent="0.2">
      <c r="A10608" s="197">
        <v>2025</v>
      </c>
      <c r="B10608" s="197">
        <v>10</v>
      </c>
      <c r="C10608" s="197">
        <v>9</v>
      </c>
      <c r="D10608" s="198">
        <f t="shared" si="1415"/>
        <v>45939</v>
      </c>
      <c r="E10608" s="290">
        <f t="shared" si="1414"/>
        <v>45939</v>
      </c>
      <c r="F10608" s="513" t="s">
        <v>2096</v>
      </c>
      <c r="G10608" s="200" t="s">
        <v>1209</v>
      </c>
      <c r="H10608" s="201"/>
      <c r="I10608" s="201" t="s">
        <v>1253</v>
      </c>
      <c r="J10608" s="197" t="s">
        <v>46</v>
      </c>
      <c r="K10608" s="202">
        <v>1445250</v>
      </c>
      <c r="L10608" s="202"/>
    </row>
    <row r="10609" spans="1:12" ht="11.25" customHeight="1" x14ac:dyDescent="0.2">
      <c r="A10609" s="191">
        <v>2025</v>
      </c>
      <c r="B10609" s="191">
        <v>10</v>
      </c>
      <c r="C10609" s="191">
        <v>9</v>
      </c>
      <c r="D10609" s="192">
        <f t="shared" si="1415"/>
        <v>45939</v>
      </c>
      <c r="E10609" s="291">
        <f t="shared" si="1414"/>
        <v>45939</v>
      </c>
      <c r="F10609" s="514"/>
      <c r="G10609" s="194" t="s">
        <v>1209</v>
      </c>
      <c r="H10609" s="195"/>
      <c r="I10609" s="195"/>
      <c r="J10609" s="191" t="s">
        <v>1845</v>
      </c>
      <c r="K10609" s="196"/>
      <c r="L10609" s="196">
        <f>K10608</f>
        <v>1445250</v>
      </c>
    </row>
    <row r="10610" spans="1:12" x14ac:dyDescent="0.2">
      <c r="A10610" s="424">
        <v>2025</v>
      </c>
      <c r="B10610" s="424">
        <v>10</v>
      </c>
      <c r="C10610" s="424">
        <v>9</v>
      </c>
      <c r="D10610" s="425">
        <f t="shared" si="1415"/>
        <v>45939</v>
      </c>
      <c r="E10610" s="384">
        <f t="shared" si="1414"/>
        <v>45939</v>
      </c>
      <c r="F10610" s="516" t="s">
        <v>1850</v>
      </c>
      <c r="G10610" s="426" t="s">
        <v>1209</v>
      </c>
      <c r="H10610" s="427"/>
      <c r="I10610" s="427"/>
      <c r="J10610" s="428" t="s">
        <v>81</v>
      </c>
      <c r="K10610" s="429">
        <v>11170.721538461539</v>
      </c>
      <c r="L10610" s="429"/>
    </row>
    <row r="10611" spans="1:12" x14ac:dyDescent="0.2">
      <c r="A10611" s="389">
        <v>2025</v>
      </c>
      <c r="B10611" s="389">
        <v>10</v>
      </c>
      <c r="C10611" s="389">
        <v>9</v>
      </c>
      <c r="D10611" s="390">
        <f t="shared" si="1415"/>
        <v>45939</v>
      </c>
      <c r="E10611" s="391">
        <f t="shared" si="1414"/>
        <v>45939</v>
      </c>
      <c r="F10611" s="517"/>
      <c r="G10611" s="392" t="s">
        <v>1209</v>
      </c>
      <c r="H10611" s="393"/>
      <c r="I10611" s="393"/>
      <c r="J10611" s="394" t="s">
        <v>1847</v>
      </c>
      <c r="K10611" s="423"/>
      <c r="L10611" s="423">
        <f>K10610</f>
        <v>11170.721538461539</v>
      </c>
    </row>
    <row r="10612" spans="1:12" ht="11.25" customHeight="1" x14ac:dyDescent="0.2">
      <c r="A10612" s="382">
        <v>2025</v>
      </c>
      <c r="B10612" s="382">
        <v>10</v>
      </c>
      <c r="C10612" s="382">
        <v>9</v>
      </c>
      <c r="D10612" s="383">
        <f t="shared" si="1415"/>
        <v>45939</v>
      </c>
      <c r="E10612" s="384">
        <f t="shared" si="1414"/>
        <v>45939</v>
      </c>
      <c r="F10612" s="516" t="s">
        <v>1892</v>
      </c>
      <c r="G10612" s="385" t="s">
        <v>1209</v>
      </c>
      <c r="H10612" s="386"/>
      <c r="I10612" s="386"/>
      <c r="J10612" s="387" t="s">
        <v>173</v>
      </c>
      <c r="K10612" s="388">
        <v>4888.2457290218745</v>
      </c>
      <c r="L10612" s="388"/>
    </row>
    <row r="10613" spans="1:12" ht="11.25" customHeight="1" x14ac:dyDescent="0.2">
      <c r="A10613" s="389">
        <v>2025</v>
      </c>
      <c r="B10613" s="389">
        <v>10</v>
      </c>
      <c r="C10613" s="389">
        <v>9</v>
      </c>
      <c r="D10613" s="390">
        <f t="shared" si="1415"/>
        <v>45939</v>
      </c>
      <c r="E10613" s="391">
        <f t="shared" si="1414"/>
        <v>45939</v>
      </c>
      <c r="F10613" s="517"/>
      <c r="G10613" s="392" t="s">
        <v>1209</v>
      </c>
      <c r="H10613" s="393"/>
      <c r="I10613" s="393"/>
      <c r="J10613" s="394" t="s">
        <v>43</v>
      </c>
      <c r="K10613" s="388"/>
      <c r="L10613" s="423">
        <f>K10612</f>
        <v>4888.2457290218745</v>
      </c>
    </row>
    <row r="10614" spans="1:12" ht="11.25" customHeight="1" x14ac:dyDescent="0.2">
      <c r="A10614" s="344">
        <v>2025</v>
      </c>
      <c r="B10614" s="344">
        <v>10</v>
      </c>
      <c r="C10614" s="344">
        <v>9</v>
      </c>
      <c r="D10614" s="345">
        <f t="shared" si="1415"/>
        <v>45939</v>
      </c>
      <c r="E10614" s="346">
        <f t="shared" si="1414"/>
        <v>45939</v>
      </c>
      <c r="F10614" s="518" t="s">
        <v>1982</v>
      </c>
      <c r="G10614" s="347" t="s">
        <v>1245</v>
      </c>
      <c r="H10614" s="348"/>
      <c r="I10614" s="348" t="s">
        <v>1253</v>
      </c>
      <c r="J10614" s="344" t="s">
        <v>1978</v>
      </c>
      <c r="K10614" s="349">
        <v>148748.07692307694</v>
      </c>
      <c r="L10614" s="349"/>
    </row>
    <row r="10615" spans="1:12" ht="11.25" customHeight="1" x14ac:dyDescent="0.2">
      <c r="A10615" s="350">
        <v>2025</v>
      </c>
      <c r="B10615" s="350">
        <v>10</v>
      </c>
      <c r="C10615" s="350">
        <v>9</v>
      </c>
      <c r="D10615" s="351">
        <f t="shared" si="1415"/>
        <v>45939</v>
      </c>
      <c r="E10615" s="352">
        <f t="shared" si="1414"/>
        <v>45939</v>
      </c>
      <c r="F10615" s="519"/>
      <c r="G10615" s="353" t="s">
        <v>1245</v>
      </c>
      <c r="H10615" s="354"/>
      <c r="I10615" s="354" t="s">
        <v>1253</v>
      </c>
      <c r="J10615" s="350" t="s">
        <v>1979</v>
      </c>
      <c r="K10615" s="355"/>
      <c r="L10615" s="355">
        <f>K10614</f>
        <v>148748.07692307694</v>
      </c>
    </row>
    <row r="10616" spans="1:12" ht="11.25" customHeight="1" x14ac:dyDescent="0.2">
      <c r="A10616" s="344">
        <v>2025</v>
      </c>
      <c r="B10616" s="344">
        <v>10</v>
      </c>
      <c r="C10616" s="344">
        <v>9</v>
      </c>
      <c r="D10616" s="345">
        <f t="shared" si="1415"/>
        <v>45939</v>
      </c>
      <c r="E10616" s="346">
        <f t="shared" si="1414"/>
        <v>45939</v>
      </c>
      <c r="F10616" s="518" t="s">
        <v>2009</v>
      </c>
      <c r="G10616" s="347" t="s">
        <v>1245</v>
      </c>
      <c r="H10616" s="348"/>
      <c r="I10616" s="348" t="s">
        <v>1253</v>
      </c>
      <c r="J10616" s="344" t="s">
        <v>2004</v>
      </c>
      <c r="K10616" s="349">
        <v>49692.31</v>
      </c>
      <c r="L10616" s="349"/>
    </row>
    <row r="10617" spans="1:12" ht="11.25" customHeight="1" x14ac:dyDescent="0.2">
      <c r="A10617" s="350">
        <v>2025</v>
      </c>
      <c r="B10617" s="350">
        <v>10</v>
      </c>
      <c r="C10617" s="350">
        <v>9</v>
      </c>
      <c r="D10617" s="351">
        <f t="shared" si="1415"/>
        <v>45939</v>
      </c>
      <c r="E10617" s="352">
        <f t="shared" si="1414"/>
        <v>45939</v>
      </c>
      <c r="F10617" s="519"/>
      <c r="G10617" s="353" t="s">
        <v>1245</v>
      </c>
      <c r="H10617" s="354"/>
      <c r="I10617" s="354" t="s">
        <v>1253</v>
      </c>
      <c r="J10617" s="350" t="s">
        <v>2008</v>
      </c>
      <c r="K10617" s="355"/>
      <c r="L10617" s="355">
        <f t="shared" ref="L10617" si="1416">K10616</f>
        <v>49692.31</v>
      </c>
    </row>
    <row r="10618" spans="1:12" ht="11.25" customHeight="1" x14ac:dyDescent="0.2">
      <c r="A10618" s="344">
        <v>2025</v>
      </c>
      <c r="B10618" s="344">
        <v>10</v>
      </c>
      <c r="C10618" s="344">
        <v>9</v>
      </c>
      <c r="D10618" s="345">
        <f t="shared" si="1415"/>
        <v>45939</v>
      </c>
      <c r="E10618" s="346">
        <f t="shared" si="1414"/>
        <v>45939</v>
      </c>
      <c r="F10618" s="518" t="s">
        <v>2009</v>
      </c>
      <c r="G10618" s="347" t="s">
        <v>1245</v>
      </c>
      <c r="H10618" s="348"/>
      <c r="I10618" s="348" t="s">
        <v>1253</v>
      </c>
      <c r="J10618" s="344" t="s">
        <v>2004</v>
      </c>
      <c r="K10618" s="349">
        <v>49692.31</v>
      </c>
      <c r="L10618" s="349"/>
    </row>
    <row r="10619" spans="1:12" ht="11.25" customHeight="1" x14ac:dyDescent="0.2">
      <c r="A10619" s="350">
        <v>2025</v>
      </c>
      <c r="B10619" s="350">
        <v>10</v>
      </c>
      <c r="C10619" s="350">
        <v>9</v>
      </c>
      <c r="D10619" s="351">
        <f t="shared" si="1415"/>
        <v>45939</v>
      </c>
      <c r="E10619" s="352">
        <f t="shared" si="1414"/>
        <v>45939</v>
      </c>
      <c r="F10619" s="519"/>
      <c r="G10619" s="353" t="s">
        <v>1245</v>
      </c>
      <c r="H10619" s="354"/>
      <c r="I10619" s="354" t="s">
        <v>1253</v>
      </c>
      <c r="J10619" s="350" t="s">
        <v>2008</v>
      </c>
      <c r="K10619" s="355"/>
      <c r="L10619" s="355">
        <f t="shared" ref="L10619" si="1417">K10618</f>
        <v>49692.31</v>
      </c>
    </row>
    <row r="10620" spans="1:12" ht="11.25" customHeight="1" x14ac:dyDescent="0.2">
      <c r="A10620" s="344">
        <v>2025</v>
      </c>
      <c r="B10620" s="344">
        <v>10</v>
      </c>
      <c r="C10620" s="344">
        <v>9</v>
      </c>
      <c r="D10620" s="345">
        <f t="shared" si="1415"/>
        <v>45939</v>
      </c>
      <c r="E10620" s="346">
        <f t="shared" si="1414"/>
        <v>45939</v>
      </c>
      <c r="F10620" s="518" t="s">
        <v>2088</v>
      </c>
      <c r="G10620" s="347" t="s">
        <v>1245</v>
      </c>
      <c r="H10620" s="348"/>
      <c r="I10620" s="348" t="s">
        <v>1253</v>
      </c>
      <c r="J10620" s="344" t="s">
        <v>2086</v>
      </c>
      <c r="K10620" s="349">
        <v>12528.846153846154</v>
      </c>
      <c r="L10620" s="349"/>
    </row>
    <row r="10621" spans="1:12" ht="11.25" customHeight="1" x14ac:dyDescent="0.2">
      <c r="A10621" s="350">
        <v>2025</v>
      </c>
      <c r="B10621" s="350">
        <v>10</v>
      </c>
      <c r="C10621" s="350">
        <v>9</v>
      </c>
      <c r="D10621" s="351">
        <f t="shared" si="1415"/>
        <v>45939</v>
      </c>
      <c r="E10621" s="352">
        <f t="shared" si="1414"/>
        <v>45939</v>
      </c>
      <c r="F10621" s="519"/>
      <c r="G10621" s="353" t="s">
        <v>1245</v>
      </c>
      <c r="H10621" s="354"/>
      <c r="I10621" s="354" t="s">
        <v>1253</v>
      </c>
      <c r="J10621" s="350" t="s">
        <v>2089</v>
      </c>
      <c r="K10621" s="355"/>
      <c r="L10621" s="355">
        <v>12528.846153846154</v>
      </c>
    </row>
    <row r="10622" spans="1:12" ht="11.25" customHeight="1" x14ac:dyDescent="0.2">
      <c r="A10622" s="344">
        <v>2025</v>
      </c>
      <c r="B10622" s="344">
        <v>10</v>
      </c>
      <c r="C10622" s="344">
        <v>9</v>
      </c>
      <c r="D10622" s="345">
        <f t="shared" si="1415"/>
        <v>45939</v>
      </c>
      <c r="E10622" s="346">
        <f>DATE(A10622,B10622,C10622)</f>
        <v>45939</v>
      </c>
      <c r="F10622" s="518" t="s">
        <v>1988</v>
      </c>
      <c r="G10622" s="347" t="s">
        <v>1245</v>
      </c>
      <c r="H10622" s="348"/>
      <c r="I10622" s="348" t="s">
        <v>1253</v>
      </c>
      <c r="J10622" s="344" t="s">
        <v>113</v>
      </c>
      <c r="K10622" s="349">
        <v>32846.15</v>
      </c>
      <c r="L10622" s="349"/>
    </row>
    <row r="10623" spans="1:12" ht="11.25" customHeight="1" x14ac:dyDescent="0.2">
      <c r="A10623" s="350">
        <v>2025</v>
      </c>
      <c r="B10623" s="350">
        <v>10</v>
      </c>
      <c r="C10623" s="350">
        <v>9</v>
      </c>
      <c r="D10623" s="351">
        <f t="shared" si="1415"/>
        <v>45939</v>
      </c>
      <c r="E10623" s="352">
        <f>DATE(A10623,B10623,C10623)</f>
        <v>45939</v>
      </c>
      <c r="F10623" s="519"/>
      <c r="G10623" s="353" t="s">
        <v>1245</v>
      </c>
      <c r="H10623" s="354"/>
      <c r="I10623" s="354" t="s">
        <v>1253</v>
      </c>
      <c r="J10623" s="350" t="s">
        <v>153</v>
      </c>
      <c r="K10623" s="355"/>
      <c r="L10623" s="355">
        <f t="shared" ref="L10623" si="1418">K10622</f>
        <v>32846.15</v>
      </c>
    </row>
    <row r="10624" spans="1:12" ht="11.25" customHeight="1" x14ac:dyDescent="0.2">
      <c r="A10624" s="344">
        <v>2025</v>
      </c>
      <c r="B10624" s="344">
        <v>10</v>
      </c>
      <c r="C10624" s="344">
        <v>9</v>
      </c>
      <c r="D10624" s="345">
        <f t="shared" si="1415"/>
        <v>45939</v>
      </c>
      <c r="E10624" s="346">
        <f t="shared" ref="E10624:E10628" si="1419">DATE(A10624,B10624,C10624)</f>
        <v>45939</v>
      </c>
      <c r="F10624" s="518" t="s">
        <v>1989</v>
      </c>
      <c r="G10624" s="347" t="s">
        <v>1245</v>
      </c>
      <c r="H10624" s="348"/>
      <c r="I10624" s="348" t="s">
        <v>1253</v>
      </c>
      <c r="J10624" s="344" t="s">
        <v>113</v>
      </c>
      <c r="K10624" s="349">
        <v>23461.538461538461</v>
      </c>
      <c r="L10624" s="349"/>
    </row>
    <row r="10625" spans="1:16" ht="11.25" customHeight="1" x14ac:dyDescent="0.2">
      <c r="A10625" s="350">
        <v>2025</v>
      </c>
      <c r="B10625" s="350">
        <v>10</v>
      </c>
      <c r="C10625" s="350">
        <v>9</v>
      </c>
      <c r="D10625" s="351">
        <f t="shared" si="1415"/>
        <v>45939</v>
      </c>
      <c r="E10625" s="352">
        <f t="shared" si="1419"/>
        <v>45939</v>
      </c>
      <c r="F10625" s="519"/>
      <c r="G10625" s="353" t="s">
        <v>1245</v>
      </c>
      <c r="H10625" s="354"/>
      <c r="I10625" s="354" t="s">
        <v>1253</v>
      </c>
      <c r="J10625" s="350" t="s">
        <v>153</v>
      </c>
      <c r="K10625" s="355"/>
      <c r="L10625" s="355">
        <f t="shared" ref="L10625" si="1420">K10624</f>
        <v>23461.538461538461</v>
      </c>
    </row>
    <row r="10626" spans="1:16" ht="11.25" customHeight="1" x14ac:dyDescent="0.2">
      <c r="A10626" s="344">
        <v>2025</v>
      </c>
      <c r="B10626" s="344">
        <v>10</v>
      </c>
      <c r="C10626" s="344">
        <v>9</v>
      </c>
      <c r="D10626" s="345">
        <f t="shared" si="1415"/>
        <v>45939</v>
      </c>
      <c r="E10626" s="346">
        <f t="shared" si="1419"/>
        <v>45939</v>
      </c>
      <c r="F10626" s="518" t="s">
        <v>1990</v>
      </c>
      <c r="G10626" s="347" t="s">
        <v>1245</v>
      </c>
      <c r="H10626" s="348"/>
      <c r="I10626" s="348" t="s">
        <v>1253</v>
      </c>
      <c r="J10626" s="344" t="s">
        <v>113</v>
      </c>
      <c r="K10626" s="349">
        <v>70384.62</v>
      </c>
      <c r="L10626" s="349"/>
      <c r="N10626" s="251"/>
      <c r="O10626" s="251"/>
      <c r="P10626" s="251"/>
    </row>
    <row r="10627" spans="1:16" ht="11.25" customHeight="1" x14ac:dyDescent="0.2">
      <c r="A10627" s="350">
        <v>2025</v>
      </c>
      <c r="B10627" s="350">
        <v>10</v>
      </c>
      <c r="C10627" s="350">
        <v>9</v>
      </c>
      <c r="D10627" s="351">
        <f t="shared" si="1415"/>
        <v>45939</v>
      </c>
      <c r="E10627" s="352">
        <f t="shared" si="1419"/>
        <v>45939</v>
      </c>
      <c r="F10627" s="519"/>
      <c r="G10627" s="353" t="s">
        <v>1245</v>
      </c>
      <c r="H10627" s="354"/>
      <c r="I10627" s="354" t="s">
        <v>1253</v>
      </c>
      <c r="J10627" s="350" t="s">
        <v>153</v>
      </c>
      <c r="K10627" s="355"/>
      <c r="L10627" s="355">
        <f t="shared" ref="L10627" si="1421">K10626</f>
        <v>70384.62</v>
      </c>
    </row>
    <row r="10628" spans="1:16" ht="11.25" customHeight="1" x14ac:dyDescent="0.2">
      <c r="A10628" s="210">
        <v>2025</v>
      </c>
      <c r="B10628" s="210">
        <v>10</v>
      </c>
      <c r="C10628" s="210">
        <v>9</v>
      </c>
      <c r="D10628" s="211">
        <f t="shared" si="1415"/>
        <v>45939</v>
      </c>
      <c r="E10628" s="238">
        <f t="shared" si="1419"/>
        <v>45939</v>
      </c>
      <c r="F10628" s="520" t="s">
        <v>1857</v>
      </c>
      <c r="G10628" s="213" t="s">
        <v>1245</v>
      </c>
      <c r="H10628" s="214"/>
      <c r="I10628" s="214" t="s">
        <v>1253</v>
      </c>
      <c r="J10628" s="210" t="s">
        <v>1284</v>
      </c>
      <c r="K10628" s="215">
        <v>2341.8114143920593</v>
      </c>
      <c r="L10628" s="215"/>
    </row>
    <row r="10629" spans="1:16" ht="11.25" customHeight="1" x14ac:dyDescent="0.2">
      <c r="A10629" s="242">
        <v>2025</v>
      </c>
      <c r="B10629" s="242">
        <v>10</v>
      </c>
      <c r="C10629" s="242">
        <v>9</v>
      </c>
      <c r="D10629" s="243">
        <f t="shared" si="1415"/>
        <v>45939</v>
      </c>
      <c r="E10629" s="244">
        <f>DATE(A10629,B10629,C10629)</f>
        <v>45939</v>
      </c>
      <c r="F10629" s="524"/>
      <c r="G10629" s="245" t="s">
        <v>1245</v>
      </c>
      <c r="H10629" s="246"/>
      <c r="I10629" s="246"/>
      <c r="J10629" s="242" t="s">
        <v>1582</v>
      </c>
      <c r="K10629" s="247"/>
      <c r="L10629" s="247">
        <f>K10628</f>
        <v>2341.8114143920593</v>
      </c>
    </row>
    <row r="10630" spans="1:16" ht="11.25" customHeight="1" x14ac:dyDescent="0.2">
      <c r="A10630" s="210">
        <v>2025</v>
      </c>
      <c r="B10630" s="210">
        <v>10</v>
      </c>
      <c r="C10630" s="210">
        <v>9</v>
      </c>
      <c r="D10630" s="211">
        <f t="shared" si="1415"/>
        <v>45939</v>
      </c>
      <c r="E10630" s="238">
        <f t="shared" ref="E10630:E10649" si="1422">DATE(A10630,B10630,C10630)</f>
        <v>45939</v>
      </c>
      <c r="F10630" s="520" t="s">
        <v>2055</v>
      </c>
      <c r="G10630" s="213" t="s">
        <v>1245</v>
      </c>
      <c r="H10630" s="214"/>
      <c r="I10630" s="214" t="s">
        <v>1253</v>
      </c>
      <c r="J10630" s="210" t="s">
        <v>58</v>
      </c>
      <c r="K10630" s="215">
        <v>17603.189999999999</v>
      </c>
      <c r="L10630" s="215"/>
    </row>
    <row r="10631" spans="1:16" ht="11.25" customHeight="1" x14ac:dyDescent="0.2">
      <c r="A10631" s="216">
        <v>2025</v>
      </c>
      <c r="B10631" s="216">
        <v>10</v>
      </c>
      <c r="C10631" s="216">
        <v>9</v>
      </c>
      <c r="D10631" s="217">
        <f t="shared" si="1415"/>
        <v>45939</v>
      </c>
      <c r="E10631" s="239">
        <f t="shared" si="1422"/>
        <v>45939</v>
      </c>
      <c r="F10631" s="521"/>
      <c r="G10631" s="219" t="s">
        <v>1245</v>
      </c>
      <c r="H10631" s="220"/>
      <c r="I10631" s="220" t="s">
        <v>1253</v>
      </c>
      <c r="J10631" s="216" t="s">
        <v>153</v>
      </c>
      <c r="K10631" s="221"/>
      <c r="L10631" s="221">
        <f>K10630</f>
        <v>17603.189999999999</v>
      </c>
    </row>
    <row r="10632" spans="1:16" ht="11.25" customHeight="1" x14ac:dyDescent="0.2">
      <c r="A10632" s="312">
        <v>2025</v>
      </c>
      <c r="B10632" s="312">
        <v>10</v>
      </c>
      <c r="C10632" s="312">
        <v>9</v>
      </c>
      <c r="D10632" s="313">
        <f t="shared" si="1415"/>
        <v>45939</v>
      </c>
      <c r="E10632" s="314">
        <f t="shared" si="1422"/>
        <v>45939</v>
      </c>
      <c r="F10632" s="522" t="s">
        <v>1477</v>
      </c>
      <c r="G10632" s="315" t="s">
        <v>1245</v>
      </c>
      <c r="H10632" s="316"/>
      <c r="I10632" s="316" t="s">
        <v>1253</v>
      </c>
      <c r="J10632" s="312" t="s">
        <v>1458</v>
      </c>
      <c r="K10632" s="317">
        <v>0</v>
      </c>
      <c r="L10632" s="317"/>
    </row>
    <row r="10633" spans="1:16" ht="11.25" customHeight="1" x14ac:dyDescent="0.2">
      <c r="A10633" s="318">
        <v>2025</v>
      </c>
      <c r="B10633" s="318">
        <v>10</v>
      </c>
      <c r="C10633" s="318">
        <v>9</v>
      </c>
      <c r="D10633" s="319">
        <f t="shared" si="1415"/>
        <v>45939</v>
      </c>
      <c r="E10633" s="320">
        <f t="shared" si="1422"/>
        <v>45939</v>
      </c>
      <c r="F10633" s="523"/>
      <c r="G10633" s="321" t="s">
        <v>1245</v>
      </c>
      <c r="H10633" s="322"/>
      <c r="I10633" s="322" t="s">
        <v>1253</v>
      </c>
      <c r="J10633" s="318" t="s">
        <v>1460</v>
      </c>
      <c r="K10633" s="323"/>
      <c r="L10633" s="323">
        <f>K10632</f>
        <v>0</v>
      </c>
    </row>
    <row r="10634" spans="1:16" ht="11.25" customHeight="1" x14ac:dyDescent="0.2">
      <c r="A10634" s="312">
        <v>2025</v>
      </c>
      <c r="B10634" s="312">
        <v>10</v>
      </c>
      <c r="C10634" s="312">
        <v>9</v>
      </c>
      <c r="D10634" s="313">
        <f t="shared" si="1415"/>
        <v>45939</v>
      </c>
      <c r="E10634" s="314">
        <f t="shared" si="1422"/>
        <v>45939</v>
      </c>
      <c r="F10634" s="522" t="s">
        <v>1595</v>
      </c>
      <c r="G10634" s="315" t="s">
        <v>1245</v>
      </c>
      <c r="H10634" s="316"/>
      <c r="I10634" s="316" t="s">
        <v>1253</v>
      </c>
      <c r="J10634" s="312" t="s">
        <v>1459</v>
      </c>
      <c r="K10634" s="317">
        <v>2203599.9120000005</v>
      </c>
      <c r="L10634" s="317"/>
      <c r="M10634" s="328">
        <f>BS!$I$14</f>
        <v>0</v>
      </c>
    </row>
    <row r="10635" spans="1:16" ht="11.25" customHeight="1" x14ac:dyDescent="0.2">
      <c r="A10635" s="318">
        <v>2025</v>
      </c>
      <c r="B10635" s="318">
        <v>10</v>
      </c>
      <c r="C10635" s="318">
        <v>9</v>
      </c>
      <c r="D10635" s="319">
        <f t="shared" si="1415"/>
        <v>45939</v>
      </c>
      <c r="E10635" s="320">
        <f t="shared" si="1422"/>
        <v>45939</v>
      </c>
      <c r="F10635" s="523"/>
      <c r="G10635" s="321" t="s">
        <v>1245</v>
      </c>
      <c r="H10635" s="322"/>
      <c r="I10635" s="322" t="s">
        <v>1253</v>
      </c>
      <c r="J10635" s="318" t="s">
        <v>1461</v>
      </c>
      <c r="K10635" s="323"/>
      <c r="L10635" s="323">
        <f>K10634</f>
        <v>2203599.9120000005</v>
      </c>
      <c r="M10635" s="328"/>
    </row>
    <row r="10636" spans="1:16" ht="11.25" customHeight="1" x14ac:dyDescent="0.2">
      <c r="A10636" s="222">
        <v>2025</v>
      </c>
      <c r="B10636" s="222">
        <v>10</v>
      </c>
      <c r="C10636" s="222">
        <v>9</v>
      </c>
      <c r="D10636" s="223">
        <f t="shared" si="1415"/>
        <v>45939</v>
      </c>
      <c r="E10636" s="240">
        <f t="shared" si="1422"/>
        <v>45939</v>
      </c>
      <c r="F10636" s="511" t="s">
        <v>1244</v>
      </c>
      <c r="G10636" s="225" t="s">
        <v>1245</v>
      </c>
      <c r="H10636" s="226"/>
      <c r="I10636" s="226" t="s">
        <v>1253</v>
      </c>
      <c r="J10636" s="222" t="s">
        <v>87</v>
      </c>
      <c r="K10636" s="227">
        <v>379259.01979999244</v>
      </c>
      <c r="L10636" s="227"/>
      <c r="M10636" s="328">
        <f>BS!$I$7</f>
        <v>0</v>
      </c>
    </row>
    <row r="10637" spans="1:16" ht="11.25" customHeight="1" x14ac:dyDescent="0.2">
      <c r="A10637" s="228">
        <v>2025</v>
      </c>
      <c r="B10637" s="228">
        <v>10</v>
      </c>
      <c r="C10637" s="228">
        <v>9</v>
      </c>
      <c r="D10637" s="229">
        <f t="shared" si="1415"/>
        <v>45939</v>
      </c>
      <c r="E10637" s="241">
        <f t="shared" si="1422"/>
        <v>45939</v>
      </c>
      <c r="F10637" s="512"/>
      <c r="G10637" s="231" t="s">
        <v>1245</v>
      </c>
      <c r="H10637" s="232"/>
      <c r="I10637" s="232" t="s">
        <v>1253</v>
      </c>
      <c r="J10637" s="228" t="s">
        <v>72</v>
      </c>
      <c r="K10637" s="233"/>
      <c r="L10637" s="233">
        <f>K10636</f>
        <v>379259.01979999244</v>
      </c>
    </row>
    <row r="10638" spans="1:16" ht="11.25" customHeight="1" x14ac:dyDescent="0.2">
      <c r="A10638" s="222">
        <v>2025</v>
      </c>
      <c r="B10638" s="222">
        <v>10</v>
      </c>
      <c r="C10638" s="222">
        <v>9</v>
      </c>
      <c r="D10638" s="223">
        <f t="shared" si="1415"/>
        <v>45939</v>
      </c>
      <c r="E10638" s="240">
        <f t="shared" si="1422"/>
        <v>45939</v>
      </c>
      <c r="F10638" s="511" t="s">
        <v>1246</v>
      </c>
      <c r="G10638" s="225" t="s">
        <v>1245</v>
      </c>
      <c r="H10638" s="226"/>
      <c r="I10638" s="226" t="s">
        <v>1253</v>
      </c>
      <c r="J10638" s="222" t="s">
        <v>75</v>
      </c>
      <c r="K10638" s="227">
        <v>3623.123846153846</v>
      </c>
      <c r="L10638" s="227"/>
    </row>
    <row r="10639" spans="1:16" ht="11.25" customHeight="1" x14ac:dyDescent="0.2">
      <c r="A10639" s="228">
        <v>2025</v>
      </c>
      <c r="B10639" s="228">
        <v>10</v>
      </c>
      <c r="C10639" s="228">
        <v>9</v>
      </c>
      <c r="D10639" s="229">
        <f t="shared" si="1415"/>
        <v>45939</v>
      </c>
      <c r="E10639" s="241">
        <f t="shared" si="1422"/>
        <v>45939</v>
      </c>
      <c r="F10639" s="512"/>
      <c r="G10639" s="231" t="s">
        <v>1245</v>
      </c>
      <c r="H10639" s="232"/>
      <c r="I10639" s="232" t="s">
        <v>1253</v>
      </c>
      <c r="J10639" s="228" t="s">
        <v>55</v>
      </c>
      <c r="K10639" s="233"/>
      <c r="L10639" s="233">
        <f>K10638</f>
        <v>3623.123846153846</v>
      </c>
    </row>
    <row r="10640" spans="1:16" ht="11.25" customHeight="1" x14ac:dyDescent="0.2">
      <c r="A10640" s="222">
        <v>2025</v>
      </c>
      <c r="B10640" s="222">
        <v>10</v>
      </c>
      <c r="C10640" s="222">
        <v>9</v>
      </c>
      <c r="D10640" s="223">
        <f t="shared" si="1415"/>
        <v>45939</v>
      </c>
      <c r="E10640" s="240">
        <f t="shared" si="1422"/>
        <v>45939</v>
      </c>
      <c r="F10640" s="511" t="s">
        <v>1247</v>
      </c>
      <c r="G10640" s="225" t="s">
        <v>1245</v>
      </c>
      <c r="H10640" s="226"/>
      <c r="I10640" s="226" t="s">
        <v>1253</v>
      </c>
      <c r="J10640" s="222" t="s">
        <v>77</v>
      </c>
      <c r="K10640" s="227">
        <f>M10640</f>
        <v>59100.380397056389</v>
      </c>
      <c r="L10640" s="227"/>
      <c r="M10640" s="120">
        <v>59100.380397056389</v>
      </c>
    </row>
    <row r="10641" spans="1:15" ht="11.25" customHeight="1" x14ac:dyDescent="0.2">
      <c r="A10641" s="228">
        <v>2025</v>
      </c>
      <c r="B10641" s="228">
        <v>10</v>
      </c>
      <c r="C10641" s="228">
        <v>9</v>
      </c>
      <c r="D10641" s="229">
        <f t="shared" si="1415"/>
        <v>45939</v>
      </c>
      <c r="E10641" s="241">
        <f t="shared" si="1422"/>
        <v>45939</v>
      </c>
      <c r="F10641" s="512"/>
      <c r="G10641" s="231" t="s">
        <v>1245</v>
      </c>
      <c r="H10641" s="232"/>
      <c r="I10641" s="232" t="s">
        <v>1253</v>
      </c>
      <c r="J10641" s="228" t="s">
        <v>41</v>
      </c>
      <c r="K10641" s="233"/>
      <c r="L10641" s="233">
        <f>K10640</f>
        <v>59100.380397056389</v>
      </c>
      <c r="M10641" s="120">
        <v>5910.0380397056388</v>
      </c>
    </row>
    <row r="10642" spans="1:15" ht="11.25" customHeight="1" x14ac:dyDescent="0.2">
      <c r="A10642" s="222">
        <v>2025</v>
      </c>
      <c r="B10642" s="222">
        <v>10</v>
      </c>
      <c r="C10642" s="222">
        <v>9</v>
      </c>
      <c r="D10642" s="223">
        <f t="shared" si="1415"/>
        <v>45939</v>
      </c>
      <c r="E10642" s="240">
        <f t="shared" si="1422"/>
        <v>45939</v>
      </c>
      <c r="F10642" s="511" t="s">
        <v>1248</v>
      </c>
      <c r="G10642" s="225" t="s">
        <v>1245</v>
      </c>
      <c r="H10642" s="226"/>
      <c r="I10642" s="226" t="s">
        <v>1253</v>
      </c>
      <c r="J10642" s="222" t="s">
        <v>80</v>
      </c>
      <c r="K10642" s="227">
        <f>M10641</f>
        <v>5910.0380397056388</v>
      </c>
      <c r="L10642" s="227"/>
    </row>
    <row r="10643" spans="1:15" ht="11.25" customHeight="1" x14ac:dyDescent="0.2">
      <c r="A10643" s="228">
        <v>2025</v>
      </c>
      <c r="B10643" s="228">
        <v>10</v>
      </c>
      <c r="C10643" s="228">
        <v>9</v>
      </c>
      <c r="D10643" s="229">
        <f t="shared" si="1415"/>
        <v>45939</v>
      </c>
      <c r="E10643" s="241">
        <f t="shared" si="1422"/>
        <v>45939</v>
      </c>
      <c r="F10643" s="512"/>
      <c r="G10643" s="231" t="s">
        <v>1245</v>
      </c>
      <c r="H10643" s="232"/>
      <c r="I10643" s="232" t="s">
        <v>1253</v>
      </c>
      <c r="J10643" s="228" t="s">
        <v>42</v>
      </c>
      <c r="K10643" s="233"/>
      <c r="L10643" s="233">
        <f>K10642</f>
        <v>5910.0380397056388</v>
      </c>
    </row>
    <row r="10644" spans="1:15" x14ac:dyDescent="0.2">
      <c r="A10644" s="197">
        <v>2025</v>
      </c>
      <c r="B10644" s="197">
        <v>10</v>
      </c>
      <c r="C10644" s="197">
        <v>11</v>
      </c>
      <c r="D10644" s="198">
        <f t="shared" si="1415"/>
        <v>45941</v>
      </c>
      <c r="E10644" s="209">
        <f t="shared" si="1422"/>
        <v>45941</v>
      </c>
      <c r="F10644" s="513" t="s">
        <v>1210</v>
      </c>
      <c r="G10644" s="200" t="s">
        <v>1209</v>
      </c>
      <c r="H10644" s="201"/>
      <c r="I10644" s="201"/>
      <c r="J10644" s="197" t="s">
        <v>46</v>
      </c>
      <c r="K10644" s="202">
        <v>75000</v>
      </c>
      <c r="L10644" s="202"/>
    </row>
    <row r="10645" spans="1:15" x14ac:dyDescent="0.2">
      <c r="A10645" s="120">
        <v>2025</v>
      </c>
      <c r="B10645" s="120">
        <v>10</v>
      </c>
      <c r="C10645" s="120">
        <v>11</v>
      </c>
      <c r="D10645" s="208">
        <f t="shared" si="1415"/>
        <v>45941</v>
      </c>
      <c r="E10645" s="209">
        <f t="shared" si="1422"/>
        <v>45941</v>
      </c>
      <c r="F10645" s="515"/>
      <c r="G10645" s="132" t="s">
        <v>1209</v>
      </c>
      <c r="J10645" s="120" t="s">
        <v>16</v>
      </c>
      <c r="K10645" s="207"/>
      <c r="L10645" s="207">
        <v>55250</v>
      </c>
    </row>
    <row r="10646" spans="1:15" x14ac:dyDescent="0.2">
      <c r="A10646" s="191">
        <v>2025</v>
      </c>
      <c r="B10646" s="191">
        <v>10</v>
      </c>
      <c r="C10646" s="191">
        <v>11</v>
      </c>
      <c r="D10646" s="192">
        <f t="shared" si="1415"/>
        <v>45941</v>
      </c>
      <c r="E10646" s="193">
        <f t="shared" si="1422"/>
        <v>45941</v>
      </c>
      <c r="F10646" s="514"/>
      <c r="G10646" s="194" t="s">
        <v>1209</v>
      </c>
      <c r="H10646" s="195"/>
      <c r="I10646" s="195"/>
      <c r="J10646" s="191" t="s">
        <v>47</v>
      </c>
      <c r="K10646" s="196"/>
      <c r="L10646" s="196">
        <v>19750</v>
      </c>
    </row>
    <row r="10647" spans="1:15" ht="11.25" customHeight="1" x14ac:dyDescent="0.2">
      <c r="A10647" s="197">
        <v>2025</v>
      </c>
      <c r="B10647" s="197">
        <v>10</v>
      </c>
      <c r="C10647" s="197">
        <v>12</v>
      </c>
      <c r="D10647" s="198">
        <f t="shared" si="1415"/>
        <v>45942</v>
      </c>
      <c r="E10647" s="199">
        <f t="shared" si="1422"/>
        <v>45942</v>
      </c>
      <c r="F10647" s="513" t="s">
        <v>2080</v>
      </c>
      <c r="G10647" s="200" t="s">
        <v>1209</v>
      </c>
      <c r="H10647" s="201"/>
      <c r="I10647" s="201" t="s">
        <v>1253</v>
      </c>
      <c r="J10647" s="197" t="s">
        <v>46</v>
      </c>
      <c r="K10647" s="202">
        <v>8106665.5199999996</v>
      </c>
      <c r="L10647" s="202"/>
    </row>
    <row r="10648" spans="1:15" ht="11.25" customHeight="1" x14ac:dyDescent="0.2">
      <c r="A10648" s="120">
        <v>2025</v>
      </c>
      <c r="B10648" s="120">
        <v>10</v>
      </c>
      <c r="C10648" s="120">
        <v>12</v>
      </c>
      <c r="D10648" s="208">
        <f t="shared" si="1415"/>
        <v>45942</v>
      </c>
      <c r="E10648" s="209">
        <f t="shared" si="1422"/>
        <v>45942</v>
      </c>
      <c r="F10648" s="515"/>
      <c r="G10648" s="132" t="s">
        <v>1209</v>
      </c>
      <c r="J10648" s="120" t="s">
        <v>1463</v>
      </c>
      <c r="K10648" s="328"/>
      <c r="L10648" s="207">
        <v>520178.51999999955</v>
      </c>
    </row>
    <row r="10649" spans="1:15" ht="11.25" customHeight="1" x14ac:dyDescent="0.2">
      <c r="A10649" s="191">
        <v>2025</v>
      </c>
      <c r="B10649" s="191">
        <v>10</v>
      </c>
      <c r="C10649" s="191">
        <v>12</v>
      </c>
      <c r="D10649" s="192">
        <f t="shared" si="1415"/>
        <v>45942</v>
      </c>
      <c r="E10649" s="193">
        <f t="shared" si="1422"/>
        <v>45942</v>
      </c>
      <c r="F10649" s="514"/>
      <c r="G10649" s="194" t="s">
        <v>1209</v>
      </c>
      <c r="H10649" s="195"/>
      <c r="I10649" s="195" t="s">
        <v>1253</v>
      </c>
      <c r="J10649" s="191" t="s">
        <v>1837</v>
      </c>
      <c r="K10649" s="196"/>
      <c r="L10649" s="196">
        <v>7586487</v>
      </c>
      <c r="N10649" s="130"/>
    </row>
    <row r="10650" spans="1:15" ht="11.25" customHeight="1" x14ac:dyDescent="0.2">
      <c r="A10650" s="197">
        <v>2025</v>
      </c>
      <c r="B10650" s="197">
        <v>10</v>
      </c>
      <c r="C10650" s="197">
        <v>12</v>
      </c>
      <c r="D10650" s="198">
        <f t="shared" si="1415"/>
        <v>45942</v>
      </c>
      <c r="E10650" s="199">
        <f t="shared" ref="E10650:E10688" si="1423">DATE(A10650,B10650,C10650)</f>
        <v>45942</v>
      </c>
      <c r="F10650" s="513" t="s">
        <v>2100</v>
      </c>
      <c r="G10650" s="200" t="s">
        <v>1209</v>
      </c>
      <c r="H10650" s="201"/>
      <c r="I10650" s="201" t="s">
        <v>1253</v>
      </c>
      <c r="J10650" s="197" t="s">
        <v>46</v>
      </c>
      <c r="K10650" s="202">
        <v>9991381.3000000007</v>
      </c>
      <c r="L10650" s="202"/>
    </row>
    <row r="10651" spans="1:15" ht="11.25" customHeight="1" x14ac:dyDescent="0.2">
      <c r="A10651" s="120">
        <v>2025</v>
      </c>
      <c r="B10651" s="120">
        <v>10</v>
      </c>
      <c r="C10651" s="120">
        <v>12</v>
      </c>
      <c r="D10651" s="208">
        <f t="shared" si="1415"/>
        <v>45942</v>
      </c>
      <c r="E10651" s="209">
        <f t="shared" si="1423"/>
        <v>45942</v>
      </c>
      <c r="F10651" s="515"/>
      <c r="G10651" s="132" t="s">
        <v>1209</v>
      </c>
      <c r="J10651" s="120" t="s">
        <v>1463</v>
      </c>
      <c r="K10651" s="328">
        <v>23298.7</v>
      </c>
      <c r="L10651" s="207"/>
    </row>
    <row r="10652" spans="1:15" ht="11.25" customHeight="1" x14ac:dyDescent="0.2">
      <c r="A10652" s="191">
        <v>2025</v>
      </c>
      <c r="B10652" s="191">
        <v>10</v>
      </c>
      <c r="C10652" s="191">
        <v>12</v>
      </c>
      <c r="D10652" s="192">
        <f t="shared" si="1415"/>
        <v>45942</v>
      </c>
      <c r="E10652" s="193">
        <f t="shared" si="1423"/>
        <v>45942</v>
      </c>
      <c r="F10652" s="514"/>
      <c r="G10652" s="194" t="s">
        <v>1209</v>
      </c>
      <c r="H10652" s="195"/>
      <c r="I10652" s="195" t="s">
        <v>1253</v>
      </c>
      <c r="J10652" s="191" t="s">
        <v>1837</v>
      </c>
      <c r="K10652" s="196"/>
      <c r="L10652" s="196">
        <v>10014680</v>
      </c>
      <c r="N10652" s="130"/>
    </row>
    <row r="10653" spans="1:15" x14ac:dyDescent="0.2">
      <c r="A10653" s="197">
        <v>2025</v>
      </c>
      <c r="B10653" s="197">
        <v>10</v>
      </c>
      <c r="C10653" s="197">
        <v>12</v>
      </c>
      <c r="D10653" s="198">
        <f t="shared" si="1415"/>
        <v>45942</v>
      </c>
      <c r="E10653" s="209">
        <f t="shared" si="1423"/>
        <v>45942</v>
      </c>
      <c r="F10653" s="513" t="s">
        <v>1280</v>
      </c>
      <c r="G10653" s="200" t="s">
        <v>1209</v>
      </c>
      <c r="H10653" s="201"/>
      <c r="I10653" s="201"/>
      <c r="J10653" s="197" t="s">
        <v>16</v>
      </c>
      <c r="K10653" s="202">
        <v>5171010</v>
      </c>
      <c r="L10653" s="202"/>
    </row>
    <row r="10654" spans="1:15" x14ac:dyDescent="0.2">
      <c r="A10654" s="120">
        <v>2025</v>
      </c>
      <c r="B10654" s="120">
        <v>10</v>
      </c>
      <c r="C10654" s="120">
        <v>12</v>
      </c>
      <c r="D10654" s="208">
        <f t="shared" si="1415"/>
        <v>45942</v>
      </c>
      <c r="E10654" s="209">
        <f t="shared" si="1423"/>
        <v>45942</v>
      </c>
      <c r="F10654" s="515"/>
      <c r="G10654" s="132" t="s">
        <v>1209</v>
      </c>
      <c r="J10654" s="120" t="s">
        <v>47</v>
      </c>
      <c r="K10654" s="207">
        <v>1828990</v>
      </c>
      <c r="L10654" s="207"/>
    </row>
    <row r="10655" spans="1:15" x14ac:dyDescent="0.2">
      <c r="A10655" s="191">
        <v>2025</v>
      </c>
      <c r="B10655" s="191">
        <v>10</v>
      </c>
      <c r="C10655" s="191">
        <v>12</v>
      </c>
      <c r="D10655" s="192">
        <f t="shared" si="1415"/>
        <v>45942</v>
      </c>
      <c r="E10655" s="193">
        <f t="shared" si="1423"/>
        <v>45942</v>
      </c>
      <c r="F10655" s="514"/>
      <c r="G10655" s="194" t="s">
        <v>1209</v>
      </c>
      <c r="H10655" s="195"/>
      <c r="I10655" s="195"/>
      <c r="J10655" s="191" t="s">
        <v>46</v>
      </c>
      <c r="K10655" s="196"/>
      <c r="L10655" s="196">
        <v>7000000</v>
      </c>
    </row>
    <row r="10656" spans="1:15" ht="11.25" customHeight="1" x14ac:dyDescent="0.2">
      <c r="A10656" s="197">
        <v>2025</v>
      </c>
      <c r="B10656" s="197">
        <v>10</v>
      </c>
      <c r="C10656" s="197">
        <v>12</v>
      </c>
      <c r="D10656" s="198">
        <f t="shared" si="1415"/>
        <v>45942</v>
      </c>
      <c r="E10656" s="290">
        <f t="shared" si="1423"/>
        <v>45942</v>
      </c>
      <c r="F10656" s="513" t="s">
        <v>1514</v>
      </c>
      <c r="G10656" s="200" t="s">
        <v>1209</v>
      </c>
      <c r="H10656" s="201"/>
      <c r="I10656" s="201"/>
      <c r="J10656" s="197" t="s">
        <v>54</v>
      </c>
      <c r="K10656" s="202">
        <v>100</v>
      </c>
      <c r="L10656" s="202"/>
      <c r="M10656" s="251"/>
      <c r="N10656" s="251"/>
      <c r="O10656" s="251"/>
    </row>
    <row r="10657" spans="1:15" ht="11.25" customHeight="1" x14ac:dyDescent="0.2">
      <c r="A10657" s="191">
        <v>2025</v>
      </c>
      <c r="B10657" s="191">
        <v>10</v>
      </c>
      <c r="C10657" s="191">
        <v>12</v>
      </c>
      <c r="D10657" s="192">
        <f t="shared" si="1415"/>
        <v>45942</v>
      </c>
      <c r="E10657" s="291">
        <f t="shared" si="1423"/>
        <v>45942</v>
      </c>
      <c r="F10657" s="514"/>
      <c r="G10657" s="194" t="s">
        <v>1209</v>
      </c>
      <c r="H10657" s="195"/>
      <c r="I10657" s="195"/>
      <c r="J10657" s="191" t="s">
        <v>46</v>
      </c>
      <c r="K10657" s="196"/>
      <c r="L10657" s="196">
        <f>K10656</f>
        <v>100</v>
      </c>
      <c r="M10657" s="251"/>
    </row>
    <row r="10658" spans="1:15" ht="11.25" customHeight="1" x14ac:dyDescent="0.2">
      <c r="A10658" s="197">
        <v>2025</v>
      </c>
      <c r="B10658" s="197">
        <v>10</v>
      </c>
      <c r="C10658" s="197">
        <v>13</v>
      </c>
      <c r="D10658" s="198">
        <f t="shared" si="1415"/>
        <v>45943</v>
      </c>
      <c r="E10658" s="290">
        <f t="shared" ref="E10658:E10659" si="1424">DATE(A10658,B10658,C10658)</f>
        <v>45943</v>
      </c>
      <c r="F10658" s="513" t="s">
        <v>1514</v>
      </c>
      <c r="G10658" s="200" t="s">
        <v>1209</v>
      </c>
      <c r="H10658" s="201"/>
      <c r="I10658" s="201"/>
      <c r="J10658" s="197" t="s">
        <v>54</v>
      </c>
      <c r="K10658" s="202">
        <v>100</v>
      </c>
      <c r="L10658" s="202"/>
      <c r="M10658" s="251"/>
      <c r="N10658" s="251"/>
      <c r="O10658" s="251"/>
    </row>
    <row r="10659" spans="1:15" ht="11.25" customHeight="1" x14ac:dyDescent="0.2">
      <c r="A10659" s="191">
        <v>2025</v>
      </c>
      <c r="B10659" s="191">
        <v>10</v>
      </c>
      <c r="C10659" s="191">
        <v>13</v>
      </c>
      <c r="D10659" s="192">
        <f t="shared" si="1415"/>
        <v>45943</v>
      </c>
      <c r="E10659" s="291">
        <f t="shared" si="1424"/>
        <v>45943</v>
      </c>
      <c r="F10659" s="514"/>
      <c r="G10659" s="194" t="s">
        <v>1209</v>
      </c>
      <c r="H10659" s="195"/>
      <c r="I10659" s="195"/>
      <c r="J10659" s="191" t="s">
        <v>46</v>
      </c>
      <c r="K10659" s="196"/>
      <c r="L10659" s="196">
        <f>K10658</f>
        <v>100</v>
      </c>
      <c r="M10659" s="251"/>
    </row>
    <row r="10660" spans="1:15" x14ac:dyDescent="0.2">
      <c r="A10660" s="197">
        <v>2025</v>
      </c>
      <c r="B10660" s="197">
        <v>10</v>
      </c>
      <c r="C10660" s="197">
        <v>13</v>
      </c>
      <c r="D10660" s="198">
        <f t="shared" si="1415"/>
        <v>45943</v>
      </c>
      <c r="E10660" s="209">
        <f t="shared" ref="E10660:E10662" si="1425">DATE(A10660,B10660,C10660)</f>
        <v>45943</v>
      </c>
      <c r="F10660" s="513" t="s">
        <v>1280</v>
      </c>
      <c r="G10660" s="200" t="s">
        <v>1209</v>
      </c>
      <c r="H10660" s="201"/>
      <c r="I10660" s="201"/>
      <c r="J10660" s="197" t="s">
        <v>16</v>
      </c>
      <c r="K10660" s="202">
        <v>11186930</v>
      </c>
      <c r="L10660" s="202"/>
    </row>
    <row r="10661" spans="1:15" x14ac:dyDescent="0.2">
      <c r="A10661" s="120">
        <v>2025</v>
      </c>
      <c r="B10661" s="120">
        <v>10</v>
      </c>
      <c r="C10661" s="120">
        <v>13</v>
      </c>
      <c r="D10661" s="208">
        <f t="shared" si="1415"/>
        <v>45943</v>
      </c>
      <c r="E10661" s="209">
        <f t="shared" si="1425"/>
        <v>45943</v>
      </c>
      <c r="F10661" s="515"/>
      <c r="G10661" s="132" t="s">
        <v>1209</v>
      </c>
      <c r="J10661" s="120" t="s">
        <v>47</v>
      </c>
      <c r="K10661" s="207">
        <v>3956813.3800000008</v>
      </c>
      <c r="L10661" s="207"/>
    </row>
    <row r="10662" spans="1:15" x14ac:dyDescent="0.2">
      <c r="A10662" s="191">
        <v>2025</v>
      </c>
      <c r="B10662" s="191">
        <v>10</v>
      </c>
      <c r="C10662" s="191">
        <v>13</v>
      </c>
      <c r="D10662" s="192">
        <f t="shared" si="1415"/>
        <v>45943</v>
      </c>
      <c r="E10662" s="193">
        <f t="shared" si="1425"/>
        <v>45943</v>
      </c>
      <c r="F10662" s="514"/>
      <c r="G10662" s="194" t="s">
        <v>1209</v>
      </c>
      <c r="H10662" s="195"/>
      <c r="I10662" s="195"/>
      <c r="J10662" s="191" t="s">
        <v>46</v>
      </c>
      <c r="K10662" s="196"/>
      <c r="L10662" s="196">
        <v>15143743.380000001</v>
      </c>
    </row>
    <row r="10663" spans="1:15" x14ac:dyDescent="0.2">
      <c r="A10663" s="197">
        <v>2025</v>
      </c>
      <c r="B10663" s="197">
        <v>10</v>
      </c>
      <c r="C10663" s="197">
        <v>13</v>
      </c>
      <c r="D10663" s="198">
        <f t="shared" si="1415"/>
        <v>45943</v>
      </c>
      <c r="E10663" s="209">
        <f t="shared" ref="E10663:E10665" si="1426">DATE(A10663,B10663,C10663)</f>
        <v>45943</v>
      </c>
      <c r="F10663" s="513" t="s">
        <v>1280</v>
      </c>
      <c r="G10663" s="200" t="s">
        <v>1209</v>
      </c>
      <c r="H10663" s="201"/>
      <c r="I10663" s="201"/>
      <c r="J10663" s="197" t="s">
        <v>16</v>
      </c>
      <c r="K10663" s="202">
        <v>30000</v>
      </c>
      <c r="L10663" s="202"/>
    </row>
    <row r="10664" spans="1:15" x14ac:dyDescent="0.2">
      <c r="A10664" s="120">
        <v>2025</v>
      </c>
      <c r="B10664" s="120">
        <v>10</v>
      </c>
      <c r="C10664" s="120">
        <v>13</v>
      </c>
      <c r="D10664" s="208">
        <f t="shared" si="1415"/>
        <v>45943</v>
      </c>
      <c r="E10664" s="209">
        <f t="shared" si="1426"/>
        <v>45943</v>
      </c>
      <c r="F10664" s="515"/>
      <c r="G10664" s="132" t="s">
        <v>1209</v>
      </c>
      <c r="J10664" s="120" t="s">
        <v>47</v>
      </c>
      <c r="K10664" s="207">
        <v>10725</v>
      </c>
      <c r="L10664" s="207"/>
    </row>
    <row r="10665" spans="1:15" x14ac:dyDescent="0.2">
      <c r="A10665" s="191">
        <v>2025</v>
      </c>
      <c r="B10665" s="191">
        <v>10</v>
      </c>
      <c r="C10665" s="191">
        <v>13</v>
      </c>
      <c r="D10665" s="192">
        <f t="shared" si="1415"/>
        <v>45943</v>
      </c>
      <c r="E10665" s="193">
        <f t="shared" si="1426"/>
        <v>45943</v>
      </c>
      <c r="F10665" s="514"/>
      <c r="G10665" s="194" t="s">
        <v>1209</v>
      </c>
      <c r="H10665" s="195"/>
      <c r="I10665" s="195"/>
      <c r="J10665" s="191" t="s">
        <v>46</v>
      </c>
      <c r="K10665" s="196"/>
      <c r="L10665" s="196">
        <v>40725</v>
      </c>
    </row>
    <row r="10666" spans="1:15" x14ac:dyDescent="0.2">
      <c r="A10666" s="197">
        <v>2025</v>
      </c>
      <c r="B10666" s="197">
        <v>10</v>
      </c>
      <c r="C10666" s="197">
        <v>13</v>
      </c>
      <c r="D10666" s="198">
        <f t="shared" si="1415"/>
        <v>45943</v>
      </c>
      <c r="E10666" s="209">
        <f t="shared" ref="E10666:E10668" si="1427">DATE(A10666,B10666,C10666)</f>
        <v>45943</v>
      </c>
      <c r="F10666" s="513" t="s">
        <v>1280</v>
      </c>
      <c r="G10666" s="200" t="s">
        <v>1209</v>
      </c>
      <c r="H10666" s="201"/>
      <c r="I10666" s="201"/>
      <c r="J10666" s="197" t="s">
        <v>16</v>
      </c>
      <c r="K10666" s="202">
        <v>3310</v>
      </c>
      <c r="L10666" s="202"/>
    </row>
    <row r="10667" spans="1:15" x14ac:dyDescent="0.2">
      <c r="A10667" s="120">
        <v>2025</v>
      </c>
      <c r="B10667" s="120">
        <v>10</v>
      </c>
      <c r="C10667" s="120">
        <v>13</v>
      </c>
      <c r="D10667" s="208">
        <f t="shared" si="1415"/>
        <v>45943</v>
      </c>
      <c r="E10667" s="209">
        <f t="shared" si="1427"/>
        <v>45943</v>
      </c>
      <c r="F10667" s="515"/>
      <c r="G10667" s="132" t="s">
        <v>1209</v>
      </c>
      <c r="J10667" s="120" t="s">
        <v>47</v>
      </c>
      <c r="K10667" s="207">
        <v>1190</v>
      </c>
      <c r="L10667" s="207"/>
    </row>
    <row r="10668" spans="1:15" x14ac:dyDescent="0.2">
      <c r="A10668" s="191">
        <v>2025</v>
      </c>
      <c r="B10668" s="191">
        <v>10</v>
      </c>
      <c r="C10668" s="191">
        <v>13</v>
      </c>
      <c r="D10668" s="192">
        <f t="shared" ref="D10668:D10731" si="1428">DATE(A10668,B10668,C10668)</f>
        <v>45943</v>
      </c>
      <c r="E10668" s="193">
        <f t="shared" si="1427"/>
        <v>45943</v>
      </c>
      <c r="F10668" s="514"/>
      <c r="G10668" s="194" t="s">
        <v>1209</v>
      </c>
      <c r="H10668" s="195"/>
      <c r="I10668" s="195"/>
      <c r="J10668" s="191" t="s">
        <v>46</v>
      </c>
      <c r="K10668" s="196"/>
      <c r="L10668" s="196">
        <v>4500</v>
      </c>
    </row>
    <row r="10669" spans="1:15" ht="11.25" customHeight="1" x14ac:dyDescent="0.2">
      <c r="A10669" s="197">
        <v>2025</v>
      </c>
      <c r="B10669" s="197">
        <v>10</v>
      </c>
      <c r="C10669" s="197">
        <v>13</v>
      </c>
      <c r="D10669" s="198">
        <f t="shared" si="1428"/>
        <v>45943</v>
      </c>
      <c r="E10669" s="290">
        <f t="shared" si="1423"/>
        <v>45943</v>
      </c>
      <c r="F10669" s="513" t="s">
        <v>2034</v>
      </c>
      <c r="G10669" s="200" t="s">
        <v>1245</v>
      </c>
      <c r="H10669" s="201"/>
      <c r="I10669" s="201" t="s">
        <v>1253</v>
      </c>
      <c r="J10669" s="197" t="s">
        <v>46</v>
      </c>
      <c r="K10669" s="202">
        <v>305000</v>
      </c>
      <c r="L10669" s="202"/>
      <c r="M10669" s="130"/>
    </row>
    <row r="10670" spans="1:15" ht="11.25" customHeight="1" x14ac:dyDescent="0.2">
      <c r="A10670" s="191">
        <v>2025</v>
      </c>
      <c r="B10670" s="191">
        <v>10</v>
      </c>
      <c r="C10670" s="191">
        <v>13</v>
      </c>
      <c r="D10670" s="192">
        <f t="shared" si="1428"/>
        <v>45943</v>
      </c>
      <c r="E10670" s="291">
        <f t="shared" si="1423"/>
        <v>45943</v>
      </c>
      <c r="F10670" s="527"/>
      <c r="G10670" s="194" t="s">
        <v>1245</v>
      </c>
      <c r="H10670" s="195"/>
      <c r="I10670" s="195" t="s">
        <v>1253</v>
      </c>
      <c r="J10670" s="191" t="s">
        <v>113</v>
      </c>
      <c r="K10670" s="196"/>
      <c r="L10670" s="196">
        <v>305000</v>
      </c>
      <c r="N10670" s="251"/>
    </row>
    <row r="10671" spans="1:15" x14ac:dyDescent="0.2">
      <c r="A10671" s="197">
        <v>2025</v>
      </c>
      <c r="B10671" s="197">
        <v>10</v>
      </c>
      <c r="C10671" s="197">
        <v>14</v>
      </c>
      <c r="D10671" s="198">
        <f t="shared" si="1428"/>
        <v>45944</v>
      </c>
      <c r="E10671" s="209">
        <f t="shared" ref="E10671:E10673" si="1429">DATE(A10671,B10671,C10671)</f>
        <v>45944</v>
      </c>
      <c r="F10671" s="513" t="s">
        <v>1280</v>
      </c>
      <c r="G10671" s="200" t="s">
        <v>1209</v>
      </c>
      <c r="H10671" s="201"/>
      <c r="I10671" s="201"/>
      <c r="J10671" s="197" t="s">
        <v>16</v>
      </c>
      <c r="K10671" s="202">
        <v>368320</v>
      </c>
      <c r="L10671" s="202"/>
    </row>
    <row r="10672" spans="1:15" x14ac:dyDescent="0.2">
      <c r="A10672" s="120">
        <v>2025</v>
      </c>
      <c r="B10672" s="120">
        <v>10</v>
      </c>
      <c r="C10672" s="120">
        <v>14</v>
      </c>
      <c r="D10672" s="208">
        <f t="shared" si="1428"/>
        <v>45944</v>
      </c>
      <c r="E10672" s="209">
        <f t="shared" si="1429"/>
        <v>45944</v>
      </c>
      <c r="F10672" s="515"/>
      <c r="G10672" s="132" t="s">
        <v>1209</v>
      </c>
      <c r="J10672" s="120" t="s">
        <v>47</v>
      </c>
      <c r="K10672" s="207">
        <v>131680</v>
      </c>
      <c r="L10672" s="207"/>
    </row>
    <row r="10673" spans="1:15" x14ac:dyDescent="0.2">
      <c r="A10673" s="191">
        <v>2025</v>
      </c>
      <c r="B10673" s="191">
        <v>10</v>
      </c>
      <c r="C10673" s="191">
        <v>14</v>
      </c>
      <c r="D10673" s="192">
        <f t="shared" si="1428"/>
        <v>45944</v>
      </c>
      <c r="E10673" s="193">
        <f t="shared" si="1429"/>
        <v>45944</v>
      </c>
      <c r="F10673" s="514"/>
      <c r="G10673" s="194" t="s">
        <v>1209</v>
      </c>
      <c r="H10673" s="195"/>
      <c r="I10673" s="195"/>
      <c r="J10673" s="191" t="s">
        <v>46</v>
      </c>
      <c r="K10673" s="196"/>
      <c r="L10673" s="196">
        <v>500000</v>
      </c>
    </row>
    <row r="10674" spans="1:15" ht="11.25" customHeight="1" x14ac:dyDescent="0.2">
      <c r="A10674" s="197">
        <v>2025</v>
      </c>
      <c r="B10674" s="197">
        <v>10</v>
      </c>
      <c r="C10674" s="197">
        <v>15</v>
      </c>
      <c r="D10674" s="198">
        <f t="shared" si="1428"/>
        <v>45945</v>
      </c>
      <c r="E10674" s="290">
        <f t="shared" si="1423"/>
        <v>45945</v>
      </c>
      <c r="F10674" s="513" t="s">
        <v>2099</v>
      </c>
      <c r="G10674" s="200" t="s">
        <v>1209</v>
      </c>
      <c r="H10674" s="201"/>
      <c r="I10674" s="201" t="s">
        <v>1253</v>
      </c>
      <c r="J10674" s="197" t="s">
        <v>46</v>
      </c>
      <c r="K10674" s="202">
        <v>2026750</v>
      </c>
      <c r="L10674" s="202"/>
    </row>
    <row r="10675" spans="1:15" ht="11.25" customHeight="1" x14ac:dyDescent="0.2">
      <c r="A10675" s="191">
        <v>2025</v>
      </c>
      <c r="B10675" s="191">
        <v>10</v>
      </c>
      <c r="C10675" s="191">
        <v>15</v>
      </c>
      <c r="D10675" s="192">
        <f t="shared" si="1428"/>
        <v>45945</v>
      </c>
      <c r="E10675" s="291">
        <f t="shared" si="1423"/>
        <v>45945</v>
      </c>
      <c r="F10675" s="514"/>
      <c r="G10675" s="194" t="s">
        <v>1209</v>
      </c>
      <c r="H10675" s="195"/>
      <c r="I10675" s="195"/>
      <c r="J10675" s="191" t="s">
        <v>1845</v>
      </c>
      <c r="K10675" s="196"/>
      <c r="L10675" s="196">
        <f>K10674</f>
        <v>2026750</v>
      </c>
    </row>
    <row r="10676" spans="1:15" x14ac:dyDescent="0.2">
      <c r="A10676" s="197">
        <v>2025</v>
      </c>
      <c r="B10676" s="197">
        <v>10</v>
      </c>
      <c r="C10676" s="197">
        <v>15</v>
      </c>
      <c r="D10676" s="198">
        <f t="shared" si="1428"/>
        <v>45945</v>
      </c>
      <c r="E10676" s="209">
        <f t="shared" si="1423"/>
        <v>45945</v>
      </c>
      <c r="F10676" s="513" t="s">
        <v>1210</v>
      </c>
      <c r="G10676" s="200" t="s">
        <v>1209</v>
      </c>
      <c r="H10676" s="201"/>
      <c r="I10676" s="201"/>
      <c r="J10676" s="197" t="s">
        <v>46</v>
      </c>
      <c r="K10676" s="202">
        <v>300000</v>
      </c>
      <c r="L10676" s="202"/>
    </row>
    <row r="10677" spans="1:15" x14ac:dyDescent="0.2">
      <c r="A10677" s="120">
        <v>2025</v>
      </c>
      <c r="B10677" s="120">
        <v>10</v>
      </c>
      <c r="C10677" s="120">
        <v>15</v>
      </c>
      <c r="D10677" s="208">
        <f t="shared" si="1428"/>
        <v>45945</v>
      </c>
      <c r="E10677" s="209">
        <f t="shared" si="1423"/>
        <v>45945</v>
      </c>
      <c r="F10677" s="515"/>
      <c r="G10677" s="132" t="s">
        <v>1209</v>
      </c>
      <c r="J10677" s="120" t="s">
        <v>16</v>
      </c>
      <c r="K10677" s="207"/>
      <c r="L10677" s="207">
        <v>220990</v>
      </c>
    </row>
    <row r="10678" spans="1:15" x14ac:dyDescent="0.2">
      <c r="A10678" s="191">
        <v>2025</v>
      </c>
      <c r="B10678" s="191">
        <v>10</v>
      </c>
      <c r="C10678" s="191">
        <v>15</v>
      </c>
      <c r="D10678" s="192">
        <f t="shared" si="1428"/>
        <v>45945</v>
      </c>
      <c r="E10678" s="193">
        <f t="shared" si="1423"/>
        <v>45945</v>
      </c>
      <c r="F10678" s="514"/>
      <c r="G10678" s="194" t="s">
        <v>1209</v>
      </c>
      <c r="H10678" s="195"/>
      <c r="I10678" s="195"/>
      <c r="J10678" s="191" t="s">
        <v>47</v>
      </c>
      <c r="K10678" s="196"/>
      <c r="L10678" s="196">
        <v>79010</v>
      </c>
    </row>
    <row r="10679" spans="1:15" x14ac:dyDescent="0.2">
      <c r="A10679" s="197">
        <v>2025</v>
      </c>
      <c r="B10679" s="197">
        <v>10</v>
      </c>
      <c r="C10679" s="197">
        <v>15</v>
      </c>
      <c r="D10679" s="198">
        <f t="shared" si="1428"/>
        <v>45945</v>
      </c>
      <c r="E10679" s="209">
        <f t="shared" ref="E10679:E10683" si="1430">DATE(A10679,B10679,C10679)</f>
        <v>45945</v>
      </c>
      <c r="F10679" s="513" t="s">
        <v>1296</v>
      </c>
      <c r="G10679" s="200" t="s">
        <v>1209</v>
      </c>
      <c r="H10679" s="201"/>
      <c r="I10679" s="201"/>
      <c r="J10679" s="197" t="s">
        <v>46</v>
      </c>
      <c r="K10679" s="202">
        <v>145000</v>
      </c>
      <c r="L10679" s="202"/>
    </row>
    <row r="10680" spans="1:15" x14ac:dyDescent="0.2">
      <c r="A10680" s="120">
        <v>2025</v>
      </c>
      <c r="B10680" s="120">
        <v>10</v>
      </c>
      <c r="C10680" s="120">
        <v>15</v>
      </c>
      <c r="D10680" s="208">
        <f t="shared" si="1428"/>
        <v>45945</v>
      </c>
      <c r="E10680" s="209">
        <f t="shared" si="1430"/>
        <v>45945</v>
      </c>
      <c r="F10680" s="515"/>
      <c r="G10680" s="132" t="s">
        <v>1209</v>
      </c>
      <c r="J10680" s="120" t="s">
        <v>16</v>
      </c>
      <c r="K10680" s="207"/>
      <c r="L10680" s="207">
        <v>106800</v>
      </c>
    </row>
    <row r="10681" spans="1:15" x14ac:dyDescent="0.2">
      <c r="A10681" s="191">
        <v>2025</v>
      </c>
      <c r="B10681" s="191">
        <v>10</v>
      </c>
      <c r="C10681" s="191">
        <v>15</v>
      </c>
      <c r="D10681" s="192">
        <f t="shared" si="1428"/>
        <v>45945</v>
      </c>
      <c r="E10681" s="193">
        <f t="shared" si="1430"/>
        <v>45945</v>
      </c>
      <c r="F10681" s="514"/>
      <c r="G10681" s="194" t="s">
        <v>1209</v>
      </c>
      <c r="H10681" s="195"/>
      <c r="I10681" s="195"/>
      <c r="J10681" s="191" t="s">
        <v>47</v>
      </c>
      <c r="K10681" s="196"/>
      <c r="L10681" s="196">
        <v>38200</v>
      </c>
    </row>
    <row r="10682" spans="1:15" ht="11.25" customHeight="1" x14ac:dyDescent="0.2">
      <c r="A10682" s="197">
        <v>2025</v>
      </c>
      <c r="B10682" s="197">
        <v>10</v>
      </c>
      <c r="C10682" s="197">
        <v>15</v>
      </c>
      <c r="D10682" s="198">
        <f t="shared" si="1428"/>
        <v>45945</v>
      </c>
      <c r="E10682" s="290">
        <f t="shared" si="1430"/>
        <v>45945</v>
      </c>
      <c r="F10682" s="513" t="s">
        <v>1514</v>
      </c>
      <c r="G10682" s="200" t="s">
        <v>1209</v>
      </c>
      <c r="H10682" s="201"/>
      <c r="I10682" s="201"/>
      <c r="J10682" s="197" t="s">
        <v>54</v>
      </c>
      <c r="K10682" s="202">
        <v>10</v>
      </c>
      <c r="L10682" s="202"/>
      <c r="M10682" s="251"/>
      <c r="N10682" s="251"/>
      <c r="O10682" s="251"/>
    </row>
    <row r="10683" spans="1:15" ht="11.25" customHeight="1" x14ac:dyDescent="0.2">
      <c r="A10683" s="191">
        <v>2025</v>
      </c>
      <c r="B10683" s="191">
        <v>10</v>
      </c>
      <c r="C10683" s="191">
        <v>15</v>
      </c>
      <c r="D10683" s="192">
        <f t="shared" si="1428"/>
        <v>45945</v>
      </c>
      <c r="E10683" s="291">
        <f t="shared" si="1430"/>
        <v>45945</v>
      </c>
      <c r="F10683" s="514"/>
      <c r="G10683" s="194" t="s">
        <v>1209</v>
      </c>
      <c r="H10683" s="195"/>
      <c r="I10683" s="195"/>
      <c r="J10683" s="191" t="s">
        <v>46</v>
      </c>
      <c r="K10683" s="196"/>
      <c r="L10683" s="196">
        <f>K10682</f>
        <v>10</v>
      </c>
      <c r="M10683" s="251"/>
    </row>
    <row r="10684" spans="1:15" x14ac:dyDescent="0.2">
      <c r="A10684" s="197">
        <v>2025</v>
      </c>
      <c r="B10684" s="197">
        <v>10</v>
      </c>
      <c r="C10684" s="197">
        <v>16</v>
      </c>
      <c r="D10684" s="198">
        <f t="shared" si="1428"/>
        <v>45946</v>
      </c>
      <c r="E10684" s="209">
        <f t="shared" si="1423"/>
        <v>45946</v>
      </c>
      <c r="F10684" s="513" t="s">
        <v>1280</v>
      </c>
      <c r="G10684" s="200" t="s">
        <v>1209</v>
      </c>
      <c r="H10684" s="201"/>
      <c r="I10684" s="201"/>
      <c r="J10684" s="197" t="s">
        <v>16</v>
      </c>
      <c r="K10684" s="202">
        <v>3937010</v>
      </c>
      <c r="L10684" s="202"/>
    </row>
    <row r="10685" spans="1:15" x14ac:dyDescent="0.2">
      <c r="A10685" s="120">
        <v>2025</v>
      </c>
      <c r="B10685" s="120">
        <v>10</v>
      </c>
      <c r="C10685" s="120">
        <v>16</v>
      </c>
      <c r="D10685" s="208">
        <f t="shared" si="1428"/>
        <v>45946</v>
      </c>
      <c r="E10685" s="209">
        <f t="shared" si="1423"/>
        <v>45946</v>
      </c>
      <c r="F10685" s="515"/>
      <c r="G10685" s="132" t="s">
        <v>1209</v>
      </c>
      <c r="J10685" s="120" t="s">
        <v>47</v>
      </c>
      <c r="K10685" s="207">
        <v>1392520.4400000004</v>
      </c>
      <c r="L10685" s="207"/>
    </row>
    <row r="10686" spans="1:15" x14ac:dyDescent="0.2">
      <c r="A10686" s="191">
        <v>2025</v>
      </c>
      <c r="B10686" s="191">
        <v>10</v>
      </c>
      <c r="C10686" s="191">
        <v>16</v>
      </c>
      <c r="D10686" s="192">
        <f t="shared" si="1428"/>
        <v>45946</v>
      </c>
      <c r="E10686" s="193">
        <f t="shared" si="1423"/>
        <v>45946</v>
      </c>
      <c r="F10686" s="514"/>
      <c r="G10686" s="194" t="s">
        <v>1209</v>
      </c>
      <c r="H10686" s="195"/>
      <c r="I10686" s="195"/>
      <c r="J10686" s="191" t="s">
        <v>46</v>
      </c>
      <c r="K10686" s="196"/>
      <c r="L10686" s="196">
        <v>5329530.4400000004</v>
      </c>
    </row>
    <row r="10687" spans="1:15" ht="11.25" customHeight="1" x14ac:dyDescent="0.2">
      <c r="A10687" s="197">
        <v>2025</v>
      </c>
      <c r="B10687" s="197">
        <v>10</v>
      </c>
      <c r="C10687" s="197">
        <v>16</v>
      </c>
      <c r="D10687" s="198">
        <f t="shared" si="1428"/>
        <v>45946</v>
      </c>
      <c r="E10687" s="290">
        <f t="shared" si="1423"/>
        <v>45946</v>
      </c>
      <c r="F10687" s="513" t="s">
        <v>1514</v>
      </c>
      <c r="G10687" s="200" t="s">
        <v>1209</v>
      </c>
      <c r="H10687" s="201"/>
      <c r="I10687" s="201"/>
      <c r="J10687" s="197" t="s">
        <v>54</v>
      </c>
      <c r="K10687" s="202">
        <v>100</v>
      </c>
      <c r="L10687" s="202"/>
      <c r="M10687" s="251"/>
      <c r="N10687" s="251"/>
      <c r="O10687" s="251"/>
    </row>
    <row r="10688" spans="1:15" ht="11.25" customHeight="1" x14ac:dyDescent="0.2">
      <c r="A10688" s="191">
        <v>2025</v>
      </c>
      <c r="B10688" s="191">
        <v>10</v>
      </c>
      <c r="C10688" s="191">
        <v>16</v>
      </c>
      <c r="D10688" s="192">
        <f t="shared" si="1428"/>
        <v>45946</v>
      </c>
      <c r="E10688" s="291">
        <f t="shared" si="1423"/>
        <v>45946</v>
      </c>
      <c r="F10688" s="514"/>
      <c r="G10688" s="194" t="s">
        <v>1209</v>
      </c>
      <c r="H10688" s="195"/>
      <c r="I10688" s="195"/>
      <c r="J10688" s="191" t="s">
        <v>46</v>
      </c>
      <c r="K10688" s="196"/>
      <c r="L10688" s="196">
        <f>K10687</f>
        <v>100</v>
      </c>
      <c r="M10688" s="251"/>
    </row>
    <row r="10689" spans="1:12" ht="11.25" customHeight="1" x14ac:dyDescent="0.2">
      <c r="A10689" s="197">
        <v>2025</v>
      </c>
      <c r="B10689" s="197">
        <v>10</v>
      </c>
      <c r="C10689" s="197">
        <v>16</v>
      </c>
      <c r="D10689" s="198">
        <f t="shared" si="1428"/>
        <v>45946</v>
      </c>
      <c r="E10689" s="290">
        <f t="shared" ref="E10689:E10705" si="1431">DATE(A10689,B10689,C10689)</f>
        <v>45946</v>
      </c>
      <c r="F10689" s="513" t="s">
        <v>2101</v>
      </c>
      <c r="G10689" s="200" t="s">
        <v>1209</v>
      </c>
      <c r="H10689" s="201"/>
      <c r="I10689" s="201" t="s">
        <v>1253</v>
      </c>
      <c r="J10689" s="197" t="s">
        <v>1873</v>
      </c>
      <c r="K10689" s="202">
        <v>2029050</v>
      </c>
      <c r="L10689" s="202"/>
    </row>
    <row r="10690" spans="1:12" ht="11.25" customHeight="1" x14ac:dyDescent="0.2">
      <c r="A10690" s="191">
        <v>2025</v>
      </c>
      <c r="B10690" s="191">
        <v>10</v>
      </c>
      <c r="C10690" s="191">
        <v>16</v>
      </c>
      <c r="D10690" s="192">
        <f t="shared" si="1428"/>
        <v>45946</v>
      </c>
      <c r="E10690" s="291">
        <f t="shared" si="1431"/>
        <v>45946</v>
      </c>
      <c r="F10690" s="514"/>
      <c r="G10690" s="194" t="s">
        <v>1209</v>
      </c>
      <c r="H10690" s="195"/>
      <c r="I10690" s="195"/>
      <c r="J10690" s="191" t="s">
        <v>1845</v>
      </c>
      <c r="K10690" s="196"/>
      <c r="L10690" s="196">
        <f>K10689</f>
        <v>2029050</v>
      </c>
    </row>
    <row r="10691" spans="1:12" x14ac:dyDescent="0.2">
      <c r="A10691" s="197">
        <v>2025</v>
      </c>
      <c r="B10691" s="197">
        <v>10</v>
      </c>
      <c r="C10691" s="197">
        <v>16</v>
      </c>
      <c r="D10691" s="198">
        <f t="shared" si="1428"/>
        <v>45946</v>
      </c>
      <c r="E10691" s="209">
        <f t="shared" si="1431"/>
        <v>45946</v>
      </c>
      <c r="F10691" s="513" t="s">
        <v>1210</v>
      </c>
      <c r="G10691" s="200" t="s">
        <v>1209</v>
      </c>
      <c r="H10691" s="201"/>
      <c r="I10691" s="201"/>
      <c r="J10691" s="197" t="s">
        <v>46</v>
      </c>
      <c r="K10691" s="202">
        <v>100000</v>
      </c>
      <c r="L10691" s="202"/>
    </row>
    <row r="10692" spans="1:12" x14ac:dyDescent="0.2">
      <c r="A10692" s="120">
        <v>2025</v>
      </c>
      <c r="B10692" s="120">
        <v>10</v>
      </c>
      <c r="C10692" s="120">
        <v>16</v>
      </c>
      <c r="D10692" s="208">
        <f t="shared" si="1428"/>
        <v>45946</v>
      </c>
      <c r="E10692" s="209">
        <f t="shared" si="1431"/>
        <v>45946</v>
      </c>
      <c r="F10692" s="515"/>
      <c r="G10692" s="132" t="s">
        <v>1209</v>
      </c>
      <c r="J10692" s="120" t="s">
        <v>16</v>
      </c>
      <c r="K10692" s="207"/>
      <c r="L10692" s="207">
        <v>73660</v>
      </c>
    </row>
    <row r="10693" spans="1:12" x14ac:dyDescent="0.2">
      <c r="A10693" s="191">
        <v>2025</v>
      </c>
      <c r="B10693" s="191">
        <v>10</v>
      </c>
      <c r="C10693" s="191">
        <v>16</v>
      </c>
      <c r="D10693" s="192">
        <f t="shared" si="1428"/>
        <v>45946</v>
      </c>
      <c r="E10693" s="193">
        <f t="shared" si="1431"/>
        <v>45946</v>
      </c>
      <c r="F10693" s="514"/>
      <c r="G10693" s="194" t="s">
        <v>1209</v>
      </c>
      <c r="H10693" s="195"/>
      <c r="I10693" s="195"/>
      <c r="J10693" s="191" t="s">
        <v>47</v>
      </c>
      <c r="K10693" s="196"/>
      <c r="L10693" s="196">
        <v>26340</v>
      </c>
    </row>
    <row r="10694" spans="1:12" x14ac:dyDescent="0.2">
      <c r="A10694" s="424">
        <v>2025</v>
      </c>
      <c r="B10694" s="424">
        <v>10</v>
      </c>
      <c r="C10694" s="424">
        <v>16</v>
      </c>
      <c r="D10694" s="425">
        <f t="shared" si="1428"/>
        <v>45946</v>
      </c>
      <c r="E10694" s="384">
        <f t="shared" si="1431"/>
        <v>45946</v>
      </c>
      <c r="F10694" s="516" t="s">
        <v>1850</v>
      </c>
      <c r="G10694" s="426" t="s">
        <v>1209</v>
      </c>
      <c r="H10694" s="427"/>
      <c r="I10694" s="427"/>
      <c r="J10694" s="428" t="s">
        <v>81</v>
      </c>
      <c r="K10694" s="429">
        <v>11170.721538461539</v>
      </c>
      <c r="L10694" s="429"/>
    </row>
    <row r="10695" spans="1:12" x14ac:dyDescent="0.2">
      <c r="A10695" s="389">
        <v>2025</v>
      </c>
      <c r="B10695" s="389">
        <v>10</v>
      </c>
      <c r="C10695" s="389">
        <v>16</v>
      </c>
      <c r="D10695" s="390">
        <f t="shared" si="1428"/>
        <v>45946</v>
      </c>
      <c r="E10695" s="391">
        <f t="shared" si="1431"/>
        <v>45946</v>
      </c>
      <c r="F10695" s="517"/>
      <c r="G10695" s="392" t="s">
        <v>1209</v>
      </c>
      <c r="H10695" s="393"/>
      <c r="I10695" s="393"/>
      <c r="J10695" s="394" t="s">
        <v>1847</v>
      </c>
      <c r="K10695" s="423"/>
      <c r="L10695" s="423">
        <f>K10694</f>
        <v>11170.721538461539</v>
      </c>
    </row>
    <row r="10696" spans="1:12" ht="11.25" customHeight="1" x14ac:dyDescent="0.2">
      <c r="A10696" s="382">
        <v>2025</v>
      </c>
      <c r="B10696" s="382">
        <v>10</v>
      </c>
      <c r="C10696" s="382">
        <v>16</v>
      </c>
      <c r="D10696" s="383">
        <f t="shared" si="1428"/>
        <v>45946</v>
      </c>
      <c r="E10696" s="384">
        <f t="shared" si="1431"/>
        <v>45946</v>
      </c>
      <c r="F10696" s="516" t="s">
        <v>1892</v>
      </c>
      <c r="G10696" s="385" t="s">
        <v>1209</v>
      </c>
      <c r="H10696" s="386"/>
      <c r="I10696" s="386"/>
      <c r="J10696" s="387" t="s">
        <v>173</v>
      </c>
      <c r="K10696" s="388">
        <v>4685.8966884781239</v>
      </c>
      <c r="L10696" s="388"/>
    </row>
    <row r="10697" spans="1:12" ht="11.25" customHeight="1" x14ac:dyDescent="0.2">
      <c r="A10697" s="389">
        <v>2025</v>
      </c>
      <c r="B10697" s="389">
        <v>10</v>
      </c>
      <c r="C10697" s="389">
        <v>16</v>
      </c>
      <c r="D10697" s="390">
        <f t="shared" si="1428"/>
        <v>45946</v>
      </c>
      <c r="E10697" s="391">
        <f t="shared" si="1431"/>
        <v>45946</v>
      </c>
      <c r="F10697" s="517"/>
      <c r="G10697" s="392" t="s">
        <v>1209</v>
      </c>
      <c r="H10697" s="393"/>
      <c r="I10697" s="393"/>
      <c r="J10697" s="394" t="s">
        <v>43</v>
      </c>
      <c r="K10697" s="388"/>
      <c r="L10697" s="423">
        <f>K10696</f>
        <v>4685.8966884781239</v>
      </c>
    </row>
    <row r="10698" spans="1:12" ht="11.25" customHeight="1" x14ac:dyDescent="0.2">
      <c r="A10698" s="344">
        <v>2025</v>
      </c>
      <c r="B10698" s="344">
        <v>10</v>
      </c>
      <c r="C10698" s="344">
        <v>16</v>
      </c>
      <c r="D10698" s="345">
        <f t="shared" si="1428"/>
        <v>45946</v>
      </c>
      <c r="E10698" s="346">
        <f t="shared" si="1431"/>
        <v>45946</v>
      </c>
      <c r="F10698" s="518" t="s">
        <v>1982</v>
      </c>
      <c r="G10698" s="347" t="s">
        <v>1245</v>
      </c>
      <c r="H10698" s="348"/>
      <c r="I10698" s="348" t="s">
        <v>1253</v>
      </c>
      <c r="J10698" s="344" t="s">
        <v>1978</v>
      </c>
      <c r="K10698" s="349">
        <v>148748.07692307694</v>
      </c>
      <c r="L10698" s="349"/>
    </row>
    <row r="10699" spans="1:12" ht="11.25" customHeight="1" x14ac:dyDescent="0.2">
      <c r="A10699" s="350">
        <v>2025</v>
      </c>
      <c r="B10699" s="350">
        <v>10</v>
      </c>
      <c r="C10699" s="350">
        <v>16</v>
      </c>
      <c r="D10699" s="351">
        <f t="shared" si="1428"/>
        <v>45946</v>
      </c>
      <c r="E10699" s="352">
        <f t="shared" si="1431"/>
        <v>45946</v>
      </c>
      <c r="F10699" s="519"/>
      <c r="G10699" s="353" t="s">
        <v>1245</v>
      </c>
      <c r="H10699" s="354"/>
      <c r="I10699" s="354" t="s">
        <v>1253</v>
      </c>
      <c r="J10699" s="350" t="s">
        <v>1979</v>
      </c>
      <c r="K10699" s="355"/>
      <c r="L10699" s="355">
        <f>K10698</f>
        <v>148748.07692307694</v>
      </c>
    </row>
    <row r="10700" spans="1:12" ht="11.25" customHeight="1" x14ac:dyDescent="0.2">
      <c r="A10700" s="344">
        <v>2025</v>
      </c>
      <c r="B10700" s="344">
        <v>10</v>
      </c>
      <c r="C10700" s="344">
        <v>16</v>
      </c>
      <c r="D10700" s="345">
        <f t="shared" si="1428"/>
        <v>45946</v>
      </c>
      <c r="E10700" s="346">
        <f t="shared" si="1431"/>
        <v>45946</v>
      </c>
      <c r="F10700" s="518" t="s">
        <v>2009</v>
      </c>
      <c r="G10700" s="347" t="s">
        <v>1245</v>
      </c>
      <c r="H10700" s="348"/>
      <c r="I10700" s="348" t="s">
        <v>1253</v>
      </c>
      <c r="J10700" s="344" t="s">
        <v>2004</v>
      </c>
      <c r="K10700" s="349">
        <v>49692.31</v>
      </c>
      <c r="L10700" s="349"/>
    </row>
    <row r="10701" spans="1:12" ht="11.25" customHeight="1" x14ac:dyDescent="0.2">
      <c r="A10701" s="350">
        <v>2025</v>
      </c>
      <c r="B10701" s="350">
        <v>10</v>
      </c>
      <c r="C10701" s="350">
        <v>16</v>
      </c>
      <c r="D10701" s="351">
        <f t="shared" si="1428"/>
        <v>45946</v>
      </c>
      <c r="E10701" s="352">
        <f t="shared" si="1431"/>
        <v>45946</v>
      </c>
      <c r="F10701" s="519"/>
      <c r="G10701" s="353" t="s">
        <v>1245</v>
      </c>
      <c r="H10701" s="354"/>
      <c r="I10701" s="354" t="s">
        <v>1253</v>
      </c>
      <c r="J10701" s="350" t="s">
        <v>2008</v>
      </c>
      <c r="K10701" s="355"/>
      <c r="L10701" s="355">
        <f t="shared" ref="L10701" si="1432">K10700</f>
        <v>49692.31</v>
      </c>
    </row>
    <row r="10702" spans="1:12" ht="11.25" customHeight="1" x14ac:dyDescent="0.2">
      <c r="A10702" s="344">
        <v>2025</v>
      </c>
      <c r="B10702" s="344">
        <v>10</v>
      </c>
      <c r="C10702" s="344">
        <v>16</v>
      </c>
      <c r="D10702" s="345">
        <f t="shared" si="1428"/>
        <v>45946</v>
      </c>
      <c r="E10702" s="346">
        <f t="shared" si="1431"/>
        <v>45946</v>
      </c>
      <c r="F10702" s="518" t="s">
        <v>2009</v>
      </c>
      <c r="G10702" s="347" t="s">
        <v>1245</v>
      </c>
      <c r="H10702" s="348"/>
      <c r="I10702" s="348" t="s">
        <v>1253</v>
      </c>
      <c r="J10702" s="344" t="s">
        <v>2004</v>
      </c>
      <c r="K10702" s="349">
        <v>49692.31</v>
      </c>
      <c r="L10702" s="349"/>
    </row>
    <row r="10703" spans="1:12" ht="11.25" customHeight="1" x14ac:dyDescent="0.2">
      <c r="A10703" s="350">
        <v>2025</v>
      </c>
      <c r="B10703" s="350">
        <v>10</v>
      </c>
      <c r="C10703" s="350">
        <v>16</v>
      </c>
      <c r="D10703" s="351">
        <f t="shared" si="1428"/>
        <v>45946</v>
      </c>
      <c r="E10703" s="352">
        <f t="shared" si="1431"/>
        <v>45946</v>
      </c>
      <c r="F10703" s="519"/>
      <c r="G10703" s="353" t="s">
        <v>1245</v>
      </c>
      <c r="H10703" s="354"/>
      <c r="I10703" s="354" t="s">
        <v>1253</v>
      </c>
      <c r="J10703" s="350" t="s">
        <v>2008</v>
      </c>
      <c r="K10703" s="355"/>
      <c r="L10703" s="355">
        <f t="shared" ref="L10703" si="1433">K10702</f>
        <v>49692.31</v>
      </c>
    </row>
    <row r="10704" spans="1:12" ht="11.25" customHeight="1" x14ac:dyDescent="0.2">
      <c r="A10704" s="344">
        <v>2025</v>
      </c>
      <c r="B10704" s="344">
        <v>10</v>
      </c>
      <c r="C10704" s="344">
        <v>16</v>
      </c>
      <c r="D10704" s="345">
        <f t="shared" si="1428"/>
        <v>45946</v>
      </c>
      <c r="E10704" s="346">
        <f t="shared" si="1431"/>
        <v>45946</v>
      </c>
      <c r="F10704" s="518" t="s">
        <v>2088</v>
      </c>
      <c r="G10704" s="347" t="s">
        <v>1245</v>
      </c>
      <c r="H10704" s="348"/>
      <c r="I10704" s="348" t="s">
        <v>1253</v>
      </c>
      <c r="J10704" s="344" t="s">
        <v>2086</v>
      </c>
      <c r="K10704" s="349">
        <v>12528.846153846154</v>
      </c>
      <c r="L10704" s="349"/>
    </row>
    <row r="10705" spans="1:16" ht="11.25" customHeight="1" x14ac:dyDescent="0.2">
      <c r="A10705" s="350">
        <v>2025</v>
      </c>
      <c r="B10705" s="350">
        <v>10</v>
      </c>
      <c r="C10705" s="350">
        <v>16</v>
      </c>
      <c r="D10705" s="351">
        <f t="shared" si="1428"/>
        <v>45946</v>
      </c>
      <c r="E10705" s="352">
        <f t="shared" si="1431"/>
        <v>45946</v>
      </c>
      <c r="F10705" s="519"/>
      <c r="G10705" s="353" t="s">
        <v>1245</v>
      </c>
      <c r="H10705" s="354"/>
      <c r="I10705" s="354" t="s">
        <v>1253</v>
      </c>
      <c r="J10705" s="350" t="s">
        <v>2089</v>
      </c>
      <c r="K10705" s="355"/>
      <c r="L10705" s="355">
        <v>12528.846153846154</v>
      </c>
    </row>
    <row r="10706" spans="1:16" ht="11.25" customHeight="1" x14ac:dyDescent="0.2">
      <c r="A10706" s="344">
        <v>2025</v>
      </c>
      <c r="B10706" s="344">
        <v>10</v>
      </c>
      <c r="C10706" s="344">
        <v>16</v>
      </c>
      <c r="D10706" s="345">
        <f t="shared" si="1428"/>
        <v>45946</v>
      </c>
      <c r="E10706" s="346">
        <f>DATE(A10706,B10706,C10706)</f>
        <v>45946</v>
      </c>
      <c r="F10706" s="518" t="s">
        <v>1988</v>
      </c>
      <c r="G10706" s="347" t="s">
        <v>1245</v>
      </c>
      <c r="H10706" s="348"/>
      <c r="I10706" s="348" t="s">
        <v>1253</v>
      </c>
      <c r="J10706" s="344" t="s">
        <v>113</v>
      </c>
      <c r="K10706" s="349">
        <v>32846.15</v>
      </c>
      <c r="L10706" s="349"/>
    </row>
    <row r="10707" spans="1:16" ht="11.25" customHeight="1" x14ac:dyDescent="0.2">
      <c r="A10707" s="350">
        <v>2025</v>
      </c>
      <c r="B10707" s="350">
        <v>10</v>
      </c>
      <c r="C10707" s="350">
        <v>16</v>
      </c>
      <c r="D10707" s="351">
        <f t="shared" si="1428"/>
        <v>45946</v>
      </c>
      <c r="E10707" s="352">
        <f>DATE(A10707,B10707,C10707)</f>
        <v>45946</v>
      </c>
      <c r="F10707" s="519"/>
      <c r="G10707" s="353" t="s">
        <v>1245</v>
      </c>
      <c r="H10707" s="354"/>
      <c r="I10707" s="354" t="s">
        <v>1253</v>
      </c>
      <c r="J10707" s="350" t="s">
        <v>153</v>
      </c>
      <c r="K10707" s="355"/>
      <c r="L10707" s="355">
        <f t="shared" ref="L10707" si="1434">K10706</f>
        <v>32846.15</v>
      </c>
    </row>
    <row r="10708" spans="1:16" ht="11.25" customHeight="1" x14ac:dyDescent="0.2">
      <c r="A10708" s="344">
        <v>2025</v>
      </c>
      <c r="B10708" s="344">
        <v>10</v>
      </c>
      <c r="C10708" s="344">
        <v>16</v>
      </c>
      <c r="D10708" s="345">
        <f t="shared" si="1428"/>
        <v>45946</v>
      </c>
      <c r="E10708" s="346">
        <f t="shared" ref="E10708:E10712" si="1435">DATE(A10708,B10708,C10708)</f>
        <v>45946</v>
      </c>
      <c r="F10708" s="518" t="s">
        <v>1989</v>
      </c>
      <c r="G10708" s="347" t="s">
        <v>1245</v>
      </c>
      <c r="H10708" s="348"/>
      <c r="I10708" s="348" t="s">
        <v>1253</v>
      </c>
      <c r="J10708" s="344" t="s">
        <v>113</v>
      </c>
      <c r="K10708" s="349">
        <v>23461.538461538461</v>
      </c>
      <c r="L10708" s="349"/>
    </row>
    <row r="10709" spans="1:16" ht="11.25" customHeight="1" x14ac:dyDescent="0.2">
      <c r="A10709" s="350">
        <v>2025</v>
      </c>
      <c r="B10709" s="350">
        <v>10</v>
      </c>
      <c r="C10709" s="350">
        <v>16</v>
      </c>
      <c r="D10709" s="351">
        <f t="shared" si="1428"/>
        <v>45946</v>
      </c>
      <c r="E10709" s="352">
        <f t="shared" si="1435"/>
        <v>45946</v>
      </c>
      <c r="F10709" s="519"/>
      <c r="G10709" s="353" t="s">
        <v>1245</v>
      </c>
      <c r="H10709" s="354"/>
      <c r="I10709" s="354" t="s">
        <v>1253</v>
      </c>
      <c r="J10709" s="350" t="s">
        <v>153</v>
      </c>
      <c r="K10709" s="355"/>
      <c r="L10709" s="355">
        <f t="shared" ref="L10709" si="1436">K10708</f>
        <v>23461.538461538461</v>
      </c>
    </row>
    <row r="10710" spans="1:16" ht="11.25" customHeight="1" x14ac:dyDescent="0.2">
      <c r="A10710" s="344">
        <v>2025</v>
      </c>
      <c r="B10710" s="344">
        <v>10</v>
      </c>
      <c r="C10710" s="344">
        <v>16</v>
      </c>
      <c r="D10710" s="345">
        <f t="shared" si="1428"/>
        <v>45946</v>
      </c>
      <c r="E10710" s="346">
        <f t="shared" si="1435"/>
        <v>45946</v>
      </c>
      <c r="F10710" s="518" t="s">
        <v>1990</v>
      </c>
      <c r="G10710" s="347" t="s">
        <v>1245</v>
      </c>
      <c r="H10710" s="348"/>
      <c r="I10710" s="348" t="s">
        <v>1253</v>
      </c>
      <c r="J10710" s="344" t="s">
        <v>113</v>
      </c>
      <c r="K10710" s="349">
        <v>70384.62</v>
      </c>
      <c r="L10710" s="349"/>
      <c r="N10710" s="251"/>
      <c r="O10710" s="251"/>
      <c r="P10710" s="251"/>
    </row>
    <row r="10711" spans="1:16" ht="11.25" customHeight="1" x14ac:dyDescent="0.2">
      <c r="A10711" s="350">
        <v>2025</v>
      </c>
      <c r="B10711" s="350">
        <v>10</v>
      </c>
      <c r="C10711" s="350">
        <v>16</v>
      </c>
      <c r="D10711" s="351">
        <f t="shared" si="1428"/>
        <v>45946</v>
      </c>
      <c r="E10711" s="352">
        <f t="shared" si="1435"/>
        <v>45946</v>
      </c>
      <c r="F10711" s="519"/>
      <c r="G10711" s="353" t="s">
        <v>1245</v>
      </c>
      <c r="H10711" s="354"/>
      <c r="I10711" s="354" t="s">
        <v>1253</v>
      </c>
      <c r="J10711" s="350" t="s">
        <v>153</v>
      </c>
      <c r="K10711" s="355"/>
      <c r="L10711" s="355">
        <f t="shared" ref="L10711" si="1437">K10710</f>
        <v>70384.62</v>
      </c>
    </row>
    <row r="10712" spans="1:16" ht="11.25" customHeight="1" x14ac:dyDescent="0.2">
      <c r="A10712" s="210">
        <v>2025</v>
      </c>
      <c r="B10712" s="210">
        <v>10</v>
      </c>
      <c r="C10712" s="210">
        <v>16</v>
      </c>
      <c r="D10712" s="211">
        <f t="shared" si="1428"/>
        <v>45946</v>
      </c>
      <c r="E10712" s="238">
        <f t="shared" si="1435"/>
        <v>45946</v>
      </c>
      <c r="F10712" s="520" t="s">
        <v>1857</v>
      </c>
      <c r="G10712" s="213" t="s">
        <v>1245</v>
      </c>
      <c r="H10712" s="214"/>
      <c r="I10712" s="214" t="s">
        <v>1253</v>
      </c>
      <c r="J10712" s="210" t="s">
        <v>1284</v>
      </c>
      <c r="K10712" s="215">
        <v>2341.8114143920593</v>
      </c>
      <c r="L10712" s="215"/>
    </row>
    <row r="10713" spans="1:16" ht="11.25" customHeight="1" x14ac:dyDescent="0.2">
      <c r="A10713" s="242">
        <v>2025</v>
      </c>
      <c r="B10713" s="242">
        <v>10</v>
      </c>
      <c r="C10713" s="242">
        <v>16</v>
      </c>
      <c r="D10713" s="243">
        <f t="shared" si="1428"/>
        <v>45946</v>
      </c>
      <c r="E10713" s="244">
        <f>DATE(A10713,B10713,C10713)</f>
        <v>45946</v>
      </c>
      <c r="F10713" s="524"/>
      <c r="G10713" s="245" t="s">
        <v>1245</v>
      </c>
      <c r="H10713" s="246"/>
      <c r="I10713" s="246"/>
      <c r="J10713" s="242" t="s">
        <v>1582</v>
      </c>
      <c r="K10713" s="247"/>
      <c r="L10713" s="247">
        <f>K10712</f>
        <v>2341.8114143920593</v>
      </c>
    </row>
    <row r="10714" spans="1:16" ht="11.25" customHeight="1" x14ac:dyDescent="0.2">
      <c r="A10714" s="210">
        <v>2025</v>
      </c>
      <c r="B10714" s="210">
        <v>10</v>
      </c>
      <c r="C10714" s="210">
        <v>16</v>
      </c>
      <c r="D10714" s="211">
        <f t="shared" si="1428"/>
        <v>45946</v>
      </c>
      <c r="E10714" s="238">
        <f t="shared" ref="E10714:E10732" si="1438">DATE(A10714,B10714,C10714)</f>
        <v>45946</v>
      </c>
      <c r="F10714" s="520" t="s">
        <v>2055</v>
      </c>
      <c r="G10714" s="213" t="s">
        <v>1245</v>
      </c>
      <c r="H10714" s="214"/>
      <c r="I10714" s="214" t="s">
        <v>1253</v>
      </c>
      <c r="J10714" s="210" t="s">
        <v>58</v>
      </c>
      <c r="K10714" s="215">
        <v>7701.24</v>
      </c>
      <c r="L10714" s="215"/>
    </row>
    <row r="10715" spans="1:16" ht="11.25" customHeight="1" x14ac:dyDescent="0.2">
      <c r="A10715" s="216">
        <v>2025</v>
      </c>
      <c r="B10715" s="216">
        <v>10</v>
      </c>
      <c r="C10715" s="216">
        <v>16</v>
      </c>
      <c r="D10715" s="217">
        <f t="shared" si="1428"/>
        <v>45946</v>
      </c>
      <c r="E10715" s="239">
        <f t="shared" si="1438"/>
        <v>45946</v>
      </c>
      <c r="F10715" s="521"/>
      <c r="G10715" s="219" t="s">
        <v>1245</v>
      </c>
      <c r="H10715" s="220"/>
      <c r="I10715" s="220" t="s">
        <v>1253</v>
      </c>
      <c r="J10715" s="216" t="s">
        <v>153</v>
      </c>
      <c r="K10715" s="221"/>
      <c r="L10715" s="221">
        <f>K10714</f>
        <v>7701.24</v>
      </c>
    </row>
    <row r="10716" spans="1:16" ht="11.25" customHeight="1" x14ac:dyDescent="0.2">
      <c r="A10716" s="312">
        <v>2025</v>
      </c>
      <c r="B10716" s="312">
        <v>10</v>
      </c>
      <c r="C10716" s="312">
        <v>16</v>
      </c>
      <c r="D10716" s="313">
        <f t="shared" si="1428"/>
        <v>45946</v>
      </c>
      <c r="E10716" s="314">
        <f t="shared" si="1438"/>
        <v>45946</v>
      </c>
      <c r="F10716" s="522" t="s">
        <v>1477</v>
      </c>
      <c r="G10716" s="315" t="s">
        <v>1245</v>
      </c>
      <c r="H10716" s="316"/>
      <c r="I10716" s="316" t="s">
        <v>1253</v>
      </c>
      <c r="J10716" s="312" t="s">
        <v>1458</v>
      </c>
      <c r="K10716" s="317">
        <v>0</v>
      </c>
      <c r="L10716" s="317"/>
    </row>
    <row r="10717" spans="1:16" ht="11.25" customHeight="1" x14ac:dyDescent="0.2">
      <c r="A10717" s="318">
        <v>2025</v>
      </c>
      <c r="B10717" s="318">
        <v>10</v>
      </c>
      <c r="C10717" s="318">
        <v>16</v>
      </c>
      <c r="D10717" s="319">
        <f t="shared" si="1428"/>
        <v>45946</v>
      </c>
      <c r="E10717" s="320">
        <f t="shared" si="1438"/>
        <v>45946</v>
      </c>
      <c r="F10717" s="523"/>
      <c r="G10717" s="321" t="s">
        <v>1245</v>
      </c>
      <c r="H10717" s="322"/>
      <c r="I10717" s="322" t="s">
        <v>1253</v>
      </c>
      <c r="J10717" s="318" t="s">
        <v>1460</v>
      </c>
      <c r="K10717" s="323"/>
      <c r="L10717" s="323">
        <f>K10716</f>
        <v>0</v>
      </c>
    </row>
    <row r="10718" spans="1:16" ht="11.25" customHeight="1" x14ac:dyDescent="0.2">
      <c r="A10718" s="312">
        <v>2025</v>
      </c>
      <c r="B10718" s="312">
        <v>10</v>
      </c>
      <c r="C10718" s="312">
        <v>16</v>
      </c>
      <c r="D10718" s="313">
        <f t="shared" si="1428"/>
        <v>45946</v>
      </c>
      <c r="E10718" s="314">
        <f t="shared" si="1438"/>
        <v>45946</v>
      </c>
      <c r="F10718" s="522" t="s">
        <v>1595</v>
      </c>
      <c r="G10718" s="315" t="s">
        <v>1245</v>
      </c>
      <c r="H10718" s="316"/>
      <c r="I10718" s="316" t="s">
        <v>1253</v>
      </c>
      <c r="J10718" s="312" t="s">
        <v>1459</v>
      </c>
      <c r="K10718" s="317">
        <v>1730542.2549999952</v>
      </c>
      <c r="L10718" s="317"/>
      <c r="M10718" s="328">
        <f>BS!$I$14</f>
        <v>0</v>
      </c>
    </row>
    <row r="10719" spans="1:16" ht="11.25" customHeight="1" x14ac:dyDescent="0.2">
      <c r="A10719" s="318">
        <v>2025</v>
      </c>
      <c r="B10719" s="318">
        <v>10</v>
      </c>
      <c r="C10719" s="318">
        <v>16</v>
      </c>
      <c r="D10719" s="319">
        <f t="shared" si="1428"/>
        <v>45946</v>
      </c>
      <c r="E10719" s="320">
        <f t="shared" si="1438"/>
        <v>45946</v>
      </c>
      <c r="F10719" s="523"/>
      <c r="G10719" s="321" t="s">
        <v>1245</v>
      </c>
      <c r="H10719" s="322"/>
      <c r="I10719" s="322" t="s">
        <v>1253</v>
      </c>
      <c r="J10719" s="318" t="s">
        <v>1461</v>
      </c>
      <c r="K10719" s="323"/>
      <c r="L10719" s="323">
        <f>K10718</f>
        <v>1730542.2549999952</v>
      </c>
      <c r="M10719" s="328"/>
    </row>
    <row r="10720" spans="1:16" ht="11.25" customHeight="1" x14ac:dyDescent="0.2">
      <c r="A10720" s="222">
        <v>2025</v>
      </c>
      <c r="B10720" s="222">
        <v>10</v>
      </c>
      <c r="C10720" s="222">
        <v>16</v>
      </c>
      <c r="D10720" s="223">
        <f t="shared" si="1428"/>
        <v>45946</v>
      </c>
      <c r="E10720" s="240">
        <f t="shared" si="1438"/>
        <v>45946</v>
      </c>
      <c r="F10720" s="511" t="s">
        <v>1244</v>
      </c>
      <c r="G10720" s="225" t="s">
        <v>1245</v>
      </c>
      <c r="H10720" s="226"/>
      <c r="I10720" s="226" t="s">
        <v>1253</v>
      </c>
      <c r="J10720" s="222" t="s">
        <v>72</v>
      </c>
      <c r="K10720" s="227">
        <v>110.5</v>
      </c>
      <c r="L10720" s="227"/>
      <c r="M10720" s="328">
        <f>BS!$I$7</f>
        <v>0</v>
      </c>
    </row>
    <row r="10721" spans="1:15" ht="11.25" customHeight="1" x14ac:dyDescent="0.2">
      <c r="A10721" s="228">
        <v>2025</v>
      </c>
      <c r="B10721" s="228">
        <v>10</v>
      </c>
      <c r="C10721" s="228">
        <v>16</v>
      </c>
      <c r="D10721" s="229">
        <f t="shared" si="1428"/>
        <v>45946</v>
      </c>
      <c r="E10721" s="241">
        <f t="shared" si="1438"/>
        <v>45946</v>
      </c>
      <c r="F10721" s="512"/>
      <c r="G10721" s="231" t="s">
        <v>1245</v>
      </c>
      <c r="H10721" s="232"/>
      <c r="I10721" s="232" t="s">
        <v>1253</v>
      </c>
      <c r="J10721" s="228" t="s">
        <v>87</v>
      </c>
      <c r="K10721" s="233"/>
      <c r="L10721" s="233">
        <f>K10720</f>
        <v>110.5</v>
      </c>
    </row>
    <row r="10722" spans="1:15" ht="11.25" customHeight="1" x14ac:dyDescent="0.2">
      <c r="A10722" s="222">
        <v>2025</v>
      </c>
      <c r="B10722" s="222">
        <v>10</v>
      </c>
      <c r="C10722" s="222">
        <v>16</v>
      </c>
      <c r="D10722" s="223">
        <f t="shared" si="1428"/>
        <v>45946</v>
      </c>
      <c r="E10722" s="240">
        <f t="shared" si="1438"/>
        <v>45946</v>
      </c>
      <c r="F10722" s="511" t="s">
        <v>1246</v>
      </c>
      <c r="G10722" s="225" t="s">
        <v>1245</v>
      </c>
      <c r="H10722" s="226"/>
      <c r="I10722" s="226" t="s">
        <v>1253</v>
      </c>
      <c r="J10722" s="222" t="s">
        <v>75</v>
      </c>
      <c r="K10722" s="227">
        <v>3623.123846153846</v>
      </c>
      <c r="L10722" s="227"/>
    </row>
    <row r="10723" spans="1:15" ht="11.25" customHeight="1" x14ac:dyDescent="0.2">
      <c r="A10723" s="228">
        <v>2025</v>
      </c>
      <c r="B10723" s="228">
        <v>10</v>
      </c>
      <c r="C10723" s="228">
        <v>16</v>
      </c>
      <c r="D10723" s="229">
        <f t="shared" si="1428"/>
        <v>45946</v>
      </c>
      <c r="E10723" s="241">
        <f t="shared" si="1438"/>
        <v>45946</v>
      </c>
      <c r="F10723" s="512"/>
      <c r="G10723" s="231" t="s">
        <v>1245</v>
      </c>
      <c r="H10723" s="232"/>
      <c r="I10723" s="232" t="s">
        <v>1253</v>
      </c>
      <c r="J10723" s="228" t="s">
        <v>55</v>
      </c>
      <c r="K10723" s="233"/>
      <c r="L10723" s="233">
        <f>K10722</f>
        <v>3623.123846153846</v>
      </c>
    </row>
    <row r="10724" spans="1:15" ht="11.25" customHeight="1" x14ac:dyDescent="0.2">
      <c r="A10724" s="222">
        <v>2025</v>
      </c>
      <c r="B10724" s="222">
        <v>10</v>
      </c>
      <c r="C10724" s="222">
        <v>16</v>
      </c>
      <c r="D10724" s="223">
        <f t="shared" si="1428"/>
        <v>45946</v>
      </c>
      <c r="E10724" s="240">
        <f t="shared" si="1438"/>
        <v>45946</v>
      </c>
      <c r="F10724" s="511" t="s">
        <v>1247</v>
      </c>
      <c r="G10724" s="225" t="s">
        <v>1245</v>
      </c>
      <c r="H10724" s="226"/>
      <c r="I10724" s="226" t="s">
        <v>1253</v>
      </c>
      <c r="J10724" s="222" t="s">
        <v>77</v>
      </c>
      <c r="K10724" s="227">
        <f>M10724</f>
        <v>56944.742415079745</v>
      </c>
      <c r="L10724" s="227"/>
      <c r="M10724" s="120">
        <v>56944.742415079745</v>
      </c>
    </row>
    <row r="10725" spans="1:15" ht="11.25" customHeight="1" x14ac:dyDescent="0.2">
      <c r="A10725" s="228">
        <v>2025</v>
      </c>
      <c r="B10725" s="228">
        <v>10</v>
      </c>
      <c r="C10725" s="228">
        <v>16</v>
      </c>
      <c r="D10725" s="229">
        <f t="shared" si="1428"/>
        <v>45946</v>
      </c>
      <c r="E10725" s="241">
        <f t="shared" si="1438"/>
        <v>45946</v>
      </c>
      <c r="F10725" s="512"/>
      <c r="G10725" s="231" t="s">
        <v>1245</v>
      </c>
      <c r="H10725" s="232"/>
      <c r="I10725" s="232" t="s">
        <v>1253</v>
      </c>
      <c r="J10725" s="228" t="s">
        <v>41</v>
      </c>
      <c r="K10725" s="233"/>
      <c r="L10725" s="233">
        <f>K10724</f>
        <v>56944.742415079745</v>
      </c>
      <c r="M10725" s="120">
        <v>5694.4742415079754</v>
      </c>
    </row>
    <row r="10726" spans="1:15" ht="11.25" customHeight="1" x14ac:dyDescent="0.2">
      <c r="A10726" s="222">
        <v>2025</v>
      </c>
      <c r="B10726" s="222">
        <v>10</v>
      </c>
      <c r="C10726" s="222">
        <v>16</v>
      </c>
      <c r="D10726" s="223">
        <f t="shared" si="1428"/>
        <v>45946</v>
      </c>
      <c r="E10726" s="240">
        <f t="shared" si="1438"/>
        <v>45946</v>
      </c>
      <c r="F10726" s="511" t="s">
        <v>1248</v>
      </c>
      <c r="G10726" s="225" t="s">
        <v>1245</v>
      </c>
      <c r="H10726" s="226"/>
      <c r="I10726" s="226" t="s">
        <v>1253</v>
      </c>
      <c r="J10726" s="222" t="s">
        <v>80</v>
      </c>
      <c r="K10726" s="227">
        <f>M10725</f>
        <v>5694.4742415079754</v>
      </c>
      <c r="L10726" s="227"/>
    </row>
    <row r="10727" spans="1:15" ht="11.25" customHeight="1" x14ac:dyDescent="0.2">
      <c r="A10727" s="228">
        <v>2025</v>
      </c>
      <c r="B10727" s="228">
        <v>10</v>
      </c>
      <c r="C10727" s="228">
        <v>16</v>
      </c>
      <c r="D10727" s="229">
        <f t="shared" si="1428"/>
        <v>45946</v>
      </c>
      <c r="E10727" s="241">
        <f t="shared" si="1438"/>
        <v>45946</v>
      </c>
      <c r="F10727" s="512"/>
      <c r="G10727" s="231" t="s">
        <v>1245</v>
      </c>
      <c r="H10727" s="232"/>
      <c r="I10727" s="232" t="s">
        <v>1253</v>
      </c>
      <c r="J10727" s="228" t="s">
        <v>42</v>
      </c>
      <c r="K10727" s="233"/>
      <c r="L10727" s="233">
        <f>K10726</f>
        <v>5694.4742415079754</v>
      </c>
    </row>
    <row r="10728" spans="1:15" ht="11.25" customHeight="1" x14ac:dyDescent="0.2">
      <c r="A10728" s="197">
        <v>2025</v>
      </c>
      <c r="B10728" s="197">
        <v>10</v>
      </c>
      <c r="C10728" s="197">
        <v>19</v>
      </c>
      <c r="D10728" s="198">
        <f t="shared" si="1428"/>
        <v>45949</v>
      </c>
      <c r="E10728" s="290">
        <f t="shared" si="1438"/>
        <v>45949</v>
      </c>
      <c r="F10728" s="513" t="s">
        <v>2101</v>
      </c>
      <c r="G10728" s="200" t="s">
        <v>1209</v>
      </c>
      <c r="H10728" s="201"/>
      <c r="I10728" s="201" t="s">
        <v>1253</v>
      </c>
      <c r="J10728" s="197" t="s">
        <v>46</v>
      </c>
      <c r="K10728" s="202">
        <v>2029050</v>
      </c>
      <c r="L10728" s="202"/>
    </row>
    <row r="10729" spans="1:15" ht="11.25" customHeight="1" x14ac:dyDescent="0.2">
      <c r="A10729" s="191">
        <v>2025</v>
      </c>
      <c r="B10729" s="191">
        <v>10</v>
      </c>
      <c r="C10729" s="191">
        <v>19</v>
      </c>
      <c r="D10729" s="192">
        <f t="shared" si="1428"/>
        <v>45949</v>
      </c>
      <c r="E10729" s="291">
        <f t="shared" si="1438"/>
        <v>45949</v>
      </c>
      <c r="F10729" s="514"/>
      <c r="G10729" s="194" t="s">
        <v>1209</v>
      </c>
      <c r="H10729" s="195"/>
      <c r="I10729" s="195"/>
      <c r="J10729" s="191" t="s">
        <v>1873</v>
      </c>
      <c r="K10729" s="196"/>
      <c r="L10729" s="196">
        <f>K10728</f>
        <v>2029050</v>
      </c>
    </row>
    <row r="10730" spans="1:15" x14ac:dyDescent="0.2">
      <c r="A10730" s="197">
        <v>2025</v>
      </c>
      <c r="B10730" s="197">
        <v>10</v>
      </c>
      <c r="C10730" s="197">
        <v>19</v>
      </c>
      <c r="D10730" s="198">
        <f t="shared" si="1428"/>
        <v>45949</v>
      </c>
      <c r="E10730" s="209">
        <f t="shared" si="1438"/>
        <v>45949</v>
      </c>
      <c r="F10730" s="513" t="s">
        <v>1280</v>
      </c>
      <c r="G10730" s="200" t="s">
        <v>1209</v>
      </c>
      <c r="H10730" s="201"/>
      <c r="I10730" s="201"/>
      <c r="J10730" s="197" t="s">
        <v>16</v>
      </c>
      <c r="K10730" s="202">
        <v>301410</v>
      </c>
      <c r="L10730" s="202"/>
    </row>
    <row r="10731" spans="1:15" x14ac:dyDescent="0.2">
      <c r="A10731" s="120">
        <v>2025</v>
      </c>
      <c r="B10731" s="120">
        <v>10</v>
      </c>
      <c r="C10731" s="120">
        <v>19</v>
      </c>
      <c r="D10731" s="208">
        <f t="shared" si="1428"/>
        <v>45949</v>
      </c>
      <c r="E10731" s="209">
        <f t="shared" si="1438"/>
        <v>45949</v>
      </c>
      <c r="F10731" s="515"/>
      <c r="G10731" s="132" t="s">
        <v>1209</v>
      </c>
      <c r="J10731" s="120" t="s">
        <v>47</v>
      </c>
      <c r="K10731" s="207">
        <v>110105.07</v>
      </c>
      <c r="L10731" s="207"/>
    </row>
    <row r="10732" spans="1:15" x14ac:dyDescent="0.2">
      <c r="A10732" s="191">
        <v>2025</v>
      </c>
      <c r="B10732" s="191">
        <v>10</v>
      </c>
      <c r="C10732" s="191">
        <v>19</v>
      </c>
      <c r="D10732" s="192">
        <f t="shared" ref="D10732:D10795" si="1439">DATE(A10732,B10732,C10732)</f>
        <v>45949</v>
      </c>
      <c r="E10732" s="193">
        <f t="shared" si="1438"/>
        <v>45949</v>
      </c>
      <c r="F10732" s="514"/>
      <c r="G10732" s="194" t="s">
        <v>1209</v>
      </c>
      <c r="H10732" s="195"/>
      <c r="I10732" s="195"/>
      <c r="J10732" s="191" t="s">
        <v>46</v>
      </c>
      <c r="K10732" s="196"/>
      <c r="L10732" s="196">
        <v>411515.07</v>
      </c>
    </row>
    <row r="10733" spans="1:15" x14ac:dyDescent="0.2">
      <c r="A10733" s="197">
        <v>2025</v>
      </c>
      <c r="B10733" s="197">
        <v>10</v>
      </c>
      <c r="C10733" s="197">
        <v>19</v>
      </c>
      <c r="D10733" s="198">
        <f t="shared" si="1439"/>
        <v>45949</v>
      </c>
      <c r="E10733" s="209">
        <f t="shared" ref="E10733:E10740" si="1440">DATE(A10733,B10733,C10733)</f>
        <v>45949</v>
      </c>
      <c r="F10733" s="513" t="s">
        <v>1280</v>
      </c>
      <c r="G10733" s="200" t="s">
        <v>1209</v>
      </c>
      <c r="H10733" s="201"/>
      <c r="I10733" s="201"/>
      <c r="J10733" s="197" t="s">
        <v>16</v>
      </c>
      <c r="K10733" s="202">
        <v>549330</v>
      </c>
      <c r="L10733" s="202"/>
    </row>
    <row r="10734" spans="1:15" x14ac:dyDescent="0.2">
      <c r="A10734" s="120">
        <v>2025</v>
      </c>
      <c r="B10734" s="120">
        <v>10</v>
      </c>
      <c r="C10734" s="120">
        <v>19</v>
      </c>
      <c r="D10734" s="208">
        <f t="shared" si="1439"/>
        <v>45949</v>
      </c>
      <c r="E10734" s="209">
        <f t="shared" si="1440"/>
        <v>45949</v>
      </c>
      <c r="F10734" s="515"/>
      <c r="G10734" s="132" t="s">
        <v>1209</v>
      </c>
      <c r="J10734" s="120" t="s">
        <v>47</v>
      </c>
      <c r="K10734" s="207">
        <v>200670.25</v>
      </c>
      <c r="L10734" s="207"/>
    </row>
    <row r="10735" spans="1:15" x14ac:dyDescent="0.2">
      <c r="A10735" s="191">
        <v>2025</v>
      </c>
      <c r="B10735" s="191">
        <v>10</v>
      </c>
      <c r="C10735" s="191">
        <v>19</v>
      </c>
      <c r="D10735" s="192">
        <f t="shared" si="1439"/>
        <v>45949</v>
      </c>
      <c r="E10735" s="193">
        <f t="shared" si="1440"/>
        <v>45949</v>
      </c>
      <c r="F10735" s="514"/>
      <c r="G10735" s="194" t="s">
        <v>1209</v>
      </c>
      <c r="H10735" s="195"/>
      <c r="I10735" s="195"/>
      <c r="J10735" s="191" t="s">
        <v>46</v>
      </c>
      <c r="K10735" s="196"/>
      <c r="L10735" s="196">
        <v>750000.25</v>
      </c>
    </row>
    <row r="10736" spans="1:15" ht="11.25" customHeight="1" x14ac:dyDescent="0.2">
      <c r="A10736" s="197">
        <v>2025</v>
      </c>
      <c r="B10736" s="197">
        <v>10</v>
      </c>
      <c r="C10736" s="197">
        <v>19</v>
      </c>
      <c r="D10736" s="198">
        <f t="shared" si="1439"/>
        <v>45949</v>
      </c>
      <c r="E10736" s="290">
        <f t="shared" si="1440"/>
        <v>45949</v>
      </c>
      <c r="F10736" s="513" t="s">
        <v>1514</v>
      </c>
      <c r="G10736" s="200" t="s">
        <v>1209</v>
      </c>
      <c r="H10736" s="201"/>
      <c r="I10736" s="201"/>
      <c r="J10736" s="197" t="s">
        <v>54</v>
      </c>
      <c r="K10736" s="202">
        <v>100</v>
      </c>
      <c r="L10736" s="202"/>
      <c r="M10736" s="251"/>
      <c r="N10736" s="251"/>
      <c r="O10736" s="251"/>
    </row>
    <row r="10737" spans="1:13" ht="11.25" customHeight="1" x14ac:dyDescent="0.2">
      <c r="A10737" s="191">
        <v>2025</v>
      </c>
      <c r="B10737" s="191">
        <v>10</v>
      </c>
      <c r="C10737" s="191">
        <v>19</v>
      </c>
      <c r="D10737" s="192">
        <f t="shared" si="1439"/>
        <v>45949</v>
      </c>
      <c r="E10737" s="291">
        <f t="shared" si="1440"/>
        <v>45949</v>
      </c>
      <c r="F10737" s="514"/>
      <c r="G10737" s="194" t="s">
        <v>1209</v>
      </c>
      <c r="H10737" s="195"/>
      <c r="I10737" s="195"/>
      <c r="J10737" s="191" t="s">
        <v>46</v>
      </c>
      <c r="K10737" s="196"/>
      <c r="L10737" s="196">
        <f>K10736</f>
        <v>100</v>
      </c>
      <c r="M10737" s="251"/>
    </row>
    <row r="10738" spans="1:13" x14ac:dyDescent="0.2">
      <c r="A10738" s="197">
        <v>2025</v>
      </c>
      <c r="B10738" s="197">
        <v>10</v>
      </c>
      <c r="C10738" s="197">
        <v>20</v>
      </c>
      <c r="D10738" s="198">
        <f t="shared" si="1439"/>
        <v>45950</v>
      </c>
      <c r="E10738" s="209">
        <f t="shared" si="1440"/>
        <v>45950</v>
      </c>
      <c r="F10738" s="513" t="s">
        <v>1210</v>
      </c>
      <c r="G10738" s="200" t="s">
        <v>1209</v>
      </c>
      <c r="H10738" s="201"/>
      <c r="I10738" s="201"/>
      <c r="J10738" s="197" t="s">
        <v>46</v>
      </c>
      <c r="K10738" s="202">
        <v>500000</v>
      </c>
      <c r="L10738" s="202"/>
    </row>
    <row r="10739" spans="1:13" x14ac:dyDescent="0.2">
      <c r="A10739" s="120">
        <v>2025</v>
      </c>
      <c r="B10739" s="120">
        <v>10</v>
      </c>
      <c r="C10739" s="120">
        <v>20</v>
      </c>
      <c r="D10739" s="208">
        <f t="shared" si="1439"/>
        <v>45950</v>
      </c>
      <c r="E10739" s="209">
        <f t="shared" si="1440"/>
        <v>45950</v>
      </c>
      <c r="F10739" s="515"/>
      <c r="G10739" s="132" t="s">
        <v>1209</v>
      </c>
      <c r="J10739" s="120" t="s">
        <v>16</v>
      </c>
      <c r="K10739" s="207"/>
      <c r="L10739" s="207">
        <v>368320</v>
      </c>
    </row>
    <row r="10740" spans="1:13" x14ac:dyDescent="0.2">
      <c r="A10740" s="191">
        <v>2025</v>
      </c>
      <c r="B10740" s="191">
        <v>10</v>
      </c>
      <c r="C10740" s="191">
        <v>20</v>
      </c>
      <c r="D10740" s="192">
        <f t="shared" si="1439"/>
        <v>45950</v>
      </c>
      <c r="E10740" s="193">
        <f t="shared" si="1440"/>
        <v>45950</v>
      </c>
      <c r="F10740" s="514"/>
      <c r="G10740" s="194" t="s">
        <v>1209</v>
      </c>
      <c r="H10740" s="195"/>
      <c r="I10740" s="195"/>
      <c r="J10740" s="191" t="s">
        <v>47</v>
      </c>
      <c r="K10740" s="196"/>
      <c r="L10740" s="196">
        <v>131680</v>
      </c>
    </row>
    <row r="10741" spans="1:13" x14ac:dyDescent="0.2">
      <c r="A10741" s="197">
        <v>2025</v>
      </c>
      <c r="B10741" s="197">
        <v>10</v>
      </c>
      <c r="C10741" s="197">
        <v>20</v>
      </c>
      <c r="D10741" s="198">
        <f t="shared" si="1439"/>
        <v>45950</v>
      </c>
      <c r="E10741" s="209">
        <f t="shared" ref="E10741:E10743" si="1441">DATE(A10741,B10741,C10741)</f>
        <v>45950</v>
      </c>
      <c r="F10741" s="513" t="s">
        <v>1210</v>
      </c>
      <c r="G10741" s="200" t="s">
        <v>1209</v>
      </c>
      <c r="H10741" s="201"/>
      <c r="I10741" s="201"/>
      <c r="J10741" s="197" t="s">
        <v>46</v>
      </c>
      <c r="K10741" s="202">
        <v>30000</v>
      </c>
      <c r="L10741" s="202"/>
    </row>
    <row r="10742" spans="1:13" x14ac:dyDescent="0.2">
      <c r="A10742" s="120">
        <v>2025</v>
      </c>
      <c r="B10742" s="120">
        <v>10</v>
      </c>
      <c r="C10742" s="120">
        <v>20</v>
      </c>
      <c r="D10742" s="208">
        <f t="shared" si="1439"/>
        <v>45950</v>
      </c>
      <c r="E10742" s="209">
        <f t="shared" si="1441"/>
        <v>45950</v>
      </c>
      <c r="F10742" s="515"/>
      <c r="G10742" s="132" t="s">
        <v>1209</v>
      </c>
      <c r="J10742" s="120" t="s">
        <v>16</v>
      </c>
      <c r="K10742" s="207"/>
      <c r="L10742" s="207">
        <v>22100</v>
      </c>
    </row>
    <row r="10743" spans="1:13" x14ac:dyDescent="0.2">
      <c r="A10743" s="191">
        <v>2025</v>
      </c>
      <c r="B10743" s="191">
        <v>10</v>
      </c>
      <c r="C10743" s="191">
        <v>20</v>
      </c>
      <c r="D10743" s="192">
        <f t="shared" si="1439"/>
        <v>45950</v>
      </c>
      <c r="E10743" s="193">
        <f t="shared" si="1441"/>
        <v>45950</v>
      </c>
      <c r="F10743" s="514"/>
      <c r="G10743" s="194" t="s">
        <v>1209</v>
      </c>
      <c r="H10743" s="195"/>
      <c r="I10743" s="195"/>
      <c r="J10743" s="191" t="s">
        <v>47</v>
      </c>
      <c r="K10743" s="196"/>
      <c r="L10743" s="196">
        <v>7900</v>
      </c>
    </row>
    <row r="10744" spans="1:13" x14ac:dyDescent="0.2">
      <c r="A10744" s="197">
        <v>2025</v>
      </c>
      <c r="B10744" s="197">
        <v>10</v>
      </c>
      <c r="C10744" s="197">
        <v>20</v>
      </c>
      <c r="D10744" s="198">
        <f t="shared" si="1439"/>
        <v>45950</v>
      </c>
      <c r="E10744" s="209">
        <f t="shared" ref="E10744:E10749" si="1442">DATE(A10744,B10744,C10744)</f>
        <v>45950</v>
      </c>
      <c r="F10744" s="513" t="s">
        <v>1210</v>
      </c>
      <c r="G10744" s="200" t="s">
        <v>1209</v>
      </c>
      <c r="H10744" s="201"/>
      <c r="I10744" s="201"/>
      <c r="J10744" s="197" t="s">
        <v>46</v>
      </c>
      <c r="K10744" s="202">
        <v>600000</v>
      </c>
      <c r="L10744" s="202"/>
    </row>
    <row r="10745" spans="1:13" x14ac:dyDescent="0.2">
      <c r="A10745" s="120">
        <v>2025</v>
      </c>
      <c r="B10745" s="120">
        <v>10</v>
      </c>
      <c r="C10745" s="120">
        <v>20</v>
      </c>
      <c r="D10745" s="208">
        <f t="shared" si="1439"/>
        <v>45950</v>
      </c>
      <c r="E10745" s="209">
        <f t="shared" si="1442"/>
        <v>45950</v>
      </c>
      <c r="F10745" s="515"/>
      <c r="G10745" s="132" t="s">
        <v>1209</v>
      </c>
      <c r="J10745" s="120" t="s">
        <v>16</v>
      </c>
      <c r="K10745" s="207"/>
      <c r="L10745" s="207">
        <v>439460</v>
      </c>
    </row>
    <row r="10746" spans="1:13" x14ac:dyDescent="0.2">
      <c r="A10746" s="191">
        <v>2025</v>
      </c>
      <c r="B10746" s="191">
        <v>10</v>
      </c>
      <c r="C10746" s="191">
        <v>20</v>
      </c>
      <c r="D10746" s="192">
        <f t="shared" si="1439"/>
        <v>45950</v>
      </c>
      <c r="E10746" s="193">
        <f t="shared" si="1442"/>
        <v>45950</v>
      </c>
      <c r="F10746" s="514"/>
      <c r="G10746" s="194" t="s">
        <v>1209</v>
      </c>
      <c r="H10746" s="195"/>
      <c r="I10746" s="195"/>
      <c r="J10746" s="191" t="s">
        <v>47</v>
      </c>
      <c r="K10746" s="196"/>
      <c r="L10746" s="196">
        <v>160540</v>
      </c>
    </row>
    <row r="10747" spans="1:13" x14ac:dyDescent="0.2">
      <c r="A10747" s="197">
        <v>2025</v>
      </c>
      <c r="B10747" s="197">
        <v>10</v>
      </c>
      <c r="C10747" s="197">
        <v>20</v>
      </c>
      <c r="D10747" s="198">
        <f t="shared" si="1439"/>
        <v>45950</v>
      </c>
      <c r="E10747" s="209">
        <f t="shared" si="1442"/>
        <v>45950</v>
      </c>
      <c r="F10747" s="513" t="s">
        <v>1280</v>
      </c>
      <c r="G10747" s="200" t="s">
        <v>1209</v>
      </c>
      <c r="H10747" s="201"/>
      <c r="I10747" s="201"/>
      <c r="J10747" s="197" t="s">
        <v>16</v>
      </c>
      <c r="K10747" s="202">
        <v>10990</v>
      </c>
      <c r="L10747" s="202"/>
    </row>
    <row r="10748" spans="1:13" x14ac:dyDescent="0.2">
      <c r="A10748" s="120">
        <v>2025</v>
      </c>
      <c r="B10748" s="120">
        <v>10</v>
      </c>
      <c r="C10748" s="120">
        <v>20</v>
      </c>
      <c r="D10748" s="208">
        <f t="shared" si="1439"/>
        <v>45950</v>
      </c>
      <c r="E10748" s="209">
        <f t="shared" si="1442"/>
        <v>45950</v>
      </c>
      <c r="F10748" s="515"/>
      <c r="G10748" s="132" t="s">
        <v>1209</v>
      </c>
      <c r="J10748" s="120" t="s">
        <v>47</v>
      </c>
      <c r="K10748" s="207">
        <v>4010</v>
      </c>
      <c r="L10748" s="207"/>
    </row>
    <row r="10749" spans="1:13" x14ac:dyDescent="0.2">
      <c r="A10749" s="191">
        <v>2025</v>
      </c>
      <c r="B10749" s="191">
        <v>10</v>
      </c>
      <c r="C10749" s="191">
        <v>20</v>
      </c>
      <c r="D10749" s="192">
        <f t="shared" si="1439"/>
        <v>45950</v>
      </c>
      <c r="E10749" s="193">
        <f t="shared" si="1442"/>
        <v>45950</v>
      </c>
      <c r="F10749" s="514"/>
      <c r="G10749" s="194" t="s">
        <v>1209</v>
      </c>
      <c r="H10749" s="195"/>
      <c r="I10749" s="195"/>
      <c r="J10749" s="191" t="s">
        <v>46</v>
      </c>
      <c r="K10749" s="196"/>
      <c r="L10749" s="196">
        <v>15000</v>
      </c>
    </row>
    <row r="10750" spans="1:13" x14ac:dyDescent="0.2">
      <c r="A10750" s="197">
        <v>2025</v>
      </c>
      <c r="B10750" s="197">
        <v>10</v>
      </c>
      <c r="C10750" s="197">
        <v>21</v>
      </c>
      <c r="D10750" s="198">
        <f t="shared" si="1439"/>
        <v>45951</v>
      </c>
      <c r="E10750" s="209">
        <f t="shared" ref="E10750:E10754" si="1443">DATE(A10750,B10750,C10750)</f>
        <v>45951</v>
      </c>
      <c r="F10750" s="513" t="s">
        <v>1280</v>
      </c>
      <c r="G10750" s="200" t="s">
        <v>1209</v>
      </c>
      <c r="H10750" s="201"/>
      <c r="I10750" s="201"/>
      <c r="J10750" s="197" t="s">
        <v>16</v>
      </c>
      <c r="K10750" s="202">
        <v>760050</v>
      </c>
      <c r="L10750" s="202"/>
    </row>
    <row r="10751" spans="1:13" x14ac:dyDescent="0.2">
      <c r="A10751" s="120">
        <v>2025</v>
      </c>
      <c r="B10751" s="120">
        <v>10</v>
      </c>
      <c r="C10751" s="120">
        <v>21</v>
      </c>
      <c r="D10751" s="208">
        <f t="shared" si="1439"/>
        <v>45951</v>
      </c>
      <c r="E10751" s="209">
        <f t="shared" si="1443"/>
        <v>45951</v>
      </c>
      <c r="F10751" s="515"/>
      <c r="G10751" s="132" t="s">
        <v>1209</v>
      </c>
      <c r="J10751" s="120" t="s">
        <v>47</v>
      </c>
      <c r="K10751" s="207">
        <v>277645.77</v>
      </c>
      <c r="L10751" s="207"/>
    </row>
    <row r="10752" spans="1:13" x14ac:dyDescent="0.2">
      <c r="A10752" s="191">
        <v>2025</v>
      </c>
      <c r="B10752" s="191">
        <v>10</v>
      </c>
      <c r="C10752" s="191">
        <v>21</v>
      </c>
      <c r="D10752" s="192">
        <f t="shared" si="1439"/>
        <v>45951</v>
      </c>
      <c r="E10752" s="193">
        <f t="shared" si="1443"/>
        <v>45951</v>
      </c>
      <c r="F10752" s="514"/>
      <c r="G10752" s="194" t="s">
        <v>1209</v>
      </c>
      <c r="H10752" s="195"/>
      <c r="I10752" s="195"/>
      <c r="J10752" s="191" t="s">
        <v>46</v>
      </c>
      <c r="K10752" s="196"/>
      <c r="L10752" s="196">
        <v>1037695.77</v>
      </c>
    </row>
    <row r="10753" spans="1:15" ht="11.25" customHeight="1" x14ac:dyDescent="0.2">
      <c r="A10753" s="197">
        <v>2025</v>
      </c>
      <c r="B10753" s="197">
        <v>10</v>
      </c>
      <c r="C10753" s="197">
        <v>21</v>
      </c>
      <c r="D10753" s="198">
        <f t="shared" si="1439"/>
        <v>45951</v>
      </c>
      <c r="E10753" s="290">
        <f t="shared" si="1443"/>
        <v>45951</v>
      </c>
      <c r="F10753" s="513" t="s">
        <v>1514</v>
      </c>
      <c r="G10753" s="200" t="s">
        <v>1209</v>
      </c>
      <c r="H10753" s="201"/>
      <c r="I10753" s="201"/>
      <c r="J10753" s="197" t="s">
        <v>54</v>
      </c>
      <c r="K10753" s="202">
        <v>100</v>
      </c>
      <c r="L10753" s="202"/>
      <c r="M10753" s="251"/>
      <c r="N10753" s="251"/>
      <c r="O10753" s="251"/>
    </row>
    <row r="10754" spans="1:15" ht="11.25" customHeight="1" x14ac:dyDescent="0.2">
      <c r="A10754" s="191">
        <v>2025</v>
      </c>
      <c r="B10754" s="191">
        <v>10</v>
      </c>
      <c r="C10754" s="191">
        <v>21</v>
      </c>
      <c r="D10754" s="192">
        <f t="shared" si="1439"/>
        <v>45951</v>
      </c>
      <c r="E10754" s="291">
        <f t="shared" si="1443"/>
        <v>45951</v>
      </c>
      <c r="F10754" s="514"/>
      <c r="G10754" s="194" t="s">
        <v>1209</v>
      </c>
      <c r="H10754" s="195"/>
      <c r="I10754" s="195"/>
      <c r="J10754" s="191" t="s">
        <v>46</v>
      </c>
      <c r="K10754" s="196"/>
      <c r="L10754" s="196">
        <f>K10753</f>
        <v>100</v>
      </c>
      <c r="M10754" s="251"/>
    </row>
    <row r="10755" spans="1:15" x14ac:dyDescent="0.2">
      <c r="A10755" s="197">
        <v>2025</v>
      </c>
      <c r="B10755" s="197">
        <v>10</v>
      </c>
      <c r="C10755" s="197">
        <v>22</v>
      </c>
      <c r="D10755" s="198">
        <f t="shared" si="1439"/>
        <v>45952</v>
      </c>
      <c r="E10755" s="209">
        <f t="shared" ref="E10755:E10757" si="1444">DATE(A10755,B10755,C10755)</f>
        <v>45952</v>
      </c>
      <c r="F10755" s="513" t="s">
        <v>1280</v>
      </c>
      <c r="G10755" s="200" t="s">
        <v>1209</v>
      </c>
      <c r="H10755" s="201"/>
      <c r="I10755" s="201"/>
      <c r="J10755" s="197" t="s">
        <v>16</v>
      </c>
      <c r="K10755" s="202">
        <v>732440</v>
      </c>
      <c r="L10755" s="202"/>
    </row>
    <row r="10756" spans="1:15" x14ac:dyDescent="0.2">
      <c r="A10756" s="120">
        <v>2025</v>
      </c>
      <c r="B10756" s="120">
        <v>10</v>
      </c>
      <c r="C10756" s="120">
        <v>22</v>
      </c>
      <c r="D10756" s="208">
        <f t="shared" si="1439"/>
        <v>45952</v>
      </c>
      <c r="E10756" s="209">
        <f t="shared" si="1444"/>
        <v>45952</v>
      </c>
      <c r="F10756" s="515"/>
      <c r="G10756" s="132" t="s">
        <v>1209</v>
      </c>
      <c r="J10756" s="120" t="s">
        <v>47</v>
      </c>
      <c r="K10756" s="207">
        <v>267560</v>
      </c>
      <c r="L10756" s="207"/>
    </row>
    <row r="10757" spans="1:15" x14ac:dyDescent="0.2">
      <c r="A10757" s="191">
        <v>2025</v>
      </c>
      <c r="B10757" s="191">
        <v>10</v>
      </c>
      <c r="C10757" s="191">
        <v>22</v>
      </c>
      <c r="D10757" s="192">
        <f t="shared" si="1439"/>
        <v>45952</v>
      </c>
      <c r="E10757" s="193">
        <f t="shared" si="1444"/>
        <v>45952</v>
      </c>
      <c r="F10757" s="514"/>
      <c r="G10757" s="194" t="s">
        <v>1209</v>
      </c>
      <c r="H10757" s="195"/>
      <c r="I10757" s="195"/>
      <c r="J10757" s="191" t="s">
        <v>46</v>
      </c>
      <c r="K10757" s="196"/>
      <c r="L10757" s="196">
        <v>1000000</v>
      </c>
    </row>
    <row r="10758" spans="1:15" x14ac:dyDescent="0.2">
      <c r="A10758" s="197">
        <v>2025</v>
      </c>
      <c r="B10758" s="197">
        <v>10</v>
      </c>
      <c r="C10758" s="197">
        <v>22</v>
      </c>
      <c r="D10758" s="198">
        <f t="shared" si="1439"/>
        <v>45952</v>
      </c>
      <c r="E10758" s="209">
        <f t="shared" ref="E10758:E10767" si="1445">DATE(A10758,B10758,C10758)</f>
        <v>45952</v>
      </c>
      <c r="F10758" s="513" t="s">
        <v>1280</v>
      </c>
      <c r="G10758" s="200" t="s">
        <v>1209</v>
      </c>
      <c r="H10758" s="201"/>
      <c r="I10758" s="201"/>
      <c r="J10758" s="197" t="s">
        <v>16</v>
      </c>
      <c r="K10758" s="202">
        <v>732440</v>
      </c>
      <c r="L10758" s="202"/>
    </row>
    <row r="10759" spans="1:15" x14ac:dyDescent="0.2">
      <c r="A10759" s="120">
        <v>2025</v>
      </c>
      <c r="B10759" s="120">
        <v>10</v>
      </c>
      <c r="C10759" s="120">
        <v>22</v>
      </c>
      <c r="D10759" s="208">
        <f t="shared" si="1439"/>
        <v>45952</v>
      </c>
      <c r="E10759" s="209">
        <f t="shared" si="1445"/>
        <v>45952</v>
      </c>
      <c r="F10759" s="515"/>
      <c r="G10759" s="132" t="s">
        <v>1209</v>
      </c>
      <c r="J10759" s="120" t="s">
        <v>47</v>
      </c>
      <c r="K10759" s="207">
        <v>267560.32999999996</v>
      </c>
      <c r="L10759" s="207"/>
    </row>
    <row r="10760" spans="1:15" x14ac:dyDescent="0.2">
      <c r="A10760" s="191">
        <v>2025</v>
      </c>
      <c r="B10760" s="191">
        <v>10</v>
      </c>
      <c r="C10760" s="191">
        <v>22</v>
      </c>
      <c r="D10760" s="192">
        <f t="shared" si="1439"/>
        <v>45952</v>
      </c>
      <c r="E10760" s="193">
        <f t="shared" si="1445"/>
        <v>45952</v>
      </c>
      <c r="F10760" s="514"/>
      <c r="G10760" s="194" t="s">
        <v>1209</v>
      </c>
      <c r="H10760" s="195"/>
      <c r="I10760" s="195"/>
      <c r="J10760" s="191" t="s">
        <v>46</v>
      </c>
      <c r="K10760" s="196"/>
      <c r="L10760" s="196">
        <v>1000000.33</v>
      </c>
    </row>
    <row r="10761" spans="1:15" ht="11.25" customHeight="1" x14ac:dyDescent="0.2">
      <c r="A10761" s="197">
        <v>2025</v>
      </c>
      <c r="B10761" s="197">
        <v>10</v>
      </c>
      <c r="C10761" s="197">
        <v>22</v>
      </c>
      <c r="D10761" s="198">
        <f t="shared" si="1439"/>
        <v>45952</v>
      </c>
      <c r="E10761" s="290">
        <f t="shared" si="1445"/>
        <v>45952</v>
      </c>
      <c r="F10761" s="513" t="s">
        <v>2092</v>
      </c>
      <c r="G10761" s="200" t="s">
        <v>1245</v>
      </c>
      <c r="H10761" s="201"/>
      <c r="I10761" s="201" t="s">
        <v>1253</v>
      </c>
      <c r="J10761" s="197" t="s">
        <v>46</v>
      </c>
      <c r="K10761" s="202">
        <v>647769.8630136986</v>
      </c>
      <c r="L10761" s="202"/>
    </row>
    <row r="10762" spans="1:15" ht="11.25" customHeight="1" x14ac:dyDescent="0.2">
      <c r="A10762" s="191">
        <v>2025</v>
      </c>
      <c r="B10762" s="191">
        <v>10</v>
      </c>
      <c r="C10762" s="191">
        <v>22</v>
      </c>
      <c r="D10762" s="192">
        <f t="shared" si="1439"/>
        <v>45952</v>
      </c>
      <c r="E10762" s="291">
        <f t="shared" si="1445"/>
        <v>45952</v>
      </c>
      <c r="F10762" s="514"/>
      <c r="G10762" s="194" t="s">
        <v>1245</v>
      </c>
      <c r="H10762" s="195"/>
      <c r="I10762" s="195" t="s">
        <v>1253</v>
      </c>
      <c r="J10762" s="191" t="s">
        <v>2004</v>
      </c>
      <c r="K10762" s="196"/>
      <c r="L10762" s="196">
        <f t="shared" ref="L10762" si="1446">K10761</f>
        <v>647769.8630136986</v>
      </c>
    </row>
    <row r="10763" spans="1:15" ht="11.25" customHeight="1" x14ac:dyDescent="0.2">
      <c r="A10763" s="197">
        <v>2025</v>
      </c>
      <c r="B10763" s="197">
        <v>10</v>
      </c>
      <c r="C10763" s="197">
        <v>22</v>
      </c>
      <c r="D10763" s="198">
        <f t="shared" si="1439"/>
        <v>45952</v>
      </c>
      <c r="E10763" s="290">
        <f t="shared" si="1445"/>
        <v>45952</v>
      </c>
      <c r="F10763" s="513" t="s">
        <v>1514</v>
      </c>
      <c r="G10763" s="200" t="s">
        <v>1209</v>
      </c>
      <c r="H10763" s="201"/>
      <c r="I10763" s="201"/>
      <c r="J10763" s="197" t="s">
        <v>54</v>
      </c>
      <c r="K10763" s="202">
        <v>200</v>
      </c>
      <c r="L10763" s="202"/>
      <c r="M10763" s="251"/>
      <c r="N10763" s="251"/>
      <c r="O10763" s="251"/>
    </row>
    <row r="10764" spans="1:15" ht="11.25" customHeight="1" x14ac:dyDescent="0.2">
      <c r="A10764" s="191">
        <v>2025</v>
      </c>
      <c r="B10764" s="191">
        <v>10</v>
      </c>
      <c r="C10764" s="191">
        <v>22</v>
      </c>
      <c r="D10764" s="192">
        <f t="shared" si="1439"/>
        <v>45952</v>
      </c>
      <c r="E10764" s="291">
        <f t="shared" si="1445"/>
        <v>45952</v>
      </c>
      <c r="F10764" s="514"/>
      <c r="G10764" s="194" t="s">
        <v>1209</v>
      </c>
      <c r="H10764" s="195"/>
      <c r="I10764" s="195"/>
      <c r="J10764" s="191" t="s">
        <v>46</v>
      </c>
      <c r="K10764" s="196"/>
      <c r="L10764" s="196">
        <f>K10763</f>
        <v>200</v>
      </c>
      <c r="M10764" s="251"/>
    </row>
    <row r="10765" spans="1:15" x14ac:dyDescent="0.2">
      <c r="A10765" s="197">
        <v>2025</v>
      </c>
      <c r="B10765" s="197">
        <v>10</v>
      </c>
      <c r="C10765" s="197">
        <v>23</v>
      </c>
      <c r="D10765" s="198">
        <f t="shared" si="1439"/>
        <v>45953</v>
      </c>
      <c r="E10765" s="209">
        <f t="shared" si="1445"/>
        <v>45953</v>
      </c>
      <c r="F10765" s="513" t="s">
        <v>1210</v>
      </c>
      <c r="G10765" s="200" t="s">
        <v>1209</v>
      </c>
      <c r="H10765" s="201"/>
      <c r="I10765" s="201"/>
      <c r="J10765" s="197" t="s">
        <v>46</v>
      </c>
      <c r="K10765" s="202">
        <v>100000</v>
      </c>
      <c r="L10765" s="202"/>
    </row>
    <row r="10766" spans="1:15" x14ac:dyDescent="0.2">
      <c r="A10766" s="120">
        <v>2025</v>
      </c>
      <c r="B10766" s="120">
        <v>10</v>
      </c>
      <c r="C10766" s="120">
        <v>23</v>
      </c>
      <c r="D10766" s="208">
        <f t="shared" si="1439"/>
        <v>45953</v>
      </c>
      <c r="E10766" s="209">
        <f t="shared" si="1445"/>
        <v>45953</v>
      </c>
      <c r="F10766" s="515"/>
      <c r="G10766" s="132" t="s">
        <v>1209</v>
      </c>
      <c r="J10766" s="120" t="s">
        <v>16</v>
      </c>
      <c r="K10766" s="207"/>
      <c r="L10766" s="207">
        <v>73240</v>
      </c>
    </row>
    <row r="10767" spans="1:15" x14ac:dyDescent="0.2">
      <c r="A10767" s="191">
        <v>2025</v>
      </c>
      <c r="B10767" s="191">
        <v>10</v>
      </c>
      <c r="C10767" s="191">
        <v>23</v>
      </c>
      <c r="D10767" s="192">
        <f t="shared" si="1439"/>
        <v>45953</v>
      </c>
      <c r="E10767" s="193">
        <f t="shared" si="1445"/>
        <v>45953</v>
      </c>
      <c r="F10767" s="514"/>
      <c r="G10767" s="194" t="s">
        <v>1209</v>
      </c>
      <c r="H10767" s="195"/>
      <c r="I10767" s="195"/>
      <c r="J10767" s="191" t="s">
        <v>47</v>
      </c>
      <c r="K10767" s="196"/>
      <c r="L10767" s="196">
        <v>26760</v>
      </c>
    </row>
    <row r="10768" spans="1:15" x14ac:dyDescent="0.2">
      <c r="A10768" s="197">
        <v>2025</v>
      </c>
      <c r="B10768" s="197">
        <v>10</v>
      </c>
      <c r="C10768" s="197">
        <v>23</v>
      </c>
      <c r="D10768" s="198">
        <f t="shared" si="1439"/>
        <v>45953</v>
      </c>
      <c r="E10768" s="209">
        <f t="shared" ref="E10768:E10770" si="1447">DATE(A10768,B10768,C10768)</f>
        <v>45953</v>
      </c>
      <c r="F10768" s="513" t="s">
        <v>1280</v>
      </c>
      <c r="G10768" s="200" t="s">
        <v>1209</v>
      </c>
      <c r="H10768" s="201"/>
      <c r="I10768" s="201"/>
      <c r="J10768" s="197" t="s">
        <v>16</v>
      </c>
      <c r="K10768" s="202">
        <v>7320</v>
      </c>
      <c r="L10768" s="202"/>
    </row>
    <row r="10769" spans="1:15" x14ac:dyDescent="0.2">
      <c r="A10769" s="120">
        <v>2025</v>
      </c>
      <c r="B10769" s="120">
        <v>10</v>
      </c>
      <c r="C10769" s="120">
        <v>23</v>
      </c>
      <c r="D10769" s="208">
        <f t="shared" si="1439"/>
        <v>45953</v>
      </c>
      <c r="E10769" s="209">
        <f t="shared" si="1447"/>
        <v>45953</v>
      </c>
      <c r="F10769" s="515"/>
      <c r="G10769" s="132" t="s">
        <v>1209</v>
      </c>
      <c r="J10769" s="120" t="s">
        <v>47</v>
      </c>
      <c r="K10769" s="207">
        <v>2680</v>
      </c>
      <c r="L10769" s="207"/>
    </row>
    <row r="10770" spans="1:15" x14ac:dyDescent="0.2">
      <c r="A10770" s="191">
        <v>2025</v>
      </c>
      <c r="B10770" s="191">
        <v>10</v>
      </c>
      <c r="C10770" s="191">
        <v>23</v>
      </c>
      <c r="D10770" s="192">
        <f t="shared" si="1439"/>
        <v>45953</v>
      </c>
      <c r="E10770" s="193">
        <f t="shared" si="1447"/>
        <v>45953</v>
      </c>
      <c r="F10770" s="514"/>
      <c r="G10770" s="194" t="s">
        <v>1209</v>
      </c>
      <c r="H10770" s="195"/>
      <c r="I10770" s="195"/>
      <c r="J10770" s="191" t="s">
        <v>46</v>
      </c>
      <c r="K10770" s="196"/>
      <c r="L10770" s="196">
        <v>10000</v>
      </c>
    </row>
    <row r="10771" spans="1:15" x14ac:dyDescent="0.2">
      <c r="A10771" s="197">
        <v>2025</v>
      </c>
      <c r="B10771" s="197">
        <v>10</v>
      </c>
      <c r="C10771" s="197">
        <v>23</v>
      </c>
      <c r="D10771" s="198">
        <f t="shared" si="1439"/>
        <v>45953</v>
      </c>
      <c r="E10771" s="209">
        <f t="shared" ref="E10771:E10790" si="1448">DATE(A10771,B10771,C10771)</f>
        <v>45953</v>
      </c>
      <c r="F10771" s="513" t="s">
        <v>1280</v>
      </c>
      <c r="G10771" s="200" t="s">
        <v>1209</v>
      </c>
      <c r="H10771" s="201"/>
      <c r="I10771" s="201"/>
      <c r="J10771" s="197" t="s">
        <v>16</v>
      </c>
      <c r="K10771" s="202">
        <v>418160</v>
      </c>
      <c r="L10771" s="202"/>
    </row>
    <row r="10772" spans="1:15" x14ac:dyDescent="0.2">
      <c r="A10772" s="120">
        <v>2025</v>
      </c>
      <c r="B10772" s="120">
        <v>10</v>
      </c>
      <c r="C10772" s="120">
        <v>23</v>
      </c>
      <c r="D10772" s="208">
        <f t="shared" si="1439"/>
        <v>45953</v>
      </c>
      <c r="E10772" s="209">
        <f t="shared" si="1448"/>
        <v>45953</v>
      </c>
      <c r="F10772" s="515"/>
      <c r="G10772" s="132" t="s">
        <v>1209</v>
      </c>
      <c r="J10772" s="120" t="s">
        <v>47</v>
      </c>
      <c r="K10772" s="207">
        <v>152753.84999999998</v>
      </c>
      <c r="L10772" s="207"/>
    </row>
    <row r="10773" spans="1:15" x14ac:dyDescent="0.2">
      <c r="A10773" s="191">
        <v>2025</v>
      </c>
      <c r="B10773" s="191">
        <v>10</v>
      </c>
      <c r="C10773" s="191">
        <v>23</v>
      </c>
      <c r="D10773" s="192">
        <f t="shared" si="1439"/>
        <v>45953</v>
      </c>
      <c r="E10773" s="193">
        <f t="shared" si="1448"/>
        <v>45953</v>
      </c>
      <c r="F10773" s="514"/>
      <c r="G10773" s="194" t="s">
        <v>1209</v>
      </c>
      <c r="H10773" s="195"/>
      <c r="I10773" s="195"/>
      <c r="J10773" s="191" t="s">
        <v>46</v>
      </c>
      <c r="K10773" s="196"/>
      <c r="L10773" s="196">
        <v>570913.85</v>
      </c>
    </row>
    <row r="10774" spans="1:15" ht="11.25" customHeight="1" x14ac:dyDescent="0.2">
      <c r="A10774" s="197">
        <v>2025</v>
      </c>
      <c r="B10774" s="197">
        <v>10</v>
      </c>
      <c r="C10774" s="197">
        <v>23</v>
      </c>
      <c r="D10774" s="198">
        <f t="shared" si="1439"/>
        <v>45953</v>
      </c>
      <c r="E10774" s="290">
        <f t="shared" si="1448"/>
        <v>45953</v>
      </c>
      <c r="F10774" s="513" t="s">
        <v>1514</v>
      </c>
      <c r="G10774" s="200" t="s">
        <v>1209</v>
      </c>
      <c r="H10774" s="201"/>
      <c r="I10774" s="201"/>
      <c r="J10774" s="197" t="s">
        <v>54</v>
      </c>
      <c r="K10774" s="202">
        <v>110</v>
      </c>
      <c r="L10774" s="202"/>
      <c r="M10774" s="251"/>
      <c r="N10774" s="251"/>
      <c r="O10774" s="251"/>
    </row>
    <row r="10775" spans="1:15" ht="11.25" customHeight="1" x14ac:dyDescent="0.2">
      <c r="A10775" s="191">
        <v>2025</v>
      </c>
      <c r="B10775" s="191">
        <v>10</v>
      </c>
      <c r="C10775" s="191">
        <v>23</v>
      </c>
      <c r="D10775" s="192">
        <f t="shared" si="1439"/>
        <v>45953</v>
      </c>
      <c r="E10775" s="291">
        <f t="shared" si="1448"/>
        <v>45953</v>
      </c>
      <c r="F10775" s="514"/>
      <c r="G10775" s="194" t="s">
        <v>1209</v>
      </c>
      <c r="H10775" s="195"/>
      <c r="I10775" s="195"/>
      <c r="J10775" s="191" t="s">
        <v>46</v>
      </c>
      <c r="K10775" s="196"/>
      <c r="L10775" s="196">
        <f>K10774</f>
        <v>110</v>
      </c>
      <c r="M10775" s="251"/>
    </row>
    <row r="10776" spans="1:15" x14ac:dyDescent="0.2">
      <c r="A10776" s="197">
        <v>2025</v>
      </c>
      <c r="B10776" s="197">
        <v>10</v>
      </c>
      <c r="C10776" s="197">
        <v>23</v>
      </c>
      <c r="D10776" s="198">
        <f t="shared" si="1439"/>
        <v>45953</v>
      </c>
      <c r="E10776" s="209">
        <f t="shared" si="1448"/>
        <v>45953</v>
      </c>
      <c r="F10776" s="513" t="s">
        <v>1210</v>
      </c>
      <c r="G10776" s="200" t="s">
        <v>1209</v>
      </c>
      <c r="H10776" s="201"/>
      <c r="I10776" s="201"/>
      <c r="J10776" s="197" t="s">
        <v>46</v>
      </c>
      <c r="K10776" s="202">
        <v>250000</v>
      </c>
      <c r="L10776" s="202"/>
    </row>
    <row r="10777" spans="1:15" x14ac:dyDescent="0.2">
      <c r="A10777" s="120">
        <v>2025</v>
      </c>
      <c r="B10777" s="120">
        <v>10</v>
      </c>
      <c r="C10777" s="120">
        <v>23</v>
      </c>
      <c r="D10777" s="208">
        <f t="shared" si="1439"/>
        <v>45953</v>
      </c>
      <c r="E10777" s="209">
        <f t="shared" si="1448"/>
        <v>45953</v>
      </c>
      <c r="F10777" s="515"/>
      <c r="G10777" s="132" t="s">
        <v>1209</v>
      </c>
      <c r="J10777" s="120" t="s">
        <v>16</v>
      </c>
      <c r="K10777" s="207"/>
      <c r="L10777" s="207">
        <v>183110</v>
      </c>
    </row>
    <row r="10778" spans="1:15" x14ac:dyDescent="0.2">
      <c r="A10778" s="191">
        <v>2025</v>
      </c>
      <c r="B10778" s="191">
        <v>10</v>
      </c>
      <c r="C10778" s="191">
        <v>23</v>
      </c>
      <c r="D10778" s="192">
        <f t="shared" si="1439"/>
        <v>45953</v>
      </c>
      <c r="E10778" s="193">
        <f t="shared" si="1448"/>
        <v>45953</v>
      </c>
      <c r="F10778" s="514"/>
      <c r="G10778" s="194" t="s">
        <v>1209</v>
      </c>
      <c r="H10778" s="195"/>
      <c r="I10778" s="195"/>
      <c r="J10778" s="191" t="s">
        <v>47</v>
      </c>
      <c r="K10778" s="196"/>
      <c r="L10778" s="196">
        <v>66890</v>
      </c>
    </row>
    <row r="10779" spans="1:15" x14ac:dyDescent="0.2">
      <c r="A10779" s="424">
        <v>2025</v>
      </c>
      <c r="B10779" s="424">
        <v>10</v>
      </c>
      <c r="C10779" s="424">
        <v>23</v>
      </c>
      <c r="D10779" s="425">
        <f t="shared" si="1439"/>
        <v>45953</v>
      </c>
      <c r="E10779" s="384">
        <f t="shared" si="1448"/>
        <v>45953</v>
      </c>
      <c r="F10779" s="516" t="s">
        <v>1850</v>
      </c>
      <c r="G10779" s="426" t="s">
        <v>1209</v>
      </c>
      <c r="H10779" s="427"/>
      <c r="I10779" s="427"/>
      <c r="J10779" s="428" t="s">
        <v>81</v>
      </c>
      <c r="K10779" s="429">
        <v>11170.721538461539</v>
      </c>
      <c r="L10779" s="429"/>
    </row>
    <row r="10780" spans="1:15" x14ac:dyDescent="0.2">
      <c r="A10780" s="389">
        <v>2025</v>
      </c>
      <c r="B10780" s="389">
        <v>10</v>
      </c>
      <c r="C10780" s="389">
        <v>23</v>
      </c>
      <c r="D10780" s="390">
        <f t="shared" si="1439"/>
        <v>45953</v>
      </c>
      <c r="E10780" s="391">
        <f t="shared" si="1448"/>
        <v>45953</v>
      </c>
      <c r="F10780" s="517"/>
      <c r="G10780" s="392" t="s">
        <v>1209</v>
      </c>
      <c r="H10780" s="393"/>
      <c r="I10780" s="393"/>
      <c r="J10780" s="394" t="s">
        <v>1847</v>
      </c>
      <c r="K10780" s="423"/>
      <c r="L10780" s="423">
        <f>K10779</f>
        <v>11170.721538461539</v>
      </c>
    </row>
    <row r="10781" spans="1:15" ht="11.25" customHeight="1" x14ac:dyDescent="0.2">
      <c r="A10781" s="382">
        <v>2025</v>
      </c>
      <c r="B10781" s="382">
        <v>10</v>
      </c>
      <c r="C10781" s="382">
        <v>23</v>
      </c>
      <c r="D10781" s="383">
        <f t="shared" si="1439"/>
        <v>45953</v>
      </c>
      <c r="E10781" s="384">
        <f t="shared" si="1448"/>
        <v>45953</v>
      </c>
      <c r="F10781" s="516" t="s">
        <v>1892</v>
      </c>
      <c r="G10781" s="385" t="s">
        <v>1209</v>
      </c>
      <c r="H10781" s="386"/>
      <c r="I10781" s="386"/>
      <c r="J10781" s="387" t="s">
        <v>173</v>
      </c>
      <c r="K10781" s="388">
        <v>4668.5836086833324</v>
      </c>
      <c r="L10781" s="388"/>
    </row>
    <row r="10782" spans="1:15" ht="11.25" customHeight="1" x14ac:dyDescent="0.2">
      <c r="A10782" s="389">
        <v>2025</v>
      </c>
      <c r="B10782" s="389">
        <v>10</v>
      </c>
      <c r="C10782" s="389">
        <v>23</v>
      </c>
      <c r="D10782" s="390">
        <f t="shared" si="1439"/>
        <v>45953</v>
      </c>
      <c r="E10782" s="391">
        <f t="shared" si="1448"/>
        <v>45953</v>
      </c>
      <c r="F10782" s="517"/>
      <c r="G10782" s="392" t="s">
        <v>1209</v>
      </c>
      <c r="H10782" s="393"/>
      <c r="I10782" s="393"/>
      <c r="J10782" s="394" t="s">
        <v>43</v>
      </c>
      <c r="K10782" s="388"/>
      <c r="L10782" s="423">
        <f>K10781</f>
        <v>4668.5836086833324</v>
      </c>
    </row>
    <row r="10783" spans="1:15" ht="11.25" customHeight="1" x14ac:dyDescent="0.2">
      <c r="A10783" s="344">
        <v>2025</v>
      </c>
      <c r="B10783" s="344">
        <v>10</v>
      </c>
      <c r="C10783" s="344">
        <v>23</v>
      </c>
      <c r="D10783" s="345">
        <f t="shared" si="1439"/>
        <v>45953</v>
      </c>
      <c r="E10783" s="346">
        <f t="shared" si="1448"/>
        <v>45953</v>
      </c>
      <c r="F10783" s="518" t="s">
        <v>1982</v>
      </c>
      <c r="G10783" s="347" t="s">
        <v>1245</v>
      </c>
      <c r="H10783" s="348"/>
      <c r="I10783" s="348" t="s">
        <v>1253</v>
      </c>
      <c r="J10783" s="344" t="s">
        <v>1978</v>
      </c>
      <c r="K10783" s="349">
        <v>148748.07692307694</v>
      </c>
      <c r="L10783" s="349"/>
    </row>
    <row r="10784" spans="1:15" ht="11.25" customHeight="1" x14ac:dyDescent="0.2">
      <c r="A10784" s="350">
        <v>2025</v>
      </c>
      <c r="B10784" s="350">
        <v>10</v>
      </c>
      <c r="C10784" s="350">
        <v>23</v>
      </c>
      <c r="D10784" s="351">
        <f t="shared" si="1439"/>
        <v>45953</v>
      </c>
      <c r="E10784" s="352">
        <f t="shared" si="1448"/>
        <v>45953</v>
      </c>
      <c r="F10784" s="519"/>
      <c r="G10784" s="353" t="s">
        <v>1245</v>
      </c>
      <c r="H10784" s="354"/>
      <c r="I10784" s="354" t="s">
        <v>1253</v>
      </c>
      <c r="J10784" s="350" t="s">
        <v>1979</v>
      </c>
      <c r="K10784" s="355"/>
      <c r="L10784" s="355">
        <f>K10783</f>
        <v>148748.07692307694</v>
      </c>
    </row>
    <row r="10785" spans="1:16" ht="11.25" customHeight="1" x14ac:dyDescent="0.2">
      <c r="A10785" s="344">
        <v>2025</v>
      </c>
      <c r="B10785" s="344">
        <v>10</v>
      </c>
      <c r="C10785" s="344">
        <v>23</v>
      </c>
      <c r="D10785" s="345">
        <f t="shared" si="1439"/>
        <v>45953</v>
      </c>
      <c r="E10785" s="346">
        <f t="shared" si="1448"/>
        <v>45953</v>
      </c>
      <c r="F10785" s="518" t="s">
        <v>2009</v>
      </c>
      <c r="G10785" s="347" t="s">
        <v>1245</v>
      </c>
      <c r="H10785" s="348"/>
      <c r="I10785" s="348" t="s">
        <v>1253</v>
      </c>
      <c r="J10785" s="344" t="s">
        <v>2004</v>
      </c>
      <c r="K10785" s="349">
        <v>49692.31</v>
      </c>
      <c r="L10785" s="349"/>
    </row>
    <row r="10786" spans="1:16" ht="11.25" customHeight="1" x14ac:dyDescent="0.2">
      <c r="A10786" s="350">
        <v>2025</v>
      </c>
      <c r="B10786" s="350">
        <v>10</v>
      </c>
      <c r="C10786" s="350">
        <v>23</v>
      </c>
      <c r="D10786" s="351">
        <f t="shared" si="1439"/>
        <v>45953</v>
      </c>
      <c r="E10786" s="352">
        <f t="shared" si="1448"/>
        <v>45953</v>
      </c>
      <c r="F10786" s="519"/>
      <c r="G10786" s="353" t="s">
        <v>1245</v>
      </c>
      <c r="H10786" s="354"/>
      <c r="I10786" s="354" t="s">
        <v>1253</v>
      </c>
      <c r="J10786" s="350" t="s">
        <v>2008</v>
      </c>
      <c r="K10786" s="355"/>
      <c r="L10786" s="355">
        <f t="shared" ref="L10786" si="1449">K10785</f>
        <v>49692.31</v>
      </c>
    </row>
    <row r="10787" spans="1:16" ht="11.25" customHeight="1" x14ac:dyDescent="0.2">
      <c r="A10787" s="344">
        <v>2025</v>
      </c>
      <c r="B10787" s="344">
        <v>10</v>
      </c>
      <c r="C10787" s="344">
        <v>23</v>
      </c>
      <c r="D10787" s="345">
        <f t="shared" si="1439"/>
        <v>45953</v>
      </c>
      <c r="E10787" s="346">
        <f t="shared" si="1448"/>
        <v>45953</v>
      </c>
      <c r="F10787" s="518" t="s">
        <v>2009</v>
      </c>
      <c r="G10787" s="347" t="s">
        <v>1245</v>
      </c>
      <c r="H10787" s="348"/>
      <c r="I10787" s="348" t="s">
        <v>1253</v>
      </c>
      <c r="J10787" s="344" t="s">
        <v>2004</v>
      </c>
      <c r="K10787" s="349">
        <v>49692.31</v>
      </c>
      <c r="L10787" s="349"/>
    </row>
    <row r="10788" spans="1:16" ht="11.25" customHeight="1" x14ac:dyDescent="0.2">
      <c r="A10788" s="350">
        <v>2025</v>
      </c>
      <c r="B10788" s="350">
        <v>10</v>
      </c>
      <c r="C10788" s="350">
        <v>23</v>
      </c>
      <c r="D10788" s="351">
        <f t="shared" si="1439"/>
        <v>45953</v>
      </c>
      <c r="E10788" s="352">
        <f t="shared" si="1448"/>
        <v>45953</v>
      </c>
      <c r="F10788" s="519"/>
      <c r="G10788" s="353" t="s">
        <v>1245</v>
      </c>
      <c r="H10788" s="354"/>
      <c r="I10788" s="354" t="s">
        <v>1253</v>
      </c>
      <c r="J10788" s="350" t="s">
        <v>2008</v>
      </c>
      <c r="K10788" s="355"/>
      <c r="L10788" s="355">
        <f t="shared" ref="L10788" si="1450">K10787</f>
        <v>49692.31</v>
      </c>
    </row>
    <row r="10789" spans="1:16" ht="11.25" customHeight="1" x14ac:dyDescent="0.2">
      <c r="A10789" s="344">
        <v>2025</v>
      </c>
      <c r="B10789" s="344">
        <v>10</v>
      </c>
      <c r="C10789" s="344">
        <v>23</v>
      </c>
      <c r="D10789" s="345">
        <f t="shared" si="1439"/>
        <v>45953</v>
      </c>
      <c r="E10789" s="346">
        <f t="shared" si="1448"/>
        <v>45953</v>
      </c>
      <c r="F10789" s="518" t="s">
        <v>2088</v>
      </c>
      <c r="G10789" s="347" t="s">
        <v>1245</v>
      </c>
      <c r="H10789" s="348"/>
      <c r="I10789" s="348" t="s">
        <v>1253</v>
      </c>
      <c r="J10789" s="344" t="s">
        <v>2086</v>
      </c>
      <c r="K10789" s="349">
        <v>12528.846153846154</v>
      </c>
      <c r="L10789" s="349"/>
    </row>
    <row r="10790" spans="1:16" ht="11.25" customHeight="1" x14ac:dyDescent="0.2">
      <c r="A10790" s="350">
        <v>2025</v>
      </c>
      <c r="B10790" s="350">
        <v>10</v>
      </c>
      <c r="C10790" s="350">
        <v>23</v>
      </c>
      <c r="D10790" s="351">
        <f t="shared" si="1439"/>
        <v>45953</v>
      </c>
      <c r="E10790" s="352">
        <f t="shared" si="1448"/>
        <v>45953</v>
      </c>
      <c r="F10790" s="519"/>
      <c r="G10790" s="353" t="s">
        <v>1245</v>
      </c>
      <c r="H10790" s="354"/>
      <c r="I10790" s="354" t="s">
        <v>1253</v>
      </c>
      <c r="J10790" s="350" t="s">
        <v>2089</v>
      </c>
      <c r="K10790" s="355"/>
      <c r="L10790" s="355">
        <v>12528.846153846154</v>
      </c>
    </row>
    <row r="10791" spans="1:16" ht="11.25" customHeight="1" x14ac:dyDescent="0.2">
      <c r="A10791" s="344">
        <v>2025</v>
      </c>
      <c r="B10791" s="344">
        <v>10</v>
      </c>
      <c r="C10791" s="344">
        <v>23</v>
      </c>
      <c r="D10791" s="345">
        <f t="shared" si="1439"/>
        <v>45953</v>
      </c>
      <c r="E10791" s="346">
        <f>DATE(A10791,B10791,C10791)</f>
        <v>45953</v>
      </c>
      <c r="F10791" s="518" t="s">
        <v>1988</v>
      </c>
      <c r="G10791" s="347" t="s">
        <v>1245</v>
      </c>
      <c r="H10791" s="348"/>
      <c r="I10791" s="348" t="s">
        <v>1253</v>
      </c>
      <c r="J10791" s="344" t="s">
        <v>113</v>
      </c>
      <c r="K10791" s="349">
        <v>32846.15</v>
      </c>
      <c r="L10791" s="349"/>
    </row>
    <row r="10792" spans="1:16" ht="11.25" customHeight="1" x14ac:dyDescent="0.2">
      <c r="A10792" s="350">
        <v>2025</v>
      </c>
      <c r="B10792" s="350">
        <v>10</v>
      </c>
      <c r="C10792" s="350">
        <v>23</v>
      </c>
      <c r="D10792" s="351">
        <f t="shared" si="1439"/>
        <v>45953</v>
      </c>
      <c r="E10792" s="352">
        <f>DATE(A10792,B10792,C10792)</f>
        <v>45953</v>
      </c>
      <c r="F10792" s="519"/>
      <c r="G10792" s="353" t="s">
        <v>1245</v>
      </c>
      <c r="H10792" s="354"/>
      <c r="I10792" s="354" t="s">
        <v>1253</v>
      </c>
      <c r="J10792" s="350" t="s">
        <v>153</v>
      </c>
      <c r="K10792" s="355"/>
      <c r="L10792" s="355">
        <f t="shared" ref="L10792" si="1451">K10791</f>
        <v>32846.15</v>
      </c>
    </row>
    <row r="10793" spans="1:16" ht="11.25" customHeight="1" x14ac:dyDescent="0.2">
      <c r="A10793" s="344">
        <v>2025</v>
      </c>
      <c r="B10793" s="344">
        <v>10</v>
      </c>
      <c r="C10793" s="344">
        <v>23</v>
      </c>
      <c r="D10793" s="345">
        <f t="shared" si="1439"/>
        <v>45953</v>
      </c>
      <c r="E10793" s="346">
        <f t="shared" ref="E10793:E10797" si="1452">DATE(A10793,B10793,C10793)</f>
        <v>45953</v>
      </c>
      <c r="F10793" s="518" t="s">
        <v>1989</v>
      </c>
      <c r="G10793" s="347" t="s">
        <v>1245</v>
      </c>
      <c r="H10793" s="348"/>
      <c r="I10793" s="348" t="s">
        <v>1253</v>
      </c>
      <c r="J10793" s="344" t="s">
        <v>113</v>
      </c>
      <c r="K10793" s="349">
        <v>23461.538461538461</v>
      </c>
      <c r="L10793" s="349"/>
    </row>
    <row r="10794" spans="1:16" ht="11.25" customHeight="1" x14ac:dyDescent="0.2">
      <c r="A10794" s="350">
        <v>2025</v>
      </c>
      <c r="B10794" s="350">
        <v>10</v>
      </c>
      <c r="C10794" s="350">
        <v>23</v>
      </c>
      <c r="D10794" s="351">
        <f t="shared" si="1439"/>
        <v>45953</v>
      </c>
      <c r="E10794" s="352">
        <f t="shared" si="1452"/>
        <v>45953</v>
      </c>
      <c r="F10794" s="519"/>
      <c r="G10794" s="353" t="s">
        <v>1245</v>
      </c>
      <c r="H10794" s="354"/>
      <c r="I10794" s="354" t="s">
        <v>1253</v>
      </c>
      <c r="J10794" s="350" t="s">
        <v>153</v>
      </c>
      <c r="K10794" s="355"/>
      <c r="L10794" s="355">
        <f t="shared" ref="L10794" si="1453">K10793</f>
        <v>23461.538461538461</v>
      </c>
    </row>
    <row r="10795" spans="1:16" ht="11.25" customHeight="1" x14ac:dyDescent="0.2">
      <c r="A10795" s="344">
        <v>2025</v>
      </c>
      <c r="B10795" s="344">
        <v>10</v>
      </c>
      <c r="C10795" s="344">
        <v>23</v>
      </c>
      <c r="D10795" s="345">
        <f t="shared" si="1439"/>
        <v>45953</v>
      </c>
      <c r="E10795" s="346">
        <f t="shared" si="1452"/>
        <v>45953</v>
      </c>
      <c r="F10795" s="518" t="s">
        <v>1990</v>
      </c>
      <c r="G10795" s="347" t="s">
        <v>1245</v>
      </c>
      <c r="H10795" s="348"/>
      <c r="I10795" s="348" t="s">
        <v>1253</v>
      </c>
      <c r="J10795" s="344" t="s">
        <v>113</v>
      </c>
      <c r="K10795" s="349">
        <v>70384.62</v>
      </c>
      <c r="L10795" s="349"/>
      <c r="N10795" s="251"/>
      <c r="O10795" s="251"/>
      <c r="P10795" s="251"/>
    </row>
    <row r="10796" spans="1:16" ht="11.25" customHeight="1" x14ac:dyDescent="0.2">
      <c r="A10796" s="350">
        <v>2025</v>
      </c>
      <c r="B10796" s="350">
        <v>10</v>
      </c>
      <c r="C10796" s="350">
        <v>23</v>
      </c>
      <c r="D10796" s="351">
        <f t="shared" ref="D10796:D10859" si="1454">DATE(A10796,B10796,C10796)</f>
        <v>45953</v>
      </c>
      <c r="E10796" s="352">
        <f t="shared" si="1452"/>
        <v>45953</v>
      </c>
      <c r="F10796" s="519"/>
      <c r="G10796" s="353" t="s">
        <v>1245</v>
      </c>
      <c r="H10796" s="354"/>
      <c r="I10796" s="354" t="s">
        <v>1253</v>
      </c>
      <c r="J10796" s="350" t="s">
        <v>153</v>
      </c>
      <c r="K10796" s="355"/>
      <c r="L10796" s="355">
        <f t="shared" ref="L10796" si="1455">K10795</f>
        <v>70384.62</v>
      </c>
    </row>
    <row r="10797" spans="1:16" ht="11.25" customHeight="1" x14ac:dyDescent="0.2">
      <c r="A10797" s="210">
        <v>2025</v>
      </c>
      <c r="B10797" s="210">
        <v>10</v>
      </c>
      <c r="C10797" s="210">
        <v>23</v>
      </c>
      <c r="D10797" s="211">
        <f t="shared" si="1454"/>
        <v>45953</v>
      </c>
      <c r="E10797" s="238">
        <f t="shared" si="1452"/>
        <v>45953</v>
      </c>
      <c r="F10797" s="520" t="s">
        <v>1857</v>
      </c>
      <c r="G10797" s="213" t="s">
        <v>1245</v>
      </c>
      <c r="H10797" s="214"/>
      <c r="I10797" s="214" t="s">
        <v>1253</v>
      </c>
      <c r="J10797" s="210" t="s">
        <v>1284</v>
      </c>
      <c r="K10797" s="215">
        <v>2341.8114143920593</v>
      </c>
      <c r="L10797" s="215"/>
    </row>
    <row r="10798" spans="1:16" ht="11.25" customHeight="1" x14ac:dyDescent="0.2">
      <c r="A10798" s="242">
        <v>2025</v>
      </c>
      <c r="B10798" s="242">
        <v>10</v>
      </c>
      <c r="C10798" s="242">
        <v>23</v>
      </c>
      <c r="D10798" s="243">
        <f t="shared" si="1454"/>
        <v>45953</v>
      </c>
      <c r="E10798" s="244">
        <f>DATE(A10798,B10798,C10798)</f>
        <v>45953</v>
      </c>
      <c r="F10798" s="524"/>
      <c r="G10798" s="245" t="s">
        <v>1245</v>
      </c>
      <c r="H10798" s="246"/>
      <c r="I10798" s="246"/>
      <c r="J10798" s="242" t="s">
        <v>1582</v>
      </c>
      <c r="K10798" s="247"/>
      <c r="L10798" s="247">
        <f>K10797</f>
        <v>2341.8114143920593</v>
      </c>
    </row>
    <row r="10799" spans="1:16" ht="11.25" customHeight="1" x14ac:dyDescent="0.2">
      <c r="A10799" s="210">
        <v>2025</v>
      </c>
      <c r="B10799" s="210">
        <v>10</v>
      </c>
      <c r="C10799" s="210">
        <v>23</v>
      </c>
      <c r="D10799" s="211">
        <f t="shared" si="1454"/>
        <v>45953</v>
      </c>
      <c r="E10799" s="238">
        <f t="shared" ref="E10799:E10839" si="1456">DATE(A10799,B10799,C10799)</f>
        <v>45953</v>
      </c>
      <c r="F10799" s="520" t="s">
        <v>2055</v>
      </c>
      <c r="G10799" s="213" t="s">
        <v>1245</v>
      </c>
      <c r="H10799" s="214"/>
      <c r="I10799" s="214" t="s">
        <v>1253</v>
      </c>
      <c r="J10799" s="210" t="s">
        <v>58</v>
      </c>
      <c r="K10799" s="215">
        <v>4379.6499999999996</v>
      </c>
      <c r="L10799" s="215"/>
    </row>
    <row r="10800" spans="1:16" ht="11.25" customHeight="1" x14ac:dyDescent="0.2">
      <c r="A10800" s="216">
        <v>2025</v>
      </c>
      <c r="B10800" s="216">
        <v>10</v>
      </c>
      <c r="C10800" s="216">
        <v>23</v>
      </c>
      <c r="D10800" s="217">
        <f t="shared" si="1454"/>
        <v>45953</v>
      </c>
      <c r="E10800" s="239">
        <f t="shared" si="1456"/>
        <v>45953</v>
      </c>
      <c r="F10800" s="521"/>
      <c r="G10800" s="219" t="s">
        <v>1245</v>
      </c>
      <c r="H10800" s="220"/>
      <c r="I10800" s="220" t="s">
        <v>1253</v>
      </c>
      <c r="J10800" s="216" t="s">
        <v>153</v>
      </c>
      <c r="K10800" s="221"/>
      <c r="L10800" s="221">
        <f>K10799</f>
        <v>4379.6499999999996</v>
      </c>
    </row>
    <row r="10801" spans="1:13" ht="11.25" customHeight="1" x14ac:dyDescent="0.2">
      <c r="A10801" s="312">
        <v>2025</v>
      </c>
      <c r="B10801" s="312">
        <v>10</v>
      </c>
      <c r="C10801" s="312">
        <v>23</v>
      </c>
      <c r="D10801" s="313">
        <f t="shared" si="1454"/>
        <v>45953</v>
      </c>
      <c r="E10801" s="314">
        <f t="shared" si="1456"/>
        <v>45953</v>
      </c>
      <c r="F10801" s="522" t="s">
        <v>1477</v>
      </c>
      <c r="G10801" s="315" t="s">
        <v>1245</v>
      </c>
      <c r="H10801" s="316"/>
      <c r="I10801" s="316" t="s">
        <v>1253</v>
      </c>
      <c r="J10801" s="312" t="s">
        <v>1458</v>
      </c>
      <c r="K10801" s="317">
        <v>0</v>
      </c>
      <c r="L10801" s="317"/>
    </row>
    <row r="10802" spans="1:13" ht="11.25" customHeight="1" x14ac:dyDescent="0.2">
      <c r="A10802" s="318">
        <v>2025</v>
      </c>
      <c r="B10802" s="318">
        <v>10</v>
      </c>
      <c r="C10802" s="318">
        <v>23</v>
      </c>
      <c r="D10802" s="319">
        <f t="shared" si="1454"/>
        <v>45953</v>
      </c>
      <c r="E10802" s="320">
        <f t="shared" si="1456"/>
        <v>45953</v>
      </c>
      <c r="F10802" s="523"/>
      <c r="G10802" s="321" t="s">
        <v>1245</v>
      </c>
      <c r="H10802" s="322"/>
      <c r="I10802" s="322" t="s">
        <v>1253</v>
      </c>
      <c r="J10802" s="318" t="s">
        <v>1460</v>
      </c>
      <c r="K10802" s="323"/>
      <c r="L10802" s="323">
        <f>K10801</f>
        <v>0</v>
      </c>
    </row>
    <row r="10803" spans="1:13" ht="11.25" customHeight="1" x14ac:dyDescent="0.2">
      <c r="A10803" s="312">
        <v>2025</v>
      </c>
      <c r="B10803" s="312">
        <v>10</v>
      </c>
      <c r="C10803" s="312">
        <v>23</v>
      </c>
      <c r="D10803" s="313">
        <f t="shared" si="1454"/>
        <v>45953</v>
      </c>
      <c r="E10803" s="314">
        <f t="shared" si="1456"/>
        <v>45953</v>
      </c>
      <c r="F10803" s="522" t="s">
        <v>1595</v>
      </c>
      <c r="G10803" s="315" t="s">
        <v>1245</v>
      </c>
      <c r="H10803" s="316"/>
      <c r="I10803" s="316" t="s">
        <v>1253</v>
      </c>
      <c r="J10803" s="312" t="s">
        <v>1459</v>
      </c>
      <c r="K10803" s="317">
        <v>22493.237999975681</v>
      </c>
      <c r="L10803" s="317"/>
      <c r="M10803" s="328">
        <f>BS!$I$14</f>
        <v>0</v>
      </c>
    </row>
    <row r="10804" spans="1:13" ht="11.25" customHeight="1" x14ac:dyDescent="0.2">
      <c r="A10804" s="318">
        <v>2025</v>
      </c>
      <c r="B10804" s="318">
        <v>10</v>
      </c>
      <c r="C10804" s="318">
        <v>23</v>
      </c>
      <c r="D10804" s="319">
        <f t="shared" si="1454"/>
        <v>45953</v>
      </c>
      <c r="E10804" s="320">
        <f t="shared" si="1456"/>
        <v>45953</v>
      </c>
      <c r="F10804" s="523"/>
      <c r="G10804" s="321" t="s">
        <v>1245</v>
      </c>
      <c r="H10804" s="322"/>
      <c r="I10804" s="322" t="s">
        <v>1253</v>
      </c>
      <c r="J10804" s="318" t="s">
        <v>1461</v>
      </c>
      <c r="K10804" s="323"/>
      <c r="L10804" s="323">
        <f>K10803</f>
        <v>22493.237999975681</v>
      </c>
      <c r="M10804" s="328"/>
    </row>
    <row r="10805" spans="1:13" ht="11.25" customHeight="1" x14ac:dyDescent="0.2">
      <c r="A10805" s="222">
        <v>2025</v>
      </c>
      <c r="B10805" s="222">
        <v>10</v>
      </c>
      <c r="C10805" s="222">
        <v>23</v>
      </c>
      <c r="D10805" s="223">
        <f t="shared" si="1454"/>
        <v>45953</v>
      </c>
      <c r="E10805" s="240">
        <f t="shared" si="1456"/>
        <v>45953</v>
      </c>
      <c r="F10805" s="511" t="s">
        <v>1244</v>
      </c>
      <c r="G10805" s="225" t="s">
        <v>1245</v>
      </c>
      <c r="H10805" s="226"/>
      <c r="I10805" s="226" t="s">
        <v>1253</v>
      </c>
      <c r="J10805" s="222" t="s">
        <v>87</v>
      </c>
      <c r="K10805" s="227">
        <v>91090.332699999213</v>
      </c>
      <c r="L10805" s="227"/>
      <c r="M10805" s="328">
        <f>BS!$I$7</f>
        <v>0</v>
      </c>
    </row>
    <row r="10806" spans="1:13" ht="11.25" customHeight="1" x14ac:dyDescent="0.2">
      <c r="A10806" s="228">
        <v>2025</v>
      </c>
      <c r="B10806" s="228">
        <v>10</v>
      </c>
      <c r="C10806" s="228">
        <v>23</v>
      </c>
      <c r="D10806" s="229">
        <f t="shared" si="1454"/>
        <v>45953</v>
      </c>
      <c r="E10806" s="241">
        <f t="shared" si="1456"/>
        <v>45953</v>
      </c>
      <c r="F10806" s="512"/>
      <c r="G10806" s="231" t="s">
        <v>1245</v>
      </c>
      <c r="H10806" s="232"/>
      <c r="I10806" s="232" t="s">
        <v>1253</v>
      </c>
      <c r="J10806" s="228" t="s">
        <v>72</v>
      </c>
      <c r="K10806" s="233"/>
      <c r="L10806" s="233">
        <f>K10805</f>
        <v>91090.332699999213</v>
      </c>
    </row>
    <row r="10807" spans="1:13" ht="11.25" customHeight="1" x14ac:dyDescent="0.2">
      <c r="A10807" s="222">
        <v>2025</v>
      </c>
      <c r="B10807" s="222">
        <v>10</v>
      </c>
      <c r="C10807" s="222">
        <v>23</v>
      </c>
      <c r="D10807" s="223">
        <f t="shared" si="1454"/>
        <v>45953</v>
      </c>
      <c r="E10807" s="240">
        <f t="shared" si="1456"/>
        <v>45953</v>
      </c>
      <c r="F10807" s="511" t="s">
        <v>1246</v>
      </c>
      <c r="G10807" s="225" t="s">
        <v>1245</v>
      </c>
      <c r="H10807" s="226"/>
      <c r="I10807" s="226" t="s">
        <v>1253</v>
      </c>
      <c r="J10807" s="222" t="s">
        <v>75</v>
      </c>
      <c r="K10807" s="227">
        <v>3623.123846153846</v>
      </c>
      <c r="L10807" s="227"/>
    </row>
    <row r="10808" spans="1:13" ht="11.25" customHeight="1" x14ac:dyDescent="0.2">
      <c r="A10808" s="228">
        <v>2025</v>
      </c>
      <c r="B10808" s="228">
        <v>10</v>
      </c>
      <c r="C10808" s="228">
        <v>23</v>
      </c>
      <c r="D10808" s="229">
        <f t="shared" si="1454"/>
        <v>45953</v>
      </c>
      <c r="E10808" s="241">
        <f t="shared" si="1456"/>
        <v>45953</v>
      </c>
      <c r="F10808" s="512"/>
      <c r="G10808" s="231" t="s">
        <v>1245</v>
      </c>
      <c r="H10808" s="232"/>
      <c r="I10808" s="232" t="s">
        <v>1253</v>
      </c>
      <c r="J10808" s="228" t="s">
        <v>55</v>
      </c>
      <c r="K10808" s="233"/>
      <c r="L10808" s="233">
        <f>K10807</f>
        <v>3623.123846153846</v>
      </c>
    </row>
    <row r="10809" spans="1:13" ht="11.25" customHeight="1" x14ac:dyDescent="0.2">
      <c r="A10809" s="222">
        <v>2025</v>
      </c>
      <c r="B10809" s="222">
        <v>10</v>
      </c>
      <c r="C10809" s="222">
        <v>23</v>
      </c>
      <c r="D10809" s="223">
        <f t="shared" si="1454"/>
        <v>45953</v>
      </c>
      <c r="E10809" s="240">
        <f t="shared" si="1456"/>
        <v>45953</v>
      </c>
      <c r="F10809" s="511" t="s">
        <v>1247</v>
      </c>
      <c r="G10809" s="225" t="s">
        <v>1245</v>
      </c>
      <c r="H10809" s="226"/>
      <c r="I10809" s="226" t="s">
        <v>1253</v>
      </c>
      <c r="J10809" s="222" t="s">
        <v>77</v>
      </c>
      <c r="K10809" s="227">
        <f>M10809</f>
        <v>56600.474537734721</v>
      </c>
      <c r="L10809" s="227"/>
      <c r="M10809" s="120">
        <v>56600.474537734721</v>
      </c>
    </row>
    <row r="10810" spans="1:13" ht="11.25" customHeight="1" x14ac:dyDescent="0.2">
      <c r="A10810" s="228">
        <v>2025</v>
      </c>
      <c r="B10810" s="228">
        <v>10</v>
      </c>
      <c r="C10810" s="228">
        <v>23</v>
      </c>
      <c r="D10810" s="229">
        <f t="shared" si="1454"/>
        <v>45953</v>
      </c>
      <c r="E10810" s="241">
        <f t="shared" si="1456"/>
        <v>45953</v>
      </c>
      <c r="F10810" s="512"/>
      <c r="G10810" s="231" t="s">
        <v>1245</v>
      </c>
      <c r="H10810" s="232"/>
      <c r="I10810" s="232" t="s">
        <v>1253</v>
      </c>
      <c r="J10810" s="228" t="s">
        <v>41</v>
      </c>
      <c r="K10810" s="233"/>
      <c r="L10810" s="233">
        <f>K10809</f>
        <v>56600.474537734721</v>
      </c>
      <c r="M10810" s="120">
        <v>5660.0474537734717</v>
      </c>
    </row>
    <row r="10811" spans="1:13" ht="11.25" customHeight="1" x14ac:dyDescent="0.2">
      <c r="A10811" s="222">
        <v>2025</v>
      </c>
      <c r="B10811" s="222">
        <v>10</v>
      </c>
      <c r="C10811" s="222">
        <v>23</v>
      </c>
      <c r="D10811" s="223">
        <f t="shared" si="1454"/>
        <v>45953</v>
      </c>
      <c r="E10811" s="240">
        <f t="shared" si="1456"/>
        <v>45953</v>
      </c>
      <c r="F10811" s="511" t="s">
        <v>1248</v>
      </c>
      <c r="G10811" s="225" t="s">
        <v>1245</v>
      </c>
      <c r="H10811" s="226"/>
      <c r="I10811" s="226" t="s">
        <v>1253</v>
      </c>
      <c r="J10811" s="222" t="s">
        <v>80</v>
      </c>
      <c r="K10811" s="227">
        <f>M10810</f>
        <v>5660.0474537734717</v>
      </c>
      <c r="L10811" s="227"/>
    </row>
    <row r="10812" spans="1:13" ht="11.25" customHeight="1" x14ac:dyDescent="0.2">
      <c r="A10812" s="228">
        <v>2025</v>
      </c>
      <c r="B10812" s="228">
        <v>10</v>
      </c>
      <c r="C10812" s="228">
        <v>23</v>
      </c>
      <c r="D10812" s="229">
        <f t="shared" si="1454"/>
        <v>45953</v>
      </c>
      <c r="E10812" s="241">
        <f t="shared" si="1456"/>
        <v>45953</v>
      </c>
      <c r="F10812" s="512"/>
      <c r="G10812" s="231" t="s">
        <v>1245</v>
      </c>
      <c r="H10812" s="232"/>
      <c r="I10812" s="232" t="s">
        <v>1253</v>
      </c>
      <c r="J10812" s="228" t="s">
        <v>42</v>
      </c>
      <c r="K10812" s="233"/>
      <c r="L10812" s="233">
        <f>K10811</f>
        <v>5660.0474537734717</v>
      </c>
    </row>
    <row r="10813" spans="1:13" x14ac:dyDescent="0.2">
      <c r="A10813" s="197">
        <v>2025</v>
      </c>
      <c r="B10813" s="197">
        <v>10</v>
      </c>
      <c r="C10813" s="197">
        <v>26</v>
      </c>
      <c r="D10813" s="198">
        <f t="shared" si="1454"/>
        <v>45956</v>
      </c>
      <c r="E10813" s="209">
        <f t="shared" ref="E10813:E10815" si="1457">DATE(A10813,B10813,C10813)</f>
        <v>45956</v>
      </c>
      <c r="F10813" s="513" t="s">
        <v>1210</v>
      </c>
      <c r="G10813" s="200" t="s">
        <v>1209</v>
      </c>
      <c r="H10813" s="201"/>
      <c r="I10813" s="201"/>
      <c r="J10813" s="197" t="s">
        <v>46</v>
      </c>
      <c r="K10813" s="202">
        <v>200000</v>
      </c>
      <c r="L10813" s="202"/>
    </row>
    <row r="10814" spans="1:13" x14ac:dyDescent="0.2">
      <c r="A10814" s="120">
        <v>2025</v>
      </c>
      <c r="B10814" s="120">
        <v>10</v>
      </c>
      <c r="C10814" s="120">
        <v>26</v>
      </c>
      <c r="D10814" s="208">
        <f t="shared" si="1454"/>
        <v>45956</v>
      </c>
      <c r="E10814" s="209">
        <f t="shared" si="1457"/>
        <v>45956</v>
      </c>
      <c r="F10814" s="515"/>
      <c r="G10814" s="132" t="s">
        <v>1209</v>
      </c>
      <c r="J10814" s="120" t="s">
        <v>16</v>
      </c>
      <c r="K10814" s="207"/>
      <c r="L10814" s="207">
        <v>146490</v>
      </c>
    </row>
    <row r="10815" spans="1:13" x14ac:dyDescent="0.2">
      <c r="A10815" s="191">
        <v>2025</v>
      </c>
      <c r="B10815" s="191">
        <v>10</v>
      </c>
      <c r="C10815" s="191">
        <v>26</v>
      </c>
      <c r="D10815" s="192">
        <f t="shared" si="1454"/>
        <v>45956</v>
      </c>
      <c r="E10815" s="193">
        <f t="shared" si="1457"/>
        <v>45956</v>
      </c>
      <c r="F10815" s="514"/>
      <c r="G10815" s="194" t="s">
        <v>1209</v>
      </c>
      <c r="H10815" s="195"/>
      <c r="I10815" s="195"/>
      <c r="J10815" s="191" t="s">
        <v>47</v>
      </c>
      <c r="K10815" s="196"/>
      <c r="L10815" s="196">
        <v>53510</v>
      </c>
    </row>
    <row r="10816" spans="1:13" x14ac:dyDescent="0.2">
      <c r="A10816" s="197">
        <v>2025</v>
      </c>
      <c r="B10816" s="197">
        <v>10</v>
      </c>
      <c r="C10816" s="197">
        <v>26</v>
      </c>
      <c r="D10816" s="198">
        <f t="shared" si="1454"/>
        <v>45956</v>
      </c>
      <c r="E10816" s="209">
        <f t="shared" si="1456"/>
        <v>45956</v>
      </c>
      <c r="F10816" s="513" t="s">
        <v>1296</v>
      </c>
      <c r="G10816" s="200" t="s">
        <v>1209</v>
      </c>
      <c r="H10816" s="201"/>
      <c r="I10816" s="201"/>
      <c r="J10816" s="197" t="s">
        <v>46</v>
      </c>
      <c r="K10816" s="202">
        <v>430680</v>
      </c>
      <c r="L10816" s="202"/>
    </row>
    <row r="10817" spans="1:15" x14ac:dyDescent="0.2">
      <c r="A10817" s="120">
        <v>2025</v>
      </c>
      <c r="B10817" s="120">
        <v>10</v>
      </c>
      <c r="C10817" s="120">
        <v>26</v>
      </c>
      <c r="D10817" s="208">
        <f t="shared" si="1454"/>
        <v>45956</v>
      </c>
      <c r="E10817" s="209">
        <f t="shared" si="1456"/>
        <v>45956</v>
      </c>
      <c r="F10817" s="515"/>
      <c r="G10817" s="132" t="s">
        <v>1209</v>
      </c>
      <c r="J10817" s="120" t="s">
        <v>16</v>
      </c>
      <c r="K10817" s="207"/>
      <c r="L10817" s="207">
        <v>315340</v>
      </c>
    </row>
    <row r="10818" spans="1:15" x14ac:dyDescent="0.2">
      <c r="A10818" s="191">
        <v>2025</v>
      </c>
      <c r="B10818" s="191">
        <v>10</v>
      </c>
      <c r="C10818" s="191">
        <v>26</v>
      </c>
      <c r="D10818" s="192">
        <f t="shared" si="1454"/>
        <v>45956</v>
      </c>
      <c r="E10818" s="193">
        <f t="shared" si="1456"/>
        <v>45956</v>
      </c>
      <c r="F10818" s="514"/>
      <c r="G10818" s="194" t="s">
        <v>1209</v>
      </c>
      <c r="H10818" s="195"/>
      <c r="I10818" s="195"/>
      <c r="J10818" s="191" t="s">
        <v>47</v>
      </c>
      <c r="K10818" s="196"/>
      <c r="L10818" s="196">
        <v>115340</v>
      </c>
    </row>
    <row r="10819" spans="1:15" ht="11.25" customHeight="1" x14ac:dyDescent="0.2">
      <c r="A10819" s="197">
        <v>2025</v>
      </c>
      <c r="B10819" s="197">
        <v>10</v>
      </c>
      <c r="C10819" s="197">
        <v>26</v>
      </c>
      <c r="D10819" s="198">
        <f t="shared" si="1454"/>
        <v>45956</v>
      </c>
      <c r="E10819" s="290">
        <f t="shared" si="1456"/>
        <v>45956</v>
      </c>
      <c r="F10819" s="513" t="s">
        <v>2102</v>
      </c>
      <c r="G10819" s="200" t="s">
        <v>1209</v>
      </c>
      <c r="H10819" s="201"/>
      <c r="I10819" s="201" t="s">
        <v>1253</v>
      </c>
      <c r="J10819" s="197" t="s">
        <v>41</v>
      </c>
      <c r="K10819" s="202">
        <v>762527.80973374099</v>
      </c>
      <c r="L10819" s="202"/>
      <c r="M10819" s="130"/>
      <c r="N10819" s="130"/>
    </row>
    <row r="10820" spans="1:15" ht="11.25" customHeight="1" x14ac:dyDescent="0.2">
      <c r="A10820" s="120">
        <v>2025</v>
      </c>
      <c r="B10820" s="120">
        <v>10</v>
      </c>
      <c r="C10820" s="120">
        <v>26</v>
      </c>
      <c r="D10820" s="208">
        <f t="shared" si="1454"/>
        <v>45956</v>
      </c>
      <c r="E10820" s="209">
        <f>DATE(A10820,B10820,C10820)</f>
        <v>45956</v>
      </c>
      <c r="F10820" s="515"/>
      <c r="G10820" s="132" t="s">
        <v>1209</v>
      </c>
      <c r="H10820" s="132"/>
      <c r="J10820" s="120" t="s">
        <v>457</v>
      </c>
      <c r="K10820" s="120"/>
      <c r="L10820" s="207">
        <v>114379.17146006114</v>
      </c>
    </row>
    <row r="10821" spans="1:15" ht="11.25" customHeight="1" x14ac:dyDescent="0.2">
      <c r="A10821" s="191">
        <v>2025</v>
      </c>
      <c r="B10821" s="191">
        <v>10</v>
      </c>
      <c r="C10821" s="191">
        <v>26</v>
      </c>
      <c r="D10821" s="192">
        <f t="shared" si="1454"/>
        <v>45956</v>
      </c>
      <c r="E10821" s="291">
        <f t="shared" ref="E10821:E10825" si="1458">DATE(A10821,B10821,C10821)</f>
        <v>45956</v>
      </c>
      <c r="F10821" s="514"/>
      <c r="G10821" s="194" t="s">
        <v>1209</v>
      </c>
      <c r="H10821" s="195"/>
      <c r="I10821" s="195" t="s">
        <v>1253</v>
      </c>
      <c r="J10821" s="191" t="s">
        <v>46</v>
      </c>
      <c r="K10821" s="196"/>
      <c r="L10821" s="196">
        <v>648148.64</v>
      </c>
    </row>
    <row r="10822" spans="1:15" ht="11.25" customHeight="1" x14ac:dyDescent="0.2">
      <c r="A10822" s="197">
        <v>2025</v>
      </c>
      <c r="B10822" s="197">
        <v>10</v>
      </c>
      <c r="C10822" s="197">
        <v>26</v>
      </c>
      <c r="D10822" s="198">
        <f t="shared" si="1454"/>
        <v>45956</v>
      </c>
      <c r="E10822" s="290">
        <f t="shared" si="1458"/>
        <v>45956</v>
      </c>
      <c r="F10822" s="513" t="s">
        <v>1514</v>
      </c>
      <c r="G10822" s="200" t="s">
        <v>1209</v>
      </c>
      <c r="H10822" s="201"/>
      <c r="I10822" s="201"/>
      <c r="J10822" s="197" t="s">
        <v>54</v>
      </c>
      <c r="K10822" s="202">
        <v>100</v>
      </c>
      <c r="L10822" s="202"/>
      <c r="M10822" s="251"/>
      <c r="N10822" s="251"/>
      <c r="O10822" s="251"/>
    </row>
    <row r="10823" spans="1:15" ht="11.25" customHeight="1" x14ac:dyDescent="0.2">
      <c r="A10823" s="191">
        <v>2025</v>
      </c>
      <c r="B10823" s="191">
        <v>10</v>
      </c>
      <c r="C10823" s="191">
        <v>26</v>
      </c>
      <c r="D10823" s="192">
        <f t="shared" si="1454"/>
        <v>45956</v>
      </c>
      <c r="E10823" s="291">
        <f t="shared" si="1458"/>
        <v>45956</v>
      </c>
      <c r="F10823" s="514"/>
      <c r="G10823" s="194" t="s">
        <v>1209</v>
      </c>
      <c r="H10823" s="195"/>
      <c r="I10823" s="195"/>
      <c r="J10823" s="191" t="s">
        <v>46</v>
      </c>
      <c r="K10823" s="196"/>
      <c r="L10823" s="196">
        <f>K10822</f>
        <v>100</v>
      </c>
      <c r="M10823" s="251"/>
    </row>
    <row r="10824" spans="1:15" x14ac:dyDescent="0.2">
      <c r="A10824" s="197">
        <v>2025</v>
      </c>
      <c r="B10824" s="197">
        <v>10</v>
      </c>
      <c r="C10824" s="197">
        <v>27</v>
      </c>
      <c r="D10824" s="198">
        <f t="shared" si="1454"/>
        <v>45957</v>
      </c>
      <c r="E10824" s="199">
        <f t="shared" si="1458"/>
        <v>45957</v>
      </c>
      <c r="F10824" s="513" t="s">
        <v>2106</v>
      </c>
      <c r="G10824" s="200" t="s">
        <v>1209</v>
      </c>
      <c r="H10824" s="200"/>
      <c r="I10824" s="201" t="s">
        <v>1253</v>
      </c>
      <c r="J10824" s="248" t="s">
        <v>70</v>
      </c>
      <c r="K10824" s="202">
        <v>30020000</v>
      </c>
      <c r="L10824" s="202"/>
      <c r="M10824" s="455"/>
      <c r="N10824" s="455"/>
    </row>
    <row r="10825" spans="1:15" ht="11.25" customHeight="1" x14ac:dyDescent="0.2">
      <c r="A10825" s="191">
        <v>2025</v>
      </c>
      <c r="B10825" s="191">
        <v>10</v>
      </c>
      <c r="C10825" s="191">
        <v>27</v>
      </c>
      <c r="D10825" s="192">
        <f t="shared" si="1454"/>
        <v>45957</v>
      </c>
      <c r="E10825" s="193">
        <f t="shared" si="1458"/>
        <v>45957</v>
      </c>
      <c r="F10825" s="514"/>
      <c r="G10825" s="194" t="s">
        <v>1209</v>
      </c>
      <c r="H10825" s="194"/>
      <c r="I10825" s="195" t="s">
        <v>1253</v>
      </c>
      <c r="J10825" s="250" t="s">
        <v>175</v>
      </c>
      <c r="K10825" s="196"/>
      <c r="L10825" s="196">
        <f>K10824</f>
        <v>30020000</v>
      </c>
      <c r="M10825" s="251"/>
    </row>
    <row r="10826" spans="1:15" x14ac:dyDescent="0.2">
      <c r="A10826" s="197">
        <v>2025</v>
      </c>
      <c r="B10826" s="197">
        <v>10</v>
      </c>
      <c r="C10826" s="197">
        <v>27</v>
      </c>
      <c r="D10826" s="198">
        <f t="shared" si="1454"/>
        <v>45957</v>
      </c>
      <c r="E10826" s="209">
        <f t="shared" si="1456"/>
        <v>45957</v>
      </c>
      <c r="F10826" s="513" t="s">
        <v>1280</v>
      </c>
      <c r="G10826" s="200" t="s">
        <v>1209</v>
      </c>
      <c r="H10826" s="201"/>
      <c r="I10826" s="201"/>
      <c r="J10826" s="197" t="s">
        <v>16</v>
      </c>
      <c r="K10826" s="202">
        <v>146470</v>
      </c>
      <c r="L10826" s="202"/>
    </row>
    <row r="10827" spans="1:15" x14ac:dyDescent="0.2">
      <c r="A10827" s="120">
        <v>2025</v>
      </c>
      <c r="B10827" s="120">
        <v>10</v>
      </c>
      <c r="C10827" s="120">
        <v>27</v>
      </c>
      <c r="D10827" s="208">
        <f t="shared" si="1454"/>
        <v>45957</v>
      </c>
      <c r="E10827" s="209">
        <f t="shared" si="1456"/>
        <v>45957</v>
      </c>
      <c r="F10827" s="515"/>
      <c r="G10827" s="132" t="s">
        <v>1209</v>
      </c>
      <c r="J10827" s="120" t="s">
        <v>47</v>
      </c>
      <c r="K10827" s="207">
        <v>53530</v>
      </c>
      <c r="L10827" s="207"/>
    </row>
    <row r="10828" spans="1:15" x14ac:dyDescent="0.2">
      <c r="A10828" s="191">
        <v>2025</v>
      </c>
      <c r="B10828" s="191">
        <v>10</v>
      </c>
      <c r="C10828" s="191">
        <v>27</v>
      </c>
      <c r="D10828" s="192">
        <f t="shared" si="1454"/>
        <v>45957</v>
      </c>
      <c r="E10828" s="193">
        <f t="shared" si="1456"/>
        <v>45957</v>
      </c>
      <c r="F10828" s="514"/>
      <c r="G10828" s="194" t="s">
        <v>1209</v>
      </c>
      <c r="H10828" s="195"/>
      <c r="I10828" s="195"/>
      <c r="J10828" s="191" t="s">
        <v>46</v>
      </c>
      <c r="K10828" s="196"/>
      <c r="L10828" s="196">
        <v>200000</v>
      </c>
    </row>
    <row r="10829" spans="1:15" ht="11.25" customHeight="1" x14ac:dyDescent="0.2">
      <c r="A10829" s="197">
        <v>2025</v>
      </c>
      <c r="B10829" s="120">
        <v>10</v>
      </c>
      <c r="C10829" s="120">
        <v>27</v>
      </c>
      <c r="D10829" s="198">
        <f t="shared" si="1454"/>
        <v>45957</v>
      </c>
      <c r="E10829" s="199">
        <f t="shared" si="1456"/>
        <v>45957</v>
      </c>
      <c r="F10829" s="513" t="s">
        <v>2103</v>
      </c>
      <c r="G10829" s="200" t="s">
        <v>1209</v>
      </c>
      <c r="H10829" s="201"/>
      <c r="I10829" s="201" t="s">
        <v>1253</v>
      </c>
      <c r="J10829" s="197" t="s">
        <v>46</v>
      </c>
      <c r="K10829" s="202">
        <v>9000101.5700000003</v>
      </c>
      <c r="L10829" s="202"/>
    </row>
    <row r="10830" spans="1:15" x14ac:dyDescent="0.2">
      <c r="A10830" s="120">
        <v>2025</v>
      </c>
      <c r="B10830" s="120">
        <v>10</v>
      </c>
      <c r="C10830" s="120">
        <v>27</v>
      </c>
      <c r="D10830" s="208">
        <f t="shared" si="1454"/>
        <v>45957</v>
      </c>
      <c r="E10830" s="209">
        <f t="shared" ref="E10830" si="1459">DATE(A10830,B10830,C10830)</f>
        <v>45957</v>
      </c>
      <c r="F10830" s="515"/>
      <c r="G10830" s="132" t="s">
        <v>1209</v>
      </c>
      <c r="J10830" s="120" t="s">
        <v>179</v>
      </c>
      <c r="K10830" s="207"/>
      <c r="L10830" s="207">
        <v>918296.55</v>
      </c>
    </row>
    <row r="10831" spans="1:15" ht="11.25" customHeight="1" x14ac:dyDescent="0.2">
      <c r="A10831" s="191">
        <v>2025</v>
      </c>
      <c r="B10831" s="191">
        <v>10</v>
      </c>
      <c r="C10831" s="191">
        <v>27</v>
      </c>
      <c r="D10831" s="192">
        <f t="shared" si="1454"/>
        <v>45957</v>
      </c>
      <c r="E10831" s="193">
        <f t="shared" si="1456"/>
        <v>45957</v>
      </c>
      <c r="F10831" s="514"/>
      <c r="G10831" s="194" t="s">
        <v>1209</v>
      </c>
      <c r="H10831" s="195"/>
      <c r="I10831" s="195" t="s">
        <v>1253</v>
      </c>
      <c r="J10831" s="191" t="s">
        <v>70</v>
      </c>
      <c r="K10831" s="196"/>
      <c r="L10831" s="196">
        <v>8081805.0199999996</v>
      </c>
      <c r="N10831" s="130"/>
    </row>
    <row r="10832" spans="1:15" ht="11.25" customHeight="1" x14ac:dyDescent="0.2">
      <c r="A10832" s="197">
        <v>2025</v>
      </c>
      <c r="B10832" s="197">
        <v>10</v>
      </c>
      <c r="C10832" s="197">
        <v>27</v>
      </c>
      <c r="D10832" s="198">
        <f t="shared" si="1454"/>
        <v>45957</v>
      </c>
      <c r="E10832" s="290">
        <f t="shared" si="1456"/>
        <v>45957</v>
      </c>
      <c r="F10832" s="513" t="s">
        <v>1514</v>
      </c>
      <c r="G10832" s="200" t="s">
        <v>1209</v>
      </c>
      <c r="H10832" s="201"/>
      <c r="I10832" s="201"/>
      <c r="J10832" s="197" t="s">
        <v>54</v>
      </c>
      <c r="K10832" s="202">
        <v>58</v>
      </c>
      <c r="L10832" s="202"/>
      <c r="M10832" s="251"/>
      <c r="N10832" s="251"/>
      <c r="O10832" s="251"/>
    </row>
    <row r="10833" spans="1:15" ht="11.25" customHeight="1" x14ac:dyDescent="0.2">
      <c r="A10833" s="191">
        <v>2025</v>
      </c>
      <c r="B10833" s="191">
        <v>10</v>
      </c>
      <c r="C10833" s="191">
        <v>27</v>
      </c>
      <c r="D10833" s="192">
        <f t="shared" si="1454"/>
        <v>45957</v>
      </c>
      <c r="E10833" s="291">
        <f t="shared" si="1456"/>
        <v>45957</v>
      </c>
      <c r="F10833" s="514"/>
      <c r="G10833" s="194" t="s">
        <v>1209</v>
      </c>
      <c r="H10833" s="195"/>
      <c r="I10833" s="195"/>
      <c r="J10833" s="191" t="s">
        <v>46</v>
      </c>
      <c r="K10833" s="196"/>
      <c r="L10833" s="196">
        <f>K10832</f>
        <v>58</v>
      </c>
      <c r="M10833" s="251"/>
    </row>
    <row r="10834" spans="1:15" x14ac:dyDescent="0.2">
      <c r="A10834" s="197">
        <v>2025</v>
      </c>
      <c r="B10834" s="197">
        <v>10</v>
      </c>
      <c r="C10834" s="197">
        <v>28</v>
      </c>
      <c r="D10834" s="198">
        <f t="shared" si="1454"/>
        <v>45958</v>
      </c>
      <c r="E10834" s="209">
        <f t="shared" si="1456"/>
        <v>45958</v>
      </c>
      <c r="F10834" s="513" t="s">
        <v>1280</v>
      </c>
      <c r="G10834" s="200" t="s">
        <v>1209</v>
      </c>
      <c r="H10834" s="201"/>
      <c r="I10834" s="201"/>
      <c r="J10834" s="197" t="s">
        <v>16</v>
      </c>
      <c r="K10834" s="202">
        <v>7324400</v>
      </c>
      <c r="L10834" s="202"/>
    </row>
    <row r="10835" spans="1:15" x14ac:dyDescent="0.2">
      <c r="A10835" s="120">
        <v>2025</v>
      </c>
      <c r="B10835" s="120">
        <v>10</v>
      </c>
      <c r="C10835" s="120">
        <v>28</v>
      </c>
      <c r="D10835" s="208">
        <f t="shared" si="1454"/>
        <v>45958</v>
      </c>
      <c r="E10835" s="209">
        <f t="shared" si="1456"/>
        <v>45958</v>
      </c>
      <c r="F10835" s="515"/>
      <c r="G10835" s="132" t="s">
        <v>1209</v>
      </c>
      <c r="J10835" s="120" t="s">
        <v>47</v>
      </c>
      <c r="K10835" s="207">
        <v>2675603.3200000003</v>
      </c>
      <c r="L10835" s="207"/>
    </row>
    <row r="10836" spans="1:15" x14ac:dyDescent="0.2">
      <c r="A10836" s="191">
        <v>2025</v>
      </c>
      <c r="B10836" s="191">
        <v>10</v>
      </c>
      <c r="C10836" s="191">
        <v>28</v>
      </c>
      <c r="D10836" s="192">
        <f t="shared" si="1454"/>
        <v>45958</v>
      </c>
      <c r="E10836" s="193">
        <f t="shared" si="1456"/>
        <v>45958</v>
      </c>
      <c r="F10836" s="514"/>
      <c r="G10836" s="194" t="s">
        <v>1209</v>
      </c>
      <c r="H10836" s="195"/>
      <c r="I10836" s="195"/>
      <c r="J10836" s="191" t="s">
        <v>46</v>
      </c>
      <c r="K10836" s="196"/>
      <c r="L10836" s="196">
        <v>10000003.32</v>
      </c>
    </row>
    <row r="10837" spans="1:15" x14ac:dyDescent="0.2">
      <c r="A10837" s="197">
        <v>2025</v>
      </c>
      <c r="B10837" s="197">
        <v>10</v>
      </c>
      <c r="C10837" s="197">
        <v>28</v>
      </c>
      <c r="D10837" s="198">
        <f t="shared" si="1454"/>
        <v>45958</v>
      </c>
      <c r="E10837" s="209">
        <f t="shared" si="1456"/>
        <v>45958</v>
      </c>
      <c r="F10837" s="513" t="s">
        <v>1280</v>
      </c>
      <c r="G10837" s="200" t="s">
        <v>1209</v>
      </c>
      <c r="H10837" s="201"/>
      <c r="I10837" s="201"/>
      <c r="J10837" s="197" t="s">
        <v>16</v>
      </c>
      <c r="K10837" s="202">
        <v>7320</v>
      </c>
      <c r="L10837" s="202"/>
    </row>
    <row r="10838" spans="1:15" x14ac:dyDescent="0.2">
      <c r="A10838" s="120">
        <v>2025</v>
      </c>
      <c r="B10838" s="120">
        <v>10</v>
      </c>
      <c r="C10838" s="120">
        <v>28</v>
      </c>
      <c r="D10838" s="208">
        <f t="shared" si="1454"/>
        <v>45958</v>
      </c>
      <c r="E10838" s="209">
        <f t="shared" si="1456"/>
        <v>45958</v>
      </c>
      <c r="F10838" s="515"/>
      <c r="G10838" s="132" t="s">
        <v>1209</v>
      </c>
      <c r="J10838" s="120" t="s">
        <v>47</v>
      </c>
      <c r="K10838" s="207">
        <v>2680</v>
      </c>
      <c r="L10838" s="207"/>
    </row>
    <row r="10839" spans="1:15" x14ac:dyDescent="0.2">
      <c r="A10839" s="191">
        <v>2025</v>
      </c>
      <c r="B10839" s="191">
        <v>10</v>
      </c>
      <c r="C10839" s="191">
        <v>28</v>
      </c>
      <c r="D10839" s="192">
        <f t="shared" si="1454"/>
        <v>45958</v>
      </c>
      <c r="E10839" s="193">
        <f t="shared" si="1456"/>
        <v>45958</v>
      </c>
      <c r="F10839" s="514"/>
      <c r="G10839" s="194" t="s">
        <v>1209</v>
      </c>
      <c r="H10839" s="195"/>
      <c r="I10839" s="195"/>
      <c r="J10839" s="191" t="s">
        <v>46</v>
      </c>
      <c r="K10839" s="196"/>
      <c r="L10839" s="196">
        <v>10000</v>
      </c>
    </row>
    <row r="10840" spans="1:15" x14ac:dyDescent="0.2">
      <c r="A10840" s="197">
        <v>2025</v>
      </c>
      <c r="B10840" s="197">
        <v>10</v>
      </c>
      <c r="C10840" s="197">
        <v>28</v>
      </c>
      <c r="D10840" s="198">
        <f t="shared" si="1454"/>
        <v>45958</v>
      </c>
      <c r="E10840" s="209">
        <f t="shared" ref="E10840:E10842" si="1460">DATE(A10840,B10840,C10840)</f>
        <v>45958</v>
      </c>
      <c r="F10840" s="513" t="s">
        <v>1280</v>
      </c>
      <c r="G10840" s="200" t="s">
        <v>1209</v>
      </c>
      <c r="H10840" s="201"/>
      <c r="I10840" s="201"/>
      <c r="J10840" s="197" t="s">
        <v>16</v>
      </c>
      <c r="K10840" s="202">
        <v>207180</v>
      </c>
      <c r="L10840" s="202"/>
    </row>
    <row r="10841" spans="1:15" x14ac:dyDescent="0.2">
      <c r="A10841" s="120">
        <v>2025</v>
      </c>
      <c r="B10841" s="120">
        <v>10</v>
      </c>
      <c r="C10841" s="120">
        <v>28</v>
      </c>
      <c r="D10841" s="208">
        <f t="shared" si="1454"/>
        <v>45958</v>
      </c>
      <c r="E10841" s="209">
        <f t="shared" si="1460"/>
        <v>45958</v>
      </c>
      <c r="F10841" s="515"/>
      <c r="G10841" s="132" t="s">
        <v>1209</v>
      </c>
      <c r="J10841" s="120" t="s">
        <v>47</v>
      </c>
      <c r="K10841" s="207">
        <v>75724.289999999979</v>
      </c>
      <c r="L10841" s="207"/>
    </row>
    <row r="10842" spans="1:15" x14ac:dyDescent="0.2">
      <c r="A10842" s="191">
        <v>2025</v>
      </c>
      <c r="B10842" s="191">
        <v>10</v>
      </c>
      <c r="C10842" s="191">
        <v>28</v>
      </c>
      <c r="D10842" s="192">
        <f t="shared" si="1454"/>
        <v>45958</v>
      </c>
      <c r="E10842" s="193">
        <f t="shared" si="1460"/>
        <v>45958</v>
      </c>
      <c r="F10842" s="514"/>
      <c r="G10842" s="194" t="s">
        <v>1209</v>
      </c>
      <c r="H10842" s="195"/>
      <c r="I10842" s="195"/>
      <c r="J10842" s="191" t="s">
        <v>46</v>
      </c>
      <c r="K10842" s="196"/>
      <c r="L10842" s="196">
        <v>282904.28999999998</v>
      </c>
    </row>
    <row r="10843" spans="1:15" x14ac:dyDescent="0.2">
      <c r="A10843" s="197">
        <v>2025</v>
      </c>
      <c r="B10843" s="197">
        <v>10</v>
      </c>
      <c r="C10843" s="197">
        <v>28</v>
      </c>
      <c r="D10843" s="198">
        <f t="shared" si="1454"/>
        <v>45958</v>
      </c>
      <c r="E10843" s="290">
        <f t="shared" ref="E10843:E10876" si="1461">DATE(A10843,B10843,C10843)</f>
        <v>45958</v>
      </c>
      <c r="F10843" s="513" t="s">
        <v>1514</v>
      </c>
      <c r="G10843" s="200" t="s">
        <v>1209</v>
      </c>
      <c r="H10843" s="201"/>
      <c r="I10843" s="201"/>
      <c r="J10843" s="197" t="s">
        <v>54</v>
      </c>
      <c r="K10843" s="202">
        <v>300</v>
      </c>
      <c r="L10843" s="202"/>
      <c r="M10843" s="251"/>
      <c r="N10843" s="251"/>
      <c r="O10843" s="251"/>
    </row>
    <row r="10844" spans="1:15" ht="11.25" customHeight="1" x14ac:dyDescent="0.2">
      <c r="A10844" s="191">
        <v>2025</v>
      </c>
      <c r="B10844" s="191">
        <v>10</v>
      </c>
      <c r="C10844" s="191">
        <v>28</v>
      </c>
      <c r="D10844" s="192">
        <f t="shared" si="1454"/>
        <v>45958</v>
      </c>
      <c r="E10844" s="291">
        <f t="shared" si="1461"/>
        <v>45958</v>
      </c>
      <c r="F10844" s="514"/>
      <c r="G10844" s="194" t="s">
        <v>1209</v>
      </c>
      <c r="H10844" s="195"/>
      <c r="I10844" s="195"/>
      <c r="J10844" s="191" t="s">
        <v>46</v>
      </c>
      <c r="K10844" s="196"/>
      <c r="L10844" s="196">
        <f>K10843</f>
        <v>300</v>
      </c>
      <c r="M10844" s="251"/>
    </row>
    <row r="10845" spans="1:15" x14ac:dyDescent="0.2">
      <c r="A10845" s="197">
        <v>2025</v>
      </c>
      <c r="B10845" s="197">
        <v>10</v>
      </c>
      <c r="C10845" s="197">
        <v>28</v>
      </c>
      <c r="D10845" s="198">
        <f t="shared" si="1454"/>
        <v>45958</v>
      </c>
      <c r="E10845" s="209">
        <f t="shared" si="1461"/>
        <v>45958</v>
      </c>
      <c r="F10845" s="513" t="s">
        <v>1210</v>
      </c>
      <c r="G10845" s="200" t="s">
        <v>1209</v>
      </c>
      <c r="H10845" s="201"/>
      <c r="I10845" s="201"/>
      <c r="J10845" s="197" t="s">
        <v>46</v>
      </c>
      <c r="K10845" s="202">
        <v>200000</v>
      </c>
      <c r="L10845" s="202"/>
    </row>
    <row r="10846" spans="1:15" x14ac:dyDescent="0.2">
      <c r="A10846" s="120">
        <v>2025</v>
      </c>
      <c r="B10846" s="120">
        <v>10</v>
      </c>
      <c r="C10846" s="120">
        <v>28</v>
      </c>
      <c r="D10846" s="208">
        <f t="shared" si="1454"/>
        <v>45958</v>
      </c>
      <c r="E10846" s="209">
        <f t="shared" si="1461"/>
        <v>45958</v>
      </c>
      <c r="F10846" s="515"/>
      <c r="G10846" s="132" t="s">
        <v>1209</v>
      </c>
      <c r="J10846" s="120" t="s">
        <v>16</v>
      </c>
      <c r="K10846" s="207"/>
      <c r="L10846" s="207">
        <v>146470</v>
      </c>
    </row>
    <row r="10847" spans="1:15" x14ac:dyDescent="0.2">
      <c r="A10847" s="191">
        <v>2025</v>
      </c>
      <c r="B10847" s="191">
        <v>10</v>
      </c>
      <c r="C10847" s="191">
        <v>28</v>
      </c>
      <c r="D10847" s="192">
        <f t="shared" si="1454"/>
        <v>45958</v>
      </c>
      <c r="E10847" s="193">
        <f t="shared" si="1461"/>
        <v>45958</v>
      </c>
      <c r="F10847" s="514"/>
      <c r="G10847" s="194" t="s">
        <v>1209</v>
      </c>
      <c r="H10847" s="195"/>
      <c r="I10847" s="195"/>
      <c r="J10847" s="191" t="s">
        <v>47</v>
      </c>
      <c r="K10847" s="196"/>
      <c r="L10847" s="196">
        <v>53530</v>
      </c>
    </row>
    <row r="10848" spans="1:15" x14ac:dyDescent="0.2">
      <c r="A10848" s="197">
        <v>2025</v>
      </c>
      <c r="B10848" s="197">
        <v>10</v>
      </c>
      <c r="C10848" s="197">
        <v>29</v>
      </c>
      <c r="D10848" s="198">
        <f t="shared" si="1454"/>
        <v>45959</v>
      </c>
      <c r="E10848" s="209">
        <f t="shared" si="1461"/>
        <v>45959</v>
      </c>
      <c r="F10848" s="513" t="s">
        <v>1210</v>
      </c>
      <c r="G10848" s="200" t="s">
        <v>1209</v>
      </c>
      <c r="H10848" s="201"/>
      <c r="I10848" s="201"/>
      <c r="J10848" s="197" t="s">
        <v>46</v>
      </c>
      <c r="K10848" s="202">
        <v>5000</v>
      </c>
      <c r="L10848" s="202"/>
    </row>
    <row r="10849" spans="1:15" x14ac:dyDescent="0.2">
      <c r="A10849" s="120">
        <v>2025</v>
      </c>
      <c r="B10849" s="120">
        <v>10</v>
      </c>
      <c r="C10849" s="120">
        <v>29</v>
      </c>
      <c r="D10849" s="208">
        <f t="shared" si="1454"/>
        <v>45959</v>
      </c>
      <c r="E10849" s="209">
        <f t="shared" si="1461"/>
        <v>45959</v>
      </c>
      <c r="F10849" s="515"/>
      <c r="G10849" s="132" t="s">
        <v>1209</v>
      </c>
      <c r="J10849" s="120" t="s">
        <v>16</v>
      </c>
      <c r="K10849" s="207"/>
      <c r="L10849" s="207">
        <v>3660</v>
      </c>
    </row>
    <row r="10850" spans="1:15" x14ac:dyDescent="0.2">
      <c r="A10850" s="191">
        <v>2025</v>
      </c>
      <c r="B10850" s="191">
        <v>10</v>
      </c>
      <c r="C10850" s="191">
        <v>29</v>
      </c>
      <c r="D10850" s="192">
        <f t="shared" si="1454"/>
        <v>45959</v>
      </c>
      <c r="E10850" s="193">
        <f t="shared" si="1461"/>
        <v>45959</v>
      </c>
      <c r="F10850" s="514"/>
      <c r="G10850" s="194" t="s">
        <v>1209</v>
      </c>
      <c r="H10850" s="195"/>
      <c r="I10850" s="195"/>
      <c r="J10850" s="191" t="s">
        <v>47</v>
      </c>
      <c r="K10850" s="196"/>
      <c r="L10850" s="196">
        <v>1340</v>
      </c>
    </row>
    <row r="10851" spans="1:15" x14ac:dyDescent="0.2">
      <c r="A10851" s="197">
        <v>2025</v>
      </c>
      <c r="B10851" s="197">
        <v>10</v>
      </c>
      <c r="C10851" s="197">
        <v>30</v>
      </c>
      <c r="D10851" s="198">
        <f t="shared" si="1454"/>
        <v>45960</v>
      </c>
      <c r="E10851" s="209">
        <f t="shared" si="1461"/>
        <v>45960</v>
      </c>
      <c r="F10851" s="513" t="s">
        <v>1280</v>
      </c>
      <c r="G10851" s="200" t="s">
        <v>1209</v>
      </c>
      <c r="H10851" s="201"/>
      <c r="I10851" s="201"/>
      <c r="J10851" s="197" t="s">
        <v>16</v>
      </c>
      <c r="K10851" s="202">
        <v>1500000</v>
      </c>
      <c r="L10851" s="202"/>
    </row>
    <row r="10852" spans="1:15" x14ac:dyDescent="0.2">
      <c r="A10852" s="120">
        <v>2025</v>
      </c>
      <c r="B10852" s="120">
        <v>10</v>
      </c>
      <c r="C10852" s="120">
        <v>30</v>
      </c>
      <c r="D10852" s="208">
        <f t="shared" si="1454"/>
        <v>45960</v>
      </c>
      <c r="E10852" s="209">
        <f t="shared" si="1461"/>
        <v>45960</v>
      </c>
      <c r="F10852" s="515"/>
      <c r="G10852" s="132" t="s">
        <v>1209</v>
      </c>
      <c r="J10852" s="120" t="s">
        <v>47</v>
      </c>
      <c r="K10852" s="207">
        <v>548250</v>
      </c>
      <c r="L10852" s="207"/>
    </row>
    <row r="10853" spans="1:15" x14ac:dyDescent="0.2">
      <c r="A10853" s="191">
        <v>2025</v>
      </c>
      <c r="B10853" s="191">
        <v>10</v>
      </c>
      <c r="C10853" s="191">
        <v>30</v>
      </c>
      <c r="D10853" s="192">
        <f t="shared" si="1454"/>
        <v>45960</v>
      </c>
      <c r="E10853" s="193">
        <f t="shared" si="1461"/>
        <v>45960</v>
      </c>
      <c r="F10853" s="514"/>
      <c r="G10853" s="194" t="s">
        <v>1209</v>
      </c>
      <c r="H10853" s="195"/>
      <c r="I10853" s="195"/>
      <c r="J10853" s="191" t="s">
        <v>46</v>
      </c>
      <c r="K10853" s="196"/>
      <c r="L10853" s="196">
        <v>2048250</v>
      </c>
    </row>
    <row r="10854" spans="1:15" x14ac:dyDescent="0.2">
      <c r="A10854" s="197">
        <v>2025</v>
      </c>
      <c r="B10854" s="197">
        <v>10</v>
      </c>
      <c r="C10854" s="197">
        <v>30</v>
      </c>
      <c r="D10854" s="198">
        <f t="shared" si="1454"/>
        <v>45960</v>
      </c>
      <c r="E10854" s="209">
        <f t="shared" ref="E10854:E10861" si="1462">DATE(A10854,B10854,C10854)</f>
        <v>45960</v>
      </c>
      <c r="F10854" s="513" t="s">
        <v>1210</v>
      </c>
      <c r="G10854" s="200" t="s">
        <v>1209</v>
      </c>
      <c r="H10854" s="201"/>
      <c r="I10854" s="201"/>
      <c r="J10854" s="197" t="s">
        <v>46</v>
      </c>
      <c r="K10854" s="202">
        <v>200000</v>
      </c>
      <c r="L10854" s="202"/>
    </row>
    <row r="10855" spans="1:15" x14ac:dyDescent="0.2">
      <c r="A10855" s="120">
        <v>2025</v>
      </c>
      <c r="B10855" s="120">
        <v>10</v>
      </c>
      <c r="C10855" s="120">
        <v>30</v>
      </c>
      <c r="D10855" s="208">
        <f t="shared" si="1454"/>
        <v>45960</v>
      </c>
      <c r="E10855" s="209">
        <f t="shared" si="1462"/>
        <v>45960</v>
      </c>
      <c r="F10855" s="515"/>
      <c r="G10855" s="132" t="s">
        <v>1209</v>
      </c>
      <c r="J10855" s="120" t="s">
        <v>16</v>
      </c>
      <c r="K10855" s="207"/>
      <c r="L10855" s="207">
        <v>146470</v>
      </c>
    </row>
    <row r="10856" spans="1:15" x14ac:dyDescent="0.2">
      <c r="A10856" s="191">
        <v>2025</v>
      </c>
      <c r="B10856" s="191">
        <v>10</v>
      </c>
      <c r="C10856" s="191">
        <v>30</v>
      </c>
      <c r="D10856" s="192">
        <f t="shared" si="1454"/>
        <v>45960</v>
      </c>
      <c r="E10856" s="193">
        <f t="shared" si="1462"/>
        <v>45960</v>
      </c>
      <c r="F10856" s="514"/>
      <c r="G10856" s="194" t="s">
        <v>1209</v>
      </c>
      <c r="H10856" s="195"/>
      <c r="I10856" s="195"/>
      <c r="J10856" s="191" t="s">
        <v>47</v>
      </c>
      <c r="K10856" s="196"/>
      <c r="L10856" s="196">
        <v>53530</v>
      </c>
    </row>
    <row r="10857" spans="1:15" x14ac:dyDescent="0.2">
      <c r="A10857" s="197">
        <v>2025</v>
      </c>
      <c r="B10857" s="197">
        <v>10</v>
      </c>
      <c r="C10857" s="197">
        <v>30</v>
      </c>
      <c r="D10857" s="198">
        <f t="shared" si="1454"/>
        <v>45960</v>
      </c>
      <c r="E10857" s="290">
        <f t="shared" si="1462"/>
        <v>45960</v>
      </c>
      <c r="F10857" s="513" t="s">
        <v>1514</v>
      </c>
      <c r="G10857" s="200" t="s">
        <v>1209</v>
      </c>
      <c r="H10857" s="201"/>
      <c r="I10857" s="201"/>
      <c r="J10857" s="197" t="s">
        <v>54</v>
      </c>
      <c r="K10857" s="202">
        <v>110</v>
      </c>
      <c r="L10857" s="202"/>
      <c r="M10857" s="251"/>
      <c r="N10857" s="251"/>
      <c r="O10857" s="251"/>
    </row>
    <row r="10858" spans="1:15" ht="11.25" customHeight="1" x14ac:dyDescent="0.2">
      <c r="A10858" s="191">
        <v>2025</v>
      </c>
      <c r="B10858" s="191">
        <v>10</v>
      </c>
      <c r="C10858" s="191">
        <v>30</v>
      </c>
      <c r="D10858" s="192">
        <f t="shared" si="1454"/>
        <v>45960</v>
      </c>
      <c r="E10858" s="291">
        <f t="shared" si="1462"/>
        <v>45960</v>
      </c>
      <c r="F10858" s="514"/>
      <c r="G10858" s="194" t="s">
        <v>1209</v>
      </c>
      <c r="H10858" s="195"/>
      <c r="I10858" s="195"/>
      <c r="J10858" s="191" t="s">
        <v>46</v>
      </c>
      <c r="K10858" s="196"/>
      <c r="L10858" s="196">
        <f>K10857</f>
        <v>110</v>
      </c>
      <c r="M10858" s="251"/>
    </row>
    <row r="10859" spans="1:15" ht="11.25" customHeight="1" x14ac:dyDescent="0.2">
      <c r="A10859" s="197">
        <v>2025</v>
      </c>
      <c r="B10859" s="197">
        <v>10</v>
      </c>
      <c r="C10859" s="197">
        <v>30</v>
      </c>
      <c r="D10859" s="198">
        <f t="shared" si="1454"/>
        <v>45960</v>
      </c>
      <c r="E10859" s="199">
        <f t="shared" si="1462"/>
        <v>45960</v>
      </c>
      <c r="F10859" s="513" t="s">
        <v>2080</v>
      </c>
      <c r="G10859" s="200" t="s">
        <v>1209</v>
      </c>
      <c r="H10859" s="201"/>
      <c r="I10859" s="201" t="s">
        <v>1253</v>
      </c>
      <c r="J10859" s="197" t="s">
        <v>46</v>
      </c>
      <c r="K10859" s="202">
        <v>2203060.31</v>
      </c>
      <c r="L10859" s="202"/>
    </row>
    <row r="10860" spans="1:15" ht="11.25" customHeight="1" x14ac:dyDescent="0.2">
      <c r="A10860" s="120">
        <v>2025</v>
      </c>
      <c r="B10860" s="120">
        <v>10</v>
      </c>
      <c r="C10860" s="120">
        <v>30</v>
      </c>
      <c r="D10860" s="208">
        <f t="shared" ref="D10860:D10923" si="1463">DATE(A10860,B10860,C10860)</f>
        <v>45960</v>
      </c>
      <c r="E10860" s="209">
        <f t="shared" si="1462"/>
        <v>45960</v>
      </c>
      <c r="F10860" s="515"/>
      <c r="G10860" s="132" t="s">
        <v>1209</v>
      </c>
      <c r="J10860" s="120" t="s">
        <v>1463</v>
      </c>
      <c r="K10860" s="328"/>
      <c r="L10860" s="207">
        <v>179997.10999999987</v>
      </c>
    </row>
    <row r="10861" spans="1:15" ht="11.25" customHeight="1" x14ac:dyDescent="0.2">
      <c r="A10861" s="191">
        <v>2025</v>
      </c>
      <c r="B10861" s="191">
        <v>10</v>
      </c>
      <c r="C10861" s="191">
        <v>30</v>
      </c>
      <c r="D10861" s="192">
        <f t="shared" si="1463"/>
        <v>45960</v>
      </c>
      <c r="E10861" s="193">
        <f t="shared" si="1462"/>
        <v>45960</v>
      </c>
      <c r="F10861" s="514"/>
      <c r="G10861" s="194" t="s">
        <v>1209</v>
      </c>
      <c r="H10861" s="195"/>
      <c r="I10861" s="195" t="s">
        <v>1253</v>
      </c>
      <c r="J10861" s="191" t="s">
        <v>1837</v>
      </c>
      <c r="K10861" s="196"/>
      <c r="L10861" s="196">
        <v>2023063.2000000002</v>
      </c>
      <c r="N10861" s="130"/>
    </row>
    <row r="10862" spans="1:15" ht="11.25" customHeight="1" x14ac:dyDescent="0.2">
      <c r="A10862" s="197">
        <v>2025</v>
      </c>
      <c r="B10862" s="197">
        <v>10</v>
      </c>
      <c r="C10862" s="197">
        <v>30</v>
      </c>
      <c r="D10862" s="198">
        <f t="shared" si="1463"/>
        <v>45960</v>
      </c>
      <c r="E10862" s="199">
        <f t="shared" ref="E10862:E10864" si="1464">DATE(A10862,B10862,C10862)</f>
        <v>45960</v>
      </c>
      <c r="F10862" s="513" t="s">
        <v>2080</v>
      </c>
      <c r="G10862" s="200" t="s">
        <v>1209</v>
      </c>
      <c r="H10862" s="201"/>
      <c r="I10862" s="201" t="s">
        <v>1253</v>
      </c>
      <c r="J10862" s="197" t="s">
        <v>46</v>
      </c>
      <c r="K10862" s="202">
        <v>2203060.31</v>
      </c>
      <c r="L10862" s="202"/>
    </row>
    <row r="10863" spans="1:15" ht="11.25" customHeight="1" x14ac:dyDescent="0.2">
      <c r="A10863" s="120">
        <v>2025</v>
      </c>
      <c r="B10863" s="120">
        <v>10</v>
      </c>
      <c r="C10863" s="120">
        <v>30</v>
      </c>
      <c r="D10863" s="208">
        <f t="shared" si="1463"/>
        <v>45960</v>
      </c>
      <c r="E10863" s="209">
        <f t="shared" si="1464"/>
        <v>45960</v>
      </c>
      <c r="F10863" s="515"/>
      <c r="G10863" s="132" t="s">
        <v>1209</v>
      </c>
      <c r="J10863" s="120" t="s">
        <v>1463</v>
      </c>
      <c r="K10863" s="328"/>
      <c r="L10863" s="207">
        <v>179997.10999999987</v>
      </c>
    </row>
    <row r="10864" spans="1:15" ht="11.25" customHeight="1" x14ac:dyDescent="0.2">
      <c r="A10864" s="191">
        <v>2025</v>
      </c>
      <c r="B10864" s="191">
        <v>10</v>
      </c>
      <c r="C10864" s="191">
        <v>30</v>
      </c>
      <c r="D10864" s="192">
        <f t="shared" si="1463"/>
        <v>45960</v>
      </c>
      <c r="E10864" s="193">
        <f t="shared" si="1464"/>
        <v>45960</v>
      </c>
      <c r="F10864" s="514"/>
      <c r="G10864" s="194" t="s">
        <v>1209</v>
      </c>
      <c r="H10864" s="195"/>
      <c r="I10864" s="195" t="s">
        <v>1253</v>
      </c>
      <c r="J10864" s="191" t="s">
        <v>1837</v>
      </c>
      <c r="K10864" s="196"/>
      <c r="L10864" s="196">
        <v>2023063.2000000002</v>
      </c>
      <c r="N10864" s="130"/>
    </row>
    <row r="10865" spans="1:12" x14ac:dyDescent="0.2">
      <c r="A10865" s="424">
        <v>2025</v>
      </c>
      <c r="B10865" s="424">
        <v>10</v>
      </c>
      <c r="C10865" s="424">
        <v>30</v>
      </c>
      <c r="D10865" s="425">
        <f t="shared" si="1463"/>
        <v>45960</v>
      </c>
      <c r="E10865" s="384">
        <f t="shared" si="1461"/>
        <v>45960</v>
      </c>
      <c r="F10865" s="516" t="s">
        <v>1850</v>
      </c>
      <c r="G10865" s="426" t="s">
        <v>1209</v>
      </c>
      <c r="H10865" s="427"/>
      <c r="I10865" s="427"/>
      <c r="J10865" s="428" t="s">
        <v>81</v>
      </c>
      <c r="K10865" s="429">
        <v>11170.721538461539</v>
      </c>
      <c r="L10865" s="429"/>
    </row>
    <row r="10866" spans="1:12" x14ac:dyDescent="0.2">
      <c r="A10866" s="389">
        <v>2025</v>
      </c>
      <c r="B10866" s="389">
        <v>10</v>
      </c>
      <c r="C10866" s="389">
        <v>30</v>
      </c>
      <c r="D10866" s="390">
        <f t="shared" si="1463"/>
        <v>45960</v>
      </c>
      <c r="E10866" s="391">
        <f t="shared" si="1461"/>
        <v>45960</v>
      </c>
      <c r="F10866" s="517"/>
      <c r="G10866" s="392" t="s">
        <v>1209</v>
      </c>
      <c r="H10866" s="393"/>
      <c r="I10866" s="393"/>
      <c r="J10866" s="394" t="s">
        <v>1847</v>
      </c>
      <c r="K10866" s="423"/>
      <c r="L10866" s="423">
        <f>K10865</f>
        <v>11170.721538461539</v>
      </c>
    </row>
    <row r="10867" spans="1:12" ht="11.25" customHeight="1" x14ac:dyDescent="0.2">
      <c r="A10867" s="382">
        <v>2025</v>
      </c>
      <c r="B10867" s="382">
        <v>10</v>
      </c>
      <c r="C10867" s="382">
        <v>30</v>
      </c>
      <c r="D10867" s="383">
        <f t="shared" si="1463"/>
        <v>45960</v>
      </c>
      <c r="E10867" s="384">
        <f t="shared" si="1461"/>
        <v>45960</v>
      </c>
      <c r="F10867" s="516" t="s">
        <v>1892</v>
      </c>
      <c r="G10867" s="385" t="s">
        <v>1209</v>
      </c>
      <c r="H10867" s="386"/>
      <c r="I10867" s="386"/>
      <c r="J10867" s="387" t="s">
        <v>173</v>
      </c>
      <c r="K10867" s="388">
        <v>4529.0847178885415</v>
      </c>
      <c r="L10867" s="388"/>
    </row>
    <row r="10868" spans="1:12" ht="11.25" customHeight="1" x14ac:dyDescent="0.2">
      <c r="A10868" s="389">
        <v>2025</v>
      </c>
      <c r="B10868" s="389">
        <v>10</v>
      </c>
      <c r="C10868" s="389">
        <v>30</v>
      </c>
      <c r="D10868" s="390">
        <f t="shared" si="1463"/>
        <v>45960</v>
      </c>
      <c r="E10868" s="391">
        <f t="shared" si="1461"/>
        <v>45960</v>
      </c>
      <c r="F10868" s="517"/>
      <c r="G10868" s="392" t="s">
        <v>1209</v>
      </c>
      <c r="H10868" s="393"/>
      <c r="I10868" s="393"/>
      <c r="J10868" s="394" t="s">
        <v>43</v>
      </c>
      <c r="K10868" s="388"/>
      <c r="L10868" s="423">
        <f>K10867</f>
        <v>4529.0847178885415</v>
      </c>
    </row>
    <row r="10869" spans="1:12" ht="11.25" customHeight="1" x14ac:dyDescent="0.2">
      <c r="A10869" s="344">
        <v>2025</v>
      </c>
      <c r="B10869" s="344">
        <v>10</v>
      </c>
      <c r="C10869" s="344">
        <v>30</v>
      </c>
      <c r="D10869" s="345">
        <f t="shared" si="1463"/>
        <v>45960</v>
      </c>
      <c r="E10869" s="346">
        <f t="shared" si="1461"/>
        <v>45960</v>
      </c>
      <c r="F10869" s="518" t="s">
        <v>1982</v>
      </c>
      <c r="G10869" s="347" t="s">
        <v>1245</v>
      </c>
      <c r="H10869" s="348"/>
      <c r="I10869" s="348" t="s">
        <v>1253</v>
      </c>
      <c r="J10869" s="344" t="s">
        <v>1978</v>
      </c>
      <c r="K10869" s="349">
        <v>148748.07692307694</v>
      </c>
      <c r="L10869" s="349"/>
    </row>
    <row r="10870" spans="1:12" ht="11.25" customHeight="1" x14ac:dyDescent="0.2">
      <c r="A10870" s="350">
        <v>2025</v>
      </c>
      <c r="B10870" s="350">
        <v>10</v>
      </c>
      <c r="C10870" s="350">
        <v>30</v>
      </c>
      <c r="D10870" s="351">
        <f t="shared" si="1463"/>
        <v>45960</v>
      </c>
      <c r="E10870" s="352">
        <f t="shared" si="1461"/>
        <v>45960</v>
      </c>
      <c r="F10870" s="519"/>
      <c r="G10870" s="353" t="s">
        <v>1245</v>
      </c>
      <c r="H10870" s="354"/>
      <c r="I10870" s="354" t="s">
        <v>1253</v>
      </c>
      <c r="J10870" s="350" t="s">
        <v>1979</v>
      </c>
      <c r="K10870" s="355"/>
      <c r="L10870" s="355">
        <f>K10869</f>
        <v>148748.07692307694</v>
      </c>
    </row>
    <row r="10871" spans="1:12" ht="11.25" customHeight="1" x14ac:dyDescent="0.2">
      <c r="A10871" s="344">
        <v>2025</v>
      </c>
      <c r="B10871" s="344">
        <v>10</v>
      </c>
      <c r="C10871" s="344">
        <v>30</v>
      </c>
      <c r="D10871" s="345">
        <f t="shared" si="1463"/>
        <v>45960</v>
      </c>
      <c r="E10871" s="346">
        <f t="shared" si="1461"/>
        <v>45960</v>
      </c>
      <c r="F10871" s="518" t="s">
        <v>2009</v>
      </c>
      <c r="G10871" s="347" t="s">
        <v>1245</v>
      </c>
      <c r="H10871" s="348"/>
      <c r="I10871" s="348" t="s">
        <v>1253</v>
      </c>
      <c r="J10871" s="344" t="s">
        <v>2004</v>
      </c>
      <c r="K10871" s="349">
        <v>49692.31</v>
      </c>
      <c r="L10871" s="349"/>
    </row>
    <row r="10872" spans="1:12" ht="11.25" customHeight="1" x14ac:dyDescent="0.2">
      <c r="A10872" s="350">
        <v>2025</v>
      </c>
      <c r="B10872" s="350">
        <v>10</v>
      </c>
      <c r="C10872" s="350">
        <v>30</v>
      </c>
      <c r="D10872" s="351">
        <f t="shared" si="1463"/>
        <v>45960</v>
      </c>
      <c r="E10872" s="352">
        <f t="shared" si="1461"/>
        <v>45960</v>
      </c>
      <c r="F10872" s="519"/>
      <c r="G10872" s="353" t="s">
        <v>1245</v>
      </c>
      <c r="H10872" s="354"/>
      <c r="I10872" s="354" t="s">
        <v>1253</v>
      </c>
      <c r="J10872" s="350" t="s">
        <v>2008</v>
      </c>
      <c r="K10872" s="355"/>
      <c r="L10872" s="355">
        <f t="shared" ref="L10872" si="1465">K10871</f>
        <v>49692.31</v>
      </c>
    </row>
    <row r="10873" spans="1:12" ht="11.25" customHeight="1" x14ac:dyDescent="0.2">
      <c r="A10873" s="344">
        <v>2025</v>
      </c>
      <c r="B10873" s="344">
        <v>10</v>
      </c>
      <c r="C10873" s="344">
        <v>30</v>
      </c>
      <c r="D10873" s="345">
        <f t="shared" si="1463"/>
        <v>45960</v>
      </c>
      <c r="E10873" s="346">
        <f t="shared" si="1461"/>
        <v>45960</v>
      </c>
      <c r="F10873" s="518" t="s">
        <v>2009</v>
      </c>
      <c r="G10873" s="347" t="s">
        <v>1245</v>
      </c>
      <c r="H10873" s="348"/>
      <c r="I10873" s="348" t="s">
        <v>1253</v>
      </c>
      <c r="J10873" s="344" t="s">
        <v>2004</v>
      </c>
      <c r="K10873" s="349">
        <v>49692.31</v>
      </c>
      <c r="L10873" s="349"/>
    </row>
    <row r="10874" spans="1:12" ht="11.25" customHeight="1" x14ac:dyDescent="0.2">
      <c r="A10874" s="350">
        <v>2025</v>
      </c>
      <c r="B10874" s="350">
        <v>10</v>
      </c>
      <c r="C10874" s="350">
        <v>30</v>
      </c>
      <c r="D10874" s="351">
        <f t="shared" si="1463"/>
        <v>45960</v>
      </c>
      <c r="E10874" s="352">
        <f t="shared" si="1461"/>
        <v>45960</v>
      </c>
      <c r="F10874" s="519"/>
      <c r="G10874" s="353" t="s">
        <v>1245</v>
      </c>
      <c r="H10874" s="354"/>
      <c r="I10874" s="354" t="s">
        <v>1253</v>
      </c>
      <c r="J10874" s="350" t="s">
        <v>2008</v>
      </c>
      <c r="K10874" s="355"/>
      <c r="L10874" s="355">
        <f t="shared" ref="L10874" si="1466">K10873</f>
        <v>49692.31</v>
      </c>
    </row>
    <row r="10875" spans="1:12" ht="11.25" customHeight="1" x14ac:dyDescent="0.2">
      <c r="A10875" s="344">
        <v>2025</v>
      </c>
      <c r="B10875" s="344">
        <v>10</v>
      </c>
      <c r="C10875" s="344">
        <v>30</v>
      </c>
      <c r="D10875" s="345">
        <f t="shared" si="1463"/>
        <v>45960</v>
      </c>
      <c r="E10875" s="346">
        <f t="shared" si="1461"/>
        <v>45960</v>
      </c>
      <c r="F10875" s="518" t="s">
        <v>2088</v>
      </c>
      <c r="G10875" s="347" t="s">
        <v>1245</v>
      </c>
      <c r="H10875" s="348"/>
      <c r="I10875" s="348" t="s">
        <v>1253</v>
      </c>
      <c r="J10875" s="344" t="s">
        <v>2086</v>
      </c>
      <c r="K10875" s="349">
        <v>12528.846153846154</v>
      </c>
      <c r="L10875" s="349"/>
    </row>
    <row r="10876" spans="1:12" ht="11.25" customHeight="1" x14ac:dyDescent="0.2">
      <c r="A10876" s="350">
        <v>2025</v>
      </c>
      <c r="B10876" s="350">
        <v>10</v>
      </c>
      <c r="C10876" s="350">
        <v>30</v>
      </c>
      <c r="D10876" s="351">
        <f t="shared" si="1463"/>
        <v>45960</v>
      </c>
      <c r="E10876" s="352">
        <f t="shared" si="1461"/>
        <v>45960</v>
      </c>
      <c r="F10876" s="519"/>
      <c r="G10876" s="353" t="s">
        <v>1245</v>
      </c>
      <c r="H10876" s="354"/>
      <c r="I10876" s="354" t="s">
        <v>1253</v>
      </c>
      <c r="J10876" s="350" t="s">
        <v>2089</v>
      </c>
      <c r="K10876" s="355"/>
      <c r="L10876" s="355">
        <v>12528.846153846154</v>
      </c>
    </row>
    <row r="10877" spans="1:12" ht="11.25" customHeight="1" x14ac:dyDescent="0.2">
      <c r="A10877" s="344">
        <v>2025</v>
      </c>
      <c r="B10877" s="344">
        <v>10</v>
      </c>
      <c r="C10877" s="344">
        <v>30</v>
      </c>
      <c r="D10877" s="345">
        <f t="shared" si="1463"/>
        <v>45960</v>
      </c>
      <c r="E10877" s="346">
        <f>DATE(A10877,B10877,C10877)</f>
        <v>45960</v>
      </c>
      <c r="F10877" s="518" t="s">
        <v>1988</v>
      </c>
      <c r="G10877" s="347" t="s">
        <v>1245</v>
      </c>
      <c r="H10877" s="348"/>
      <c r="I10877" s="348" t="s">
        <v>1253</v>
      </c>
      <c r="J10877" s="344" t="s">
        <v>113</v>
      </c>
      <c r="K10877" s="349">
        <v>32846.15</v>
      </c>
      <c r="L10877" s="349"/>
    </row>
    <row r="10878" spans="1:12" ht="11.25" customHeight="1" x14ac:dyDescent="0.2">
      <c r="A10878" s="350">
        <v>2025</v>
      </c>
      <c r="B10878" s="350">
        <v>10</v>
      </c>
      <c r="C10878" s="350">
        <v>30</v>
      </c>
      <c r="D10878" s="351">
        <f t="shared" si="1463"/>
        <v>45960</v>
      </c>
      <c r="E10878" s="352">
        <f>DATE(A10878,B10878,C10878)</f>
        <v>45960</v>
      </c>
      <c r="F10878" s="519"/>
      <c r="G10878" s="353" t="s">
        <v>1245</v>
      </c>
      <c r="H10878" s="354"/>
      <c r="I10878" s="354" t="s">
        <v>1253</v>
      </c>
      <c r="J10878" s="350" t="s">
        <v>153</v>
      </c>
      <c r="K10878" s="355"/>
      <c r="L10878" s="355">
        <f t="shared" ref="L10878" si="1467">K10877</f>
        <v>32846.15</v>
      </c>
    </row>
    <row r="10879" spans="1:12" ht="11.25" customHeight="1" x14ac:dyDescent="0.2">
      <c r="A10879" s="344">
        <v>2025</v>
      </c>
      <c r="B10879" s="344">
        <v>10</v>
      </c>
      <c r="C10879" s="344">
        <v>30</v>
      </c>
      <c r="D10879" s="345">
        <f t="shared" si="1463"/>
        <v>45960</v>
      </c>
      <c r="E10879" s="346">
        <f t="shared" ref="E10879:E10885" si="1468">DATE(A10879,B10879,C10879)</f>
        <v>45960</v>
      </c>
      <c r="F10879" s="518" t="s">
        <v>1989</v>
      </c>
      <c r="G10879" s="347" t="s">
        <v>1245</v>
      </c>
      <c r="H10879" s="348"/>
      <c r="I10879" s="348" t="s">
        <v>1253</v>
      </c>
      <c r="J10879" s="344" t="s">
        <v>113</v>
      </c>
      <c r="K10879" s="349">
        <v>23461.538461538461</v>
      </c>
      <c r="L10879" s="349"/>
    </row>
    <row r="10880" spans="1:12" ht="11.25" customHeight="1" x14ac:dyDescent="0.2">
      <c r="A10880" s="350">
        <v>2025</v>
      </c>
      <c r="B10880" s="350">
        <v>10</v>
      </c>
      <c r="C10880" s="350">
        <v>30</v>
      </c>
      <c r="D10880" s="351">
        <f t="shared" si="1463"/>
        <v>45960</v>
      </c>
      <c r="E10880" s="352">
        <f t="shared" si="1468"/>
        <v>45960</v>
      </c>
      <c r="F10880" s="519"/>
      <c r="G10880" s="353" t="s">
        <v>1245</v>
      </c>
      <c r="H10880" s="354"/>
      <c r="I10880" s="354" t="s">
        <v>1253</v>
      </c>
      <c r="J10880" s="350" t="s">
        <v>153</v>
      </c>
      <c r="K10880" s="355"/>
      <c r="L10880" s="355">
        <f t="shared" ref="L10880" si="1469">K10879</f>
        <v>23461.538461538461</v>
      </c>
    </row>
    <row r="10881" spans="1:16" ht="11.25" customHeight="1" x14ac:dyDescent="0.2">
      <c r="A10881" s="344">
        <v>2025</v>
      </c>
      <c r="B10881" s="344">
        <v>10</v>
      </c>
      <c r="C10881" s="344">
        <v>30</v>
      </c>
      <c r="D10881" s="345">
        <f t="shared" si="1463"/>
        <v>45960</v>
      </c>
      <c r="E10881" s="346">
        <f t="shared" si="1468"/>
        <v>45960</v>
      </c>
      <c r="F10881" s="518" t="s">
        <v>1990</v>
      </c>
      <c r="G10881" s="347" t="s">
        <v>1245</v>
      </c>
      <c r="H10881" s="348"/>
      <c r="I10881" s="348" t="s">
        <v>1253</v>
      </c>
      <c r="J10881" s="344" t="s">
        <v>113</v>
      </c>
      <c r="K10881" s="349">
        <v>70384.62</v>
      </c>
      <c r="L10881" s="349"/>
      <c r="N10881" s="251"/>
      <c r="O10881" s="251"/>
      <c r="P10881" s="251"/>
    </row>
    <row r="10882" spans="1:16" ht="11.25" customHeight="1" x14ac:dyDescent="0.2">
      <c r="A10882" s="350">
        <v>2025</v>
      </c>
      <c r="B10882" s="350">
        <v>10</v>
      </c>
      <c r="C10882" s="350">
        <v>30</v>
      </c>
      <c r="D10882" s="351">
        <f t="shared" si="1463"/>
        <v>45960</v>
      </c>
      <c r="E10882" s="352">
        <f t="shared" si="1468"/>
        <v>45960</v>
      </c>
      <c r="F10882" s="519"/>
      <c r="G10882" s="353" t="s">
        <v>1245</v>
      </c>
      <c r="H10882" s="354"/>
      <c r="I10882" s="354" t="s">
        <v>1253</v>
      </c>
      <c r="J10882" s="350" t="s">
        <v>153</v>
      </c>
      <c r="K10882" s="355"/>
      <c r="L10882" s="355">
        <f t="shared" ref="L10882" si="1470">K10881</f>
        <v>70384.62</v>
      </c>
    </row>
    <row r="10883" spans="1:16" ht="11.25" customHeight="1" x14ac:dyDescent="0.2">
      <c r="A10883" s="344">
        <v>2025</v>
      </c>
      <c r="B10883" s="344">
        <v>10</v>
      </c>
      <c r="C10883" s="344">
        <v>30</v>
      </c>
      <c r="D10883" s="345">
        <f t="shared" si="1463"/>
        <v>45960</v>
      </c>
      <c r="E10883" s="346">
        <f t="shared" ref="E10883:E10884" si="1471">DATE(A10883,B10883,C10883)</f>
        <v>45960</v>
      </c>
      <c r="F10883" s="518" t="s">
        <v>2107</v>
      </c>
      <c r="G10883" s="347" t="s">
        <v>1245</v>
      </c>
      <c r="H10883" s="348"/>
      <c r="I10883" s="348" t="s">
        <v>1253</v>
      </c>
      <c r="J10883" s="344" t="s">
        <v>113</v>
      </c>
      <c r="K10883" s="349">
        <v>86596.153846153844</v>
      </c>
      <c r="L10883" s="349"/>
      <c r="N10883" s="251"/>
      <c r="O10883" s="251"/>
      <c r="P10883" s="251"/>
    </row>
    <row r="10884" spans="1:16" ht="11.25" customHeight="1" x14ac:dyDescent="0.2">
      <c r="A10884" s="350">
        <v>2025</v>
      </c>
      <c r="B10884" s="350">
        <v>10</v>
      </c>
      <c r="C10884" s="350">
        <v>30</v>
      </c>
      <c r="D10884" s="351">
        <f t="shared" si="1463"/>
        <v>45960</v>
      </c>
      <c r="E10884" s="352">
        <f t="shared" si="1471"/>
        <v>45960</v>
      </c>
      <c r="F10884" s="519"/>
      <c r="G10884" s="353" t="s">
        <v>1245</v>
      </c>
      <c r="H10884" s="354"/>
      <c r="I10884" s="354" t="s">
        <v>1253</v>
      </c>
      <c r="J10884" s="350" t="s">
        <v>153</v>
      </c>
      <c r="K10884" s="355"/>
      <c r="L10884" s="355">
        <f t="shared" ref="L10884" si="1472">K10883</f>
        <v>86596.153846153844</v>
      </c>
    </row>
    <row r="10885" spans="1:16" ht="11.25" customHeight="1" x14ac:dyDescent="0.2">
      <c r="A10885" s="210">
        <v>2025</v>
      </c>
      <c r="B10885" s="210">
        <v>10</v>
      </c>
      <c r="C10885" s="210">
        <v>30</v>
      </c>
      <c r="D10885" s="211">
        <f t="shared" si="1463"/>
        <v>45960</v>
      </c>
      <c r="E10885" s="238">
        <f t="shared" si="1468"/>
        <v>45960</v>
      </c>
      <c r="F10885" s="520" t="s">
        <v>1857</v>
      </c>
      <c r="G10885" s="213" t="s">
        <v>1245</v>
      </c>
      <c r="H10885" s="214"/>
      <c r="I10885" s="214" t="s">
        <v>1253</v>
      </c>
      <c r="J10885" s="210" t="s">
        <v>1284</v>
      </c>
      <c r="K10885" s="215">
        <v>2341.8114143920593</v>
      </c>
      <c r="L10885" s="215"/>
    </row>
    <row r="10886" spans="1:16" ht="11.25" customHeight="1" x14ac:dyDescent="0.2">
      <c r="A10886" s="242">
        <v>2025</v>
      </c>
      <c r="B10886" s="242">
        <v>10</v>
      </c>
      <c r="C10886" s="242">
        <v>30</v>
      </c>
      <c r="D10886" s="243">
        <f t="shared" si="1463"/>
        <v>45960</v>
      </c>
      <c r="E10886" s="244">
        <f>DATE(A10886,B10886,C10886)</f>
        <v>45960</v>
      </c>
      <c r="F10886" s="524"/>
      <c r="G10886" s="245" t="s">
        <v>1245</v>
      </c>
      <c r="H10886" s="246"/>
      <c r="I10886" s="246"/>
      <c r="J10886" s="242" t="s">
        <v>1582</v>
      </c>
      <c r="K10886" s="247"/>
      <c r="L10886" s="247">
        <f>K10885</f>
        <v>2341.8114143920593</v>
      </c>
    </row>
    <row r="10887" spans="1:16" ht="11.25" customHeight="1" x14ac:dyDescent="0.2">
      <c r="A10887" s="210">
        <v>2025</v>
      </c>
      <c r="B10887" s="210">
        <v>10</v>
      </c>
      <c r="C10887" s="210">
        <v>30</v>
      </c>
      <c r="D10887" s="211">
        <f t="shared" si="1463"/>
        <v>45960</v>
      </c>
      <c r="E10887" s="238">
        <f t="shared" ref="E10887:E10921" si="1473">DATE(A10887,B10887,C10887)</f>
        <v>45960</v>
      </c>
      <c r="F10887" s="520" t="s">
        <v>2055</v>
      </c>
      <c r="G10887" s="213" t="s">
        <v>1245</v>
      </c>
      <c r="H10887" s="214"/>
      <c r="I10887" s="214" t="s">
        <v>1253</v>
      </c>
      <c r="J10887" s="210" t="s">
        <v>58</v>
      </c>
      <c r="K10887" s="215">
        <v>5166.8100000000004</v>
      </c>
      <c r="L10887" s="215"/>
    </row>
    <row r="10888" spans="1:16" ht="11.25" customHeight="1" x14ac:dyDescent="0.2">
      <c r="A10888" s="216">
        <v>2025</v>
      </c>
      <c r="B10888" s="216">
        <v>10</v>
      </c>
      <c r="C10888" s="216">
        <v>30</v>
      </c>
      <c r="D10888" s="217">
        <f t="shared" si="1463"/>
        <v>45960</v>
      </c>
      <c r="E10888" s="239">
        <f t="shared" si="1473"/>
        <v>45960</v>
      </c>
      <c r="F10888" s="521"/>
      <c r="G10888" s="219" t="s">
        <v>1245</v>
      </c>
      <c r="H10888" s="220"/>
      <c r="I10888" s="220" t="s">
        <v>1253</v>
      </c>
      <c r="J10888" s="216" t="s">
        <v>153</v>
      </c>
      <c r="K10888" s="221"/>
      <c r="L10888" s="221">
        <f>K10887</f>
        <v>5166.8100000000004</v>
      </c>
    </row>
    <row r="10889" spans="1:16" ht="11.25" customHeight="1" x14ac:dyDescent="0.2">
      <c r="A10889" s="312">
        <v>2025</v>
      </c>
      <c r="B10889" s="312">
        <v>10</v>
      </c>
      <c r="C10889" s="312">
        <v>30</v>
      </c>
      <c r="D10889" s="313">
        <f t="shared" si="1463"/>
        <v>45960</v>
      </c>
      <c r="E10889" s="314">
        <f t="shared" si="1473"/>
        <v>45960</v>
      </c>
      <c r="F10889" s="522" t="s">
        <v>1477</v>
      </c>
      <c r="G10889" s="315" t="s">
        <v>1245</v>
      </c>
      <c r="H10889" s="316"/>
      <c r="I10889" s="316" t="s">
        <v>1253</v>
      </c>
      <c r="J10889" s="312" t="s">
        <v>1458</v>
      </c>
      <c r="K10889" s="317">
        <v>0</v>
      </c>
      <c r="L10889" s="317"/>
    </row>
    <row r="10890" spans="1:16" ht="11.25" customHeight="1" x14ac:dyDescent="0.2">
      <c r="A10890" s="318">
        <v>2025</v>
      </c>
      <c r="B10890" s="318">
        <v>10</v>
      </c>
      <c r="C10890" s="318">
        <v>30</v>
      </c>
      <c r="D10890" s="319">
        <f t="shared" si="1463"/>
        <v>45960</v>
      </c>
      <c r="E10890" s="320">
        <f t="shared" si="1473"/>
        <v>45960</v>
      </c>
      <c r="F10890" s="523"/>
      <c r="G10890" s="321" t="s">
        <v>1245</v>
      </c>
      <c r="H10890" s="322"/>
      <c r="I10890" s="322" t="s">
        <v>1253</v>
      </c>
      <c r="J10890" s="318" t="s">
        <v>1460</v>
      </c>
      <c r="K10890" s="323"/>
      <c r="L10890" s="323">
        <f>K10889</f>
        <v>0</v>
      </c>
    </row>
    <row r="10891" spans="1:16" ht="11.25" customHeight="1" x14ac:dyDescent="0.2">
      <c r="A10891" s="312">
        <v>2025</v>
      </c>
      <c r="B10891" s="312">
        <v>10</v>
      </c>
      <c r="C10891" s="312">
        <v>30</v>
      </c>
      <c r="D10891" s="313">
        <f t="shared" si="1463"/>
        <v>45960</v>
      </c>
      <c r="E10891" s="314">
        <f t="shared" si="1473"/>
        <v>45960</v>
      </c>
      <c r="F10891" s="522" t="s">
        <v>1595</v>
      </c>
      <c r="G10891" s="315" t="s">
        <v>1245</v>
      </c>
      <c r="H10891" s="316"/>
      <c r="I10891" s="316" t="s">
        <v>1253</v>
      </c>
      <c r="J10891" s="312" t="s">
        <v>1459</v>
      </c>
      <c r="K10891" s="317">
        <v>460649.49599999189</v>
      </c>
      <c r="L10891" s="317"/>
      <c r="M10891" s="328">
        <f>BS!$I$14</f>
        <v>0</v>
      </c>
    </row>
    <row r="10892" spans="1:16" ht="11.25" customHeight="1" x14ac:dyDescent="0.2">
      <c r="A10892" s="318">
        <v>2025</v>
      </c>
      <c r="B10892" s="318">
        <v>10</v>
      </c>
      <c r="C10892" s="318">
        <v>30</v>
      </c>
      <c r="D10892" s="319">
        <f t="shared" si="1463"/>
        <v>45960</v>
      </c>
      <c r="E10892" s="320">
        <f t="shared" si="1473"/>
        <v>45960</v>
      </c>
      <c r="F10892" s="523"/>
      <c r="G10892" s="321" t="s">
        <v>1245</v>
      </c>
      <c r="H10892" s="322"/>
      <c r="I10892" s="322" t="s">
        <v>1253</v>
      </c>
      <c r="J10892" s="318" t="s">
        <v>1461</v>
      </c>
      <c r="K10892" s="323"/>
      <c r="L10892" s="323">
        <f>K10891</f>
        <v>460649.49599999189</v>
      </c>
      <c r="M10892" s="328"/>
    </row>
    <row r="10893" spans="1:16" ht="11.25" customHeight="1" x14ac:dyDescent="0.2">
      <c r="A10893" s="222">
        <v>2025</v>
      </c>
      <c r="B10893" s="222">
        <v>10</v>
      </c>
      <c r="C10893" s="222">
        <v>30</v>
      </c>
      <c r="D10893" s="223">
        <f t="shared" si="1463"/>
        <v>45960</v>
      </c>
      <c r="E10893" s="240">
        <f t="shared" si="1473"/>
        <v>45960</v>
      </c>
      <c r="F10893" s="511" t="s">
        <v>1244</v>
      </c>
      <c r="G10893" s="225" t="s">
        <v>1245</v>
      </c>
      <c r="H10893" s="226"/>
      <c r="I10893" s="226" t="s">
        <v>1253</v>
      </c>
      <c r="J10893" s="222" t="s">
        <v>72</v>
      </c>
      <c r="K10893" s="227">
        <v>803312.60029999912</v>
      </c>
      <c r="L10893" s="227"/>
      <c r="M10893" s="328">
        <f>BS!$I$7</f>
        <v>0</v>
      </c>
    </row>
    <row r="10894" spans="1:16" ht="11.25" customHeight="1" x14ac:dyDescent="0.2">
      <c r="A10894" s="228">
        <v>2025</v>
      </c>
      <c r="B10894" s="228">
        <v>10</v>
      </c>
      <c r="C10894" s="228">
        <v>30</v>
      </c>
      <c r="D10894" s="229">
        <f t="shared" si="1463"/>
        <v>45960</v>
      </c>
      <c r="E10894" s="241">
        <f t="shared" si="1473"/>
        <v>45960</v>
      </c>
      <c r="F10894" s="512"/>
      <c r="G10894" s="231" t="s">
        <v>1245</v>
      </c>
      <c r="H10894" s="232"/>
      <c r="I10894" s="232" t="s">
        <v>1253</v>
      </c>
      <c r="J10894" s="228" t="s">
        <v>87</v>
      </c>
      <c r="K10894" s="233"/>
      <c r="L10894" s="233">
        <f>K10893</f>
        <v>803312.60029999912</v>
      </c>
    </row>
    <row r="10895" spans="1:16" ht="11.25" customHeight="1" x14ac:dyDescent="0.2">
      <c r="A10895" s="222">
        <v>2025</v>
      </c>
      <c r="B10895" s="222">
        <v>10</v>
      </c>
      <c r="C10895" s="222">
        <v>30</v>
      </c>
      <c r="D10895" s="223">
        <f t="shared" si="1463"/>
        <v>45960</v>
      </c>
      <c r="E10895" s="240">
        <f t="shared" si="1473"/>
        <v>45960</v>
      </c>
      <c r="F10895" s="511" t="s">
        <v>1246</v>
      </c>
      <c r="G10895" s="225" t="s">
        <v>1245</v>
      </c>
      <c r="H10895" s="226"/>
      <c r="I10895" s="226" t="s">
        <v>1253</v>
      </c>
      <c r="J10895" s="222" t="s">
        <v>75</v>
      </c>
      <c r="K10895" s="227">
        <v>3623.123846153846</v>
      </c>
      <c r="L10895" s="227"/>
    </row>
    <row r="10896" spans="1:16" ht="11.25" customHeight="1" x14ac:dyDescent="0.2">
      <c r="A10896" s="228">
        <v>2025</v>
      </c>
      <c r="B10896" s="228">
        <v>10</v>
      </c>
      <c r="C10896" s="228">
        <v>30</v>
      </c>
      <c r="D10896" s="229">
        <f t="shared" si="1463"/>
        <v>45960</v>
      </c>
      <c r="E10896" s="241">
        <f t="shared" si="1473"/>
        <v>45960</v>
      </c>
      <c r="F10896" s="512"/>
      <c r="G10896" s="231" t="s">
        <v>1245</v>
      </c>
      <c r="H10896" s="232"/>
      <c r="I10896" s="232" t="s">
        <v>1253</v>
      </c>
      <c r="J10896" s="228" t="s">
        <v>55</v>
      </c>
      <c r="K10896" s="233"/>
      <c r="L10896" s="233">
        <f>K10895</f>
        <v>3623.123846153846</v>
      </c>
    </row>
    <row r="10897" spans="1:15" ht="11.25" customHeight="1" x14ac:dyDescent="0.2">
      <c r="A10897" s="222">
        <v>2025</v>
      </c>
      <c r="B10897" s="222">
        <v>10</v>
      </c>
      <c r="C10897" s="222">
        <v>30</v>
      </c>
      <c r="D10897" s="223">
        <f t="shared" si="1463"/>
        <v>45960</v>
      </c>
      <c r="E10897" s="240">
        <f t="shared" si="1473"/>
        <v>45960</v>
      </c>
      <c r="F10897" s="511" t="s">
        <v>1247</v>
      </c>
      <c r="G10897" s="225" t="s">
        <v>1245</v>
      </c>
      <c r="H10897" s="226"/>
      <c r="I10897" s="226" t="s">
        <v>1253</v>
      </c>
      <c r="J10897" s="222" t="s">
        <v>77</v>
      </c>
      <c r="K10897" s="227">
        <f>M10897</f>
        <v>55542.841841996989</v>
      </c>
      <c r="L10897" s="227"/>
      <c r="M10897" s="120">
        <v>55542.841841996989</v>
      </c>
    </row>
    <row r="10898" spans="1:15" ht="11.25" customHeight="1" x14ac:dyDescent="0.2">
      <c r="A10898" s="228">
        <v>2025</v>
      </c>
      <c r="B10898" s="228">
        <v>10</v>
      </c>
      <c r="C10898" s="228">
        <v>30</v>
      </c>
      <c r="D10898" s="229">
        <f t="shared" si="1463"/>
        <v>45960</v>
      </c>
      <c r="E10898" s="241">
        <f t="shared" si="1473"/>
        <v>45960</v>
      </c>
      <c r="F10898" s="512"/>
      <c r="G10898" s="231" t="s">
        <v>1245</v>
      </c>
      <c r="H10898" s="232"/>
      <c r="I10898" s="232" t="s">
        <v>1253</v>
      </c>
      <c r="J10898" s="228" t="s">
        <v>41</v>
      </c>
      <c r="K10898" s="233"/>
      <c r="L10898" s="233">
        <f>K10897</f>
        <v>55542.841841996989</v>
      </c>
      <c r="M10898" s="120">
        <v>5554.2841841996988</v>
      </c>
    </row>
    <row r="10899" spans="1:15" ht="11.25" customHeight="1" x14ac:dyDescent="0.2">
      <c r="A10899" s="222">
        <v>2025</v>
      </c>
      <c r="B10899" s="222">
        <v>10</v>
      </c>
      <c r="C10899" s="222">
        <v>30</v>
      </c>
      <c r="D10899" s="223">
        <f t="shared" si="1463"/>
        <v>45960</v>
      </c>
      <c r="E10899" s="240">
        <f t="shared" si="1473"/>
        <v>45960</v>
      </c>
      <c r="F10899" s="511" t="s">
        <v>1248</v>
      </c>
      <c r="G10899" s="225" t="s">
        <v>1245</v>
      </c>
      <c r="H10899" s="226"/>
      <c r="I10899" s="226" t="s">
        <v>1253</v>
      </c>
      <c r="J10899" s="222" t="s">
        <v>80</v>
      </c>
      <c r="K10899" s="227">
        <f>M10898</f>
        <v>5554.2841841996988</v>
      </c>
      <c r="L10899" s="227"/>
    </row>
    <row r="10900" spans="1:15" ht="11.25" customHeight="1" x14ac:dyDescent="0.2">
      <c r="A10900" s="228">
        <v>2025</v>
      </c>
      <c r="B10900" s="228">
        <v>10</v>
      </c>
      <c r="C10900" s="228">
        <v>30</v>
      </c>
      <c r="D10900" s="229">
        <f t="shared" si="1463"/>
        <v>45960</v>
      </c>
      <c r="E10900" s="241">
        <f t="shared" si="1473"/>
        <v>45960</v>
      </c>
      <c r="F10900" s="512"/>
      <c r="G10900" s="231" t="s">
        <v>1245</v>
      </c>
      <c r="H10900" s="232"/>
      <c r="I10900" s="232" t="s">
        <v>1253</v>
      </c>
      <c r="J10900" s="228" t="s">
        <v>42</v>
      </c>
      <c r="K10900" s="233"/>
      <c r="L10900" s="233">
        <f>K10899</f>
        <v>5554.2841841996988</v>
      </c>
    </row>
    <row r="10901" spans="1:15" x14ac:dyDescent="0.2">
      <c r="A10901" s="197">
        <v>2025</v>
      </c>
      <c r="B10901" s="197">
        <v>11</v>
      </c>
      <c r="C10901" s="197">
        <v>1</v>
      </c>
      <c r="D10901" s="198">
        <f t="shared" si="1463"/>
        <v>45962</v>
      </c>
      <c r="E10901" s="209">
        <f t="shared" si="1473"/>
        <v>45962</v>
      </c>
      <c r="F10901" s="513" t="s">
        <v>1296</v>
      </c>
      <c r="G10901" s="200" t="s">
        <v>1209</v>
      </c>
      <c r="H10901" s="201"/>
      <c r="I10901" s="201"/>
      <c r="J10901" s="197" t="s">
        <v>46</v>
      </c>
      <c r="K10901" s="202">
        <v>10000</v>
      </c>
      <c r="L10901" s="202"/>
    </row>
    <row r="10902" spans="1:15" x14ac:dyDescent="0.2">
      <c r="A10902" s="120">
        <v>2025</v>
      </c>
      <c r="B10902" s="120">
        <v>11</v>
      </c>
      <c r="C10902" s="120">
        <v>1</v>
      </c>
      <c r="D10902" s="208">
        <f t="shared" si="1463"/>
        <v>45962</v>
      </c>
      <c r="E10902" s="209">
        <f t="shared" si="1473"/>
        <v>45962</v>
      </c>
      <c r="F10902" s="515"/>
      <c r="G10902" s="132" t="s">
        <v>1209</v>
      </c>
      <c r="J10902" s="120" t="s">
        <v>16</v>
      </c>
      <c r="K10902" s="207"/>
      <c r="L10902" s="207">
        <v>7320</v>
      </c>
    </row>
    <row r="10903" spans="1:15" x14ac:dyDescent="0.2">
      <c r="A10903" s="191">
        <v>2025</v>
      </c>
      <c r="B10903" s="191">
        <v>11</v>
      </c>
      <c r="C10903" s="191">
        <v>1</v>
      </c>
      <c r="D10903" s="192">
        <f t="shared" si="1463"/>
        <v>45962</v>
      </c>
      <c r="E10903" s="193">
        <f t="shared" si="1473"/>
        <v>45962</v>
      </c>
      <c r="F10903" s="514"/>
      <c r="G10903" s="194" t="s">
        <v>1209</v>
      </c>
      <c r="H10903" s="195"/>
      <c r="I10903" s="195"/>
      <c r="J10903" s="191" t="s">
        <v>47</v>
      </c>
      <c r="K10903" s="196"/>
      <c r="L10903" s="196">
        <v>2680</v>
      </c>
    </row>
    <row r="10904" spans="1:15" x14ac:dyDescent="0.2">
      <c r="A10904" s="197">
        <v>2025</v>
      </c>
      <c r="B10904" s="197">
        <v>11</v>
      </c>
      <c r="C10904" s="197">
        <v>2</v>
      </c>
      <c r="D10904" s="198">
        <f t="shared" si="1463"/>
        <v>45963</v>
      </c>
      <c r="E10904" s="209">
        <f t="shared" ref="E10904:E10908" si="1474">DATE(A10904,B10904,C10904)</f>
        <v>45963</v>
      </c>
      <c r="F10904" s="513" t="s">
        <v>1280</v>
      </c>
      <c r="G10904" s="200" t="s">
        <v>1209</v>
      </c>
      <c r="H10904" s="201"/>
      <c r="I10904" s="201"/>
      <c r="J10904" s="197" t="s">
        <v>16</v>
      </c>
      <c r="K10904" s="202">
        <v>1098020</v>
      </c>
      <c r="L10904" s="202"/>
    </row>
    <row r="10905" spans="1:15" x14ac:dyDescent="0.2">
      <c r="A10905" s="120">
        <v>2025</v>
      </c>
      <c r="B10905" s="120">
        <v>11</v>
      </c>
      <c r="C10905" s="120">
        <v>2</v>
      </c>
      <c r="D10905" s="208">
        <f t="shared" si="1463"/>
        <v>45963</v>
      </c>
      <c r="E10905" s="209">
        <f t="shared" si="1474"/>
        <v>45963</v>
      </c>
      <c r="F10905" s="515"/>
      <c r="G10905" s="132" t="s">
        <v>1209</v>
      </c>
      <c r="J10905" s="120" t="s">
        <v>47</v>
      </c>
      <c r="K10905" s="207">
        <v>401980</v>
      </c>
      <c r="L10905" s="207"/>
    </row>
    <row r="10906" spans="1:15" x14ac:dyDescent="0.2">
      <c r="A10906" s="191">
        <v>2025</v>
      </c>
      <c r="B10906" s="191">
        <v>11</v>
      </c>
      <c r="C10906" s="191">
        <v>2</v>
      </c>
      <c r="D10906" s="192">
        <f t="shared" si="1463"/>
        <v>45963</v>
      </c>
      <c r="E10906" s="193">
        <f t="shared" si="1474"/>
        <v>45963</v>
      </c>
      <c r="F10906" s="514"/>
      <c r="G10906" s="194" t="s">
        <v>1209</v>
      </c>
      <c r="H10906" s="195"/>
      <c r="I10906" s="195"/>
      <c r="J10906" s="191" t="s">
        <v>46</v>
      </c>
      <c r="K10906" s="196"/>
      <c r="L10906" s="196">
        <v>1500000</v>
      </c>
    </row>
    <row r="10907" spans="1:15" x14ac:dyDescent="0.2">
      <c r="A10907" s="197">
        <v>2025</v>
      </c>
      <c r="B10907" s="197">
        <v>11</v>
      </c>
      <c r="C10907" s="197">
        <v>2</v>
      </c>
      <c r="D10907" s="198">
        <f t="shared" si="1463"/>
        <v>45963</v>
      </c>
      <c r="E10907" s="290">
        <f t="shared" si="1474"/>
        <v>45963</v>
      </c>
      <c r="F10907" s="513" t="s">
        <v>1514</v>
      </c>
      <c r="G10907" s="200" t="s">
        <v>1209</v>
      </c>
      <c r="H10907" s="201"/>
      <c r="I10907" s="201"/>
      <c r="J10907" s="197" t="s">
        <v>54</v>
      </c>
      <c r="K10907" s="202">
        <v>100</v>
      </c>
      <c r="L10907" s="202"/>
      <c r="M10907" s="251"/>
      <c r="N10907" s="251"/>
      <c r="O10907" s="251"/>
    </row>
    <row r="10908" spans="1:15" ht="11.25" customHeight="1" x14ac:dyDescent="0.2">
      <c r="A10908" s="191">
        <v>2025</v>
      </c>
      <c r="B10908" s="191">
        <v>11</v>
      </c>
      <c r="C10908" s="191">
        <v>2</v>
      </c>
      <c r="D10908" s="192">
        <f t="shared" si="1463"/>
        <v>45963</v>
      </c>
      <c r="E10908" s="291">
        <f t="shared" si="1474"/>
        <v>45963</v>
      </c>
      <c r="F10908" s="514"/>
      <c r="G10908" s="194" t="s">
        <v>1209</v>
      </c>
      <c r="H10908" s="195"/>
      <c r="I10908" s="195"/>
      <c r="J10908" s="191" t="s">
        <v>46</v>
      </c>
      <c r="K10908" s="196"/>
      <c r="L10908" s="196">
        <f>K10907</f>
        <v>100</v>
      </c>
      <c r="M10908" s="251"/>
    </row>
    <row r="10909" spans="1:15" x14ac:dyDescent="0.2">
      <c r="A10909" s="197">
        <v>2025</v>
      </c>
      <c r="B10909" s="197">
        <v>11</v>
      </c>
      <c r="C10909" s="197">
        <v>3</v>
      </c>
      <c r="D10909" s="198">
        <f t="shared" si="1463"/>
        <v>45964</v>
      </c>
      <c r="E10909" s="290">
        <f t="shared" si="1473"/>
        <v>45964</v>
      </c>
      <c r="F10909" s="513" t="s">
        <v>1514</v>
      </c>
      <c r="G10909" s="200" t="s">
        <v>1209</v>
      </c>
      <c r="H10909" s="201"/>
      <c r="I10909" s="201"/>
      <c r="J10909" s="197" t="s">
        <v>54</v>
      </c>
      <c r="K10909" s="202">
        <v>1000</v>
      </c>
      <c r="L10909" s="202"/>
      <c r="M10909" s="251"/>
      <c r="N10909" s="251"/>
      <c r="O10909" s="251"/>
    </row>
    <row r="10910" spans="1:15" ht="11.25" customHeight="1" x14ac:dyDescent="0.2">
      <c r="A10910" s="191">
        <v>2025</v>
      </c>
      <c r="B10910" s="191">
        <v>11</v>
      </c>
      <c r="C10910" s="191">
        <v>3</v>
      </c>
      <c r="D10910" s="192">
        <f t="shared" si="1463"/>
        <v>45964</v>
      </c>
      <c r="E10910" s="291">
        <f t="shared" si="1473"/>
        <v>45964</v>
      </c>
      <c r="F10910" s="514"/>
      <c r="G10910" s="194" t="s">
        <v>1209</v>
      </c>
      <c r="H10910" s="195"/>
      <c r="I10910" s="195"/>
      <c r="J10910" s="191" t="s">
        <v>46</v>
      </c>
      <c r="K10910" s="196"/>
      <c r="L10910" s="196">
        <f>K10909</f>
        <v>1000</v>
      </c>
      <c r="M10910" s="251"/>
    </row>
    <row r="10911" spans="1:15" x14ac:dyDescent="0.2">
      <c r="A10911" s="197">
        <v>2025</v>
      </c>
      <c r="B10911" s="197">
        <v>11</v>
      </c>
      <c r="C10911" s="197">
        <v>3</v>
      </c>
      <c r="D10911" s="198">
        <f t="shared" si="1463"/>
        <v>45964</v>
      </c>
      <c r="E10911" s="209">
        <f t="shared" si="1473"/>
        <v>45964</v>
      </c>
      <c r="F10911" s="513" t="s">
        <v>1280</v>
      </c>
      <c r="G10911" s="200" t="s">
        <v>1209</v>
      </c>
      <c r="H10911" s="201"/>
      <c r="I10911" s="201"/>
      <c r="J10911" s="197" t="s">
        <v>16</v>
      </c>
      <c r="K10911" s="202">
        <v>318950</v>
      </c>
      <c r="L10911" s="202"/>
    </row>
    <row r="10912" spans="1:15" x14ac:dyDescent="0.2">
      <c r="A10912" s="120">
        <v>2025</v>
      </c>
      <c r="B10912" s="120">
        <v>11</v>
      </c>
      <c r="C10912" s="120">
        <v>3</v>
      </c>
      <c r="D10912" s="208">
        <f t="shared" si="1463"/>
        <v>45964</v>
      </c>
      <c r="E10912" s="209">
        <f t="shared" si="1473"/>
        <v>45964</v>
      </c>
      <c r="F10912" s="515"/>
      <c r="G10912" s="132" t="s">
        <v>1209</v>
      </c>
      <c r="J10912" s="120" t="s">
        <v>47</v>
      </c>
      <c r="K10912" s="207">
        <v>116576.23</v>
      </c>
      <c r="L10912" s="207"/>
    </row>
    <row r="10913" spans="1:15" x14ac:dyDescent="0.2">
      <c r="A10913" s="191">
        <v>2025</v>
      </c>
      <c r="B10913" s="191">
        <v>11</v>
      </c>
      <c r="C10913" s="191">
        <v>3</v>
      </c>
      <c r="D10913" s="192">
        <f t="shared" si="1463"/>
        <v>45964</v>
      </c>
      <c r="E10913" s="193">
        <f t="shared" si="1473"/>
        <v>45964</v>
      </c>
      <c r="F10913" s="514"/>
      <c r="G10913" s="194" t="s">
        <v>1209</v>
      </c>
      <c r="H10913" s="195"/>
      <c r="I10913" s="195"/>
      <c r="J10913" s="191" t="s">
        <v>46</v>
      </c>
      <c r="K10913" s="196"/>
      <c r="L10913" s="196">
        <v>435526.23</v>
      </c>
    </row>
    <row r="10914" spans="1:15" x14ac:dyDescent="0.2">
      <c r="A10914" s="197">
        <v>2025</v>
      </c>
      <c r="B10914" s="197">
        <v>11</v>
      </c>
      <c r="C10914" s="197">
        <v>3</v>
      </c>
      <c r="D10914" s="198">
        <f t="shared" si="1463"/>
        <v>45964</v>
      </c>
      <c r="E10914" s="209">
        <f t="shared" ref="E10914:E10916" si="1475">DATE(A10914,B10914,C10914)</f>
        <v>45964</v>
      </c>
      <c r="F10914" s="513" t="s">
        <v>1280</v>
      </c>
      <c r="G10914" s="200" t="s">
        <v>1209</v>
      </c>
      <c r="H10914" s="201"/>
      <c r="I10914" s="201"/>
      <c r="J10914" s="197" t="s">
        <v>16</v>
      </c>
      <c r="K10914" s="202">
        <v>800530</v>
      </c>
      <c r="L10914" s="202"/>
    </row>
    <row r="10915" spans="1:15" x14ac:dyDescent="0.2">
      <c r="A10915" s="120">
        <v>2025</v>
      </c>
      <c r="B10915" s="120">
        <v>11</v>
      </c>
      <c r="C10915" s="120">
        <v>3</v>
      </c>
      <c r="D10915" s="208">
        <f t="shared" si="1463"/>
        <v>45964</v>
      </c>
      <c r="E10915" s="209">
        <f t="shared" si="1475"/>
        <v>45964</v>
      </c>
      <c r="F10915" s="515"/>
      <c r="G10915" s="132" t="s">
        <v>1209</v>
      </c>
      <c r="J10915" s="120" t="s">
        <v>47</v>
      </c>
      <c r="K10915" s="207">
        <v>292593.71999999997</v>
      </c>
      <c r="L10915" s="207"/>
    </row>
    <row r="10916" spans="1:15" x14ac:dyDescent="0.2">
      <c r="A10916" s="191">
        <v>2025</v>
      </c>
      <c r="B10916" s="191">
        <v>11</v>
      </c>
      <c r="C10916" s="191">
        <v>3</v>
      </c>
      <c r="D10916" s="192">
        <f t="shared" si="1463"/>
        <v>45964</v>
      </c>
      <c r="E10916" s="193">
        <f t="shared" si="1475"/>
        <v>45964</v>
      </c>
      <c r="F10916" s="514"/>
      <c r="G10916" s="194" t="s">
        <v>1209</v>
      </c>
      <c r="H10916" s="195"/>
      <c r="I10916" s="195"/>
      <c r="J10916" s="191" t="s">
        <v>46</v>
      </c>
      <c r="K10916" s="196"/>
      <c r="L10916" s="196">
        <v>1093123.72</v>
      </c>
    </row>
    <row r="10917" spans="1:15" x14ac:dyDescent="0.2">
      <c r="A10917" s="197">
        <v>2025</v>
      </c>
      <c r="B10917" s="197">
        <v>11</v>
      </c>
      <c r="C10917" s="197">
        <v>3</v>
      </c>
      <c r="D10917" s="198">
        <f t="shared" si="1463"/>
        <v>45964</v>
      </c>
      <c r="E10917" s="209">
        <f t="shared" si="1473"/>
        <v>45964</v>
      </c>
      <c r="F10917" s="513" t="s">
        <v>1280</v>
      </c>
      <c r="G10917" s="200" t="s">
        <v>1209</v>
      </c>
      <c r="H10917" s="201"/>
      <c r="I10917" s="201"/>
      <c r="J10917" s="197" t="s">
        <v>16</v>
      </c>
      <c r="K10917" s="202">
        <v>11420</v>
      </c>
      <c r="L10917" s="202"/>
    </row>
    <row r="10918" spans="1:15" x14ac:dyDescent="0.2">
      <c r="A10918" s="120">
        <v>2025</v>
      </c>
      <c r="B10918" s="120">
        <v>11</v>
      </c>
      <c r="C10918" s="120">
        <v>3</v>
      </c>
      <c r="D10918" s="208">
        <f t="shared" si="1463"/>
        <v>45964</v>
      </c>
      <c r="E10918" s="209">
        <f t="shared" si="1473"/>
        <v>45964</v>
      </c>
      <c r="F10918" s="515"/>
      <c r="G10918" s="132" t="s">
        <v>1209</v>
      </c>
      <c r="J10918" s="120" t="s">
        <v>47</v>
      </c>
      <c r="K10918" s="207">
        <v>4185.6399999999994</v>
      </c>
      <c r="L10918" s="207"/>
    </row>
    <row r="10919" spans="1:15" x14ac:dyDescent="0.2">
      <c r="A10919" s="191">
        <v>2025</v>
      </c>
      <c r="B10919" s="191">
        <v>11</v>
      </c>
      <c r="C10919" s="191">
        <v>3</v>
      </c>
      <c r="D10919" s="192">
        <f t="shared" si="1463"/>
        <v>45964</v>
      </c>
      <c r="E10919" s="193">
        <f t="shared" si="1473"/>
        <v>45964</v>
      </c>
      <c r="F10919" s="514"/>
      <c r="G10919" s="194" t="s">
        <v>1209</v>
      </c>
      <c r="H10919" s="195"/>
      <c r="I10919" s="195"/>
      <c r="J10919" s="191" t="s">
        <v>46</v>
      </c>
      <c r="K10919" s="196"/>
      <c r="L10919" s="196">
        <v>15605.64</v>
      </c>
    </row>
    <row r="10920" spans="1:15" x14ac:dyDescent="0.2">
      <c r="A10920" s="197">
        <v>2025</v>
      </c>
      <c r="B10920" s="197">
        <v>11</v>
      </c>
      <c r="C10920" s="197">
        <v>3</v>
      </c>
      <c r="D10920" s="198">
        <f t="shared" si="1463"/>
        <v>45964</v>
      </c>
      <c r="E10920" s="290">
        <f t="shared" si="1473"/>
        <v>45964</v>
      </c>
      <c r="F10920" s="513" t="s">
        <v>1514</v>
      </c>
      <c r="G10920" s="200" t="s">
        <v>1209</v>
      </c>
      <c r="H10920" s="201"/>
      <c r="I10920" s="201"/>
      <c r="J10920" s="197" t="s">
        <v>54</v>
      </c>
      <c r="K10920" s="202">
        <v>158</v>
      </c>
      <c r="L10920" s="202"/>
      <c r="M10920" s="251"/>
      <c r="N10920" s="251"/>
      <c r="O10920" s="251"/>
    </row>
    <row r="10921" spans="1:15" ht="11.25" customHeight="1" x14ac:dyDescent="0.2">
      <c r="A10921" s="191">
        <v>2025</v>
      </c>
      <c r="B10921" s="191">
        <v>11</v>
      </c>
      <c r="C10921" s="191">
        <v>3</v>
      </c>
      <c r="D10921" s="192">
        <f t="shared" si="1463"/>
        <v>45964</v>
      </c>
      <c r="E10921" s="291">
        <f t="shared" si="1473"/>
        <v>45964</v>
      </c>
      <c r="F10921" s="514"/>
      <c r="G10921" s="194" t="s">
        <v>1209</v>
      </c>
      <c r="H10921" s="195"/>
      <c r="I10921" s="195"/>
      <c r="J10921" s="191" t="s">
        <v>46</v>
      </c>
      <c r="K10921" s="196"/>
      <c r="L10921" s="196">
        <f>K10920</f>
        <v>158</v>
      </c>
      <c r="M10921" s="251"/>
    </row>
    <row r="10922" spans="1:15" x14ac:dyDescent="0.2">
      <c r="A10922" s="197">
        <v>2025</v>
      </c>
      <c r="B10922" s="197">
        <v>11</v>
      </c>
      <c r="C10922" s="197">
        <v>4</v>
      </c>
      <c r="D10922" s="198">
        <f t="shared" si="1463"/>
        <v>45965</v>
      </c>
      <c r="E10922" s="290">
        <f t="shared" ref="E10922:E10937" si="1476">DATE(A10922,B10922,C10922)</f>
        <v>45965</v>
      </c>
      <c r="F10922" s="513" t="s">
        <v>1514</v>
      </c>
      <c r="G10922" s="200" t="s">
        <v>1209</v>
      </c>
      <c r="H10922" s="201"/>
      <c r="I10922" s="201"/>
      <c r="J10922" s="197" t="s">
        <v>54</v>
      </c>
      <c r="K10922" s="202">
        <v>200</v>
      </c>
      <c r="L10922" s="202"/>
      <c r="M10922" s="251"/>
      <c r="N10922" s="251"/>
      <c r="O10922" s="251"/>
    </row>
    <row r="10923" spans="1:15" ht="11.25" customHeight="1" x14ac:dyDescent="0.2">
      <c r="A10923" s="191">
        <v>2025</v>
      </c>
      <c r="B10923" s="191">
        <v>11</v>
      </c>
      <c r="C10923" s="191">
        <v>4</v>
      </c>
      <c r="D10923" s="192">
        <f t="shared" si="1463"/>
        <v>45965</v>
      </c>
      <c r="E10923" s="291">
        <f t="shared" si="1476"/>
        <v>45965</v>
      </c>
      <c r="F10923" s="514"/>
      <c r="G10923" s="194" t="s">
        <v>1209</v>
      </c>
      <c r="H10923" s="195"/>
      <c r="I10923" s="195"/>
      <c r="J10923" s="191" t="s">
        <v>46</v>
      </c>
      <c r="K10923" s="196"/>
      <c r="L10923" s="196">
        <f>K10922</f>
        <v>200</v>
      </c>
      <c r="M10923" s="251"/>
    </row>
    <row r="10924" spans="1:15" ht="11.25" customHeight="1" x14ac:dyDescent="0.2">
      <c r="A10924" s="197">
        <v>2025</v>
      </c>
      <c r="B10924" s="197">
        <v>11</v>
      </c>
      <c r="C10924" s="197">
        <v>4</v>
      </c>
      <c r="D10924" s="198">
        <f t="shared" ref="D10924:D10987" si="1477">DATE(A10924,B10924,C10924)</f>
        <v>45965</v>
      </c>
      <c r="E10924" s="290">
        <f t="shared" si="1476"/>
        <v>45965</v>
      </c>
      <c r="F10924" s="513" t="s">
        <v>2035</v>
      </c>
      <c r="G10924" s="200" t="s">
        <v>1245</v>
      </c>
      <c r="H10924" s="201"/>
      <c r="I10924" s="201" t="s">
        <v>1253</v>
      </c>
      <c r="J10924" s="197" t="s">
        <v>46</v>
      </c>
      <c r="K10924" s="202">
        <v>142333.24</v>
      </c>
      <c r="L10924" s="202"/>
      <c r="M10924" s="130"/>
    </row>
    <row r="10925" spans="1:15" ht="11.25" customHeight="1" x14ac:dyDescent="0.2">
      <c r="A10925" s="191">
        <v>2025</v>
      </c>
      <c r="B10925" s="191">
        <v>11</v>
      </c>
      <c r="C10925" s="191">
        <v>4</v>
      </c>
      <c r="D10925" s="192">
        <f t="shared" si="1477"/>
        <v>45965</v>
      </c>
      <c r="E10925" s="291">
        <f t="shared" si="1476"/>
        <v>45965</v>
      </c>
      <c r="F10925" s="527"/>
      <c r="G10925" s="194" t="s">
        <v>1245</v>
      </c>
      <c r="H10925" s="195"/>
      <c r="I10925" s="195" t="s">
        <v>1253</v>
      </c>
      <c r="J10925" s="191" t="s">
        <v>113</v>
      </c>
      <c r="K10925" s="196"/>
      <c r="L10925" s="196">
        <v>142333.24</v>
      </c>
    </row>
    <row r="10926" spans="1:15" x14ac:dyDescent="0.2">
      <c r="A10926" s="197">
        <v>2025</v>
      </c>
      <c r="B10926" s="197">
        <v>11</v>
      </c>
      <c r="C10926" s="197">
        <v>5</v>
      </c>
      <c r="D10926" s="198">
        <f t="shared" si="1477"/>
        <v>45966</v>
      </c>
      <c r="E10926" s="209">
        <f t="shared" si="1476"/>
        <v>45966</v>
      </c>
      <c r="F10926" s="513" t="s">
        <v>1280</v>
      </c>
      <c r="G10926" s="200" t="s">
        <v>1209</v>
      </c>
      <c r="H10926" s="201"/>
      <c r="I10926" s="201"/>
      <c r="J10926" s="197" t="s">
        <v>16</v>
      </c>
      <c r="K10926" s="202">
        <v>7320</v>
      </c>
      <c r="L10926" s="202"/>
    </row>
    <row r="10927" spans="1:15" x14ac:dyDescent="0.2">
      <c r="A10927" s="120">
        <v>2025</v>
      </c>
      <c r="B10927" s="120">
        <v>11</v>
      </c>
      <c r="C10927" s="120">
        <v>5</v>
      </c>
      <c r="D10927" s="208">
        <f t="shared" si="1477"/>
        <v>45966</v>
      </c>
      <c r="E10927" s="209">
        <f t="shared" si="1476"/>
        <v>45966</v>
      </c>
      <c r="F10927" s="515"/>
      <c r="G10927" s="132" t="s">
        <v>1209</v>
      </c>
      <c r="J10927" s="120" t="s">
        <v>47</v>
      </c>
      <c r="K10927" s="207">
        <v>2680</v>
      </c>
      <c r="L10927" s="207"/>
    </row>
    <row r="10928" spans="1:15" x14ac:dyDescent="0.2">
      <c r="A10928" s="191">
        <v>2025</v>
      </c>
      <c r="B10928" s="191">
        <v>11</v>
      </c>
      <c r="C10928" s="191">
        <v>5</v>
      </c>
      <c r="D10928" s="192">
        <f t="shared" si="1477"/>
        <v>45966</v>
      </c>
      <c r="E10928" s="193">
        <f t="shared" si="1476"/>
        <v>45966</v>
      </c>
      <c r="F10928" s="514"/>
      <c r="G10928" s="194" t="s">
        <v>1209</v>
      </c>
      <c r="H10928" s="195"/>
      <c r="I10928" s="195"/>
      <c r="J10928" s="191" t="s">
        <v>46</v>
      </c>
      <c r="K10928" s="196"/>
      <c r="L10928" s="196">
        <v>10000</v>
      </c>
    </row>
    <row r="10929" spans="1:15" x14ac:dyDescent="0.2">
      <c r="A10929" s="197">
        <v>2025</v>
      </c>
      <c r="B10929" s="197">
        <v>11</v>
      </c>
      <c r="C10929" s="197">
        <v>5</v>
      </c>
      <c r="D10929" s="198">
        <f t="shared" si="1477"/>
        <v>45966</v>
      </c>
      <c r="E10929" s="209">
        <f t="shared" si="1476"/>
        <v>45966</v>
      </c>
      <c r="F10929" s="513" t="s">
        <v>1280</v>
      </c>
      <c r="G10929" s="200" t="s">
        <v>1209</v>
      </c>
      <c r="H10929" s="201"/>
      <c r="I10929" s="201"/>
      <c r="J10929" s="197" t="s">
        <v>16</v>
      </c>
      <c r="K10929" s="202">
        <v>65020</v>
      </c>
      <c r="L10929" s="202"/>
    </row>
    <row r="10930" spans="1:15" x14ac:dyDescent="0.2">
      <c r="A10930" s="120">
        <v>2025</v>
      </c>
      <c r="B10930" s="120">
        <v>11</v>
      </c>
      <c r="C10930" s="120">
        <v>5</v>
      </c>
      <c r="D10930" s="208">
        <f t="shared" si="1477"/>
        <v>45966</v>
      </c>
      <c r="E10930" s="209">
        <f t="shared" si="1476"/>
        <v>45966</v>
      </c>
      <c r="F10930" s="515"/>
      <c r="G10930" s="132" t="s">
        <v>1209</v>
      </c>
      <c r="J10930" s="120" t="s">
        <v>47</v>
      </c>
      <c r="K10930" s="207">
        <v>23803.820000000007</v>
      </c>
      <c r="L10930" s="207"/>
    </row>
    <row r="10931" spans="1:15" x14ac:dyDescent="0.2">
      <c r="A10931" s="191">
        <v>2025</v>
      </c>
      <c r="B10931" s="191">
        <v>11</v>
      </c>
      <c r="C10931" s="191">
        <v>5</v>
      </c>
      <c r="D10931" s="192">
        <f t="shared" si="1477"/>
        <v>45966</v>
      </c>
      <c r="E10931" s="193">
        <f t="shared" si="1476"/>
        <v>45966</v>
      </c>
      <c r="F10931" s="514"/>
      <c r="G10931" s="194" t="s">
        <v>1209</v>
      </c>
      <c r="H10931" s="195"/>
      <c r="I10931" s="195"/>
      <c r="J10931" s="191" t="s">
        <v>46</v>
      </c>
      <c r="K10931" s="196"/>
      <c r="L10931" s="196">
        <v>88823.82</v>
      </c>
    </row>
    <row r="10932" spans="1:15" x14ac:dyDescent="0.2">
      <c r="A10932" s="197">
        <v>2025</v>
      </c>
      <c r="B10932" s="197">
        <v>11</v>
      </c>
      <c r="C10932" s="197">
        <v>5</v>
      </c>
      <c r="D10932" s="198">
        <f t="shared" si="1477"/>
        <v>45966</v>
      </c>
      <c r="E10932" s="209">
        <f t="shared" ref="E10932:E10934" si="1478">DATE(A10932,B10932,C10932)</f>
        <v>45966</v>
      </c>
      <c r="F10932" s="513" t="s">
        <v>1280</v>
      </c>
      <c r="G10932" s="200" t="s">
        <v>1209</v>
      </c>
      <c r="H10932" s="201"/>
      <c r="I10932" s="201"/>
      <c r="J10932" s="197" t="s">
        <v>16</v>
      </c>
      <c r="K10932" s="202">
        <v>284860</v>
      </c>
      <c r="L10932" s="202"/>
    </row>
    <row r="10933" spans="1:15" x14ac:dyDescent="0.2">
      <c r="A10933" s="120">
        <v>2025</v>
      </c>
      <c r="B10933" s="120">
        <v>11</v>
      </c>
      <c r="C10933" s="120">
        <v>5</v>
      </c>
      <c r="D10933" s="208">
        <f t="shared" si="1477"/>
        <v>45966</v>
      </c>
      <c r="E10933" s="209">
        <f t="shared" si="1478"/>
        <v>45966</v>
      </c>
      <c r="F10933" s="515"/>
      <c r="G10933" s="132" t="s">
        <v>1209</v>
      </c>
      <c r="J10933" s="120" t="s">
        <v>47</v>
      </c>
      <c r="K10933" s="207">
        <v>104287.25</v>
      </c>
      <c r="L10933" s="207"/>
    </row>
    <row r="10934" spans="1:15" x14ac:dyDescent="0.2">
      <c r="A10934" s="191">
        <v>2025</v>
      </c>
      <c r="B10934" s="191">
        <v>11</v>
      </c>
      <c r="C10934" s="191">
        <v>5</v>
      </c>
      <c r="D10934" s="192">
        <f t="shared" si="1477"/>
        <v>45966</v>
      </c>
      <c r="E10934" s="193">
        <f t="shared" si="1478"/>
        <v>45966</v>
      </c>
      <c r="F10934" s="514"/>
      <c r="G10934" s="194" t="s">
        <v>1209</v>
      </c>
      <c r="H10934" s="195"/>
      <c r="I10934" s="195"/>
      <c r="J10934" s="191" t="s">
        <v>46</v>
      </c>
      <c r="K10934" s="196"/>
      <c r="L10934" s="196">
        <v>389147.25</v>
      </c>
    </row>
    <row r="10935" spans="1:15" x14ac:dyDescent="0.2">
      <c r="A10935" s="197">
        <v>2025</v>
      </c>
      <c r="B10935" s="197">
        <v>11</v>
      </c>
      <c r="C10935" s="197">
        <v>5</v>
      </c>
      <c r="D10935" s="198">
        <f t="shared" si="1477"/>
        <v>45966</v>
      </c>
      <c r="E10935" s="209">
        <f t="shared" si="1476"/>
        <v>45966</v>
      </c>
      <c r="F10935" s="513" t="s">
        <v>1280</v>
      </c>
      <c r="G10935" s="200" t="s">
        <v>1209</v>
      </c>
      <c r="H10935" s="201"/>
      <c r="I10935" s="201"/>
      <c r="J10935" s="197" t="s">
        <v>16</v>
      </c>
      <c r="K10935" s="202">
        <v>649600</v>
      </c>
      <c r="L10935" s="202"/>
    </row>
    <row r="10936" spans="1:15" x14ac:dyDescent="0.2">
      <c r="A10936" s="120">
        <v>2025</v>
      </c>
      <c r="B10936" s="120">
        <v>11</v>
      </c>
      <c r="C10936" s="120">
        <v>5</v>
      </c>
      <c r="D10936" s="208">
        <f t="shared" si="1477"/>
        <v>45966</v>
      </c>
      <c r="E10936" s="209">
        <f t="shared" si="1476"/>
        <v>45966</v>
      </c>
      <c r="F10936" s="515"/>
      <c r="G10936" s="132" t="s">
        <v>1209</v>
      </c>
      <c r="J10936" s="120" t="s">
        <v>47</v>
      </c>
      <c r="K10936" s="207">
        <v>237818.56000000006</v>
      </c>
      <c r="L10936" s="207"/>
    </row>
    <row r="10937" spans="1:15" x14ac:dyDescent="0.2">
      <c r="A10937" s="191">
        <v>2025</v>
      </c>
      <c r="B10937" s="191">
        <v>11</v>
      </c>
      <c r="C10937" s="191">
        <v>5</v>
      </c>
      <c r="D10937" s="192">
        <f t="shared" si="1477"/>
        <v>45966</v>
      </c>
      <c r="E10937" s="193">
        <f t="shared" si="1476"/>
        <v>45966</v>
      </c>
      <c r="F10937" s="514"/>
      <c r="G10937" s="194" t="s">
        <v>1209</v>
      </c>
      <c r="H10937" s="195"/>
      <c r="I10937" s="195"/>
      <c r="J10937" s="191" t="s">
        <v>46</v>
      </c>
      <c r="K10937" s="196"/>
      <c r="L10937" s="196">
        <v>887418.56</v>
      </c>
    </row>
    <row r="10938" spans="1:15" x14ac:dyDescent="0.2">
      <c r="A10938" s="197">
        <v>2025</v>
      </c>
      <c r="B10938" s="197">
        <v>11</v>
      </c>
      <c r="C10938" s="197">
        <v>5</v>
      </c>
      <c r="D10938" s="198">
        <f t="shared" si="1477"/>
        <v>45966</v>
      </c>
      <c r="E10938" s="209">
        <f t="shared" ref="E10938:E10960" si="1479">DATE(A10938,B10938,C10938)</f>
        <v>45966</v>
      </c>
      <c r="F10938" s="513" t="s">
        <v>1280</v>
      </c>
      <c r="G10938" s="200" t="s">
        <v>1209</v>
      </c>
      <c r="H10938" s="201"/>
      <c r="I10938" s="201"/>
      <c r="J10938" s="197" t="s">
        <v>16</v>
      </c>
      <c r="K10938" s="202">
        <v>480000</v>
      </c>
      <c r="L10938" s="202"/>
    </row>
    <row r="10939" spans="1:15" x14ac:dyDescent="0.2">
      <c r="A10939" s="120">
        <v>2025</v>
      </c>
      <c r="B10939" s="120">
        <v>11</v>
      </c>
      <c r="C10939" s="120">
        <v>5</v>
      </c>
      <c r="D10939" s="208">
        <f t="shared" si="1477"/>
        <v>45966</v>
      </c>
      <c r="E10939" s="209">
        <f t="shared" si="1479"/>
        <v>45966</v>
      </c>
      <c r="F10939" s="515"/>
      <c r="G10939" s="132" t="s">
        <v>1209</v>
      </c>
      <c r="J10939" s="120" t="s">
        <v>47</v>
      </c>
      <c r="K10939" s="207">
        <v>175728</v>
      </c>
      <c r="L10939" s="207"/>
    </row>
    <row r="10940" spans="1:15" x14ac:dyDescent="0.2">
      <c r="A10940" s="191">
        <v>2025</v>
      </c>
      <c r="B10940" s="191">
        <v>11</v>
      </c>
      <c r="C10940" s="191">
        <v>5</v>
      </c>
      <c r="D10940" s="192">
        <f t="shared" si="1477"/>
        <v>45966</v>
      </c>
      <c r="E10940" s="193">
        <f t="shared" si="1479"/>
        <v>45966</v>
      </c>
      <c r="F10940" s="514"/>
      <c r="G10940" s="194" t="s">
        <v>1209</v>
      </c>
      <c r="H10940" s="195"/>
      <c r="I10940" s="195"/>
      <c r="J10940" s="191" t="s">
        <v>46</v>
      </c>
      <c r="K10940" s="196"/>
      <c r="L10940" s="196">
        <v>655728</v>
      </c>
    </row>
    <row r="10941" spans="1:15" x14ac:dyDescent="0.2">
      <c r="A10941" s="197">
        <v>2025</v>
      </c>
      <c r="B10941" s="197">
        <v>11</v>
      </c>
      <c r="C10941" s="197">
        <v>5</v>
      </c>
      <c r="D10941" s="198">
        <f t="shared" si="1477"/>
        <v>45966</v>
      </c>
      <c r="E10941" s="209">
        <f t="shared" si="1479"/>
        <v>45966</v>
      </c>
      <c r="F10941" s="513" t="s">
        <v>1210</v>
      </c>
      <c r="G10941" s="200" t="s">
        <v>1209</v>
      </c>
      <c r="H10941" s="201"/>
      <c r="I10941" s="201"/>
      <c r="J10941" s="197" t="s">
        <v>46</v>
      </c>
      <c r="K10941" s="202">
        <v>25000</v>
      </c>
      <c r="L10941" s="202"/>
    </row>
    <row r="10942" spans="1:15" x14ac:dyDescent="0.2">
      <c r="A10942" s="120">
        <v>2025</v>
      </c>
      <c r="B10942" s="120">
        <v>11</v>
      </c>
      <c r="C10942" s="120">
        <v>5</v>
      </c>
      <c r="D10942" s="208">
        <f t="shared" si="1477"/>
        <v>45966</v>
      </c>
      <c r="E10942" s="209">
        <f t="shared" si="1479"/>
        <v>45966</v>
      </c>
      <c r="F10942" s="515"/>
      <c r="G10942" s="132" t="s">
        <v>1209</v>
      </c>
      <c r="J10942" s="120" t="s">
        <v>16</v>
      </c>
      <c r="K10942" s="207"/>
      <c r="L10942" s="207">
        <v>18300</v>
      </c>
    </row>
    <row r="10943" spans="1:15" x14ac:dyDescent="0.2">
      <c r="A10943" s="191">
        <v>2025</v>
      </c>
      <c r="B10943" s="191">
        <v>11</v>
      </c>
      <c r="C10943" s="191">
        <v>5</v>
      </c>
      <c r="D10943" s="192">
        <f t="shared" si="1477"/>
        <v>45966</v>
      </c>
      <c r="E10943" s="193">
        <f t="shared" si="1479"/>
        <v>45966</v>
      </c>
      <c r="F10943" s="514"/>
      <c r="G10943" s="194" t="s">
        <v>1209</v>
      </c>
      <c r="H10943" s="195"/>
      <c r="I10943" s="195"/>
      <c r="J10943" s="191" t="s">
        <v>47</v>
      </c>
      <c r="K10943" s="196"/>
      <c r="L10943" s="196">
        <v>6700</v>
      </c>
    </row>
    <row r="10944" spans="1:15" x14ac:dyDescent="0.2">
      <c r="A10944" s="197">
        <v>2025</v>
      </c>
      <c r="B10944" s="197">
        <v>11</v>
      </c>
      <c r="C10944" s="197">
        <v>5</v>
      </c>
      <c r="D10944" s="198">
        <f t="shared" si="1477"/>
        <v>45966</v>
      </c>
      <c r="E10944" s="290">
        <f t="shared" si="1479"/>
        <v>45966</v>
      </c>
      <c r="F10944" s="513" t="s">
        <v>1514</v>
      </c>
      <c r="G10944" s="200" t="s">
        <v>1209</v>
      </c>
      <c r="H10944" s="201"/>
      <c r="I10944" s="201"/>
      <c r="J10944" s="197" t="s">
        <v>54</v>
      </c>
      <c r="K10944" s="202">
        <v>258</v>
      </c>
      <c r="L10944" s="202"/>
      <c r="M10944" s="251"/>
      <c r="N10944" s="251"/>
      <c r="O10944" s="251"/>
    </row>
    <row r="10945" spans="1:13" ht="11.25" customHeight="1" x14ac:dyDescent="0.2">
      <c r="A10945" s="191">
        <v>2025</v>
      </c>
      <c r="B10945" s="191">
        <v>11</v>
      </c>
      <c r="C10945" s="191">
        <v>5</v>
      </c>
      <c r="D10945" s="192">
        <f t="shared" si="1477"/>
        <v>45966</v>
      </c>
      <c r="E10945" s="291">
        <f t="shared" si="1479"/>
        <v>45966</v>
      </c>
      <c r="F10945" s="514"/>
      <c r="G10945" s="194" t="s">
        <v>1209</v>
      </c>
      <c r="H10945" s="195"/>
      <c r="I10945" s="195"/>
      <c r="J10945" s="191" t="s">
        <v>46</v>
      </c>
      <c r="K10945" s="196"/>
      <c r="L10945" s="196">
        <f>K10944</f>
        <v>258</v>
      </c>
      <c r="M10945" s="251"/>
    </row>
    <row r="10946" spans="1:13" x14ac:dyDescent="0.2">
      <c r="A10946" s="197">
        <v>2025</v>
      </c>
      <c r="B10946" s="197">
        <v>11</v>
      </c>
      <c r="C10946" s="197">
        <v>5</v>
      </c>
      <c r="D10946" s="198">
        <f t="shared" si="1477"/>
        <v>45966</v>
      </c>
      <c r="E10946" s="209">
        <f t="shared" si="1479"/>
        <v>45966</v>
      </c>
      <c r="F10946" s="513" t="s">
        <v>1296</v>
      </c>
      <c r="G10946" s="200" t="s">
        <v>1209</v>
      </c>
      <c r="H10946" s="201"/>
      <c r="I10946" s="201"/>
      <c r="J10946" s="197" t="s">
        <v>46</v>
      </c>
      <c r="K10946" s="202">
        <v>238000</v>
      </c>
      <c r="L10946" s="202"/>
    </row>
    <row r="10947" spans="1:13" x14ac:dyDescent="0.2">
      <c r="A10947" s="120">
        <v>2025</v>
      </c>
      <c r="B10947" s="120">
        <v>11</v>
      </c>
      <c r="C10947" s="120">
        <v>5</v>
      </c>
      <c r="D10947" s="208">
        <f t="shared" si="1477"/>
        <v>45966</v>
      </c>
      <c r="E10947" s="209">
        <f t="shared" si="1479"/>
        <v>45966</v>
      </c>
      <c r="F10947" s="515"/>
      <c r="G10947" s="132" t="s">
        <v>1209</v>
      </c>
      <c r="J10947" s="120" t="s">
        <v>16</v>
      </c>
      <c r="K10947" s="207"/>
      <c r="L10947" s="207">
        <v>174210</v>
      </c>
    </row>
    <row r="10948" spans="1:13" x14ac:dyDescent="0.2">
      <c r="A10948" s="191">
        <v>2025</v>
      </c>
      <c r="B10948" s="191">
        <v>11</v>
      </c>
      <c r="C10948" s="191">
        <v>5</v>
      </c>
      <c r="D10948" s="192">
        <f t="shared" si="1477"/>
        <v>45966</v>
      </c>
      <c r="E10948" s="193">
        <f t="shared" si="1479"/>
        <v>45966</v>
      </c>
      <c r="F10948" s="514"/>
      <c r="G10948" s="194" t="s">
        <v>1209</v>
      </c>
      <c r="H10948" s="195"/>
      <c r="I10948" s="195"/>
      <c r="J10948" s="191" t="s">
        <v>47</v>
      </c>
      <c r="K10948" s="196"/>
      <c r="L10948" s="196">
        <v>63790</v>
      </c>
    </row>
    <row r="10949" spans="1:13" x14ac:dyDescent="0.2">
      <c r="A10949" s="424">
        <v>2025</v>
      </c>
      <c r="B10949" s="424">
        <v>11</v>
      </c>
      <c r="C10949" s="424">
        <v>6</v>
      </c>
      <c r="D10949" s="425">
        <f t="shared" si="1477"/>
        <v>45967</v>
      </c>
      <c r="E10949" s="384">
        <f t="shared" si="1479"/>
        <v>45967</v>
      </c>
      <c r="F10949" s="516" t="s">
        <v>1850</v>
      </c>
      <c r="G10949" s="426" t="s">
        <v>1209</v>
      </c>
      <c r="H10949" s="427"/>
      <c r="I10949" s="427"/>
      <c r="J10949" s="428" t="s">
        <v>81</v>
      </c>
      <c r="K10949" s="429">
        <v>11170.721538461539</v>
      </c>
      <c r="L10949" s="429"/>
    </row>
    <row r="10950" spans="1:13" x14ac:dyDescent="0.2">
      <c r="A10950" s="389">
        <v>2025</v>
      </c>
      <c r="B10950" s="389">
        <v>11</v>
      </c>
      <c r="C10950" s="389">
        <v>6</v>
      </c>
      <c r="D10950" s="390">
        <f t="shared" si="1477"/>
        <v>45967</v>
      </c>
      <c r="E10950" s="391">
        <f t="shared" si="1479"/>
        <v>45967</v>
      </c>
      <c r="F10950" s="517"/>
      <c r="G10950" s="392" t="s">
        <v>1209</v>
      </c>
      <c r="H10950" s="393"/>
      <c r="I10950" s="393"/>
      <c r="J10950" s="394" t="s">
        <v>1847</v>
      </c>
      <c r="K10950" s="423"/>
      <c r="L10950" s="423">
        <f>K10949</f>
        <v>11170.721538461539</v>
      </c>
    </row>
    <row r="10951" spans="1:13" ht="11.25" customHeight="1" x14ac:dyDescent="0.2">
      <c r="A10951" s="382">
        <v>2025</v>
      </c>
      <c r="B10951" s="382">
        <v>11</v>
      </c>
      <c r="C10951" s="382">
        <v>6</v>
      </c>
      <c r="D10951" s="383">
        <f t="shared" si="1477"/>
        <v>45967</v>
      </c>
      <c r="E10951" s="384">
        <f t="shared" si="1479"/>
        <v>45967</v>
      </c>
      <c r="F10951" s="516" t="s">
        <v>1892</v>
      </c>
      <c r="G10951" s="385" t="s">
        <v>1209</v>
      </c>
      <c r="H10951" s="386"/>
      <c r="I10951" s="386"/>
      <c r="J10951" s="387" t="s">
        <v>173</v>
      </c>
      <c r="K10951" s="388">
        <v>4515.9184460520837</v>
      </c>
      <c r="L10951" s="388"/>
    </row>
    <row r="10952" spans="1:13" ht="11.25" customHeight="1" x14ac:dyDescent="0.2">
      <c r="A10952" s="389">
        <v>2025</v>
      </c>
      <c r="B10952" s="389">
        <v>11</v>
      </c>
      <c r="C10952" s="389">
        <v>6</v>
      </c>
      <c r="D10952" s="390">
        <f t="shared" si="1477"/>
        <v>45967</v>
      </c>
      <c r="E10952" s="391">
        <f t="shared" si="1479"/>
        <v>45967</v>
      </c>
      <c r="F10952" s="517"/>
      <c r="G10952" s="392" t="s">
        <v>1209</v>
      </c>
      <c r="H10952" s="393"/>
      <c r="I10952" s="393"/>
      <c r="J10952" s="394" t="s">
        <v>43</v>
      </c>
      <c r="K10952" s="388"/>
      <c r="L10952" s="423">
        <f>K10951</f>
        <v>4515.9184460520837</v>
      </c>
    </row>
    <row r="10953" spans="1:13" ht="11.25" customHeight="1" x14ac:dyDescent="0.2">
      <c r="A10953" s="344">
        <v>2025</v>
      </c>
      <c r="B10953" s="344">
        <v>11</v>
      </c>
      <c r="C10953" s="344">
        <v>6</v>
      </c>
      <c r="D10953" s="345">
        <f t="shared" si="1477"/>
        <v>45967</v>
      </c>
      <c r="E10953" s="346">
        <f t="shared" si="1479"/>
        <v>45967</v>
      </c>
      <c r="F10953" s="518" t="s">
        <v>1982</v>
      </c>
      <c r="G10953" s="347" t="s">
        <v>1245</v>
      </c>
      <c r="H10953" s="348"/>
      <c r="I10953" s="348" t="s">
        <v>1253</v>
      </c>
      <c r="J10953" s="344" t="s">
        <v>1978</v>
      </c>
      <c r="K10953" s="349">
        <v>148748.07692307694</v>
      </c>
      <c r="L10953" s="349"/>
    </row>
    <row r="10954" spans="1:13" ht="11.25" customHeight="1" x14ac:dyDescent="0.2">
      <c r="A10954" s="350">
        <v>2025</v>
      </c>
      <c r="B10954" s="350">
        <v>11</v>
      </c>
      <c r="C10954" s="350">
        <v>6</v>
      </c>
      <c r="D10954" s="351">
        <f t="shared" si="1477"/>
        <v>45967</v>
      </c>
      <c r="E10954" s="352">
        <f t="shared" si="1479"/>
        <v>45967</v>
      </c>
      <c r="F10954" s="519"/>
      <c r="G10954" s="353" t="s">
        <v>1245</v>
      </c>
      <c r="H10954" s="354"/>
      <c r="I10954" s="354" t="s">
        <v>1253</v>
      </c>
      <c r="J10954" s="350" t="s">
        <v>1979</v>
      </c>
      <c r="K10954" s="355"/>
      <c r="L10954" s="355">
        <f>K10953</f>
        <v>148748.07692307694</v>
      </c>
    </row>
    <row r="10955" spans="1:13" ht="11.25" customHeight="1" x14ac:dyDescent="0.2">
      <c r="A10955" s="344">
        <v>2025</v>
      </c>
      <c r="B10955" s="344">
        <v>11</v>
      </c>
      <c r="C10955" s="344">
        <v>6</v>
      </c>
      <c r="D10955" s="345">
        <f t="shared" si="1477"/>
        <v>45967</v>
      </c>
      <c r="E10955" s="346">
        <f t="shared" si="1479"/>
        <v>45967</v>
      </c>
      <c r="F10955" s="518" t="s">
        <v>2009</v>
      </c>
      <c r="G10955" s="347" t="s">
        <v>1245</v>
      </c>
      <c r="H10955" s="348"/>
      <c r="I10955" s="348" t="s">
        <v>1253</v>
      </c>
      <c r="J10955" s="344" t="s">
        <v>2004</v>
      </c>
      <c r="K10955" s="349">
        <v>49692.32</v>
      </c>
      <c r="L10955" s="349"/>
    </row>
    <row r="10956" spans="1:13" ht="11.25" customHeight="1" x14ac:dyDescent="0.2">
      <c r="A10956" s="350">
        <v>2025</v>
      </c>
      <c r="B10956" s="350">
        <v>11</v>
      </c>
      <c r="C10956" s="350">
        <v>6</v>
      </c>
      <c r="D10956" s="351">
        <f t="shared" si="1477"/>
        <v>45967</v>
      </c>
      <c r="E10956" s="352">
        <f t="shared" si="1479"/>
        <v>45967</v>
      </c>
      <c r="F10956" s="519"/>
      <c r="G10956" s="353" t="s">
        <v>1245</v>
      </c>
      <c r="H10956" s="354"/>
      <c r="I10956" s="354" t="s">
        <v>1253</v>
      </c>
      <c r="J10956" s="350" t="s">
        <v>2008</v>
      </c>
      <c r="K10956" s="355"/>
      <c r="L10956" s="355">
        <f t="shared" ref="L10956" si="1480">K10955</f>
        <v>49692.32</v>
      </c>
    </row>
    <row r="10957" spans="1:13" ht="11.25" customHeight="1" x14ac:dyDescent="0.2">
      <c r="A10957" s="344">
        <v>2025</v>
      </c>
      <c r="B10957" s="344">
        <v>11</v>
      </c>
      <c r="C10957" s="344">
        <v>6</v>
      </c>
      <c r="D10957" s="345">
        <f t="shared" si="1477"/>
        <v>45967</v>
      </c>
      <c r="E10957" s="346">
        <f t="shared" si="1479"/>
        <v>45967</v>
      </c>
      <c r="F10957" s="518" t="s">
        <v>2009</v>
      </c>
      <c r="G10957" s="347" t="s">
        <v>1245</v>
      </c>
      <c r="H10957" s="348"/>
      <c r="I10957" s="348" t="s">
        <v>1253</v>
      </c>
      <c r="J10957" s="344" t="s">
        <v>2004</v>
      </c>
      <c r="K10957" s="349">
        <v>49692.31</v>
      </c>
      <c r="L10957" s="349"/>
    </row>
    <row r="10958" spans="1:13" ht="11.25" customHeight="1" x14ac:dyDescent="0.2">
      <c r="A10958" s="350">
        <v>2025</v>
      </c>
      <c r="B10958" s="350">
        <v>11</v>
      </c>
      <c r="C10958" s="350">
        <v>6</v>
      </c>
      <c r="D10958" s="351">
        <f t="shared" si="1477"/>
        <v>45967</v>
      </c>
      <c r="E10958" s="352">
        <f t="shared" si="1479"/>
        <v>45967</v>
      </c>
      <c r="F10958" s="519"/>
      <c r="G10958" s="353" t="s">
        <v>1245</v>
      </c>
      <c r="H10958" s="354"/>
      <c r="I10958" s="354" t="s">
        <v>1253</v>
      </c>
      <c r="J10958" s="350" t="s">
        <v>2008</v>
      </c>
      <c r="K10958" s="355"/>
      <c r="L10958" s="355">
        <f t="shared" ref="L10958" si="1481">K10957</f>
        <v>49692.31</v>
      </c>
    </row>
    <row r="10959" spans="1:13" ht="11.25" customHeight="1" x14ac:dyDescent="0.2">
      <c r="A10959" s="344">
        <v>2025</v>
      </c>
      <c r="B10959" s="344">
        <v>11</v>
      </c>
      <c r="C10959" s="344">
        <v>6</v>
      </c>
      <c r="D10959" s="345">
        <f t="shared" si="1477"/>
        <v>45967</v>
      </c>
      <c r="E10959" s="346">
        <f t="shared" si="1479"/>
        <v>45967</v>
      </c>
      <c r="F10959" s="518" t="s">
        <v>2088</v>
      </c>
      <c r="G10959" s="347" t="s">
        <v>1245</v>
      </c>
      <c r="H10959" s="348"/>
      <c r="I10959" s="348" t="s">
        <v>1253</v>
      </c>
      <c r="J10959" s="344" t="s">
        <v>2086</v>
      </c>
      <c r="K10959" s="349">
        <v>12528.846153846154</v>
      </c>
      <c r="L10959" s="349"/>
    </row>
    <row r="10960" spans="1:13" ht="11.25" customHeight="1" x14ac:dyDescent="0.2">
      <c r="A10960" s="350">
        <v>2025</v>
      </c>
      <c r="B10960" s="350">
        <v>11</v>
      </c>
      <c r="C10960" s="350">
        <v>6</v>
      </c>
      <c r="D10960" s="351">
        <f t="shared" si="1477"/>
        <v>45967</v>
      </c>
      <c r="E10960" s="352">
        <f t="shared" si="1479"/>
        <v>45967</v>
      </c>
      <c r="F10960" s="519"/>
      <c r="G10960" s="353" t="s">
        <v>1245</v>
      </c>
      <c r="H10960" s="354"/>
      <c r="I10960" s="354" t="s">
        <v>1253</v>
      </c>
      <c r="J10960" s="350" t="s">
        <v>2089</v>
      </c>
      <c r="K10960" s="355"/>
      <c r="L10960" s="355">
        <v>12528.846153846154</v>
      </c>
    </row>
    <row r="10961" spans="1:16" ht="11.25" customHeight="1" x14ac:dyDescent="0.2">
      <c r="A10961" s="344">
        <v>2025</v>
      </c>
      <c r="B10961" s="344">
        <v>11</v>
      </c>
      <c r="C10961" s="344">
        <v>6</v>
      </c>
      <c r="D10961" s="345">
        <f t="shared" si="1477"/>
        <v>45967</v>
      </c>
      <c r="E10961" s="346">
        <f>DATE(A10961,B10961,C10961)</f>
        <v>45967</v>
      </c>
      <c r="F10961" s="518" t="s">
        <v>1988</v>
      </c>
      <c r="G10961" s="347" t="s">
        <v>1245</v>
      </c>
      <c r="H10961" s="348"/>
      <c r="I10961" s="348" t="s">
        <v>1253</v>
      </c>
      <c r="J10961" s="344" t="s">
        <v>113</v>
      </c>
      <c r="K10961" s="349">
        <v>32846.15</v>
      </c>
      <c r="L10961" s="349"/>
    </row>
    <row r="10962" spans="1:16" ht="11.25" customHeight="1" x14ac:dyDescent="0.2">
      <c r="A10962" s="350">
        <v>2025</v>
      </c>
      <c r="B10962" s="350">
        <v>11</v>
      </c>
      <c r="C10962" s="350">
        <v>6</v>
      </c>
      <c r="D10962" s="351">
        <f t="shared" si="1477"/>
        <v>45967</v>
      </c>
      <c r="E10962" s="352">
        <f>DATE(A10962,B10962,C10962)</f>
        <v>45967</v>
      </c>
      <c r="F10962" s="519"/>
      <c r="G10962" s="353" t="s">
        <v>1245</v>
      </c>
      <c r="H10962" s="354"/>
      <c r="I10962" s="354" t="s">
        <v>1253</v>
      </c>
      <c r="J10962" s="350" t="s">
        <v>153</v>
      </c>
      <c r="K10962" s="355"/>
      <c r="L10962" s="355">
        <f t="shared" ref="L10962" si="1482">K10961</f>
        <v>32846.15</v>
      </c>
    </row>
    <row r="10963" spans="1:16" ht="11.25" customHeight="1" x14ac:dyDescent="0.2">
      <c r="A10963" s="344">
        <v>2025</v>
      </c>
      <c r="B10963" s="344">
        <v>11</v>
      </c>
      <c r="C10963" s="344">
        <v>6</v>
      </c>
      <c r="D10963" s="345">
        <f t="shared" si="1477"/>
        <v>45967</v>
      </c>
      <c r="E10963" s="346">
        <f t="shared" ref="E10963:E10969" si="1483">DATE(A10963,B10963,C10963)</f>
        <v>45967</v>
      </c>
      <c r="F10963" s="518" t="s">
        <v>1989</v>
      </c>
      <c r="G10963" s="347" t="s">
        <v>1245</v>
      </c>
      <c r="H10963" s="348"/>
      <c r="I10963" s="348" t="s">
        <v>1253</v>
      </c>
      <c r="J10963" s="344" t="s">
        <v>113</v>
      </c>
      <c r="K10963" s="349">
        <v>23461.538461538461</v>
      </c>
      <c r="L10963" s="349"/>
    </row>
    <row r="10964" spans="1:16" ht="11.25" customHeight="1" x14ac:dyDescent="0.2">
      <c r="A10964" s="350">
        <v>2025</v>
      </c>
      <c r="B10964" s="350">
        <v>11</v>
      </c>
      <c r="C10964" s="350">
        <v>6</v>
      </c>
      <c r="D10964" s="351">
        <f t="shared" si="1477"/>
        <v>45967</v>
      </c>
      <c r="E10964" s="352">
        <f t="shared" si="1483"/>
        <v>45967</v>
      </c>
      <c r="F10964" s="519"/>
      <c r="G10964" s="353" t="s">
        <v>1245</v>
      </c>
      <c r="H10964" s="354"/>
      <c r="I10964" s="354" t="s">
        <v>1253</v>
      </c>
      <c r="J10964" s="350" t="s">
        <v>153</v>
      </c>
      <c r="K10964" s="355"/>
      <c r="L10964" s="355">
        <f t="shared" ref="L10964" si="1484">K10963</f>
        <v>23461.538461538461</v>
      </c>
    </row>
    <row r="10965" spans="1:16" ht="11.25" customHeight="1" x14ac:dyDescent="0.2">
      <c r="A10965" s="344">
        <v>2025</v>
      </c>
      <c r="B10965" s="344">
        <v>11</v>
      </c>
      <c r="C10965" s="344">
        <v>6</v>
      </c>
      <c r="D10965" s="345">
        <f t="shared" si="1477"/>
        <v>45967</v>
      </c>
      <c r="E10965" s="346">
        <f t="shared" si="1483"/>
        <v>45967</v>
      </c>
      <c r="F10965" s="518" t="s">
        <v>1990</v>
      </c>
      <c r="G10965" s="347" t="s">
        <v>1245</v>
      </c>
      <c r="H10965" s="348"/>
      <c r="I10965" s="348" t="s">
        <v>1253</v>
      </c>
      <c r="J10965" s="344" t="s">
        <v>113</v>
      </c>
      <c r="K10965" s="349">
        <v>70384.62</v>
      </c>
      <c r="L10965" s="349"/>
      <c r="N10965" s="251"/>
      <c r="O10965" s="251"/>
      <c r="P10965" s="251"/>
    </row>
    <row r="10966" spans="1:16" ht="11.25" customHeight="1" x14ac:dyDescent="0.2">
      <c r="A10966" s="350">
        <v>2025</v>
      </c>
      <c r="B10966" s="350">
        <v>11</v>
      </c>
      <c r="C10966" s="350">
        <v>6</v>
      </c>
      <c r="D10966" s="351">
        <f t="shared" si="1477"/>
        <v>45967</v>
      </c>
      <c r="E10966" s="352">
        <f t="shared" si="1483"/>
        <v>45967</v>
      </c>
      <c r="F10966" s="519"/>
      <c r="G10966" s="353" t="s">
        <v>1245</v>
      </c>
      <c r="H10966" s="354"/>
      <c r="I10966" s="354" t="s">
        <v>1253</v>
      </c>
      <c r="J10966" s="350" t="s">
        <v>153</v>
      </c>
      <c r="K10966" s="355"/>
      <c r="L10966" s="355">
        <f t="shared" ref="L10966" si="1485">K10965</f>
        <v>70384.62</v>
      </c>
    </row>
    <row r="10967" spans="1:16" ht="11.25" customHeight="1" x14ac:dyDescent="0.2">
      <c r="A10967" s="344">
        <v>2025</v>
      </c>
      <c r="B10967" s="344">
        <v>11</v>
      </c>
      <c r="C10967" s="344">
        <v>6</v>
      </c>
      <c r="D10967" s="345">
        <f t="shared" si="1477"/>
        <v>45967</v>
      </c>
      <c r="E10967" s="346">
        <f t="shared" si="1483"/>
        <v>45967</v>
      </c>
      <c r="F10967" s="518" t="s">
        <v>2107</v>
      </c>
      <c r="G10967" s="347" t="s">
        <v>1245</v>
      </c>
      <c r="H10967" s="348"/>
      <c r="I10967" s="348" t="s">
        <v>1253</v>
      </c>
      <c r="J10967" s="344" t="s">
        <v>113</v>
      </c>
      <c r="K10967" s="349">
        <v>86596.153846153844</v>
      </c>
      <c r="L10967" s="349"/>
      <c r="N10967" s="251"/>
      <c r="O10967" s="251"/>
      <c r="P10967" s="251"/>
    </row>
    <row r="10968" spans="1:16" ht="11.25" customHeight="1" x14ac:dyDescent="0.2">
      <c r="A10968" s="350">
        <v>2025</v>
      </c>
      <c r="B10968" s="350">
        <v>11</v>
      </c>
      <c r="C10968" s="350">
        <v>6</v>
      </c>
      <c r="D10968" s="351">
        <f t="shared" si="1477"/>
        <v>45967</v>
      </c>
      <c r="E10968" s="352">
        <f t="shared" si="1483"/>
        <v>45967</v>
      </c>
      <c r="F10968" s="519"/>
      <c r="G10968" s="353" t="s">
        <v>1245</v>
      </c>
      <c r="H10968" s="354"/>
      <c r="I10968" s="354" t="s">
        <v>1253</v>
      </c>
      <c r="J10968" s="350" t="s">
        <v>153</v>
      </c>
      <c r="K10968" s="355"/>
      <c r="L10968" s="355">
        <f t="shared" ref="L10968" si="1486">K10967</f>
        <v>86596.153846153844</v>
      </c>
    </row>
    <row r="10969" spans="1:16" ht="11.25" customHeight="1" x14ac:dyDescent="0.2">
      <c r="A10969" s="210">
        <v>2025</v>
      </c>
      <c r="B10969" s="210">
        <v>11</v>
      </c>
      <c r="C10969" s="210">
        <v>6</v>
      </c>
      <c r="D10969" s="211">
        <f t="shared" si="1477"/>
        <v>45967</v>
      </c>
      <c r="E10969" s="238">
        <f t="shared" si="1483"/>
        <v>45967</v>
      </c>
      <c r="F10969" s="520" t="s">
        <v>1857</v>
      </c>
      <c r="G10969" s="213" t="s">
        <v>1245</v>
      </c>
      <c r="H10969" s="214"/>
      <c r="I10969" s="214" t="s">
        <v>1253</v>
      </c>
      <c r="J10969" s="210" t="s">
        <v>1284</v>
      </c>
      <c r="K10969" s="215">
        <v>2341.8114143920593</v>
      </c>
      <c r="L10969" s="215"/>
    </row>
    <row r="10970" spans="1:16" ht="11.25" customHeight="1" x14ac:dyDescent="0.2">
      <c r="A10970" s="242">
        <v>2025</v>
      </c>
      <c r="B10970" s="242">
        <v>11</v>
      </c>
      <c r="C10970" s="242">
        <v>6</v>
      </c>
      <c r="D10970" s="243">
        <f t="shared" si="1477"/>
        <v>45967</v>
      </c>
      <c r="E10970" s="244">
        <f>DATE(A10970,B10970,C10970)</f>
        <v>45967</v>
      </c>
      <c r="F10970" s="524"/>
      <c r="G10970" s="245" t="s">
        <v>1245</v>
      </c>
      <c r="H10970" s="246"/>
      <c r="I10970" s="246"/>
      <c r="J10970" s="242" t="s">
        <v>1582</v>
      </c>
      <c r="K10970" s="247"/>
      <c r="L10970" s="247">
        <f>K10969</f>
        <v>2341.8114143920593</v>
      </c>
    </row>
    <row r="10971" spans="1:16" ht="11.25" customHeight="1" x14ac:dyDescent="0.2">
      <c r="A10971" s="210">
        <v>2025</v>
      </c>
      <c r="B10971" s="210">
        <v>11</v>
      </c>
      <c r="C10971" s="210">
        <v>6</v>
      </c>
      <c r="D10971" s="211">
        <f t="shared" si="1477"/>
        <v>45967</v>
      </c>
      <c r="E10971" s="238">
        <f t="shared" ref="E10971:E11010" si="1487">DATE(A10971,B10971,C10971)</f>
        <v>45967</v>
      </c>
      <c r="F10971" s="520" t="s">
        <v>2055</v>
      </c>
      <c r="G10971" s="213" t="s">
        <v>1245</v>
      </c>
      <c r="H10971" s="214"/>
      <c r="I10971" s="214" t="s">
        <v>1253</v>
      </c>
      <c r="J10971" s="210" t="s">
        <v>58</v>
      </c>
      <c r="K10971" s="215">
        <v>1482.13</v>
      </c>
      <c r="L10971" s="215"/>
    </row>
    <row r="10972" spans="1:16" ht="11.25" customHeight="1" x14ac:dyDescent="0.2">
      <c r="A10972" s="216">
        <v>2025</v>
      </c>
      <c r="B10972" s="216">
        <v>11</v>
      </c>
      <c r="C10972" s="216">
        <v>6</v>
      </c>
      <c r="D10972" s="217">
        <f t="shared" si="1477"/>
        <v>45967</v>
      </c>
      <c r="E10972" s="239">
        <f t="shared" si="1487"/>
        <v>45967</v>
      </c>
      <c r="F10972" s="521"/>
      <c r="G10972" s="219" t="s">
        <v>1245</v>
      </c>
      <c r="H10972" s="220"/>
      <c r="I10972" s="220" t="s">
        <v>1253</v>
      </c>
      <c r="J10972" s="216" t="s">
        <v>153</v>
      </c>
      <c r="K10972" s="221"/>
      <c r="L10972" s="221">
        <f>K10971</f>
        <v>1482.13</v>
      </c>
    </row>
    <row r="10973" spans="1:16" ht="11.25" customHeight="1" x14ac:dyDescent="0.2">
      <c r="A10973" s="312">
        <v>2025</v>
      </c>
      <c r="B10973" s="312">
        <v>11</v>
      </c>
      <c r="C10973" s="312">
        <v>6</v>
      </c>
      <c r="D10973" s="313">
        <f t="shared" si="1477"/>
        <v>45967</v>
      </c>
      <c r="E10973" s="314">
        <f t="shared" si="1487"/>
        <v>45967</v>
      </c>
      <c r="F10973" s="522" t="s">
        <v>1477</v>
      </c>
      <c r="G10973" s="315" t="s">
        <v>1245</v>
      </c>
      <c r="H10973" s="316"/>
      <c r="I10973" s="316" t="s">
        <v>1253</v>
      </c>
      <c r="J10973" s="312" t="s">
        <v>1458</v>
      </c>
      <c r="K10973" s="317">
        <v>0</v>
      </c>
      <c r="L10973" s="317"/>
    </row>
    <row r="10974" spans="1:16" ht="11.25" customHeight="1" x14ac:dyDescent="0.2">
      <c r="A10974" s="318">
        <v>2025</v>
      </c>
      <c r="B10974" s="318">
        <v>11</v>
      </c>
      <c r="C10974" s="318">
        <v>6</v>
      </c>
      <c r="D10974" s="319">
        <f t="shared" si="1477"/>
        <v>45967</v>
      </c>
      <c r="E10974" s="320">
        <f t="shared" si="1487"/>
        <v>45967</v>
      </c>
      <c r="F10974" s="523"/>
      <c r="G10974" s="321" t="s">
        <v>1245</v>
      </c>
      <c r="H10974" s="322"/>
      <c r="I10974" s="322" t="s">
        <v>1253</v>
      </c>
      <c r="J10974" s="318" t="s">
        <v>1460</v>
      </c>
      <c r="K10974" s="323"/>
      <c r="L10974" s="323">
        <f>K10973</f>
        <v>0</v>
      </c>
    </row>
    <row r="10975" spans="1:16" ht="11.25" customHeight="1" x14ac:dyDescent="0.2">
      <c r="A10975" s="312">
        <v>2025</v>
      </c>
      <c r="B10975" s="312">
        <v>11</v>
      </c>
      <c r="C10975" s="312">
        <v>6</v>
      </c>
      <c r="D10975" s="313">
        <f t="shared" si="1477"/>
        <v>45967</v>
      </c>
      <c r="E10975" s="314">
        <f t="shared" si="1487"/>
        <v>45967</v>
      </c>
      <c r="F10975" s="522" t="s">
        <v>1595</v>
      </c>
      <c r="G10975" s="315" t="s">
        <v>1245</v>
      </c>
      <c r="H10975" s="316"/>
      <c r="I10975" s="316" t="s">
        <v>1253</v>
      </c>
      <c r="J10975" s="312" t="s">
        <v>1459</v>
      </c>
      <c r="K10975" s="317">
        <v>656602.96700000763</v>
      </c>
      <c r="L10975" s="317"/>
      <c r="M10975" s="328">
        <f>BS!$I$14</f>
        <v>0</v>
      </c>
    </row>
    <row r="10976" spans="1:16" ht="11.25" customHeight="1" x14ac:dyDescent="0.2">
      <c r="A10976" s="318">
        <v>2025</v>
      </c>
      <c r="B10976" s="318">
        <v>11</v>
      </c>
      <c r="C10976" s="318">
        <v>6</v>
      </c>
      <c r="D10976" s="319">
        <f t="shared" si="1477"/>
        <v>45967</v>
      </c>
      <c r="E10976" s="320">
        <f t="shared" si="1487"/>
        <v>45967</v>
      </c>
      <c r="F10976" s="523"/>
      <c r="G10976" s="321" t="s">
        <v>1245</v>
      </c>
      <c r="H10976" s="322"/>
      <c r="I10976" s="322" t="s">
        <v>1253</v>
      </c>
      <c r="J10976" s="318" t="s">
        <v>1461</v>
      </c>
      <c r="K10976" s="323"/>
      <c r="L10976" s="323">
        <f>K10975</f>
        <v>656602.96700000763</v>
      </c>
      <c r="M10976" s="328"/>
    </row>
    <row r="10977" spans="1:13" ht="11.25" customHeight="1" x14ac:dyDescent="0.2">
      <c r="A10977" s="222">
        <v>2025</v>
      </c>
      <c r="B10977" s="222">
        <v>11</v>
      </c>
      <c r="C10977" s="222">
        <v>6</v>
      </c>
      <c r="D10977" s="223">
        <f t="shared" si="1477"/>
        <v>45967</v>
      </c>
      <c r="E10977" s="240">
        <f t="shared" si="1487"/>
        <v>45967</v>
      </c>
      <c r="F10977" s="511" t="s">
        <v>1244</v>
      </c>
      <c r="G10977" s="225" t="s">
        <v>1245</v>
      </c>
      <c r="H10977" s="226"/>
      <c r="I10977" s="226" t="s">
        <v>1253</v>
      </c>
      <c r="J10977" s="222" t="s">
        <v>72</v>
      </c>
      <c r="K10977" s="227">
        <v>177872.44860000163</v>
      </c>
      <c r="L10977" s="227"/>
      <c r="M10977" s="328">
        <f>BS!$I$7</f>
        <v>0</v>
      </c>
    </row>
    <row r="10978" spans="1:13" ht="11.25" customHeight="1" x14ac:dyDescent="0.2">
      <c r="A10978" s="228">
        <v>2025</v>
      </c>
      <c r="B10978" s="228">
        <v>11</v>
      </c>
      <c r="C10978" s="228">
        <v>6</v>
      </c>
      <c r="D10978" s="229">
        <f t="shared" si="1477"/>
        <v>45967</v>
      </c>
      <c r="E10978" s="241">
        <f t="shared" si="1487"/>
        <v>45967</v>
      </c>
      <c r="F10978" s="512"/>
      <c r="G10978" s="231" t="s">
        <v>1245</v>
      </c>
      <c r="H10978" s="232"/>
      <c r="I10978" s="232" t="s">
        <v>1253</v>
      </c>
      <c r="J10978" s="228" t="s">
        <v>87</v>
      </c>
      <c r="K10978" s="233"/>
      <c r="L10978" s="233">
        <f>K10977</f>
        <v>177872.44860000163</v>
      </c>
    </row>
    <row r="10979" spans="1:13" ht="11.25" customHeight="1" x14ac:dyDescent="0.2">
      <c r="A10979" s="222">
        <v>2025</v>
      </c>
      <c r="B10979" s="222">
        <v>11</v>
      </c>
      <c r="C10979" s="222">
        <v>6</v>
      </c>
      <c r="D10979" s="223">
        <f t="shared" si="1477"/>
        <v>45967</v>
      </c>
      <c r="E10979" s="240">
        <f t="shared" si="1487"/>
        <v>45967</v>
      </c>
      <c r="F10979" s="511" t="s">
        <v>1246</v>
      </c>
      <c r="G10979" s="225" t="s">
        <v>1245</v>
      </c>
      <c r="H10979" s="226"/>
      <c r="I10979" s="226" t="s">
        <v>1253</v>
      </c>
      <c r="J10979" s="222" t="s">
        <v>75</v>
      </c>
      <c r="K10979" s="227">
        <v>3623.123846153846</v>
      </c>
      <c r="L10979" s="227"/>
    </row>
    <row r="10980" spans="1:13" ht="11.25" customHeight="1" x14ac:dyDescent="0.2">
      <c r="A10980" s="228">
        <v>2025</v>
      </c>
      <c r="B10980" s="228">
        <v>11</v>
      </c>
      <c r="C10980" s="228">
        <v>6</v>
      </c>
      <c r="D10980" s="229">
        <f t="shared" si="1477"/>
        <v>45967</v>
      </c>
      <c r="E10980" s="241">
        <f t="shared" si="1487"/>
        <v>45967</v>
      </c>
      <c r="F10980" s="512"/>
      <c r="G10980" s="231" t="s">
        <v>1245</v>
      </c>
      <c r="H10980" s="232"/>
      <c r="I10980" s="232" t="s">
        <v>1253</v>
      </c>
      <c r="J10980" s="228" t="s">
        <v>55</v>
      </c>
      <c r="K10980" s="233"/>
      <c r="L10980" s="233">
        <f>K10979</f>
        <v>3623.123846153846</v>
      </c>
    </row>
    <row r="10981" spans="1:13" ht="11.25" customHeight="1" x14ac:dyDescent="0.2">
      <c r="A10981" s="222">
        <v>2025</v>
      </c>
      <c r="B10981" s="222">
        <v>11</v>
      </c>
      <c r="C10981" s="222">
        <v>6</v>
      </c>
      <c r="D10981" s="223">
        <f t="shared" si="1477"/>
        <v>45967</v>
      </c>
      <c r="E10981" s="240">
        <f t="shared" si="1487"/>
        <v>45967</v>
      </c>
      <c r="F10981" s="511" t="s">
        <v>1247</v>
      </c>
      <c r="G10981" s="225" t="s">
        <v>1245</v>
      </c>
      <c r="H10981" s="226"/>
      <c r="I10981" s="226" t="s">
        <v>1253</v>
      </c>
      <c r="J10981" s="222" t="s">
        <v>77</v>
      </c>
      <c r="K10981" s="227">
        <f>M10981</f>
        <v>55036.925477008386</v>
      </c>
      <c r="L10981" s="227"/>
      <c r="M10981" s="120">
        <v>55036.925477008386</v>
      </c>
    </row>
    <row r="10982" spans="1:13" ht="11.25" customHeight="1" x14ac:dyDescent="0.2">
      <c r="A10982" s="228">
        <v>2025</v>
      </c>
      <c r="B10982" s="228">
        <v>11</v>
      </c>
      <c r="C10982" s="228">
        <v>6</v>
      </c>
      <c r="D10982" s="229">
        <f t="shared" si="1477"/>
        <v>45967</v>
      </c>
      <c r="E10982" s="241">
        <f t="shared" si="1487"/>
        <v>45967</v>
      </c>
      <c r="F10982" s="512"/>
      <c r="G10982" s="231" t="s">
        <v>1245</v>
      </c>
      <c r="H10982" s="232"/>
      <c r="I10982" s="232" t="s">
        <v>1253</v>
      </c>
      <c r="J10982" s="228" t="s">
        <v>41</v>
      </c>
      <c r="K10982" s="233"/>
      <c r="L10982" s="233">
        <f>K10981</f>
        <v>55036.925477008386</v>
      </c>
      <c r="M10982" s="120">
        <v>5503.6925477008381</v>
      </c>
    </row>
    <row r="10983" spans="1:13" ht="11.25" customHeight="1" x14ac:dyDescent="0.2">
      <c r="A10983" s="222">
        <v>2025</v>
      </c>
      <c r="B10983" s="222">
        <v>11</v>
      </c>
      <c r="C10983" s="222">
        <v>6</v>
      </c>
      <c r="D10983" s="223">
        <f t="shared" si="1477"/>
        <v>45967</v>
      </c>
      <c r="E10983" s="240">
        <f t="shared" si="1487"/>
        <v>45967</v>
      </c>
      <c r="F10983" s="511" t="s">
        <v>1248</v>
      </c>
      <c r="G10983" s="225" t="s">
        <v>1245</v>
      </c>
      <c r="H10983" s="226"/>
      <c r="I10983" s="226" t="s">
        <v>1253</v>
      </c>
      <c r="J10983" s="222" t="s">
        <v>80</v>
      </c>
      <c r="K10983" s="227">
        <f>M10982</f>
        <v>5503.6925477008381</v>
      </c>
      <c r="L10983" s="227"/>
    </row>
    <row r="10984" spans="1:13" ht="11.25" customHeight="1" x14ac:dyDescent="0.2">
      <c r="A10984" s="228">
        <v>2025</v>
      </c>
      <c r="B10984" s="228">
        <v>11</v>
      </c>
      <c r="C10984" s="228">
        <v>6</v>
      </c>
      <c r="D10984" s="229">
        <f t="shared" si="1477"/>
        <v>45967</v>
      </c>
      <c r="E10984" s="241">
        <f t="shared" si="1487"/>
        <v>45967</v>
      </c>
      <c r="F10984" s="512"/>
      <c r="G10984" s="231" t="s">
        <v>1245</v>
      </c>
      <c r="H10984" s="232"/>
      <c r="I10984" s="232" t="s">
        <v>1253</v>
      </c>
      <c r="J10984" s="228" t="s">
        <v>42</v>
      </c>
      <c r="K10984" s="233"/>
      <c r="L10984" s="233">
        <f>K10983</f>
        <v>5503.6925477008381</v>
      </c>
    </row>
    <row r="10985" spans="1:13" x14ac:dyDescent="0.2">
      <c r="A10985" s="197">
        <v>2025</v>
      </c>
      <c r="B10985" s="197">
        <v>11</v>
      </c>
      <c r="C10985" s="197">
        <v>9</v>
      </c>
      <c r="D10985" s="198">
        <f t="shared" si="1477"/>
        <v>45970</v>
      </c>
      <c r="E10985" s="209">
        <f t="shared" si="1487"/>
        <v>45970</v>
      </c>
      <c r="F10985" s="513" t="s">
        <v>1280</v>
      </c>
      <c r="G10985" s="200" t="s">
        <v>1209</v>
      </c>
      <c r="H10985" s="201"/>
      <c r="I10985" s="201"/>
      <c r="J10985" s="197" t="s">
        <v>16</v>
      </c>
      <c r="K10985" s="202">
        <v>150000</v>
      </c>
      <c r="L10985" s="202"/>
    </row>
    <row r="10986" spans="1:13" x14ac:dyDescent="0.2">
      <c r="A10986" s="120">
        <v>2025</v>
      </c>
      <c r="B10986" s="120">
        <v>11</v>
      </c>
      <c r="C10986" s="120">
        <v>9</v>
      </c>
      <c r="D10986" s="208">
        <f t="shared" si="1477"/>
        <v>45970</v>
      </c>
      <c r="E10986" s="209">
        <f t="shared" si="1487"/>
        <v>45970</v>
      </c>
      <c r="F10986" s="515"/>
      <c r="G10986" s="132" t="s">
        <v>1209</v>
      </c>
      <c r="J10986" s="120" t="s">
        <v>47</v>
      </c>
      <c r="K10986" s="207">
        <v>54915</v>
      </c>
      <c r="L10986" s="207"/>
    </row>
    <row r="10987" spans="1:13" x14ac:dyDescent="0.2">
      <c r="A10987" s="191">
        <v>2025</v>
      </c>
      <c r="B10987" s="191">
        <v>11</v>
      </c>
      <c r="C10987" s="191">
        <v>9</v>
      </c>
      <c r="D10987" s="192">
        <f t="shared" si="1477"/>
        <v>45970</v>
      </c>
      <c r="E10987" s="193">
        <f t="shared" si="1487"/>
        <v>45970</v>
      </c>
      <c r="F10987" s="514"/>
      <c r="G10987" s="194" t="s">
        <v>1209</v>
      </c>
      <c r="H10987" s="195"/>
      <c r="I10987" s="195"/>
      <c r="J10987" s="191" t="s">
        <v>46</v>
      </c>
      <c r="K10987" s="196"/>
      <c r="L10987" s="196">
        <v>204915</v>
      </c>
    </row>
    <row r="10988" spans="1:13" x14ac:dyDescent="0.2">
      <c r="A10988" s="197">
        <v>2025</v>
      </c>
      <c r="B10988" s="197">
        <v>11</v>
      </c>
      <c r="C10988" s="197">
        <v>9</v>
      </c>
      <c r="D10988" s="198">
        <f t="shared" ref="D10988:D11051" si="1488">DATE(A10988,B10988,C10988)</f>
        <v>45970</v>
      </c>
      <c r="E10988" s="209">
        <f t="shared" ref="E10988:E10999" si="1489">DATE(A10988,B10988,C10988)</f>
        <v>45970</v>
      </c>
      <c r="F10988" s="513" t="s">
        <v>1280</v>
      </c>
      <c r="G10988" s="200" t="s">
        <v>1209</v>
      </c>
      <c r="H10988" s="201"/>
      <c r="I10988" s="201"/>
      <c r="J10988" s="197" t="s">
        <v>16</v>
      </c>
      <c r="K10988" s="202">
        <v>372880</v>
      </c>
      <c r="L10988" s="202"/>
    </row>
    <row r="10989" spans="1:13" x14ac:dyDescent="0.2">
      <c r="A10989" s="120">
        <v>2025</v>
      </c>
      <c r="B10989" s="120">
        <v>11</v>
      </c>
      <c r="C10989" s="120">
        <v>9</v>
      </c>
      <c r="D10989" s="208">
        <f t="shared" si="1488"/>
        <v>45970</v>
      </c>
      <c r="E10989" s="209">
        <f t="shared" si="1489"/>
        <v>45970</v>
      </c>
      <c r="F10989" s="515"/>
      <c r="G10989" s="132" t="s">
        <v>1209</v>
      </c>
      <c r="J10989" s="120" t="s">
        <v>47</v>
      </c>
      <c r="K10989" s="207">
        <v>136511.37</v>
      </c>
      <c r="L10989" s="207"/>
    </row>
    <row r="10990" spans="1:13" x14ac:dyDescent="0.2">
      <c r="A10990" s="191">
        <v>2025</v>
      </c>
      <c r="B10990" s="191">
        <v>11</v>
      </c>
      <c r="C10990" s="191">
        <v>9</v>
      </c>
      <c r="D10990" s="192">
        <f t="shared" si="1488"/>
        <v>45970</v>
      </c>
      <c r="E10990" s="193">
        <f t="shared" si="1489"/>
        <v>45970</v>
      </c>
      <c r="F10990" s="514"/>
      <c r="G10990" s="194" t="s">
        <v>1209</v>
      </c>
      <c r="H10990" s="195"/>
      <c r="I10990" s="195"/>
      <c r="J10990" s="191" t="s">
        <v>46</v>
      </c>
      <c r="K10990" s="196"/>
      <c r="L10990" s="196">
        <v>509391.37</v>
      </c>
    </row>
    <row r="10991" spans="1:13" x14ac:dyDescent="0.2">
      <c r="A10991" s="197">
        <v>2025</v>
      </c>
      <c r="B10991" s="197">
        <v>11</v>
      </c>
      <c r="C10991" s="197">
        <v>9</v>
      </c>
      <c r="D10991" s="198">
        <f t="shared" si="1488"/>
        <v>45970</v>
      </c>
      <c r="E10991" s="209">
        <f t="shared" si="1489"/>
        <v>45970</v>
      </c>
      <c r="F10991" s="513" t="s">
        <v>1280</v>
      </c>
      <c r="G10991" s="200" t="s">
        <v>1209</v>
      </c>
      <c r="H10991" s="201"/>
      <c r="I10991" s="201"/>
      <c r="J10991" s="197" t="s">
        <v>16</v>
      </c>
      <c r="K10991" s="202">
        <v>80000</v>
      </c>
      <c r="L10991" s="202"/>
    </row>
    <row r="10992" spans="1:13" x14ac:dyDescent="0.2">
      <c r="A10992" s="120">
        <v>2025</v>
      </c>
      <c r="B10992" s="120">
        <v>11</v>
      </c>
      <c r="C10992" s="120">
        <v>9</v>
      </c>
      <c r="D10992" s="208">
        <f t="shared" si="1488"/>
        <v>45970</v>
      </c>
      <c r="E10992" s="209">
        <f t="shared" si="1489"/>
        <v>45970</v>
      </c>
      <c r="F10992" s="515"/>
      <c r="G10992" s="132" t="s">
        <v>1209</v>
      </c>
      <c r="J10992" s="120" t="s">
        <v>47</v>
      </c>
      <c r="K10992" s="207">
        <v>29288</v>
      </c>
      <c r="L10992" s="207"/>
    </row>
    <row r="10993" spans="1:14" x14ac:dyDescent="0.2">
      <c r="A10993" s="191">
        <v>2025</v>
      </c>
      <c r="B10993" s="191">
        <v>11</v>
      </c>
      <c r="C10993" s="191">
        <v>9</v>
      </c>
      <c r="D10993" s="192">
        <f t="shared" si="1488"/>
        <v>45970</v>
      </c>
      <c r="E10993" s="193">
        <f t="shared" si="1489"/>
        <v>45970</v>
      </c>
      <c r="F10993" s="514"/>
      <c r="G10993" s="194" t="s">
        <v>1209</v>
      </c>
      <c r="H10993" s="195"/>
      <c r="I10993" s="195"/>
      <c r="J10993" s="191" t="s">
        <v>46</v>
      </c>
      <c r="K10993" s="196"/>
      <c r="L10993" s="196">
        <v>109288</v>
      </c>
    </row>
    <row r="10994" spans="1:14" x14ac:dyDescent="0.2">
      <c r="A10994" s="197">
        <v>2025</v>
      </c>
      <c r="B10994" s="197">
        <v>11</v>
      </c>
      <c r="C10994" s="197">
        <v>9</v>
      </c>
      <c r="D10994" s="198">
        <f t="shared" si="1488"/>
        <v>45970</v>
      </c>
      <c r="E10994" s="209">
        <f t="shared" si="1489"/>
        <v>45970</v>
      </c>
      <c r="F10994" s="513" t="s">
        <v>1280</v>
      </c>
      <c r="G10994" s="200" t="s">
        <v>1209</v>
      </c>
      <c r="H10994" s="201"/>
      <c r="I10994" s="201"/>
      <c r="J10994" s="197" t="s">
        <v>16</v>
      </c>
      <c r="K10994" s="202">
        <v>14640</v>
      </c>
      <c r="L10994" s="202"/>
    </row>
    <row r="10995" spans="1:14" x14ac:dyDescent="0.2">
      <c r="A10995" s="120">
        <v>2025</v>
      </c>
      <c r="B10995" s="120">
        <v>11</v>
      </c>
      <c r="C10995" s="120">
        <v>9</v>
      </c>
      <c r="D10995" s="208">
        <f t="shared" si="1488"/>
        <v>45970</v>
      </c>
      <c r="E10995" s="209">
        <f t="shared" si="1489"/>
        <v>45970</v>
      </c>
      <c r="F10995" s="515"/>
      <c r="G10995" s="132" t="s">
        <v>1209</v>
      </c>
      <c r="J10995" s="120" t="s">
        <v>47</v>
      </c>
      <c r="K10995" s="207">
        <v>5360</v>
      </c>
      <c r="L10995" s="207"/>
    </row>
    <row r="10996" spans="1:14" x14ac:dyDescent="0.2">
      <c r="A10996" s="191">
        <v>2025</v>
      </c>
      <c r="B10996" s="191">
        <v>11</v>
      </c>
      <c r="C10996" s="191">
        <v>9</v>
      </c>
      <c r="D10996" s="192">
        <f t="shared" si="1488"/>
        <v>45970</v>
      </c>
      <c r="E10996" s="193">
        <f t="shared" si="1489"/>
        <v>45970</v>
      </c>
      <c r="F10996" s="514"/>
      <c r="G10996" s="194" t="s">
        <v>1209</v>
      </c>
      <c r="H10996" s="195"/>
      <c r="I10996" s="195"/>
      <c r="J10996" s="191" t="s">
        <v>46</v>
      </c>
      <c r="K10996" s="196"/>
      <c r="L10996" s="196">
        <v>20000</v>
      </c>
    </row>
    <row r="10997" spans="1:14" x14ac:dyDescent="0.2">
      <c r="A10997" s="197">
        <v>2025</v>
      </c>
      <c r="B10997" s="197">
        <v>11</v>
      </c>
      <c r="C10997" s="197">
        <v>9</v>
      </c>
      <c r="D10997" s="198">
        <f t="shared" si="1488"/>
        <v>45970</v>
      </c>
      <c r="E10997" s="209">
        <f t="shared" si="1489"/>
        <v>45970</v>
      </c>
      <c r="F10997" s="513" t="s">
        <v>1280</v>
      </c>
      <c r="G10997" s="200" t="s">
        <v>1209</v>
      </c>
      <c r="H10997" s="201"/>
      <c r="I10997" s="201"/>
      <c r="J10997" s="197" t="s">
        <v>16</v>
      </c>
      <c r="K10997" s="202">
        <v>51240</v>
      </c>
      <c r="L10997" s="202"/>
    </row>
    <row r="10998" spans="1:14" x14ac:dyDescent="0.2">
      <c r="A10998" s="120">
        <v>2025</v>
      </c>
      <c r="B10998" s="120">
        <v>11</v>
      </c>
      <c r="C10998" s="120">
        <v>9</v>
      </c>
      <c r="D10998" s="208">
        <f t="shared" si="1488"/>
        <v>45970</v>
      </c>
      <c r="E10998" s="209">
        <f t="shared" si="1489"/>
        <v>45970</v>
      </c>
      <c r="F10998" s="515"/>
      <c r="G10998" s="132" t="s">
        <v>1209</v>
      </c>
      <c r="J10998" s="120" t="s">
        <v>47</v>
      </c>
      <c r="K10998" s="207">
        <v>18760</v>
      </c>
      <c r="L10998" s="207"/>
    </row>
    <row r="10999" spans="1:14" x14ac:dyDescent="0.2">
      <c r="A10999" s="191">
        <v>2025</v>
      </c>
      <c r="B10999" s="191">
        <v>11</v>
      </c>
      <c r="C10999" s="191">
        <v>9</v>
      </c>
      <c r="D10999" s="192">
        <f t="shared" si="1488"/>
        <v>45970</v>
      </c>
      <c r="E10999" s="193">
        <f t="shared" si="1489"/>
        <v>45970</v>
      </c>
      <c r="F10999" s="514"/>
      <c r="G10999" s="194" t="s">
        <v>1209</v>
      </c>
      <c r="H10999" s="195"/>
      <c r="I10999" s="195"/>
      <c r="J10999" s="191" t="s">
        <v>46</v>
      </c>
      <c r="K10999" s="196"/>
      <c r="L10999" s="196">
        <v>70000</v>
      </c>
    </row>
    <row r="11000" spans="1:14" x14ac:dyDescent="0.2">
      <c r="A11000" s="197">
        <v>2025</v>
      </c>
      <c r="B11000" s="197">
        <v>11</v>
      </c>
      <c r="C11000" s="197">
        <v>9</v>
      </c>
      <c r="D11000" s="198">
        <f t="shared" si="1488"/>
        <v>45970</v>
      </c>
      <c r="E11000" s="209">
        <f t="shared" si="1487"/>
        <v>45970</v>
      </c>
      <c r="F11000" s="513" t="s">
        <v>1280</v>
      </c>
      <c r="G11000" s="200" t="s">
        <v>1209</v>
      </c>
      <c r="H11000" s="201"/>
      <c r="I11000" s="201"/>
      <c r="J11000" s="197" t="s">
        <v>16</v>
      </c>
      <c r="K11000" s="202">
        <v>7320</v>
      </c>
      <c r="L11000" s="202"/>
    </row>
    <row r="11001" spans="1:14" x14ac:dyDescent="0.2">
      <c r="A11001" s="120">
        <v>2025</v>
      </c>
      <c r="B11001" s="120">
        <v>11</v>
      </c>
      <c r="C11001" s="120">
        <v>9</v>
      </c>
      <c r="D11001" s="208">
        <f t="shared" si="1488"/>
        <v>45970</v>
      </c>
      <c r="E11001" s="209">
        <f t="shared" si="1487"/>
        <v>45970</v>
      </c>
      <c r="F11001" s="515"/>
      <c r="G11001" s="132" t="s">
        <v>1209</v>
      </c>
      <c r="J11001" s="120" t="s">
        <v>47</v>
      </c>
      <c r="K11001" s="207">
        <v>2680</v>
      </c>
      <c r="L11001" s="207"/>
    </row>
    <row r="11002" spans="1:14" x14ac:dyDescent="0.2">
      <c r="A11002" s="191">
        <v>2025</v>
      </c>
      <c r="B11002" s="191">
        <v>11</v>
      </c>
      <c r="C11002" s="191">
        <v>9</v>
      </c>
      <c r="D11002" s="192">
        <f t="shared" si="1488"/>
        <v>45970</v>
      </c>
      <c r="E11002" s="193">
        <f t="shared" si="1487"/>
        <v>45970</v>
      </c>
      <c r="F11002" s="514"/>
      <c r="G11002" s="194" t="s">
        <v>1209</v>
      </c>
      <c r="H11002" s="195"/>
      <c r="I11002" s="195"/>
      <c r="J11002" s="191" t="s">
        <v>46</v>
      </c>
      <c r="K11002" s="196"/>
      <c r="L11002" s="196">
        <v>10000</v>
      </c>
    </row>
    <row r="11003" spans="1:14" x14ac:dyDescent="0.2">
      <c r="A11003" s="197">
        <v>2025</v>
      </c>
      <c r="B11003" s="197">
        <v>11</v>
      </c>
      <c r="C11003" s="197">
        <v>9</v>
      </c>
      <c r="D11003" s="198">
        <f t="shared" si="1488"/>
        <v>45970</v>
      </c>
      <c r="E11003" s="209">
        <f t="shared" ref="E11003:E11005" si="1490">DATE(A11003,B11003,C11003)</f>
        <v>45970</v>
      </c>
      <c r="F11003" s="513" t="s">
        <v>1280</v>
      </c>
      <c r="G11003" s="200" t="s">
        <v>1209</v>
      </c>
      <c r="H11003" s="201"/>
      <c r="I11003" s="201"/>
      <c r="J11003" s="197" t="s">
        <v>16</v>
      </c>
      <c r="K11003" s="202">
        <v>5120</v>
      </c>
      <c r="L11003" s="202"/>
    </row>
    <row r="11004" spans="1:14" x14ac:dyDescent="0.2">
      <c r="A11004" s="120">
        <v>2025</v>
      </c>
      <c r="B11004" s="120">
        <v>11</v>
      </c>
      <c r="C11004" s="120">
        <v>9</v>
      </c>
      <c r="D11004" s="208">
        <f t="shared" si="1488"/>
        <v>45970</v>
      </c>
      <c r="E11004" s="209">
        <f t="shared" si="1490"/>
        <v>45970</v>
      </c>
      <c r="F11004" s="515"/>
      <c r="G11004" s="132" t="s">
        <v>1209</v>
      </c>
      <c r="J11004" s="120" t="s">
        <v>47</v>
      </c>
      <c r="K11004" s="207">
        <v>1880</v>
      </c>
      <c r="L11004" s="207"/>
    </row>
    <row r="11005" spans="1:14" x14ac:dyDescent="0.2">
      <c r="A11005" s="191">
        <v>2025</v>
      </c>
      <c r="B11005" s="191">
        <v>11</v>
      </c>
      <c r="C11005" s="191">
        <v>9</v>
      </c>
      <c r="D11005" s="192">
        <f t="shared" si="1488"/>
        <v>45970</v>
      </c>
      <c r="E11005" s="193">
        <f t="shared" si="1490"/>
        <v>45970</v>
      </c>
      <c r="F11005" s="514"/>
      <c r="G11005" s="194" t="s">
        <v>1209</v>
      </c>
      <c r="H11005" s="195"/>
      <c r="I11005" s="195"/>
      <c r="J11005" s="191" t="s">
        <v>46</v>
      </c>
      <c r="K11005" s="196"/>
      <c r="L11005" s="196">
        <v>7000</v>
      </c>
    </row>
    <row r="11006" spans="1:14" ht="11.25" customHeight="1" x14ac:dyDescent="0.2">
      <c r="A11006" s="197">
        <v>2025</v>
      </c>
      <c r="B11006" s="120">
        <v>11</v>
      </c>
      <c r="C11006" s="120">
        <v>9</v>
      </c>
      <c r="D11006" s="198">
        <f t="shared" si="1488"/>
        <v>45970</v>
      </c>
      <c r="E11006" s="199">
        <f t="shared" si="1487"/>
        <v>45970</v>
      </c>
      <c r="F11006" s="513" t="s">
        <v>2103</v>
      </c>
      <c r="G11006" s="200" t="s">
        <v>1209</v>
      </c>
      <c r="H11006" s="201"/>
      <c r="I11006" s="201" t="s">
        <v>1253</v>
      </c>
      <c r="J11006" s="197" t="s">
        <v>46</v>
      </c>
      <c r="K11006" s="202">
        <v>5002687.0999999996</v>
      </c>
      <c r="L11006" s="202"/>
    </row>
    <row r="11007" spans="1:14" x14ac:dyDescent="0.2">
      <c r="A11007" s="120">
        <v>2025</v>
      </c>
      <c r="B11007" s="120">
        <v>11</v>
      </c>
      <c r="C11007" s="120">
        <v>9</v>
      </c>
      <c r="D11007" s="208">
        <f t="shared" si="1488"/>
        <v>45970</v>
      </c>
      <c r="E11007" s="209">
        <f t="shared" si="1487"/>
        <v>45970</v>
      </c>
      <c r="F11007" s="515"/>
      <c r="G11007" s="132" t="s">
        <v>1209</v>
      </c>
      <c r="J11007" s="120" t="s">
        <v>179</v>
      </c>
      <c r="K11007" s="207"/>
      <c r="L11007" s="207">
        <v>488880.31</v>
      </c>
    </row>
    <row r="11008" spans="1:14" ht="11.25" customHeight="1" x14ac:dyDescent="0.2">
      <c r="A11008" s="191">
        <v>2025</v>
      </c>
      <c r="B11008" s="191">
        <v>11</v>
      </c>
      <c r="C11008" s="191">
        <v>9</v>
      </c>
      <c r="D11008" s="192">
        <f t="shared" si="1488"/>
        <v>45970</v>
      </c>
      <c r="E11008" s="193">
        <f t="shared" si="1487"/>
        <v>45970</v>
      </c>
      <c r="F11008" s="514"/>
      <c r="G11008" s="194" t="s">
        <v>1209</v>
      </c>
      <c r="H11008" s="195"/>
      <c r="I11008" s="195" t="s">
        <v>1253</v>
      </c>
      <c r="J11008" s="191" t="s">
        <v>70</v>
      </c>
      <c r="K11008" s="196"/>
      <c r="L11008" s="196">
        <v>4513806.79</v>
      </c>
      <c r="N11008" s="130"/>
    </row>
    <row r="11009" spans="1:15" ht="11.25" customHeight="1" x14ac:dyDescent="0.2">
      <c r="A11009" s="197">
        <v>2025</v>
      </c>
      <c r="B11009" s="197">
        <v>11</v>
      </c>
      <c r="C11009" s="197">
        <v>9</v>
      </c>
      <c r="D11009" s="198">
        <f t="shared" si="1488"/>
        <v>45970</v>
      </c>
      <c r="E11009" s="199">
        <f t="shared" si="1487"/>
        <v>45970</v>
      </c>
      <c r="F11009" s="513" t="s">
        <v>1923</v>
      </c>
      <c r="G11009" s="200" t="s">
        <v>1209</v>
      </c>
      <c r="H11009" s="201"/>
      <c r="I11009" s="201" t="s">
        <v>1253</v>
      </c>
      <c r="J11009" s="197" t="s">
        <v>1837</v>
      </c>
      <c r="K11009" s="202">
        <v>1435589.06</v>
      </c>
      <c r="L11009" s="202"/>
    </row>
    <row r="11010" spans="1:15" ht="11.25" customHeight="1" x14ac:dyDescent="0.2">
      <c r="A11010" s="191">
        <v>2025</v>
      </c>
      <c r="B11010" s="191">
        <v>11</v>
      </c>
      <c r="C11010" s="191">
        <v>9</v>
      </c>
      <c r="D11010" s="192">
        <f t="shared" si="1488"/>
        <v>45970</v>
      </c>
      <c r="E11010" s="193">
        <f t="shared" si="1487"/>
        <v>45970</v>
      </c>
      <c r="F11010" s="514"/>
      <c r="G11010" s="194" t="s">
        <v>1209</v>
      </c>
      <c r="H11010" s="195"/>
      <c r="I11010" s="195" t="s">
        <v>1253</v>
      </c>
      <c r="J11010" s="191" t="s">
        <v>46</v>
      </c>
      <c r="K11010" s="196"/>
      <c r="L11010" s="196">
        <f>K11009</f>
        <v>1435589.06</v>
      </c>
      <c r="N11010" s="130"/>
    </row>
    <row r="11011" spans="1:15" ht="11.25" customHeight="1" x14ac:dyDescent="0.2">
      <c r="A11011" s="197">
        <v>2025</v>
      </c>
      <c r="B11011" s="197">
        <v>11</v>
      </c>
      <c r="C11011" s="197">
        <v>9</v>
      </c>
      <c r="D11011" s="198">
        <f t="shared" si="1488"/>
        <v>45970</v>
      </c>
      <c r="E11011" s="199">
        <f t="shared" ref="E11011:E11042" si="1491">DATE(A11011,B11011,C11011)</f>
        <v>45970</v>
      </c>
      <c r="F11011" s="513" t="s">
        <v>1923</v>
      </c>
      <c r="G11011" s="200" t="s">
        <v>1209</v>
      </c>
      <c r="H11011" s="201"/>
      <c r="I11011" s="201" t="s">
        <v>1253</v>
      </c>
      <c r="J11011" s="197" t="s">
        <v>1837</v>
      </c>
      <c r="K11011" s="202">
        <v>2208598.5499999998</v>
      </c>
      <c r="L11011" s="202"/>
    </row>
    <row r="11012" spans="1:15" ht="11.25" customHeight="1" x14ac:dyDescent="0.2">
      <c r="A11012" s="191">
        <v>2025</v>
      </c>
      <c r="B11012" s="191">
        <v>11</v>
      </c>
      <c r="C11012" s="191">
        <v>9</v>
      </c>
      <c r="D11012" s="192">
        <f t="shared" si="1488"/>
        <v>45970</v>
      </c>
      <c r="E11012" s="193">
        <f t="shared" si="1491"/>
        <v>45970</v>
      </c>
      <c r="F11012" s="514"/>
      <c r="G11012" s="194" t="s">
        <v>1209</v>
      </c>
      <c r="H11012" s="195"/>
      <c r="I11012" s="195" t="s">
        <v>1253</v>
      </c>
      <c r="J11012" s="191" t="s">
        <v>46</v>
      </c>
      <c r="K11012" s="196"/>
      <c r="L11012" s="196">
        <f>K11011</f>
        <v>2208598.5499999998</v>
      </c>
      <c r="N11012" s="130"/>
    </row>
    <row r="11013" spans="1:15" x14ac:dyDescent="0.2">
      <c r="A11013" s="197">
        <v>2025</v>
      </c>
      <c r="B11013" s="197">
        <v>11</v>
      </c>
      <c r="C11013" s="197">
        <v>9</v>
      </c>
      <c r="D11013" s="198">
        <f t="shared" si="1488"/>
        <v>45970</v>
      </c>
      <c r="E11013" s="290">
        <f t="shared" si="1491"/>
        <v>45970</v>
      </c>
      <c r="F11013" s="513" t="s">
        <v>1514</v>
      </c>
      <c r="G11013" s="200" t="s">
        <v>1209</v>
      </c>
      <c r="H11013" s="201"/>
      <c r="I11013" s="201"/>
      <c r="J11013" s="197" t="s">
        <v>54</v>
      </c>
      <c r="K11013" s="202">
        <f>100+58+58</f>
        <v>216</v>
      </c>
      <c r="L11013" s="202"/>
      <c r="M11013" s="251"/>
      <c r="N11013" s="251"/>
      <c r="O11013" s="251"/>
    </row>
    <row r="11014" spans="1:15" ht="11.25" customHeight="1" x14ac:dyDescent="0.2">
      <c r="A11014" s="191">
        <v>2025</v>
      </c>
      <c r="B11014" s="191">
        <v>11</v>
      </c>
      <c r="C11014" s="191">
        <v>9</v>
      </c>
      <c r="D11014" s="192">
        <f t="shared" si="1488"/>
        <v>45970</v>
      </c>
      <c r="E11014" s="291">
        <f t="shared" si="1491"/>
        <v>45970</v>
      </c>
      <c r="F11014" s="514"/>
      <c r="G11014" s="194" t="s">
        <v>1209</v>
      </c>
      <c r="H11014" s="195"/>
      <c r="I11014" s="195"/>
      <c r="J11014" s="191" t="s">
        <v>46</v>
      </c>
      <c r="K11014" s="196"/>
      <c r="L11014" s="196">
        <f>K11013</f>
        <v>216</v>
      </c>
      <c r="M11014" s="251"/>
    </row>
    <row r="11015" spans="1:15" x14ac:dyDescent="0.2">
      <c r="A11015" s="197">
        <v>2025</v>
      </c>
      <c r="B11015" s="197">
        <v>11</v>
      </c>
      <c r="C11015" s="197">
        <v>10</v>
      </c>
      <c r="D11015" s="198">
        <f t="shared" si="1488"/>
        <v>45971</v>
      </c>
      <c r="E11015" s="290">
        <f t="shared" ref="E11015:E11016" si="1492">DATE(A11015,B11015,C11015)</f>
        <v>45971</v>
      </c>
      <c r="F11015" s="513" t="s">
        <v>1514</v>
      </c>
      <c r="G11015" s="200" t="s">
        <v>1209</v>
      </c>
      <c r="H11015" s="201"/>
      <c r="I11015" s="201"/>
      <c r="J11015" s="197" t="s">
        <v>54</v>
      </c>
      <c r="K11015" s="202">
        <f>58+60</f>
        <v>118</v>
      </c>
      <c r="L11015" s="202"/>
      <c r="M11015" s="251"/>
      <c r="N11015" s="251"/>
      <c r="O11015" s="251"/>
    </row>
    <row r="11016" spans="1:15" ht="11.25" customHeight="1" x14ac:dyDescent="0.2">
      <c r="A11016" s="191">
        <v>2025</v>
      </c>
      <c r="B11016" s="191">
        <v>11</v>
      </c>
      <c r="C11016" s="191">
        <v>10</v>
      </c>
      <c r="D11016" s="192">
        <f t="shared" si="1488"/>
        <v>45971</v>
      </c>
      <c r="E11016" s="291">
        <f t="shared" si="1492"/>
        <v>45971</v>
      </c>
      <c r="F11016" s="514"/>
      <c r="G11016" s="194" t="s">
        <v>1209</v>
      </c>
      <c r="H11016" s="195"/>
      <c r="I11016" s="195"/>
      <c r="J11016" s="191" t="s">
        <v>46</v>
      </c>
      <c r="K11016" s="196"/>
      <c r="L11016" s="196">
        <f>K11015</f>
        <v>118</v>
      </c>
      <c r="M11016" s="251"/>
    </row>
    <row r="11017" spans="1:15" ht="11.25" customHeight="1" x14ac:dyDescent="0.2">
      <c r="A11017" s="197">
        <v>2025</v>
      </c>
      <c r="B11017" s="197">
        <v>11</v>
      </c>
      <c r="C11017" s="197">
        <v>10</v>
      </c>
      <c r="D11017" s="198">
        <f t="shared" si="1488"/>
        <v>45971</v>
      </c>
      <c r="E11017" s="290">
        <f t="shared" si="1491"/>
        <v>45971</v>
      </c>
      <c r="F11017" s="513" t="s">
        <v>2033</v>
      </c>
      <c r="G11017" s="200" t="s">
        <v>1245</v>
      </c>
      <c r="H11017" s="201"/>
      <c r="I11017" s="201" t="s">
        <v>1253</v>
      </c>
      <c r="J11017" s="197" t="s">
        <v>46</v>
      </c>
      <c r="K11017" s="202">
        <v>101666.67</v>
      </c>
      <c r="L11017" s="202"/>
      <c r="M11017" s="130"/>
      <c r="N11017" s="251"/>
    </row>
    <row r="11018" spans="1:15" ht="11.25" customHeight="1" x14ac:dyDescent="0.2">
      <c r="A11018" s="191">
        <v>2025</v>
      </c>
      <c r="B11018" s="191">
        <v>11</v>
      </c>
      <c r="C11018" s="191">
        <v>10</v>
      </c>
      <c r="D11018" s="192">
        <f t="shared" si="1488"/>
        <v>45971</v>
      </c>
      <c r="E11018" s="291">
        <f t="shared" si="1491"/>
        <v>45971</v>
      </c>
      <c r="F11018" s="527"/>
      <c r="G11018" s="194" t="s">
        <v>1245</v>
      </c>
      <c r="H11018" s="195"/>
      <c r="I11018" s="195" t="s">
        <v>1253</v>
      </c>
      <c r="J11018" s="191" t="s">
        <v>113</v>
      </c>
      <c r="K11018" s="196"/>
      <c r="L11018" s="196">
        <v>101666.67</v>
      </c>
      <c r="N11018" s="251"/>
    </row>
    <row r="11019" spans="1:15" x14ac:dyDescent="0.2">
      <c r="A11019" s="197">
        <v>2025</v>
      </c>
      <c r="B11019" s="197">
        <v>11</v>
      </c>
      <c r="C11019" s="197">
        <v>10</v>
      </c>
      <c r="D11019" s="198">
        <f t="shared" si="1488"/>
        <v>45971</v>
      </c>
      <c r="E11019" s="290">
        <f t="shared" si="1491"/>
        <v>45971</v>
      </c>
      <c r="F11019" s="513" t="s">
        <v>1514</v>
      </c>
      <c r="G11019" s="200" t="s">
        <v>1209</v>
      </c>
      <c r="H11019" s="201"/>
      <c r="I11019" s="201"/>
      <c r="J11019" s="197" t="s">
        <v>54</v>
      </c>
      <c r="K11019" s="202">
        <v>200</v>
      </c>
      <c r="L11019" s="202"/>
      <c r="M11019" s="251"/>
      <c r="N11019" s="251"/>
      <c r="O11019" s="251"/>
    </row>
    <row r="11020" spans="1:15" ht="11.25" customHeight="1" x14ac:dyDescent="0.2">
      <c r="A11020" s="191">
        <v>2025</v>
      </c>
      <c r="B11020" s="191">
        <v>11</v>
      </c>
      <c r="C11020" s="191">
        <v>10</v>
      </c>
      <c r="D11020" s="192">
        <f t="shared" si="1488"/>
        <v>45971</v>
      </c>
      <c r="E11020" s="291">
        <f t="shared" si="1491"/>
        <v>45971</v>
      </c>
      <c r="F11020" s="514"/>
      <c r="G11020" s="194" t="s">
        <v>1209</v>
      </c>
      <c r="H11020" s="195"/>
      <c r="I11020" s="195"/>
      <c r="J11020" s="191" t="s">
        <v>46</v>
      </c>
      <c r="K11020" s="196"/>
      <c r="L11020" s="196">
        <f>K11019</f>
        <v>200</v>
      </c>
      <c r="M11020" s="251"/>
    </row>
    <row r="11021" spans="1:15" x14ac:dyDescent="0.2">
      <c r="A11021" s="197">
        <v>2025</v>
      </c>
      <c r="B11021" s="197">
        <v>11</v>
      </c>
      <c r="C11021" s="197">
        <v>10</v>
      </c>
      <c r="D11021" s="198">
        <f t="shared" si="1488"/>
        <v>45971</v>
      </c>
      <c r="E11021" s="209">
        <f t="shared" ref="E11021:E11026" si="1493">DATE(A11021,B11021,C11021)</f>
        <v>45971</v>
      </c>
      <c r="F11021" s="513" t="s">
        <v>1280</v>
      </c>
      <c r="G11021" s="200" t="s">
        <v>1209</v>
      </c>
      <c r="H11021" s="201"/>
      <c r="I11021" s="201"/>
      <c r="J11021" s="197" t="s">
        <v>16</v>
      </c>
      <c r="K11021" s="202">
        <v>250000</v>
      </c>
      <c r="L11021" s="202"/>
    </row>
    <row r="11022" spans="1:15" x14ac:dyDescent="0.2">
      <c r="A11022" s="120">
        <v>2025</v>
      </c>
      <c r="B11022" s="120">
        <v>11</v>
      </c>
      <c r="C11022" s="120">
        <v>10</v>
      </c>
      <c r="D11022" s="208">
        <f t="shared" si="1488"/>
        <v>45971</v>
      </c>
      <c r="E11022" s="209">
        <f t="shared" si="1493"/>
        <v>45971</v>
      </c>
      <c r="F11022" s="515"/>
      <c r="G11022" s="132" t="s">
        <v>1209</v>
      </c>
      <c r="J11022" s="120" t="s">
        <v>47</v>
      </c>
      <c r="K11022" s="207">
        <v>91500</v>
      </c>
      <c r="L11022" s="207"/>
    </row>
    <row r="11023" spans="1:15" x14ac:dyDescent="0.2">
      <c r="A11023" s="191">
        <v>2025</v>
      </c>
      <c r="B11023" s="191">
        <v>11</v>
      </c>
      <c r="C11023" s="191">
        <v>10</v>
      </c>
      <c r="D11023" s="192">
        <f t="shared" si="1488"/>
        <v>45971</v>
      </c>
      <c r="E11023" s="193">
        <f t="shared" si="1493"/>
        <v>45971</v>
      </c>
      <c r="F11023" s="514"/>
      <c r="G11023" s="194" t="s">
        <v>1209</v>
      </c>
      <c r="H11023" s="195"/>
      <c r="I11023" s="195"/>
      <c r="J11023" s="191" t="s">
        <v>46</v>
      </c>
      <c r="K11023" s="196"/>
      <c r="L11023" s="196">
        <v>341500</v>
      </c>
    </row>
    <row r="11024" spans="1:15" x14ac:dyDescent="0.2">
      <c r="A11024" s="197">
        <v>2025</v>
      </c>
      <c r="B11024" s="197">
        <v>11</v>
      </c>
      <c r="C11024" s="197">
        <v>10</v>
      </c>
      <c r="D11024" s="198">
        <f t="shared" si="1488"/>
        <v>45971</v>
      </c>
      <c r="E11024" s="209">
        <f t="shared" si="1493"/>
        <v>45971</v>
      </c>
      <c r="F11024" s="513" t="s">
        <v>1210</v>
      </c>
      <c r="G11024" s="200" t="s">
        <v>1209</v>
      </c>
      <c r="H11024" s="201"/>
      <c r="I11024" s="201"/>
      <c r="J11024" s="197" t="s">
        <v>46</v>
      </c>
      <c r="K11024" s="202">
        <v>1000000</v>
      </c>
      <c r="L11024" s="202"/>
    </row>
    <row r="11025" spans="1:14" x14ac:dyDescent="0.2">
      <c r="A11025" s="120">
        <v>2025</v>
      </c>
      <c r="B11025" s="120">
        <v>11</v>
      </c>
      <c r="C11025" s="120">
        <v>10</v>
      </c>
      <c r="D11025" s="208">
        <f t="shared" si="1488"/>
        <v>45971</v>
      </c>
      <c r="E11025" s="209">
        <f t="shared" si="1493"/>
        <v>45971</v>
      </c>
      <c r="F11025" s="515"/>
      <c r="G11025" s="132" t="s">
        <v>1209</v>
      </c>
      <c r="J11025" s="120" t="s">
        <v>16</v>
      </c>
      <c r="K11025" s="207"/>
      <c r="L11025" s="207">
        <v>732060</v>
      </c>
    </row>
    <row r="11026" spans="1:14" x14ac:dyDescent="0.2">
      <c r="A11026" s="191">
        <v>2025</v>
      </c>
      <c r="B11026" s="191">
        <v>11</v>
      </c>
      <c r="C11026" s="191">
        <v>10</v>
      </c>
      <c r="D11026" s="192">
        <f t="shared" si="1488"/>
        <v>45971</v>
      </c>
      <c r="E11026" s="193">
        <f t="shared" si="1493"/>
        <v>45971</v>
      </c>
      <c r="F11026" s="514"/>
      <c r="G11026" s="194" t="s">
        <v>1209</v>
      </c>
      <c r="H11026" s="195"/>
      <c r="I11026" s="195"/>
      <c r="J11026" s="191" t="s">
        <v>47</v>
      </c>
      <c r="K11026" s="196"/>
      <c r="L11026" s="196">
        <v>267940</v>
      </c>
    </row>
    <row r="11027" spans="1:14" x14ac:dyDescent="0.2">
      <c r="A11027" s="197">
        <v>2025</v>
      </c>
      <c r="B11027" s="197">
        <v>11</v>
      </c>
      <c r="C11027" s="197">
        <v>10</v>
      </c>
      <c r="D11027" s="198">
        <f t="shared" si="1488"/>
        <v>45971</v>
      </c>
      <c r="E11027" s="209">
        <f>DATE(A11027,B11027,C11027)</f>
        <v>45971</v>
      </c>
      <c r="F11027" s="513" t="s">
        <v>1280</v>
      </c>
      <c r="G11027" s="200" t="s">
        <v>1209</v>
      </c>
      <c r="H11027" s="201"/>
      <c r="I11027" s="201"/>
      <c r="J11027" s="197" t="s">
        <v>16</v>
      </c>
      <c r="K11027" s="202">
        <v>9250</v>
      </c>
      <c r="L11027" s="202"/>
    </row>
    <row r="11028" spans="1:14" x14ac:dyDescent="0.2">
      <c r="A11028" s="120">
        <v>2025</v>
      </c>
      <c r="B11028" s="120">
        <v>11</v>
      </c>
      <c r="C11028" s="120">
        <v>10</v>
      </c>
      <c r="D11028" s="208">
        <f t="shared" si="1488"/>
        <v>45971</v>
      </c>
      <c r="E11028" s="209">
        <f>DATE(A11028,B11028,C11028)</f>
        <v>45971</v>
      </c>
      <c r="F11028" s="515"/>
      <c r="G11028" s="132" t="s">
        <v>1209</v>
      </c>
      <c r="J11028" s="120" t="s">
        <v>47</v>
      </c>
      <c r="K11028" s="207">
        <v>3389.1800000000003</v>
      </c>
      <c r="L11028" s="207"/>
    </row>
    <row r="11029" spans="1:14" x14ac:dyDescent="0.2">
      <c r="A11029" s="191">
        <v>2025</v>
      </c>
      <c r="B11029" s="191">
        <v>11</v>
      </c>
      <c r="C11029" s="191">
        <v>10</v>
      </c>
      <c r="D11029" s="192">
        <f t="shared" si="1488"/>
        <v>45971</v>
      </c>
      <c r="E11029" s="193">
        <f>DATE(A11029,B11029,C11029)</f>
        <v>45971</v>
      </c>
      <c r="F11029" s="514"/>
      <c r="G11029" s="194" t="s">
        <v>1209</v>
      </c>
      <c r="H11029" s="195"/>
      <c r="I11029" s="195"/>
      <c r="J11029" s="191" t="s">
        <v>46</v>
      </c>
      <c r="K11029" s="196"/>
      <c r="L11029" s="196">
        <v>12639.18</v>
      </c>
    </row>
    <row r="11030" spans="1:14" x14ac:dyDescent="0.2">
      <c r="A11030" s="197">
        <v>2025</v>
      </c>
      <c r="B11030" s="197">
        <v>11</v>
      </c>
      <c r="C11030" s="197">
        <v>10</v>
      </c>
      <c r="D11030" s="198">
        <f t="shared" si="1488"/>
        <v>45971</v>
      </c>
      <c r="E11030" s="209">
        <f t="shared" ref="E11030:E11035" si="1494">DATE(A11030,B11030,C11030)</f>
        <v>45971</v>
      </c>
      <c r="F11030" s="513" t="s">
        <v>1210</v>
      </c>
      <c r="G11030" s="200" t="s">
        <v>1209</v>
      </c>
      <c r="H11030" s="201"/>
      <c r="I11030" s="201"/>
      <c r="J11030" s="197" t="s">
        <v>46</v>
      </c>
      <c r="K11030" s="202">
        <v>2000000</v>
      </c>
      <c r="L11030" s="202"/>
    </row>
    <row r="11031" spans="1:14" x14ac:dyDescent="0.2">
      <c r="A11031" s="120">
        <v>2025</v>
      </c>
      <c r="B11031" s="120">
        <v>11</v>
      </c>
      <c r="C11031" s="120">
        <v>10</v>
      </c>
      <c r="D11031" s="208">
        <f t="shared" si="1488"/>
        <v>45971</v>
      </c>
      <c r="E11031" s="209">
        <f t="shared" si="1494"/>
        <v>45971</v>
      </c>
      <c r="F11031" s="515"/>
      <c r="G11031" s="132" t="s">
        <v>1209</v>
      </c>
      <c r="J11031" s="120" t="s">
        <v>16</v>
      </c>
      <c r="K11031" s="207"/>
      <c r="L11031" s="207">
        <v>1467000</v>
      </c>
    </row>
    <row r="11032" spans="1:14" x14ac:dyDescent="0.2">
      <c r="A11032" s="191">
        <v>2025</v>
      </c>
      <c r="B11032" s="191">
        <v>11</v>
      </c>
      <c r="C11032" s="191">
        <v>10</v>
      </c>
      <c r="D11032" s="192">
        <f t="shared" si="1488"/>
        <v>45971</v>
      </c>
      <c r="E11032" s="193">
        <f t="shared" si="1494"/>
        <v>45971</v>
      </c>
      <c r="F11032" s="514"/>
      <c r="G11032" s="194" t="s">
        <v>1209</v>
      </c>
      <c r="H11032" s="195"/>
      <c r="I11032" s="195"/>
      <c r="J11032" s="191" t="s">
        <v>47</v>
      </c>
      <c r="K11032" s="196"/>
      <c r="L11032" s="196">
        <v>533000</v>
      </c>
    </row>
    <row r="11033" spans="1:14" x14ac:dyDescent="0.2">
      <c r="A11033" s="197">
        <v>2025</v>
      </c>
      <c r="B11033" s="197">
        <v>11</v>
      </c>
      <c r="C11033" s="197">
        <v>10</v>
      </c>
      <c r="D11033" s="198">
        <f t="shared" si="1488"/>
        <v>45971</v>
      </c>
      <c r="E11033" s="209">
        <f t="shared" si="1494"/>
        <v>45971</v>
      </c>
      <c r="F11033" s="513" t="s">
        <v>1296</v>
      </c>
      <c r="G11033" s="200" t="s">
        <v>1209</v>
      </c>
      <c r="H11033" s="201"/>
      <c r="I11033" s="201"/>
      <c r="J11033" s="197" t="s">
        <v>46</v>
      </c>
      <c r="K11033" s="202">
        <v>7000</v>
      </c>
      <c r="L11033" s="202"/>
    </row>
    <row r="11034" spans="1:14" x14ac:dyDescent="0.2">
      <c r="A11034" s="120">
        <v>2025</v>
      </c>
      <c r="B11034" s="120">
        <v>11</v>
      </c>
      <c r="C11034" s="120">
        <v>10</v>
      </c>
      <c r="D11034" s="208">
        <f t="shared" si="1488"/>
        <v>45971</v>
      </c>
      <c r="E11034" s="209">
        <f t="shared" si="1494"/>
        <v>45971</v>
      </c>
      <c r="F11034" s="515"/>
      <c r="G11034" s="132" t="s">
        <v>1209</v>
      </c>
      <c r="J11034" s="120" t="s">
        <v>16</v>
      </c>
      <c r="K11034" s="207"/>
      <c r="L11034" s="207">
        <v>5120</v>
      </c>
    </row>
    <row r="11035" spans="1:14" x14ac:dyDescent="0.2">
      <c r="A11035" s="191">
        <v>2025</v>
      </c>
      <c r="B11035" s="191">
        <v>11</v>
      </c>
      <c r="C11035" s="191">
        <v>10</v>
      </c>
      <c r="D11035" s="192">
        <f t="shared" si="1488"/>
        <v>45971</v>
      </c>
      <c r="E11035" s="193">
        <f t="shared" si="1494"/>
        <v>45971</v>
      </c>
      <c r="F11035" s="514"/>
      <c r="G11035" s="194" t="s">
        <v>1209</v>
      </c>
      <c r="H11035" s="195"/>
      <c r="I11035" s="195"/>
      <c r="J11035" s="191" t="s">
        <v>47</v>
      </c>
      <c r="K11035" s="196"/>
      <c r="L11035" s="196">
        <v>1880</v>
      </c>
    </row>
    <row r="11036" spans="1:14" x14ac:dyDescent="0.2">
      <c r="A11036" s="197">
        <v>2025</v>
      </c>
      <c r="B11036" s="197">
        <v>11</v>
      </c>
      <c r="C11036" s="197">
        <v>11</v>
      </c>
      <c r="D11036" s="198">
        <f t="shared" si="1488"/>
        <v>45972</v>
      </c>
      <c r="E11036" s="209">
        <f t="shared" ref="E11036:E11038" si="1495">DATE(A11036,B11036,C11036)</f>
        <v>45972</v>
      </c>
      <c r="F11036" s="513" t="s">
        <v>1210</v>
      </c>
      <c r="G11036" s="200" t="s">
        <v>1209</v>
      </c>
      <c r="H11036" s="201"/>
      <c r="I11036" s="201"/>
      <c r="J11036" s="197" t="s">
        <v>46</v>
      </c>
      <c r="K11036" s="202">
        <v>120000</v>
      </c>
      <c r="L11036" s="202"/>
    </row>
    <row r="11037" spans="1:14" x14ac:dyDescent="0.2">
      <c r="A11037" s="120">
        <v>2025</v>
      </c>
      <c r="B11037" s="120">
        <v>11</v>
      </c>
      <c r="C11037" s="120">
        <v>11</v>
      </c>
      <c r="D11037" s="208">
        <f t="shared" si="1488"/>
        <v>45972</v>
      </c>
      <c r="E11037" s="209">
        <f t="shared" si="1495"/>
        <v>45972</v>
      </c>
      <c r="F11037" s="515"/>
      <c r="G11037" s="132" t="s">
        <v>1209</v>
      </c>
      <c r="J11037" s="120" t="s">
        <v>16</v>
      </c>
      <c r="K11037" s="207"/>
      <c r="L11037" s="207">
        <v>87850</v>
      </c>
    </row>
    <row r="11038" spans="1:14" x14ac:dyDescent="0.2">
      <c r="A11038" s="191">
        <v>2025</v>
      </c>
      <c r="B11038" s="191">
        <v>11</v>
      </c>
      <c r="C11038" s="191">
        <v>11</v>
      </c>
      <c r="D11038" s="192">
        <f t="shared" si="1488"/>
        <v>45972</v>
      </c>
      <c r="E11038" s="193">
        <f t="shared" si="1495"/>
        <v>45972</v>
      </c>
      <c r="F11038" s="514"/>
      <c r="G11038" s="194" t="s">
        <v>1209</v>
      </c>
      <c r="H11038" s="195"/>
      <c r="I11038" s="195"/>
      <c r="J11038" s="191" t="s">
        <v>47</v>
      </c>
      <c r="K11038" s="196"/>
      <c r="L11038" s="196">
        <v>32150</v>
      </c>
    </row>
    <row r="11039" spans="1:14" ht="11.25" customHeight="1" x14ac:dyDescent="0.2">
      <c r="A11039" s="197">
        <v>2025</v>
      </c>
      <c r="B11039" s="197">
        <v>11</v>
      </c>
      <c r="C11039" s="197">
        <v>11</v>
      </c>
      <c r="D11039" s="198">
        <f t="shared" si="1488"/>
        <v>45972</v>
      </c>
      <c r="E11039" s="290">
        <f t="shared" si="1491"/>
        <v>45972</v>
      </c>
      <c r="F11039" s="513" t="s">
        <v>2034</v>
      </c>
      <c r="G11039" s="200" t="s">
        <v>1245</v>
      </c>
      <c r="H11039" s="201"/>
      <c r="I11039" s="201" t="s">
        <v>1253</v>
      </c>
      <c r="J11039" s="197" t="s">
        <v>46</v>
      </c>
      <c r="K11039" s="202">
        <v>305000</v>
      </c>
      <c r="L11039" s="202"/>
      <c r="M11039" s="130"/>
    </row>
    <row r="11040" spans="1:14" ht="11.25" customHeight="1" x14ac:dyDescent="0.2">
      <c r="A11040" s="191">
        <v>2025</v>
      </c>
      <c r="B11040" s="191">
        <v>11</v>
      </c>
      <c r="C11040" s="191">
        <v>11</v>
      </c>
      <c r="D11040" s="192">
        <f t="shared" si="1488"/>
        <v>45972</v>
      </c>
      <c r="E11040" s="291">
        <f t="shared" si="1491"/>
        <v>45972</v>
      </c>
      <c r="F11040" s="527"/>
      <c r="G11040" s="194" t="s">
        <v>1245</v>
      </c>
      <c r="H11040" s="195"/>
      <c r="I11040" s="195" t="s">
        <v>1253</v>
      </c>
      <c r="J11040" s="191" t="s">
        <v>113</v>
      </c>
      <c r="K11040" s="196"/>
      <c r="L11040" s="196">
        <v>305000</v>
      </c>
      <c r="N11040" s="251"/>
    </row>
    <row r="11041" spans="1:15" ht="11.25" customHeight="1" x14ac:dyDescent="0.2">
      <c r="A11041" s="197">
        <v>2025</v>
      </c>
      <c r="B11041" s="197">
        <v>11</v>
      </c>
      <c r="C11041" s="197">
        <v>11</v>
      </c>
      <c r="D11041" s="198">
        <f t="shared" si="1488"/>
        <v>45972</v>
      </c>
      <c r="E11041" s="290">
        <f t="shared" si="1491"/>
        <v>45972</v>
      </c>
      <c r="F11041" s="513" t="s">
        <v>2104</v>
      </c>
      <c r="G11041" s="200" t="s">
        <v>1209</v>
      </c>
      <c r="H11041" s="201"/>
      <c r="I11041" s="201" t="s">
        <v>1253</v>
      </c>
      <c r="J11041" s="197" t="s">
        <v>46</v>
      </c>
      <c r="K11041" s="202">
        <v>6150</v>
      </c>
      <c r="L11041" s="202"/>
    </row>
    <row r="11042" spans="1:15" ht="11.25" customHeight="1" x14ac:dyDescent="0.2">
      <c r="A11042" s="191">
        <v>2025</v>
      </c>
      <c r="B11042" s="191">
        <v>11</v>
      </c>
      <c r="C11042" s="191">
        <v>11</v>
      </c>
      <c r="D11042" s="192">
        <f t="shared" si="1488"/>
        <v>45972</v>
      </c>
      <c r="E11042" s="291">
        <f t="shared" si="1491"/>
        <v>45972</v>
      </c>
      <c r="F11042" s="514"/>
      <c r="G11042" s="194" t="s">
        <v>1209</v>
      </c>
      <c r="H11042" s="195"/>
      <c r="I11042" s="195"/>
      <c r="J11042" s="191" t="s">
        <v>1845</v>
      </c>
      <c r="K11042" s="196"/>
      <c r="L11042" s="196">
        <f>K11041</f>
        <v>6150</v>
      </c>
    </row>
    <row r="11043" spans="1:15" x14ac:dyDescent="0.2">
      <c r="A11043" s="197">
        <v>2025</v>
      </c>
      <c r="B11043" s="197">
        <v>11</v>
      </c>
      <c r="C11043" s="197">
        <v>11</v>
      </c>
      <c r="D11043" s="198">
        <f t="shared" si="1488"/>
        <v>45972</v>
      </c>
      <c r="E11043" s="209">
        <f t="shared" ref="E11043:E11051" si="1496">DATE(A11043,B11043,C11043)</f>
        <v>45972</v>
      </c>
      <c r="F11043" s="513" t="s">
        <v>1280</v>
      </c>
      <c r="G11043" s="200" t="s">
        <v>1209</v>
      </c>
      <c r="H11043" s="201"/>
      <c r="I11043" s="201"/>
      <c r="J11043" s="197" t="s">
        <v>16</v>
      </c>
      <c r="K11043" s="202">
        <v>366030</v>
      </c>
      <c r="L11043" s="202"/>
    </row>
    <row r="11044" spans="1:15" x14ac:dyDescent="0.2">
      <c r="A11044" s="120">
        <v>2025</v>
      </c>
      <c r="B11044" s="120">
        <v>11</v>
      </c>
      <c r="C11044" s="120">
        <v>11</v>
      </c>
      <c r="D11044" s="208">
        <f t="shared" si="1488"/>
        <v>45972</v>
      </c>
      <c r="E11044" s="209">
        <f t="shared" si="1496"/>
        <v>45972</v>
      </c>
      <c r="F11044" s="515"/>
      <c r="G11044" s="132" t="s">
        <v>1209</v>
      </c>
      <c r="J11044" s="120" t="s">
        <v>47</v>
      </c>
      <c r="K11044" s="207">
        <v>133970</v>
      </c>
      <c r="L11044" s="207"/>
    </row>
    <row r="11045" spans="1:15" x14ac:dyDescent="0.2">
      <c r="A11045" s="191">
        <v>2025</v>
      </c>
      <c r="B11045" s="191">
        <v>11</v>
      </c>
      <c r="C11045" s="191">
        <v>11</v>
      </c>
      <c r="D11045" s="192">
        <f t="shared" si="1488"/>
        <v>45972</v>
      </c>
      <c r="E11045" s="193">
        <f t="shared" si="1496"/>
        <v>45972</v>
      </c>
      <c r="F11045" s="514"/>
      <c r="G11045" s="194" t="s">
        <v>1209</v>
      </c>
      <c r="H11045" s="195"/>
      <c r="I11045" s="195"/>
      <c r="J11045" s="191" t="s">
        <v>46</v>
      </c>
      <c r="K11045" s="196"/>
      <c r="L11045" s="196">
        <v>500000</v>
      </c>
    </row>
    <row r="11046" spans="1:15" x14ac:dyDescent="0.2">
      <c r="A11046" s="197">
        <v>2025</v>
      </c>
      <c r="B11046" s="197">
        <v>11</v>
      </c>
      <c r="C11046" s="197">
        <v>11</v>
      </c>
      <c r="D11046" s="198">
        <f t="shared" si="1488"/>
        <v>45972</v>
      </c>
      <c r="E11046" s="209">
        <f t="shared" si="1496"/>
        <v>45972</v>
      </c>
      <c r="F11046" s="513" t="s">
        <v>1280</v>
      </c>
      <c r="G11046" s="200" t="s">
        <v>1209</v>
      </c>
      <c r="H11046" s="201"/>
      <c r="I11046" s="201"/>
      <c r="J11046" s="197" t="s">
        <v>16</v>
      </c>
      <c r="K11046" s="202">
        <v>981330</v>
      </c>
      <c r="L11046" s="202"/>
    </row>
    <row r="11047" spans="1:15" x14ac:dyDescent="0.2">
      <c r="A11047" s="120">
        <v>2025</v>
      </c>
      <c r="B11047" s="120">
        <v>11</v>
      </c>
      <c r="C11047" s="120">
        <v>11</v>
      </c>
      <c r="D11047" s="208">
        <f t="shared" si="1488"/>
        <v>45972</v>
      </c>
      <c r="E11047" s="209">
        <f t="shared" si="1496"/>
        <v>45972</v>
      </c>
      <c r="F11047" s="515"/>
      <c r="G11047" s="132" t="s">
        <v>1209</v>
      </c>
      <c r="J11047" s="120" t="s">
        <v>47</v>
      </c>
      <c r="K11047" s="207">
        <v>359166.78</v>
      </c>
      <c r="L11047" s="207"/>
    </row>
    <row r="11048" spans="1:15" x14ac:dyDescent="0.2">
      <c r="A11048" s="191">
        <v>2025</v>
      </c>
      <c r="B11048" s="191">
        <v>11</v>
      </c>
      <c r="C11048" s="191">
        <v>11</v>
      </c>
      <c r="D11048" s="192">
        <f t="shared" si="1488"/>
        <v>45972</v>
      </c>
      <c r="E11048" s="193">
        <f t="shared" si="1496"/>
        <v>45972</v>
      </c>
      <c r="F11048" s="514"/>
      <c r="G11048" s="194" t="s">
        <v>1209</v>
      </c>
      <c r="H11048" s="195"/>
      <c r="I11048" s="195"/>
      <c r="J11048" s="191" t="s">
        <v>46</v>
      </c>
      <c r="K11048" s="196"/>
      <c r="L11048" s="196">
        <v>1340496.78</v>
      </c>
    </row>
    <row r="11049" spans="1:15" x14ac:dyDescent="0.2">
      <c r="A11049" s="197">
        <v>2025</v>
      </c>
      <c r="B11049" s="197">
        <v>11</v>
      </c>
      <c r="C11049" s="197">
        <v>11</v>
      </c>
      <c r="D11049" s="198">
        <f t="shared" si="1488"/>
        <v>45972</v>
      </c>
      <c r="E11049" s="209">
        <f t="shared" si="1496"/>
        <v>45972</v>
      </c>
      <c r="F11049" s="513" t="s">
        <v>1280</v>
      </c>
      <c r="G11049" s="200" t="s">
        <v>1209</v>
      </c>
      <c r="H11049" s="201"/>
      <c r="I11049" s="201"/>
      <c r="J11049" s="197" t="s">
        <v>16</v>
      </c>
      <c r="K11049" s="202">
        <v>398690</v>
      </c>
      <c r="L11049" s="202"/>
    </row>
    <row r="11050" spans="1:15" x14ac:dyDescent="0.2">
      <c r="A11050" s="120">
        <v>2025</v>
      </c>
      <c r="B11050" s="120">
        <v>11</v>
      </c>
      <c r="C11050" s="120">
        <v>11</v>
      </c>
      <c r="D11050" s="208">
        <f t="shared" si="1488"/>
        <v>45972</v>
      </c>
      <c r="E11050" s="209">
        <f t="shared" si="1496"/>
        <v>45972</v>
      </c>
      <c r="F11050" s="515"/>
      <c r="G11050" s="132" t="s">
        <v>1209</v>
      </c>
      <c r="J11050" s="120" t="s">
        <v>47</v>
      </c>
      <c r="K11050" s="207">
        <v>145920.54000000004</v>
      </c>
      <c r="L11050" s="207"/>
    </row>
    <row r="11051" spans="1:15" x14ac:dyDescent="0.2">
      <c r="A11051" s="191">
        <v>2025</v>
      </c>
      <c r="B11051" s="191">
        <v>11</v>
      </c>
      <c r="C11051" s="191">
        <v>11</v>
      </c>
      <c r="D11051" s="192">
        <f t="shared" si="1488"/>
        <v>45972</v>
      </c>
      <c r="E11051" s="193">
        <f t="shared" si="1496"/>
        <v>45972</v>
      </c>
      <c r="F11051" s="514"/>
      <c r="G11051" s="194" t="s">
        <v>1209</v>
      </c>
      <c r="H11051" s="195"/>
      <c r="I11051" s="195"/>
      <c r="J11051" s="191" t="s">
        <v>46</v>
      </c>
      <c r="K11051" s="196"/>
      <c r="L11051" s="196">
        <v>544610.54</v>
      </c>
    </row>
    <row r="11052" spans="1:15" x14ac:dyDescent="0.2">
      <c r="A11052" s="197">
        <v>2025</v>
      </c>
      <c r="B11052" s="197">
        <v>11</v>
      </c>
      <c r="C11052" s="197">
        <v>11</v>
      </c>
      <c r="D11052" s="198">
        <f t="shared" ref="D11052:D11115" si="1497">DATE(A11052,B11052,C11052)</f>
        <v>45972</v>
      </c>
      <c r="E11052" s="209">
        <f t="shared" ref="E11052:E11056" si="1498">DATE(A11052,B11052,C11052)</f>
        <v>45972</v>
      </c>
      <c r="F11052" s="513" t="s">
        <v>1210</v>
      </c>
      <c r="G11052" s="200" t="s">
        <v>1209</v>
      </c>
      <c r="H11052" s="201"/>
      <c r="I11052" s="201"/>
      <c r="J11052" s="197" t="s">
        <v>46</v>
      </c>
      <c r="K11052" s="202">
        <v>200000</v>
      </c>
      <c r="L11052" s="202"/>
    </row>
    <row r="11053" spans="1:15" x14ac:dyDescent="0.2">
      <c r="A11053" s="120">
        <v>2025</v>
      </c>
      <c r="B11053" s="120">
        <v>11</v>
      </c>
      <c r="C11053" s="120">
        <v>11</v>
      </c>
      <c r="D11053" s="208">
        <f t="shared" si="1497"/>
        <v>45972</v>
      </c>
      <c r="E11053" s="209">
        <f t="shared" si="1498"/>
        <v>45972</v>
      </c>
      <c r="F11053" s="515"/>
      <c r="G11053" s="132" t="s">
        <v>1209</v>
      </c>
      <c r="J11053" s="120" t="s">
        <v>16</v>
      </c>
      <c r="K11053" s="207"/>
      <c r="L11053" s="207">
        <v>146410</v>
      </c>
    </row>
    <row r="11054" spans="1:15" x14ac:dyDescent="0.2">
      <c r="A11054" s="191">
        <v>2025</v>
      </c>
      <c r="B11054" s="191">
        <v>11</v>
      </c>
      <c r="C11054" s="191">
        <v>11</v>
      </c>
      <c r="D11054" s="192">
        <f t="shared" si="1497"/>
        <v>45972</v>
      </c>
      <c r="E11054" s="193">
        <f t="shared" si="1498"/>
        <v>45972</v>
      </c>
      <c r="F11054" s="514"/>
      <c r="G11054" s="194" t="s">
        <v>1209</v>
      </c>
      <c r="H11054" s="195"/>
      <c r="I11054" s="195"/>
      <c r="J11054" s="191" t="s">
        <v>47</v>
      </c>
      <c r="K11054" s="196"/>
      <c r="L11054" s="196">
        <v>53590</v>
      </c>
    </row>
    <row r="11055" spans="1:15" x14ac:dyDescent="0.2">
      <c r="A11055" s="197">
        <v>2025</v>
      </c>
      <c r="B11055" s="197">
        <v>11</v>
      </c>
      <c r="C11055" s="197">
        <v>11</v>
      </c>
      <c r="D11055" s="198">
        <f t="shared" si="1497"/>
        <v>45972</v>
      </c>
      <c r="E11055" s="290">
        <f t="shared" si="1498"/>
        <v>45972</v>
      </c>
      <c r="F11055" s="513" t="s">
        <v>1514</v>
      </c>
      <c r="G11055" s="200" t="s">
        <v>1209</v>
      </c>
      <c r="H11055" s="201"/>
      <c r="I11055" s="201"/>
      <c r="J11055" s="197" t="s">
        <v>54</v>
      </c>
      <c r="K11055" s="202">
        <v>168</v>
      </c>
      <c r="L11055" s="202"/>
      <c r="M11055" s="251"/>
      <c r="N11055" s="251"/>
      <c r="O11055" s="251"/>
    </row>
    <row r="11056" spans="1:15" ht="11.25" customHeight="1" x14ac:dyDescent="0.2">
      <c r="A11056" s="191">
        <v>2025</v>
      </c>
      <c r="B11056" s="191">
        <v>11</v>
      </c>
      <c r="C11056" s="191">
        <v>11</v>
      </c>
      <c r="D11056" s="192">
        <f t="shared" si="1497"/>
        <v>45972</v>
      </c>
      <c r="E11056" s="291">
        <f t="shared" si="1498"/>
        <v>45972</v>
      </c>
      <c r="F11056" s="514"/>
      <c r="G11056" s="194" t="s">
        <v>1209</v>
      </c>
      <c r="H11056" s="195"/>
      <c r="I11056" s="195"/>
      <c r="J11056" s="191" t="s">
        <v>46</v>
      </c>
      <c r="K11056" s="196"/>
      <c r="L11056" s="196">
        <f>K11055</f>
        <v>168</v>
      </c>
      <c r="M11056" s="251"/>
    </row>
    <row r="11057" spans="1:14" ht="11.25" customHeight="1" x14ac:dyDescent="0.2">
      <c r="A11057" s="120">
        <v>2025</v>
      </c>
      <c r="B11057" s="197">
        <v>11</v>
      </c>
      <c r="C11057" s="197">
        <v>12</v>
      </c>
      <c r="D11057" s="208">
        <f t="shared" si="1497"/>
        <v>45973</v>
      </c>
      <c r="E11057" s="209">
        <f>DATE(A11057,B11057,C11057)</f>
        <v>45973</v>
      </c>
      <c r="F11057" s="515" t="s">
        <v>1922</v>
      </c>
      <c r="G11057" s="132" t="s">
        <v>1209</v>
      </c>
      <c r="H11057" s="132"/>
      <c r="J11057" s="120" t="s">
        <v>457</v>
      </c>
      <c r="K11057" s="202">
        <v>114379.17</v>
      </c>
      <c r="L11057" s="207"/>
    </row>
    <row r="11058" spans="1:14" ht="11.25" customHeight="1" x14ac:dyDescent="0.2">
      <c r="A11058" s="191">
        <v>2025</v>
      </c>
      <c r="B11058" s="191">
        <v>11</v>
      </c>
      <c r="C11058" s="191">
        <v>12</v>
      </c>
      <c r="D11058" s="192">
        <f t="shared" si="1497"/>
        <v>45973</v>
      </c>
      <c r="E11058" s="291">
        <f t="shared" ref="E11058:E11078" si="1499">DATE(A11058,B11058,C11058)</f>
        <v>45973</v>
      </c>
      <c r="F11058" s="514"/>
      <c r="G11058" s="194" t="s">
        <v>1209</v>
      </c>
      <c r="H11058" s="195"/>
      <c r="I11058" s="195" t="s">
        <v>1253</v>
      </c>
      <c r="J11058" s="191" t="s">
        <v>46</v>
      </c>
      <c r="K11058" s="196"/>
      <c r="L11058" s="196">
        <v>114379.17</v>
      </c>
    </row>
    <row r="11059" spans="1:14" ht="11.25" customHeight="1" x14ac:dyDescent="0.2">
      <c r="A11059" s="197">
        <v>2025</v>
      </c>
      <c r="B11059" s="197">
        <v>11</v>
      </c>
      <c r="C11059" s="197">
        <v>13</v>
      </c>
      <c r="D11059" s="198">
        <f t="shared" si="1497"/>
        <v>45974</v>
      </c>
      <c r="E11059" s="199">
        <f t="shared" si="1499"/>
        <v>45974</v>
      </c>
      <c r="F11059" s="513" t="s">
        <v>2080</v>
      </c>
      <c r="G11059" s="200" t="s">
        <v>1209</v>
      </c>
      <c r="H11059" s="201"/>
      <c r="I11059" s="201" t="s">
        <v>1253</v>
      </c>
      <c r="J11059" s="197" t="s">
        <v>46</v>
      </c>
      <c r="K11059" s="202">
        <v>4842940.1500000004</v>
      </c>
      <c r="L11059" s="202"/>
    </row>
    <row r="11060" spans="1:14" ht="11.25" customHeight="1" x14ac:dyDescent="0.2">
      <c r="A11060" s="120">
        <v>2025</v>
      </c>
      <c r="B11060" s="120">
        <v>11</v>
      </c>
      <c r="C11060" s="120">
        <v>13</v>
      </c>
      <c r="D11060" s="208">
        <f t="shared" si="1497"/>
        <v>45974</v>
      </c>
      <c r="E11060" s="209">
        <f t="shared" si="1499"/>
        <v>45974</v>
      </c>
      <c r="F11060" s="515"/>
      <c r="G11060" s="132" t="s">
        <v>1209</v>
      </c>
      <c r="J11060" s="120" t="s">
        <v>1463</v>
      </c>
      <c r="K11060" s="328">
        <v>111655.458125</v>
      </c>
      <c r="L11060" s="207"/>
    </row>
    <row r="11061" spans="1:14" ht="11.25" customHeight="1" x14ac:dyDescent="0.2">
      <c r="A11061" s="191">
        <v>2025</v>
      </c>
      <c r="B11061" s="191">
        <v>11</v>
      </c>
      <c r="C11061" s="191">
        <v>13</v>
      </c>
      <c r="D11061" s="192">
        <f t="shared" si="1497"/>
        <v>45974</v>
      </c>
      <c r="E11061" s="193">
        <f t="shared" si="1499"/>
        <v>45974</v>
      </c>
      <c r="F11061" s="514"/>
      <c r="G11061" s="194" t="s">
        <v>1209</v>
      </c>
      <c r="H11061" s="195"/>
      <c r="I11061" s="195" t="s">
        <v>1253</v>
      </c>
      <c r="J11061" s="191" t="s">
        <v>1837</v>
      </c>
      <c r="K11061" s="196"/>
      <c r="L11061" s="196">
        <v>4954595.6081250003</v>
      </c>
      <c r="N11061" s="130"/>
    </row>
    <row r="11062" spans="1:14" ht="11.25" customHeight="1" x14ac:dyDescent="0.2">
      <c r="A11062" s="197">
        <v>2025</v>
      </c>
      <c r="B11062" s="197">
        <v>11</v>
      </c>
      <c r="C11062" s="197">
        <v>13</v>
      </c>
      <c r="D11062" s="198">
        <f t="shared" si="1497"/>
        <v>45974</v>
      </c>
      <c r="E11062" s="290">
        <f t="shared" si="1499"/>
        <v>45974</v>
      </c>
      <c r="F11062" s="513" t="s">
        <v>2105</v>
      </c>
      <c r="G11062" s="200" t="s">
        <v>1209</v>
      </c>
      <c r="H11062" s="201"/>
      <c r="I11062" s="201" t="s">
        <v>1253</v>
      </c>
      <c r="J11062" s="197" t="s">
        <v>1873</v>
      </c>
      <c r="K11062" s="202">
        <v>1170950</v>
      </c>
      <c r="L11062" s="202"/>
    </row>
    <row r="11063" spans="1:14" ht="11.25" customHeight="1" x14ac:dyDescent="0.2">
      <c r="A11063" s="191">
        <v>2025</v>
      </c>
      <c r="B11063" s="191">
        <v>11</v>
      </c>
      <c r="C11063" s="191">
        <v>13</v>
      </c>
      <c r="D11063" s="192">
        <f t="shared" si="1497"/>
        <v>45974</v>
      </c>
      <c r="E11063" s="291">
        <f t="shared" si="1499"/>
        <v>45974</v>
      </c>
      <c r="F11063" s="514"/>
      <c r="G11063" s="194" t="s">
        <v>1209</v>
      </c>
      <c r="H11063" s="195"/>
      <c r="I11063" s="195"/>
      <c r="J11063" s="191" t="s">
        <v>1845</v>
      </c>
      <c r="K11063" s="196"/>
      <c r="L11063" s="196">
        <f>K11062</f>
        <v>1170950</v>
      </c>
    </row>
    <row r="11064" spans="1:14" x14ac:dyDescent="0.2">
      <c r="A11064" s="197">
        <v>2025</v>
      </c>
      <c r="B11064" s="197">
        <v>11</v>
      </c>
      <c r="C11064" s="197">
        <v>13</v>
      </c>
      <c r="D11064" s="198">
        <f t="shared" si="1497"/>
        <v>45974</v>
      </c>
      <c r="E11064" s="209">
        <f t="shared" si="1499"/>
        <v>45974</v>
      </c>
      <c r="F11064" s="513" t="s">
        <v>1210</v>
      </c>
      <c r="G11064" s="200" t="s">
        <v>1209</v>
      </c>
      <c r="H11064" s="201"/>
      <c r="I11064" s="201"/>
      <c r="J11064" s="197" t="s">
        <v>46</v>
      </c>
      <c r="K11064" s="202">
        <v>286860</v>
      </c>
      <c r="L11064" s="202"/>
    </row>
    <row r="11065" spans="1:14" x14ac:dyDescent="0.2">
      <c r="A11065" s="120">
        <v>2025</v>
      </c>
      <c r="B11065" s="120">
        <v>11</v>
      </c>
      <c r="C11065" s="120">
        <v>13</v>
      </c>
      <c r="D11065" s="208">
        <f t="shared" si="1497"/>
        <v>45974</v>
      </c>
      <c r="E11065" s="209">
        <f t="shared" si="1499"/>
        <v>45974</v>
      </c>
      <c r="F11065" s="515"/>
      <c r="G11065" s="132" t="s">
        <v>1209</v>
      </c>
      <c r="J11065" s="120" t="s">
        <v>16</v>
      </c>
      <c r="K11065" s="207"/>
      <c r="L11065" s="207">
        <v>210000</v>
      </c>
    </row>
    <row r="11066" spans="1:14" x14ac:dyDescent="0.2">
      <c r="A11066" s="191">
        <v>2025</v>
      </c>
      <c r="B11066" s="191">
        <v>11</v>
      </c>
      <c r="C11066" s="191">
        <v>13</v>
      </c>
      <c r="D11066" s="192">
        <f t="shared" si="1497"/>
        <v>45974</v>
      </c>
      <c r="E11066" s="193">
        <f t="shared" si="1499"/>
        <v>45974</v>
      </c>
      <c r="F11066" s="514"/>
      <c r="G11066" s="194" t="s">
        <v>1209</v>
      </c>
      <c r="H11066" s="195"/>
      <c r="I11066" s="195"/>
      <c r="J11066" s="191" t="s">
        <v>47</v>
      </c>
      <c r="K11066" s="196"/>
      <c r="L11066" s="196">
        <v>76860</v>
      </c>
    </row>
    <row r="11067" spans="1:14" x14ac:dyDescent="0.2">
      <c r="A11067" s="424">
        <v>2025</v>
      </c>
      <c r="B11067" s="424">
        <v>11</v>
      </c>
      <c r="C11067" s="424">
        <v>13</v>
      </c>
      <c r="D11067" s="425">
        <f t="shared" si="1497"/>
        <v>45974</v>
      </c>
      <c r="E11067" s="384">
        <f t="shared" si="1499"/>
        <v>45974</v>
      </c>
      <c r="F11067" s="516" t="s">
        <v>1850</v>
      </c>
      <c r="G11067" s="426" t="s">
        <v>1209</v>
      </c>
      <c r="H11067" s="427"/>
      <c r="I11067" s="427"/>
      <c r="J11067" s="428" t="s">
        <v>81</v>
      </c>
      <c r="K11067" s="429">
        <v>11170.721538461539</v>
      </c>
      <c r="L11067" s="429"/>
    </row>
    <row r="11068" spans="1:14" x14ac:dyDescent="0.2">
      <c r="A11068" s="389">
        <v>2025</v>
      </c>
      <c r="B11068" s="389">
        <v>11</v>
      </c>
      <c r="C11068" s="389">
        <v>13</v>
      </c>
      <c r="D11068" s="390">
        <f t="shared" si="1497"/>
        <v>45974</v>
      </c>
      <c r="E11068" s="391">
        <f t="shared" si="1499"/>
        <v>45974</v>
      </c>
      <c r="F11068" s="517"/>
      <c r="G11068" s="392" t="s">
        <v>1209</v>
      </c>
      <c r="H11068" s="393"/>
      <c r="I11068" s="393"/>
      <c r="J11068" s="394" t="s">
        <v>1847</v>
      </c>
      <c r="K11068" s="423"/>
      <c r="L11068" s="423">
        <f>K11067</f>
        <v>11170.721538461539</v>
      </c>
    </row>
    <row r="11069" spans="1:14" ht="11.25" customHeight="1" x14ac:dyDescent="0.2">
      <c r="A11069" s="382">
        <v>2025</v>
      </c>
      <c r="B11069" s="382">
        <v>11</v>
      </c>
      <c r="C11069" s="382">
        <v>13</v>
      </c>
      <c r="D11069" s="383">
        <f t="shared" si="1497"/>
        <v>45974</v>
      </c>
      <c r="E11069" s="384">
        <f t="shared" si="1499"/>
        <v>45974</v>
      </c>
      <c r="F11069" s="516" t="s">
        <v>1892</v>
      </c>
      <c r="G11069" s="385" t="s">
        <v>1209</v>
      </c>
      <c r="H11069" s="386"/>
      <c r="I11069" s="386"/>
      <c r="J11069" s="387" t="s">
        <v>173</v>
      </c>
      <c r="K11069" s="388">
        <v>4422.9512354916651</v>
      </c>
      <c r="L11069" s="388"/>
    </row>
    <row r="11070" spans="1:14" ht="11.25" customHeight="1" x14ac:dyDescent="0.2">
      <c r="A11070" s="389">
        <v>2025</v>
      </c>
      <c r="B11070" s="389">
        <v>11</v>
      </c>
      <c r="C11070" s="389">
        <v>13</v>
      </c>
      <c r="D11070" s="390">
        <f t="shared" si="1497"/>
        <v>45974</v>
      </c>
      <c r="E11070" s="391">
        <f t="shared" si="1499"/>
        <v>45974</v>
      </c>
      <c r="F11070" s="517"/>
      <c r="G11070" s="392" t="s">
        <v>1209</v>
      </c>
      <c r="H11070" s="393"/>
      <c r="I11070" s="393"/>
      <c r="J11070" s="394" t="s">
        <v>43</v>
      </c>
      <c r="K11070" s="388"/>
      <c r="L11070" s="423">
        <f>K11069</f>
        <v>4422.9512354916651</v>
      </c>
    </row>
    <row r="11071" spans="1:14" ht="11.25" customHeight="1" x14ac:dyDescent="0.2">
      <c r="A11071" s="344">
        <v>2025</v>
      </c>
      <c r="B11071" s="344">
        <v>11</v>
      </c>
      <c r="C11071" s="344">
        <v>13</v>
      </c>
      <c r="D11071" s="345">
        <f t="shared" si="1497"/>
        <v>45974</v>
      </c>
      <c r="E11071" s="346">
        <f t="shared" si="1499"/>
        <v>45974</v>
      </c>
      <c r="F11071" s="518" t="s">
        <v>1982</v>
      </c>
      <c r="G11071" s="347" t="s">
        <v>1245</v>
      </c>
      <c r="H11071" s="348"/>
      <c r="I11071" s="348" t="s">
        <v>1253</v>
      </c>
      <c r="J11071" s="344" t="s">
        <v>1978</v>
      </c>
      <c r="K11071" s="349">
        <v>148748.07692307694</v>
      </c>
      <c r="L11071" s="349"/>
    </row>
    <row r="11072" spans="1:14" ht="11.25" customHeight="1" x14ac:dyDescent="0.2">
      <c r="A11072" s="350">
        <v>2025</v>
      </c>
      <c r="B11072" s="350">
        <v>11</v>
      </c>
      <c r="C11072" s="350">
        <v>13</v>
      </c>
      <c r="D11072" s="351">
        <f t="shared" si="1497"/>
        <v>45974</v>
      </c>
      <c r="E11072" s="352">
        <f t="shared" si="1499"/>
        <v>45974</v>
      </c>
      <c r="F11072" s="519"/>
      <c r="G11072" s="353" t="s">
        <v>1245</v>
      </c>
      <c r="H11072" s="354"/>
      <c r="I11072" s="354" t="s">
        <v>1253</v>
      </c>
      <c r="J11072" s="350" t="s">
        <v>1979</v>
      </c>
      <c r="K11072" s="355"/>
      <c r="L11072" s="355">
        <f>K11071</f>
        <v>148748.07692307694</v>
      </c>
    </row>
    <row r="11073" spans="1:16" ht="11.25" customHeight="1" x14ac:dyDescent="0.2">
      <c r="A11073" s="344">
        <v>2025</v>
      </c>
      <c r="B11073" s="344">
        <v>11</v>
      </c>
      <c r="C11073" s="344">
        <v>13</v>
      </c>
      <c r="D11073" s="345">
        <f t="shared" si="1497"/>
        <v>45974</v>
      </c>
      <c r="E11073" s="346">
        <f t="shared" si="1499"/>
        <v>45974</v>
      </c>
      <c r="F11073" s="518" t="s">
        <v>2009</v>
      </c>
      <c r="G11073" s="347" t="s">
        <v>1245</v>
      </c>
      <c r="H11073" s="348"/>
      <c r="I11073" s="348" t="s">
        <v>1253</v>
      </c>
      <c r="J11073" s="344" t="s">
        <v>2004</v>
      </c>
      <c r="K11073" s="349">
        <v>49692.31</v>
      </c>
      <c r="L11073" s="349"/>
    </row>
    <row r="11074" spans="1:16" ht="11.25" customHeight="1" x14ac:dyDescent="0.2">
      <c r="A11074" s="350">
        <v>2025</v>
      </c>
      <c r="B11074" s="350">
        <v>11</v>
      </c>
      <c r="C11074" s="350">
        <v>13</v>
      </c>
      <c r="D11074" s="351">
        <f t="shared" si="1497"/>
        <v>45974</v>
      </c>
      <c r="E11074" s="352">
        <f t="shared" si="1499"/>
        <v>45974</v>
      </c>
      <c r="F11074" s="519"/>
      <c r="G11074" s="353" t="s">
        <v>1245</v>
      </c>
      <c r="H11074" s="354"/>
      <c r="I11074" s="354" t="s">
        <v>1253</v>
      </c>
      <c r="J11074" s="350" t="s">
        <v>2008</v>
      </c>
      <c r="K11074" s="355"/>
      <c r="L11074" s="355">
        <f t="shared" ref="L11074" si="1500">K11073</f>
        <v>49692.31</v>
      </c>
    </row>
    <row r="11075" spans="1:16" ht="11.25" customHeight="1" x14ac:dyDescent="0.2">
      <c r="A11075" s="344">
        <v>2025</v>
      </c>
      <c r="B11075" s="344">
        <v>11</v>
      </c>
      <c r="C11075" s="344">
        <v>13</v>
      </c>
      <c r="D11075" s="345">
        <f t="shared" si="1497"/>
        <v>45974</v>
      </c>
      <c r="E11075" s="346">
        <f t="shared" si="1499"/>
        <v>45974</v>
      </c>
      <c r="F11075" s="518" t="s">
        <v>2009</v>
      </c>
      <c r="G11075" s="347" t="s">
        <v>1245</v>
      </c>
      <c r="H11075" s="348"/>
      <c r="I11075" s="348" t="s">
        <v>1253</v>
      </c>
      <c r="J11075" s="344" t="s">
        <v>2004</v>
      </c>
      <c r="K11075" s="349">
        <v>49692.31</v>
      </c>
      <c r="L11075" s="349"/>
    </row>
    <row r="11076" spans="1:16" ht="11.25" customHeight="1" x14ac:dyDescent="0.2">
      <c r="A11076" s="350">
        <v>2025</v>
      </c>
      <c r="B11076" s="350">
        <v>11</v>
      </c>
      <c r="C11076" s="350">
        <v>13</v>
      </c>
      <c r="D11076" s="351">
        <f t="shared" si="1497"/>
        <v>45974</v>
      </c>
      <c r="E11076" s="352">
        <f t="shared" si="1499"/>
        <v>45974</v>
      </c>
      <c r="F11076" s="519"/>
      <c r="G11076" s="353" t="s">
        <v>1245</v>
      </c>
      <c r="H11076" s="354"/>
      <c r="I11076" s="354" t="s">
        <v>1253</v>
      </c>
      <c r="J11076" s="350" t="s">
        <v>2008</v>
      </c>
      <c r="K11076" s="355"/>
      <c r="L11076" s="355">
        <f t="shared" ref="L11076" si="1501">K11075</f>
        <v>49692.31</v>
      </c>
    </row>
    <row r="11077" spans="1:16" ht="11.25" customHeight="1" x14ac:dyDescent="0.2">
      <c r="A11077" s="344">
        <v>2025</v>
      </c>
      <c r="B11077" s="344">
        <v>11</v>
      </c>
      <c r="C11077" s="344">
        <v>13</v>
      </c>
      <c r="D11077" s="345">
        <f t="shared" si="1497"/>
        <v>45974</v>
      </c>
      <c r="E11077" s="346">
        <f t="shared" si="1499"/>
        <v>45974</v>
      </c>
      <c r="F11077" s="518" t="s">
        <v>2088</v>
      </c>
      <c r="G11077" s="347" t="s">
        <v>1245</v>
      </c>
      <c r="H11077" s="348"/>
      <c r="I11077" s="348" t="s">
        <v>1253</v>
      </c>
      <c r="J11077" s="344" t="s">
        <v>2086</v>
      </c>
      <c r="K11077" s="349">
        <v>12528.846153846154</v>
      </c>
      <c r="L11077" s="349"/>
    </row>
    <row r="11078" spans="1:16" ht="11.25" customHeight="1" x14ac:dyDescent="0.2">
      <c r="A11078" s="350">
        <v>2025</v>
      </c>
      <c r="B11078" s="350">
        <v>11</v>
      </c>
      <c r="C11078" s="350">
        <v>13</v>
      </c>
      <c r="D11078" s="351">
        <f t="shared" si="1497"/>
        <v>45974</v>
      </c>
      <c r="E11078" s="352">
        <f t="shared" si="1499"/>
        <v>45974</v>
      </c>
      <c r="F11078" s="519"/>
      <c r="G11078" s="353" t="s">
        <v>1245</v>
      </c>
      <c r="H11078" s="354"/>
      <c r="I11078" s="354" t="s">
        <v>1253</v>
      </c>
      <c r="J11078" s="350" t="s">
        <v>2089</v>
      </c>
      <c r="K11078" s="355"/>
      <c r="L11078" s="355">
        <v>12528.846153846154</v>
      </c>
    </row>
    <row r="11079" spans="1:16" ht="11.25" customHeight="1" x14ac:dyDescent="0.2">
      <c r="A11079" s="344">
        <v>2025</v>
      </c>
      <c r="B11079" s="344">
        <v>11</v>
      </c>
      <c r="C11079" s="344">
        <v>13</v>
      </c>
      <c r="D11079" s="345">
        <f t="shared" si="1497"/>
        <v>45974</v>
      </c>
      <c r="E11079" s="346">
        <f>DATE(A11079,B11079,C11079)</f>
        <v>45974</v>
      </c>
      <c r="F11079" s="518" t="s">
        <v>1988</v>
      </c>
      <c r="G11079" s="347" t="s">
        <v>1245</v>
      </c>
      <c r="H11079" s="348"/>
      <c r="I11079" s="348" t="s">
        <v>1253</v>
      </c>
      <c r="J11079" s="344" t="s">
        <v>113</v>
      </c>
      <c r="K11079" s="349">
        <v>32846.15</v>
      </c>
      <c r="L11079" s="349"/>
    </row>
    <row r="11080" spans="1:16" ht="11.25" customHeight="1" x14ac:dyDescent="0.2">
      <c r="A11080" s="350">
        <v>2025</v>
      </c>
      <c r="B11080" s="350">
        <v>11</v>
      </c>
      <c r="C11080" s="350">
        <v>13</v>
      </c>
      <c r="D11080" s="351">
        <f t="shared" si="1497"/>
        <v>45974</v>
      </c>
      <c r="E11080" s="352">
        <f>DATE(A11080,B11080,C11080)</f>
        <v>45974</v>
      </c>
      <c r="F11080" s="519"/>
      <c r="G11080" s="353" t="s">
        <v>1245</v>
      </c>
      <c r="H11080" s="354"/>
      <c r="I11080" s="354" t="s">
        <v>1253</v>
      </c>
      <c r="J11080" s="350" t="s">
        <v>153</v>
      </c>
      <c r="K11080" s="355"/>
      <c r="L11080" s="355">
        <f t="shared" ref="L11080" si="1502">K11079</f>
        <v>32846.15</v>
      </c>
    </row>
    <row r="11081" spans="1:16" ht="11.25" customHeight="1" x14ac:dyDescent="0.2">
      <c r="A11081" s="344">
        <v>2025</v>
      </c>
      <c r="B11081" s="344">
        <v>11</v>
      </c>
      <c r="C11081" s="344">
        <v>13</v>
      </c>
      <c r="D11081" s="345">
        <f t="shared" si="1497"/>
        <v>45974</v>
      </c>
      <c r="E11081" s="346">
        <f t="shared" ref="E11081:E11087" si="1503">DATE(A11081,B11081,C11081)</f>
        <v>45974</v>
      </c>
      <c r="F11081" s="518" t="s">
        <v>1989</v>
      </c>
      <c r="G11081" s="347" t="s">
        <v>1245</v>
      </c>
      <c r="H11081" s="348"/>
      <c r="I11081" s="348" t="s">
        <v>1253</v>
      </c>
      <c r="J11081" s="344" t="s">
        <v>113</v>
      </c>
      <c r="K11081" s="349">
        <v>23461.538461538461</v>
      </c>
      <c r="L11081" s="349"/>
    </row>
    <row r="11082" spans="1:16" ht="11.25" customHeight="1" x14ac:dyDescent="0.2">
      <c r="A11082" s="350">
        <v>2025</v>
      </c>
      <c r="B11082" s="350">
        <v>11</v>
      </c>
      <c r="C11082" s="350">
        <v>13</v>
      </c>
      <c r="D11082" s="351">
        <f t="shared" si="1497"/>
        <v>45974</v>
      </c>
      <c r="E11082" s="352">
        <f t="shared" si="1503"/>
        <v>45974</v>
      </c>
      <c r="F11082" s="519"/>
      <c r="G11082" s="353" t="s">
        <v>1245</v>
      </c>
      <c r="H11082" s="354"/>
      <c r="I11082" s="354" t="s">
        <v>1253</v>
      </c>
      <c r="J11082" s="350" t="s">
        <v>153</v>
      </c>
      <c r="K11082" s="355"/>
      <c r="L11082" s="355">
        <f t="shared" ref="L11082" si="1504">K11081</f>
        <v>23461.538461538461</v>
      </c>
    </row>
    <row r="11083" spans="1:16" ht="11.25" customHeight="1" x14ac:dyDescent="0.2">
      <c r="A11083" s="344">
        <v>2025</v>
      </c>
      <c r="B11083" s="344">
        <v>11</v>
      </c>
      <c r="C11083" s="344">
        <v>13</v>
      </c>
      <c r="D11083" s="345">
        <f t="shared" si="1497"/>
        <v>45974</v>
      </c>
      <c r="E11083" s="346">
        <f t="shared" si="1503"/>
        <v>45974</v>
      </c>
      <c r="F11083" s="518" t="s">
        <v>1990</v>
      </c>
      <c r="G11083" s="347" t="s">
        <v>1245</v>
      </c>
      <c r="H11083" s="348"/>
      <c r="I11083" s="348" t="s">
        <v>1253</v>
      </c>
      <c r="J11083" s="344" t="s">
        <v>113</v>
      </c>
      <c r="K11083" s="349">
        <v>70384.62</v>
      </c>
      <c r="L11083" s="349"/>
      <c r="N11083" s="251"/>
      <c r="O11083" s="251"/>
      <c r="P11083" s="251"/>
    </row>
    <row r="11084" spans="1:16" ht="11.25" customHeight="1" x14ac:dyDescent="0.2">
      <c r="A11084" s="350">
        <v>2025</v>
      </c>
      <c r="B11084" s="350">
        <v>11</v>
      </c>
      <c r="C11084" s="350">
        <v>13</v>
      </c>
      <c r="D11084" s="351">
        <f t="shared" si="1497"/>
        <v>45974</v>
      </c>
      <c r="E11084" s="352">
        <f t="shared" si="1503"/>
        <v>45974</v>
      </c>
      <c r="F11084" s="519"/>
      <c r="G11084" s="353" t="s">
        <v>1245</v>
      </c>
      <c r="H11084" s="354"/>
      <c r="I11084" s="354" t="s">
        <v>1253</v>
      </c>
      <c r="J11084" s="350" t="s">
        <v>153</v>
      </c>
      <c r="K11084" s="355"/>
      <c r="L11084" s="355">
        <f t="shared" ref="L11084" si="1505">K11083</f>
        <v>70384.62</v>
      </c>
    </row>
    <row r="11085" spans="1:16" ht="11.25" customHeight="1" x14ac:dyDescent="0.2">
      <c r="A11085" s="344">
        <v>2025</v>
      </c>
      <c r="B11085" s="344">
        <v>11</v>
      </c>
      <c r="C11085" s="344">
        <v>13</v>
      </c>
      <c r="D11085" s="345">
        <f t="shared" si="1497"/>
        <v>45974</v>
      </c>
      <c r="E11085" s="346">
        <f t="shared" si="1503"/>
        <v>45974</v>
      </c>
      <c r="F11085" s="518" t="s">
        <v>2107</v>
      </c>
      <c r="G11085" s="347" t="s">
        <v>1245</v>
      </c>
      <c r="H11085" s="348"/>
      <c r="I11085" s="348" t="s">
        <v>1253</v>
      </c>
      <c r="J11085" s="344" t="s">
        <v>113</v>
      </c>
      <c r="K11085" s="349">
        <v>86596.153846153844</v>
      </c>
      <c r="L11085" s="349"/>
      <c r="N11085" s="251"/>
      <c r="O11085" s="251"/>
      <c r="P11085" s="251"/>
    </row>
    <row r="11086" spans="1:16" ht="11.25" customHeight="1" x14ac:dyDescent="0.2">
      <c r="A11086" s="350">
        <v>2025</v>
      </c>
      <c r="B11086" s="350">
        <v>11</v>
      </c>
      <c r="C11086" s="350">
        <v>13</v>
      </c>
      <c r="D11086" s="351">
        <f t="shared" si="1497"/>
        <v>45974</v>
      </c>
      <c r="E11086" s="352">
        <f t="shared" si="1503"/>
        <v>45974</v>
      </c>
      <c r="F11086" s="519"/>
      <c r="G11086" s="353" t="s">
        <v>1245</v>
      </c>
      <c r="H11086" s="354"/>
      <c r="I11086" s="354" t="s">
        <v>1253</v>
      </c>
      <c r="J11086" s="350" t="s">
        <v>153</v>
      </c>
      <c r="K11086" s="355"/>
      <c r="L11086" s="355">
        <f t="shared" ref="L11086" si="1506">K11085</f>
        <v>86596.153846153844</v>
      </c>
    </row>
    <row r="11087" spans="1:16" ht="11.25" customHeight="1" x14ac:dyDescent="0.2">
      <c r="A11087" s="210">
        <v>2025</v>
      </c>
      <c r="B11087" s="210">
        <v>11</v>
      </c>
      <c r="C11087" s="210">
        <v>13</v>
      </c>
      <c r="D11087" s="211">
        <f t="shared" si="1497"/>
        <v>45974</v>
      </c>
      <c r="E11087" s="238">
        <f t="shared" si="1503"/>
        <v>45974</v>
      </c>
      <c r="F11087" s="520" t="s">
        <v>1857</v>
      </c>
      <c r="G11087" s="213" t="s">
        <v>1245</v>
      </c>
      <c r="H11087" s="214"/>
      <c r="I11087" s="214" t="s">
        <v>1253</v>
      </c>
      <c r="J11087" s="210" t="s">
        <v>1284</v>
      </c>
      <c r="K11087" s="215">
        <v>2341.8114143920593</v>
      </c>
      <c r="L11087" s="215"/>
    </row>
    <row r="11088" spans="1:16" ht="11.25" customHeight="1" x14ac:dyDescent="0.2">
      <c r="A11088" s="242">
        <v>2025</v>
      </c>
      <c r="B11088" s="242">
        <v>11</v>
      </c>
      <c r="C11088" s="242">
        <v>13</v>
      </c>
      <c r="D11088" s="243">
        <f t="shared" si="1497"/>
        <v>45974</v>
      </c>
      <c r="E11088" s="244">
        <f>DATE(A11088,B11088,C11088)</f>
        <v>45974</v>
      </c>
      <c r="F11088" s="524"/>
      <c r="G11088" s="245" t="s">
        <v>1245</v>
      </c>
      <c r="H11088" s="246"/>
      <c r="I11088" s="246"/>
      <c r="J11088" s="242" t="s">
        <v>1582</v>
      </c>
      <c r="K11088" s="247"/>
      <c r="L11088" s="247">
        <f>K11087</f>
        <v>2341.8114143920593</v>
      </c>
    </row>
    <row r="11089" spans="1:13" ht="11.25" customHeight="1" x14ac:dyDescent="0.2">
      <c r="A11089" s="210">
        <v>2025</v>
      </c>
      <c r="B11089" s="210">
        <v>11</v>
      </c>
      <c r="C11089" s="210">
        <v>13</v>
      </c>
      <c r="D11089" s="211">
        <f t="shared" si="1497"/>
        <v>45974</v>
      </c>
      <c r="E11089" s="238">
        <f t="shared" ref="E11089:E11119" si="1507">DATE(A11089,B11089,C11089)</f>
        <v>45974</v>
      </c>
      <c r="F11089" s="520" t="s">
        <v>2055</v>
      </c>
      <c r="G11089" s="213" t="s">
        <v>1245</v>
      </c>
      <c r="H11089" s="214"/>
      <c r="I11089" s="214" t="s">
        <v>1253</v>
      </c>
      <c r="J11089" s="210" t="s">
        <v>58</v>
      </c>
      <c r="K11089" s="215">
        <v>4334.54</v>
      </c>
      <c r="L11089" s="215"/>
    </row>
    <row r="11090" spans="1:13" ht="11.25" customHeight="1" x14ac:dyDescent="0.2">
      <c r="A11090" s="216">
        <v>2025</v>
      </c>
      <c r="B11090" s="216">
        <v>11</v>
      </c>
      <c r="C11090" s="216">
        <v>13</v>
      </c>
      <c r="D11090" s="217">
        <f t="shared" si="1497"/>
        <v>45974</v>
      </c>
      <c r="E11090" s="239">
        <f t="shared" si="1507"/>
        <v>45974</v>
      </c>
      <c r="F11090" s="521"/>
      <c r="G11090" s="219" t="s">
        <v>1245</v>
      </c>
      <c r="H11090" s="220"/>
      <c r="I11090" s="220" t="s">
        <v>1253</v>
      </c>
      <c r="J11090" s="216" t="s">
        <v>153</v>
      </c>
      <c r="K11090" s="221"/>
      <c r="L11090" s="221">
        <f>K11089</f>
        <v>4334.54</v>
      </c>
    </row>
    <row r="11091" spans="1:13" ht="11.25" customHeight="1" x14ac:dyDescent="0.2">
      <c r="A11091" s="312">
        <v>2025</v>
      </c>
      <c r="B11091" s="312">
        <v>11</v>
      </c>
      <c r="C11091" s="312">
        <v>13</v>
      </c>
      <c r="D11091" s="313">
        <f t="shared" si="1497"/>
        <v>45974</v>
      </c>
      <c r="E11091" s="314">
        <f t="shared" si="1507"/>
        <v>45974</v>
      </c>
      <c r="F11091" s="522" t="s">
        <v>1477</v>
      </c>
      <c r="G11091" s="315" t="s">
        <v>1245</v>
      </c>
      <c r="H11091" s="316"/>
      <c r="I11091" s="316" t="s">
        <v>1253</v>
      </c>
      <c r="J11091" s="312" t="s">
        <v>1458</v>
      </c>
      <c r="K11091" s="317">
        <v>0</v>
      </c>
      <c r="L11091" s="317"/>
    </row>
    <row r="11092" spans="1:13" ht="11.25" customHeight="1" x14ac:dyDescent="0.2">
      <c r="A11092" s="318">
        <v>2025</v>
      </c>
      <c r="B11092" s="318">
        <v>11</v>
      </c>
      <c r="C11092" s="318">
        <v>13</v>
      </c>
      <c r="D11092" s="319">
        <f t="shared" si="1497"/>
        <v>45974</v>
      </c>
      <c r="E11092" s="320">
        <f t="shared" si="1507"/>
        <v>45974</v>
      </c>
      <c r="F11092" s="523"/>
      <c r="G11092" s="321" t="s">
        <v>1245</v>
      </c>
      <c r="H11092" s="322"/>
      <c r="I11092" s="322" t="s">
        <v>1253</v>
      </c>
      <c r="J11092" s="318" t="s">
        <v>1460</v>
      </c>
      <c r="K11092" s="323"/>
      <c r="L11092" s="323">
        <f>K11091</f>
        <v>0</v>
      </c>
    </row>
    <row r="11093" spans="1:13" ht="11.25" customHeight="1" x14ac:dyDescent="0.2">
      <c r="A11093" s="312">
        <v>2025</v>
      </c>
      <c r="B11093" s="312">
        <v>11</v>
      </c>
      <c r="C11093" s="312">
        <v>13</v>
      </c>
      <c r="D11093" s="313">
        <f t="shared" si="1497"/>
        <v>45974</v>
      </c>
      <c r="E11093" s="314">
        <f t="shared" si="1507"/>
        <v>45974</v>
      </c>
      <c r="F11093" s="522" t="s">
        <v>1595</v>
      </c>
      <c r="G11093" s="315" t="s">
        <v>1245</v>
      </c>
      <c r="H11093" s="316"/>
      <c r="I11093" s="316" t="s">
        <v>1253</v>
      </c>
      <c r="J11093" s="312" t="s">
        <v>1459</v>
      </c>
      <c r="K11093" s="317">
        <v>2886459.2338751554</v>
      </c>
      <c r="L11093" s="317"/>
      <c r="M11093" s="328">
        <f>BS!$I$14</f>
        <v>0</v>
      </c>
    </row>
    <row r="11094" spans="1:13" ht="11.25" customHeight="1" x14ac:dyDescent="0.2">
      <c r="A11094" s="318">
        <v>2025</v>
      </c>
      <c r="B11094" s="318">
        <v>11</v>
      </c>
      <c r="C11094" s="318">
        <v>13</v>
      </c>
      <c r="D11094" s="319">
        <f t="shared" si="1497"/>
        <v>45974</v>
      </c>
      <c r="E11094" s="320">
        <f t="shared" si="1507"/>
        <v>45974</v>
      </c>
      <c r="F11094" s="523"/>
      <c r="G11094" s="321" t="s">
        <v>1245</v>
      </c>
      <c r="H11094" s="322"/>
      <c r="I11094" s="322" t="s">
        <v>1253</v>
      </c>
      <c r="J11094" s="318" t="s">
        <v>1461</v>
      </c>
      <c r="K11094" s="323"/>
      <c r="L11094" s="323">
        <f>K11093</f>
        <v>2886459.2338751554</v>
      </c>
      <c r="M11094" s="328"/>
    </row>
    <row r="11095" spans="1:13" ht="11.25" customHeight="1" x14ac:dyDescent="0.2">
      <c r="A11095" s="222">
        <v>2025</v>
      </c>
      <c r="B11095" s="222">
        <v>11</v>
      </c>
      <c r="C11095" s="222">
        <v>13</v>
      </c>
      <c r="D11095" s="223">
        <f t="shared" si="1497"/>
        <v>45974</v>
      </c>
      <c r="E11095" s="240">
        <f t="shared" si="1507"/>
        <v>45974</v>
      </c>
      <c r="F11095" s="511" t="s">
        <v>1244</v>
      </c>
      <c r="G11095" s="225" t="s">
        <v>1245</v>
      </c>
      <c r="H11095" s="226"/>
      <c r="I11095" s="226" t="s">
        <v>1253</v>
      </c>
      <c r="J11095" s="222" t="s">
        <v>72</v>
      </c>
      <c r="K11095" s="227">
        <v>643664.87250000238</v>
      </c>
      <c r="L11095" s="227"/>
      <c r="M11095" s="328">
        <f>BS!$I$7</f>
        <v>0</v>
      </c>
    </row>
    <row r="11096" spans="1:13" ht="11.25" customHeight="1" x14ac:dyDescent="0.2">
      <c r="A11096" s="228">
        <v>2025</v>
      </c>
      <c r="B11096" s="228">
        <v>11</v>
      </c>
      <c r="C11096" s="228">
        <v>13</v>
      </c>
      <c r="D11096" s="229">
        <f t="shared" si="1497"/>
        <v>45974</v>
      </c>
      <c r="E11096" s="241">
        <f t="shared" si="1507"/>
        <v>45974</v>
      </c>
      <c r="F11096" s="512"/>
      <c r="G11096" s="231" t="s">
        <v>1245</v>
      </c>
      <c r="H11096" s="232"/>
      <c r="I11096" s="232" t="s">
        <v>1253</v>
      </c>
      <c r="J11096" s="228" t="s">
        <v>87</v>
      </c>
      <c r="K11096" s="233"/>
      <c r="L11096" s="233">
        <f>K11095</f>
        <v>643664.87250000238</v>
      </c>
    </row>
    <row r="11097" spans="1:13" ht="11.25" customHeight="1" x14ac:dyDescent="0.2">
      <c r="A11097" s="222">
        <v>2025</v>
      </c>
      <c r="B11097" s="222">
        <v>11</v>
      </c>
      <c r="C11097" s="222">
        <v>13</v>
      </c>
      <c r="D11097" s="223">
        <f t="shared" si="1497"/>
        <v>45974</v>
      </c>
      <c r="E11097" s="240">
        <f t="shared" si="1507"/>
        <v>45974</v>
      </c>
      <c r="F11097" s="511" t="s">
        <v>1246</v>
      </c>
      <c r="G11097" s="225" t="s">
        <v>1245</v>
      </c>
      <c r="H11097" s="226"/>
      <c r="I11097" s="226" t="s">
        <v>1253</v>
      </c>
      <c r="J11097" s="222" t="s">
        <v>75</v>
      </c>
      <c r="K11097" s="227">
        <v>3623.123846153846</v>
      </c>
      <c r="L11097" s="227"/>
    </row>
    <row r="11098" spans="1:13" ht="11.25" customHeight="1" x14ac:dyDescent="0.2">
      <c r="A11098" s="228">
        <v>2025</v>
      </c>
      <c r="B11098" s="228">
        <v>11</v>
      </c>
      <c r="C11098" s="228">
        <v>13</v>
      </c>
      <c r="D11098" s="229">
        <f t="shared" si="1497"/>
        <v>45974</v>
      </c>
      <c r="E11098" s="241">
        <f t="shared" si="1507"/>
        <v>45974</v>
      </c>
      <c r="F11098" s="512"/>
      <c r="G11098" s="231" t="s">
        <v>1245</v>
      </c>
      <c r="H11098" s="232"/>
      <c r="I11098" s="232" t="s">
        <v>1253</v>
      </c>
      <c r="J11098" s="228" t="s">
        <v>55</v>
      </c>
      <c r="K11098" s="233"/>
      <c r="L11098" s="233">
        <f>K11097</f>
        <v>3623.123846153846</v>
      </c>
    </row>
    <row r="11099" spans="1:13" ht="11.25" customHeight="1" x14ac:dyDescent="0.2">
      <c r="A11099" s="222">
        <v>2025</v>
      </c>
      <c r="B11099" s="222">
        <v>11</v>
      </c>
      <c r="C11099" s="222">
        <v>13</v>
      </c>
      <c r="D11099" s="223">
        <f t="shared" si="1497"/>
        <v>45974</v>
      </c>
      <c r="E11099" s="240">
        <f t="shared" si="1507"/>
        <v>45974</v>
      </c>
      <c r="F11099" s="511" t="s">
        <v>1247</v>
      </c>
      <c r="G11099" s="225" t="s">
        <v>1245</v>
      </c>
      <c r="H11099" s="226"/>
      <c r="I11099" s="226" t="s">
        <v>1253</v>
      </c>
      <c r="J11099" s="222" t="s">
        <v>77</v>
      </c>
      <c r="K11099" s="227">
        <f>M11099</f>
        <v>54844.130348528386</v>
      </c>
      <c r="L11099" s="227"/>
      <c r="M11099" s="120">
        <v>54844.130348528386</v>
      </c>
    </row>
    <row r="11100" spans="1:13" ht="11.25" customHeight="1" x14ac:dyDescent="0.2">
      <c r="A11100" s="228">
        <v>2025</v>
      </c>
      <c r="B11100" s="228">
        <v>11</v>
      </c>
      <c r="C11100" s="228">
        <v>13</v>
      </c>
      <c r="D11100" s="229">
        <f t="shared" si="1497"/>
        <v>45974</v>
      </c>
      <c r="E11100" s="241">
        <f t="shared" si="1507"/>
        <v>45974</v>
      </c>
      <c r="F11100" s="512"/>
      <c r="G11100" s="231" t="s">
        <v>1245</v>
      </c>
      <c r="H11100" s="232"/>
      <c r="I11100" s="232" t="s">
        <v>1253</v>
      </c>
      <c r="J11100" s="228" t="s">
        <v>41</v>
      </c>
      <c r="K11100" s="233"/>
      <c r="L11100" s="233">
        <f>K11099</f>
        <v>54844.130348528386</v>
      </c>
      <c r="M11100" s="120">
        <v>5484.4130348528379</v>
      </c>
    </row>
    <row r="11101" spans="1:13" ht="11.25" customHeight="1" x14ac:dyDescent="0.2">
      <c r="A11101" s="222">
        <v>2025</v>
      </c>
      <c r="B11101" s="222">
        <v>11</v>
      </c>
      <c r="C11101" s="222">
        <v>13</v>
      </c>
      <c r="D11101" s="223">
        <f t="shared" si="1497"/>
        <v>45974</v>
      </c>
      <c r="E11101" s="240">
        <f t="shared" si="1507"/>
        <v>45974</v>
      </c>
      <c r="F11101" s="511" t="s">
        <v>1248</v>
      </c>
      <c r="G11101" s="225" t="s">
        <v>1245</v>
      </c>
      <c r="H11101" s="226"/>
      <c r="I11101" s="226" t="s">
        <v>1253</v>
      </c>
      <c r="J11101" s="222" t="s">
        <v>80</v>
      </c>
      <c r="K11101" s="227">
        <f>M11100</f>
        <v>5484.4130348528379</v>
      </c>
      <c r="L11101" s="227"/>
    </row>
    <row r="11102" spans="1:13" ht="11.25" customHeight="1" x14ac:dyDescent="0.2">
      <c r="A11102" s="228">
        <v>2025</v>
      </c>
      <c r="B11102" s="228">
        <v>11</v>
      </c>
      <c r="C11102" s="228">
        <v>13</v>
      </c>
      <c r="D11102" s="229">
        <f t="shared" si="1497"/>
        <v>45974</v>
      </c>
      <c r="E11102" s="241">
        <f t="shared" si="1507"/>
        <v>45974</v>
      </c>
      <c r="F11102" s="512"/>
      <c r="G11102" s="231" t="s">
        <v>1245</v>
      </c>
      <c r="H11102" s="232"/>
      <c r="I11102" s="232" t="s">
        <v>1253</v>
      </c>
      <c r="J11102" s="228" t="s">
        <v>42</v>
      </c>
      <c r="K11102" s="233"/>
      <c r="L11102" s="233">
        <f>K11101</f>
        <v>5484.4130348528379</v>
      </c>
    </row>
    <row r="11103" spans="1:13" x14ac:dyDescent="0.2">
      <c r="A11103" s="197">
        <v>2025</v>
      </c>
      <c r="B11103" s="197">
        <v>11</v>
      </c>
      <c r="C11103" s="197">
        <v>15</v>
      </c>
      <c r="D11103" s="198">
        <f t="shared" si="1497"/>
        <v>45976</v>
      </c>
      <c r="E11103" s="209">
        <f t="shared" si="1507"/>
        <v>45976</v>
      </c>
      <c r="F11103" s="513" t="s">
        <v>1296</v>
      </c>
      <c r="G11103" s="200" t="s">
        <v>1209</v>
      </c>
      <c r="H11103" s="201"/>
      <c r="I11103" s="201"/>
      <c r="J11103" s="197" t="s">
        <v>46</v>
      </c>
      <c r="K11103" s="202">
        <v>11000</v>
      </c>
      <c r="L11103" s="202"/>
    </row>
    <row r="11104" spans="1:13" x14ac:dyDescent="0.2">
      <c r="A11104" s="120">
        <v>2025</v>
      </c>
      <c r="B11104" s="120">
        <v>11</v>
      </c>
      <c r="C11104" s="120">
        <v>15</v>
      </c>
      <c r="D11104" s="208">
        <f t="shared" si="1497"/>
        <v>45976</v>
      </c>
      <c r="E11104" s="209">
        <f t="shared" si="1507"/>
        <v>45976</v>
      </c>
      <c r="F11104" s="515"/>
      <c r="G11104" s="132" t="s">
        <v>1209</v>
      </c>
      <c r="J11104" s="120" t="s">
        <v>16</v>
      </c>
      <c r="K11104" s="207"/>
      <c r="L11104" s="207">
        <v>7960</v>
      </c>
    </row>
    <row r="11105" spans="1:15" x14ac:dyDescent="0.2">
      <c r="A11105" s="191">
        <v>2025</v>
      </c>
      <c r="B11105" s="191">
        <v>11</v>
      </c>
      <c r="C11105" s="191">
        <v>15</v>
      </c>
      <c r="D11105" s="192">
        <f t="shared" si="1497"/>
        <v>45976</v>
      </c>
      <c r="E11105" s="193">
        <f t="shared" si="1507"/>
        <v>45976</v>
      </c>
      <c r="F11105" s="514"/>
      <c r="G11105" s="194" t="s">
        <v>1209</v>
      </c>
      <c r="H11105" s="195"/>
      <c r="I11105" s="195"/>
      <c r="J11105" s="191" t="s">
        <v>47</v>
      </c>
      <c r="K11105" s="196"/>
      <c r="L11105" s="196">
        <v>3040</v>
      </c>
    </row>
    <row r="11106" spans="1:15" x14ac:dyDescent="0.2">
      <c r="A11106" s="197">
        <v>2025</v>
      </c>
      <c r="B11106" s="197">
        <v>11</v>
      </c>
      <c r="C11106" s="197">
        <v>16</v>
      </c>
      <c r="D11106" s="198">
        <f t="shared" si="1497"/>
        <v>45977</v>
      </c>
      <c r="E11106" s="209">
        <f t="shared" ref="E11106:E11108" si="1508">DATE(A11106,B11106,C11106)</f>
        <v>45977</v>
      </c>
      <c r="F11106" s="513" t="s">
        <v>1296</v>
      </c>
      <c r="G11106" s="200" t="s">
        <v>1209</v>
      </c>
      <c r="H11106" s="201"/>
      <c r="I11106" s="201"/>
      <c r="J11106" s="197" t="s">
        <v>46</v>
      </c>
      <c r="K11106" s="202">
        <v>104000</v>
      </c>
      <c r="L11106" s="202"/>
    </row>
    <row r="11107" spans="1:15" x14ac:dyDescent="0.2">
      <c r="A11107" s="120">
        <v>2025</v>
      </c>
      <c r="B11107" s="120">
        <v>11</v>
      </c>
      <c r="C11107" s="120">
        <v>16</v>
      </c>
      <c r="D11107" s="208">
        <f t="shared" si="1497"/>
        <v>45977</v>
      </c>
      <c r="E11107" s="209">
        <f t="shared" si="1508"/>
        <v>45977</v>
      </c>
      <c r="F11107" s="515"/>
      <c r="G11107" s="132" t="s">
        <v>1209</v>
      </c>
      <c r="J11107" s="120" t="s">
        <v>16</v>
      </c>
      <c r="K11107" s="207"/>
      <c r="L11107" s="207">
        <v>75300</v>
      </c>
    </row>
    <row r="11108" spans="1:15" x14ac:dyDescent="0.2">
      <c r="A11108" s="191">
        <v>2025</v>
      </c>
      <c r="B11108" s="191">
        <v>11</v>
      </c>
      <c r="C11108" s="191">
        <v>16</v>
      </c>
      <c r="D11108" s="192">
        <f t="shared" si="1497"/>
        <v>45977</v>
      </c>
      <c r="E11108" s="193">
        <f t="shared" si="1508"/>
        <v>45977</v>
      </c>
      <c r="F11108" s="514"/>
      <c r="G11108" s="194" t="s">
        <v>1209</v>
      </c>
      <c r="H11108" s="195"/>
      <c r="I11108" s="195"/>
      <c r="J11108" s="191" t="s">
        <v>47</v>
      </c>
      <c r="K11108" s="196"/>
      <c r="L11108" s="196">
        <v>28700</v>
      </c>
    </row>
    <row r="11109" spans="1:15" ht="11.25" customHeight="1" x14ac:dyDescent="0.2">
      <c r="A11109" s="197">
        <v>2025</v>
      </c>
      <c r="B11109" s="197">
        <v>11</v>
      </c>
      <c r="C11109" s="197">
        <v>16</v>
      </c>
      <c r="D11109" s="198">
        <f t="shared" si="1497"/>
        <v>45977</v>
      </c>
      <c r="E11109" s="290">
        <f t="shared" si="1507"/>
        <v>45977</v>
      </c>
      <c r="F11109" s="513" t="s">
        <v>2105</v>
      </c>
      <c r="G11109" s="200" t="s">
        <v>1209</v>
      </c>
      <c r="H11109" s="201"/>
      <c r="I11109" s="201" t="s">
        <v>1253</v>
      </c>
      <c r="J11109" s="197" t="s">
        <v>46</v>
      </c>
      <c r="K11109" s="202">
        <v>1170950</v>
      </c>
      <c r="L11109" s="202"/>
      <c r="M11109" s="251"/>
    </row>
    <row r="11110" spans="1:15" ht="11.25" customHeight="1" x14ac:dyDescent="0.2">
      <c r="A11110" s="191">
        <v>2025</v>
      </c>
      <c r="B11110" s="191">
        <v>11</v>
      </c>
      <c r="C11110" s="191">
        <v>16</v>
      </c>
      <c r="D11110" s="192">
        <f t="shared" si="1497"/>
        <v>45977</v>
      </c>
      <c r="E11110" s="291">
        <f t="shared" si="1507"/>
        <v>45977</v>
      </c>
      <c r="F11110" s="514"/>
      <c r="G11110" s="194" t="s">
        <v>1209</v>
      </c>
      <c r="H11110" s="195"/>
      <c r="I11110" s="195"/>
      <c r="J11110" s="191" t="s">
        <v>1873</v>
      </c>
      <c r="K11110" s="196"/>
      <c r="L11110" s="196">
        <f>K11109</f>
        <v>1170950</v>
      </c>
      <c r="M11110" s="251"/>
    </row>
    <row r="11111" spans="1:15" x14ac:dyDescent="0.2">
      <c r="A11111" s="197">
        <v>2025</v>
      </c>
      <c r="B11111" s="197">
        <v>11</v>
      </c>
      <c r="C11111" s="197">
        <v>16</v>
      </c>
      <c r="D11111" s="198">
        <f t="shared" si="1497"/>
        <v>45977</v>
      </c>
      <c r="E11111" s="209">
        <f t="shared" si="1507"/>
        <v>45977</v>
      </c>
      <c r="F11111" s="513" t="s">
        <v>1280</v>
      </c>
      <c r="G11111" s="200" t="s">
        <v>1209</v>
      </c>
      <c r="H11111" s="201"/>
      <c r="I11111" s="201"/>
      <c r="J11111" s="197" t="s">
        <v>16</v>
      </c>
      <c r="K11111" s="202">
        <v>1250000</v>
      </c>
      <c r="L11111" s="202"/>
    </row>
    <row r="11112" spans="1:15" x14ac:dyDescent="0.2">
      <c r="A11112" s="120">
        <v>2025</v>
      </c>
      <c r="B11112" s="120">
        <v>11</v>
      </c>
      <c r="C11112" s="120">
        <v>16</v>
      </c>
      <c r="D11112" s="208">
        <f t="shared" si="1497"/>
        <v>45977</v>
      </c>
      <c r="E11112" s="209">
        <f t="shared" si="1507"/>
        <v>45977</v>
      </c>
      <c r="F11112" s="515"/>
      <c r="G11112" s="132" t="s">
        <v>1209</v>
      </c>
      <c r="J11112" s="120" t="s">
        <v>47</v>
      </c>
      <c r="K11112" s="207">
        <v>476375</v>
      </c>
      <c r="L11112" s="207"/>
    </row>
    <row r="11113" spans="1:15" x14ac:dyDescent="0.2">
      <c r="A11113" s="191">
        <v>2025</v>
      </c>
      <c r="B11113" s="191">
        <v>11</v>
      </c>
      <c r="C11113" s="191">
        <v>16</v>
      </c>
      <c r="D11113" s="192">
        <f t="shared" si="1497"/>
        <v>45977</v>
      </c>
      <c r="E11113" s="193">
        <f t="shared" si="1507"/>
        <v>45977</v>
      </c>
      <c r="F11113" s="514"/>
      <c r="G11113" s="194" t="s">
        <v>1209</v>
      </c>
      <c r="H11113" s="195"/>
      <c r="I11113" s="195"/>
      <c r="J11113" s="191" t="s">
        <v>46</v>
      </c>
      <c r="K11113" s="196"/>
      <c r="L11113" s="196">
        <v>1726375</v>
      </c>
    </row>
    <row r="11114" spans="1:15" x14ac:dyDescent="0.2">
      <c r="A11114" s="197">
        <v>2025</v>
      </c>
      <c r="B11114" s="197">
        <v>11</v>
      </c>
      <c r="C11114" s="197">
        <v>16</v>
      </c>
      <c r="D11114" s="198">
        <f t="shared" si="1497"/>
        <v>45977</v>
      </c>
      <c r="E11114" s="290">
        <f t="shared" si="1507"/>
        <v>45977</v>
      </c>
      <c r="F11114" s="513" t="s">
        <v>1514</v>
      </c>
      <c r="G11114" s="200" t="s">
        <v>1209</v>
      </c>
      <c r="H11114" s="201"/>
      <c r="I11114" s="201"/>
      <c r="J11114" s="197" t="s">
        <v>54</v>
      </c>
      <c r="K11114" s="202">
        <v>100</v>
      </c>
      <c r="L11114" s="202"/>
      <c r="M11114" s="251"/>
      <c r="N11114" s="251"/>
      <c r="O11114" s="251"/>
    </row>
    <row r="11115" spans="1:15" ht="11.25" customHeight="1" x14ac:dyDescent="0.2">
      <c r="A11115" s="191">
        <v>2025</v>
      </c>
      <c r="B11115" s="191">
        <v>11</v>
      </c>
      <c r="C11115" s="191">
        <v>16</v>
      </c>
      <c r="D11115" s="192">
        <f t="shared" si="1497"/>
        <v>45977</v>
      </c>
      <c r="E11115" s="291">
        <f t="shared" si="1507"/>
        <v>45977</v>
      </c>
      <c r="F11115" s="514"/>
      <c r="G11115" s="194" t="s">
        <v>1209</v>
      </c>
      <c r="H11115" s="195"/>
      <c r="I11115" s="195"/>
      <c r="J11115" s="191" t="s">
        <v>46</v>
      </c>
      <c r="K11115" s="196"/>
      <c r="L11115" s="196">
        <f>K11114</f>
        <v>100</v>
      </c>
      <c r="M11115" s="251"/>
    </row>
    <row r="11116" spans="1:15" ht="11.25" customHeight="1" x14ac:dyDescent="0.2">
      <c r="A11116" s="197">
        <v>2025</v>
      </c>
      <c r="B11116" s="197">
        <v>11</v>
      </c>
      <c r="C11116" s="197">
        <v>17</v>
      </c>
      <c r="D11116" s="198">
        <f t="shared" ref="D11116:D11179" si="1509">DATE(A11116,B11116,C11116)</f>
        <v>45978</v>
      </c>
      <c r="E11116" s="199">
        <f t="shared" si="1507"/>
        <v>45978</v>
      </c>
      <c r="F11116" s="513" t="s">
        <v>1396</v>
      </c>
      <c r="G11116" s="200" t="s">
        <v>1209</v>
      </c>
      <c r="H11116" s="201"/>
      <c r="I11116" s="201"/>
      <c r="J11116" s="197" t="s">
        <v>84</v>
      </c>
      <c r="K11116" s="202">
        <v>600</v>
      </c>
      <c r="L11116" s="202"/>
    </row>
    <row r="11117" spans="1:15" ht="11.25" customHeight="1" x14ac:dyDescent="0.2">
      <c r="A11117" s="191">
        <v>2025</v>
      </c>
      <c r="B11117" s="191">
        <v>11</v>
      </c>
      <c r="C11117" s="191">
        <v>17</v>
      </c>
      <c r="D11117" s="192">
        <f t="shared" si="1509"/>
        <v>45978</v>
      </c>
      <c r="E11117" s="193">
        <f t="shared" si="1507"/>
        <v>45978</v>
      </c>
      <c r="F11117" s="514"/>
      <c r="G11117" s="194" t="s">
        <v>1209</v>
      </c>
      <c r="H11117" s="195"/>
      <c r="I11117" s="195"/>
      <c r="J11117" s="191" t="s">
        <v>46</v>
      </c>
      <c r="K11117" s="196"/>
      <c r="L11117" s="196">
        <v>600</v>
      </c>
    </row>
    <row r="11118" spans="1:15" ht="11.25" customHeight="1" x14ac:dyDescent="0.2">
      <c r="A11118" s="197">
        <v>2025</v>
      </c>
      <c r="B11118" s="197">
        <v>11</v>
      </c>
      <c r="C11118" s="197">
        <v>17</v>
      </c>
      <c r="D11118" s="198">
        <f t="shared" si="1509"/>
        <v>45978</v>
      </c>
      <c r="E11118" s="290">
        <f t="shared" si="1507"/>
        <v>45978</v>
      </c>
      <c r="F11118" s="513" t="s">
        <v>2092</v>
      </c>
      <c r="G11118" s="200" t="s">
        <v>1245</v>
      </c>
      <c r="H11118" s="201"/>
      <c r="I11118" s="201" t="s">
        <v>1253</v>
      </c>
      <c r="J11118" s="197" t="s">
        <v>46</v>
      </c>
      <c r="K11118" s="202">
        <v>651309.6</v>
      </c>
      <c r="L11118" s="202"/>
    </row>
    <row r="11119" spans="1:15" ht="11.25" customHeight="1" x14ac:dyDescent="0.2">
      <c r="A11119" s="191">
        <v>2025</v>
      </c>
      <c r="B11119" s="191">
        <v>11</v>
      </c>
      <c r="C11119" s="191">
        <v>17</v>
      </c>
      <c r="D11119" s="192">
        <f t="shared" si="1509"/>
        <v>45978</v>
      </c>
      <c r="E11119" s="291">
        <f t="shared" si="1507"/>
        <v>45978</v>
      </c>
      <c r="F11119" s="514"/>
      <c r="G11119" s="194" t="s">
        <v>1245</v>
      </c>
      <c r="H11119" s="195"/>
      <c r="I11119" s="195" t="s">
        <v>1253</v>
      </c>
      <c r="J11119" s="191" t="s">
        <v>2004</v>
      </c>
      <c r="K11119" s="196"/>
      <c r="L11119" s="196">
        <f t="shared" ref="L11119" si="1510">K11118</f>
        <v>651309.6</v>
      </c>
    </row>
    <row r="11120" spans="1:15" x14ac:dyDescent="0.2">
      <c r="A11120" s="197">
        <v>2025</v>
      </c>
      <c r="B11120" s="197">
        <v>11</v>
      </c>
      <c r="C11120" s="197">
        <v>17</v>
      </c>
      <c r="D11120" s="198">
        <f t="shared" si="1509"/>
        <v>45978</v>
      </c>
      <c r="E11120" s="209">
        <f t="shared" ref="E11120:E11122" si="1511">DATE(A11120,B11120,C11120)</f>
        <v>45978</v>
      </c>
      <c r="F11120" s="513" t="s">
        <v>1280</v>
      </c>
      <c r="G11120" s="200" t="s">
        <v>1209</v>
      </c>
      <c r="H11120" s="201"/>
      <c r="I11120" s="201"/>
      <c r="J11120" s="197" t="s">
        <v>16</v>
      </c>
      <c r="K11120" s="202">
        <v>270150</v>
      </c>
      <c r="L11120" s="202"/>
    </row>
    <row r="11121" spans="1:15" x14ac:dyDescent="0.2">
      <c r="A11121" s="120">
        <v>2025</v>
      </c>
      <c r="B11121" s="120">
        <v>11</v>
      </c>
      <c r="C11121" s="120">
        <v>17</v>
      </c>
      <c r="D11121" s="208">
        <f t="shared" si="1509"/>
        <v>45978</v>
      </c>
      <c r="E11121" s="209">
        <f t="shared" si="1511"/>
        <v>45978</v>
      </c>
      <c r="F11121" s="515"/>
      <c r="G11121" s="132" t="s">
        <v>1209</v>
      </c>
      <c r="J11121" s="120" t="s">
        <v>47</v>
      </c>
      <c r="K11121" s="207">
        <v>102954.16999999998</v>
      </c>
      <c r="L11121" s="207"/>
    </row>
    <row r="11122" spans="1:15" x14ac:dyDescent="0.2">
      <c r="A11122" s="191">
        <v>2025</v>
      </c>
      <c r="B11122" s="191">
        <v>11</v>
      </c>
      <c r="C11122" s="191">
        <v>17</v>
      </c>
      <c r="D11122" s="192">
        <f t="shared" si="1509"/>
        <v>45978</v>
      </c>
      <c r="E11122" s="193">
        <f t="shared" si="1511"/>
        <v>45978</v>
      </c>
      <c r="F11122" s="514"/>
      <c r="G11122" s="194" t="s">
        <v>1209</v>
      </c>
      <c r="H11122" s="195"/>
      <c r="I11122" s="195"/>
      <c r="J11122" s="191" t="s">
        <v>46</v>
      </c>
      <c r="K11122" s="196"/>
      <c r="L11122" s="196">
        <v>373104.17</v>
      </c>
    </row>
    <row r="11123" spans="1:15" x14ac:dyDescent="0.2">
      <c r="A11123" s="197">
        <v>2025</v>
      </c>
      <c r="B11123" s="197">
        <v>11</v>
      </c>
      <c r="C11123" s="197">
        <v>17</v>
      </c>
      <c r="D11123" s="198">
        <f t="shared" si="1509"/>
        <v>45978</v>
      </c>
      <c r="E11123" s="209">
        <f t="shared" ref="E11123:E11135" si="1512">DATE(A11123,B11123,C11123)</f>
        <v>45978</v>
      </c>
      <c r="F11123" s="513" t="s">
        <v>1280</v>
      </c>
      <c r="G11123" s="200" t="s">
        <v>1209</v>
      </c>
      <c r="H11123" s="201"/>
      <c r="I11123" s="201"/>
      <c r="J11123" s="197" t="s">
        <v>16</v>
      </c>
      <c r="K11123" s="202">
        <v>2896240</v>
      </c>
      <c r="L11123" s="202"/>
    </row>
    <row r="11124" spans="1:15" x14ac:dyDescent="0.2">
      <c r="A11124" s="120">
        <v>2025</v>
      </c>
      <c r="B11124" s="120">
        <v>11</v>
      </c>
      <c r="C11124" s="120">
        <v>17</v>
      </c>
      <c r="D11124" s="208">
        <f t="shared" si="1509"/>
        <v>45978</v>
      </c>
      <c r="E11124" s="209">
        <f t="shared" si="1512"/>
        <v>45978</v>
      </c>
      <c r="F11124" s="515"/>
      <c r="G11124" s="132" t="s">
        <v>1209</v>
      </c>
      <c r="J11124" s="120" t="s">
        <v>47</v>
      </c>
      <c r="K11124" s="207">
        <v>1103760</v>
      </c>
      <c r="L11124" s="207"/>
    </row>
    <row r="11125" spans="1:15" x14ac:dyDescent="0.2">
      <c r="A11125" s="191">
        <v>2025</v>
      </c>
      <c r="B11125" s="191">
        <v>11</v>
      </c>
      <c r="C11125" s="191">
        <v>17</v>
      </c>
      <c r="D11125" s="192">
        <f t="shared" si="1509"/>
        <v>45978</v>
      </c>
      <c r="E11125" s="193">
        <f t="shared" si="1512"/>
        <v>45978</v>
      </c>
      <c r="F11125" s="514"/>
      <c r="G11125" s="194" t="s">
        <v>1209</v>
      </c>
      <c r="H11125" s="195"/>
      <c r="I11125" s="195"/>
      <c r="J11125" s="191" t="s">
        <v>46</v>
      </c>
      <c r="K11125" s="196"/>
      <c r="L11125" s="196">
        <v>4000000</v>
      </c>
    </row>
    <row r="11126" spans="1:15" x14ac:dyDescent="0.2">
      <c r="A11126" s="197">
        <v>2025</v>
      </c>
      <c r="B11126" s="197">
        <v>11</v>
      </c>
      <c r="C11126" s="197">
        <v>17</v>
      </c>
      <c r="D11126" s="198">
        <f t="shared" si="1509"/>
        <v>45978</v>
      </c>
      <c r="E11126" s="290">
        <f t="shared" si="1512"/>
        <v>45978</v>
      </c>
      <c r="F11126" s="513" t="s">
        <v>1514</v>
      </c>
      <c r="G11126" s="200" t="s">
        <v>1209</v>
      </c>
      <c r="H11126" s="201"/>
      <c r="I11126" s="201"/>
      <c r="J11126" s="197" t="s">
        <v>54</v>
      </c>
      <c r="K11126" s="202">
        <v>168</v>
      </c>
      <c r="L11126" s="202"/>
      <c r="M11126" s="251"/>
      <c r="N11126" s="251"/>
      <c r="O11126" s="251"/>
    </row>
    <row r="11127" spans="1:15" ht="11.25" customHeight="1" x14ac:dyDescent="0.2">
      <c r="A11127" s="191">
        <v>2025</v>
      </c>
      <c r="B11127" s="191">
        <v>11</v>
      </c>
      <c r="C11127" s="191">
        <v>17</v>
      </c>
      <c r="D11127" s="192">
        <f t="shared" si="1509"/>
        <v>45978</v>
      </c>
      <c r="E11127" s="291">
        <f t="shared" si="1512"/>
        <v>45978</v>
      </c>
      <c r="F11127" s="514"/>
      <c r="G11127" s="194" t="s">
        <v>1209</v>
      </c>
      <c r="H11127" s="195"/>
      <c r="I11127" s="195"/>
      <c r="J11127" s="191" t="s">
        <v>46</v>
      </c>
      <c r="K11127" s="196"/>
      <c r="L11127" s="196">
        <f>K11126</f>
        <v>168</v>
      </c>
      <c r="M11127" s="251"/>
    </row>
    <row r="11128" spans="1:15" x14ac:dyDescent="0.2">
      <c r="A11128" s="197">
        <v>2025</v>
      </c>
      <c r="B11128" s="197">
        <v>11</v>
      </c>
      <c r="C11128" s="197">
        <v>17</v>
      </c>
      <c r="D11128" s="198">
        <f t="shared" si="1509"/>
        <v>45978</v>
      </c>
      <c r="E11128" s="209">
        <f t="shared" si="1512"/>
        <v>45978</v>
      </c>
      <c r="F11128" s="513" t="s">
        <v>1210</v>
      </c>
      <c r="G11128" s="200" t="s">
        <v>1209</v>
      </c>
      <c r="H11128" s="201"/>
      <c r="I11128" s="201"/>
      <c r="J11128" s="197" t="s">
        <v>46</v>
      </c>
      <c r="K11128" s="202">
        <v>200000</v>
      </c>
      <c r="L11128" s="202"/>
    </row>
    <row r="11129" spans="1:15" x14ac:dyDescent="0.2">
      <c r="A11129" s="120">
        <v>2025</v>
      </c>
      <c r="B11129" s="120">
        <v>11</v>
      </c>
      <c r="C11129" s="120">
        <v>17</v>
      </c>
      <c r="D11129" s="208">
        <f t="shared" si="1509"/>
        <v>45978</v>
      </c>
      <c r="E11129" s="209">
        <f t="shared" si="1512"/>
        <v>45978</v>
      </c>
      <c r="F11129" s="515"/>
      <c r="G11129" s="132" t="s">
        <v>1209</v>
      </c>
      <c r="J11129" s="120" t="s">
        <v>16</v>
      </c>
      <c r="K11129" s="207"/>
      <c r="L11129" s="207">
        <v>144810</v>
      </c>
    </row>
    <row r="11130" spans="1:15" x14ac:dyDescent="0.2">
      <c r="A11130" s="191">
        <v>2025</v>
      </c>
      <c r="B11130" s="191">
        <v>11</v>
      </c>
      <c r="C11130" s="191">
        <v>17</v>
      </c>
      <c r="D11130" s="192">
        <f t="shared" si="1509"/>
        <v>45978</v>
      </c>
      <c r="E11130" s="193">
        <f t="shared" si="1512"/>
        <v>45978</v>
      </c>
      <c r="F11130" s="514"/>
      <c r="G11130" s="194" t="s">
        <v>1209</v>
      </c>
      <c r="H11130" s="195"/>
      <c r="I11130" s="195"/>
      <c r="J11130" s="191" t="s">
        <v>47</v>
      </c>
      <c r="K11130" s="196"/>
      <c r="L11130" s="196">
        <v>55190</v>
      </c>
    </row>
    <row r="11131" spans="1:15" ht="11.25" customHeight="1" x14ac:dyDescent="0.2">
      <c r="A11131" s="197">
        <v>2025</v>
      </c>
      <c r="B11131" s="197">
        <v>11</v>
      </c>
      <c r="C11131" s="197">
        <v>17</v>
      </c>
      <c r="D11131" s="198">
        <f t="shared" si="1509"/>
        <v>45978</v>
      </c>
      <c r="E11131" s="199">
        <f t="shared" si="1512"/>
        <v>45978</v>
      </c>
      <c r="F11131" s="513" t="s">
        <v>2108</v>
      </c>
      <c r="G11131" s="200" t="s">
        <v>1209</v>
      </c>
      <c r="H11131" s="201"/>
      <c r="I11131" s="201"/>
      <c r="J11131" s="197" t="s">
        <v>171</v>
      </c>
      <c r="K11131" s="202">
        <v>27.5</v>
      </c>
      <c r="L11131" s="202"/>
    </row>
    <row r="11132" spans="1:15" ht="11.25" customHeight="1" x14ac:dyDescent="0.2">
      <c r="A11132" s="191">
        <v>2025</v>
      </c>
      <c r="B11132" s="191">
        <v>11</v>
      </c>
      <c r="C11132" s="191">
        <v>17</v>
      </c>
      <c r="D11132" s="192">
        <f t="shared" si="1509"/>
        <v>45978</v>
      </c>
      <c r="E11132" s="193">
        <f t="shared" si="1512"/>
        <v>45978</v>
      </c>
      <c r="F11132" s="514"/>
      <c r="G11132" s="194" t="s">
        <v>1209</v>
      </c>
      <c r="H11132" s="195"/>
      <c r="I11132" s="195"/>
      <c r="J11132" s="191" t="s">
        <v>170</v>
      </c>
      <c r="K11132" s="196"/>
      <c r="L11132" s="196">
        <v>27.5</v>
      </c>
    </row>
    <row r="11133" spans="1:15" x14ac:dyDescent="0.2">
      <c r="A11133" s="197">
        <v>2025</v>
      </c>
      <c r="B11133" s="197">
        <v>11</v>
      </c>
      <c r="C11133" s="197">
        <v>18</v>
      </c>
      <c r="D11133" s="198">
        <f t="shared" si="1509"/>
        <v>45979</v>
      </c>
      <c r="E11133" s="209">
        <f t="shared" si="1512"/>
        <v>45979</v>
      </c>
      <c r="F11133" s="513" t="s">
        <v>1280</v>
      </c>
      <c r="G11133" s="200" t="s">
        <v>1209</v>
      </c>
      <c r="H11133" s="201"/>
      <c r="I11133" s="201"/>
      <c r="J11133" s="197" t="s">
        <v>16</v>
      </c>
      <c r="K11133" s="202">
        <v>129640</v>
      </c>
      <c r="L11133" s="202"/>
    </row>
    <row r="11134" spans="1:15" x14ac:dyDescent="0.2">
      <c r="A11134" s="120">
        <v>2025</v>
      </c>
      <c r="B11134" s="120">
        <v>11</v>
      </c>
      <c r="C11134" s="120">
        <v>18</v>
      </c>
      <c r="D11134" s="208">
        <f t="shared" si="1509"/>
        <v>45979</v>
      </c>
      <c r="E11134" s="209">
        <f t="shared" si="1512"/>
        <v>45979</v>
      </c>
      <c r="F11134" s="515"/>
      <c r="G11134" s="132" t="s">
        <v>1209</v>
      </c>
      <c r="J11134" s="120" t="s">
        <v>47</v>
      </c>
      <c r="K11134" s="207">
        <v>49405.799999999988</v>
      </c>
      <c r="L11134" s="207"/>
    </row>
    <row r="11135" spans="1:15" x14ac:dyDescent="0.2">
      <c r="A11135" s="191">
        <v>2025</v>
      </c>
      <c r="B11135" s="191">
        <v>11</v>
      </c>
      <c r="C11135" s="191">
        <v>18</v>
      </c>
      <c r="D11135" s="192">
        <f t="shared" si="1509"/>
        <v>45979</v>
      </c>
      <c r="E11135" s="193">
        <f t="shared" si="1512"/>
        <v>45979</v>
      </c>
      <c r="F11135" s="514"/>
      <c r="G11135" s="194" t="s">
        <v>1209</v>
      </c>
      <c r="H11135" s="195"/>
      <c r="I11135" s="195"/>
      <c r="J11135" s="191" t="s">
        <v>46</v>
      </c>
      <c r="K11135" s="196"/>
      <c r="L11135" s="196">
        <v>179045.8</v>
      </c>
    </row>
    <row r="11136" spans="1:15" x14ac:dyDescent="0.2">
      <c r="A11136" s="197">
        <v>2025</v>
      </c>
      <c r="B11136" s="197">
        <v>11</v>
      </c>
      <c r="C11136" s="197">
        <v>18</v>
      </c>
      <c r="D11136" s="198">
        <f t="shared" si="1509"/>
        <v>45979</v>
      </c>
      <c r="E11136" s="209">
        <f t="shared" ref="E11136:E11144" si="1513">DATE(A11136,B11136,C11136)</f>
        <v>45979</v>
      </c>
      <c r="F11136" s="513" t="s">
        <v>1280</v>
      </c>
      <c r="G11136" s="200" t="s">
        <v>1209</v>
      </c>
      <c r="H11136" s="201"/>
      <c r="I11136" s="201"/>
      <c r="J11136" s="197" t="s">
        <v>16</v>
      </c>
      <c r="K11136" s="202">
        <v>82750</v>
      </c>
      <c r="L11136" s="202"/>
    </row>
    <row r="11137" spans="1:14" x14ac:dyDescent="0.2">
      <c r="A11137" s="120">
        <v>2025</v>
      </c>
      <c r="B11137" s="120">
        <v>11</v>
      </c>
      <c r="C11137" s="120">
        <v>18</v>
      </c>
      <c r="D11137" s="208">
        <f t="shared" si="1509"/>
        <v>45979</v>
      </c>
      <c r="E11137" s="209">
        <f t="shared" si="1513"/>
        <v>45979</v>
      </c>
      <c r="F11137" s="515"/>
      <c r="G11137" s="132" t="s">
        <v>1209</v>
      </c>
      <c r="J11137" s="120" t="s">
        <v>47</v>
      </c>
      <c r="K11137" s="207">
        <v>31536.03</v>
      </c>
      <c r="L11137" s="207"/>
    </row>
    <row r="11138" spans="1:14" x14ac:dyDescent="0.2">
      <c r="A11138" s="191">
        <v>2025</v>
      </c>
      <c r="B11138" s="191">
        <v>11</v>
      </c>
      <c r="C11138" s="191">
        <v>18</v>
      </c>
      <c r="D11138" s="192">
        <f t="shared" si="1509"/>
        <v>45979</v>
      </c>
      <c r="E11138" s="193">
        <f t="shared" si="1513"/>
        <v>45979</v>
      </c>
      <c r="F11138" s="514"/>
      <c r="G11138" s="194" t="s">
        <v>1209</v>
      </c>
      <c r="H11138" s="195"/>
      <c r="I11138" s="195"/>
      <c r="J11138" s="191" t="s">
        <v>46</v>
      </c>
      <c r="K11138" s="196"/>
      <c r="L11138" s="196">
        <v>114286.03</v>
      </c>
    </row>
    <row r="11139" spans="1:14" x14ac:dyDescent="0.2">
      <c r="A11139" s="197">
        <v>2025</v>
      </c>
      <c r="B11139" s="197">
        <v>11</v>
      </c>
      <c r="C11139" s="197">
        <v>18</v>
      </c>
      <c r="D11139" s="198">
        <f t="shared" si="1509"/>
        <v>45979</v>
      </c>
      <c r="E11139" s="209">
        <f t="shared" si="1513"/>
        <v>45979</v>
      </c>
      <c r="F11139" s="513" t="s">
        <v>1210</v>
      </c>
      <c r="G11139" s="200" t="s">
        <v>1209</v>
      </c>
      <c r="H11139" s="201"/>
      <c r="I11139" s="201"/>
      <c r="J11139" s="197" t="s">
        <v>46</v>
      </c>
      <c r="K11139" s="202">
        <v>1500000</v>
      </c>
      <c r="L11139" s="202"/>
    </row>
    <row r="11140" spans="1:14" x14ac:dyDescent="0.2">
      <c r="A11140" s="120">
        <v>2025</v>
      </c>
      <c r="B11140" s="120">
        <v>11</v>
      </c>
      <c r="C11140" s="120">
        <v>18</v>
      </c>
      <c r="D11140" s="208">
        <f t="shared" si="1509"/>
        <v>45979</v>
      </c>
      <c r="E11140" s="209">
        <f t="shared" si="1513"/>
        <v>45979</v>
      </c>
      <c r="F11140" s="515"/>
      <c r="G11140" s="132" t="s">
        <v>1209</v>
      </c>
      <c r="J11140" s="120" t="s">
        <v>16</v>
      </c>
      <c r="K11140" s="207"/>
      <c r="L11140" s="207">
        <v>1086090</v>
      </c>
    </row>
    <row r="11141" spans="1:14" x14ac:dyDescent="0.2">
      <c r="A11141" s="191">
        <v>2025</v>
      </c>
      <c r="B11141" s="191">
        <v>11</v>
      </c>
      <c r="C11141" s="191">
        <v>18</v>
      </c>
      <c r="D11141" s="192">
        <f t="shared" si="1509"/>
        <v>45979</v>
      </c>
      <c r="E11141" s="193">
        <f t="shared" si="1513"/>
        <v>45979</v>
      </c>
      <c r="F11141" s="514"/>
      <c r="G11141" s="194" t="s">
        <v>1209</v>
      </c>
      <c r="H11141" s="195"/>
      <c r="I11141" s="195"/>
      <c r="J11141" s="191" t="s">
        <v>47</v>
      </c>
      <c r="K11141" s="196"/>
      <c r="L11141" s="196">
        <v>413910</v>
      </c>
    </row>
    <row r="11142" spans="1:14" x14ac:dyDescent="0.2">
      <c r="A11142" s="197">
        <v>2025</v>
      </c>
      <c r="B11142" s="197">
        <v>11</v>
      </c>
      <c r="C11142" s="197">
        <v>18</v>
      </c>
      <c r="D11142" s="198">
        <f t="shared" si="1509"/>
        <v>45979</v>
      </c>
      <c r="E11142" s="209">
        <f t="shared" si="1513"/>
        <v>45979</v>
      </c>
      <c r="F11142" s="513" t="s">
        <v>1210</v>
      </c>
      <c r="G11142" s="200" t="s">
        <v>1209</v>
      </c>
      <c r="H11142" s="201"/>
      <c r="I11142" s="201"/>
      <c r="J11142" s="197" t="s">
        <v>46</v>
      </c>
      <c r="K11142" s="202">
        <v>300000</v>
      </c>
      <c r="L11142" s="202"/>
    </row>
    <row r="11143" spans="1:14" x14ac:dyDescent="0.2">
      <c r="A11143" s="120">
        <v>2025</v>
      </c>
      <c r="B11143" s="120">
        <v>11</v>
      </c>
      <c r="C11143" s="120">
        <v>18</v>
      </c>
      <c r="D11143" s="208">
        <f t="shared" si="1509"/>
        <v>45979</v>
      </c>
      <c r="E11143" s="209">
        <f t="shared" si="1513"/>
        <v>45979</v>
      </c>
      <c r="F11143" s="515"/>
      <c r="G11143" s="132" t="s">
        <v>1209</v>
      </c>
      <c r="J11143" s="120" t="s">
        <v>16</v>
      </c>
      <c r="K11143" s="207"/>
      <c r="L11143" s="207">
        <v>217220</v>
      </c>
    </row>
    <row r="11144" spans="1:14" x14ac:dyDescent="0.2">
      <c r="A11144" s="191">
        <v>2025</v>
      </c>
      <c r="B11144" s="191">
        <v>11</v>
      </c>
      <c r="C11144" s="191">
        <v>18</v>
      </c>
      <c r="D11144" s="192">
        <f t="shared" si="1509"/>
        <v>45979</v>
      </c>
      <c r="E11144" s="193">
        <f t="shared" si="1513"/>
        <v>45979</v>
      </c>
      <c r="F11144" s="514"/>
      <c r="G11144" s="194" t="s">
        <v>1209</v>
      </c>
      <c r="H11144" s="195"/>
      <c r="I11144" s="195"/>
      <c r="J11144" s="191" t="s">
        <v>47</v>
      </c>
      <c r="K11144" s="196"/>
      <c r="L11144" s="196">
        <v>82780</v>
      </c>
    </row>
    <row r="11145" spans="1:14" x14ac:dyDescent="0.2">
      <c r="A11145" s="197">
        <v>2025</v>
      </c>
      <c r="B11145" s="197">
        <v>11</v>
      </c>
      <c r="C11145" s="197">
        <v>18</v>
      </c>
      <c r="D11145" s="198">
        <f t="shared" si="1509"/>
        <v>45979</v>
      </c>
      <c r="E11145" s="209">
        <f t="shared" ref="E11145:E11153" si="1514">DATE(A11145,B11145,C11145)</f>
        <v>45979</v>
      </c>
      <c r="F11145" s="513" t="s">
        <v>1210</v>
      </c>
      <c r="G11145" s="200" t="s">
        <v>1209</v>
      </c>
      <c r="H11145" s="201"/>
      <c r="I11145" s="201"/>
      <c r="J11145" s="197" t="s">
        <v>46</v>
      </c>
      <c r="K11145" s="202">
        <v>150000</v>
      </c>
      <c r="L11145" s="202"/>
    </row>
    <row r="11146" spans="1:14" x14ac:dyDescent="0.2">
      <c r="A11146" s="120">
        <v>2025</v>
      </c>
      <c r="B11146" s="120">
        <v>11</v>
      </c>
      <c r="C11146" s="120">
        <v>18</v>
      </c>
      <c r="D11146" s="208">
        <f t="shared" si="1509"/>
        <v>45979</v>
      </c>
      <c r="E11146" s="209">
        <f t="shared" si="1514"/>
        <v>45979</v>
      </c>
      <c r="F11146" s="515"/>
      <c r="G11146" s="132" t="s">
        <v>1209</v>
      </c>
      <c r="J11146" s="120" t="s">
        <v>16</v>
      </c>
      <c r="K11146" s="207"/>
      <c r="L11146" s="207">
        <v>108610</v>
      </c>
    </row>
    <row r="11147" spans="1:14" x14ac:dyDescent="0.2">
      <c r="A11147" s="191">
        <v>2025</v>
      </c>
      <c r="B11147" s="191">
        <v>11</v>
      </c>
      <c r="C11147" s="191">
        <v>18</v>
      </c>
      <c r="D11147" s="192">
        <f t="shared" si="1509"/>
        <v>45979</v>
      </c>
      <c r="E11147" s="193">
        <f t="shared" si="1514"/>
        <v>45979</v>
      </c>
      <c r="F11147" s="514"/>
      <c r="G11147" s="194" t="s">
        <v>1209</v>
      </c>
      <c r="H11147" s="195"/>
      <c r="I11147" s="195"/>
      <c r="J11147" s="191" t="s">
        <v>47</v>
      </c>
      <c r="K11147" s="196"/>
      <c r="L11147" s="196">
        <v>41390</v>
      </c>
    </row>
    <row r="11148" spans="1:14" ht="11.25" customHeight="1" x14ac:dyDescent="0.2">
      <c r="A11148" s="197">
        <v>2025</v>
      </c>
      <c r="B11148" s="120">
        <v>11</v>
      </c>
      <c r="C11148" s="120">
        <v>18</v>
      </c>
      <c r="D11148" s="198">
        <f t="shared" si="1509"/>
        <v>45979</v>
      </c>
      <c r="E11148" s="199">
        <f t="shared" si="1514"/>
        <v>45979</v>
      </c>
      <c r="F11148" s="513" t="s">
        <v>2103</v>
      </c>
      <c r="G11148" s="200" t="s">
        <v>1209</v>
      </c>
      <c r="H11148" s="201"/>
      <c r="I11148" s="201" t="s">
        <v>1253</v>
      </c>
      <c r="J11148" s="197" t="s">
        <v>46</v>
      </c>
      <c r="K11148" s="202">
        <v>19999999.140000001</v>
      </c>
      <c r="L11148" s="202"/>
    </row>
    <row r="11149" spans="1:14" x14ac:dyDescent="0.2">
      <c r="A11149" s="120">
        <v>2025</v>
      </c>
      <c r="B11149" s="120">
        <v>11</v>
      </c>
      <c r="C11149" s="120">
        <v>18</v>
      </c>
      <c r="D11149" s="208">
        <f t="shared" si="1509"/>
        <v>45979</v>
      </c>
      <c r="E11149" s="209">
        <f t="shared" si="1514"/>
        <v>45979</v>
      </c>
      <c r="F11149" s="515"/>
      <c r="G11149" s="132" t="s">
        <v>1209</v>
      </c>
      <c r="J11149" s="120" t="s">
        <v>179</v>
      </c>
      <c r="K11149" s="207"/>
      <c r="L11149" s="207">
        <v>1900962.21</v>
      </c>
    </row>
    <row r="11150" spans="1:14" ht="11.25" customHeight="1" x14ac:dyDescent="0.2">
      <c r="A11150" s="191">
        <v>2025</v>
      </c>
      <c r="B11150" s="191">
        <v>11</v>
      </c>
      <c r="C11150" s="191">
        <v>18</v>
      </c>
      <c r="D11150" s="192">
        <f t="shared" si="1509"/>
        <v>45979</v>
      </c>
      <c r="E11150" s="193">
        <f t="shared" si="1514"/>
        <v>45979</v>
      </c>
      <c r="F11150" s="514"/>
      <c r="G11150" s="194" t="s">
        <v>1209</v>
      </c>
      <c r="H11150" s="195"/>
      <c r="I11150" s="195" t="s">
        <v>1253</v>
      </c>
      <c r="J11150" s="191" t="s">
        <v>70</v>
      </c>
      <c r="K11150" s="196"/>
      <c r="L11150" s="196">
        <v>18099036.93</v>
      </c>
      <c r="N11150" s="130"/>
    </row>
    <row r="11151" spans="1:14" x14ac:dyDescent="0.2">
      <c r="A11151" s="197">
        <v>2025</v>
      </c>
      <c r="B11151" s="197">
        <v>11</v>
      </c>
      <c r="C11151" s="197">
        <v>19</v>
      </c>
      <c r="D11151" s="198">
        <f t="shared" si="1509"/>
        <v>45980</v>
      </c>
      <c r="E11151" s="209">
        <f t="shared" si="1514"/>
        <v>45980</v>
      </c>
      <c r="F11151" s="513" t="s">
        <v>1280</v>
      </c>
      <c r="G11151" s="200" t="s">
        <v>1209</v>
      </c>
      <c r="H11151" s="201"/>
      <c r="I11151" s="201"/>
      <c r="J11151" s="197" t="s">
        <v>16</v>
      </c>
      <c r="K11151" s="202">
        <v>10860910</v>
      </c>
      <c r="L11151" s="202"/>
    </row>
    <row r="11152" spans="1:14" x14ac:dyDescent="0.2">
      <c r="A11152" s="120">
        <v>2025</v>
      </c>
      <c r="B11152" s="120">
        <v>11</v>
      </c>
      <c r="C11152" s="120">
        <v>19</v>
      </c>
      <c r="D11152" s="208">
        <f t="shared" si="1509"/>
        <v>45980</v>
      </c>
      <c r="E11152" s="209">
        <f t="shared" si="1514"/>
        <v>45980</v>
      </c>
      <c r="F11152" s="515"/>
      <c r="G11152" s="132" t="s">
        <v>1209</v>
      </c>
      <c r="J11152" s="120" t="s">
        <v>47</v>
      </c>
      <c r="K11152" s="207">
        <v>4139090</v>
      </c>
      <c r="L11152" s="207"/>
    </row>
    <row r="11153" spans="1:15" x14ac:dyDescent="0.2">
      <c r="A11153" s="191">
        <v>2025</v>
      </c>
      <c r="B11153" s="191">
        <v>11</v>
      </c>
      <c r="C11153" s="191">
        <v>19</v>
      </c>
      <c r="D11153" s="192">
        <f t="shared" si="1509"/>
        <v>45980</v>
      </c>
      <c r="E11153" s="193">
        <f t="shared" si="1514"/>
        <v>45980</v>
      </c>
      <c r="F11153" s="514"/>
      <c r="G11153" s="194" t="s">
        <v>1209</v>
      </c>
      <c r="H11153" s="195"/>
      <c r="I11153" s="195"/>
      <c r="J11153" s="191" t="s">
        <v>46</v>
      </c>
      <c r="K11153" s="196"/>
      <c r="L11153" s="196">
        <v>15000000</v>
      </c>
    </row>
    <row r="11154" spans="1:15" x14ac:dyDescent="0.2">
      <c r="A11154" s="197">
        <v>2025</v>
      </c>
      <c r="B11154" s="197">
        <v>11</v>
      </c>
      <c r="C11154" s="197">
        <v>19</v>
      </c>
      <c r="D11154" s="198">
        <f t="shared" si="1509"/>
        <v>45980</v>
      </c>
      <c r="E11154" s="209">
        <f t="shared" ref="E11154:E11161" si="1515">DATE(A11154,B11154,C11154)</f>
        <v>45980</v>
      </c>
      <c r="F11154" s="513" t="s">
        <v>1280</v>
      </c>
      <c r="G11154" s="200" t="s">
        <v>1209</v>
      </c>
      <c r="H11154" s="201"/>
      <c r="I11154" s="201"/>
      <c r="J11154" s="197" t="s">
        <v>16</v>
      </c>
      <c r="K11154" s="202">
        <v>1448120</v>
      </c>
      <c r="L11154" s="202"/>
    </row>
    <row r="11155" spans="1:15" x14ac:dyDescent="0.2">
      <c r="A11155" s="120">
        <v>2025</v>
      </c>
      <c r="B11155" s="120">
        <v>11</v>
      </c>
      <c r="C11155" s="120">
        <v>19</v>
      </c>
      <c r="D11155" s="208">
        <f t="shared" si="1509"/>
        <v>45980</v>
      </c>
      <c r="E11155" s="209">
        <f t="shared" si="1515"/>
        <v>45980</v>
      </c>
      <c r="F11155" s="515"/>
      <c r="G11155" s="132" t="s">
        <v>1209</v>
      </c>
      <c r="J11155" s="120" t="s">
        <v>47</v>
      </c>
      <c r="K11155" s="207">
        <v>551880</v>
      </c>
      <c r="L11155" s="207"/>
    </row>
    <row r="11156" spans="1:15" x14ac:dyDescent="0.2">
      <c r="A11156" s="191">
        <v>2025</v>
      </c>
      <c r="B11156" s="191">
        <v>11</v>
      </c>
      <c r="C11156" s="191">
        <v>19</v>
      </c>
      <c r="D11156" s="192">
        <f t="shared" si="1509"/>
        <v>45980</v>
      </c>
      <c r="E11156" s="193">
        <f t="shared" si="1515"/>
        <v>45980</v>
      </c>
      <c r="F11156" s="514"/>
      <c r="G11156" s="194" t="s">
        <v>1209</v>
      </c>
      <c r="H11156" s="195"/>
      <c r="I11156" s="195"/>
      <c r="J11156" s="191" t="s">
        <v>46</v>
      </c>
      <c r="K11156" s="196"/>
      <c r="L11156" s="196">
        <v>2000000</v>
      </c>
    </row>
    <row r="11157" spans="1:15" x14ac:dyDescent="0.2">
      <c r="A11157" s="197">
        <v>2025</v>
      </c>
      <c r="B11157" s="197">
        <v>11</v>
      </c>
      <c r="C11157" s="197">
        <v>19</v>
      </c>
      <c r="D11157" s="198">
        <f t="shared" si="1509"/>
        <v>45980</v>
      </c>
      <c r="E11157" s="290">
        <f t="shared" si="1515"/>
        <v>45980</v>
      </c>
      <c r="F11157" s="513" t="s">
        <v>1514</v>
      </c>
      <c r="G11157" s="200" t="s">
        <v>1209</v>
      </c>
      <c r="H11157" s="201"/>
      <c r="I11157" s="201"/>
      <c r="J11157" s="197" t="s">
        <v>54</v>
      </c>
      <c r="K11157" s="202">
        <v>260</v>
      </c>
      <c r="L11157" s="202"/>
      <c r="M11157" s="251"/>
      <c r="N11157" s="251"/>
      <c r="O11157" s="251"/>
    </row>
    <row r="11158" spans="1:15" ht="11.25" customHeight="1" x14ac:dyDescent="0.2">
      <c r="A11158" s="191">
        <v>2025</v>
      </c>
      <c r="B11158" s="191">
        <v>11</v>
      </c>
      <c r="C11158" s="191">
        <v>19</v>
      </c>
      <c r="D11158" s="192">
        <f t="shared" si="1509"/>
        <v>45980</v>
      </c>
      <c r="E11158" s="291">
        <f t="shared" si="1515"/>
        <v>45980</v>
      </c>
      <c r="F11158" s="514"/>
      <c r="G11158" s="194" t="s">
        <v>1209</v>
      </c>
      <c r="H11158" s="195"/>
      <c r="I11158" s="195"/>
      <c r="J11158" s="191" t="s">
        <v>46</v>
      </c>
      <c r="K11158" s="196"/>
      <c r="L11158" s="196">
        <f>K11157</f>
        <v>260</v>
      </c>
      <c r="M11158" s="251"/>
    </row>
    <row r="11159" spans="1:15" x14ac:dyDescent="0.2">
      <c r="A11159" s="197">
        <v>2025</v>
      </c>
      <c r="B11159" s="197">
        <v>11</v>
      </c>
      <c r="C11159" s="197">
        <v>20</v>
      </c>
      <c r="D11159" s="198">
        <f t="shared" si="1509"/>
        <v>45981</v>
      </c>
      <c r="E11159" s="209">
        <f t="shared" si="1515"/>
        <v>45981</v>
      </c>
      <c r="F11159" s="513" t="s">
        <v>1280</v>
      </c>
      <c r="G11159" s="200" t="s">
        <v>1209</v>
      </c>
      <c r="H11159" s="201"/>
      <c r="I11159" s="201"/>
      <c r="J11159" s="197" t="s">
        <v>16</v>
      </c>
      <c r="K11159" s="202">
        <v>210000</v>
      </c>
      <c r="L11159" s="202"/>
    </row>
    <row r="11160" spans="1:15" x14ac:dyDescent="0.2">
      <c r="A11160" s="120">
        <v>2025</v>
      </c>
      <c r="B11160" s="120">
        <v>11</v>
      </c>
      <c r="C11160" s="120">
        <v>20</v>
      </c>
      <c r="D11160" s="208">
        <f t="shared" si="1509"/>
        <v>45981</v>
      </c>
      <c r="E11160" s="209">
        <f t="shared" si="1515"/>
        <v>45981</v>
      </c>
      <c r="F11160" s="515"/>
      <c r="G11160" s="132" t="s">
        <v>1209</v>
      </c>
      <c r="J11160" s="120" t="s">
        <v>47</v>
      </c>
      <c r="K11160" s="207">
        <v>80031</v>
      </c>
      <c r="L11160" s="207"/>
    </row>
    <row r="11161" spans="1:15" x14ac:dyDescent="0.2">
      <c r="A11161" s="191">
        <v>2025</v>
      </c>
      <c r="B11161" s="191">
        <v>11</v>
      </c>
      <c r="C11161" s="191">
        <v>20</v>
      </c>
      <c r="D11161" s="192">
        <f t="shared" si="1509"/>
        <v>45981</v>
      </c>
      <c r="E11161" s="193">
        <f t="shared" si="1515"/>
        <v>45981</v>
      </c>
      <c r="F11161" s="514"/>
      <c r="G11161" s="194" t="s">
        <v>1209</v>
      </c>
      <c r="H11161" s="195"/>
      <c r="I11161" s="195"/>
      <c r="J11161" s="191" t="s">
        <v>46</v>
      </c>
      <c r="K11161" s="196"/>
      <c r="L11161" s="196">
        <v>290031</v>
      </c>
    </row>
    <row r="11162" spans="1:15" x14ac:dyDescent="0.2">
      <c r="A11162" s="197">
        <v>2025</v>
      </c>
      <c r="B11162" s="197">
        <v>11</v>
      </c>
      <c r="C11162" s="197">
        <v>20</v>
      </c>
      <c r="D11162" s="198">
        <f t="shared" si="1509"/>
        <v>45981</v>
      </c>
      <c r="E11162" s="209">
        <f t="shared" ref="E11162:E11183" si="1516">DATE(A11162,B11162,C11162)</f>
        <v>45981</v>
      </c>
      <c r="F11162" s="513" t="s">
        <v>1280</v>
      </c>
      <c r="G11162" s="200" t="s">
        <v>1209</v>
      </c>
      <c r="H11162" s="201"/>
      <c r="I11162" s="201"/>
      <c r="J11162" s="197" t="s">
        <v>16</v>
      </c>
      <c r="K11162" s="202">
        <v>2500000</v>
      </c>
      <c r="L11162" s="202"/>
    </row>
    <row r="11163" spans="1:15" x14ac:dyDescent="0.2">
      <c r="A11163" s="120">
        <v>2025</v>
      </c>
      <c r="B11163" s="120">
        <v>11</v>
      </c>
      <c r="C11163" s="120">
        <v>20</v>
      </c>
      <c r="D11163" s="208">
        <f t="shared" si="1509"/>
        <v>45981</v>
      </c>
      <c r="E11163" s="209">
        <f t="shared" si="1516"/>
        <v>45981</v>
      </c>
      <c r="F11163" s="515"/>
      <c r="G11163" s="132" t="s">
        <v>1209</v>
      </c>
      <c r="J11163" s="120" t="s">
        <v>47</v>
      </c>
      <c r="K11163" s="207">
        <v>952750</v>
      </c>
      <c r="L11163" s="207"/>
    </row>
    <row r="11164" spans="1:15" x14ac:dyDescent="0.2">
      <c r="A11164" s="191">
        <v>2025</v>
      </c>
      <c r="B11164" s="191">
        <v>11</v>
      </c>
      <c r="C11164" s="191">
        <v>20</v>
      </c>
      <c r="D11164" s="192">
        <f t="shared" si="1509"/>
        <v>45981</v>
      </c>
      <c r="E11164" s="193">
        <f t="shared" si="1516"/>
        <v>45981</v>
      </c>
      <c r="F11164" s="514"/>
      <c r="G11164" s="194" t="s">
        <v>1209</v>
      </c>
      <c r="H11164" s="195"/>
      <c r="I11164" s="195"/>
      <c r="J11164" s="191" t="s">
        <v>46</v>
      </c>
      <c r="K11164" s="196"/>
      <c r="L11164" s="196">
        <v>3452750</v>
      </c>
    </row>
    <row r="11165" spans="1:15" x14ac:dyDescent="0.2">
      <c r="A11165" s="197">
        <v>2025</v>
      </c>
      <c r="B11165" s="197">
        <v>11</v>
      </c>
      <c r="C11165" s="197">
        <v>20</v>
      </c>
      <c r="D11165" s="198">
        <f t="shared" si="1509"/>
        <v>45981</v>
      </c>
      <c r="E11165" s="209">
        <f t="shared" si="1516"/>
        <v>45981</v>
      </c>
      <c r="F11165" s="513" t="s">
        <v>1210</v>
      </c>
      <c r="G11165" s="200" t="s">
        <v>1209</v>
      </c>
      <c r="H11165" s="201"/>
      <c r="I11165" s="201"/>
      <c r="J11165" s="197" t="s">
        <v>46</v>
      </c>
      <c r="K11165" s="202">
        <v>5000000</v>
      </c>
      <c r="L11165" s="202"/>
    </row>
    <row r="11166" spans="1:15" x14ac:dyDescent="0.2">
      <c r="A11166" s="120">
        <v>2025</v>
      </c>
      <c r="B11166" s="120">
        <v>11</v>
      </c>
      <c r="C11166" s="120">
        <v>20</v>
      </c>
      <c r="D11166" s="208">
        <f t="shared" si="1509"/>
        <v>45981</v>
      </c>
      <c r="E11166" s="209">
        <f t="shared" si="1516"/>
        <v>45981</v>
      </c>
      <c r="F11166" s="515"/>
      <c r="G11166" s="132" t="s">
        <v>1209</v>
      </c>
      <c r="J11166" s="120" t="s">
        <v>16</v>
      </c>
      <c r="K11166" s="207"/>
      <c r="L11166" s="207">
        <v>3620300</v>
      </c>
    </row>
    <row r="11167" spans="1:15" x14ac:dyDescent="0.2">
      <c r="A11167" s="191">
        <v>2025</v>
      </c>
      <c r="B11167" s="191">
        <v>11</v>
      </c>
      <c r="C11167" s="191">
        <v>20</v>
      </c>
      <c r="D11167" s="192">
        <f t="shared" si="1509"/>
        <v>45981</v>
      </c>
      <c r="E11167" s="193">
        <f t="shared" si="1516"/>
        <v>45981</v>
      </c>
      <c r="F11167" s="514"/>
      <c r="G11167" s="194" t="s">
        <v>1209</v>
      </c>
      <c r="H11167" s="195"/>
      <c r="I11167" s="195"/>
      <c r="J11167" s="191" t="s">
        <v>47</v>
      </c>
      <c r="K11167" s="196"/>
      <c r="L11167" s="196">
        <v>1379700</v>
      </c>
    </row>
    <row r="11168" spans="1:15" x14ac:dyDescent="0.2">
      <c r="A11168" s="197">
        <v>2025</v>
      </c>
      <c r="B11168" s="197">
        <v>11</v>
      </c>
      <c r="C11168" s="197">
        <v>20</v>
      </c>
      <c r="D11168" s="198">
        <f t="shared" si="1509"/>
        <v>45981</v>
      </c>
      <c r="E11168" s="290">
        <f t="shared" si="1516"/>
        <v>45981</v>
      </c>
      <c r="F11168" s="513" t="s">
        <v>1514</v>
      </c>
      <c r="G11168" s="200" t="s">
        <v>1209</v>
      </c>
      <c r="H11168" s="201"/>
      <c r="I11168" s="201"/>
      <c r="J11168" s="197" t="s">
        <v>54</v>
      </c>
      <c r="K11168" s="202">
        <v>158</v>
      </c>
      <c r="L11168" s="202"/>
      <c r="M11168" s="251"/>
      <c r="N11168" s="251"/>
      <c r="O11168" s="251"/>
    </row>
    <row r="11169" spans="1:13" ht="11.25" customHeight="1" x14ac:dyDescent="0.2">
      <c r="A11169" s="191">
        <v>2025</v>
      </c>
      <c r="B11169" s="191">
        <v>11</v>
      </c>
      <c r="C11169" s="191">
        <v>20</v>
      </c>
      <c r="D11169" s="192">
        <f t="shared" si="1509"/>
        <v>45981</v>
      </c>
      <c r="E11169" s="291">
        <f t="shared" si="1516"/>
        <v>45981</v>
      </c>
      <c r="F11169" s="514"/>
      <c r="G11169" s="194" t="s">
        <v>1209</v>
      </c>
      <c r="H11169" s="195"/>
      <c r="I11169" s="195"/>
      <c r="J11169" s="191" t="s">
        <v>46</v>
      </c>
      <c r="K11169" s="196"/>
      <c r="L11169" s="196">
        <f>K11168</f>
        <v>158</v>
      </c>
      <c r="M11169" s="251"/>
    </row>
    <row r="11170" spans="1:13" ht="11.25" customHeight="1" x14ac:dyDescent="0.2">
      <c r="A11170" s="197">
        <v>2025</v>
      </c>
      <c r="B11170" s="197">
        <v>11</v>
      </c>
      <c r="C11170" s="197">
        <v>20</v>
      </c>
      <c r="D11170" s="198">
        <f t="shared" si="1509"/>
        <v>45981</v>
      </c>
      <c r="E11170" s="290">
        <f t="shared" si="1516"/>
        <v>45981</v>
      </c>
      <c r="F11170" s="513" t="s">
        <v>2092</v>
      </c>
      <c r="G11170" s="200" t="s">
        <v>1245</v>
      </c>
      <c r="H11170" s="201"/>
      <c r="I11170" s="201" t="s">
        <v>1253</v>
      </c>
      <c r="J11170" s="197" t="s">
        <v>46</v>
      </c>
      <c r="K11170" s="202">
        <v>651309.6</v>
      </c>
      <c r="L11170" s="202"/>
    </row>
    <row r="11171" spans="1:13" ht="11.25" customHeight="1" x14ac:dyDescent="0.2">
      <c r="A11171" s="191">
        <v>2025</v>
      </c>
      <c r="B11171" s="191">
        <v>11</v>
      </c>
      <c r="C11171" s="191">
        <v>20</v>
      </c>
      <c r="D11171" s="192">
        <f t="shared" si="1509"/>
        <v>45981</v>
      </c>
      <c r="E11171" s="291">
        <f t="shared" si="1516"/>
        <v>45981</v>
      </c>
      <c r="F11171" s="514"/>
      <c r="G11171" s="194" t="s">
        <v>1245</v>
      </c>
      <c r="H11171" s="195"/>
      <c r="I11171" s="195" t="s">
        <v>1253</v>
      </c>
      <c r="J11171" s="191" t="s">
        <v>2004</v>
      </c>
      <c r="K11171" s="196"/>
      <c r="L11171" s="196">
        <f t="shared" ref="L11171" si="1517">K11170</f>
        <v>651309.6</v>
      </c>
    </row>
    <row r="11172" spans="1:13" x14ac:dyDescent="0.2">
      <c r="A11172" s="424">
        <v>2025</v>
      </c>
      <c r="B11172" s="424">
        <v>11</v>
      </c>
      <c r="C11172" s="424">
        <v>20</v>
      </c>
      <c r="D11172" s="425">
        <f t="shared" si="1509"/>
        <v>45981</v>
      </c>
      <c r="E11172" s="384">
        <f t="shared" si="1516"/>
        <v>45981</v>
      </c>
      <c r="F11172" s="516" t="s">
        <v>1850</v>
      </c>
      <c r="G11172" s="426" t="s">
        <v>1209</v>
      </c>
      <c r="H11172" s="427"/>
      <c r="I11172" s="427"/>
      <c r="J11172" s="428" t="s">
        <v>81</v>
      </c>
      <c r="K11172" s="429">
        <v>11170.721538461539</v>
      </c>
      <c r="L11172" s="429"/>
    </row>
    <row r="11173" spans="1:13" x14ac:dyDescent="0.2">
      <c r="A11173" s="389">
        <v>2025</v>
      </c>
      <c r="B11173" s="389">
        <v>11</v>
      </c>
      <c r="C11173" s="389">
        <v>20</v>
      </c>
      <c r="D11173" s="390">
        <f t="shared" si="1509"/>
        <v>45981</v>
      </c>
      <c r="E11173" s="391">
        <f t="shared" si="1516"/>
        <v>45981</v>
      </c>
      <c r="F11173" s="517"/>
      <c r="G11173" s="392" t="s">
        <v>1209</v>
      </c>
      <c r="H11173" s="393"/>
      <c r="I11173" s="393"/>
      <c r="J11173" s="394" t="s">
        <v>1847</v>
      </c>
      <c r="K11173" s="423"/>
      <c r="L11173" s="423">
        <f>K11172</f>
        <v>11170.721538461539</v>
      </c>
    </row>
    <row r="11174" spans="1:13" ht="11.25" customHeight="1" x14ac:dyDescent="0.2">
      <c r="A11174" s="382">
        <v>2025</v>
      </c>
      <c r="B11174" s="382">
        <v>11</v>
      </c>
      <c r="C11174" s="382">
        <v>20</v>
      </c>
      <c r="D11174" s="383">
        <f t="shared" si="1509"/>
        <v>45981</v>
      </c>
      <c r="E11174" s="384">
        <f t="shared" si="1516"/>
        <v>45981</v>
      </c>
      <c r="F11174" s="516" t="s">
        <v>1892</v>
      </c>
      <c r="G11174" s="385" t="s">
        <v>1209</v>
      </c>
      <c r="H11174" s="386"/>
      <c r="I11174" s="386"/>
      <c r="J11174" s="387" t="s">
        <v>173</v>
      </c>
      <c r="K11174" s="388">
        <v>4507.1983196729161</v>
      </c>
      <c r="L11174" s="388"/>
    </row>
    <row r="11175" spans="1:13" ht="11.25" customHeight="1" x14ac:dyDescent="0.2">
      <c r="A11175" s="389">
        <v>2025</v>
      </c>
      <c r="B11175" s="389">
        <v>11</v>
      </c>
      <c r="C11175" s="389">
        <v>20</v>
      </c>
      <c r="D11175" s="390">
        <f t="shared" si="1509"/>
        <v>45981</v>
      </c>
      <c r="E11175" s="391">
        <f t="shared" si="1516"/>
        <v>45981</v>
      </c>
      <c r="F11175" s="517"/>
      <c r="G11175" s="392" t="s">
        <v>1209</v>
      </c>
      <c r="H11175" s="393"/>
      <c r="I11175" s="393"/>
      <c r="J11175" s="394" t="s">
        <v>43</v>
      </c>
      <c r="K11175" s="388"/>
      <c r="L11175" s="423">
        <f>K11174</f>
        <v>4507.1983196729161</v>
      </c>
    </row>
    <row r="11176" spans="1:13" ht="11.25" customHeight="1" x14ac:dyDescent="0.2">
      <c r="A11176" s="344">
        <v>2025</v>
      </c>
      <c r="B11176" s="344">
        <v>11</v>
      </c>
      <c r="C11176" s="344">
        <v>20</v>
      </c>
      <c r="D11176" s="345">
        <f t="shared" si="1509"/>
        <v>45981</v>
      </c>
      <c r="E11176" s="346">
        <f t="shared" si="1516"/>
        <v>45981</v>
      </c>
      <c r="F11176" s="518" t="s">
        <v>1982</v>
      </c>
      <c r="G11176" s="347" t="s">
        <v>1245</v>
      </c>
      <c r="H11176" s="348"/>
      <c r="I11176" s="348" t="s">
        <v>1253</v>
      </c>
      <c r="J11176" s="344" t="s">
        <v>1978</v>
      </c>
      <c r="K11176" s="349">
        <v>148748.07692307694</v>
      </c>
      <c r="L11176" s="349"/>
    </row>
    <row r="11177" spans="1:13" ht="11.25" customHeight="1" x14ac:dyDescent="0.2">
      <c r="A11177" s="350">
        <v>2025</v>
      </c>
      <c r="B11177" s="350">
        <v>11</v>
      </c>
      <c r="C11177" s="350">
        <v>20</v>
      </c>
      <c r="D11177" s="351">
        <f t="shared" si="1509"/>
        <v>45981</v>
      </c>
      <c r="E11177" s="352">
        <f t="shared" si="1516"/>
        <v>45981</v>
      </c>
      <c r="F11177" s="519"/>
      <c r="G11177" s="353" t="s">
        <v>1245</v>
      </c>
      <c r="H11177" s="354"/>
      <c r="I11177" s="354" t="s">
        <v>1253</v>
      </c>
      <c r="J11177" s="350" t="s">
        <v>1979</v>
      </c>
      <c r="K11177" s="355"/>
      <c r="L11177" s="355">
        <f>K11176</f>
        <v>148748.07692307694</v>
      </c>
    </row>
    <row r="11178" spans="1:13" ht="11.25" customHeight="1" x14ac:dyDescent="0.2">
      <c r="A11178" s="344">
        <v>2025</v>
      </c>
      <c r="B11178" s="344">
        <v>11</v>
      </c>
      <c r="C11178" s="344">
        <v>20</v>
      </c>
      <c r="D11178" s="345">
        <f t="shared" si="1509"/>
        <v>45981</v>
      </c>
      <c r="E11178" s="346">
        <f t="shared" si="1516"/>
        <v>45981</v>
      </c>
      <c r="F11178" s="518" t="s">
        <v>2009</v>
      </c>
      <c r="G11178" s="347" t="s">
        <v>1245</v>
      </c>
      <c r="H11178" s="348"/>
      <c r="I11178" s="348" t="s">
        <v>1253</v>
      </c>
      <c r="J11178" s="344" t="s">
        <v>2004</v>
      </c>
      <c r="K11178" s="349">
        <v>49692.31</v>
      </c>
      <c r="L11178" s="349"/>
    </row>
    <row r="11179" spans="1:13" ht="11.25" customHeight="1" x14ac:dyDescent="0.2">
      <c r="A11179" s="350">
        <v>2025</v>
      </c>
      <c r="B11179" s="350">
        <v>11</v>
      </c>
      <c r="C11179" s="350">
        <v>20</v>
      </c>
      <c r="D11179" s="351">
        <f t="shared" si="1509"/>
        <v>45981</v>
      </c>
      <c r="E11179" s="352">
        <f t="shared" si="1516"/>
        <v>45981</v>
      </c>
      <c r="F11179" s="519"/>
      <c r="G11179" s="353" t="s">
        <v>1245</v>
      </c>
      <c r="H11179" s="354"/>
      <c r="I11179" s="354" t="s">
        <v>1253</v>
      </c>
      <c r="J11179" s="350" t="s">
        <v>2008</v>
      </c>
      <c r="K11179" s="355"/>
      <c r="L11179" s="355">
        <f t="shared" ref="L11179" si="1518">K11178</f>
        <v>49692.31</v>
      </c>
    </row>
    <row r="11180" spans="1:13" ht="11.25" customHeight="1" x14ac:dyDescent="0.2">
      <c r="A11180" s="344">
        <v>2025</v>
      </c>
      <c r="B11180" s="344">
        <v>11</v>
      </c>
      <c r="C11180" s="344">
        <v>20</v>
      </c>
      <c r="D11180" s="345">
        <f t="shared" ref="D11180:D11243" si="1519">DATE(A11180,B11180,C11180)</f>
        <v>45981</v>
      </c>
      <c r="E11180" s="346">
        <f t="shared" si="1516"/>
        <v>45981</v>
      </c>
      <c r="F11180" s="518" t="s">
        <v>2009</v>
      </c>
      <c r="G11180" s="347" t="s">
        <v>1245</v>
      </c>
      <c r="H11180" s="348"/>
      <c r="I11180" s="348" t="s">
        <v>1253</v>
      </c>
      <c r="J11180" s="344" t="s">
        <v>2004</v>
      </c>
      <c r="K11180" s="349">
        <v>49692.31</v>
      </c>
      <c r="L11180" s="349"/>
    </row>
    <row r="11181" spans="1:13" ht="11.25" customHeight="1" x14ac:dyDescent="0.2">
      <c r="A11181" s="350">
        <v>2025</v>
      </c>
      <c r="B11181" s="350">
        <v>11</v>
      </c>
      <c r="C11181" s="350">
        <v>20</v>
      </c>
      <c r="D11181" s="351">
        <f t="shared" si="1519"/>
        <v>45981</v>
      </c>
      <c r="E11181" s="352">
        <f t="shared" si="1516"/>
        <v>45981</v>
      </c>
      <c r="F11181" s="519"/>
      <c r="G11181" s="353" t="s">
        <v>1245</v>
      </c>
      <c r="H11181" s="354"/>
      <c r="I11181" s="354" t="s">
        <v>1253</v>
      </c>
      <c r="J11181" s="350" t="s">
        <v>2008</v>
      </c>
      <c r="K11181" s="355"/>
      <c r="L11181" s="355">
        <f t="shared" ref="L11181" si="1520">K11180</f>
        <v>49692.31</v>
      </c>
    </row>
    <row r="11182" spans="1:13" ht="11.25" customHeight="1" x14ac:dyDescent="0.2">
      <c r="A11182" s="344">
        <v>2025</v>
      </c>
      <c r="B11182" s="344">
        <v>11</v>
      </c>
      <c r="C11182" s="344">
        <v>20</v>
      </c>
      <c r="D11182" s="345">
        <f t="shared" si="1519"/>
        <v>45981</v>
      </c>
      <c r="E11182" s="346">
        <f t="shared" si="1516"/>
        <v>45981</v>
      </c>
      <c r="F11182" s="518" t="s">
        <v>2088</v>
      </c>
      <c r="G11182" s="347" t="s">
        <v>1245</v>
      </c>
      <c r="H11182" s="348"/>
      <c r="I11182" s="348" t="s">
        <v>1253</v>
      </c>
      <c r="J11182" s="344" t="s">
        <v>2086</v>
      </c>
      <c r="K11182" s="349">
        <v>12528.846153846154</v>
      </c>
      <c r="L11182" s="349"/>
    </row>
    <row r="11183" spans="1:13" ht="11.25" customHeight="1" x14ac:dyDescent="0.2">
      <c r="A11183" s="350">
        <v>2025</v>
      </c>
      <c r="B11183" s="350">
        <v>11</v>
      </c>
      <c r="C11183" s="350">
        <v>20</v>
      </c>
      <c r="D11183" s="351">
        <f t="shared" si="1519"/>
        <v>45981</v>
      </c>
      <c r="E11183" s="352">
        <f t="shared" si="1516"/>
        <v>45981</v>
      </c>
      <c r="F11183" s="519"/>
      <c r="G11183" s="353" t="s">
        <v>1245</v>
      </c>
      <c r="H11183" s="354"/>
      <c r="I11183" s="354" t="s">
        <v>1253</v>
      </c>
      <c r="J11183" s="350" t="s">
        <v>2089</v>
      </c>
      <c r="K11183" s="355"/>
      <c r="L11183" s="355">
        <v>12528.846153846154</v>
      </c>
    </row>
    <row r="11184" spans="1:13" ht="11.25" customHeight="1" x14ac:dyDescent="0.2">
      <c r="A11184" s="344">
        <v>2025</v>
      </c>
      <c r="B11184" s="344">
        <v>11</v>
      </c>
      <c r="C11184" s="344">
        <v>20</v>
      </c>
      <c r="D11184" s="345">
        <f t="shared" si="1519"/>
        <v>45981</v>
      </c>
      <c r="E11184" s="346">
        <f>DATE(A11184,B11184,C11184)</f>
        <v>45981</v>
      </c>
      <c r="F11184" s="518" t="s">
        <v>1988</v>
      </c>
      <c r="G11184" s="347" t="s">
        <v>1245</v>
      </c>
      <c r="H11184" s="348"/>
      <c r="I11184" s="348" t="s">
        <v>1253</v>
      </c>
      <c r="J11184" s="344" t="s">
        <v>113</v>
      </c>
      <c r="K11184" s="349">
        <v>32846.15</v>
      </c>
      <c r="L11184" s="349"/>
    </row>
    <row r="11185" spans="1:16" ht="11.25" customHeight="1" x14ac:dyDescent="0.2">
      <c r="A11185" s="350">
        <v>2025</v>
      </c>
      <c r="B11185" s="350">
        <v>11</v>
      </c>
      <c r="C11185" s="350">
        <v>20</v>
      </c>
      <c r="D11185" s="351">
        <f t="shared" si="1519"/>
        <v>45981</v>
      </c>
      <c r="E11185" s="352">
        <f>DATE(A11185,B11185,C11185)</f>
        <v>45981</v>
      </c>
      <c r="F11185" s="519"/>
      <c r="G11185" s="353" t="s">
        <v>1245</v>
      </c>
      <c r="H11185" s="354"/>
      <c r="I11185" s="354" t="s">
        <v>1253</v>
      </c>
      <c r="J11185" s="350" t="s">
        <v>153</v>
      </c>
      <c r="K11185" s="355"/>
      <c r="L11185" s="355">
        <f t="shared" ref="L11185" si="1521">K11184</f>
        <v>32846.15</v>
      </c>
    </row>
    <row r="11186" spans="1:16" ht="11.25" customHeight="1" x14ac:dyDescent="0.2">
      <c r="A11186" s="344">
        <v>2025</v>
      </c>
      <c r="B11186" s="344">
        <v>11</v>
      </c>
      <c r="C11186" s="344">
        <v>20</v>
      </c>
      <c r="D11186" s="345">
        <f t="shared" si="1519"/>
        <v>45981</v>
      </c>
      <c r="E11186" s="346">
        <f t="shared" ref="E11186:E11192" si="1522">DATE(A11186,B11186,C11186)</f>
        <v>45981</v>
      </c>
      <c r="F11186" s="518" t="s">
        <v>1989</v>
      </c>
      <c r="G11186" s="347" t="s">
        <v>1245</v>
      </c>
      <c r="H11186" s="348"/>
      <c r="I11186" s="348" t="s">
        <v>1253</v>
      </c>
      <c r="J11186" s="344" t="s">
        <v>113</v>
      </c>
      <c r="K11186" s="349">
        <v>23461.538461538461</v>
      </c>
      <c r="L11186" s="349"/>
    </row>
    <row r="11187" spans="1:16" ht="11.25" customHeight="1" x14ac:dyDescent="0.2">
      <c r="A11187" s="350">
        <v>2025</v>
      </c>
      <c r="B11187" s="350">
        <v>11</v>
      </c>
      <c r="C11187" s="350">
        <v>20</v>
      </c>
      <c r="D11187" s="351">
        <f t="shared" si="1519"/>
        <v>45981</v>
      </c>
      <c r="E11187" s="352">
        <f t="shared" si="1522"/>
        <v>45981</v>
      </c>
      <c r="F11187" s="519"/>
      <c r="G11187" s="353" t="s">
        <v>1245</v>
      </c>
      <c r="H11187" s="354"/>
      <c r="I11187" s="354" t="s">
        <v>1253</v>
      </c>
      <c r="J11187" s="350" t="s">
        <v>153</v>
      </c>
      <c r="K11187" s="355"/>
      <c r="L11187" s="355">
        <f t="shared" ref="L11187" si="1523">K11186</f>
        <v>23461.538461538461</v>
      </c>
    </row>
    <row r="11188" spans="1:16" ht="11.25" customHeight="1" x14ac:dyDescent="0.2">
      <c r="A11188" s="344">
        <v>2025</v>
      </c>
      <c r="B11188" s="344">
        <v>11</v>
      </c>
      <c r="C11188" s="344">
        <v>20</v>
      </c>
      <c r="D11188" s="345">
        <f t="shared" si="1519"/>
        <v>45981</v>
      </c>
      <c r="E11188" s="346">
        <f t="shared" si="1522"/>
        <v>45981</v>
      </c>
      <c r="F11188" s="518" t="s">
        <v>1990</v>
      </c>
      <c r="G11188" s="347" t="s">
        <v>1245</v>
      </c>
      <c r="H11188" s="348"/>
      <c r="I11188" s="348" t="s">
        <v>1253</v>
      </c>
      <c r="J11188" s="344" t="s">
        <v>113</v>
      </c>
      <c r="K11188" s="349">
        <v>70384.62</v>
      </c>
      <c r="L11188" s="349"/>
      <c r="N11188" s="251"/>
      <c r="O11188" s="251"/>
      <c r="P11188" s="251"/>
    </row>
    <row r="11189" spans="1:16" ht="11.25" customHeight="1" x14ac:dyDescent="0.2">
      <c r="A11189" s="350">
        <v>2025</v>
      </c>
      <c r="B11189" s="350">
        <v>11</v>
      </c>
      <c r="C11189" s="350">
        <v>20</v>
      </c>
      <c r="D11189" s="351">
        <f t="shared" si="1519"/>
        <v>45981</v>
      </c>
      <c r="E11189" s="352">
        <f t="shared" si="1522"/>
        <v>45981</v>
      </c>
      <c r="F11189" s="519"/>
      <c r="G11189" s="353" t="s">
        <v>1245</v>
      </c>
      <c r="H11189" s="354"/>
      <c r="I11189" s="354" t="s">
        <v>1253</v>
      </c>
      <c r="J11189" s="350" t="s">
        <v>153</v>
      </c>
      <c r="K11189" s="355"/>
      <c r="L11189" s="355">
        <f t="shared" ref="L11189" si="1524">K11188</f>
        <v>70384.62</v>
      </c>
    </row>
    <row r="11190" spans="1:16" ht="11.25" customHeight="1" x14ac:dyDescent="0.2">
      <c r="A11190" s="344">
        <v>2025</v>
      </c>
      <c r="B11190" s="344">
        <v>11</v>
      </c>
      <c r="C11190" s="344">
        <v>20</v>
      </c>
      <c r="D11190" s="345">
        <f t="shared" si="1519"/>
        <v>45981</v>
      </c>
      <c r="E11190" s="346">
        <f t="shared" si="1522"/>
        <v>45981</v>
      </c>
      <c r="F11190" s="518" t="s">
        <v>2107</v>
      </c>
      <c r="G11190" s="347" t="s">
        <v>1245</v>
      </c>
      <c r="H11190" s="348"/>
      <c r="I11190" s="348" t="s">
        <v>1253</v>
      </c>
      <c r="J11190" s="344" t="s">
        <v>113</v>
      </c>
      <c r="K11190" s="349">
        <v>86596.153846153844</v>
      </c>
      <c r="L11190" s="349"/>
      <c r="N11190" s="251"/>
      <c r="O11190" s="251"/>
      <c r="P11190" s="251"/>
    </row>
    <row r="11191" spans="1:16" ht="11.25" customHeight="1" x14ac:dyDescent="0.2">
      <c r="A11191" s="350">
        <v>2025</v>
      </c>
      <c r="B11191" s="350">
        <v>11</v>
      </c>
      <c r="C11191" s="350">
        <v>20</v>
      </c>
      <c r="D11191" s="351">
        <f t="shared" si="1519"/>
        <v>45981</v>
      </c>
      <c r="E11191" s="352">
        <f t="shared" si="1522"/>
        <v>45981</v>
      </c>
      <c r="F11191" s="519"/>
      <c r="G11191" s="353" t="s">
        <v>1245</v>
      </c>
      <c r="H11191" s="354"/>
      <c r="I11191" s="354" t="s">
        <v>1253</v>
      </c>
      <c r="J11191" s="350" t="s">
        <v>153</v>
      </c>
      <c r="K11191" s="355"/>
      <c r="L11191" s="355">
        <f t="shared" ref="L11191" si="1525">K11190</f>
        <v>86596.153846153844</v>
      </c>
    </row>
    <row r="11192" spans="1:16" ht="11.25" customHeight="1" x14ac:dyDescent="0.2">
      <c r="A11192" s="210">
        <v>2025</v>
      </c>
      <c r="B11192" s="210">
        <v>11</v>
      </c>
      <c r="C11192" s="210">
        <v>20</v>
      </c>
      <c r="D11192" s="211">
        <f t="shared" si="1519"/>
        <v>45981</v>
      </c>
      <c r="E11192" s="238">
        <f t="shared" si="1522"/>
        <v>45981</v>
      </c>
      <c r="F11192" s="520" t="s">
        <v>1857</v>
      </c>
      <c r="G11192" s="213" t="s">
        <v>1245</v>
      </c>
      <c r="H11192" s="214"/>
      <c r="I11192" s="214" t="s">
        <v>1253</v>
      </c>
      <c r="J11192" s="210" t="s">
        <v>1284</v>
      </c>
      <c r="K11192" s="215">
        <v>2341.8114143920593</v>
      </c>
      <c r="L11192" s="215"/>
    </row>
    <row r="11193" spans="1:16" ht="11.25" customHeight="1" x14ac:dyDescent="0.2">
      <c r="A11193" s="242">
        <v>2025</v>
      </c>
      <c r="B11193" s="242">
        <v>11</v>
      </c>
      <c r="C11193" s="242">
        <v>20</v>
      </c>
      <c r="D11193" s="243">
        <f t="shared" si="1519"/>
        <v>45981</v>
      </c>
      <c r="E11193" s="244">
        <f>DATE(A11193,B11193,C11193)</f>
        <v>45981</v>
      </c>
      <c r="F11193" s="524"/>
      <c r="G11193" s="245" t="s">
        <v>1245</v>
      </c>
      <c r="H11193" s="246"/>
      <c r="I11193" s="246"/>
      <c r="J11193" s="242" t="s">
        <v>1582</v>
      </c>
      <c r="K11193" s="247"/>
      <c r="L11193" s="247">
        <f>K11192</f>
        <v>2341.8114143920593</v>
      </c>
    </row>
    <row r="11194" spans="1:16" ht="11.25" customHeight="1" x14ac:dyDescent="0.2">
      <c r="A11194" s="210">
        <v>2025</v>
      </c>
      <c r="B11194" s="210">
        <v>11</v>
      </c>
      <c r="C11194" s="210">
        <v>20</v>
      </c>
      <c r="D11194" s="211">
        <f t="shared" si="1519"/>
        <v>45981</v>
      </c>
      <c r="E11194" s="238">
        <f t="shared" ref="E11194:E11218" si="1526">DATE(A11194,B11194,C11194)</f>
        <v>45981</v>
      </c>
      <c r="F11194" s="520" t="s">
        <v>2055</v>
      </c>
      <c r="G11194" s="213" t="s">
        <v>1245</v>
      </c>
      <c r="H11194" s="214"/>
      <c r="I11194" s="214" t="s">
        <v>1253</v>
      </c>
      <c r="J11194" s="210" t="s">
        <v>58</v>
      </c>
      <c r="K11194" s="215">
        <v>10819.95</v>
      </c>
      <c r="L11194" s="215"/>
    </row>
    <row r="11195" spans="1:16" ht="11.25" customHeight="1" x14ac:dyDescent="0.2">
      <c r="A11195" s="216">
        <v>2025</v>
      </c>
      <c r="B11195" s="216">
        <v>11</v>
      </c>
      <c r="C11195" s="216">
        <v>20</v>
      </c>
      <c r="D11195" s="217">
        <f t="shared" si="1519"/>
        <v>45981</v>
      </c>
      <c r="E11195" s="239">
        <f t="shared" si="1526"/>
        <v>45981</v>
      </c>
      <c r="F11195" s="521"/>
      <c r="G11195" s="219" t="s">
        <v>1245</v>
      </c>
      <c r="H11195" s="220"/>
      <c r="I11195" s="220" t="s">
        <v>1253</v>
      </c>
      <c r="J11195" s="216" t="s">
        <v>153</v>
      </c>
      <c r="K11195" s="221"/>
      <c r="L11195" s="221">
        <f>K11194</f>
        <v>10819.95</v>
      </c>
    </row>
    <row r="11196" spans="1:16" ht="11.25" customHeight="1" x14ac:dyDescent="0.2">
      <c r="A11196" s="312">
        <v>2025</v>
      </c>
      <c r="B11196" s="312">
        <v>11</v>
      </c>
      <c r="C11196" s="312">
        <v>20</v>
      </c>
      <c r="D11196" s="313">
        <f t="shared" si="1519"/>
        <v>45981</v>
      </c>
      <c r="E11196" s="314">
        <f t="shared" si="1526"/>
        <v>45981</v>
      </c>
      <c r="F11196" s="522" t="s">
        <v>1477</v>
      </c>
      <c r="G11196" s="315" t="s">
        <v>1245</v>
      </c>
      <c r="H11196" s="316"/>
      <c r="I11196" s="316" t="s">
        <v>1253</v>
      </c>
      <c r="J11196" s="312" t="s">
        <v>1458</v>
      </c>
      <c r="K11196" s="317">
        <v>0</v>
      </c>
      <c r="L11196" s="317"/>
    </row>
    <row r="11197" spans="1:16" ht="11.25" customHeight="1" x14ac:dyDescent="0.2">
      <c r="A11197" s="318">
        <v>2025</v>
      </c>
      <c r="B11197" s="318">
        <v>11</v>
      </c>
      <c r="C11197" s="318">
        <v>20</v>
      </c>
      <c r="D11197" s="319">
        <f t="shared" si="1519"/>
        <v>45981</v>
      </c>
      <c r="E11197" s="320">
        <f t="shared" si="1526"/>
        <v>45981</v>
      </c>
      <c r="F11197" s="523"/>
      <c r="G11197" s="321" t="s">
        <v>1245</v>
      </c>
      <c r="H11197" s="322"/>
      <c r="I11197" s="322" t="s">
        <v>1253</v>
      </c>
      <c r="J11197" s="318" t="s">
        <v>1460</v>
      </c>
      <c r="K11197" s="323"/>
      <c r="L11197" s="323">
        <f>K11196</f>
        <v>0</v>
      </c>
    </row>
    <row r="11198" spans="1:16" ht="11.25" customHeight="1" x14ac:dyDescent="0.2">
      <c r="A11198" s="312">
        <v>2025</v>
      </c>
      <c r="B11198" s="312">
        <v>11</v>
      </c>
      <c r="C11198" s="312">
        <v>20</v>
      </c>
      <c r="D11198" s="313">
        <f t="shared" si="1519"/>
        <v>45981</v>
      </c>
      <c r="E11198" s="314">
        <f t="shared" si="1526"/>
        <v>45981</v>
      </c>
      <c r="F11198" s="522" t="s">
        <v>1595</v>
      </c>
      <c r="G11198" s="315" t="s">
        <v>1245</v>
      </c>
      <c r="H11198" s="316"/>
      <c r="I11198" s="316" t="s">
        <v>1253</v>
      </c>
      <c r="J11198" s="312" t="s">
        <v>1459</v>
      </c>
      <c r="K11198" s="317">
        <v>1964995.9529998899</v>
      </c>
      <c r="L11198" s="317"/>
      <c r="M11198" s="328">
        <f>BS!$I$14</f>
        <v>0</v>
      </c>
    </row>
    <row r="11199" spans="1:16" ht="11.25" customHeight="1" x14ac:dyDescent="0.2">
      <c r="A11199" s="318">
        <v>2025</v>
      </c>
      <c r="B11199" s="318">
        <v>11</v>
      </c>
      <c r="C11199" s="318">
        <v>20</v>
      </c>
      <c r="D11199" s="319">
        <f t="shared" si="1519"/>
        <v>45981</v>
      </c>
      <c r="E11199" s="320">
        <f t="shared" si="1526"/>
        <v>45981</v>
      </c>
      <c r="F11199" s="523"/>
      <c r="G11199" s="321" t="s">
        <v>1245</v>
      </c>
      <c r="H11199" s="322"/>
      <c r="I11199" s="322" t="s">
        <v>1253</v>
      </c>
      <c r="J11199" s="318" t="s">
        <v>1461</v>
      </c>
      <c r="K11199" s="323"/>
      <c r="L11199" s="323">
        <f>K11198</f>
        <v>1964995.9529998899</v>
      </c>
      <c r="M11199" s="328"/>
    </row>
    <row r="11200" spans="1:16" ht="11.25" customHeight="1" x14ac:dyDescent="0.2">
      <c r="A11200" s="222">
        <v>2025</v>
      </c>
      <c r="B11200" s="222">
        <v>11</v>
      </c>
      <c r="C11200" s="222">
        <v>20</v>
      </c>
      <c r="D11200" s="223">
        <f t="shared" si="1519"/>
        <v>45981</v>
      </c>
      <c r="E11200" s="240">
        <f t="shared" si="1526"/>
        <v>45981</v>
      </c>
      <c r="F11200" s="511" t="s">
        <v>1244</v>
      </c>
      <c r="G11200" s="225" t="s">
        <v>1245</v>
      </c>
      <c r="H11200" s="226"/>
      <c r="I11200" s="226" t="s">
        <v>1253</v>
      </c>
      <c r="J11200" s="222" t="s">
        <v>72</v>
      </c>
      <c r="K11200" s="227">
        <v>1857398.4321999997</v>
      </c>
      <c r="L11200" s="227"/>
      <c r="M11200" s="328">
        <f>BS!$I$7</f>
        <v>0</v>
      </c>
    </row>
    <row r="11201" spans="1:15" ht="11.25" customHeight="1" x14ac:dyDescent="0.2">
      <c r="A11201" s="228">
        <v>2025</v>
      </c>
      <c r="B11201" s="228">
        <v>11</v>
      </c>
      <c r="C11201" s="228">
        <v>20</v>
      </c>
      <c r="D11201" s="229">
        <f t="shared" si="1519"/>
        <v>45981</v>
      </c>
      <c r="E11201" s="241">
        <f t="shared" si="1526"/>
        <v>45981</v>
      </c>
      <c r="F11201" s="512"/>
      <c r="G11201" s="231" t="s">
        <v>1245</v>
      </c>
      <c r="H11201" s="232"/>
      <c r="I11201" s="232" t="s">
        <v>1253</v>
      </c>
      <c r="J11201" s="228" t="s">
        <v>87</v>
      </c>
      <c r="K11201" s="233"/>
      <c r="L11201" s="233">
        <f>K11200</f>
        <v>1857398.4321999997</v>
      </c>
    </row>
    <row r="11202" spans="1:15" ht="11.25" customHeight="1" x14ac:dyDescent="0.2">
      <c r="A11202" s="222">
        <v>2025</v>
      </c>
      <c r="B11202" s="222">
        <v>11</v>
      </c>
      <c r="C11202" s="222">
        <v>20</v>
      </c>
      <c r="D11202" s="223">
        <f t="shared" si="1519"/>
        <v>45981</v>
      </c>
      <c r="E11202" s="240">
        <f t="shared" si="1526"/>
        <v>45981</v>
      </c>
      <c r="F11202" s="511" t="s">
        <v>1246</v>
      </c>
      <c r="G11202" s="225" t="s">
        <v>1245</v>
      </c>
      <c r="H11202" s="226"/>
      <c r="I11202" s="226" t="s">
        <v>1253</v>
      </c>
      <c r="J11202" s="222" t="s">
        <v>75</v>
      </c>
      <c r="K11202" s="227">
        <v>3623.123846153846</v>
      </c>
      <c r="L11202" s="227"/>
    </row>
    <row r="11203" spans="1:15" ht="11.25" customHeight="1" x14ac:dyDescent="0.2">
      <c r="A11203" s="228">
        <v>2025</v>
      </c>
      <c r="B11203" s="228">
        <v>11</v>
      </c>
      <c r="C11203" s="228">
        <v>20</v>
      </c>
      <c r="D11203" s="229">
        <f t="shared" si="1519"/>
        <v>45981</v>
      </c>
      <c r="E11203" s="241">
        <f t="shared" si="1526"/>
        <v>45981</v>
      </c>
      <c r="F11203" s="512"/>
      <c r="G11203" s="231" t="s">
        <v>1245</v>
      </c>
      <c r="H11203" s="232"/>
      <c r="I11203" s="232" t="s">
        <v>1253</v>
      </c>
      <c r="J11203" s="228" t="s">
        <v>55</v>
      </c>
      <c r="K11203" s="233"/>
      <c r="L11203" s="233">
        <f>K11202</f>
        <v>3623.123846153846</v>
      </c>
    </row>
    <row r="11204" spans="1:15" ht="11.25" customHeight="1" x14ac:dyDescent="0.2">
      <c r="A11204" s="222">
        <v>2025</v>
      </c>
      <c r="B11204" s="222">
        <v>11</v>
      </c>
      <c r="C11204" s="222">
        <v>20</v>
      </c>
      <c r="D11204" s="223">
        <f t="shared" si="1519"/>
        <v>45981</v>
      </c>
      <c r="E11204" s="240">
        <f t="shared" si="1526"/>
        <v>45981</v>
      </c>
      <c r="F11204" s="511" t="s">
        <v>1247</v>
      </c>
      <c r="G11204" s="225" t="s">
        <v>1245</v>
      </c>
      <c r="H11204" s="226"/>
      <c r="I11204" s="226" t="s">
        <v>1253</v>
      </c>
      <c r="J11204" s="222" t="s">
        <v>77</v>
      </c>
      <c r="K11204" s="227">
        <f>M11204</f>
        <v>52839.32572089856</v>
      </c>
      <c r="L11204" s="227"/>
      <c r="M11204" s="120">
        <v>52839.32572089856</v>
      </c>
    </row>
    <row r="11205" spans="1:15" ht="11.25" customHeight="1" x14ac:dyDescent="0.2">
      <c r="A11205" s="228">
        <v>2025</v>
      </c>
      <c r="B11205" s="228">
        <v>11</v>
      </c>
      <c r="C11205" s="228">
        <v>20</v>
      </c>
      <c r="D11205" s="229">
        <f t="shared" si="1519"/>
        <v>45981</v>
      </c>
      <c r="E11205" s="241">
        <f t="shared" si="1526"/>
        <v>45981</v>
      </c>
      <c r="F11205" s="512"/>
      <c r="G11205" s="231" t="s">
        <v>1245</v>
      </c>
      <c r="H11205" s="232"/>
      <c r="I11205" s="232" t="s">
        <v>1253</v>
      </c>
      <c r="J11205" s="228" t="s">
        <v>41</v>
      </c>
      <c r="K11205" s="233"/>
      <c r="L11205" s="233">
        <f>K11204</f>
        <v>52839.32572089856</v>
      </c>
      <c r="M11205" s="120">
        <v>5283.9325720898551</v>
      </c>
    </row>
    <row r="11206" spans="1:15" ht="11.25" customHeight="1" x14ac:dyDescent="0.2">
      <c r="A11206" s="222">
        <v>2025</v>
      </c>
      <c r="B11206" s="222">
        <v>11</v>
      </c>
      <c r="C11206" s="222">
        <v>20</v>
      </c>
      <c r="D11206" s="223">
        <f t="shared" si="1519"/>
        <v>45981</v>
      </c>
      <c r="E11206" s="240">
        <f t="shared" si="1526"/>
        <v>45981</v>
      </c>
      <c r="F11206" s="511" t="s">
        <v>1248</v>
      </c>
      <c r="G11206" s="225" t="s">
        <v>1245</v>
      </c>
      <c r="H11206" s="226"/>
      <c r="I11206" s="226" t="s">
        <v>1253</v>
      </c>
      <c r="J11206" s="222" t="s">
        <v>80</v>
      </c>
      <c r="K11206" s="227">
        <f>M11205</f>
        <v>5283.9325720898551</v>
      </c>
      <c r="L11206" s="227"/>
    </row>
    <row r="11207" spans="1:15" ht="11.25" customHeight="1" x14ac:dyDescent="0.2">
      <c r="A11207" s="228">
        <v>2025</v>
      </c>
      <c r="B11207" s="228">
        <v>11</v>
      </c>
      <c r="C11207" s="228">
        <v>20</v>
      </c>
      <c r="D11207" s="229">
        <f t="shared" si="1519"/>
        <v>45981</v>
      </c>
      <c r="E11207" s="241">
        <f t="shared" si="1526"/>
        <v>45981</v>
      </c>
      <c r="F11207" s="512"/>
      <c r="G11207" s="231" t="s">
        <v>1245</v>
      </c>
      <c r="H11207" s="232"/>
      <c r="I11207" s="232" t="s">
        <v>1253</v>
      </c>
      <c r="J11207" s="228" t="s">
        <v>42</v>
      </c>
      <c r="K11207" s="233"/>
      <c r="L11207" s="233">
        <f>K11206</f>
        <v>5283.9325720898551</v>
      </c>
    </row>
    <row r="11208" spans="1:15" x14ac:dyDescent="0.2">
      <c r="A11208" s="197">
        <v>2025</v>
      </c>
      <c r="B11208" s="197">
        <v>11</v>
      </c>
      <c r="C11208" s="197">
        <v>24</v>
      </c>
      <c r="D11208" s="198">
        <f t="shared" si="1519"/>
        <v>45985</v>
      </c>
      <c r="E11208" s="209">
        <f t="shared" si="1526"/>
        <v>45985</v>
      </c>
      <c r="F11208" s="513" t="s">
        <v>1280</v>
      </c>
      <c r="G11208" s="200" t="s">
        <v>1209</v>
      </c>
      <c r="H11208" s="201"/>
      <c r="I11208" s="201"/>
      <c r="J11208" s="197" t="s">
        <v>16</v>
      </c>
      <c r="K11208" s="202">
        <v>107410</v>
      </c>
      <c r="L11208" s="202"/>
    </row>
    <row r="11209" spans="1:15" x14ac:dyDescent="0.2">
      <c r="A11209" s="120">
        <v>2025</v>
      </c>
      <c r="B11209" s="120">
        <v>11</v>
      </c>
      <c r="C11209" s="120">
        <v>24</v>
      </c>
      <c r="D11209" s="208">
        <f t="shared" si="1519"/>
        <v>45985</v>
      </c>
      <c r="E11209" s="209">
        <f t="shared" si="1526"/>
        <v>45985</v>
      </c>
      <c r="F11209" s="515"/>
      <c r="G11209" s="132" t="s">
        <v>1209</v>
      </c>
      <c r="J11209" s="120" t="s">
        <v>47</v>
      </c>
      <c r="K11209" s="207">
        <v>40590</v>
      </c>
      <c r="L11209" s="207"/>
    </row>
    <row r="11210" spans="1:15" x14ac:dyDescent="0.2">
      <c r="A11210" s="191">
        <v>2025</v>
      </c>
      <c r="B11210" s="191">
        <v>11</v>
      </c>
      <c r="C11210" s="191">
        <v>24</v>
      </c>
      <c r="D11210" s="192">
        <f t="shared" si="1519"/>
        <v>45985</v>
      </c>
      <c r="E11210" s="193">
        <f t="shared" si="1526"/>
        <v>45985</v>
      </c>
      <c r="F11210" s="514"/>
      <c r="G11210" s="194" t="s">
        <v>1209</v>
      </c>
      <c r="H11210" s="195"/>
      <c r="I11210" s="195"/>
      <c r="J11210" s="191" t="s">
        <v>46</v>
      </c>
      <c r="K11210" s="196"/>
      <c r="L11210" s="196">
        <v>148000</v>
      </c>
    </row>
    <row r="11211" spans="1:15" x14ac:dyDescent="0.2">
      <c r="A11211" s="197">
        <v>2025</v>
      </c>
      <c r="B11211" s="197">
        <v>11</v>
      </c>
      <c r="C11211" s="197">
        <v>24</v>
      </c>
      <c r="D11211" s="198">
        <f t="shared" si="1519"/>
        <v>45985</v>
      </c>
      <c r="E11211" s="209">
        <f t="shared" si="1526"/>
        <v>45985</v>
      </c>
      <c r="F11211" s="513" t="s">
        <v>1210</v>
      </c>
      <c r="G11211" s="200" t="s">
        <v>1209</v>
      </c>
      <c r="H11211" s="201"/>
      <c r="I11211" s="201"/>
      <c r="J11211" s="197" t="s">
        <v>46</v>
      </c>
      <c r="K11211" s="202">
        <v>870000</v>
      </c>
      <c r="L11211" s="202"/>
    </row>
    <row r="11212" spans="1:15" x14ac:dyDescent="0.2">
      <c r="A11212" s="120">
        <v>2025</v>
      </c>
      <c r="B11212" s="120">
        <v>11</v>
      </c>
      <c r="C11212" s="120">
        <v>24</v>
      </c>
      <c r="D11212" s="208">
        <f t="shared" si="1519"/>
        <v>45985</v>
      </c>
      <c r="E11212" s="209">
        <f t="shared" si="1526"/>
        <v>45985</v>
      </c>
      <c r="F11212" s="515"/>
      <c r="G11212" s="132" t="s">
        <v>1209</v>
      </c>
      <c r="J11212" s="120" t="s">
        <v>16</v>
      </c>
      <c r="K11212" s="207"/>
      <c r="L11212" s="207">
        <v>631400</v>
      </c>
    </row>
    <row r="11213" spans="1:15" x14ac:dyDescent="0.2">
      <c r="A11213" s="191">
        <v>2025</v>
      </c>
      <c r="B11213" s="191">
        <v>11</v>
      </c>
      <c r="C11213" s="191">
        <v>24</v>
      </c>
      <c r="D11213" s="192">
        <f t="shared" si="1519"/>
        <v>45985</v>
      </c>
      <c r="E11213" s="193">
        <f t="shared" si="1526"/>
        <v>45985</v>
      </c>
      <c r="F11213" s="514"/>
      <c r="G11213" s="194" t="s">
        <v>1209</v>
      </c>
      <c r="H11213" s="195"/>
      <c r="I11213" s="195"/>
      <c r="J11213" s="191" t="s">
        <v>47</v>
      </c>
      <c r="K11213" s="196"/>
      <c r="L11213" s="196">
        <v>238600</v>
      </c>
    </row>
    <row r="11214" spans="1:15" x14ac:dyDescent="0.2">
      <c r="A11214" s="197">
        <v>2025</v>
      </c>
      <c r="B11214" s="197">
        <v>11</v>
      </c>
      <c r="C11214" s="197">
        <v>25</v>
      </c>
      <c r="D11214" s="198">
        <f t="shared" si="1519"/>
        <v>45986</v>
      </c>
      <c r="E11214" s="290">
        <f t="shared" si="1526"/>
        <v>45986</v>
      </c>
      <c r="F11214" s="513" t="s">
        <v>1514</v>
      </c>
      <c r="G11214" s="200" t="s">
        <v>1209</v>
      </c>
      <c r="H11214" s="201"/>
      <c r="I11214" s="201"/>
      <c r="J11214" s="197" t="s">
        <v>54</v>
      </c>
      <c r="K11214" s="202">
        <v>258</v>
      </c>
      <c r="L11214" s="202"/>
      <c r="M11214" s="251"/>
      <c r="N11214" s="251"/>
      <c r="O11214" s="251"/>
    </row>
    <row r="11215" spans="1:15" ht="11.25" customHeight="1" x14ac:dyDescent="0.2">
      <c r="A11215" s="191">
        <v>2025</v>
      </c>
      <c r="B11215" s="191">
        <v>11</v>
      </c>
      <c r="C11215" s="191">
        <v>25</v>
      </c>
      <c r="D11215" s="192">
        <f t="shared" si="1519"/>
        <v>45986</v>
      </c>
      <c r="E11215" s="291">
        <f t="shared" si="1526"/>
        <v>45986</v>
      </c>
      <c r="F11215" s="514"/>
      <c r="G11215" s="194" t="s">
        <v>1209</v>
      </c>
      <c r="H11215" s="195"/>
      <c r="I11215" s="195"/>
      <c r="J11215" s="191" t="s">
        <v>46</v>
      </c>
      <c r="K11215" s="196"/>
      <c r="L11215" s="196">
        <f>K11214</f>
        <v>258</v>
      </c>
      <c r="M11215" s="251"/>
    </row>
    <row r="11216" spans="1:15" x14ac:dyDescent="0.2">
      <c r="A11216" s="197">
        <v>2025</v>
      </c>
      <c r="B11216" s="197">
        <v>11</v>
      </c>
      <c r="C11216" s="197">
        <v>25</v>
      </c>
      <c r="D11216" s="198">
        <f t="shared" si="1519"/>
        <v>45986</v>
      </c>
      <c r="E11216" s="209">
        <f t="shared" si="1526"/>
        <v>45986</v>
      </c>
      <c r="F11216" s="513" t="s">
        <v>1280</v>
      </c>
      <c r="G11216" s="200" t="s">
        <v>1209</v>
      </c>
      <c r="H11216" s="201"/>
      <c r="I11216" s="201"/>
      <c r="J11216" s="197" t="s">
        <v>16</v>
      </c>
      <c r="K11216" s="202">
        <v>700000</v>
      </c>
      <c r="L11216" s="202"/>
    </row>
    <row r="11217" spans="1:12" x14ac:dyDescent="0.2">
      <c r="A11217" s="120">
        <v>2025</v>
      </c>
      <c r="B11217" s="120">
        <v>11</v>
      </c>
      <c r="C11217" s="120">
        <v>25</v>
      </c>
      <c r="D11217" s="208">
        <f t="shared" si="1519"/>
        <v>45986</v>
      </c>
      <c r="E11217" s="209">
        <f t="shared" si="1526"/>
        <v>45986</v>
      </c>
      <c r="F11217" s="515"/>
      <c r="G11217" s="132" t="s">
        <v>1209</v>
      </c>
      <c r="J11217" s="120" t="s">
        <v>47</v>
      </c>
      <c r="K11217" s="207">
        <v>255850</v>
      </c>
      <c r="L11217" s="207"/>
    </row>
    <row r="11218" spans="1:12" x14ac:dyDescent="0.2">
      <c r="A11218" s="191">
        <v>2025</v>
      </c>
      <c r="B11218" s="191">
        <v>11</v>
      </c>
      <c r="C11218" s="191">
        <v>25</v>
      </c>
      <c r="D11218" s="192">
        <f t="shared" si="1519"/>
        <v>45986</v>
      </c>
      <c r="E11218" s="193">
        <f t="shared" si="1526"/>
        <v>45986</v>
      </c>
      <c r="F11218" s="514"/>
      <c r="G11218" s="194" t="s">
        <v>1209</v>
      </c>
      <c r="H11218" s="195"/>
      <c r="I11218" s="195"/>
      <c r="J11218" s="191" t="s">
        <v>46</v>
      </c>
      <c r="K11218" s="196"/>
      <c r="L11218" s="196">
        <v>955850</v>
      </c>
    </row>
    <row r="11219" spans="1:12" x14ac:dyDescent="0.2">
      <c r="A11219" s="197">
        <v>2025</v>
      </c>
      <c r="B11219" s="197">
        <v>11</v>
      </c>
      <c r="C11219" s="197">
        <v>25</v>
      </c>
      <c r="D11219" s="198">
        <f t="shared" si="1519"/>
        <v>45986</v>
      </c>
      <c r="E11219" s="209">
        <f t="shared" ref="E11219:E11224" si="1527">DATE(A11219,B11219,C11219)</f>
        <v>45986</v>
      </c>
      <c r="F11219" s="513" t="s">
        <v>1280</v>
      </c>
      <c r="G11219" s="200" t="s">
        <v>1209</v>
      </c>
      <c r="H11219" s="201"/>
      <c r="I11219" s="201"/>
      <c r="J11219" s="197" t="s">
        <v>16</v>
      </c>
      <c r="K11219" s="202">
        <v>2000000</v>
      </c>
      <c r="L11219" s="202"/>
    </row>
    <row r="11220" spans="1:12" x14ac:dyDescent="0.2">
      <c r="A11220" s="120">
        <v>2025</v>
      </c>
      <c r="B11220" s="120">
        <v>11</v>
      </c>
      <c r="C11220" s="120">
        <v>25</v>
      </c>
      <c r="D11220" s="208">
        <f t="shared" si="1519"/>
        <v>45986</v>
      </c>
      <c r="E11220" s="209">
        <f t="shared" si="1527"/>
        <v>45986</v>
      </c>
      <c r="F11220" s="515"/>
      <c r="G11220" s="132" t="s">
        <v>1209</v>
      </c>
      <c r="J11220" s="120" t="s">
        <v>47</v>
      </c>
      <c r="K11220" s="207">
        <v>755800</v>
      </c>
      <c r="L11220" s="207"/>
    </row>
    <row r="11221" spans="1:12" x14ac:dyDescent="0.2">
      <c r="A11221" s="191">
        <v>2025</v>
      </c>
      <c r="B11221" s="191">
        <v>11</v>
      </c>
      <c r="C11221" s="191">
        <v>25</v>
      </c>
      <c r="D11221" s="192">
        <f t="shared" si="1519"/>
        <v>45986</v>
      </c>
      <c r="E11221" s="193">
        <f t="shared" si="1527"/>
        <v>45986</v>
      </c>
      <c r="F11221" s="514"/>
      <c r="G11221" s="194" t="s">
        <v>1209</v>
      </c>
      <c r="H11221" s="195"/>
      <c r="I11221" s="195"/>
      <c r="J11221" s="191" t="s">
        <v>46</v>
      </c>
      <c r="K11221" s="196"/>
      <c r="L11221" s="196">
        <v>2755800</v>
      </c>
    </row>
    <row r="11222" spans="1:12" x14ac:dyDescent="0.2">
      <c r="A11222" s="197">
        <v>2025</v>
      </c>
      <c r="B11222" s="197">
        <v>11</v>
      </c>
      <c r="C11222" s="197">
        <v>25</v>
      </c>
      <c r="D11222" s="198">
        <f t="shared" si="1519"/>
        <v>45986</v>
      </c>
      <c r="E11222" s="209">
        <f t="shared" si="1527"/>
        <v>45986</v>
      </c>
      <c r="F11222" s="513" t="s">
        <v>1210</v>
      </c>
      <c r="G11222" s="200" t="s">
        <v>1209</v>
      </c>
      <c r="H11222" s="201"/>
      <c r="I11222" s="201"/>
      <c r="J11222" s="197" t="s">
        <v>46</v>
      </c>
      <c r="K11222" s="202">
        <v>300000</v>
      </c>
      <c r="L11222" s="202"/>
    </row>
    <row r="11223" spans="1:12" x14ac:dyDescent="0.2">
      <c r="A11223" s="120">
        <v>2025</v>
      </c>
      <c r="B11223" s="120">
        <v>11</v>
      </c>
      <c r="C11223" s="120">
        <v>25</v>
      </c>
      <c r="D11223" s="208">
        <f t="shared" si="1519"/>
        <v>45986</v>
      </c>
      <c r="E11223" s="209">
        <f t="shared" si="1527"/>
        <v>45986</v>
      </c>
      <c r="F11223" s="515"/>
      <c r="G11223" s="132" t="s">
        <v>1209</v>
      </c>
      <c r="J11223" s="120" t="s">
        <v>16</v>
      </c>
      <c r="K11223" s="207"/>
      <c r="L11223" s="207">
        <v>217720</v>
      </c>
    </row>
    <row r="11224" spans="1:12" x14ac:dyDescent="0.2">
      <c r="A11224" s="191">
        <v>2025</v>
      </c>
      <c r="B11224" s="191">
        <v>11</v>
      </c>
      <c r="C11224" s="191">
        <v>25</v>
      </c>
      <c r="D11224" s="192">
        <f t="shared" si="1519"/>
        <v>45986</v>
      </c>
      <c r="E11224" s="193">
        <f t="shared" si="1527"/>
        <v>45986</v>
      </c>
      <c r="F11224" s="514"/>
      <c r="G11224" s="194" t="s">
        <v>1209</v>
      </c>
      <c r="H11224" s="195"/>
      <c r="I11224" s="195"/>
      <c r="J11224" s="191" t="s">
        <v>47</v>
      </c>
      <c r="K11224" s="196"/>
      <c r="L11224" s="196">
        <v>82280</v>
      </c>
    </row>
    <row r="11225" spans="1:12" x14ac:dyDescent="0.2">
      <c r="A11225" s="197">
        <v>2025</v>
      </c>
      <c r="B11225" s="197">
        <v>11</v>
      </c>
      <c r="C11225" s="197">
        <v>25</v>
      </c>
      <c r="D11225" s="198">
        <f t="shared" si="1519"/>
        <v>45986</v>
      </c>
      <c r="E11225" s="209">
        <f t="shared" ref="E11225:E11240" si="1528">DATE(A11225,B11225,C11225)</f>
        <v>45986</v>
      </c>
      <c r="F11225" s="513" t="s">
        <v>1210</v>
      </c>
      <c r="G11225" s="200" t="s">
        <v>1209</v>
      </c>
      <c r="H11225" s="201"/>
      <c r="I11225" s="201"/>
      <c r="J11225" s="197" t="s">
        <v>46</v>
      </c>
      <c r="K11225" s="202">
        <v>13000</v>
      </c>
      <c r="L11225" s="202"/>
    </row>
    <row r="11226" spans="1:12" x14ac:dyDescent="0.2">
      <c r="A11226" s="120">
        <v>2025</v>
      </c>
      <c r="B11226" s="120">
        <v>11</v>
      </c>
      <c r="C11226" s="120">
        <v>25</v>
      </c>
      <c r="D11226" s="208">
        <f t="shared" si="1519"/>
        <v>45986</v>
      </c>
      <c r="E11226" s="209">
        <f t="shared" si="1528"/>
        <v>45986</v>
      </c>
      <c r="F11226" s="515"/>
      <c r="G11226" s="132" t="s">
        <v>1209</v>
      </c>
      <c r="J11226" s="120" t="s">
        <v>16</v>
      </c>
      <c r="K11226" s="207"/>
      <c r="L11226" s="207">
        <v>9430</v>
      </c>
    </row>
    <row r="11227" spans="1:12" x14ac:dyDescent="0.2">
      <c r="A11227" s="191">
        <v>2025</v>
      </c>
      <c r="B11227" s="191">
        <v>11</v>
      </c>
      <c r="C11227" s="191">
        <v>25</v>
      </c>
      <c r="D11227" s="192">
        <f t="shared" si="1519"/>
        <v>45986</v>
      </c>
      <c r="E11227" s="193">
        <f t="shared" si="1528"/>
        <v>45986</v>
      </c>
      <c r="F11227" s="514"/>
      <c r="G11227" s="194" t="s">
        <v>1209</v>
      </c>
      <c r="H11227" s="195"/>
      <c r="I11227" s="195"/>
      <c r="J11227" s="191" t="s">
        <v>47</v>
      </c>
      <c r="K11227" s="196"/>
      <c r="L11227" s="196">
        <v>3570</v>
      </c>
    </row>
    <row r="11228" spans="1:12" x14ac:dyDescent="0.2">
      <c r="A11228" s="197">
        <v>2025</v>
      </c>
      <c r="B11228" s="197">
        <v>11</v>
      </c>
      <c r="C11228" s="197">
        <v>25</v>
      </c>
      <c r="D11228" s="198">
        <f t="shared" si="1519"/>
        <v>45986</v>
      </c>
      <c r="E11228" s="209">
        <f t="shared" si="1528"/>
        <v>45986</v>
      </c>
      <c r="F11228" s="513" t="s">
        <v>1280</v>
      </c>
      <c r="G11228" s="200" t="s">
        <v>1209</v>
      </c>
      <c r="H11228" s="201"/>
      <c r="I11228" s="201"/>
      <c r="J11228" s="197" t="s">
        <v>16</v>
      </c>
      <c r="K11228" s="202">
        <v>10890</v>
      </c>
      <c r="L11228" s="202"/>
    </row>
    <row r="11229" spans="1:12" x14ac:dyDescent="0.2">
      <c r="A11229" s="120">
        <v>2025</v>
      </c>
      <c r="B11229" s="120">
        <v>11</v>
      </c>
      <c r="C11229" s="120">
        <v>25</v>
      </c>
      <c r="D11229" s="208">
        <f t="shared" si="1519"/>
        <v>45986</v>
      </c>
      <c r="E11229" s="209">
        <f t="shared" si="1528"/>
        <v>45986</v>
      </c>
      <c r="F11229" s="515"/>
      <c r="G11229" s="132" t="s">
        <v>1209</v>
      </c>
      <c r="J11229" s="120" t="s">
        <v>47</v>
      </c>
      <c r="K11229" s="207">
        <v>4110</v>
      </c>
      <c r="L11229" s="207"/>
    </row>
    <row r="11230" spans="1:12" x14ac:dyDescent="0.2">
      <c r="A11230" s="191">
        <v>2025</v>
      </c>
      <c r="B11230" s="191">
        <v>11</v>
      </c>
      <c r="C11230" s="191">
        <v>25</v>
      </c>
      <c r="D11230" s="192">
        <f t="shared" si="1519"/>
        <v>45986</v>
      </c>
      <c r="E11230" s="193">
        <f t="shared" si="1528"/>
        <v>45986</v>
      </c>
      <c r="F11230" s="514"/>
      <c r="G11230" s="194" t="s">
        <v>1209</v>
      </c>
      <c r="H11230" s="195"/>
      <c r="I11230" s="195"/>
      <c r="J11230" s="191" t="s">
        <v>46</v>
      </c>
      <c r="K11230" s="196"/>
      <c r="L11230" s="196">
        <v>15000</v>
      </c>
    </row>
    <row r="11231" spans="1:12" x14ac:dyDescent="0.2">
      <c r="A11231" s="197">
        <v>2025</v>
      </c>
      <c r="B11231" s="197">
        <v>11</v>
      </c>
      <c r="C11231" s="197">
        <v>25</v>
      </c>
      <c r="D11231" s="198">
        <f t="shared" si="1519"/>
        <v>45986</v>
      </c>
      <c r="E11231" s="209">
        <f t="shared" ref="E11231:E11233" si="1529">DATE(A11231,B11231,C11231)</f>
        <v>45986</v>
      </c>
      <c r="F11231" s="513" t="s">
        <v>1210</v>
      </c>
      <c r="G11231" s="200" t="s">
        <v>1209</v>
      </c>
      <c r="H11231" s="201"/>
      <c r="I11231" s="201"/>
      <c r="J11231" s="197" t="s">
        <v>46</v>
      </c>
      <c r="K11231" s="202">
        <v>150000</v>
      </c>
      <c r="L11231" s="202"/>
    </row>
    <row r="11232" spans="1:12" x14ac:dyDescent="0.2">
      <c r="A11232" s="120">
        <v>2025</v>
      </c>
      <c r="B11232" s="120">
        <v>11</v>
      </c>
      <c r="C11232" s="120">
        <v>25</v>
      </c>
      <c r="D11232" s="208">
        <f t="shared" si="1519"/>
        <v>45986</v>
      </c>
      <c r="E11232" s="209">
        <f t="shared" si="1529"/>
        <v>45986</v>
      </c>
      <c r="F11232" s="515"/>
      <c r="G11232" s="132" t="s">
        <v>1209</v>
      </c>
      <c r="J11232" s="120" t="s">
        <v>16</v>
      </c>
      <c r="K11232" s="207"/>
      <c r="L11232" s="207">
        <v>108960</v>
      </c>
    </row>
    <row r="11233" spans="1:15" x14ac:dyDescent="0.2">
      <c r="A11233" s="191">
        <v>2025</v>
      </c>
      <c r="B11233" s="191">
        <v>11</v>
      </c>
      <c r="C11233" s="191">
        <v>25</v>
      </c>
      <c r="D11233" s="192">
        <f t="shared" si="1519"/>
        <v>45986</v>
      </c>
      <c r="E11233" s="193">
        <f t="shared" si="1529"/>
        <v>45986</v>
      </c>
      <c r="F11233" s="514"/>
      <c r="G11233" s="194" t="s">
        <v>1209</v>
      </c>
      <c r="H11233" s="195"/>
      <c r="I11233" s="195"/>
      <c r="J11233" s="191" t="s">
        <v>47</v>
      </c>
      <c r="K11233" s="196"/>
      <c r="L11233" s="196">
        <v>41040</v>
      </c>
    </row>
    <row r="11234" spans="1:15" x14ac:dyDescent="0.2">
      <c r="A11234" s="197">
        <v>2025</v>
      </c>
      <c r="B11234" s="197">
        <v>11</v>
      </c>
      <c r="C11234" s="197">
        <v>26</v>
      </c>
      <c r="D11234" s="198">
        <f t="shared" si="1519"/>
        <v>45987</v>
      </c>
      <c r="E11234" s="290">
        <f t="shared" si="1528"/>
        <v>45987</v>
      </c>
      <c r="F11234" s="513" t="s">
        <v>1527</v>
      </c>
      <c r="G11234" s="200" t="s">
        <v>1209</v>
      </c>
      <c r="H11234" s="201"/>
      <c r="I11234" s="201"/>
      <c r="J11234" s="197" t="s">
        <v>54</v>
      </c>
      <c r="K11234" s="202">
        <v>10</v>
      </c>
      <c r="L11234" s="202"/>
      <c r="M11234" s="251"/>
      <c r="N11234" s="251"/>
      <c r="O11234" s="251"/>
    </row>
    <row r="11235" spans="1:15" ht="11.25" customHeight="1" x14ac:dyDescent="0.2">
      <c r="A11235" s="191">
        <v>2025</v>
      </c>
      <c r="B11235" s="191">
        <v>11</v>
      </c>
      <c r="C11235" s="191">
        <v>26</v>
      </c>
      <c r="D11235" s="192">
        <f t="shared" si="1519"/>
        <v>45987</v>
      </c>
      <c r="E11235" s="291">
        <f t="shared" si="1528"/>
        <v>45987</v>
      </c>
      <c r="F11235" s="514"/>
      <c r="G11235" s="194" t="s">
        <v>1209</v>
      </c>
      <c r="H11235" s="195"/>
      <c r="I11235" s="195"/>
      <c r="J11235" s="191" t="s">
        <v>46</v>
      </c>
      <c r="K11235" s="196"/>
      <c r="L11235" s="196">
        <f>K11234</f>
        <v>10</v>
      </c>
      <c r="M11235" s="251"/>
    </row>
    <row r="11236" spans="1:15" x14ac:dyDescent="0.2">
      <c r="A11236" s="197">
        <v>2025</v>
      </c>
      <c r="B11236" s="197">
        <v>11</v>
      </c>
      <c r="C11236" s="197">
        <v>26</v>
      </c>
      <c r="D11236" s="198">
        <f t="shared" si="1519"/>
        <v>45987</v>
      </c>
      <c r="E11236" s="290">
        <f t="shared" ref="E11236:E11237" si="1530">DATE(A11236,B11236,C11236)</f>
        <v>45987</v>
      </c>
      <c r="F11236" s="513" t="s">
        <v>1514</v>
      </c>
      <c r="G11236" s="200" t="s">
        <v>1209</v>
      </c>
      <c r="H11236" s="201"/>
      <c r="I11236" s="201"/>
      <c r="J11236" s="197" t="s">
        <v>54</v>
      </c>
      <c r="K11236" s="202">
        <v>10</v>
      </c>
      <c r="L11236" s="202"/>
      <c r="M11236" s="251"/>
      <c r="N11236" s="251"/>
      <c r="O11236" s="251"/>
    </row>
    <row r="11237" spans="1:15" ht="11.25" customHeight="1" x14ac:dyDescent="0.2">
      <c r="A11237" s="191">
        <v>2025</v>
      </c>
      <c r="B11237" s="191">
        <v>11</v>
      </c>
      <c r="C11237" s="191">
        <v>26</v>
      </c>
      <c r="D11237" s="192">
        <f t="shared" si="1519"/>
        <v>45987</v>
      </c>
      <c r="E11237" s="291">
        <f t="shared" si="1530"/>
        <v>45987</v>
      </c>
      <c r="F11237" s="514"/>
      <c r="G11237" s="194" t="s">
        <v>1209</v>
      </c>
      <c r="H11237" s="195"/>
      <c r="I11237" s="195"/>
      <c r="J11237" s="191" t="s">
        <v>46</v>
      </c>
      <c r="K11237" s="196"/>
      <c r="L11237" s="196">
        <f>K11236</f>
        <v>10</v>
      </c>
      <c r="M11237" s="251"/>
    </row>
    <row r="11238" spans="1:15" ht="11.25" customHeight="1" x14ac:dyDescent="0.2">
      <c r="A11238" s="197">
        <v>2025</v>
      </c>
      <c r="B11238" s="120">
        <v>11</v>
      </c>
      <c r="C11238" s="120">
        <v>26</v>
      </c>
      <c r="D11238" s="198">
        <f t="shared" si="1519"/>
        <v>45987</v>
      </c>
      <c r="E11238" s="199">
        <f t="shared" si="1528"/>
        <v>45987</v>
      </c>
      <c r="F11238" s="513" t="s">
        <v>2103</v>
      </c>
      <c r="G11238" s="200" t="s">
        <v>1209</v>
      </c>
      <c r="H11238" s="201"/>
      <c r="I11238" s="201" t="s">
        <v>1253</v>
      </c>
      <c r="J11238" s="197" t="s">
        <v>46</v>
      </c>
      <c r="K11238" s="202">
        <v>13016200.92</v>
      </c>
      <c r="L11238" s="202"/>
    </row>
    <row r="11239" spans="1:15" x14ac:dyDescent="0.2">
      <c r="A11239" s="120">
        <v>2025</v>
      </c>
      <c r="B11239" s="120">
        <v>11</v>
      </c>
      <c r="C11239" s="120">
        <v>26</v>
      </c>
      <c r="D11239" s="208">
        <f t="shared" si="1519"/>
        <v>45987</v>
      </c>
      <c r="E11239" s="209">
        <f t="shared" si="1528"/>
        <v>45987</v>
      </c>
      <c r="F11239" s="515"/>
      <c r="G11239" s="132" t="s">
        <v>1209</v>
      </c>
      <c r="J11239" s="120" t="s">
        <v>179</v>
      </c>
      <c r="K11239" s="207"/>
      <c r="L11239" s="207">
        <v>1210849.67</v>
      </c>
    </row>
    <row r="11240" spans="1:15" ht="11.25" customHeight="1" x14ac:dyDescent="0.2">
      <c r="A11240" s="191">
        <v>2025</v>
      </c>
      <c r="B11240" s="191">
        <v>11</v>
      </c>
      <c r="C11240" s="191">
        <v>26</v>
      </c>
      <c r="D11240" s="192">
        <f t="shared" si="1519"/>
        <v>45987</v>
      </c>
      <c r="E11240" s="193">
        <f t="shared" si="1528"/>
        <v>45987</v>
      </c>
      <c r="F11240" s="514"/>
      <c r="G11240" s="194" t="s">
        <v>1209</v>
      </c>
      <c r="H11240" s="195"/>
      <c r="I11240" s="195" t="s">
        <v>1253</v>
      </c>
      <c r="J11240" s="191" t="s">
        <v>70</v>
      </c>
      <c r="K11240" s="196"/>
      <c r="L11240" s="196">
        <v>11805351.25</v>
      </c>
      <c r="N11240" s="130"/>
    </row>
    <row r="11241" spans="1:15" x14ac:dyDescent="0.2">
      <c r="A11241" s="197">
        <v>2025</v>
      </c>
      <c r="B11241" s="197">
        <v>11</v>
      </c>
      <c r="C11241" s="120">
        <v>26</v>
      </c>
      <c r="D11241" s="198">
        <f t="shared" si="1519"/>
        <v>45987</v>
      </c>
      <c r="E11241" s="209">
        <f t="shared" ref="E11241:E11265" si="1531">DATE(A11241,B11241,C11241)</f>
        <v>45987</v>
      </c>
      <c r="F11241" s="513" t="s">
        <v>1210</v>
      </c>
      <c r="G11241" s="200" t="s">
        <v>1209</v>
      </c>
      <c r="H11241" s="201"/>
      <c r="I11241" s="201"/>
      <c r="J11241" s="197" t="s">
        <v>46</v>
      </c>
      <c r="K11241" s="202">
        <v>200000</v>
      </c>
      <c r="L11241" s="202"/>
    </row>
    <row r="11242" spans="1:15" x14ac:dyDescent="0.2">
      <c r="A11242" s="120">
        <v>2025</v>
      </c>
      <c r="B11242" s="120">
        <v>11</v>
      </c>
      <c r="C11242" s="120">
        <v>26</v>
      </c>
      <c r="D11242" s="208">
        <f t="shared" si="1519"/>
        <v>45987</v>
      </c>
      <c r="E11242" s="209">
        <f t="shared" si="1531"/>
        <v>45987</v>
      </c>
      <c r="F11242" s="515"/>
      <c r="G11242" s="132" t="s">
        <v>1209</v>
      </c>
      <c r="J11242" s="120" t="s">
        <v>16</v>
      </c>
      <c r="K11242" s="207"/>
      <c r="L11242" s="207">
        <v>145150</v>
      </c>
    </row>
    <row r="11243" spans="1:15" x14ac:dyDescent="0.2">
      <c r="A11243" s="191">
        <v>2025</v>
      </c>
      <c r="B11243" s="191">
        <v>11</v>
      </c>
      <c r="C11243" s="191">
        <v>26</v>
      </c>
      <c r="D11243" s="192">
        <f t="shared" si="1519"/>
        <v>45987</v>
      </c>
      <c r="E11243" s="193">
        <f t="shared" si="1531"/>
        <v>45987</v>
      </c>
      <c r="F11243" s="514"/>
      <c r="G11243" s="194" t="s">
        <v>1209</v>
      </c>
      <c r="H11243" s="195"/>
      <c r="I11243" s="195"/>
      <c r="J11243" s="191" t="s">
        <v>47</v>
      </c>
      <c r="K11243" s="196"/>
      <c r="L11243" s="196">
        <v>54850</v>
      </c>
    </row>
    <row r="11244" spans="1:15" x14ac:dyDescent="0.2">
      <c r="A11244" s="197">
        <v>2025</v>
      </c>
      <c r="B11244" s="197">
        <v>11</v>
      </c>
      <c r="C11244" s="120">
        <v>26</v>
      </c>
      <c r="D11244" s="198">
        <f t="shared" ref="D11244:D11307" si="1532">DATE(A11244,B11244,C11244)</f>
        <v>45987</v>
      </c>
      <c r="E11244" s="209">
        <f t="shared" ref="E11244:E11246" si="1533">DATE(A11244,B11244,C11244)</f>
        <v>45987</v>
      </c>
      <c r="F11244" s="513" t="s">
        <v>1296</v>
      </c>
      <c r="G11244" s="200" t="s">
        <v>1209</v>
      </c>
      <c r="H11244" s="201"/>
      <c r="I11244" s="201"/>
      <c r="J11244" s="197" t="s">
        <v>46</v>
      </c>
      <c r="K11244" s="202">
        <v>419000</v>
      </c>
      <c r="L11244" s="202"/>
    </row>
    <row r="11245" spans="1:15" x14ac:dyDescent="0.2">
      <c r="A11245" s="120">
        <v>2025</v>
      </c>
      <c r="B11245" s="120">
        <v>11</v>
      </c>
      <c r="C11245" s="120">
        <v>26</v>
      </c>
      <c r="D11245" s="208">
        <f t="shared" si="1532"/>
        <v>45987</v>
      </c>
      <c r="E11245" s="209">
        <f t="shared" si="1533"/>
        <v>45987</v>
      </c>
      <c r="F11245" s="515"/>
      <c r="G11245" s="132" t="s">
        <v>1209</v>
      </c>
      <c r="J11245" s="120" t="s">
        <v>16</v>
      </c>
      <c r="K11245" s="207"/>
      <c r="L11245" s="207">
        <v>304140</v>
      </c>
    </row>
    <row r="11246" spans="1:15" x14ac:dyDescent="0.2">
      <c r="A11246" s="191">
        <v>2025</v>
      </c>
      <c r="B11246" s="191">
        <v>11</v>
      </c>
      <c r="C11246" s="191">
        <v>26</v>
      </c>
      <c r="D11246" s="192">
        <f t="shared" si="1532"/>
        <v>45987</v>
      </c>
      <c r="E11246" s="193">
        <f t="shared" si="1533"/>
        <v>45987</v>
      </c>
      <c r="F11246" s="514"/>
      <c r="G11246" s="194" t="s">
        <v>1209</v>
      </c>
      <c r="H11246" s="195"/>
      <c r="I11246" s="195"/>
      <c r="J11246" s="191" t="s">
        <v>47</v>
      </c>
      <c r="K11246" s="196"/>
      <c r="L11246" s="196">
        <v>114860</v>
      </c>
    </row>
    <row r="11247" spans="1:15" x14ac:dyDescent="0.2">
      <c r="A11247" s="197">
        <v>2025</v>
      </c>
      <c r="B11247" s="197">
        <v>11</v>
      </c>
      <c r="C11247" s="197">
        <v>27</v>
      </c>
      <c r="D11247" s="198">
        <f t="shared" si="1532"/>
        <v>45988</v>
      </c>
      <c r="E11247" s="209">
        <f t="shared" si="1531"/>
        <v>45988</v>
      </c>
      <c r="F11247" s="513" t="s">
        <v>1280</v>
      </c>
      <c r="G11247" s="200" t="s">
        <v>1209</v>
      </c>
      <c r="H11247" s="201"/>
      <c r="I11247" s="201"/>
      <c r="J11247" s="197" t="s">
        <v>16</v>
      </c>
      <c r="K11247" s="202">
        <v>1088610</v>
      </c>
      <c r="L11247" s="202"/>
    </row>
    <row r="11248" spans="1:15" x14ac:dyDescent="0.2">
      <c r="A11248" s="120">
        <v>2025</v>
      </c>
      <c r="B11248" s="120">
        <v>11</v>
      </c>
      <c r="C11248" s="120">
        <v>27</v>
      </c>
      <c r="D11248" s="208">
        <f t="shared" si="1532"/>
        <v>45988</v>
      </c>
      <c r="E11248" s="209">
        <f t="shared" si="1531"/>
        <v>45988</v>
      </c>
      <c r="F11248" s="515"/>
      <c r="G11248" s="132" t="s">
        <v>1209</v>
      </c>
      <c r="J11248" s="120" t="s">
        <v>47</v>
      </c>
      <c r="K11248" s="207">
        <v>411390</v>
      </c>
      <c r="L11248" s="207"/>
    </row>
    <row r="11249" spans="1:15" x14ac:dyDescent="0.2">
      <c r="A11249" s="191">
        <v>2025</v>
      </c>
      <c r="B11249" s="191">
        <v>11</v>
      </c>
      <c r="C11249" s="191">
        <v>27</v>
      </c>
      <c r="D11249" s="192">
        <f t="shared" si="1532"/>
        <v>45988</v>
      </c>
      <c r="E11249" s="193">
        <f t="shared" si="1531"/>
        <v>45988</v>
      </c>
      <c r="F11249" s="514"/>
      <c r="G11249" s="194" t="s">
        <v>1209</v>
      </c>
      <c r="H11249" s="195"/>
      <c r="I11249" s="195"/>
      <c r="J11249" s="191" t="s">
        <v>46</v>
      </c>
      <c r="K11249" s="196"/>
      <c r="L11249" s="196">
        <v>1500000</v>
      </c>
    </row>
    <row r="11250" spans="1:15" x14ac:dyDescent="0.2">
      <c r="A11250" s="197">
        <v>2025</v>
      </c>
      <c r="B11250" s="197">
        <v>11</v>
      </c>
      <c r="C11250" s="197">
        <v>27</v>
      </c>
      <c r="D11250" s="198">
        <f t="shared" si="1532"/>
        <v>45988</v>
      </c>
      <c r="E11250" s="290">
        <f t="shared" si="1531"/>
        <v>45988</v>
      </c>
      <c r="F11250" s="513" t="s">
        <v>1514</v>
      </c>
      <c r="G11250" s="200" t="s">
        <v>1209</v>
      </c>
      <c r="H11250" s="201"/>
      <c r="I11250" s="201"/>
      <c r="J11250" s="197" t="s">
        <v>54</v>
      </c>
      <c r="K11250" s="202">
        <v>100</v>
      </c>
      <c r="L11250" s="202"/>
      <c r="M11250" s="251"/>
      <c r="N11250" s="251"/>
      <c r="O11250" s="251"/>
    </row>
    <row r="11251" spans="1:15" ht="11.25" customHeight="1" x14ac:dyDescent="0.2">
      <c r="A11251" s="191">
        <v>2025</v>
      </c>
      <c r="B11251" s="191">
        <v>11</v>
      </c>
      <c r="C11251" s="191">
        <v>27</v>
      </c>
      <c r="D11251" s="192">
        <f t="shared" si="1532"/>
        <v>45988</v>
      </c>
      <c r="E11251" s="291">
        <f t="shared" si="1531"/>
        <v>45988</v>
      </c>
      <c r="F11251" s="514"/>
      <c r="G11251" s="194" t="s">
        <v>1209</v>
      </c>
      <c r="H11251" s="195"/>
      <c r="I11251" s="195"/>
      <c r="J11251" s="191" t="s">
        <v>46</v>
      </c>
      <c r="K11251" s="196"/>
      <c r="L11251" s="196">
        <f>K11250</f>
        <v>100</v>
      </c>
      <c r="M11251" s="251"/>
    </row>
    <row r="11252" spans="1:15" ht="11.25" customHeight="1" x14ac:dyDescent="0.2">
      <c r="A11252" s="197">
        <v>2025</v>
      </c>
      <c r="B11252" s="197">
        <v>11</v>
      </c>
      <c r="C11252" s="197">
        <v>27</v>
      </c>
      <c r="D11252" s="198">
        <f t="shared" si="1532"/>
        <v>45988</v>
      </c>
      <c r="E11252" s="290">
        <f t="shared" si="1531"/>
        <v>45988</v>
      </c>
      <c r="F11252" s="513" t="s">
        <v>2109</v>
      </c>
      <c r="G11252" s="200" t="s">
        <v>1209</v>
      </c>
      <c r="H11252" s="201"/>
      <c r="I11252" s="201" t="s">
        <v>1253</v>
      </c>
      <c r="J11252" s="197" t="s">
        <v>1873</v>
      </c>
      <c r="K11252" s="202">
        <v>765000</v>
      </c>
      <c r="L11252" s="202"/>
    </row>
    <row r="11253" spans="1:15" ht="11.25" customHeight="1" x14ac:dyDescent="0.2">
      <c r="A11253" s="191">
        <v>2025</v>
      </c>
      <c r="B11253" s="191">
        <v>11</v>
      </c>
      <c r="C11253" s="191">
        <v>27</v>
      </c>
      <c r="D11253" s="192">
        <f t="shared" si="1532"/>
        <v>45988</v>
      </c>
      <c r="E11253" s="291">
        <f t="shared" si="1531"/>
        <v>45988</v>
      </c>
      <c r="F11253" s="514"/>
      <c r="G11253" s="194" t="s">
        <v>1209</v>
      </c>
      <c r="H11253" s="195"/>
      <c r="I11253" s="195"/>
      <c r="J11253" s="191" t="s">
        <v>1845</v>
      </c>
      <c r="K11253" s="196"/>
      <c r="L11253" s="196">
        <f>K11252</f>
        <v>765000</v>
      </c>
    </row>
    <row r="11254" spans="1:15" x14ac:dyDescent="0.2">
      <c r="A11254" s="424">
        <v>2025</v>
      </c>
      <c r="B11254" s="424">
        <v>11</v>
      </c>
      <c r="C11254" s="424">
        <v>27</v>
      </c>
      <c r="D11254" s="425">
        <f t="shared" si="1532"/>
        <v>45988</v>
      </c>
      <c r="E11254" s="384">
        <f t="shared" si="1531"/>
        <v>45988</v>
      </c>
      <c r="F11254" s="516" t="s">
        <v>1850</v>
      </c>
      <c r="G11254" s="426" t="s">
        <v>1209</v>
      </c>
      <c r="H11254" s="427"/>
      <c r="I11254" s="427"/>
      <c r="J11254" s="428" t="s">
        <v>81</v>
      </c>
      <c r="K11254" s="429">
        <v>11170.721538461539</v>
      </c>
      <c r="L11254" s="429"/>
    </row>
    <row r="11255" spans="1:15" x14ac:dyDescent="0.2">
      <c r="A11255" s="389">
        <v>2025</v>
      </c>
      <c r="B11255" s="389">
        <v>11</v>
      </c>
      <c r="C11255" s="389">
        <v>27</v>
      </c>
      <c r="D11255" s="390">
        <f t="shared" si="1532"/>
        <v>45988</v>
      </c>
      <c r="E11255" s="391">
        <f t="shared" si="1531"/>
        <v>45988</v>
      </c>
      <c r="F11255" s="517"/>
      <c r="G11255" s="392" t="s">
        <v>1209</v>
      </c>
      <c r="H11255" s="393"/>
      <c r="I11255" s="393"/>
      <c r="J11255" s="394" t="s">
        <v>1847</v>
      </c>
      <c r="K11255" s="423"/>
      <c r="L11255" s="423">
        <f>K11254</f>
        <v>11170.721538461539</v>
      </c>
    </row>
    <row r="11256" spans="1:15" ht="11.25" customHeight="1" x14ac:dyDescent="0.2">
      <c r="A11256" s="382">
        <v>2025</v>
      </c>
      <c r="B11256" s="382">
        <v>11</v>
      </c>
      <c r="C11256" s="382">
        <v>27</v>
      </c>
      <c r="D11256" s="383">
        <f t="shared" si="1532"/>
        <v>45988</v>
      </c>
      <c r="E11256" s="384">
        <f t="shared" si="1531"/>
        <v>45988</v>
      </c>
      <c r="F11256" s="516" t="s">
        <v>1892</v>
      </c>
      <c r="G11256" s="385" t="s">
        <v>1209</v>
      </c>
      <c r="H11256" s="386"/>
      <c r="I11256" s="386"/>
      <c r="J11256" s="387" t="s">
        <v>173</v>
      </c>
      <c r="K11256" s="388">
        <v>4353.2717169895832</v>
      </c>
      <c r="L11256" s="388"/>
    </row>
    <row r="11257" spans="1:15" ht="11.25" customHeight="1" x14ac:dyDescent="0.2">
      <c r="A11257" s="389">
        <v>2025</v>
      </c>
      <c r="B11257" s="389">
        <v>11</v>
      </c>
      <c r="C11257" s="389">
        <v>27</v>
      </c>
      <c r="D11257" s="390">
        <f t="shared" si="1532"/>
        <v>45988</v>
      </c>
      <c r="E11257" s="391">
        <f t="shared" si="1531"/>
        <v>45988</v>
      </c>
      <c r="F11257" s="517"/>
      <c r="G11257" s="392" t="s">
        <v>1209</v>
      </c>
      <c r="H11257" s="393"/>
      <c r="I11257" s="393"/>
      <c r="J11257" s="394" t="s">
        <v>43</v>
      </c>
      <c r="K11257" s="388"/>
      <c r="L11257" s="423">
        <f>K11256</f>
        <v>4353.2717169895832</v>
      </c>
    </row>
    <row r="11258" spans="1:15" ht="11.25" customHeight="1" x14ac:dyDescent="0.2">
      <c r="A11258" s="344">
        <v>2025</v>
      </c>
      <c r="B11258" s="344">
        <v>11</v>
      </c>
      <c r="C11258" s="344">
        <v>27</v>
      </c>
      <c r="D11258" s="345">
        <f t="shared" si="1532"/>
        <v>45988</v>
      </c>
      <c r="E11258" s="346">
        <f t="shared" si="1531"/>
        <v>45988</v>
      </c>
      <c r="F11258" s="518" t="s">
        <v>1982</v>
      </c>
      <c r="G11258" s="347" t="s">
        <v>1245</v>
      </c>
      <c r="H11258" s="348"/>
      <c r="I11258" s="348" t="s">
        <v>1253</v>
      </c>
      <c r="J11258" s="344" t="s">
        <v>1978</v>
      </c>
      <c r="K11258" s="349">
        <v>148748.07692307694</v>
      </c>
      <c r="L11258" s="349"/>
    </row>
    <row r="11259" spans="1:15" ht="11.25" customHeight="1" x14ac:dyDescent="0.2">
      <c r="A11259" s="350">
        <v>2025</v>
      </c>
      <c r="B11259" s="350">
        <v>11</v>
      </c>
      <c r="C11259" s="350">
        <v>27</v>
      </c>
      <c r="D11259" s="351">
        <f t="shared" si="1532"/>
        <v>45988</v>
      </c>
      <c r="E11259" s="352">
        <f t="shared" si="1531"/>
        <v>45988</v>
      </c>
      <c r="F11259" s="519"/>
      <c r="G11259" s="353" t="s">
        <v>1245</v>
      </c>
      <c r="H11259" s="354"/>
      <c r="I11259" s="354" t="s">
        <v>1253</v>
      </c>
      <c r="J11259" s="350" t="s">
        <v>1979</v>
      </c>
      <c r="K11259" s="355"/>
      <c r="L11259" s="355">
        <f>K11258</f>
        <v>148748.07692307694</v>
      </c>
    </row>
    <row r="11260" spans="1:15" ht="11.25" customHeight="1" x14ac:dyDescent="0.2">
      <c r="A11260" s="344">
        <v>2025</v>
      </c>
      <c r="B11260" s="344">
        <v>11</v>
      </c>
      <c r="C11260" s="344">
        <v>27</v>
      </c>
      <c r="D11260" s="345">
        <f t="shared" si="1532"/>
        <v>45988</v>
      </c>
      <c r="E11260" s="346">
        <f t="shared" si="1531"/>
        <v>45988</v>
      </c>
      <c r="F11260" s="518" t="s">
        <v>2009</v>
      </c>
      <c r="G11260" s="347" t="s">
        <v>1245</v>
      </c>
      <c r="H11260" s="348"/>
      <c r="I11260" s="348" t="s">
        <v>1253</v>
      </c>
      <c r="J11260" s="344" t="s">
        <v>2004</v>
      </c>
      <c r="K11260" s="349">
        <v>49692.31</v>
      </c>
      <c r="L11260" s="349"/>
    </row>
    <row r="11261" spans="1:15" ht="11.25" customHeight="1" x14ac:dyDescent="0.2">
      <c r="A11261" s="350">
        <v>2025</v>
      </c>
      <c r="B11261" s="350">
        <v>11</v>
      </c>
      <c r="C11261" s="350">
        <v>27</v>
      </c>
      <c r="D11261" s="351">
        <f t="shared" si="1532"/>
        <v>45988</v>
      </c>
      <c r="E11261" s="352">
        <f t="shared" si="1531"/>
        <v>45988</v>
      </c>
      <c r="F11261" s="519"/>
      <c r="G11261" s="353" t="s">
        <v>1245</v>
      </c>
      <c r="H11261" s="354"/>
      <c r="I11261" s="354" t="s">
        <v>1253</v>
      </c>
      <c r="J11261" s="350" t="s">
        <v>2008</v>
      </c>
      <c r="K11261" s="355"/>
      <c r="L11261" s="355">
        <f t="shared" ref="L11261" si="1534">K11260</f>
        <v>49692.31</v>
      </c>
    </row>
    <row r="11262" spans="1:15" ht="11.25" customHeight="1" x14ac:dyDescent="0.2">
      <c r="A11262" s="344">
        <v>2025</v>
      </c>
      <c r="B11262" s="344">
        <v>11</v>
      </c>
      <c r="C11262" s="344">
        <v>27</v>
      </c>
      <c r="D11262" s="345">
        <f t="shared" si="1532"/>
        <v>45988</v>
      </c>
      <c r="E11262" s="346">
        <f t="shared" si="1531"/>
        <v>45988</v>
      </c>
      <c r="F11262" s="518" t="s">
        <v>2009</v>
      </c>
      <c r="G11262" s="347" t="s">
        <v>1245</v>
      </c>
      <c r="H11262" s="348"/>
      <c r="I11262" s="348" t="s">
        <v>1253</v>
      </c>
      <c r="J11262" s="344" t="s">
        <v>2004</v>
      </c>
      <c r="K11262" s="349">
        <v>49692.31</v>
      </c>
      <c r="L11262" s="349"/>
    </row>
    <row r="11263" spans="1:15" ht="11.25" customHeight="1" x14ac:dyDescent="0.2">
      <c r="A11263" s="350">
        <v>2025</v>
      </c>
      <c r="B11263" s="350">
        <v>11</v>
      </c>
      <c r="C11263" s="350">
        <v>27</v>
      </c>
      <c r="D11263" s="351">
        <f t="shared" si="1532"/>
        <v>45988</v>
      </c>
      <c r="E11263" s="352">
        <f t="shared" si="1531"/>
        <v>45988</v>
      </c>
      <c r="F11263" s="519"/>
      <c r="G11263" s="353" t="s">
        <v>1245</v>
      </c>
      <c r="H11263" s="354"/>
      <c r="I11263" s="354" t="s">
        <v>1253</v>
      </c>
      <c r="J11263" s="350" t="s">
        <v>2008</v>
      </c>
      <c r="K11263" s="355"/>
      <c r="L11263" s="355">
        <f t="shared" ref="L11263" si="1535">K11262</f>
        <v>49692.31</v>
      </c>
    </row>
    <row r="11264" spans="1:15" ht="11.25" customHeight="1" x14ac:dyDescent="0.2">
      <c r="A11264" s="344">
        <v>2025</v>
      </c>
      <c r="B11264" s="344">
        <v>11</v>
      </c>
      <c r="C11264" s="344">
        <v>27</v>
      </c>
      <c r="D11264" s="345">
        <f t="shared" si="1532"/>
        <v>45988</v>
      </c>
      <c r="E11264" s="346">
        <f t="shared" si="1531"/>
        <v>45988</v>
      </c>
      <c r="F11264" s="518" t="s">
        <v>2088</v>
      </c>
      <c r="G11264" s="347" t="s">
        <v>1245</v>
      </c>
      <c r="H11264" s="348"/>
      <c r="I11264" s="348" t="s">
        <v>1253</v>
      </c>
      <c r="J11264" s="344" t="s">
        <v>2086</v>
      </c>
      <c r="K11264" s="349">
        <v>12528.846153846154</v>
      </c>
      <c r="L11264" s="349"/>
    </row>
    <row r="11265" spans="1:16" ht="11.25" customHeight="1" x14ac:dyDescent="0.2">
      <c r="A11265" s="350">
        <v>2025</v>
      </c>
      <c r="B11265" s="350">
        <v>11</v>
      </c>
      <c r="C11265" s="350">
        <v>27</v>
      </c>
      <c r="D11265" s="351">
        <f t="shared" si="1532"/>
        <v>45988</v>
      </c>
      <c r="E11265" s="352">
        <f t="shared" si="1531"/>
        <v>45988</v>
      </c>
      <c r="F11265" s="519"/>
      <c r="G11265" s="353" t="s">
        <v>1245</v>
      </c>
      <c r="H11265" s="354"/>
      <c r="I11265" s="354" t="s">
        <v>1253</v>
      </c>
      <c r="J11265" s="350" t="s">
        <v>2089</v>
      </c>
      <c r="K11265" s="355"/>
      <c r="L11265" s="355">
        <v>12528.846153846154</v>
      </c>
    </row>
    <row r="11266" spans="1:16" ht="11.25" customHeight="1" x14ac:dyDescent="0.2">
      <c r="A11266" s="344">
        <v>2025</v>
      </c>
      <c r="B11266" s="344">
        <v>11</v>
      </c>
      <c r="C11266" s="344">
        <v>27</v>
      </c>
      <c r="D11266" s="345">
        <f t="shared" si="1532"/>
        <v>45988</v>
      </c>
      <c r="E11266" s="346">
        <f>DATE(A11266,B11266,C11266)</f>
        <v>45988</v>
      </c>
      <c r="F11266" s="518" t="s">
        <v>1988</v>
      </c>
      <c r="G11266" s="347" t="s">
        <v>1245</v>
      </c>
      <c r="H11266" s="348"/>
      <c r="I11266" s="348" t="s">
        <v>1253</v>
      </c>
      <c r="J11266" s="344" t="s">
        <v>113</v>
      </c>
      <c r="K11266" s="349">
        <v>32846.15</v>
      </c>
      <c r="L11266" s="349"/>
    </row>
    <row r="11267" spans="1:16" ht="11.25" customHeight="1" x14ac:dyDescent="0.2">
      <c r="A11267" s="350">
        <v>2025</v>
      </c>
      <c r="B11267" s="350">
        <v>11</v>
      </c>
      <c r="C11267" s="350">
        <v>27</v>
      </c>
      <c r="D11267" s="351">
        <f t="shared" si="1532"/>
        <v>45988</v>
      </c>
      <c r="E11267" s="352">
        <f>DATE(A11267,B11267,C11267)</f>
        <v>45988</v>
      </c>
      <c r="F11267" s="519"/>
      <c r="G11267" s="353" t="s">
        <v>1245</v>
      </c>
      <c r="H11267" s="354"/>
      <c r="I11267" s="354" t="s">
        <v>1253</v>
      </c>
      <c r="J11267" s="350" t="s">
        <v>153</v>
      </c>
      <c r="K11267" s="355"/>
      <c r="L11267" s="355">
        <f t="shared" ref="L11267" si="1536">K11266</f>
        <v>32846.15</v>
      </c>
    </row>
    <row r="11268" spans="1:16" ht="11.25" customHeight="1" x14ac:dyDescent="0.2">
      <c r="A11268" s="344">
        <v>2025</v>
      </c>
      <c r="B11268" s="344">
        <v>11</v>
      </c>
      <c r="C11268" s="344">
        <v>27</v>
      </c>
      <c r="D11268" s="345">
        <f t="shared" si="1532"/>
        <v>45988</v>
      </c>
      <c r="E11268" s="346">
        <f t="shared" ref="E11268:E11274" si="1537">DATE(A11268,B11268,C11268)</f>
        <v>45988</v>
      </c>
      <c r="F11268" s="518" t="s">
        <v>1989</v>
      </c>
      <c r="G11268" s="347" t="s">
        <v>1245</v>
      </c>
      <c r="H11268" s="348"/>
      <c r="I11268" s="348" t="s">
        <v>1253</v>
      </c>
      <c r="J11268" s="344" t="s">
        <v>113</v>
      </c>
      <c r="K11268" s="349">
        <v>23461.538461538461</v>
      </c>
      <c r="L11268" s="349"/>
    </row>
    <row r="11269" spans="1:16" ht="11.25" customHeight="1" x14ac:dyDescent="0.2">
      <c r="A11269" s="350">
        <v>2025</v>
      </c>
      <c r="B11269" s="350">
        <v>11</v>
      </c>
      <c r="C11269" s="350">
        <v>27</v>
      </c>
      <c r="D11269" s="351">
        <f t="shared" si="1532"/>
        <v>45988</v>
      </c>
      <c r="E11269" s="352">
        <f t="shared" si="1537"/>
        <v>45988</v>
      </c>
      <c r="F11269" s="519"/>
      <c r="G11269" s="353" t="s">
        <v>1245</v>
      </c>
      <c r="H11269" s="354"/>
      <c r="I11269" s="354" t="s">
        <v>1253</v>
      </c>
      <c r="J11269" s="350" t="s">
        <v>153</v>
      </c>
      <c r="K11269" s="355"/>
      <c r="L11269" s="355">
        <f t="shared" ref="L11269" si="1538">K11268</f>
        <v>23461.538461538461</v>
      </c>
    </row>
    <row r="11270" spans="1:16" ht="11.25" customHeight="1" x14ac:dyDescent="0.2">
      <c r="A11270" s="344">
        <v>2025</v>
      </c>
      <c r="B11270" s="344">
        <v>11</v>
      </c>
      <c r="C11270" s="344">
        <v>27</v>
      </c>
      <c r="D11270" s="345">
        <f t="shared" si="1532"/>
        <v>45988</v>
      </c>
      <c r="E11270" s="346">
        <f t="shared" si="1537"/>
        <v>45988</v>
      </c>
      <c r="F11270" s="518" t="s">
        <v>1990</v>
      </c>
      <c r="G11270" s="347" t="s">
        <v>1245</v>
      </c>
      <c r="H11270" s="348"/>
      <c r="I11270" s="348" t="s">
        <v>1253</v>
      </c>
      <c r="J11270" s="344" t="s">
        <v>113</v>
      </c>
      <c r="K11270" s="349">
        <v>70384.62</v>
      </c>
      <c r="L11270" s="349"/>
      <c r="N11270" s="251"/>
      <c r="O11270" s="251"/>
      <c r="P11270" s="251"/>
    </row>
    <row r="11271" spans="1:16" ht="11.25" customHeight="1" x14ac:dyDescent="0.2">
      <c r="A11271" s="350">
        <v>2025</v>
      </c>
      <c r="B11271" s="350">
        <v>11</v>
      </c>
      <c r="C11271" s="350">
        <v>27</v>
      </c>
      <c r="D11271" s="351">
        <f t="shared" si="1532"/>
        <v>45988</v>
      </c>
      <c r="E11271" s="352">
        <f t="shared" si="1537"/>
        <v>45988</v>
      </c>
      <c r="F11271" s="519"/>
      <c r="G11271" s="353" t="s">
        <v>1245</v>
      </c>
      <c r="H11271" s="354"/>
      <c r="I11271" s="354" t="s">
        <v>1253</v>
      </c>
      <c r="J11271" s="350" t="s">
        <v>153</v>
      </c>
      <c r="K11271" s="355"/>
      <c r="L11271" s="355">
        <f t="shared" ref="L11271" si="1539">K11270</f>
        <v>70384.62</v>
      </c>
    </row>
    <row r="11272" spans="1:16" ht="11.25" customHeight="1" x14ac:dyDescent="0.2">
      <c r="A11272" s="344">
        <v>2025</v>
      </c>
      <c r="B11272" s="344">
        <v>11</v>
      </c>
      <c r="C11272" s="344">
        <v>27</v>
      </c>
      <c r="D11272" s="345">
        <f t="shared" si="1532"/>
        <v>45988</v>
      </c>
      <c r="E11272" s="346">
        <f t="shared" si="1537"/>
        <v>45988</v>
      </c>
      <c r="F11272" s="518" t="s">
        <v>2107</v>
      </c>
      <c r="G11272" s="347" t="s">
        <v>1245</v>
      </c>
      <c r="H11272" s="348"/>
      <c r="I11272" s="348" t="s">
        <v>1253</v>
      </c>
      <c r="J11272" s="344" t="s">
        <v>113</v>
      </c>
      <c r="K11272" s="349">
        <v>86596.153846153844</v>
      </c>
      <c r="L11272" s="349"/>
      <c r="N11272" s="251"/>
      <c r="O11272" s="251"/>
      <c r="P11272" s="251"/>
    </row>
    <row r="11273" spans="1:16" ht="11.25" customHeight="1" x14ac:dyDescent="0.2">
      <c r="A11273" s="350">
        <v>2025</v>
      </c>
      <c r="B11273" s="350">
        <v>11</v>
      </c>
      <c r="C11273" s="350">
        <v>27</v>
      </c>
      <c r="D11273" s="351">
        <f t="shared" si="1532"/>
        <v>45988</v>
      </c>
      <c r="E11273" s="352">
        <f t="shared" si="1537"/>
        <v>45988</v>
      </c>
      <c r="F11273" s="519"/>
      <c r="G11273" s="353" t="s">
        <v>1245</v>
      </c>
      <c r="H11273" s="354"/>
      <c r="I11273" s="354" t="s">
        <v>1253</v>
      </c>
      <c r="J11273" s="350" t="s">
        <v>153</v>
      </c>
      <c r="K11273" s="355"/>
      <c r="L11273" s="355">
        <f t="shared" ref="L11273" si="1540">K11272</f>
        <v>86596.153846153844</v>
      </c>
    </row>
    <row r="11274" spans="1:16" ht="11.25" customHeight="1" x14ac:dyDescent="0.2">
      <c r="A11274" s="210">
        <v>2025</v>
      </c>
      <c r="B11274" s="210">
        <v>11</v>
      </c>
      <c r="C11274" s="210">
        <v>27</v>
      </c>
      <c r="D11274" s="211">
        <f t="shared" si="1532"/>
        <v>45988</v>
      </c>
      <c r="E11274" s="238">
        <f t="shared" si="1537"/>
        <v>45988</v>
      </c>
      <c r="F11274" s="520" t="s">
        <v>1857</v>
      </c>
      <c r="G11274" s="213" t="s">
        <v>1245</v>
      </c>
      <c r="H11274" s="214"/>
      <c r="I11274" s="214" t="s">
        <v>1253</v>
      </c>
      <c r="J11274" s="210" t="s">
        <v>1284</v>
      </c>
      <c r="K11274" s="215">
        <v>2341.8114143920593</v>
      </c>
      <c r="L11274" s="215"/>
    </row>
    <row r="11275" spans="1:16" ht="11.25" customHeight="1" x14ac:dyDescent="0.2">
      <c r="A11275" s="242">
        <v>2025</v>
      </c>
      <c r="B11275" s="242">
        <v>11</v>
      </c>
      <c r="C11275" s="242">
        <v>27</v>
      </c>
      <c r="D11275" s="243">
        <f t="shared" si="1532"/>
        <v>45988</v>
      </c>
      <c r="E11275" s="244">
        <f>DATE(A11275,B11275,C11275)</f>
        <v>45988</v>
      </c>
      <c r="F11275" s="524"/>
      <c r="G11275" s="245" t="s">
        <v>1245</v>
      </c>
      <c r="H11275" s="246"/>
      <c r="I11275" s="246"/>
      <c r="J11275" s="242" t="s">
        <v>1582</v>
      </c>
      <c r="K11275" s="247"/>
      <c r="L11275" s="247">
        <f>K11274</f>
        <v>2341.8114143920593</v>
      </c>
    </row>
    <row r="11276" spans="1:16" ht="11.25" customHeight="1" x14ac:dyDescent="0.2">
      <c r="A11276" s="210">
        <v>2025</v>
      </c>
      <c r="B11276" s="210">
        <v>11</v>
      </c>
      <c r="C11276" s="210">
        <v>27</v>
      </c>
      <c r="D11276" s="211">
        <f t="shared" si="1532"/>
        <v>45988</v>
      </c>
      <c r="E11276" s="238">
        <f t="shared" ref="E11276:E11313" si="1541">DATE(A11276,B11276,C11276)</f>
        <v>45988</v>
      </c>
      <c r="F11276" s="520" t="s">
        <v>2055</v>
      </c>
      <c r="G11276" s="213" t="s">
        <v>1245</v>
      </c>
      <c r="H11276" s="214"/>
      <c r="I11276" s="214" t="s">
        <v>1253</v>
      </c>
      <c r="J11276" s="210" t="s">
        <v>58</v>
      </c>
      <c r="K11276" s="215">
        <v>16093.94</v>
      </c>
      <c r="L11276" s="215"/>
    </row>
    <row r="11277" spans="1:16" ht="11.25" customHeight="1" x14ac:dyDescent="0.2">
      <c r="A11277" s="216">
        <v>2025</v>
      </c>
      <c r="B11277" s="216">
        <v>11</v>
      </c>
      <c r="C11277" s="216">
        <v>27</v>
      </c>
      <c r="D11277" s="217">
        <f t="shared" si="1532"/>
        <v>45988</v>
      </c>
      <c r="E11277" s="239">
        <f t="shared" si="1541"/>
        <v>45988</v>
      </c>
      <c r="F11277" s="521"/>
      <c r="G11277" s="219" t="s">
        <v>1245</v>
      </c>
      <c r="H11277" s="220"/>
      <c r="I11277" s="220" t="s">
        <v>1253</v>
      </c>
      <c r="J11277" s="216" t="s">
        <v>153</v>
      </c>
      <c r="K11277" s="221"/>
      <c r="L11277" s="221">
        <f>K11276</f>
        <v>16093.94</v>
      </c>
    </row>
    <row r="11278" spans="1:16" ht="11.25" customHeight="1" x14ac:dyDescent="0.2">
      <c r="A11278" s="312">
        <v>2025</v>
      </c>
      <c r="B11278" s="312">
        <v>11</v>
      </c>
      <c r="C11278" s="312">
        <v>27</v>
      </c>
      <c r="D11278" s="313">
        <f t="shared" si="1532"/>
        <v>45988</v>
      </c>
      <c r="E11278" s="314">
        <f t="shared" si="1541"/>
        <v>45988</v>
      </c>
      <c r="F11278" s="522" t="s">
        <v>1477</v>
      </c>
      <c r="G11278" s="315" t="s">
        <v>1245</v>
      </c>
      <c r="H11278" s="316"/>
      <c r="I11278" s="316" t="s">
        <v>1253</v>
      </c>
      <c r="J11278" s="312" t="s">
        <v>1458</v>
      </c>
      <c r="K11278" s="317">
        <v>0</v>
      </c>
      <c r="L11278" s="317"/>
    </row>
    <row r="11279" spans="1:16" ht="11.25" customHeight="1" x14ac:dyDescent="0.2">
      <c r="A11279" s="318">
        <v>2025</v>
      </c>
      <c r="B11279" s="318">
        <v>11</v>
      </c>
      <c r="C11279" s="318">
        <v>27</v>
      </c>
      <c r="D11279" s="319">
        <f t="shared" si="1532"/>
        <v>45988</v>
      </c>
      <c r="E11279" s="320">
        <f t="shared" si="1541"/>
        <v>45988</v>
      </c>
      <c r="F11279" s="523"/>
      <c r="G11279" s="321" t="s">
        <v>1245</v>
      </c>
      <c r="H11279" s="322"/>
      <c r="I11279" s="322" t="s">
        <v>1253</v>
      </c>
      <c r="J11279" s="318" t="s">
        <v>1460</v>
      </c>
      <c r="K11279" s="323"/>
      <c r="L11279" s="323">
        <f>K11278</f>
        <v>0</v>
      </c>
    </row>
    <row r="11280" spans="1:16" ht="11.25" customHeight="1" x14ac:dyDescent="0.2">
      <c r="A11280" s="312">
        <v>2025</v>
      </c>
      <c r="B11280" s="312">
        <v>11</v>
      </c>
      <c r="C11280" s="312">
        <v>27</v>
      </c>
      <c r="D11280" s="313">
        <f t="shared" si="1532"/>
        <v>45988</v>
      </c>
      <c r="E11280" s="314">
        <f t="shared" si="1541"/>
        <v>45988</v>
      </c>
      <c r="F11280" s="522" t="s">
        <v>1595</v>
      </c>
      <c r="G11280" s="315" t="s">
        <v>1245</v>
      </c>
      <c r="H11280" s="316"/>
      <c r="I11280" s="316" t="s">
        <v>1253</v>
      </c>
      <c r="J11280" s="312" t="s">
        <v>1459</v>
      </c>
      <c r="K11280" s="317">
        <v>1729555.3839999437</v>
      </c>
      <c r="L11280" s="317"/>
      <c r="M11280" s="328">
        <f>BS!$I$14</f>
        <v>0</v>
      </c>
    </row>
    <row r="11281" spans="1:13" ht="11.25" customHeight="1" x14ac:dyDescent="0.2">
      <c r="A11281" s="318">
        <v>2025</v>
      </c>
      <c r="B11281" s="318">
        <v>11</v>
      </c>
      <c r="C11281" s="318">
        <v>27</v>
      </c>
      <c r="D11281" s="319">
        <f t="shared" si="1532"/>
        <v>45988</v>
      </c>
      <c r="E11281" s="320">
        <f t="shared" si="1541"/>
        <v>45988</v>
      </c>
      <c r="F11281" s="523"/>
      <c r="G11281" s="321" t="s">
        <v>1245</v>
      </c>
      <c r="H11281" s="322"/>
      <c r="I11281" s="322" t="s">
        <v>1253</v>
      </c>
      <c r="J11281" s="318" t="s">
        <v>1461</v>
      </c>
      <c r="K11281" s="323"/>
      <c r="L11281" s="323">
        <f>K11280</f>
        <v>1729555.3839999437</v>
      </c>
      <c r="M11281" s="328"/>
    </row>
    <row r="11282" spans="1:13" ht="11.25" customHeight="1" x14ac:dyDescent="0.2">
      <c r="A11282" s="222">
        <v>2025</v>
      </c>
      <c r="B11282" s="222">
        <v>11</v>
      </c>
      <c r="C11282" s="222">
        <v>27</v>
      </c>
      <c r="D11282" s="223">
        <f t="shared" si="1532"/>
        <v>45988</v>
      </c>
      <c r="E11282" s="240">
        <f t="shared" si="1541"/>
        <v>45988</v>
      </c>
      <c r="F11282" s="511" t="s">
        <v>1244</v>
      </c>
      <c r="G11282" s="225" t="s">
        <v>1245</v>
      </c>
      <c r="H11282" s="226"/>
      <c r="I11282" s="226" t="s">
        <v>1253</v>
      </c>
      <c r="J11282" s="222" t="s">
        <v>72</v>
      </c>
      <c r="K11282" s="227">
        <v>1252895.8269999996</v>
      </c>
      <c r="L11282" s="227"/>
      <c r="M11282" s="328">
        <f>BS!$I$7</f>
        <v>0</v>
      </c>
    </row>
    <row r="11283" spans="1:13" ht="11.25" customHeight="1" x14ac:dyDescent="0.2">
      <c r="A11283" s="228">
        <v>2025</v>
      </c>
      <c r="B11283" s="228">
        <v>11</v>
      </c>
      <c r="C11283" s="228">
        <v>27</v>
      </c>
      <c r="D11283" s="229">
        <f t="shared" si="1532"/>
        <v>45988</v>
      </c>
      <c r="E11283" s="241">
        <f t="shared" si="1541"/>
        <v>45988</v>
      </c>
      <c r="F11283" s="512"/>
      <c r="G11283" s="231" t="s">
        <v>1245</v>
      </c>
      <c r="H11283" s="232"/>
      <c r="I11283" s="232" t="s">
        <v>1253</v>
      </c>
      <c r="J11283" s="228" t="s">
        <v>87</v>
      </c>
      <c r="K11283" s="233"/>
      <c r="L11283" s="233">
        <f>K11282</f>
        <v>1252895.8269999996</v>
      </c>
    </row>
    <row r="11284" spans="1:13" ht="11.25" customHeight="1" x14ac:dyDescent="0.2">
      <c r="A11284" s="222">
        <v>2025</v>
      </c>
      <c r="B11284" s="222">
        <v>11</v>
      </c>
      <c r="C11284" s="222">
        <v>27</v>
      </c>
      <c r="D11284" s="223">
        <f t="shared" si="1532"/>
        <v>45988</v>
      </c>
      <c r="E11284" s="240">
        <f t="shared" si="1541"/>
        <v>45988</v>
      </c>
      <c r="F11284" s="511" t="s">
        <v>1246</v>
      </c>
      <c r="G11284" s="225" t="s">
        <v>1245</v>
      </c>
      <c r="H11284" s="226"/>
      <c r="I11284" s="226" t="s">
        <v>1253</v>
      </c>
      <c r="J11284" s="222" t="s">
        <v>75</v>
      </c>
      <c r="K11284" s="227">
        <v>3623.123846153846</v>
      </c>
      <c r="L11284" s="227"/>
    </row>
    <row r="11285" spans="1:13" ht="11.25" customHeight="1" x14ac:dyDescent="0.2">
      <c r="A11285" s="228">
        <v>2025</v>
      </c>
      <c r="B11285" s="228">
        <v>11</v>
      </c>
      <c r="C11285" s="228">
        <v>27</v>
      </c>
      <c r="D11285" s="229">
        <f t="shared" si="1532"/>
        <v>45988</v>
      </c>
      <c r="E11285" s="241">
        <f t="shared" si="1541"/>
        <v>45988</v>
      </c>
      <c r="F11285" s="512"/>
      <c r="G11285" s="231" t="s">
        <v>1245</v>
      </c>
      <c r="H11285" s="232"/>
      <c r="I11285" s="232" t="s">
        <v>1253</v>
      </c>
      <c r="J11285" s="228" t="s">
        <v>55</v>
      </c>
      <c r="K11285" s="233"/>
      <c r="L11285" s="233">
        <f>K11284</f>
        <v>3623.123846153846</v>
      </c>
    </row>
    <row r="11286" spans="1:13" ht="11.25" customHeight="1" x14ac:dyDescent="0.2">
      <c r="A11286" s="222">
        <v>2025</v>
      </c>
      <c r="B11286" s="222">
        <v>11</v>
      </c>
      <c r="C11286" s="222">
        <v>27</v>
      </c>
      <c r="D11286" s="223">
        <f t="shared" si="1532"/>
        <v>45988</v>
      </c>
      <c r="E11286" s="240">
        <f t="shared" si="1541"/>
        <v>45988</v>
      </c>
      <c r="F11286" s="511" t="s">
        <v>1247</v>
      </c>
      <c r="G11286" s="225" t="s">
        <v>1245</v>
      </c>
      <c r="H11286" s="226"/>
      <c r="I11286" s="226" t="s">
        <v>1253</v>
      </c>
      <c r="J11286" s="222" t="s">
        <v>77</v>
      </c>
      <c r="K11286" s="227">
        <f>M11286</f>
        <v>52439.931677033615</v>
      </c>
      <c r="L11286" s="227"/>
      <c r="M11286" s="120">
        <v>52439.931677033615</v>
      </c>
    </row>
    <row r="11287" spans="1:13" ht="11.25" customHeight="1" x14ac:dyDescent="0.2">
      <c r="A11287" s="228">
        <v>2025</v>
      </c>
      <c r="B11287" s="228">
        <v>11</v>
      </c>
      <c r="C11287" s="228">
        <v>27</v>
      </c>
      <c r="D11287" s="229">
        <f t="shared" si="1532"/>
        <v>45988</v>
      </c>
      <c r="E11287" s="241">
        <f t="shared" si="1541"/>
        <v>45988</v>
      </c>
      <c r="F11287" s="512"/>
      <c r="G11287" s="231" t="s">
        <v>1245</v>
      </c>
      <c r="H11287" s="232"/>
      <c r="I11287" s="232" t="s">
        <v>1253</v>
      </c>
      <c r="J11287" s="228" t="s">
        <v>41</v>
      </c>
      <c r="K11287" s="233"/>
      <c r="L11287" s="233">
        <f>K11286</f>
        <v>52439.931677033615</v>
      </c>
      <c r="M11287" s="120">
        <v>5243.993167703361</v>
      </c>
    </row>
    <row r="11288" spans="1:13" ht="11.25" customHeight="1" x14ac:dyDescent="0.2">
      <c r="A11288" s="222">
        <v>2025</v>
      </c>
      <c r="B11288" s="222">
        <v>11</v>
      </c>
      <c r="C11288" s="222">
        <v>27</v>
      </c>
      <c r="D11288" s="223">
        <f t="shared" si="1532"/>
        <v>45988</v>
      </c>
      <c r="E11288" s="240">
        <f t="shared" si="1541"/>
        <v>45988</v>
      </c>
      <c r="F11288" s="511" t="s">
        <v>1248</v>
      </c>
      <c r="G11288" s="225" t="s">
        <v>1245</v>
      </c>
      <c r="H11288" s="226"/>
      <c r="I11288" s="226" t="s">
        <v>1253</v>
      </c>
      <c r="J11288" s="222" t="s">
        <v>80</v>
      </c>
      <c r="K11288" s="227">
        <f>M11287</f>
        <v>5243.993167703361</v>
      </c>
      <c r="L11288" s="227"/>
    </row>
    <row r="11289" spans="1:13" ht="11.25" customHeight="1" x14ac:dyDescent="0.2">
      <c r="A11289" s="228">
        <v>2025</v>
      </c>
      <c r="B11289" s="228">
        <v>11</v>
      </c>
      <c r="C11289" s="228">
        <v>27</v>
      </c>
      <c r="D11289" s="229">
        <f t="shared" si="1532"/>
        <v>45988</v>
      </c>
      <c r="E11289" s="241">
        <f t="shared" si="1541"/>
        <v>45988</v>
      </c>
      <c r="F11289" s="512"/>
      <c r="G11289" s="231" t="s">
        <v>1245</v>
      </c>
      <c r="H11289" s="232"/>
      <c r="I11289" s="232" t="s">
        <v>1253</v>
      </c>
      <c r="J11289" s="228" t="s">
        <v>42</v>
      </c>
      <c r="K11289" s="233"/>
      <c r="L11289" s="233">
        <f>K11288</f>
        <v>5243.993167703361</v>
      </c>
    </row>
    <row r="11290" spans="1:13" ht="11.25" customHeight="1" x14ac:dyDescent="0.2">
      <c r="A11290" s="197">
        <v>2025</v>
      </c>
      <c r="B11290" s="197">
        <v>11</v>
      </c>
      <c r="C11290" s="197">
        <v>30</v>
      </c>
      <c r="D11290" s="198">
        <f t="shared" si="1532"/>
        <v>45991</v>
      </c>
      <c r="E11290" s="199">
        <f t="shared" si="1541"/>
        <v>45991</v>
      </c>
      <c r="F11290" s="513" t="s">
        <v>2110</v>
      </c>
      <c r="G11290" s="200" t="s">
        <v>1209</v>
      </c>
      <c r="H11290" s="200"/>
      <c r="I11290" s="201" t="s">
        <v>1253</v>
      </c>
      <c r="J11290" s="248" t="s">
        <v>84</v>
      </c>
      <c r="K11290" s="202">
        <v>92000</v>
      </c>
      <c r="L11290" s="202"/>
      <c r="M11290" s="251"/>
    </row>
    <row r="11291" spans="1:13" ht="11.25" customHeight="1" x14ac:dyDescent="0.2">
      <c r="A11291" s="191">
        <v>2025</v>
      </c>
      <c r="B11291" s="191">
        <v>11</v>
      </c>
      <c r="C11291" s="191">
        <v>30</v>
      </c>
      <c r="D11291" s="192">
        <f t="shared" si="1532"/>
        <v>45991</v>
      </c>
      <c r="E11291" s="193">
        <f t="shared" si="1541"/>
        <v>45991</v>
      </c>
      <c r="F11291" s="514"/>
      <c r="G11291" s="194" t="s">
        <v>1209</v>
      </c>
      <c r="H11291" s="194"/>
      <c r="I11291" s="195" t="s">
        <v>1253</v>
      </c>
      <c r="J11291" s="250" t="s">
        <v>46</v>
      </c>
      <c r="K11291" s="196"/>
      <c r="L11291" s="196">
        <v>92000</v>
      </c>
      <c r="M11291" s="251"/>
    </row>
    <row r="11292" spans="1:13" ht="11.25" customHeight="1" x14ac:dyDescent="0.2">
      <c r="A11292" s="197">
        <v>2025</v>
      </c>
      <c r="B11292" s="197">
        <v>11</v>
      </c>
      <c r="C11292" s="197">
        <v>30</v>
      </c>
      <c r="D11292" s="198">
        <f t="shared" si="1532"/>
        <v>45991</v>
      </c>
      <c r="E11292" s="290">
        <f t="shared" si="1541"/>
        <v>45991</v>
      </c>
      <c r="F11292" s="513" t="s">
        <v>2109</v>
      </c>
      <c r="G11292" s="200" t="s">
        <v>1209</v>
      </c>
      <c r="H11292" s="201"/>
      <c r="I11292" s="201" t="s">
        <v>1253</v>
      </c>
      <c r="J11292" s="197" t="s">
        <v>46</v>
      </c>
      <c r="K11292" s="202">
        <v>765000</v>
      </c>
      <c r="L11292" s="202"/>
    </row>
    <row r="11293" spans="1:13" ht="11.25" customHeight="1" x14ac:dyDescent="0.2">
      <c r="A11293" s="191">
        <v>2025</v>
      </c>
      <c r="B11293" s="191">
        <v>11</v>
      </c>
      <c r="C11293" s="191">
        <v>30</v>
      </c>
      <c r="D11293" s="192">
        <f t="shared" si="1532"/>
        <v>45991</v>
      </c>
      <c r="E11293" s="291">
        <f t="shared" si="1541"/>
        <v>45991</v>
      </c>
      <c r="F11293" s="514"/>
      <c r="G11293" s="194" t="s">
        <v>1209</v>
      </c>
      <c r="H11293" s="195"/>
      <c r="I11293" s="195"/>
      <c r="J11293" s="191" t="s">
        <v>1873</v>
      </c>
      <c r="K11293" s="196"/>
      <c r="L11293" s="196">
        <f>K11292</f>
        <v>765000</v>
      </c>
    </row>
    <row r="11294" spans="1:13" x14ac:dyDescent="0.2">
      <c r="A11294" s="197">
        <v>2025</v>
      </c>
      <c r="B11294" s="197">
        <v>11</v>
      </c>
      <c r="C11294" s="197">
        <v>30</v>
      </c>
      <c r="D11294" s="198">
        <f t="shared" si="1532"/>
        <v>45991</v>
      </c>
      <c r="E11294" s="209">
        <f t="shared" si="1541"/>
        <v>45991</v>
      </c>
      <c r="F11294" s="513" t="s">
        <v>1280</v>
      </c>
      <c r="G11294" s="200" t="s">
        <v>1209</v>
      </c>
      <c r="H11294" s="201"/>
      <c r="I11294" s="201"/>
      <c r="J11294" s="197" t="s">
        <v>16</v>
      </c>
      <c r="K11294" s="202">
        <v>544820</v>
      </c>
      <c r="L11294" s="202"/>
    </row>
    <row r="11295" spans="1:13" x14ac:dyDescent="0.2">
      <c r="A11295" s="120">
        <v>2025</v>
      </c>
      <c r="B11295" s="120">
        <v>11</v>
      </c>
      <c r="C11295" s="120">
        <v>30</v>
      </c>
      <c r="D11295" s="208">
        <f t="shared" si="1532"/>
        <v>45991</v>
      </c>
      <c r="E11295" s="209">
        <f t="shared" si="1541"/>
        <v>45991</v>
      </c>
      <c r="F11295" s="515"/>
      <c r="G11295" s="132" t="s">
        <v>1209</v>
      </c>
      <c r="J11295" s="120" t="s">
        <v>47</v>
      </c>
      <c r="K11295" s="207">
        <v>205180</v>
      </c>
      <c r="L11295" s="207"/>
    </row>
    <row r="11296" spans="1:13" x14ac:dyDescent="0.2">
      <c r="A11296" s="191">
        <v>2025</v>
      </c>
      <c r="B11296" s="191">
        <v>11</v>
      </c>
      <c r="C11296" s="191">
        <v>30</v>
      </c>
      <c r="D11296" s="192">
        <f t="shared" si="1532"/>
        <v>45991</v>
      </c>
      <c r="E11296" s="193">
        <f t="shared" si="1541"/>
        <v>45991</v>
      </c>
      <c r="F11296" s="514"/>
      <c r="G11296" s="194" t="s">
        <v>1209</v>
      </c>
      <c r="H11296" s="195"/>
      <c r="I11296" s="195"/>
      <c r="J11296" s="191" t="s">
        <v>46</v>
      </c>
      <c r="K11296" s="196"/>
      <c r="L11296" s="196">
        <v>750000</v>
      </c>
    </row>
    <row r="11297" spans="1:15" x14ac:dyDescent="0.2">
      <c r="A11297" s="197">
        <v>2025</v>
      </c>
      <c r="B11297" s="197">
        <v>11</v>
      </c>
      <c r="C11297" s="197">
        <v>30</v>
      </c>
      <c r="D11297" s="198">
        <f t="shared" si="1532"/>
        <v>45991</v>
      </c>
      <c r="E11297" s="290">
        <f t="shared" si="1541"/>
        <v>45991</v>
      </c>
      <c r="F11297" s="513" t="s">
        <v>1514</v>
      </c>
      <c r="G11297" s="200" t="s">
        <v>1209</v>
      </c>
      <c r="H11297" s="201"/>
      <c r="I11297" s="201"/>
      <c r="J11297" s="197" t="s">
        <v>54</v>
      </c>
      <c r="K11297" s="202">
        <v>100</v>
      </c>
      <c r="L11297" s="202"/>
      <c r="M11297" s="251"/>
      <c r="N11297" s="251"/>
      <c r="O11297" s="251"/>
    </row>
    <row r="11298" spans="1:15" ht="11.25" customHeight="1" x14ac:dyDescent="0.2">
      <c r="A11298" s="191">
        <v>2025</v>
      </c>
      <c r="B11298" s="191">
        <v>11</v>
      </c>
      <c r="C11298" s="191">
        <v>30</v>
      </c>
      <c r="D11298" s="192">
        <f t="shared" si="1532"/>
        <v>45991</v>
      </c>
      <c r="E11298" s="291">
        <f t="shared" si="1541"/>
        <v>45991</v>
      </c>
      <c r="F11298" s="514"/>
      <c r="G11298" s="194" t="s">
        <v>1209</v>
      </c>
      <c r="H11298" s="195"/>
      <c r="I11298" s="195"/>
      <c r="J11298" s="191" t="s">
        <v>46</v>
      </c>
      <c r="K11298" s="196"/>
      <c r="L11298" s="196">
        <f>K11297</f>
        <v>100</v>
      </c>
      <c r="M11298" s="251"/>
    </row>
    <row r="11299" spans="1:15" x14ac:dyDescent="0.2">
      <c r="A11299" s="197">
        <v>2025</v>
      </c>
      <c r="B11299" s="197">
        <v>11</v>
      </c>
      <c r="C11299" s="120">
        <v>30</v>
      </c>
      <c r="D11299" s="198">
        <f t="shared" si="1532"/>
        <v>45991</v>
      </c>
      <c r="E11299" s="209">
        <f t="shared" si="1541"/>
        <v>45991</v>
      </c>
      <c r="F11299" s="513" t="s">
        <v>1296</v>
      </c>
      <c r="G11299" s="200" t="s">
        <v>1209</v>
      </c>
      <c r="H11299" s="201"/>
      <c r="I11299" s="201"/>
      <c r="J11299" s="197" t="s">
        <v>46</v>
      </c>
      <c r="K11299" s="202">
        <v>1000000</v>
      </c>
      <c r="L11299" s="202"/>
    </row>
    <row r="11300" spans="1:15" x14ac:dyDescent="0.2">
      <c r="A11300" s="120">
        <v>2025</v>
      </c>
      <c r="B11300" s="120">
        <v>11</v>
      </c>
      <c r="C11300" s="120">
        <v>30</v>
      </c>
      <c r="D11300" s="208">
        <f t="shared" si="1532"/>
        <v>45991</v>
      </c>
      <c r="E11300" s="209">
        <f t="shared" si="1541"/>
        <v>45991</v>
      </c>
      <c r="F11300" s="515"/>
      <c r="G11300" s="132" t="s">
        <v>1209</v>
      </c>
      <c r="J11300" s="120" t="s">
        <v>16</v>
      </c>
      <c r="K11300" s="207"/>
      <c r="L11300" s="207">
        <v>728860</v>
      </c>
    </row>
    <row r="11301" spans="1:15" x14ac:dyDescent="0.2">
      <c r="A11301" s="191">
        <v>2025</v>
      </c>
      <c r="B11301" s="191">
        <v>11</v>
      </c>
      <c r="C11301" s="191">
        <v>30</v>
      </c>
      <c r="D11301" s="192">
        <f t="shared" si="1532"/>
        <v>45991</v>
      </c>
      <c r="E11301" s="193">
        <f t="shared" si="1541"/>
        <v>45991</v>
      </c>
      <c r="F11301" s="514"/>
      <c r="G11301" s="194" t="s">
        <v>1209</v>
      </c>
      <c r="H11301" s="195"/>
      <c r="I11301" s="195"/>
      <c r="J11301" s="191" t="s">
        <v>47</v>
      </c>
      <c r="K11301" s="196"/>
      <c r="L11301" s="196">
        <v>271140</v>
      </c>
    </row>
    <row r="11302" spans="1:15" x14ac:dyDescent="0.2">
      <c r="A11302" s="424">
        <v>2025</v>
      </c>
      <c r="B11302" s="424">
        <v>11</v>
      </c>
      <c r="C11302" s="424">
        <v>30</v>
      </c>
      <c r="D11302" s="425">
        <f t="shared" si="1532"/>
        <v>45991</v>
      </c>
      <c r="E11302" s="384">
        <f t="shared" si="1541"/>
        <v>45991</v>
      </c>
      <c r="F11302" s="516" t="s">
        <v>1850</v>
      </c>
      <c r="G11302" s="426" t="s">
        <v>1209</v>
      </c>
      <c r="H11302" s="427"/>
      <c r="I11302" s="427"/>
      <c r="J11302" s="428" t="s">
        <v>81</v>
      </c>
      <c r="K11302" s="429">
        <v>1595.8173626373627</v>
      </c>
      <c r="L11302" s="429"/>
      <c r="M11302" s="455"/>
    </row>
    <row r="11303" spans="1:15" x14ac:dyDescent="0.2">
      <c r="A11303" s="389">
        <v>2025</v>
      </c>
      <c r="B11303" s="389">
        <v>11</v>
      </c>
      <c r="C11303" s="389">
        <v>30</v>
      </c>
      <c r="D11303" s="390">
        <f t="shared" si="1532"/>
        <v>45991</v>
      </c>
      <c r="E11303" s="391">
        <f t="shared" si="1541"/>
        <v>45991</v>
      </c>
      <c r="F11303" s="517"/>
      <c r="G11303" s="392" t="s">
        <v>1209</v>
      </c>
      <c r="H11303" s="393"/>
      <c r="I11303" s="393"/>
      <c r="J11303" s="394" t="s">
        <v>1847</v>
      </c>
      <c r="K11303" s="423"/>
      <c r="L11303" s="423">
        <f>K11302</f>
        <v>1595.8173626373627</v>
      </c>
    </row>
    <row r="11304" spans="1:15" ht="11.25" customHeight="1" x14ac:dyDescent="0.2">
      <c r="A11304" s="382">
        <v>2025</v>
      </c>
      <c r="B11304" s="382">
        <v>11</v>
      </c>
      <c r="C11304" s="382">
        <v>30</v>
      </c>
      <c r="D11304" s="383">
        <f t="shared" si="1532"/>
        <v>45991</v>
      </c>
      <c r="E11304" s="384">
        <f t="shared" si="1541"/>
        <v>45991</v>
      </c>
      <c r="F11304" s="516" t="s">
        <v>1892</v>
      </c>
      <c r="G11304" s="385" t="s">
        <v>1209</v>
      </c>
      <c r="H11304" s="386"/>
      <c r="I11304" s="386"/>
      <c r="J11304" s="387" t="s">
        <v>173</v>
      </c>
      <c r="K11304" s="388">
        <v>621.89595956994049</v>
      </c>
      <c r="L11304" s="388"/>
      <c r="M11304" s="455"/>
    </row>
    <row r="11305" spans="1:15" ht="11.25" customHeight="1" x14ac:dyDescent="0.2">
      <c r="A11305" s="389">
        <v>2025</v>
      </c>
      <c r="B11305" s="389">
        <v>11</v>
      </c>
      <c r="C11305" s="389">
        <v>30</v>
      </c>
      <c r="D11305" s="390">
        <f t="shared" si="1532"/>
        <v>45991</v>
      </c>
      <c r="E11305" s="391">
        <f t="shared" si="1541"/>
        <v>45991</v>
      </c>
      <c r="F11305" s="517"/>
      <c r="G11305" s="392" t="s">
        <v>1209</v>
      </c>
      <c r="H11305" s="393"/>
      <c r="I11305" s="393"/>
      <c r="J11305" s="394" t="s">
        <v>43</v>
      </c>
      <c r="K11305" s="388"/>
      <c r="L11305" s="423">
        <f>K11304</f>
        <v>621.89595956994049</v>
      </c>
    </row>
    <row r="11306" spans="1:15" ht="11.25" customHeight="1" x14ac:dyDescent="0.2">
      <c r="A11306" s="344">
        <v>2025</v>
      </c>
      <c r="B11306" s="344">
        <v>11</v>
      </c>
      <c r="C11306" s="344">
        <v>30</v>
      </c>
      <c r="D11306" s="345">
        <f t="shared" si="1532"/>
        <v>45991</v>
      </c>
      <c r="E11306" s="346">
        <f t="shared" si="1541"/>
        <v>45991</v>
      </c>
      <c r="F11306" s="518" t="s">
        <v>1982</v>
      </c>
      <c r="G11306" s="347" t="s">
        <v>1245</v>
      </c>
      <c r="H11306" s="348"/>
      <c r="I11306" s="348" t="s">
        <v>1253</v>
      </c>
      <c r="J11306" s="344" t="s">
        <v>1978</v>
      </c>
      <c r="K11306" s="349">
        <v>21249.725274725275</v>
      </c>
      <c r="L11306" s="349"/>
      <c r="M11306" s="455"/>
    </row>
    <row r="11307" spans="1:15" ht="11.25" customHeight="1" x14ac:dyDescent="0.2">
      <c r="A11307" s="350">
        <v>2025</v>
      </c>
      <c r="B11307" s="350">
        <v>11</v>
      </c>
      <c r="C11307" s="350">
        <v>30</v>
      </c>
      <c r="D11307" s="351">
        <f t="shared" si="1532"/>
        <v>45991</v>
      </c>
      <c r="E11307" s="352">
        <f t="shared" si="1541"/>
        <v>45991</v>
      </c>
      <c r="F11307" s="519"/>
      <c r="G11307" s="353" t="s">
        <v>1245</v>
      </c>
      <c r="H11307" s="354"/>
      <c r="I11307" s="354" t="s">
        <v>1253</v>
      </c>
      <c r="J11307" s="350" t="s">
        <v>1979</v>
      </c>
      <c r="K11307" s="355"/>
      <c r="L11307" s="355">
        <f>K11306</f>
        <v>21249.725274725275</v>
      </c>
    </row>
    <row r="11308" spans="1:15" ht="11.25" customHeight="1" x14ac:dyDescent="0.2">
      <c r="A11308" s="344">
        <v>2025</v>
      </c>
      <c r="B11308" s="344">
        <v>11</v>
      </c>
      <c r="C11308" s="344">
        <v>30</v>
      </c>
      <c r="D11308" s="345">
        <f t="shared" ref="D11308:D11371" si="1542">DATE(A11308,B11308,C11308)</f>
        <v>45991</v>
      </c>
      <c r="E11308" s="346">
        <f t="shared" si="1541"/>
        <v>45991</v>
      </c>
      <c r="F11308" s="518" t="s">
        <v>2009</v>
      </c>
      <c r="G11308" s="347" t="s">
        <v>1245</v>
      </c>
      <c r="H11308" s="348"/>
      <c r="I11308" s="348" t="s">
        <v>1253</v>
      </c>
      <c r="J11308" s="344" t="s">
        <v>2004</v>
      </c>
      <c r="K11308" s="349">
        <v>7098.9014285714284</v>
      </c>
      <c r="L11308" s="349"/>
      <c r="M11308" s="455"/>
    </row>
    <row r="11309" spans="1:15" ht="11.25" customHeight="1" x14ac:dyDescent="0.2">
      <c r="A11309" s="350">
        <v>2025</v>
      </c>
      <c r="B11309" s="350">
        <v>11</v>
      </c>
      <c r="C11309" s="350">
        <v>30</v>
      </c>
      <c r="D11309" s="351">
        <f t="shared" si="1542"/>
        <v>45991</v>
      </c>
      <c r="E11309" s="352">
        <f t="shared" si="1541"/>
        <v>45991</v>
      </c>
      <c r="F11309" s="519"/>
      <c r="G11309" s="353" t="s">
        <v>1245</v>
      </c>
      <c r="H11309" s="354"/>
      <c r="I11309" s="354" t="s">
        <v>1253</v>
      </c>
      <c r="J11309" s="350" t="s">
        <v>2008</v>
      </c>
      <c r="K11309" s="355"/>
      <c r="L11309" s="355">
        <f t="shared" ref="L11309" si="1543">K11308</f>
        <v>7098.9014285714284</v>
      </c>
    </row>
    <row r="11310" spans="1:15" ht="11.25" customHeight="1" x14ac:dyDescent="0.2">
      <c r="A11310" s="344">
        <v>2025</v>
      </c>
      <c r="B11310" s="344">
        <v>11</v>
      </c>
      <c r="C11310" s="344">
        <v>30</v>
      </c>
      <c r="D11310" s="345">
        <f t="shared" si="1542"/>
        <v>45991</v>
      </c>
      <c r="E11310" s="346">
        <f t="shared" si="1541"/>
        <v>45991</v>
      </c>
      <c r="F11310" s="518" t="s">
        <v>2009</v>
      </c>
      <c r="G11310" s="347" t="s">
        <v>1245</v>
      </c>
      <c r="H11310" s="348"/>
      <c r="I11310" s="348" t="s">
        <v>1253</v>
      </c>
      <c r="J11310" s="344" t="s">
        <v>2004</v>
      </c>
      <c r="K11310" s="349">
        <v>7098.9014285714284</v>
      </c>
      <c r="L11310" s="349"/>
      <c r="M11310" s="455"/>
    </row>
    <row r="11311" spans="1:15" ht="11.25" customHeight="1" x14ac:dyDescent="0.2">
      <c r="A11311" s="350">
        <v>2025</v>
      </c>
      <c r="B11311" s="350">
        <v>11</v>
      </c>
      <c r="C11311" s="350">
        <v>30</v>
      </c>
      <c r="D11311" s="351">
        <f t="shared" si="1542"/>
        <v>45991</v>
      </c>
      <c r="E11311" s="352">
        <f t="shared" si="1541"/>
        <v>45991</v>
      </c>
      <c r="F11311" s="519"/>
      <c r="G11311" s="353" t="s">
        <v>1245</v>
      </c>
      <c r="H11311" s="354"/>
      <c r="I11311" s="354" t="s">
        <v>1253</v>
      </c>
      <c r="J11311" s="350" t="s">
        <v>2008</v>
      </c>
      <c r="K11311" s="355"/>
      <c r="L11311" s="355">
        <f t="shared" ref="L11311" si="1544">K11310</f>
        <v>7098.9014285714284</v>
      </c>
    </row>
    <row r="11312" spans="1:15" ht="11.25" customHeight="1" x14ac:dyDescent="0.2">
      <c r="A11312" s="344">
        <v>2025</v>
      </c>
      <c r="B11312" s="344">
        <v>11</v>
      </c>
      <c r="C11312" s="344">
        <v>30</v>
      </c>
      <c r="D11312" s="345">
        <f t="shared" si="1542"/>
        <v>45991</v>
      </c>
      <c r="E11312" s="346">
        <f t="shared" si="1541"/>
        <v>45991</v>
      </c>
      <c r="F11312" s="518" t="s">
        <v>2088</v>
      </c>
      <c r="G11312" s="347" t="s">
        <v>1245</v>
      </c>
      <c r="H11312" s="348"/>
      <c r="I11312" s="348" t="s">
        <v>1253</v>
      </c>
      <c r="J11312" s="344" t="s">
        <v>2086</v>
      </c>
      <c r="K11312" s="349">
        <v>1789.835164835165</v>
      </c>
      <c r="L11312" s="349"/>
      <c r="M11312" s="455"/>
    </row>
    <row r="11313" spans="1:16" ht="11.25" customHeight="1" x14ac:dyDescent="0.2">
      <c r="A11313" s="350">
        <v>2025</v>
      </c>
      <c r="B11313" s="350">
        <v>11</v>
      </c>
      <c r="C11313" s="350">
        <v>30</v>
      </c>
      <c r="D11313" s="351">
        <f t="shared" si="1542"/>
        <v>45991</v>
      </c>
      <c r="E11313" s="352">
        <f t="shared" si="1541"/>
        <v>45991</v>
      </c>
      <c r="F11313" s="519"/>
      <c r="G11313" s="353" t="s">
        <v>1245</v>
      </c>
      <c r="H11313" s="354"/>
      <c r="I11313" s="354" t="s">
        <v>1253</v>
      </c>
      <c r="J11313" s="350" t="s">
        <v>2089</v>
      </c>
      <c r="K11313" s="355"/>
      <c r="L11313" s="355">
        <f>K11312</f>
        <v>1789.835164835165</v>
      </c>
    </row>
    <row r="11314" spans="1:16" ht="11.25" customHeight="1" x14ac:dyDescent="0.2">
      <c r="A11314" s="344">
        <v>2025</v>
      </c>
      <c r="B11314" s="344">
        <v>11</v>
      </c>
      <c r="C11314" s="344">
        <v>30</v>
      </c>
      <c r="D11314" s="345">
        <f t="shared" si="1542"/>
        <v>45991</v>
      </c>
      <c r="E11314" s="346">
        <f>DATE(A11314,B11314,C11314)</f>
        <v>45991</v>
      </c>
      <c r="F11314" s="518" t="s">
        <v>1988</v>
      </c>
      <c r="G11314" s="347" t="s">
        <v>1245</v>
      </c>
      <c r="H11314" s="348"/>
      <c r="I11314" s="348" t="s">
        <v>1253</v>
      </c>
      <c r="J11314" s="344" t="s">
        <v>113</v>
      </c>
      <c r="K11314" s="349">
        <v>4692.3071428571429</v>
      </c>
      <c r="L11314" s="349"/>
      <c r="M11314" s="455"/>
    </row>
    <row r="11315" spans="1:16" ht="11.25" customHeight="1" x14ac:dyDescent="0.2">
      <c r="A11315" s="350">
        <v>2025</v>
      </c>
      <c r="B11315" s="350">
        <v>11</v>
      </c>
      <c r="C11315" s="350">
        <v>30</v>
      </c>
      <c r="D11315" s="351">
        <f t="shared" si="1542"/>
        <v>45991</v>
      </c>
      <c r="E11315" s="352">
        <f>DATE(A11315,B11315,C11315)</f>
        <v>45991</v>
      </c>
      <c r="F11315" s="519"/>
      <c r="G11315" s="353" t="s">
        <v>1245</v>
      </c>
      <c r="H11315" s="354"/>
      <c r="I11315" s="354" t="s">
        <v>1253</v>
      </c>
      <c r="J11315" s="350" t="s">
        <v>153</v>
      </c>
      <c r="K11315" s="355"/>
      <c r="L11315" s="355">
        <f t="shared" ref="L11315" si="1545">K11314</f>
        <v>4692.3071428571429</v>
      </c>
    </row>
    <row r="11316" spans="1:16" ht="11.25" customHeight="1" x14ac:dyDescent="0.2">
      <c r="A11316" s="344">
        <v>2025</v>
      </c>
      <c r="B11316" s="344">
        <v>11</v>
      </c>
      <c r="C11316" s="344">
        <v>30</v>
      </c>
      <c r="D11316" s="345">
        <f t="shared" si="1542"/>
        <v>45991</v>
      </c>
      <c r="E11316" s="346">
        <f t="shared" ref="E11316:E11322" si="1546">DATE(A11316,B11316,C11316)</f>
        <v>45991</v>
      </c>
      <c r="F11316" s="518" t="s">
        <v>1989</v>
      </c>
      <c r="G11316" s="347" t="s">
        <v>1245</v>
      </c>
      <c r="H11316" s="348"/>
      <c r="I11316" s="348" t="s">
        <v>1253</v>
      </c>
      <c r="J11316" s="344" t="s">
        <v>113</v>
      </c>
      <c r="K11316" s="349">
        <v>3351.6483516483518</v>
      </c>
      <c r="L11316" s="349"/>
      <c r="M11316" s="455"/>
    </row>
    <row r="11317" spans="1:16" ht="11.25" customHeight="1" x14ac:dyDescent="0.2">
      <c r="A11317" s="350">
        <v>2025</v>
      </c>
      <c r="B11317" s="350">
        <v>11</v>
      </c>
      <c r="C11317" s="350">
        <v>30</v>
      </c>
      <c r="D11317" s="351">
        <f t="shared" si="1542"/>
        <v>45991</v>
      </c>
      <c r="E11317" s="352">
        <f t="shared" si="1546"/>
        <v>45991</v>
      </c>
      <c r="F11317" s="519"/>
      <c r="G11317" s="353" t="s">
        <v>1245</v>
      </c>
      <c r="H11317" s="354"/>
      <c r="I11317" s="354" t="s">
        <v>1253</v>
      </c>
      <c r="J11317" s="350" t="s">
        <v>153</v>
      </c>
      <c r="K11317" s="355"/>
      <c r="L11317" s="355">
        <f t="shared" ref="L11317" si="1547">K11316</f>
        <v>3351.6483516483518</v>
      </c>
    </row>
    <row r="11318" spans="1:16" ht="11.25" customHeight="1" x14ac:dyDescent="0.2">
      <c r="A11318" s="344">
        <v>2025</v>
      </c>
      <c r="B11318" s="344">
        <v>11</v>
      </c>
      <c r="C11318" s="344">
        <v>30</v>
      </c>
      <c r="D11318" s="345">
        <f t="shared" si="1542"/>
        <v>45991</v>
      </c>
      <c r="E11318" s="346">
        <f t="shared" si="1546"/>
        <v>45991</v>
      </c>
      <c r="F11318" s="518" t="s">
        <v>1990</v>
      </c>
      <c r="G11318" s="347" t="s">
        <v>1245</v>
      </c>
      <c r="H11318" s="348"/>
      <c r="I11318" s="348" t="s">
        <v>1253</v>
      </c>
      <c r="J11318" s="344" t="s">
        <v>113</v>
      </c>
      <c r="K11318" s="349">
        <v>10054.945714285714</v>
      </c>
      <c r="L11318" s="349"/>
      <c r="M11318" s="455"/>
      <c r="N11318" s="251"/>
      <c r="O11318" s="251"/>
      <c r="P11318" s="251"/>
    </row>
    <row r="11319" spans="1:16" ht="11.25" customHeight="1" x14ac:dyDescent="0.2">
      <c r="A11319" s="350">
        <v>2025</v>
      </c>
      <c r="B11319" s="350">
        <v>11</v>
      </c>
      <c r="C11319" s="350">
        <v>30</v>
      </c>
      <c r="D11319" s="351">
        <f t="shared" si="1542"/>
        <v>45991</v>
      </c>
      <c r="E11319" s="352">
        <f t="shared" si="1546"/>
        <v>45991</v>
      </c>
      <c r="F11319" s="519"/>
      <c r="G11319" s="353" t="s">
        <v>1245</v>
      </c>
      <c r="H11319" s="354"/>
      <c r="I11319" s="354" t="s">
        <v>1253</v>
      </c>
      <c r="J11319" s="350" t="s">
        <v>153</v>
      </c>
      <c r="K11319" s="355"/>
      <c r="L11319" s="355">
        <f t="shared" ref="L11319" si="1548">K11318</f>
        <v>10054.945714285714</v>
      </c>
    </row>
    <row r="11320" spans="1:16" ht="11.25" customHeight="1" x14ac:dyDescent="0.2">
      <c r="A11320" s="344">
        <v>2025</v>
      </c>
      <c r="B11320" s="344">
        <v>11</v>
      </c>
      <c r="C11320" s="344">
        <v>30</v>
      </c>
      <c r="D11320" s="345">
        <f t="shared" si="1542"/>
        <v>45991</v>
      </c>
      <c r="E11320" s="346">
        <f t="shared" si="1546"/>
        <v>45991</v>
      </c>
      <c r="F11320" s="518" t="s">
        <v>2107</v>
      </c>
      <c r="G11320" s="347" t="s">
        <v>1245</v>
      </c>
      <c r="H11320" s="348"/>
      <c r="I11320" s="348" t="s">
        <v>1253</v>
      </c>
      <c r="J11320" s="344" t="s">
        <v>113</v>
      </c>
      <c r="K11320" s="349">
        <v>12370.879120879121</v>
      </c>
      <c r="L11320" s="349"/>
      <c r="M11320" s="455"/>
      <c r="N11320" s="251"/>
      <c r="O11320" s="251"/>
      <c r="P11320" s="251"/>
    </row>
    <row r="11321" spans="1:16" ht="11.25" customHeight="1" x14ac:dyDescent="0.2">
      <c r="A11321" s="350">
        <v>2025</v>
      </c>
      <c r="B11321" s="350">
        <v>11</v>
      </c>
      <c r="C11321" s="350">
        <v>30</v>
      </c>
      <c r="D11321" s="351">
        <f t="shared" si="1542"/>
        <v>45991</v>
      </c>
      <c r="E11321" s="352">
        <f t="shared" si="1546"/>
        <v>45991</v>
      </c>
      <c r="F11321" s="519"/>
      <c r="G11321" s="353" t="s">
        <v>1245</v>
      </c>
      <c r="H11321" s="354"/>
      <c r="I11321" s="354" t="s">
        <v>1253</v>
      </c>
      <c r="J11321" s="350" t="s">
        <v>153</v>
      </c>
      <c r="K11321" s="355"/>
      <c r="L11321" s="355">
        <f t="shared" ref="L11321" si="1549">K11320</f>
        <v>12370.879120879121</v>
      </c>
    </row>
    <row r="11322" spans="1:16" ht="11.25" customHeight="1" x14ac:dyDescent="0.2">
      <c r="A11322" s="210">
        <v>2025</v>
      </c>
      <c r="B11322" s="210">
        <v>11</v>
      </c>
      <c r="C11322" s="210">
        <v>30</v>
      </c>
      <c r="D11322" s="211">
        <f t="shared" si="1542"/>
        <v>45991</v>
      </c>
      <c r="E11322" s="238">
        <f t="shared" si="1546"/>
        <v>45991</v>
      </c>
      <c r="F11322" s="520" t="s">
        <v>1857</v>
      </c>
      <c r="G11322" s="213" t="s">
        <v>1245</v>
      </c>
      <c r="H11322" s="214"/>
      <c r="I11322" s="214" t="s">
        <v>1253</v>
      </c>
      <c r="J11322" s="210" t="s">
        <v>1284</v>
      </c>
      <c r="K11322" s="215">
        <v>334.54448777029421</v>
      </c>
      <c r="L11322" s="215"/>
      <c r="M11322" s="455"/>
    </row>
    <row r="11323" spans="1:16" ht="11.25" customHeight="1" x14ac:dyDescent="0.2">
      <c r="A11323" s="242">
        <v>2025</v>
      </c>
      <c r="B11323" s="242">
        <v>11</v>
      </c>
      <c r="C11323" s="242">
        <v>30</v>
      </c>
      <c r="D11323" s="243">
        <f t="shared" si="1542"/>
        <v>45991</v>
      </c>
      <c r="E11323" s="244">
        <f>DATE(A11323,B11323,C11323)</f>
        <v>45991</v>
      </c>
      <c r="F11323" s="524"/>
      <c r="G11323" s="245" t="s">
        <v>1245</v>
      </c>
      <c r="H11323" s="246"/>
      <c r="I11323" s="246"/>
      <c r="J11323" s="242" t="s">
        <v>1582</v>
      </c>
      <c r="K11323" s="247"/>
      <c r="L11323" s="247">
        <f>K11322</f>
        <v>334.54448777029421</v>
      </c>
    </row>
    <row r="11324" spans="1:16" ht="11.25" customHeight="1" x14ac:dyDescent="0.2">
      <c r="A11324" s="210">
        <v>2025</v>
      </c>
      <c r="B11324" s="210">
        <v>11</v>
      </c>
      <c r="C11324" s="210">
        <v>30</v>
      </c>
      <c r="D11324" s="211">
        <f t="shared" si="1542"/>
        <v>45991</v>
      </c>
      <c r="E11324" s="238">
        <f t="shared" ref="E11324:E11355" si="1550">DATE(A11324,B11324,C11324)</f>
        <v>45991</v>
      </c>
      <c r="F11324" s="520" t="s">
        <v>2055</v>
      </c>
      <c r="G11324" s="213" t="s">
        <v>1245</v>
      </c>
      <c r="H11324" s="214"/>
      <c r="I11324" s="214" t="s">
        <v>1253</v>
      </c>
      <c r="J11324" s="210" t="s">
        <v>58</v>
      </c>
      <c r="K11324" s="215">
        <v>2585.6799999999998</v>
      </c>
      <c r="L11324" s="215"/>
    </row>
    <row r="11325" spans="1:16" ht="11.25" customHeight="1" x14ac:dyDescent="0.2">
      <c r="A11325" s="216">
        <v>2025</v>
      </c>
      <c r="B11325" s="216">
        <v>11</v>
      </c>
      <c r="C11325" s="216">
        <v>30</v>
      </c>
      <c r="D11325" s="217">
        <f t="shared" si="1542"/>
        <v>45991</v>
      </c>
      <c r="E11325" s="239">
        <f t="shared" si="1550"/>
        <v>45991</v>
      </c>
      <c r="F11325" s="521"/>
      <c r="G11325" s="219" t="s">
        <v>1245</v>
      </c>
      <c r="H11325" s="220"/>
      <c r="I11325" s="220" t="s">
        <v>1253</v>
      </c>
      <c r="J11325" s="216" t="s">
        <v>153</v>
      </c>
      <c r="K11325" s="221"/>
      <c r="L11325" s="221">
        <f>K11324</f>
        <v>2585.6799999999998</v>
      </c>
    </row>
    <row r="11326" spans="1:16" ht="11.25" customHeight="1" x14ac:dyDescent="0.2">
      <c r="A11326" s="312">
        <v>2025</v>
      </c>
      <c r="B11326" s="312">
        <v>11</v>
      </c>
      <c r="C11326" s="312">
        <v>30</v>
      </c>
      <c r="D11326" s="313">
        <f t="shared" si="1542"/>
        <v>45991</v>
      </c>
      <c r="E11326" s="314">
        <f t="shared" si="1550"/>
        <v>45991</v>
      </c>
      <c r="F11326" s="522" t="s">
        <v>1477</v>
      </c>
      <c r="G11326" s="315" t="s">
        <v>1245</v>
      </c>
      <c r="H11326" s="316"/>
      <c r="I11326" s="316" t="s">
        <v>1253</v>
      </c>
      <c r="J11326" s="312" t="s">
        <v>1458</v>
      </c>
      <c r="K11326" s="317">
        <v>0</v>
      </c>
      <c r="L11326" s="317"/>
    </row>
    <row r="11327" spans="1:16" ht="11.25" customHeight="1" x14ac:dyDescent="0.2">
      <c r="A11327" s="318">
        <v>2025</v>
      </c>
      <c r="B11327" s="318">
        <v>11</v>
      </c>
      <c r="C11327" s="318">
        <v>30</v>
      </c>
      <c r="D11327" s="319">
        <f t="shared" si="1542"/>
        <v>45991</v>
      </c>
      <c r="E11327" s="320">
        <f t="shared" si="1550"/>
        <v>45991</v>
      </c>
      <c r="F11327" s="523"/>
      <c r="G11327" s="321" t="s">
        <v>1245</v>
      </c>
      <c r="H11327" s="322"/>
      <c r="I11327" s="322" t="s">
        <v>1253</v>
      </c>
      <c r="J11327" s="318" t="s">
        <v>1460</v>
      </c>
      <c r="K11327" s="323"/>
      <c r="L11327" s="323">
        <f>K11326</f>
        <v>0</v>
      </c>
    </row>
    <row r="11328" spans="1:16" ht="11.25" customHeight="1" x14ac:dyDescent="0.2">
      <c r="A11328" s="312">
        <v>2025</v>
      </c>
      <c r="B11328" s="312">
        <v>11</v>
      </c>
      <c r="C11328" s="312">
        <v>30</v>
      </c>
      <c r="D11328" s="313">
        <f t="shared" si="1542"/>
        <v>45991</v>
      </c>
      <c r="E11328" s="314">
        <f t="shared" si="1550"/>
        <v>45991</v>
      </c>
      <c r="F11328" s="522" t="s">
        <v>1595</v>
      </c>
      <c r="G11328" s="315" t="s">
        <v>1245</v>
      </c>
      <c r="H11328" s="316"/>
      <c r="I11328" s="316" t="s">
        <v>1253</v>
      </c>
      <c r="J11328" s="312" t="s">
        <v>1461</v>
      </c>
      <c r="K11328" s="317">
        <v>94852.094999969006</v>
      </c>
      <c r="L11328" s="317"/>
      <c r="M11328" s="328">
        <f>BS!$I$14</f>
        <v>0</v>
      </c>
    </row>
    <row r="11329" spans="1:15" ht="11.25" customHeight="1" x14ac:dyDescent="0.2">
      <c r="A11329" s="318">
        <v>2025</v>
      </c>
      <c r="B11329" s="318">
        <v>11</v>
      </c>
      <c r="C11329" s="318">
        <v>30</v>
      </c>
      <c r="D11329" s="319">
        <f t="shared" si="1542"/>
        <v>45991</v>
      </c>
      <c r="E11329" s="320">
        <f t="shared" si="1550"/>
        <v>45991</v>
      </c>
      <c r="F11329" s="523"/>
      <c r="G11329" s="321" t="s">
        <v>1245</v>
      </c>
      <c r="H11329" s="322"/>
      <c r="I11329" s="322" t="s">
        <v>1253</v>
      </c>
      <c r="J11329" s="318" t="s">
        <v>1459</v>
      </c>
      <c r="K11329" s="323"/>
      <c r="L11329" s="323">
        <f>K11328</f>
        <v>94852.094999969006</v>
      </c>
      <c r="M11329" s="328"/>
    </row>
    <row r="11330" spans="1:15" ht="11.25" customHeight="1" x14ac:dyDescent="0.2">
      <c r="A11330" s="222">
        <v>2025</v>
      </c>
      <c r="B11330" s="222">
        <v>11</v>
      </c>
      <c r="C11330" s="222">
        <v>30</v>
      </c>
      <c r="D11330" s="223">
        <f t="shared" si="1542"/>
        <v>45991</v>
      </c>
      <c r="E11330" s="240">
        <f t="shared" si="1550"/>
        <v>45991</v>
      </c>
      <c r="F11330" s="511" t="s">
        <v>1244</v>
      </c>
      <c r="G11330" s="225" t="s">
        <v>1245</v>
      </c>
      <c r="H11330" s="226"/>
      <c r="I11330" s="226" t="s">
        <v>1253</v>
      </c>
      <c r="J11330" s="222" t="s">
        <v>87</v>
      </c>
      <c r="K11330" s="227">
        <v>5213</v>
      </c>
      <c r="L11330" s="227"/>
      <c r="M11330" s="328">
        <f>BS!$I$7</f>
        <v>0</v>
      </c>
    </row>
    <row r="11331" spans="1:15" ht="11.25" customHeight="1" x14ac:dyDescent="0.2">
      <c r="A11331" s="228">
        <v>2025</v>
      </c>
      <c r="B11331" s="228">
        <v>11</v>
      </c>
      <c r="C11331" s="228">
        <v>30</v>
      </c>
      <c r="D11331" s="229">
        <f t="shared" si="1542"/>
        <v>45991</v>
      </c>
      <c r="E11331" s="241">
        <f t="shared" si="1550"/>
        <v>45991</v>
      </c>
      <c r="F11331" s="512"/>
      <c r="G11331" s="231" t="s">
        <v>1245</v>
      </c>
      <c r="H11331" s="232"/>
      <c r="I11331" s="232" t="s">
        <v>1253</v>
      </c>
      <c r="J11331" s="228" t="s">
        <v>72</v>
      </c>
      <c r="K11331" s="233"/>
      <c r="L11331" s="233">
        <f>K11330</f>
        <v>5213</v>
      </c>
    </row>
    <row r="11332" spans="1:15" ht="11.25" customHeight="1" x14ac:dyDescent="0.2">
      <c r="A11332" s="222">
        <v>2025</v>
      </c>
      <c r="B11332" s="222">
        <v>11</v>
      </c>
      <c r="C11332" s="222">
        <v>30</v>
      </c>
      <c r="D11332" s="223">
        <f t="shared" si="1542"/>
        <v>45991</v>
      </c>
      <c r="E11332" s="240">
        <f t="shared" si="1550"/>
        <v>45991</v>
      </c>
      <c r="F11332" s="511" t="s">
        <v>1246</v>
      </c>
      <c r="G11332" s="225" t="s">
        <v>1245</v>
      </c>
      <c r="H11332" s="226"/>
      <c r="I11332" s="226" t="s">
        <v>1253</v>
      </c>
      <c r="J11332" s="222" t="s">
        <v>75</v>
      </c>
      <c r="K11332" s="227">
        <v>517.58912087912086</v>
      </c>
      <c r="L11332" s="227"/>
    </row>
    <row r="11333" spans="1:15" ht="11.25" customHeight="1" x14ac:dyDescent="0.2">
      <c r="A11333" s="228">
        <v>2025</v>
      </c>
      <c r="B11333" s="228">
        <v>11</v>
      </c>
      <c r="C11333" s="228">
        <v>30</v>
      </c>
      <c r="D11333" s="229">
        <f t="shared" si="1542"/>
        <v>45991</v>
      </c>
      <c r="E11333" s="241">
        <f t="shared" si="1550"/>
        <v>45991</v>
      </c>
      <c r="F11333" s="512"/>
      <c r="G11333" s="231" t="s">
        <v>1245</v>
      </c>
      <c r="H11333" s="232"/>
      <c r="I11333" s="232" t="s">
        <v>1253</v>
      </c>
      <c r="J11333" s="228" t="s">
        <v>55</v>
      </c>
      <c r="K11333" s="233"/>
      <c r="L11333" s="233">
        <f>K11332</f>
        <v>517.58912087912086</v>
      </c>
    </row>
    <row r="11334" spans="1:15" ht="11.25" customHeight="1" x14ac:dyDescent="0.2">
      <c r="A11334" s="222">
        <v>2025</v>
      </c>
      <c r="B11334" s="222">
        <v>11</v>
      </c>
      <c r="C11334" s="222">
        <v>30</v>
      </c>
      <c r="D11334" s="223">
        <f t="shared" si="1542"/>
        <v>45991</v>
      </c>
      <c r="E11334" s="240">
        <f t="shared" si="1550"/>
        <v>45991</v>
      </c>
      <c r="F11334" s="511" t="s">
        <v>1247</v>
      </c>
      <c r="G11334" s="225" t="s">
        <v>1245</v>
      </c>
      <c r="H11334" s="226"/>
      <c r="I11334" s="226" t="s">
        <v>1253</v>
      </c>
      <c r="J11334" s="222" t="s">
        <v>77</v>
      </c>
      <c r="K11334" s="227">
        <f>M11334</f>
        <v>7482.1641608923737</v>
      </c>
      <c r="L11334" s="227"/>
      <c r="M11334" s="120">
        <v>7482.1641608923737</v>
      </c>
    </row>
    <row r="11335" spans="1:15" ht="11.25" customHeight="1" x14ac:dyDescent="0.2">
      <c r="A11335" s="228">
        <v>2025</v>
      </c>
      <c r="B11335" s="228">
        <v>11</v>
      </c>
      <c r="C11335" s="228">
        <v>30</v>
      </c>
      <c r="D11335" s="229">
        <f t="shared" si="1542"/>
        <v>45991</v>
      </c>
      <c r="E11335" s="241">
        <f t="shared" si="1550"/>
        <v>45991</v>
      </c>
      <c r="F11335" s="512"/>
      <c r="G11335" s="231" t="s">
        <v>1245</v>
      </c>
      <c r="H11335" s="232"/>
      <c r="I11335" s="232" t="s">
        <v>1253</v>
      </c>
      <c r="J11335" s="228" t="s">
        <v>41</v>
      </c>
      <c r="K11335" s="233"/>
      <c r="L11335" s="233">
        <f>K11334</f>
        <v>7482.1641608923737</v>
      </c>
      <c r="M11335" s="120">
        <v>748.21641608923744</v>
      </c>
      <c r="N11335" s="251"/>
    </row>
    <row r="11336" spans="1:15" ht="11.25" customHeight="1" x14ac:dyDescent="0.2">
      <c r="A11336" s="222">
        <v>2025</v>
      </c>
      <c r="B11336" s="222">
        <v>11</v>
      </c>
      <c r="C11336" s="222">
        <v>30</v>
      </c>
      <c r="D11336" s="223">
        <f t="shared" si="1542"/>
        <v>45991</v>
      </c>
      <c r="E11336" s="240">
        <f t="shared" si="1550"/>
        <v>45991</v>
      </c>
      <c r="F11336" s="511" t="s">
        <v>1248</v>
      </c>
      <c r="G11336" s="225" t="s">
        <v>1245</v>
      </c>
      <c r="H11336" s="226"/>
      <c r="I11336" s="226" t="s">
        <v>1253</v>
      </c>
      <c r="J11336" s="222" t="s">
        <v>80</v>
      </c>
      <c r="K11336" s="227">
        <f>M11335</f>
        <v>748.21641608923744</v>
      </c>
      <c r="L11336" s="227"/>
      <c r="N11336" s="251"/>
      <c r="O11336" s="251"/>
    </row>
    <row r="11337" spans="1:15" ht="11.25" customHeight="1" x14ac:dyDescent="0.2">
      <c r="A11337" s="228">
        <v>2025</v>
      </c>
      <c r="B11337" s="228">
        <v>11</v>
      </c>
      <c r="C11337" s="228">
        <v>30</v>
      </c>
      <c r="D11337" s="229">
        <f t="shared" si="1542"/>
        <v>45991</v>
      </c>
      <c r="E11337" s="241">
        <f t="shared" si="1550"/>
        <v>45991</v>
      </c>
      <c r="F11337" s="512"/>
      <c r="G11337" s="231" t="s">
        <v>1245</v>
      </c>
      <c r="H11337" s="232"/>
      <c r="I11337" s="232" t="s">
        <v>1253</v>
      </c>
      <c r="J11337" s="228" t="s">
        <v>42</v>
      </c>
      <c r="K11337" s="233"/>
      <c r="L11337" s="233">
        <f>K11336</f>
        <v>748.21641608923744</v>
      </c>
    </row>
    <row r="11338" spans="1:15" x14ac:dyDescent="0.2">
      <c r="A11338" s="197">
        <v>2025</v>
      </c>
      <c r="B11338" s="197">
        <v>12</v>
      </c>
      <c r="C11338" s="197">
        <v>1</v>
      </c>
      <c r="D11338" s="198">
        <f t="shared" si="1542"/>
        <v>45992</v>
      </c>
      <c r="E11338" s="209">
        <f t="shared" si="1550"/>
        <v>45992</v>
      </c>
      <c r="F11338" s="513" t="s">
        <v>1280</v>
      </c>
      <c r="G11338" s="200" t="s">
        <v>1209</v>
      </c>
      <c r="H11338" s="201"/>
      <c r="I11338" s="201"/>
      <c r="J11338" s="197" t="s">
        <v>16</v>
      </c>
      <c r="K11338" s="202">
        <v>190790</v>
      </c>
      <c r="L11338" s="202"/>
    </row>
    <row r="11339" spans="1:15" x14ac:dyDescent="0.2">
      <c r="A11339" s="120">
        <v>2025</v>
      </c>
      <c r="B11339" s="120">
        <v>12</v>
      </c>
      <c r="C11339" s="120">
        <v>1</v>
      </c>
      <c r="D11339" s="208">
        <f t="shared" si="1542"/>
        <v>45992</v>
      </c>
      <c r="E11339" s="209">
        <f t="shared" si="1550"/>
        <v>45992</v>
      </c>
      <c r="F11339" s="515"/>
      <c r="G11339" s="132" t="s">
        <v>1209</v>
      </c>
      <c r="J11339" s="120" t="s">
        <v>47</v>
      </c>
      <c r="K11339" s="207">
        <v>71847.520000000004</v>
      </c>
      <c r="L11339" s="207"/>
    </row>
    <row r="11340" spans="1:15" x14ac:dyDescent="0.2">
      <c r="A11340" s="191">
        <v>2025</v>
      </c>
      <c r="B11340" s="191">
        <v>12</v>
      </c>
      <c r="C11340" s="191">
        <v>1</v>
      </c>
      <c r="D11340" s="192">
        <f t="shared" si="1542"/>
        <v>45992</v>
      </c>
      <c r="E11340" s="193">
        <f t="shared" si="1550"/>
        <v>45992</v>
      </c>
      <c r="F11340" s="514"/>
      <c r="G11340" s="194" t="s">
        <v>1209</v>
      </c>
      <c r="H11340" s="195"/>
      <c r="I11340" s="195"/>
      <c r="J11340" s="191" t="s">
        <v>46</v>
      </c>
      <c r="K11340" s="196"/>
      <c r="L11340" s="196">
        <v>262637.52</v>
      </c>
    </row>
    <row r="11341" spans="1:15" x14ac:dyDescent="0.2">
      <c r="A11341" s="197">
        <v>2025</v>
      </c>
      <c r="B11341" s="197">
        <v>12</v>
      </c>
      <c r="C11341" s="197">
        <v>1</v>
      </c>
      <c r="D11341" s="198">
        <f t="shared" si="1542"/>
        <v>45992</v>
      </c>
      <c r="E11341" s="209">
        <f t="shared" ref="E11341:E11343" si="1551">DATE(A11341,B11341,C11341)</f>
        <v>45992</v>
      </c>
      <c r="F11341" s="513" t="s">
        <v>1210</v>
      </c>
      <c r="G11341" s="200" t="s">
        <v>1209</v>
      </c>
      <c r="H11341" s="201"/>
      <c r="I11341" s="201"/>
      <c r="J11341" s="197" t="s">
        <v>46</v>
      </c>
      <c r="K11341" s="202">
        <v>10000</v>
      </c>
      <c r="L11341" s="202"/>
    </row>
    <row r="11342" spans="1:15" x14ac:dyDescent="0.2">
      <c r="A11342" s="120">
        <v>2025</v>
      </c>
      <c r="B11342" s="120">
        <v>12</v>
      </c>
      <c r="C11342" s="120">
        <v>1</v>
      </c>
      <c r="D11342" s="208">
        <f t="shared" si="1542"/>
        <v>45992</v>
      </c>
      <c r="E11342" s="209">
        <f t="shared" si="1551"/>
        <v>45992</v>
      </c>
      <c r="F11342" s="515"/>
      <c r="G11342" s="132" t="s">
        <v>1209</v>
      </c>
      <c r="J11342" s="120" t="s">
        <v>16</v>
      </c>
      <c r="K11342" s="207"/>
      <c r="L11342" s="207">
        <v>7260</v>
      </c>
    </row>
    <row r="11343" spans="1:15" x14ac:dyDescent="0.2">
      <c r="A11343" s="191">
        <v>2025</v>
      </c>
      <c r="B11343" s="191">
        <v>12</v>
      </c>
      <c r="C11343" s="191">
        <v>1</v>
      </c>
      <c r="D11343" s="192">
        <f t="shared" si="1542"/>
        <v>45992</v>
      </c>
      <c r="E11343" s="193">
        <f t="shared" si="1551"/>
        <v>45992</v>
      </c>
      <c r="F11343" s="514"/>
      <c r="G11343" s="194" t="s">
        <v>1209</v>
      </c>
      <c r="H11343" s="195"/>
      <c r="I11343" s="195"/>
      <c r="J11343" s="191" t="s">
        <v>47</v>
      </c>
      <c r="K11343" s="196"/>
      <c r="L11343" s="196">
        <v>2740</v>
      </c>
    </row>
    <row r="11344" spans="1:15" x14ac:dyDescent="0.2">
      <c r="A11344" s="424">
        <v>2025</v>
      </c>
      <c r="B11344" s="424">
        <v>12</v>
      </c>
      <c r="C11344" s="424">
        <v>1</v>
      </c>
      <c r="D11344" s="425">
        <f t="shared" si="1542"/>
        <v>45992</v>
      </c>
      <c r="E11344" s="384">
        <f t="shared" si="1550"/>
        <v>45992</v>
      </c>
      <c r="F11344" s="516" t="s">
        <v>1850</v>
      </c>
      <c r="G11344" s="426" t="s">
        <v>1209</v>
      </c>
      <c r="H11344" s="427"/>
      <c r="I11344" s="427"/>
      <c r="J11344" s="428" t="s">
        <v>81</v>
      </c>
      <c r="K11344" s="429">
        <v>1595.8173626373627</v>
      </c>
      <c r="L11344" s="429"/>
      <c r="M11344" s="455"/>
    </row>
    <row r="11345" spans="1:16" x14ac:dyDescent="0.2">
      <c r="A11345" s="389">
        <v>2025</v>
      </c>
      <c r="B11345" s="389">
        <v>12</v>
      </c>
      <c r="C11345" s="389">
        <v>1</v>
      </c>
      <c r="D11345" s="390">
        <f t="shared" si="1542"/>
        <v>45992</v>
      </c>
      <c r="E11345" s="391">
        <f t="shared" si="1550"/>
        <v>45992</v>
      </c>
      <c r="F11345" s="517"/>
      <c r="G11345" s="392" t="s">
        <v>1209</v>
      </c>
      <c r="H11345" s="393"/>
      <c r="I11345" s="393"/>
      <c r="J11345" s="394" t="s">
        <v>1847</v>
      </c>
      <c r="K11345" s="423"/>
      <c r="L11345" s="423">
        <f>K11344</f>
        <v>1595.8173626373627</v>
      </c>
    </row>
    <row r="11346" spans="1:16" ht="11.25" customHeight="1" x14ac:dyDescent="0.2">
      <c r="A11346" s="382">
        <v>2025</v>
      </c>
      <c r="B11346" s="382">
        <v>12</v>
      </c>
      <c r="C11346" s="382">
        <v>1</v>
      </c>
      <c r="D11346" s="383">
        <f t="shared" si="1542"/>
        <v>45992</v>
      </c>
      <c r="E11346" s="384">
        <f t="shared" si="1550"/>
        <v>45992</v>
      </c>
      <c r="F11346" s="516" t="s">
        <v>1892</v>
      </c>
      <c r="G11346" s="385" t="s">
        <v>1209</v>
      </c>
      <c r="H11346" s="386"/>
      <c r="I11346" s="386"/>
      <c r="J11346" s="387" t="s">
        <v>173</v>
      </c>
      <c r="K11346" s="388">
        <v>619.428426688988</v>
      </c>
      <c r="L11346" s="388"/>
      <c r="M11346" s="455"/>
    </row>
    <row r="11347" spans="1:16" ht="11.25" customHeight="1" x14ac:dyDescent="0.2">
      <c r="A11347" s="389">
        <v>2025</v>
      </c>
      <c r="B11347" s="389">
        <v>12</v>
      </c>
      <c r="C11347" s="389">
        <v>1</v>
      </c>
      <c r="D11347" s="390">
        <f t="shared" si="1542"/>
        <v>45992</v>
      </c>
      <c r="E11347" s="391">
        <f t="shared" si="1550"/>
        <v>45992</v>
      </c>
      <c r="F11347" s="517"/>
      <c r="G11347" s="392" t="s">
        <v>1209</v>
      </c>
      <c r="H11347" s="393"/>
      <c r="I11347" s="393"/>
      <c r="J11347" s="394" t="s">
        <v>43</v>
      </c>
      <c r="K11347" s="388"/>
      <c r="L11347" s="423">
        <f>K11346</f>
        <v>619.428426688988</v>
      </c>
    </row>
    <row r="11348" spans="1:16" ht="11.25" customHeight="1" x14ac:dyDescent="0.2">
      <c r="A11348" s="344">
        <v>2025</v>
      </c>
      <c r="B11348" s="344">
        <v>12</v>
      </c>
      <c r="C11348" s="344">
        <v>1</v>
      </c>
      <c r="D11348" s="345">
        <f t="shared" si="1542"/>
        <v>45992</v>
      </c>
      <c r="E11348" s="346">
        <f t="shared" si="1550"/>
        <v>45992</v>
      </c>
      <c r="F11348" s="518" t="s">
        <v>1982</v>
      </c>
      <c r="G11348" s="347" t="s">
        <v>1245</v>
      </c>
      <c r="H11348" s="348"/>
      <c r="I11348" s="348" t="s">
        <v>1253</v>
      </c>
      <c r="J11348" s="344" t="s">
        <v>1978</v>
      </c>
      <c r="K11348" s="349">
        <v>21249.725274725275</v>
      </c>
      <c r="L11348" s="349"/>
      <c r="M11348" s="455"/>
    </row>
    <row r="11349" spans="1:16" ht="11.25" customHeight="1" x14ac:dyDescent="0.2">
      <c r="A11349" s="350">
        <v>2025</v>
      </c>
      <c r="B11349" s="350">
        <v>12</v>
      </c>
      <c r="C11349" s="350">
        <v>1</v>
      </c>
      <c r="D11349" s="351">
        <f t="shared" si="1542"/>
        <v>45992</v>
      </c>
      <c r="E11349" s="352">
        <f t="shared" si="1550"/>
        <v>45992</v>
      </c>
      <c r="F11349" s="519"/>
      <c r="G11349" s="353" t="s">
        <v>1245</v>
      </c>
      <c r="H11349" s="354"/>
      <c r="I11349" s="354" t="s">
        <v>1253</v>
      </c>
      <c r="J11349" s="350" t="s">
        <v>1979</v>
      </c>
      <c r="K11349" s="355"/>
      <c r="L11349" s="355">
        <f>K11348</f>
        <v>21249.725274725275</v>
      </c>
    </row>
    <row r="11350" spans="1:16" ht="11.25" customHeight="1" x14ac:dyDescent="0.2">
      <c r="A11350" s="344">
        <v>2025</v>
      </c>
      <c r="B11350" s="344">
        <v>12</v>
      </c>
      <c r="C11350" s="344">
        <v>1</v>
      </c>
      <c r="D11350" s="345">
        <f t="shared" si="1542"/>
        <v>45992</v>
      </c>
      <c r="E11350" s="346">
        <f t="shared" si="1550"/>
        <v>45992</v>
      </c>
      <c r="F11350" s="518" t="s">
        <v>2009</v>
      </c>
      <c r="G11350" s="347" t="s">
        <v>1245</v>
      </c>
      <c r="H11350" s="348"/>
      <c r="I11350" s="348" t="s">
        <v>1253</v>
      </c>
      <c r="J11350" s="344" t="s">
        <v>2004</v>
      </c>
      <c r="K11350" s="349">
        <v>7098.9014285714284</v>
      </c>
      <c r="L11350" s="349"/>
      <c r="M11350" s="455"/>
    </row>
    <row r="11351" spans="1:16" ht="11.25" customHeight="1" x14ac:dyDescent="0.2">
      <c r="A11351" s="350">
        <v>2025</v>
      </c>
      <c r="B11351" s="350">
        <v>12</v>
      </c>
      <c r="C11351" s="350">
        <v>1</v>
      </c>
      <c r="D11351" s="351">
        <f t="shared" si="1542"/>
        <v>45992</v>
      </c>
      <c r="E11351" s="352">
        <f t="shared" si="1550"/>
        <v>45992</v>
      </c>
      <c r="F11351" s="519"/>
      <c r="G11351" s="353" t="s">
        <v>1245</v>
      </c>
      <c r="H11351" s="354"/>
      <c r="I11351" s="354" t="s">
        <v>1253</v>
      </c>
      <c r="J11351" s="350" t="s">
        <v>2008</v>
      </c>
      <c r="K11351" s="355"/>
      <c r="L11351" s="355">
        <f t="shared" ref="L11351" si="1552">K11350</f>
        <v>7098.9014285714284</v>
      </c>
    </row>
    <row r="11352" spans="1:16" ht="11.25" customHeight="1" x14ac:dyDescent="0.2">
      <c r="A11352" s="344">
        <v>2025</v>
      </c>
      <c r="B11352" s="344">
        <v>12</v>
      </c>
      <c r="C11352" s="344">
        <v>1</v>
      </c>
      <c r="D11352" s="345">
        <f t="shared" si="1542"/>
        <v>45992</v>
      </c>
      <c r="E11352" s="346">
        <f t="shared" si="1550"/>
        <v>45992</v>
      </c>
      <c r="F11352" s="518" t="s">
        <v>2009</v>
      </c>
      <c r="G11352" s="347" t="s">
        <v>1245</v>
      </c>
      <c r="H11352" s="348"/>
      <c r="I11352" s="348" t="s">
        <v>1253</v>
      </c>
      <c r="J11352" s="344" t="s">
        <v>2004</v>
      </c>
      <c r="K11352" s="349">
        <v>7098.9014285714284</v>
      </c>
      <c r="L11352" s="349"/>
      <c r="M11352" s="455"/>
    </row>
    <row r="11353" spans="1:16" ht="11.25" customHeight="1" x14ac:dyDescent="0.2">
      <c r="A11353" s="350">
        <v>2025</v>
      </c>
      <c r="B11353" s="350">
        <v>12</v>
      </c>
      <c r="C11353" s="350">
        <v>1</v>
      </c>
      <c r="D11353" s="351">
        <f t="shared" si="1542"/>
        <v>45992</v>
      </c>
      <c r="E11353" s="352">
        <f t="shared" si="1550"/>
        <v>45992</v>
      </c>
      <c r="F11353" s="519"/>
      <c r="G11353" s="353" t="s">
        <v>1245</v>
      </c>
      <c r="H11353" s="354"/>
      <c r="I11353" s="354" t="s">
        <v>1253</v>
      </c>
      <c r="J11353" s="350" t="s">
        <v>2008</v>
      </c>
      <c r="K11353" s="355"/>
      <c r="L11353" s="355">
        <f t="shared" ref="L11353" si="1553">K11352</f>
        <v>7098.9014285714284</v>
      </c>
    </row>
    <row r="11354" spans="1:16" ht="11.25" customHeight="1" x14ac:dyDescent="0.2">
      <c r="A11354" s="344">
        <v>2025</v>
      </c>
      <c r="B11354" s="344">
        <v>12</v>
      </c>
      <c r="C11354" s="344">
        <v>1</v>
      </c>
      <c r="D11354" s="345">
        <f t="shared" si="1542"/>
        <v>45992</v>
      </c>
      <c r="E11354" s="346">
        <f t="shared" si="1550"/>
        <v>45992</v>
      </c>
      <c r="F11354" s="518" t="s">
        <v>2088</v>
      </c>
      <c r="G11354" s="347" t="s">
        <v>1245</v>
      </c>
      <c r="H11354" s="348"/>
      <c r="I11354" s="348" t="s">
        <v>1253</v>
      </c>
      <c r="J11354" s="344" t="s">
        <v>2086</v>
      </c>
      <c r="K11354" s="349">
        <v>1789.835164835165</v>
      </c>
      <c r="L11354" s="349"/>
      <c r="M11354" s="455"/>
    </row>
    <row r="11355" spans="1:16" ht="11.25" customHeight="1" x14ac:dyDescent="0.2">
      <c r="A11355" s="350">
        <v>2025</v>
      </c>
      <c r="B11355" s="350">
        <v>12</v>
      </c>
      <c r="C11355" s="350">
        <v>1</v>
      </c>
      <c r="D11355" s="351">
        <f t="shared" si="1542"/>
        <v>45992</v>
      </c>
      <c r="E11355" s="352">
        <f t="shared" si="1550"/>
        <v>45992</v>
      </c>
      <c r="F11355" s="519"/>
      <c r="G11355" s="353" t="s">
        <v>1245</v>
      </c>
      <c r="H11355" s="354"/>
      <c r="I11355" s="354" t="s">
        <v>1253</v>
      </c>
      <c r="J11355" s="350" t="s">
        <v>2089</v>
      </c>
      <c r="K11355" s="355"/>
      <c r="L11355" s="355">
        <f>K11354</f>
        <v>1789.835164835165</v>
      </c>
    </row>
    <row r="11356" spans="1:16" ht="11.25" customHeight="1" x14ac:dyDescent="0.2">
      <c r="A11356" s="344">
        <v>2025</v>
      </c>
      <c r="B11356" s="344">
        <v>12</v>
      </c>
      <c r="C11356" s="344">
        <v>1</v>
      </c>
      <c r="D11356" s="345">
        <f t="shared" si="1542"/>
        <v>45992</v>
      </c>
      <c r="E11356" s="346">
        <f>DATE(A11356,B11356,C11356)</f>
        <v>45992</v>
      </c>
      <c r="F11356" s="518" t="s">
        <v>1988</v>
      </c>
      <c r="G11356" s="347" t="s">
        <v>1245</v>
      </c>
      <c r="H11356" s="348"/>
      <c r="I11356" s="348" t="s">
        <v>1253</v>
      </c>
      <c r="J11356" s="344" t="s">
        <v>113</v>
      </c>
      <c r="K11356" s="349">
        <v>4692.3071428571429</v>
      </c>
      <c r="L11356" s="349"/>
      <c r="M11356" s="455"/>
    </row>
    <row r="11357" spans="1:16" ht="11.25" customHeight="1" x14ac:dyDescent="0.2">
      <c r="A11357" s="350">
        <v>2025</v>
      </c>
      <c r="B11357" s="350">
        <v>12</v>
      </c>
      <c r="C11357" s="350">
        <v>1</v>
      </c>
      <c r="D11357" s="351">
        <f t="shared" si="1542"/>
        <v>45992</v>
      </c>
      <c r="E11357" s="352">
        <f>DATE(A11357,B11357,C11357)</f>
        <v>45992</v>
      </c>
      <c r="F11357" s="519"/>
      <c r="G11357" s="353" t="s">
        <v>1245</v>
      </c>
      <c r="H11357" s="354"/>
      <c r="I11357" s="354" t="s">
        <v>1253</v>
      </c>
      <c r="J11357" s="350" t="s">
        <v>153</v>
      </c>
      <c r="K11357" s="355"/>
      <c r="L11357" s="355">
        <f t="shared" ref="L11357" si="1554">K11356</f>
        <v>4692.3071428571429</v>
      </c>
    </row>
    <row r="11358" spans="1:16" ht="11.25" customHeight="1" x14ac:dyDescent="0.2">
      <c r="A11358" s="344">
        <v>2025</v>
      </c>
      <c r="B11358" s="344">
        <v>12</v>
      </c>
      <c r="C11358" s="344">
        <v>1</v>
      </c>
      <c r="D11358" s="345">
        <f t="shared" si="1542"/>
        <v>45992</v>
      </c>
      <c r="E11358" s="346">
        <f t="shared" ref="E11358:E11364" si="1555">DATE(A11358,B11358,C11358)</f>
        <v>45992</v>
      </c>
      <c r="F11358" s="518" t="s">
        <v>1989</v>
      </c>
      <c r="G11358" s="347" t="s">
        <v>1245</v>
      </c>
      <c r="H11358" s="348"/>
      <c r="I11358" s="348" t="s">
        <v>1253</v>
      </c>
      <c r="J11358" s="344" t="s">
        <v>113</v>
      </c>
      <c r="K11358" s="349">
        <v>3351.6483516483518</v>
      </c>
      <c r="L11358" s="349"/>
      <c r="M11358" s="455"/>
    </row>
    <row r="11359" spans="1:16" ht="11.25" customHeight="1" x14ac:dyDescent="0.2">
      <c r="A11359" s="350">
        <v>2025</v>
      </c>
      <c r="B11359" s="350">
        <v>12</v>
      </c>
      <c r="C11359" s="350">
        <v>1</v>
      </c>
      <c r="D11359" s="351">
        <f t="shared" si="1542"/>
        <v>45992</v>
      </c>
      <c r="E11359" s="352">
        <f t="shared" si="1555"/>
        <v>45992</v>
      </c>
      <c r="F11359" s="519"/>
      <c r="G11359" s="353" t="s">
        <v>1245</v>
      </c>
      <c r="H11359" s="354"/>
      <c r="I11359" s="354" t="s">
        <v>1253</v>
      </c>
      <c r="J11359" s="350" t="s">
        <v>153</v>
      </c>
      <c r="K11359" s="355"/>
      <c r="L11359" s="355">
        <f t="shared" ref="L11359" si="1556">K11358</f>
        <v>3351.6483516483518</v>
      </c>
    </row>
    <row r="11360" spans="1:16" ht="11.25" customHeight="1" x14ac:dyDescent="0.2">
      <c r="A11360" s="344">
        <v>2025</v>
      </c>
      <c r="B11360" s="344">
        <v>12</v>
      </c>
      <c r="C11360" s="344">
        <v>1</v>
      </c>
      <c r="D11360" s="345">
        <f t="shared" si="1542"/>
        <v>45992</v>
      </c>
      <c r="E11360" s="346">
        <f t="shared" si="1555"/>
        <v>45992</v>
      </c>
      <c r="F11360" s="518" t="s">
        <v>1990</v>
      </c>
      <c r="G11360" s="347" t="s">
        <v>1245</v>
      </c>
      <c r="H11360" s="348"/>
      <c r="I11360" s="348" t="s">
        <v>1253</v>
      </c>
      <c r="J11360" s="344" t="s">
        <v>113</v>
      </c>
      <c r="K11360" s="349">
        <v>10054.945714285714</v>
      </c>
      <c r="L11360" s="349"/>
      <c r="M11360" s="455"/>
      <c r="N11360" s="251"/>
      <c r="O11360" s="251"/>
      <c r="P11360" s="251"/>
    </row>
    <row r="11361" spans="1:16" ht="11.25" customHeight="1" x14ac:dyDescent="0.2">
      <c r="A11361" s="350">
        <v>2025</v>
      </c>
      <c r="B11361" s="350">
        <v>12</v>
      </c>
      <c r="C11361" s="350">
        <v>1</v>
      </c>
      <c r="D11361" s="351">
        <f t="shared" si="1542"/>
        <v>45992</v>
      </c>
      <c r="E11361" s="352">
        <f t="shared" si="1555"/>
        <v>45992</v>
      </c>
      <c r="F11361" s="519"/>
      <c r="G11361" s="353" t="s">
        <v>1245</v>
      </c>
      <c r="H11361" s="354"/>
      <c r="I11361" s="354" t="s">
        <v>1253</v>
      </c>
      <c r="J11361" s="350" t="s">
        <v>153</v>
      </c>
      <c r="K11361" s="355"/>
      <c r="L11361" s="355">
        <f t="shared" ref="L11361" si="1557">K11360</f>
        <v>10054.945714285714</v>
      </c>
    </row>
    <row r="11362" spans="1:16" ht="11.25" customHeight="1" x14ac:dyDescent="0.2">
      <c r="A11362" s="344">
        <v>2025</v>
      </c>
      <c r="B11362" s="344">
        <v>12</v>
      </c>
      <c r="C11362" s="344">
        <v>1</v>
      </c>
      <c r="D11362" s="345">
        <f t="shared" si="1542"/>
        <v>45992</v>
      </c>
      <c r="E11362" s="346">
        <f t="shared" si="1555"/>
        <v>45992</v>
      </c>
      <c r="F11362" s="518" t="s">
        <v>2107</v>
      </c>
      <c r="G11362" s="347" t="s">
        <v>1245</v>
      </c>
      <c r="H11362" s="348"/>
      <c r="I11362" s="348" t="s">
        <v>1253</v>
      </c>
      <c r="J11362" s="344" t="s">
        <v>113</v>
      </c>
      <c r="K11362" s="349">
        <v>12370.879120879121</v>
      </c>
      <c r="L11362" s="349"/>
      <c r="M11362" s="455"/>
      <c r="N11362" s="251"/>
      <c r="O11362" s="251"/>
      <c r="P11362" s="251"/>
    </row>
    <row r="11363" spans="1:16" ht="11.25" customHeight="1" x14ac:dyDescent="0.2">
      <c r="A11363" s="350">
        <v>2025</v>
      </c>
      <c r="B11363" s="350">
        <v>12</v>
      </c>
      <c r="C11363" s="350">
        <v>1</v>
      </c>
      <c r="D11363" s="351">
        <f t="shared" si="1542"/>
        <v>45992</v>
      </c>
      <c r="E11363" s="352">
        <f t="shared" si="1555"/>
        <v>45992</v>
      </c>
      <c r="F11363" s="519"/>
      <c r="G11363" s="353" t="s">
        <v>1245</v>
      </c>
      <c r="H11363" s="354"/>
      <c r="I11363" s="354" t="s">
        <v>1253</v>
      </c>
      <c r="J11363" s="350" t="s">
        <v>153</v>
      </c>
      <c r="K11363" s="355"/>
      <c r="L11363" s="355">
        <f t="shared" ref="L11363" si="1558">K11362</f>
        <v>12370.879120879121</v>
      </c>
    </row>
    <row r="11364" spans="1:16" ht="11.25" customHeight="1" x14ac:dyDescent="0.2">
      <c r="A11364" s="210">
        <v>2025</v>
      </c>
      <c r="B11364" s="210">
        <v>12</v>
      </c>
      <c r="C11364" s="210">
        <v>1</v>
      </c>
      <c r="D11364" s="211">
        <f t="shared" si="1542"/>
        <v>45992</v>
      </c>
      <c r="E11364" s="238">
        <f t="shared" si="1555"/>
        <v>45992</v>
      </c>
      <c r="F11364" s="520" t="s">
        <v>1857</v>
      </c>
      <c r="G11364" s="213" t="s">
        <v>1245</v>
      </c>
      <c r="H11364" s="214"/>
      <c r="I11364" s="214" t="s">
        <v>1253</v>
      </c>
      <c r="J11364" s="210" t="s">
        <v>1284</v>
      </c>
      <c r="K11364" s="215">
        <v>334.54448777029421</v>
      </c>
      <c r="L11364" s="215"/>
      <c r="M11364" s="455"/>
    </row>
    <row r="11365" spans="1:16" ht="11.25" customHeight="1" x14ac:dyDescent="0.2">
      <c r="A11365" s="242">
        <v>2025</v>
      </c>
      <c r="B11365" s="242">
        <v>12</v>
      </c>
      <c r="C11365" s="242">
        <v>1</v>
      </c>
      <c r="D11365" s="243">
        <f t="shared" si="1542"/>
        <v>45992</v>
      </c>
      <c r="E11365" s="244">
        <f>DATE(A11365,B11365,C11365)</f>
        <v>45992</v>
      </c>
      <c r="F11365" s="524"/>
      <c r="G11365" s="245" t="s">
        <v>1245</v>
      </c>
      <c r="H11365" s="246"/>
      <c r="I11365" s="246"/>
      <c r="J11365" s="242" t="s">
        <v>1582</v>
      </c>
      <c r="K11365" s="247"/>
      <c r="L11365" s="247">
        <f>K11364</f>
        <v>334.54448777029421</v>
      </c>
    </row>
    <row r="11366" spans="1:16" ht="11.25" customHeight="1" x14ac:dyDescent="0.2">
      <c r="A11366" s="210">
        <v>2025</v>
      </c>
      <c r="B11366" s="210">
        <v>12</v>
      </c>
      <c r="C11366" s="210">
        <v>1</v>
      </c>
      <c r="D11366" s="211">
        <f t="shared" si="1542"/>
        <v>45992</v>
      </c>
      <c r="E11366" s="238">
        <f t="shared" ref="E11366:E11391" si="1559">DATE(A11366,B11366,C11366)</f>
        <v>45992</v>
      </c>
      <c r="F11366" s="520" t="s">
        <v>2055</v>
      </c>
      <c r="G11366" s="213" t="s">
        <v>1245</v>
      </c>
      <c r="H11366" s="214"/>
      <c r="I11366" s="214" t="s">
        <v>1253</v>
      </c>
      <c r="J11366" s="210" t="s">
        <v>58</v>
      </c>
      <c r="K11366" s="215">
        <v>2544.86</v>
      </c>
      <c r="L11366" s="215"/>
    </row>
    <row r="11367" spans="1:16" ht="11.25" customHeight="1" x14ac:dyDescent="0.2">
      <c r="A11367" s="216">
        <v>2025</v>
      </c>
      <c r="B11367" s="216">
        <v>12</v>
      </c>
      <c r="C11367" s="216">
        <v>1</v>
      </c>
      <c r="D11367" s="217">
        <f t="shared" si="1542"/>
        <v>45992</v>
      </c>
      <c r="E11367" s="239">
        <f t="shared" si="1559"/>
        <v>45992</v>
      </c>
      <c r="F11367" s="521"/>
      <c r="G11367" s="219" t="s">
        <v>1245</v>
      </c>
      <c r="H11367" s="220"/>
      <c r="I11367" s="220" t="s">
        <v>1253</v>
      </c>
      <c r="J11367" s="216" t="s">
        <v>153</v>
      </c>
      <c r="K11367" s="221"/>
      <c r="L11367" s="221">
        <f>K11366</f>
        <v>2544.86</v>
      </c>
    </row>
    <row r="11368" spans="1:16" ht="11.25" customHeight="1" x14ac:dyDescent="0.2">
      <c r="A11368" s="312">
        <v>2025</v>
      </c>
      <c r="B11368" s="312">
        <v>12</v>
      </c>
      <c r="C11368" s="312">
        <v>1</v>
      </c>
      <c r="D11368" s="313">
        <f t="shared" si="1542"/>
        <v>45992</v>
      </c>
      <c r="E11368" s="314">
        <f t="shared" si="1559"/>
        <v>45992</v>
      </c>
      <c r="F11368" s="522" t="s">
        <v>1477</v>
      </c>
      <c r="G11368" s="315" t="s">
        <v>1245</v>
      </c>
      <c r="H11368" s="316"/>
      <c r="I11368" s="316" t="s">
        <v>1253</v>
      </c>
      <c r="J11368" s="312" t="s">
        <v>1458</v>
      </c>
      <c r="K11368" s="317">
        <v>0</v>
      </c>
      <c r="L11368" s="317"/>
    </row>
    <row r="11369" spans="1:16" ht="11.25" customHeight="1" x14ac:dyDescent="0.2">
      <c r="A11369" s="318">
        <v>2025</v>
      </c>
      <c r="B11369" s="318">
        <v>12</v>
      </c>
      <c r="C11369" s="318">
        <v>1</v>
      </c>
      <c r="D11369" s="319">
        <f t="shared" si="1542"/>
        <v>45992</v>
      </c>
      <c r="E11369" s="320">
        <f t="shared" si="1559"/>
        <v>45992</v>
      </c>
      <c r="F11369" s="523"/>
      <c r="G11369" s="321" t="s">
        <v>1245</v>
      </c>
      <c r="H11369" s="322"/>
      <c r="I11369" s="322" t="s">
        <v>1253</v>
      </c>
      <c r="J11369" s="318" t="s">
        <v>1460</v>
      </c>
      <c r="K11369" s="323"/>
      <c r="L11369" s="323">
        <f>K11368</f>
        <v>0</v>
      </c>
    </row>
    <row r="11370" spans="1:16" ht="11.25" customHeight="1" x14ac:dyDescent="0.2">
      <c r="A11370" s="312">
        <v>2025</v>
      </c>
      <c r="B11370" s="312">
        <v>12</v>
      </c>
      <c r="C11370" s="312">
        <v>1</v>
      </c>
      <c r="D11370" s="313">
        <f t="shared" si="1542"/>
        <v>45992</v>
      </c>
      <c r="E11370" s="314">
        <f t="shared" si="1559"/>
        <v>45992</v>
      </c>
      <c r="F11370" s="522" t="s">
        <v>1595</v>
      </c>
      <c r="G11370" s="315" t="s">
        <v>1245</v>
      </c>
      <c r="H11370" s="316"/>
      <c r="I11370" s="316" t="s">
        <v>1253</v>
      </c>
      <c r="J11370" s="312" t="s">
        <v>1459</v>
      </c>
      <c r="K11370" s="317">
        <v>1747750.6910000443</v>
      </c>
      <c r="L11370" s="317"/>
      <c r="M11370" s="328">
        <f>BS!$I$14</f>
        <v>0</v>
      </c>
    </row>
    <row r="11371" spans="1:16" ht="11.25" customHeight="1" x14ac:dyDescent="0.2">
      <c r="A11371" s="318">
        <v>2025</v>
      </c>
      <c r="B11371" s="318">
        <v>12</v>
      </c>
      <c r="C11371" s="318">
        <v>1</v>
      </c>
      <c r="D11371" s="319">
        <f t="shared" si="1542"/>
        <v>45992</v>
      </c>
      <c r="E11371" s="320">
        <f t="shared" si="1559"/>
        <v>45992</v>
      </c>
      <c r="F11371" s="523"/>
      <c r="G11371" s="321" t="s">
        <v>1245</v>
      </c>
      <c r="H11371" s="322"/>
      <c r="I11371" s="322" t="s">
        <v>1253</v>
      </c>
      <c r="J11371" s="318" t="s">
        <v>1461</v>
      </c>
      <c r="K11371" s="323"/>
      <c r="L11371" s="323">
        <f>K11370</f>
        <v>1747750.6910000443</v>
      </c>
      <c r="M11371" s="328"/>
    </row>
    <row r="11372" spans="1:16" ht="11.25" customHeight="1" x14ac:dyDescent="0.2">
      <c r="A11372" s="222">
        <v>2025</v>
      </c>
      <c r="B11372" s="222">
        <v>12</v>
      </c>
      <c r="C11372" s="222">
        <v>1</v>
      </c>
      <c r="D11372" s="223">
        <f t="shared" ref="D11372:D11435" si="1560">DATE(A11372,B11372,C11372)</f>
        <v>45992</v>
      </c>
      <c r="E11372" s="240">
        <f t="shared" si="1559"/>
        <v>45992</v>
      </c>
      <c r="F11372" s="511" t="s">
        <v>1244</v>
      </c>
      <c r="G11372" s="225" t="s">
        <v>1245</v>
      </c>
      <c r="H11372" s="226"/>
      <c r="I11372" s="226" t="s">
        <v>1253</v>
      </c>
      <c r="J11372" s="222" t="s">
        <v>72</v>
      </c>
      <c r="K11372" s="227">
        <v>10496.5</v>
      </c>
      <c r="L11372" s="227"/>
      <c r="M11372" s="328">
        <f>BS!$I$7</f>
        <v>0</v>
      </c>
    </row>
    <row r="11373" spans="1:16" ht="11.25" customHeight="1" x14ac:dyDescent="0.2">
      <c r="A11373" s="228">
        <v>2025</v>
      </c>
      <c r="B11373" s="228">
        <v>12</v>
      </c>
      <c r="C11373" s="228">
        <v>1</v>
      </c>
      <c r="D11373" s="229">
        <f t="shared" si="1560"/>
        <v>45992</v>
      </c>
      <c r="E11373" s="241">
        <f t="shared" si="1559"/>
        <v>45992</v>
      </c>
      <c r="F11373" s="512"/>
      <c r="G11373" s="231" t="s">
        <v>1245</v>
      </c>
      <c r="H11373" s="232"/>
      <c r="I11373" s="232" t="s">
        <v>1253</v>
      </c>
      <c r="J11373" s="228" t="s">
        <v>87</v>
      </c>
      <c r="K11373" s="233"/>
      <c r="L11373" s="233">
        <f>K11372</f>
        <v>10496.5</v>
      </c>
    </row>
    <row r="11374" spans="1:16" ht="11.25" customHeight="1" x14ac:dyDescent="0.2">
      <c r="A11374" s="222">
        <v>2025</v>
      </c>
      <c r="B11374" s="222">
        <v>12</v>
      </c>
      <c r="C11374" s="222">
        <v>1</v>
      </c>
      <c r="D11374" s="223">
        <f t="shared" si="1560"/>
        <v>45992</v>
      </c>
      <c r="E11374" s="240">
        <f t="shared" si="1559"/>
        <v>45992</v>
      </c>
      <c r="F11374" s="511" t="s">
        <v>1246</v>
      </c>
      <c r="G11374" s="225" t="s">
        <v>1245</v>
      </c>
      <c r="H11374" s="226"/>
      <c r="I11374" s="226" t="s">
        <v>1253</v>
      </c>
      <c r="J11374" s="222" t="s">
        <v>75</v>
      </c>
      <c r="K11374" s="227">
        <v>517.58912087912086</v>
      </c>
      <c r="L11374" s="227"/>
    </row>
    <row r="11375" spans="1:16" ht="11.25" customHeight="1" x14ac:dyDescent="0.2">
      <c r="A11375" s="228">
        <v>2025</v>
      </c>
      <c r="B11375" s="228">
        <v>12</v>
      </c>
      <c r="C11375" s="228">
        <v>1</v>
      </c>
      <c r="D11375" s="229">
        <f t="shared" si="1560"/>
        <v>45992</v>
      </c>
      <c r="E11375" s="241">
        <f t="shared" si="1559"/>
        <v>45992</v>
      </c>
      <c r="F11375" s="512"/>
      <c r="G11375" s="231" t="s">
        <v>1245</v>
      </c>
      <c r="H11375" s="232"/>
      <c r="I11375" s="232" t="s">
        <v>1253</v>
      </c>
      <c r="J11375" s="228" t="s">
        <v>55</v>
      </c>
      <c r="K11375" s="233"/>
      <c r="L11375" s="233">
        <f>K11374</f>
        <v>517.58912087912086</v>
      </c>
    </row>
    <row r="11376" spans="1:16" ht="11.25" customHeight="1" x14ac:dyDescent="0.2">
      <c r="A11376" s="222">
        <v>2025</v>
      </c>
      <c r="B11376" s="222">
        <v>12</v>
      </c>
      <c r="C11376" s="222">
        <v>1</v>
      </c>
      <c r="D11376" s="223">
        <f t="shared" si="1560"/>
        <v>45992</v>
      </c>
      <c r="E11376" s="240">
        <f t="shared" si="1559"/>
        <v>45992</v>
      </c>
      <c r="F11376" s="511" t="s">
        <v>1247</v>
      </c>
      <c r="G11376" s="225" t="s">
        <v>1245</v>
      </c>
      <c r="H11376" s="226"/>
      <c r="I11376" s="226" t="s">
        <v>1253</v>
      </c>
      <c r="J11376" s="222" t="s">
        <v>77</v>
      </c>
      <c r="K11376" s="227">
        <f>M11376</f>
        <v>7470.2225453104766</v>
      </c>
      <c r="L11376" s="227"/>
      <c r="M11376" s="478">
        <v>7470.2225453104766</v>
      </c>
    </row>
    <row r="11377" spans="1:15" ht="11.25" customHeight="1" x14ac:dyDescent="0.2">
      <c r="A11377" s="228">
        <v>2025</v>
      </c>
      <c r="B11377" s="228">
        <v>12</v>
      </c>
      <c r="C11377" s="228">
        <v>1</v>
      </c>
      <c r="D11377" s="229">
        <f t="shared" si="1560"/>
        <v>45992</v>
      </c>
      <c r="E11377" s="241">
        <f t="shared" si="1559"/>
        <v>45992</v>
      </c>
      <c r="F11377" s="512"/>
      <c r="G11377" s="231" t="s">
        <v>1245</v>
      </c>
      <c r="H11377" s="232"/>
      <c r="I11377" s="232" t="s">
        <v>1253</v>
      </c>
      <c r="J11377" s="228" t="s">
        <v>41</v>
      </c>
      <c r="K11377" s="233"/>
      <c r="L11377" s="233">
        <f>K11376</f>
        <v>7470.2225453104766</v>
      </c>
      <c r="M11377" s="478">
        <v>747.02225453104779</v>
      </c>
      <c r="N11377" s="251"/>
    </row>
    <row r="11378" spans="1:15" ht="11.25" customHeight="1" x14ac:dyDescent="0.2">
      <c r="A11378" s="222">
        <v>2025</v>
      </c>
      <c r="B11378" s="222">
        <v>12</v>
      </c>
      <c r="C11378" s="222">
        <v>1</v>
      </c>
      <c r="D11378" s="223">
        <f t="shared" si="1560"/>
        <v>45992</v>
      </c>
      <c r="E11378" s="240">
        <f t="shared" si="1559"/>
        <v>45992</v>
      </c>
      <c r="F11378" s="511" t="s">
        <v>1248</v>
      </c>
      <c r="G11378" s="225" t="s">
        <v>1245</v>
      </c>
      <c r="H11378" s="226"/>
      <c r="I11378" s="226" t="s">
        <v>1253</v>
      </c>
      <c r="J11378" s="222" t="s">
        <v>80</v>
      </c>
      <c r="K11378" s="227">
        <f>M11377</f>
        <v>747.02225453104779</v>
      </c>
      <c r="L11378" s="227"/>
      <c r="N11378" s="251"/>
      <c r="O11378" s="251"/>
    </row>
    <row r="11379" spans="1:15" ht="11.25" customHeight="1" x14ac:dyDescent="0.2">
      <c r="A11379" s="228">
        <v>2025</v>
      </c>
      <c r="B11379" s="228">
        <v>12</v>
      </c>
      <c r="C11379" s="228">
        <v>1</v>
      </c>
      <c r="D11379" s="229">
        <f t="shared" si="1560"/>
        <v>45992</v>
      </c>
      <c r="E11379" s="241">
        <f t="shared" si="1559"/>
        <v>45992</v>
      </c>
      <c r="F11379" s="512"/>
      <c r="G11379" s="231" t="s">
        <v>1245</v>
      </c>
      <c r="H11379" s="232"/>
      <c r="I11379" s="232" t="s">
        <v>1253</v>
      </c>
      <c r="J11379" s="228" t="s">
        <v>42</v>
      </c>
      <c r="K11379" s="233"/>
      <c r="L11379" s="233">
        <f>K11378</f>
        <v>747.02225453104779</v>
      </c>
    </row>
    <row r="11380" spans="1:15" x14ac:dyDescent="0.2">
      <c r="A11380" s="424">
        <v>2025</v>
      </c>
      <c r="B11380" s="424">
        <v>12</v>
      </c>
      <c r="C11380" s="424">
        <v>2</v>
      </c>
      <c r="D11380" s="425">
        <f t="shared" si="1560"/>
        <v>45993</v>
      </c>
      <c r="E11380" s="384">
        <f t="shared" si="1559"/>
        <v>45993</v>
      </c>
      <c r="F11380" s="516" t="s">
        <v>1850</v>
      </c>
      <c r="G11380" s="426" t="s">
        <v>1209</v>
      </c>
      <c r="H11380" s="427"/>
      <c r="I11380" s="427"/>
      <c r="J11380" s="428" t="s">
        <v>81</v>
      </c>
      <c r="K11380" s="429">
        <v>1595.8173626373627</v>
      </c>
      <c r="L11380" s="429"/>
      <c r="M11380" s="455"/>
    </row>
    <row r="11381" spans="1:15" x14ac:dyDescent="0.2">
      <c r="A11381" s="389">
        <v>2025</v>
      </c>
      <c r="B11381" s="389">
        <v>12</v>
      </c>
      <c r="C11381" s="389">
        <v>2</v>
      </c>
      <c r="D11381" s="390">
        <f t="shared" si="1560"/>
        <v>45993</v>
      </c>
      <c r="E11381" s="391">
        <f t="shared" si="1559"/>
        <v>45993</v>
      </c>
      <c r="F11381" s="517"/>
      <c r="G11381" s="392" t="s">
        <v>1209</v>
      </c>
      <c r="H11381" s="393"/>
      <c r="I11381" s="393"/>
      <c r="J11381" s="394" t="s">
        <v>1847</v>
      </c>
      <c r="K11381" s="423"/>
      <c r="L11381" s="423">
        <f>K11380</f>
        <v>1595.8173626373627</v>
      </c>
    </row>
    <row r="11382" spans="1:15" ht="11.25" customHeight="1" x14ac:dyDescent="0.2">
      <c r="A11382" s="382">
        <v>2025</v>
      </c>
      <c r="B11382" s="382">
        <v>12</v>
      </c>
      <c r="C11382" s="382">
        <v>2</v>
      </c>
      <c r="D11382" s="383">
        <f t="shared" si="1560"/>
        <v>45993</v>
      </c>
      <c r="E11382" s="384">
        <f t="shared" si="1559"/>
        <v>45993</v>
      </c>
      <c r="F11382" s="516" t="s">
        <v>1892</v>
      </c>
      <c r="G11382" s="385" t="s">
        <v>1209</v>
      </c>
      <c r="H11382" s="386"/>
      <c r="I11382" s="386"/>
      <c r="J11382" s="387" t="s">
        <v>173</v>
      </c>
      <c r="K11382" s="388">
        <v>619.56925167113081</v>
      </c>
      <c r="L11382" s="388"/>
      <c r="M11382" s="455"/>
    </row>
    <row r="11383" spans="1:15" ht="11.25" customHeight="1" x14ac:dyDescent="0.2">
      <c r="A11383" s="389">
        <v>2025</v>
      </c>
      <c r="B11383" s="389">
        <v>12</v>
      </c>
      <c r="C11383" s="389">
        <v>2</v>
      </c>
      <c r="D11383" s="390">
        <f t="shared" si="1560"/>
        <v>45993</v>
      </c>
      <c r="E11383" s="391">
        <f t="shared" si="1559"/>
        <v>45993</v>
      </c>
      <c r="F11383" s="517"/>
      <c r="G11383" s="392" t="s">
        <v>1209</v>
      </c>
      <c r="H11383" s="393"/>
      <c r="I11383" s="393"/>
      <c r="J11383" s="394" t="s">
        <v>43</v>
      </c>
      <c r="K11383" s="388"/>
      <c r="L11383" s="423">
        <f>K11382</f>
        <v>619.56925167113081</v>
      </c>
    </row>
    <row r="11384" spans="1:15" ht="11.25" customHeight="1" x14ac:dyDescent="0.2">
      <c r="A11384" s="344">
        <v>2025</v>
      </c>
      <c r="B11384" s="344">
        <v>12</v>
      </c>
      <c r="C11384" s="344">
        <v>2</v>
      </c>
      <c r="D11384" s="345">
        <f t="shared" si="1560"/>
        <v>45993</v>
      </c>
      <c r="E11384" s="346">
        <f t="shared" si="1559"/>
        <v>45993</v>
      </c>
      <c r="F11384" s="518" t="s">
        <v>1982</v>
      </c>
      <c r="G11384" s="347" t="s">
        <v>1245</v>
      </c>
      <c r="H11384" s="348"/>
      <c r="I11384" s="348" t="s">
        <v>1253</v>
      </c>
      <c r="J11384" s="344" t="s">
        <v>1978</v>
      </c>
      <c r="K11384" s="349">
        <v>21249.725274725275</v>
      </c>
      <c r="L11384" s="349"/>
      <c r="M11384" s="455"/>
    </row>
    <row r="11385" spans="1:15" ht="11.25" customHeight="1" x14ac:dyDescent="0.2">
      <c r="A11385" s="350">
        <v>2025</v>
      </c>
      <c r="B11385" s="350">
        <v>12</v>
      </c>
      <c r="C11385" s="350">
        <v>2</v>
      </c>
      <c r="D11385" s="351">
        <f t="shared" si="1560"/>
        <v>45993</v>
      </c>
      <c r="E11385" s="352">
        <f t="shared" si="1559"/>
        <v>45993</v>
      </c>
      <c r="F11385" s="519"/>
      <c r="G11385" s="353" t="s">
        <v>1245</v>
      </c>
      <c r="H11385" s="354"/>
      <c r="I11385" s="354" t="s">
        <v>1253</v>
      </c>
      <c r="J11385" s="350" t="s">
        <v>1979</v>
      </c>
      <c r="K11385" s="355"/>
      <c r="L11385" s="355">
        <f>K11384</f>
        <v>21249.725274725275</v>
      </c>
    </row>
    <row r="11386" spans="1:15" ht="11.25" customHeight="1" x14ac:dyDescent="0.2">
      <c r="A11386" s="344">
        <v>2025</v>
      </c>
      <c r="B11386" s="344">
        <v>12</v>
      </c>
      <c r="C11386" s="344">
        <v>2</v>
      </c>
      <c r="D11386" s="345">
        <f t="shared" si="1560"/>
        <v>45993</v>
      </c>
      <c r="E11386" s="346">
        <f t="shared" si="1559"/>
        <v>45993</v>
      </c>
      <c r="F11386" s="518" t="s">
        <v>2009</v>
      </c>
      <c r="G11386" s="347" t="s">
        <v>1245</v>
      </c>
      <c r="H11386" s="348"/>
      <c r="I11386" s="348" t="s">
        <v>1253</v>
      </c>
      <c r="J11386" s="344" t="s">
        <v>2004</v>
      </c>
      <c r="K11386" s="349">
        <v>7098.9014285714284</v>
      </c>
      <c r="L11386" s="349"/>
      <c r="M11386" s="455"/>
    </row>
    <row r="11387" spans="1:15" ht="11.25" customHeight="1" x14ac:dyDescent="0.2">
      <c r="A11387" s="350">
        <v>2025</v>
      </c>
      <c r="B11387" s="350">
        <v>12</v>
      </c>
      <c r="C11387" s="350">
        <v>2</v>
      </c>
      <c r="D11387" s="351">
        <f t="shared" si="1560"/>
        <v>45993</v>
      </c>
      <c r="E11387" s="352">
        <f t="shared" si="1559"/>
        <v>45993</v>
      </c>
      <c r="F11387" s="519"/>
      <c r="G11387" s="353" t="s">
        <v>1245</v>
      </c>
      <c r="H11387" s="354"/>
      <c r="I11387" s="354" t="s">
        <v>1253</v>
      </c>
      <c r="J11387" s="350" t="s">
        <v>2008</v>
      </c>
      <c r="K11387" s="355"/>
      <c r="L11387" s="355">
        <f t="shared" ref="L11387" si="1561">K11386</f>
        <v>7098.9014285714284</v>
      </c>
    </row>
    <row r="11388" spans="1:15" ht="11.25" customHeight="1" x14ac:dyDescent="0.2">
      <c r="A11388" s="344">
        <v>2025</v>
      </c>
      <c r="B11388" s="344">
        <v>12</v>
      </c>
      <c r="C11388" s="344">
        <v>2</v>
      </c>
      <c r="D11388" s="345">
        <f t="shared" si="1560"/>
        <v>45993</v>
      </c>
      <c r="E11388" s="346">
        <f t="shared" si="1559"/>
        <v>45993</v>
      </c>
      <c r="F11388" s="518" t="s">
        <v>2009</v>
      </c>
      <c r="G11388" s="347" t="s">
        <v>1245</v>
      </c>
      <c r="H11388" s="348"/>
      <c r="I11388" s="348" t="s">
        <v>1253</v>
      </c>
      <c r="J11388" s="344" t="s">
        <v>2004</v>
      </c>
      <c r="K11388" s="349">
        <v>7098.9014285714284</v>
      </c>
      <c r="L11388" s="349"/>
      <c r="M11388" s="455"/>
    </row>
    <row r="11389" spans="1:15" ht="11.25" customHeight="1" x14ac:dyDescent="0.2">
      <c r="A11389" s="350">
        <v>2025</v>
      </c>
      <c r="B11389" s="350">
        <v>12</v>
      </c>
      <c r="C11389" s="350">
        <v>2</v>
      </c>
      <c r="D11389" s="351">
        <f t="shared" si="1560"/>
        <v>45993</v>
      </c>
      <c r="E11389" s="352">
        <f t="shared" si="1559"/>
        <v>45993</v>
      </c>
      <c r="F11389" s="519"/>
      <c r="G11389" s="353" t="s">
        <v>1245</v>
      </c>
      <c r="H11389" s="354"/>
      <c r="I11389" s="354" t="s">
        <v>1253</v>
      </c>
      <c r="J11389" s="350" t="s">
        <v>2008</v>
      </c>
      <c r="K11389" s="355"/>
      <c r="L11389" s="355">
        <f t="shared" ref="L11389" si="1562">K11388</f>
        <v>7098.9014285714284</v>
      </c>
    </row>
    <row r="11390" spans="1:15" ht="11.25" customHeight="1" x14ac:dyDescent="0.2">
      <c r="A11390" s="344">
        <v>2025</v>
      </c>
      <c r="B11390" s="344">
        <v>12</v>
      </c>
      <c r="C11390" s="344">
        <v>2</v>
      </c>
      <c r="D11390" s="345">
        <f t="shared" si="1560"/>
        <v>45993</v>
      </c>
      <c r="E11390" s="346">
        <f t="shared" si="1559"/>
        <v>45993</v>
      </c>
      <c r="F11390" s="518" t="s">
        <v>2088</v>
      </c>
      <c r="G11390" s="347" t="s">
        <v>1245</v>
      </c>
      <c r="H11390" s="348"/>
      <c r="I11390" s="348" t="s">
        <v>1253</v>
      </c>
      <c r="J11390" s="344" t="s">
        <v>2086</v>
      </c>
      <c r="K11390" s="349">
        <v>1789.835164835165</v>
      </c>
      <c r="L11390" s="349"/>
      <c r="M11390" s="455"/>
    </row>
    <row r="11391" spans="1:15" ht="11.25" customHeight="1" x14ac:dyDescent="0.2">
      <c r="A11391" s="350">
        <v>2025</v>
      </c>
      <c r="B11391" s="350">
        <v>12</v>
      </c>
      <c r="C11391" s="350">
        <v>2</v>
      </c>
      <c r="D11391" s="351">
        <f t="shared" si="1560"/>
        <v>45993</v>
      </c>
      <c r="E11391" s="352">
        <f t="shared" si="1559"/>
        <v>45993</v>
      </c>
      <c r="F11391" s="519"/>
      <c r="G11391" s="353" t="s">
        <v>1245</v>
      </c>
      <c r="H11391" s="354"/>
      <c r="I11391" s="354" t="s">
        <v>1253</v>
      </c>
      <c r="J11391" s="350" t="s">
        <v>2089</v>
      </c>
      <c r="K11391" s="355"/>
      <c r="L11391" s="355">
        <f>K11390</f>
        <v>1789.835164835165</v>
      </c>
    </row>
    <row r="11392" spans="1:15" ht="11.25" customHeight="1" x14ac:dyDescent="0.2">
      <c r="A11392" s="344">
        <v>2025</v>
      </c>
      <c r="B11392" s="344">
        <v>12</v>
      </c>
      <c r="C11392" s="344">
        <v>2</v>
      </c>
      <c r="D11392" s="345">
        <f t="shared" si="1560"/>
        <v>45993</v>
      </c>
      <c r="E11392" s="346">
        <f>DATE(A11392,B11392,C11392)</f>
        <v>45993</v>
      </c>
      <c r="F11392" s="518" t="s">
        <v>1988</v>
      </c>
      <c r="G11392" s="347" t="s">
        <v>1245</v>
      </c>
      <c r="H11392" s="348"/>
      <c r="I11392" s="348" t="s">
        <v>1253</v>
      </c>
      <c r="J11392" s="344" t="s">
        <v>113</v>
      </c>
      <c r="K11392" s="349">
        <v>4692.3071428571429</v>
      </c>
      <c r="L11392" s="349"/>
      <c r="M11392" s="455"/>
    </row>
    <row r="11393" spans="1:16" ht="11.25" customHeight="1" x14ac:dyDescent="0.2">
      <c r="A11393" s="350">
        <v>2025</v>
      </c>
      <c r="B11393" s="350">
        <v>12</v>
      </c>
      <c r="C11393" s="350">
        <v>2</v>
      </c>
      <c r="D11393" s="351">
        <f t="shared" si="1560"/>
        <v>45993</v>
      </c>
      <c r="E11393" s="352">
        <f>DATE(A11393,B11393,C11393)</f>
        <v>45993</v>
      </c>
      <c r="F11393" s="519"/>
      <c r="G11393" s="353" t="s">
        <v>1245</v>
      </c>
      <c r="H11393" s="354"/>
      <c r="I11393" s="354" t="s">
        <v>1253</v>
      </c>
      <c r="J11393" s="350" t="s">
        <v>153</v>
      </c>
      <c r="K11393" s="355"/>
      <c r="L11393" s="355">
        <f t="shared" ref="L11393" si="1563">K11392</f>
        <v>4692.3071428571429</v>
      </c>
    </row>
    <row r="11394" spans="1:16" ht="11.25" customHeight="1" x14ac:dyDescent="0.2">
      <c r="A11394" s="344">
        <v>2025</v>
      </c>
      <c r="B11394" s="344">
        <v>12</v>
      </c>
      <c r="C11394" s="344">
        <v>2</v>
      </c>
      <c r="D11394" s="345">
        <f t="shared" si="1560"/>
        <v>45993</v>
      </c>
      <c r="E11394" s="346">
        <f t="shared" ref="E11394:E11400" si="1564">DATE(A11394,B11394,C11394)</f>
        <v>45993</v>
      </c>
      <c r="F11394" s="518" t="s">
        <v>1989</v>
      </c>
      <c r="G11394" s="347" t="s">
        <v>1245</v>
      </c>
      <c r="H11394" s="348"/>
      <c r="I11394" s="348" t="s">
        <v>1253</v>
      </c>
      <c r="J11394" s="344" t="s">
        <v>113</v>
      </c>
      <c r="K11394" s="349">
        <v>3351.6483516483518</v>
      </c>
      <c r="L11394" s="349"/>
      <c r="M11394" s="455"/>
    </row>
    <row r="11395" spans="1:16" ht="11.25" customHeight="1" x14ac:dyDescent="0.2">
      <c r="A11395" s="350">
        <v>2025</v>
      </c>
      <c r="B11395" s="350">
        <v>12</v>
      </c>
      <c r="C11395" s="350">
        <v>2</v>
      </c>
      <c r="D11395" s="351">
        <f t="shared" si="1560"/>
        <v>45993</v>
      </c>
      <c r="E11395" s="352">
        <f t="shared" si="1564"/>
        <v>45993</v>
      </c>
      <c r="F11395" s="519"/>
      <c r="G11395" s="353" t="s">
        <v>1245</v>
      </c>
      <c r="H11395" s="354"/>
      <c r="I11395" s="354" t="s">
        <v>1253</v>
      </c>
      <c r="J11395" s="350" t="s">
        <v>153</v>
      </c>
      <c r="K11395" s="355"/>
      <c r="L11395" s="355">
        <f t="shared" ref="L11395" si="1565">K11394</f>
        <v>3351.6483516483518</v>
      </c>
    </row>
    <row r="11396" spans="1:16" ht="11.25" customHeight="1" x14ac:dyDescent="0.2">
      <c r="A11396" s="344">
        <v>2025</v>
      </c>
      <c r="B11396" s="344">
        <v>12</v>
      </c>
      <c r="C11396" s="344">
        <v>2</v>
      </c>
      <c r="D11396" s="345">
        <f t="shared" si="1560"/>
        <v>45993</v>
      </c>
      <c r="E11396" s="346">
        <f t="shared" si="1564"/>
        <v>45993</v>
      </c>
      <c r="F11396" s="518" t="s">
        <v>1990</v>
      </c>
      <c r="G11396" s="347" t="s">
        <v>1245</v>
      </c>
      <c r="H11396" s="348"/>
      <c r="I11396" s="348" t="s">
        <v>1253</v>
      </c>
      <c r="J11396" s="344" t="s">
        <v>113</v>
      </c>
      <c r="K11396" s="349">
        <v>10054.945714285714</v>
      </c>
      <c r="L11396" s="349"/>
      <c r="M11396" s="455"/>
      <c r="N11396" s="251"/>
      <c r="O11396" s="251"/>
      <c r="P11396" s="251"/>
    </row>
    <row r="11397" spans="1:16" ht="11.25" customHeight="1" x14ac:dyDescent="0.2">
      <c r="A11397" s="350">
        <v>2025</v>
      </c>
      <c r="B11397" s="350">
        <v>12</v>
      </c>
      <c r="C11397" s="350">
        <v>2</v>
      </c>
      <c r="D11397" s="351">
        <f t="shared" si="1560"/>
        <v>45993</v>
      </c>
      <c r="E11397" s="352">
        <f t="shared" si="1564"/>
        <v>45993</v>
      </c>
      <c r="F11397" s="519"/>
      <c r="G11397" s="353" t="s">
        <v>1245</v>
      </c>
      <c r="H11397" s="354"/>
      <c r="I11397" s="354" t="s">
        <v>1253</v>
      </c>
      <c r="J11397" s="350" t="s">
        <v>153</v>
      </c>
      <c r="K11397" s="355"/>
      <c r="L11397" s="355">
        <f t="shared" ref="L11397" si="1566">K11396</f>
        <v>10054.945714285714</v>
      </c>
    </row>
    <row r="11398" spans="1:16" ht="11.25" customHeight="1" x14ac:dyDescent="0.2">
      <c r="A11398" s="344">
        <v>2025</v>
      </c>
      <c r="B11398" s="344">
        <v>12</v>
      </c>
      <c r="C11398" s="344">
        <v>2</v>
      </c>
      <c r="D11398" s="345">
        <f t="shared" si="1560"/>
        <v>45993</v>
      </c>
      <c r="E11398" s="346">
        <f t="shared" si="1564"/>
        <v>45993</v>
      </c>
      <c r="F11398" s="518" t="s">
        <v>2107</v>
      </c>
      <c r="G11398" s="347" t="s">
        <v>1245</v>
      </c>
      <c r="H11398" s="348"/>
      <c r="I11398" s="348" t="s">
        <v>1253</v>
      </c>
      <c r="J11398" s="344" t="s">
        <v>113</v>
      </c>
      <c r="K11398" s="349">
        <v>12370.879120879121</v>
      </c>
      <c r="L11398" s="349"/>
      <c r="M11398" s="455"/>
      <c r="N11398" s="251"/>
      <c r="O11398" s="251"/>
      <c r="P11398" s="251"/>
    </row>
    <row r="11399" spans="1:16" ht="11.25" customHeight="1" x14ac:dyDescent="0.2">
      <c r="A11399" s="350">
        <v>2025</v>
      </c>
      <c r="B11399" s="350">
        <v>12</v>
      </c>
      <c r="C11399" s="350">
        <v>2</v>
      </c>
      <c r="D11399" s="351">
        <f t="shared" si="1560"/>
        <v>45993</v>
      </c>
      <c r="E11399" s="352">
        <f t="shared" si="1564"/>
        <v>45993</v>
      </c>
      <c r="F11399" s="519"/>
      <c r="G11399" s="353" t="s">
        <v>1245</v>
      </c>
      <c r="H11399" s="354"/>
      <c r="I11399" s="354" t="s">
        <v>1253</v>
      </c>
      <c r="J11399" s="350" t="s">
        <v>153</v>
      </c>
      <c r="K11399" s="355"/>
      <c r="L11399" s="355">
        <f t="shared" ref="L11399" si="1567">K11398</f>
        <v>12370.879120879121</v>
      </c>
    </row>
    <row r="11400" spans="1:16" ht="11.25" customHeight="1" x14ac:dyDescent="0.2">
      <c r="A11400" s="210">
        <v>2025</v>
      </c>
      <c r="B11400" s="210">
        <v>12</v>
      </c>
      <c r="C11400" s="210">
        <v>2</v>
      </c>
      <c r="D11400" s="211">
        <f t="shared" si="1560"/>
        <v>45993</v>
      </c>
      <c r="E11400" s="238">
        <f t="shared" si="1564"/>
        <v>45993</v>
      </c>
      <c r="F11400" s="520" t="s">
        <v>1857</v>
      </c>
      <c r="G11400" s="213" t="s">
        <v>1245</v>
      </c>
      <c r="H11400" s="214"/>
      <c r="I11400" s="214" t="s">
        <v>1253</v>
      </c>
      <c r="J11400" s="210" t="s">
        <v>1284</v>
      </c>
      <c r="K11400" s="215">
        <v>334.54448777029421</v>
      </c>
      <c r="L11400" s="215"/>
      <c r="M11400" s="455"/>
    </row>
    <row r="11401" spans="1:16" ht="11.25" customHeight="1" x14ac:dyDescent="0.2">
      <c r="A11401" s="242">
        <v>2025</v>
      </c>
      <c r="B11401" s="242">
        <v>12</v>
      </c>
      <c r="C11401" s="242">
        <v>2</v>
      </c>
      <c r="D11401" s="243">
        <f t="shared" si="1560"/>
        <v>45993</v>
      </c>
      <c r="E11401" s="244">
        <f>DATE(A11401,B11401,C11401)</f>
        <v>45993</v>
      </c>
      <c r="F11401" s="524"/>
      <c r="G11401" s="245" t="s">
        <v>1245</v>
      </c>
      <c r="H11401" s="246"/>
      <c r="I11401" s="246"/>
      <c r="J11401" s="242" t="s">
        <v>1582</v>
      </c>
      <c r="K11401" s="247"/>
      <c r="L11401" s="247">
        <f>K11400</f>
        <v>334.54448777029421</v>
      </c>
    </row>
    <row r="11402" spans="1:16" ht="11.25" customHeight="1" x14ac:dyDescent="0.2">
      <c r="A11402" s="210">
        <v>2025</v>
      </c>
      <c r="B11402" s="210">
        <v>12</v>
      </c>
      <c r="C11402" s="210">
        <v>2</v>
      </c>
      <c r="D11402" s="211">
        <f t="shared" si="1560"/>
        <v>45993</v>
      </c>
      <c r="E11402" s="238">
        <f t="shared" ref="E11402:E11430" si="1568">DATE(A11402,B11402,C11402)</f>
        <v>45993</v>
      </c>
      <c r="F11402" s="520" t="s">
        <v>2055</v>
      </c>
      <c r="G11402" s="213" t="s">
        <v>1245</v>
      </c>
      <c r="H11402" s="214"/>
      <c r="I11402" s="214" t="s">
        <v>1253</v>
      </c>
      <c r="J11402" s="210" t="s">
        <v>58</v>
      </c>
      <c r="K11402" s="215">
        <v>2544.86</v>
      </c>
      <c r="L11402" s="215"/>
    </row>
    <row r="11403" spans="1:16" ht="11.25" customHeight="1" x14ac:dyDescent="0.2">
      <c r="A11403" s="216">
        <v>2025</v>
      </c>
      <c r="B11403" s="216">
        <v>12</v>
      </c>
      <c r="C11403" s="216">
        <v>2</v>
      </c>
      <c r="D11403" s="217">
        <f t="shared" si="1560"/>
        <v>45993</v>
      </c>
      <c r="E11403" s="239">
        <f t="shared" si="1568"/>
        <v>45993</v>
      </c>
      <c r="F11403" s="521"/>
      <c r="G11403" s="219" t="s">
        <v>1245</v>
      </c>
      <c r="H11403" s="220"/>
      <c r="I11403" s="220" t="s">
        <v>1253</v>
      </c>
      <c r="J11403" s="216" t="s">
        <v>153</v>
      </c>
      <c r="K11403" s="221"/>
      <c r="L11403" s="221">
        <f>K11402</f>
        <v>2544.86</v>
      </c>
    </row>
    <row r="11404" spans="1:16" ht="11.25" customHeight="1" x14ac:dyDescent="0.2">
      <c r="A11404" s="312">
        <v>2025</v>
      </c>
      <c r="B11404" s="312">
        <v>12</v>
      </c>
      <c r="C11404" s="312">
        <v>2</v>
      </c>
      <c r="D11404" s="313">
        <f t="shared" si="1560"/>
        <v>45993</v>
      </c>
      <c r="E11404" s="314">
        <f t="shared" si="1568"/>
        <v>45993</v>
      </c>
      <c r="F11404" s="522" t="s">
        <v>1477</v>
      </c>
      <c r="G11404" s="315" t="s">
        <v>1245</v>
      </c>
      <c r="H11404" s="316"/>
      <c r="I11404" s="316" t="s">
        <v>1253</v>
      </c>
      <c r="J11404" s="312" t="s">
        <v>1458</v>
      </c>
      <c r="K11404" s="317">
        <v>0</v>
      </c>
      <c r="L11404" s="317"/>
    </row>
    <row r="11405" spans="1:16" ht="11.25" customHeight="1" x14ac:dyDescent="0.2">
      <c r="A11405" s="318">
        <v>2025</v>
      </c>
      <c r="B11405" s="318">
        <v>12</v>
      </c>
      <c r="C11405" s="318">
        <v>2</v>
      </c>
      <c r="D11405" s="319">
        <f t="shared" si="1560"/>
        <v>45993</v>
      </c>
      <c r="E11405" s="320">
        <f t="shared" si="1568"/>
        <v>45993</v>
      </c>
      <c r="F11405" s="523"/>
      <c r="G11405" s="321" t="s">
        <v>1245</v>
      </c>
      <c r="H11405" s="322"/>
      <c r="I11405" s="322" t="s">
        <v>1253</v>
      </c>
      <c r="J11405" s="318" t="s">
        <v>1460</v>
      </c>
      <c r="K11405" s="323"/>
      <c r="L11405" s="323">
        <f>K11404</f>
        <v>0</v>
      </c>
    </row>
    <row r="11406" spans="1:16" ht="11.25" customHeight="1" x14ac:dyDescent="0.2">
      <c r="A11406" s="312">
        <v>2025</v>
      </c>
      <c r="B11406" s="312">
        <v>12</v>
      </c>
      <c r="C11406" s="312">
        <v>2</v>
      </c>
      <c r="D11406" s="313">
        <f t="shared" si="1560"/>
        <v>45993</v>
      </c>
      <c r="E11406" s="314">
        <f t="shared" si="1568"/>
        <v>45993</v>
      </c>
      <c r="F11406" s="522" t="s">
        <v>1595</v>
      </c>
      <c r="G11406" s="315" t="s">
        <v>1245</v>
      </c>
      <c r="H11406" s="316"/>
      <c r="I11406" s="316" t="s">
        <v>1253</v>
      </c>
      <c r="J11406" s="312" t="s">
        <v>1461</v>
      </c>
      <c r="K11406" s="317">
        <v>94625.887999951839</v>
      </c>
      <c r="L11406" s="317"/>
      <c r="M11406" s="328">
        <f>BS!$I$14</f>
        <v>0</v>
      </c>
    </row>
    <row r="11407" spans="1:16" ht="11.25" customHeight="1" x14ac:dyDescent="0.2">
      <c r="A11407" s="318">
        <v>2025</v>
      </c>
      <c r="B11407" s="318">
        <v>12</v>
      </c>
      <c r="C11407" s="318">
        <v>2</v>
      </c>
      <c r="D11407" s="319">
        <f t="shared" si="1560"/>
        <v>45993</v>
      </c>
      <c r="E11407" s="320">
        <f t="shared" si="1568"/>
        <v>45993</v>
      </c>
      <c r="F11407" s="523"/>
      <c r="G11407" s="321" t="s">
        <v>1245</v>
      </c>
      <c r="H11407" s="322"/>
      <c r="I11407" s="322" t="s">
        <v>1253</v>
      </c>
      <c r="J11407" s="318" t="s">
        <v>1459</v>
      </c>
      <c r="K11407" s="323"/>
      <c r="L11407" s="323">
        <f>K11406</f>
        <v>94625.887999951839</v>
      </c>
      <c r="M11407" s="328"/>
    </row>
    <row r="11408" spans="1:16" ht="11.25" customHeight="1" x14ac:dyDescent="0.2">
      <c r="A11408" s="222">
        <v>2025</v>
      </c>
      <c r="B11408" s="222">
        <v>12</v>
      </c>
      <c r="C11408" s="222">
        <v>2</v>
      </c>
      <c r="D11408" s="223">
        <f t="shared" si="1560"/>
        <v>45993</v>
      </c>
      <c r="E11408" s="240">
        <f t="shared" si="1568"/>
        <v>45993</v>
      </c>
      <c r="F11408" s="511" t="s">
        <v>1244</v>
      </c>
      <c r="G11408" s="225" t="s">
        <v>1245</v>
      </c>
      <c r="H11408" s="226"/>
      <c r="I11408" s="226" t="s">
        <v>1253</v>
      </c>
      <c r="J11408" s="222" t="s">
        <v>87</v>
      </c>
      <c r="K11408" s="227">
        <v>8.5</v>
      </c>
      <c r="L11408" s="227"/>
      <c r="M11408" s="328">
        <f>BS!$I$7</f>
        <v>0</v>
      </c>
    </row>
    <row r="11409" spans="1:15" ht="11.25" customHeight="1" x14ac:dyDescent="0.2">
      <c r="A11409" s="228">
        <v>2025</v>
      </c>
      <c r="B11409" s="228">
        <v>12</v>
      </c>
      <c r="C11409" s="228">
        <v>2</v>
      </c>
      <c r="D11409" s="229">
        <f t="shared" si="1560"/>
        <v>45993</v>
      </c>
      <c r="E11409" s="241">
        <f t="shared" si="1568"/>
        <v>45993</v>
      </c>
      <c r="F11409" s="512"/>
      <c r="G11409" s="231" t="s">
        <v>1245</v>
      </c>
      <c r="H11409" s="232"/>
      <c r="I11409" s="232" t="s">
        <v>1253</v>
      </c>
      <c r="J11409" s="228" t="s">
        <v>72</v>
      </c>
      <c r="K11409" s="233"/>
      <c r="L11409" s="233">
        <f>K11408</f>
        <v>8.5</v>
      </c>
    </row>
    <row r="11410" spans="1:15" ht="11.25" customHeight="1" x14ac:dyDescent="0.2">
      <c r="A11410" s="222">
        <v>2025</v>
      </c>
      <c r="B11410" s="222">
        <v>12</v>
      </c>
      <c r="C11410" s="222">
        <v>2</v>
      </c>
      <c r="D11410" s="223">
        <f t="shared" si="1560"/>
        <v>45993</v>
      </c>
      <c r="E11410" s="240">
        <f t="shared" si="1568"/>
        <v>45993</v>
      </c>
      <c r="F11410" s="511" t="s">
        <v>1246</v>
      </c>
      <c r="G11410" s="225" t="s">
        <v>1245</v>
      </c>
      <c r="H11410" s="226"/>
      <c r="I11410" s="226" t="s">
        <v>1253</v>
      </c>
      <c r="J11410" s="222" t="s">
        <v>75</v>
      </c>
      <c r="K11410" s="227">
        <v>517.58912087912086</v>
      </c>
      <c r="L11410" s="227"/>
    </row>
    <row r="11411" spans="1:15" ht="11.25" customHeight="1" x14ac:dyDescent="0.2">
      <c r="A11411" s="228">
        <v>2025</v>
      </c>
      <c r="B11411" s="228">
        <v>12</v>
      </c>
      <c r="C11411" s="228">
        <v>2</v>
      </c>
      <c r="D11411" s="229">
        <f t="shared" si="1560"/>
        <v>45993</v>
      </c>
      <c r="E11411" s="241">
        <f t="shared" si="1568"/>
        <v>45993</v>
      </c>
      <c r="F11411" s="512"/>
      <c r="G11411" s="231" t="s">
        <v>1245</v>
      </c>
      <c r="H11411" s="232"/>
      <c r="I11411" s="232" t="s">
        <v>1253</v>
      </c>
      <c r="J11411" s="228" t="s">
        <v>55</v>
      </c>
      <c r="K11411" s="233"/>
      <c r="L11411" s="233">
        <f>K11410</f>
        <v>517.58912087912086</v>
      </c>
    </row>
    <row r="11412" spans="1:15" ht="11.25" customHeight="1" x14ac:dyDescent="0.2">
      <c r="A11412" s="222">
        <v>2025</v>
      </c>
      <c r="B11412" s="222">
        <v>12</v>
      </c>
      <c r="C11412" s="222">
        <v>2</v>
      </c>
      <c r="D11412" s="223">
        <f t="shared" si="1560"/>
        <v>45993</v>
      </c>
      <c r="E11412" s="240">
        <f t="shared" si="1568"/>
        <v>45993</v>
      </c>
      <c r="F11412" s="511" t="s">
        <v>1247</v>
      </c>
      <c r="G11412" s="225" t="s">
        <v>1245</v>
      </c>
      <c r="H11412" s="226"/>
      <c r="I11412" s="226" t="s">
        <v>1253</v>
      </c>
      <c r="J11412" s="222" t="s">
        <v>77</v>
      </c>
      <c r="K11412" s="227">
        <f>M11412</f>
        <v>7472.3416485464531</v>
      </c>
      <c r="L11412" s="227"/>
      <c r="M11412" s="478">
        <v>7472.3416485464531</v>
      </c>
    </row>
    <row r="11413" spans="1:15" ht="11.25" customHeight="1" x14ac:dyDescent="0.2">
      <c r="A11413" s="228">
        <v>2025</v>
      </c>
      <c r="B11413" s="228">
        <v>12</v>
      </c>
      <c r="C11413" s="228">
        <v>2</v>
      </c>
      <c r="D11413" s="229">
        <f t="shared" si="1560"/>
        <v>45993</v>
      </c>
      <c r="E11413" s="241">
        <f t="shared" si="1568"/>
        <v>45993</v>
      </c>
      <c r="F11413" s="512"/>
      <c r="G11413" s="231" t="s">
        <v>1245</v>
      </c>
      <c r="H11413" s="232"/>
      <c r="I11413" s="232" t="s">
        <v>1253</v>
      </c>
      <c r="J11413" s="228" t="s">
        <v>41</v>
      </c>
      <c r="K11413" s="233"/>
      <c r="L11413" s="233">
        <f>K11412</f>
        <v>7472.3416485464531</v>
      </c>
      <c r="M11413" s="478">
        <v>747.23416485464531</v>
      </c>
      <c r="N11413" s="251"/>
    </row>
    <row r="11414" spans="1:15" ht="11.25" customHeight="1" x14ac:dyDescent="0.2">
      <c r="A11414" s="222">
        <v>2025</v>
      </c>
      <c r="B11414" s="222">
        <v>12</v>
      </c>
      <c r="C11414" s="222">
        <v>2</v>
      </c>
      <c r="D11414" s="223">
        <f t="shared" si="1560"/>
        <v>45993</v>
      </c>
      <c r="E11414" s="240">
        <f t="shared" si="1568"/>
        <v>45993</v>
      </c>
      <c r="F11414" s="511" t="s">
        <v>1248</v>
      </c>
      <c r="G11414" s="225" t="s">
        <v>1245</v>
      </c>
      <c r="H11414" s="226"/>
      <c r="I11414" s="226" t="s">
        <v>1253</v>
      </c>
      <c r="J11414" s="222" t="s">
        <v>80</v>
      </c>
      <c r="K11414" s="227">
        <f>M11413</f>
        <v>747.23416485464531</v>
      </c>
      <c r="L11414" s="227"/>
      <c r="N11414" s="251"/>
      <c r="O11414" s="251"/>
    </row>
    <row r="11415" spans="1:15" ht="11.25" customHeight="1" x14ac:dyDescent="0.2">
      <c r="A11415" s="228">
        <v>2025</v>
      </c>
      <c r="B11415" s="228">
        <v>12</v>
      </c>
      <c r="C11415" s="228">
        <v>2</v>
      </c>
      <c r="D11415" s="229">
        <f t="shared" si="1560"/>
        <v>45993</v>
      </c>
      <c r="E11415" s="241">
        <f t="shared" si="1568"/>
        <v>45993</v>
      </c>
      <c r="F11415" s="512"/>
      <c r="G11415" s="231" t="s">
        <v>1245</v>
      </c>
      <c r="H11415" s="232"/>
      <c r="I11415" s="232" t="s">
        <v>1253</v>
      </c>
      <c r="J11415" s="228" t="s">
        <v>42</v>
      </c>
      <c r="K11415" s="233"/>
      <c r="L11415" s="233">
        <f>K11414</f>
        <v>747.23416485464531</v>
      </c>
    </row>
    <row r="11416" spans="1:15" x14ac:dyDescent="0.2">
      <c r="A11416" s="197">
        <v>2025</v>
      </c>
      <c r="B11416" s="197">
        <v>12</v>
      </c>
      <c r="C11416" s="197">
        <v>3</v>
      </c>
      <c r="D11416" s="198">
        <f t="shared" si="1560"/>
        <v>45994</v>
      </c>
      <c r="E11416" s="209">
        <f t="shared" si="1568"/>
        <v>45994</v>
      </c>
      <c r="F11416" s="513" t="s">
        <v>1210</v>
      </c>
      <c r="G11416" s="200" t="s">
        <v>1209</v>
      </c>
      <c r="H11416" s="201"/>
      <c r="I11416" s="201"/>
      <c r="J11416" s="197" t="s">
        <v>46</v>
      </c>
      <c r="K11416" s="202">
        <v>500000</v>
      </c>
      <c r="L11416" s="202"/>
    </row>
    <row r="11417" spans="1:15" x14ac:dyDescent="0.2">
      <c r="A11417" s="120">
        <v>2025</v>
      </c>
      <c r="B11417" s="120">
        <v>12</v>
      </c>
      <c r="C11417" s="120">
        <v>3</v>
      </c>
      <c r="D11417" s="208">
        <f t="shared" si="1560"/>
        <v>45994</v>
      </c>
      <c r="E11417" s="209">
        <f t="shared" si="1568"/>
        <v>45994</v>
      </c>
      <c r="F11417" s="515"/>
      <c r="G11417" s="132" t="s">
        <v>1209</v>
      </c>
      <c r="J11417" s="120" t="s">
        <v>16</v>
      </c>
      <c r="K11417" s="207"/>
      <c r="L11417" s="207">
        <v>364430</v>
      </c>
    </row>
    <row r="11418" spans="1:15" x14ac:dyDescent="0.2">
      <c r="A11418" s="191">
        <v>2025</v>
      </c>
      <c r="B11418" s="191">
        <v>12</v>
      </c>
      <c r="C11418" s="191">
        <v>3</v>
      </c>
      <c r="D11418" s="192">
        <f t="shared" si="1560"/>
        <v>45994</v>
      </c>
      <c r="E11418" s="193">
        <f t="shared" si="1568"/>
        <v>45994</v>
      </c>
      <c r="F11418" s="514"/>
      <c r="G11418" s="194" t="s">
        <v>1209</v>
      </c>
      <c r="H11418" s="195"/>
      <c r="I11418" s="195"/>
      <c r="J11418" s="191" t="s">
        <v>47</v>
      </c>
      <c r="K11418" s="196"/>
      <c r="L11418" s="196">
        <v>135570</v>
      </c>
    </row>
    <row r="11419" spans="1:15" x14ac:dyDescent="0.2">
      <c r="A11419" s="424">
        <v>2025</v>
      </c>
      <c r="B11419" s="424">
        <v>12</v>
      </c>
      <c r="C11419" s="424">
        <v>3</v>
      </c>
      <c r="D11419" s="425">
        <f t="shared" si="1560"/>
        <v>45994</v>
      </c>
      <c r="E11419" s="384">
        <f t="shared" si="1568"/>
        <v>45994</v>
      </c>
      <c r="F11419" s="516" t="s">
        <v>1850</v>
      </c>
      <c r="G11419" s="426" t="s">
        <v>1209</v>
      </c>
      <c r="H11419" s="427"/>
      <c r="I11419" s="427"/>
      <c r="J11419" s="428" t="s">
        <v>81</v>
      </c>
      <c r="K11419" s="429">
        <v>1595.8173626373627</v>
      </c>
      <c r="L11419" s="429"/>
      <c r="M11419" s="455"/>
    </row>
    <row r="11420" spans="1:15" x14ac:dyDescent="0.2">
      <c r="A11420" s="389">
        <v>2025</v>
      </c>
      <c r="B11420" s="389">
        <v>12</v>
      </c>
      <c r="C11420" s="389">
        <v>3</v>
      </c>
      <c r="D11420" s="390">
        <f t="shared" si="1560"/>
        <v>45994</v>
      </c>
      <c r="E11420" s="391">
        <f t="shared" si="1568"/>
        <v>45994</v>
      </c>
      <c r="F11420" s="517"/>
      <c r="G11420" s="392" t="s">
        <v>1209</v>
      </c>
      <c r="H11420" s="393"/>
      <c r="I11420" s="393"/>
      <c r="J11420" s="394" t="s">
        <v>1847</v>
      </c>
      <c r="K11420" s="423"/>
      <c r="L11420" s="423">
        <f>K11419</f>
        <v>1595.8173626373627</v>
      </c>
    </row>
    <row r="11421" spans="1:15" ht="11.25" customHeight="1" x14ac:dyDescent="0.2">
      <c r="A11421" s="382">
        <v>2025</v>
      </c>
      <c r="B11421" s="382">
        <v>12</v>
      </c>
      <c r="C11421" s="382">
        <v>3</v>
      </c>
      <c r="D11421" s="383">
        <f t="shared" si="1560"/>
        <v>45994</v>
      </c>
      <c r="E11421" s="384">
        <f t="shared" si="1568"/>
        <v>45994</v>
      </c>
      <c r="F11421" s="516" t="s">
        <v>1892</v>
      </c>
      <c r="G11421" s="385" t="s">
        <v>1209</v>
      </c>
      <c r="H11421" s="386"/>
      <c r="I11421" s="386"/>
      <c r="J11421" s="387" t="s">
        <v>173</v>
      </c>
      <c r="K11421" s="388">
        <v>619.56925167113081</v>
      </c>
      <c r="L11421" s="388"/>
      <c r="M11421" s="455"/>
    </row>
    <row r="11422" spans="1:15" ht="11.25" customHeight="1" x14ac:dyDescent="0.2">
      <c r="A11422" s="389">
        <v>2025</v>
      </c>
      <c r="B11422" s="389">
        <v>12</v>
      </c>
      <c r="C11422" s="389">
        <v>3</v>
      </c>
      <c r="D11422" s="390">
        <f t="shared" si="1560"/>
        <v>45994</v>
      </c>
      <c r="E11422" s="391">
        <f t="shared" si="1568"/>
        <v>45994</v>
      </c>
      <c r="F11422" s="517"/>
      <c r="G11422" s="392" t="s">
        <v>1209</v>
      </c>
      <c r="H11422" s="393"/>
      <c r="I11422" s="393"/>
      <c r="J11422" s="394" t="s">
        <v>43</v>
      </c>
      <c r="K11422" s="388"/>
      <c r="L11422" s="423">
        <f>K11421</f>
        <v>619.56925167113081</v>
      </c>
    </row>
    <row r="11423" spans="1:15" ht="11.25" customHeight="1" x14ac:dyDescent="0.2">
      <c r="A11423" s="344">
        <v>2025</v>
      </c>
      <c r="B11423" s="344">
        <v>12</v>
      </c>
      <c r="C11423" s="344">
        <v>3</v>
      </c>
      <c r="D11423" s="345">
        <f t="shared" si="1560"/>
        <v>45994</v>
      </c>
      <c r="E11423" s="346">
        <f t="shared" si="1568"/>
        <v>45994</v>
      </c>
      <c r="F11423" s="518" t="s">
        <v>1982</v>
      </c>
      <c r="G11423" s="347" t="s">
        <v>1245</v>
      </c>
      <c r="H11423" s="348"/>
      <c r="I11423" s="348" t="s">
        <v>1253</v>
      </c>
      <c r="J11423" s="344" t="s">
        <v>1978</v>
      </c>
      <c r="K11423" s="349">
        <v>21249.725274725275</v>
      </c>
      <c r="L11423" s="349"/>
      <c r="M11423" s="455"/>
    </row>
    <row r="11424" spans="1:15" ht="11.25" customHeight="1" x14ac:dyDescent="0.2">
      <c r="A11424" s="350">
        <v>2025</v>
      </c>
      <c r="B11424" s="350">
        <v>12</v>
      </c>
      <c r="C11424" s="350">
        <v>3</v>
      </c>
      <c r="D11424" s="351">
        <f t="shared" si="1560"/>
        <v>45994</v>
      </c>
      <c r="E11424" s="352">
        <f t="shared" si="1568"/>
        <v>45994</v>
      </c>
      <c r="F11424" s="519"/>
      <c r="G11424" s="353" t="s">
        <v>1245</v>
      </c>
      <c r="H11424" s="354"/>
      <c r="I11424" s="354" t="s">
        <v>1253</v>
      </c>
      <c r="J11424" s="350" t="s">
        <v>1979</v>
      </c>
      <c r="K11424" s="355"/>
      <c r="L11424" s="355">
        <f>K11423</f>
        <v>21249.725274725275</v>
      </c>
    </row>
    <row r="11425" spans="1:16" ht="11.25" customHeight="1" x14ac:dyDescent="0.2">
      <c r="A11425" s="344">
        <v>2025</v>
      </c>
      <c r="B11425" s="344">
        <v>12</v>
      </c>
      <c r="C11425" s="344">
        <v>3</v>
      </c>
      <c r="D11425" s="345">
        <f t="shared" si="1560"/>
        <v>45994</v>
      </c>
      <c r="E11425" s="346">
        <f t="shared" si="1568"/>
        <v>45994</v>
      </c>
      <c r="F11425" s="518" t="s">
        <v>2009</v>
      </c>
      <c r="G11425" s="347" t="s">
        <v>1245</v>
      </c>
      <c r="H11425" s="348"/>
      <c r="I11425" s="348" t="s">
        <v>1253</v>
      </c>
      <c r="J11425" s="344" t="s">
        <v>2004</v>
      </c>
      <c r="K11425" s="349">
        <v>7098.9014285714284</v>
      </c>
      <c r="L11425" s="349"/>
      <c r="M11425" s="455"/>
    </row>
    <row r="11426" spans="1:16" ht="11.25" customHeight="1" x14ac:dyDescent="0.2">
      <c r="A11426" s="350">
        <v>2025</v>
      </c>
      <c r="B11426" s="350">
        <v>12</v>
      </c>
      <c r="C11426" s="350">
        <v>3</v>
      </c>
      <c r="D11426" s="351">
        <f t="shared" si="1560"/>
        <v>45994</v>
      </c>
      <c r="E11426" s="352">
        <f t="shared" si="1568"/>
        <v>45994</v>
      </c>
      <c r="F11426" s="519"/>
      <c r="G11426" s="353" t="s">
        <v>1245</v>
      </c>
      <c r="H11426" s="354"/>
      <c r="I11426" s="354" t="s">
        <v>1253</v>
      </c>
      <c r="J11426" s="350" t="s">
        <v>2008</v>
      </c>
      <c r="K11426" s="355"/>
      <c r="L11426" s="355">
        <f t="shared" ref="L11426" si="1569">K11425</f>
        <v>7098.9014285714284</v>
      </c>
    </row>
    <row r="11427" spans="1:16" ht="11.25" customHeight="1" x14ac:dyDescent="0.2">
      <c r="A11427" s="344">
        <v>2025</v>
      </c>
      <c r="B11427" s="344">
        <v>12</v>
      </c>
      <c r="C11427" s="344">
        <v>3</v>
      </c>
      <c r="D11427" s="345">
        <f t="shared" si="1560"/>
        <v>45994</v>
      </c>
      <c r="E11427" s="346">
        <f t="shared" si="1568"/>
        <v>45994</v>
      </c>
      <c r="F11427" s="518" t="s">
        <v>2009</v>
      </c>
      <c r="G11427" s="347" t="s">
        <v>1245</v>
      </c>
      <c r="H11427" s="348"/>
      <c r="I11427" s="348" t="s">
        <v>1253</v>
      </c>
      <c r="J11427" s="344" t="s">
        <v>2004</v>
      </c>
      <c r="K11427" s="349">
        <v>7098.9014285714284</v>
      </c>
      <c r="L11427" s="349"/>
      <c r="M11427" s="455"/>
    </row>
    <row r="11428" spans="1:16" ht="11.25" customHeight="1" x14ac:dyDescent="0.2">
      <c r="A11428" s="350">
        <v>2025</v>
      </c>
      <c r="B11428" s="350">
        <v>12</v>
      </c>
      <c r="C11428" s="350">
        <v>3</v>
      </c>
      <c r="D11428" s="351">
        <f t="shared" si="1560"/>
        <v>45994</v>
      </c>
      <c r="E11428" s="352">
        <f t="shared" si="1568"/>
        <v>45994</v>
      </c>
      <c r="F11428" s="519"/>
      <c r="G11428" s="353" t="s">
        <v>1245</v>
      </c>
      <c r="H11428" s="354"/>
      <c r="I11428" s="354" t="s">
        <v>1253</v>
      </c>
      <c r="J11428" s="350" t="s">
        <v>2008</v>
      </c>
      <c r="K11428" s="355"/>
      <c r="L11428" s="355">
        <f t="shared" ref="L11428" si="1570">K11427</f>
        <v>7098.9014285714284</v>
      </c>
    </row>
    <row r="11429" spans="1:16" ht="11.25" customHeight="1" x14ac:dyDescent="0.2">
      <c r="A11429" s="344">
        <v>2025</v>
      </c>
      <c r="B11429" s="344">
        <v>12</v>
      </c>
      <c r="C11429" s="344">
        <v>3</v>
      </c>
      <c r="D11429" s="345">
        <f t="shared" si="1560"/>
        <v>45994</v>
      </c>
      <c r="E11429" s="346">
        <f t="shared" si="1568"/>
        <v>45994</v>
      </c>
      <c r="F11429" s="518" t="s">
        <v>2088</v>
      </c>
      <c r="G11429" s="347" t="s">
        <v>1245</v>
      </c>
      <c r="H11429" s="348"/>
      <c r="I11429" s="348" t="s">
        <v>1253</v>
      </c>
      <c r="J11429" s="344" t="s">
        <v>2086</v>
      </c>
      <c r="K11429" s="349">
        <v>1789.835164835165</v>
      </c>
      <c r="L11429" s="349"/>
      <c r="M11429" s="455"/>
    </row>
    <row r="11430" spans="1:16" ht="11.25" customHeight="1" x14ac:dyDescent="0.2">
      <c r="A11430" s="350">
        <v>2025</v>
      </c>
      <c r="B11430" s="350">
        <v>12</v>
      </c>
      <c r="C11430" s="350">
        <v>3</v>
      </c>
      <c r="D11430" s="351">
        <f t="shared" si="1560"/>
        <v>45994</v>
      </c>
      <c r="E11430" s="352">
        <f t="shared" si="1568"/>
        <v>45994</v>
      </c>
      <c r="F11430" s="519"/>
      <c r="G11430" s="353" t="s">
        <v>1245</v>
      </c>
      <c r="H11430" s="354"/>
      <c r="I11430" s="354" t="s">
        <v>1253</v>
      </c>
      <c r="J11430" s="350" t="s">
        <v>2089</v>
      </c>
      <c r="K11430" s="355"/>
      <c r="L11430" s="355">
        <f>K11429</f>
        <v>1789.835164835165</v>
      </c>
    </row>
    <row r="11431" spans="1:16" ht="11.25" customHeight="1" x14ac:dyDescent="0.2">
      <c r="A11431" s="344">
        <v>2025</v>
      </c>
      <c r="B11431" s="344">
        <v>12</v>
      </c>
      <c r="C11431" s="344">
        <v>3</v>
      </c>
      <c r="D11431" s="345">
        <f t="shared" si="1560"/>
        <v>45994</v>
      </c>
      <c r="E11431" s="346">
        <f>DATE(A11431,B11431,C11431)</f>
        <v>45994</v>
      </c>
      <c r="F11431" s="518" t="s">
        <v>1988</v>
      </c>
      <c r="G11431" s="347" t="s">
        <v>1245</v>
      </c>
      <c r="H11431" s="348"/>
      <c r="I11431" s="348" t="s">
        <v>1253</v>
      </c>
      <c r="J11431" s="344" t="s">
        <v>113</v>
      </c>
      <c r="K11431" s="349">
        <v>4692.3071428571429</v>
      </c>
      <c r="L11431" s="349"/>
      <c r="M11431" s="455"/>
    </row>
    <row r="11432" spans="1:16" ht="11.25" customHeight="1" x14ac:dyDescent="0.2">
      <c r="A11432" s="350">
        <v>2025</v>
      </c>
      <c r="B11432" s="350">
        <v>12</v>
      </c>
      <c r="C11432" s="350">
        <v>3</v>
      </c>
      <c r="D11432" s="351">
        <f t="shared" si="1560"/>
        <v>45994</v>
      </c>
      <c r="E11432" s="352">
        <f>DATE(A11432,B11432,C11432)</f>
        <v>45994</v>
      </c>
      <c r="F11432" s="519"/>
      <c r="G11432" s="353" t="s">
        <v>1245</v>
      </c>
      <c r="H11432" s="354"/>
      <c r="I11432" s="354" t="s">
        <v>1253</v>
      </c>
      <c r="J11432" s="350" t="s">
        <v>153</v>
      </c>
      <c r="K11432" s="355"/>
      <c r="L11432" s="355">
        <f t="shared" ref="L11432" si="1571">K11431</f>
        <v>4692.3071428571429</v>
      </c>
    </row>
    <row r="11433" spans="1:16" ht="11.25" customHeight="1" x14ac:dyDescent="0.2">
      <c r="A11433" s="344">
        <v>2025</v>
      </c>
      <c r="B11433" s="344">
        <v>12</v>
      </c>
      <c r="C11433" s="344">
        <v>3</v>
      </c>
      <c r="D11433" s="345">
        <f t="shared" si="1560"/>
        <v>45994</v>
      </c>
      <c r="E11433" s="346">
        <f t="shared" ref="E11433:E11439" si="1572">DATE(A11433,B11433,C11433)</f>
        <v>45994</v>
      </c>
      <c r="F11433" s="518" t="s">
        <v>1989</v>
      </c>
      <c r="G11433" s="347" t="s">
        <v>1245</v>
      </c>
      <c r="H11433" s="348"/>
      <c r="I11433" s="348" t="s">
        <v>1253</v>
      </c>
      <c r="J11433" s="344" t="s">
        <v>113</v>
      </c>
      <c r="K11433" s="349">
        <v>3351.6483516483518</v>
      </c>
      <c r="L11433" s="349"/>
      <c r="M11433" s="455"/>
    </row>
    <row r="11434" spans="1:16" ht="11.25" customHeight="1" x14ac:dyDescent="0.2">
      <c r="A11434" s="350">
        <v>2025</v>
      </c>
      <c r="B11434" s="350">
        <v>12</v>
      </c>
      <c r="C11434" s="350">
        <v>3</v>
      </c>
      <c r="D11434" s="351">
        <f t="shared" si="1560"/>
        <v>45994</v>
      </c>
      <c r="E11434" s="352">
        <f t="shared" si="1572"/>
        <v>45994</v>
      </c>
      <c r="F11434" s="519"/>
      <c r="G11434" s="353" t="s">
        <v>1245</v>
      </c>
      <c r="H11434" s="354"/>
      <c r="I11434" s="354" t="s">
        <v>1253</v>
      </c>
      <c r="J11434" s="350" t="s">
        <v>153</v>
      </c>
      <c r="K11434" s="355"/>
      <c r="L11434" s="355">
        <f t="shared" ref="L11434" si="1573">K11433</f>
        <v>3351.6483516483518</v>
      </c>
    </row>
    <row r="11435" spans="1:16" ht="11.25" customHeight="1" x14ac:dyDescent="0.2">
      <c r="A11435" s="344">
        <v>2025</v>
      </c>
      <c r="B11435" s="344">
        <v>12</v>
      </c>
      <c r="C11435" s="344">
        <v>3</v>
      </c>
      <c r="D11435" s="345">
        <f t="shared" si="1560"/>
        <v>45994</v>
      </c>
      <c r="E11435" s="346">
        <f t="shared" si="1572"/>
        <v>45994</v>
      </c>
      <c r="F11435" s="518" t="s">
        <v>1990</v>
      </c>
      <c r="G11435" s="347" t="s">
        <v>1245</v>
      </c>
      <c r="H11435" s="348"/>
      <c r="I11435" s="348" t="s">
        <v>1253</v>
      </c>
      <c r="J11435" s="344" t="s">
        <v>113</v>
      </c>
      <c r="K11435" s="349">
        <v>10054.945714285714</v>
      </c>
      <c r="L11435" s="349"/>
      <c r="M11435" s="455"/>
      <c r="N11435" s="251"/>
      <c r="O11435" s="251"/>
      <c r="P11435" s="251"/>
    </row>
    <row r="11436" spans="1:16" ht="11.25" customHeight="1" x14ac:dyDescent="0.2">
      <c r="A11436" s="350">
        <v>2025</v>
      </c>
      <c r="B11436" s="350">
        <v>12</v>
      </c>
      <c r="C11436" s="350">
        <v>3</v>
      </c>
      <c r="D11436" s="351">
        <f t="shared" ref="D11436:D11499" si="1574">DATE(A11436,B11436,C11436)</f>
        <v>45994</v>
      </c>
      <c r="E11436" s="352">
        <f t="shared" si="1572"/>
        <v>45994</v>
      </c>
      <c r="F11436" s="519"/>
      <c r="G11436" s="353" t="s">
        <v>1245</v>
      </c>
      <c r="H11436" s="354"/>
      <c r="I11436" s="354" t="s">
        <v>1253</v>
      </c>
      <c r="J11436" s="350" t="s">
        <v>153</v>
      </c>
      <c r="K11436" s="355"/>
      <c r="L11436" s="355">
        <f t="shared" ref="L11436" si="1575">K11435</f>
        <v>10054.945714285714</v>
      </c>
    </row>
    <row r="11437" spans="1:16" ht="11.25" customHeight="1" x14ac:dyDescent="0.2">
      <c r="A11437" s="344">
        <v>2025</v>
      </c>
      <c r="B11437" s="344">
        <v>12</v>
      </c>
      <c r="C11437" s="344">
        <v>3</v>
      </c>
      <c r="D11437" s="345">
        <f t="shared" si="1574"/>
        <v>45994</v>
      </c>
      <c r="E11437" s="346">
        <f t="shared" si="1572"/>
        <v>45994</v>
      </c>
      <c r="F11437" s="518" t="s">
        <v>2107</v>
      </c>
      <c r="G11437" s="347" t="s">
        <v>1245</v>
      </c>
      <c r="H11437" s="348"/>
      <c r="I11437" s="348" t="s">
        <v>1253</v>
      </c>
      <c r="J11437" s="344" t="s">
        <v>113</v>
      </c>
      <c r="K11437" s="349">
        <v>12370.879120879121</v>
      </c>
      <c r="L11437" s="349"/>
      <c r="M11437" s="455"/>
      <c r="N11437" s="251"/>
      <c r="O11437" s="251"/>
      <c r="P11437" s="251"/>
    </row>
    <row r="11438" spans="1:16" ht="11.25" customHeight="1" x14ac:dyDescent="0.2">
      <c r="A11438" s="350">
        <v>2025</v>
      </c>
      <c r="B11438" s="350">
        <v>12</v>
      </c>
      <c r="C11438" s="350">
        <v>3</v>
      </c>
      <c r="D11438" s="351">
        <f t="shared" si="1574"/>
        <v>45994</v>
      </c>
      <c r="E11438" s="352">
        <f t="shared" si="1572"/>
        <v>45994</v>
      </c>
      <c r="F11438" s="519"/>
      <c r="G11438" s="353" t="s">
        <v>1245</v>
      </c>
      <c r="H11438" s="354"/>
      <c r="I11438" s="354" t="s">
        <v>1253</v>
      </c>
      <c r="J11438" s="350" t="s">
        <v>153</v>
      </c>
      <c r="K11438" s="355"/>
      <c r="L11438" s="355">
        <f t="shared" ref="L11438" si="1576">K11437</f>
        <v>12370.879120879121</v>
      </c>
    </row>
    <row r="11439" spans="1:16" ht="11.25" customHeight="1" x14ac:dyDescent="0.2">
      <c r="A11439" s="210">
        <v>2025</v>
      </c>
      <c r="B11439" s="210">
        <v>12</v>
      </c>
      <c r="C11439" s="210">
        <v>3</v>
      </c>
      <c r="D11439" s="211">
        <f t="shared" si="1574"/>
        <v>45994</v>
      </c>
      <c r="E11439" s="238">
        <f t="shared" si="1572"/>
        <v>45994</v>
      </c>
      <c r="F11439" s="520" t="s">
        <v>1857</v>
      </c>
      <c r="G11439" s="213" t="s">
        <v>1245</v>
      </c>
      <c r="H11439" s="214"/>
      <c r="I11439" s="214" t="s">
        <v>1253</v>
      </c>
      <c r="J11439" s="210" t="s">
        <v>1284</v>
      </c>
      <c r="K11439" s="215">
        <v>334.54448777029421</v>
      </c>
      <c r="L11439" s="215"/>
      <c r="M11439" s="455"/>
    </row>
    <row r="11440" spans="1:16" ht="11.25" customHeight="1" x14ac:dyDescent="0.2">
      <c r="A11440" s="242">
        <v>2025</v>
      </c>
      <c r="B11440" s="242">
        <v>12</v>
      </c>
      <c r="C11440" s="242">
        <v>3</v>
      </c>
      <c r="D11440" s="243">
        <f t="shared" si="1574"/>
        <v>45994</v>
      </c>
      <c r="E11440" s="244">
        <f>DATE(A11440,B11440,C11440)</f>
        <v>45994</v>
      </c>
      <c r="F11440" s="524"/>
      <c r="G11440" s="245" t="s">
        <v>1245</v>
      </c>
      <c r="H11440" s="246"/>
      <c r="I11440" s="246"/>
      <c r="J11440" s="242" t="s">
        <v>1582</v>
      </c>
      <c r="K11440" s="247"/>
      <c r="L11440" s="247">
        <f>K11439</f>
        <v>334.54448777029421</v>
      </c>
    </row>
    <row r="11441" spans="1:15" ht="11.25" customHeight="1" x14ac:dyDescent="0.2">
      <c r="A11441" s="210">
        <v>2025</v>
      </c>
      <c r="B11441" s="210">
        <v>12</v>
      </c>
      <c r="C11441" s="210">
        <v>3</v>
      </c>
      <c r="D11441" s="211">
        <f t="shared" si="1574"/>
        <v>45994</v>
      </c>
      <c r="E11441" s="238">
        <f t="shared" ref="E11441:E11469" si="1577">DATE(A11441,B11441,C11441)</f>
        <v>45994</v>
      </c>
      <c r="F11441" s="520" t="s">
        <v>2055</v>
      </c>
      <c r="G11441" s="213" t="s">
        <v>1245</v>
      </c>
      <c r="H11441" s="214"/>
      <c r="I11441" s="214" t="s">
        <v>1253</v>
      </c>
      <c r="J11441" s="210" t="s">
        <v>58</v>
      </c>
      <c r="K11441" s="215">
        <v>2544.86</v>
      </c>
      <c r="L11441" s="215"/>
    </row>
    <row r="11442" spans="1:15" ht="11.25" customHeight="1" x14ac:dyDescent="0.2">
      <c r="A11442" s="216">
        <v>2025</v>
      </c>
      <c r="B11442" s="216">
        <v>12</v>
      </c>
      <c r="C11442" s="216">
        <v>3</v>
      </c>
      <c r="D11442" s="217">
        <f t="shared" si="1574"/>
        <v>45994</v>
      </c>
      <c r="E11442" s="239">
        <f t="shared" si="1577"/>
        <v>45994</v>
      </c>
      <c r="F11442" s="521"/>
      <c r="G11442" s="219" t="s">
        <v>1245</v>
      </c>
      <c r="H11442" s="220"/>
      <c r="I11442" s="220" t="s">
        <v>1253</v>
      </c>
      <c r="J11442" s="216" t="s">
        <v>153</v>
      </c>
      <c r="K11442" s="221"/>
      <c r="L11442" s="221">
        <f>K11441</f>
        <v>2544.86</v>
      </c>
    </row>
    <row r="11443" spans="1:15" ht="11.25" customHeight="1" x14ac:dyDescent="0.2">
      <c r="A11443" s="312">
        <v>2025</v>
      </c>
      <c r="B11443" s="312">
        <v>12</v>
      </c>
      <c r="C11443" s="312">
        <v>3</v>
      </c>
      <c r="D11443" s="313">
        <f t="shared" si="1574"/>
        <v>45994</v>
      </c>
      <c r="E11443" s="314">
        <f t="shared" si="1577"/>
        <v>45994</v>
      </c>
      <c r="F11443" s="522" t="s">
        <v>1477</v>
      </c>
      <c r="G11443" s="315" t="s">
        <v>1245</v>
      </c>
      <c r="H11443" s="316"/>
      <c r="I11443" s="316" t="s">
        <v>1253</v>
      </c>
      <c r="J11443" s="312" t="s">
        <v>1458</v>
      </c>
      <c r="K11443" s="317">
        <v>0</v>
      </c>
      <c r="L11443" s="317"/>
    </row>
    <row r="11444" spans="1:15" ht="11.25" customHeight="1" x14ac:dyDescent="0.2">
      <c r="A11444" s="318">
        <v>2025</v>
      </c>
      <c r="B11444" s="318">
        <v>12</v>
      </c>
      <c r="C11444" s="318">
        <v>3</v>
      </c>
      <c r="D11444" s="319">
        <f t="shared" si="1574"/>
        <v>45994</v>
      </c>
      <c r="E11444" s="320">
        <f t="shared" si="1577"/>
        <v>45994</v>
      </c>
      <c r="F11444" s="523"/>
      <c r="G11444" s="321" t="s">
        <v>1245</v>
      </c>
      <c r="H11444" s="322"/>
      <c r="I11444" s="322" t="s">
        <v>1253</v>
      </c>
      <c r="J11444" s="318" t="s">
        <v>1460</v>
      </c>
      <c r="K11444" s="323"/>
      <c r="L11444" s="323">
        <f>K11443</f>
        <v>0</v>
      </c>
    </row>
    <row r="11445" spans="1:15" ht="11.25" customHeight="1" x14ac:dyDescent="0.2">
      <c r="A11445" s="312">
        <v>2025</v>
      </c>
      <c r="B11445" s="312">
        <v>12</v>
      </c>
      <c r="C11445" s="312">
        <v>3</v>
      </c>
      <c r="D11445" s="313">
        <f t="shared" si="1574"/>
        <v>45994</v>
      </c>
      <c r="E11445" s="314">
        <f t="shared" si="1577"/>
        <v>45994</v>
      </c>
      <c r="F11445" s="522" t="s">
        <v>1595</v>
      </c>
      <c r="G11445" s="315" t="s">
        <v>1245</v>
      </c>
      <c r="H11445" s="316"/>
      <c r="I11445" s="316" t="s">
        <v>1253</v>
      </c>
      <c r="J11445" s="312" t="s">
        <v>1461</v>
      </c>
      <c r="K11445" s="317">
        <v>94402.167000114918</v>
      </c>
      <c r="L11445" s="317"/>
      <c r="M11445" s="328">
        <f>BS!$I$14</f>
        <v>0</v>
      </c>
    </row>
    <row r="11446" spans="1:15" ht="11.25" customHeight="1" x14ac:dyDescent="0.2">
      <c r="A11446" s="318">
        <v>2025</v>
      </c>
      <c r="B11446" s="318">
        <v>12</v>
      </c>
      <c r="C11446" s="318">
        <v>3</v>
      </c>
      <c r="D11446" s="319">
        <f t="shared" si="1574"/>
        <v>45994</v>
      </c>
      <c r="E11446" s="320">
        <f t="shared" si="1577"/>
        <v>45994</v>
      </c>
      <c r="F11446" s="523"/>
      <c r="G11446" s="321" t="s">
        <v>1245</v>
      </c>
      <c r="H11446" s="322"/>
      <c r="I11446" s="322" t="s">
        <v>1253</v>
      </c>
      <c r="J11446" s="318" t="s">
        <v>1459</v>
      </c>
      <c r="K11446" s="323"/>
      <c r="L11446" s="323">
        <f>K11445</f>
        <v>94402.167000114918</v>
      </c>
      <c r="M11446" s="328"/>
    </row>
    <row r="11447" spans="1:15" ht="11.25" customHeight="1" x14ac:dyDescent="0.2">
      <c r="A11447" s="222">
        <v>2025</v>
      </c>
      <c r="B11447" s="222">
        <v>12</v>
      </c>
      <c r="C11447" s="222">
        <v>3</v>
      </c>
      <c r="D11447" s="223">
        <f t="shared" si="1574"/>
        <v>45994</v>
      </c>
      <c r="E11447" s="240">
        <f t="shared" si="1577"/>
        <v>45994</v>
      </c>
      <c r="F11447" s="511" t="s">
        <v>1244</v>
      </c>
      <c r="G11447" s="225" t="s">
        <v>1245</v>
      </c>
      <c r="H11447" s="226"/>
      <c r="I11447" s="226" t="s">
        <v>1253</v>
      </c>
      <c r="J11447" s="222" t="s">
        <v>72</v>
      </c>
      <c r="K11447" s="227">
        <v>2626</v>
      </c>
      <c r="L11447" s="227"/>
      <c r="M11447" s="328">
        <f>BS!$I$7</f>
        <v>0</v>
      </c>
    </row>
    <row r="11448" spans="1:15" ht="11.25" customHeight="1" x14ac:dyDescent="0.2">
      <c r="A11448" s="228">
        <v>2025</v>
      </c>
      <c r="B11448" s="228">
        <v>12</v>
      </c>
      <c r="C11448" s="228">
        <v>3</v>
      </c>
      <c r="D11448" s="229">
        <f t="shared" si="1574"/>
        <v>45994</v>
      </c>
      <c r="E11448" s="241">
        <f t="shared" si="1577"/>
        <v>45994</v>
      </c>
      <c r="F11448" s="512"/>
      <c r="G11448" s="231" t="s">
        <v>1245</v>
      </c>
      <c r="H11448" s="232"/>
      <c r="I11448" s="232" t="s">
        <v>1253</v>
      </c>
      <c r="J11448" s="228" t="s">
        <v>87</v>
      </c>
      <c r="K11448" s="233"/>
      <c r="L11448" s="233">
        <f>K11447</f>
        <v>2626</v>
      </c>
    </row>
    <row r="11449" spans="1:15" ht="11.25" customHeight="1" x14ac:dyDescent="0.2">
      <c r="A11449" s="222">
        <v>2025</v>
      </c>
      <c r="B11449" s="222">
        <v>12</v>
      </c>
      <c r="C11449" s="222">
        <v>3</v>
      </c>
      <c r="D11449" s="223">
        <f t="shared" si="1574"/>
        <v>45994</v>
      </c>
      <c r="E11449" s="240">
        <f t="shared" si="1577"/>
        <v>45994</v>
      </c>
      <c r="F11449" s="511" t="s">
        <v>1246</v>
      </c>
      <c r="G11449" s="225" t="s">
        <v>1245</v>
      </c>
      <c r="H11449" s="226"/>
      <c r="I11449" s="226" t="s">
        <v>1253</v>
      </c>
      <c r="J11449" s="222" t="s">
        <v>75</v>
      </c>
      <c r="K11449" s="227">
        <v>517.58912087912086</v>
      </c>
      <c r="L11449" s="227"/>
    </row>
    <row r="11450" spans="1:15" ht="11.25" customHeight="1" x14ac:dyDescent="0.2">
      <c r="A11450" s="228">
        <v>2025</v>
      </c>
      <c r="B11450" s="228">
        <v>12</v>
      </c>
      <c r="C11450" s="228">
        <v>3</v>
      </c>
      <c r="D11450" s="229">
        <f t="shared" si="1574"/>
        <v>45994</v>
      </c>
      <c r="E11450" s="241">
        <f t="shared" si="1577"/>
        <v>45994</v>
      </c>
      <c r="F11450" s="512"/>
      <c r="G11450" s="231" t="s">
        <v>1245</v>
      </c>
      <c r="H11450" s="232"/>
      <c r="I11450" s="232" t="s">
        <v>1253</v>
      </c>
      <c r="J11450" s="228" t="s">
        <v>55</v>
      </c>
      <c r="K11450" s="233"/>
      <c r="L11450" s="233">
        <f>K11449</f>
        <v>517.58912087912086</v>
      </c>
    </row>
    <row r="11451" spans="1:15" ht="11.25" customHeight="1" x14ac:dyDescent="0.2">
      <c r="A11451" s="222">
        <v>2025</v>
      </c>
      <c r="B11451" s="222">
        <v>12</v>
      </c>
      <c r="C11451" s="222">
        <v>3</v>
      </c>
      <c r="D11451" s="223">
        <f t="shared" si="1574"/>
        <v>45994</v>
      </c>
      <c r="E11451" s="240">
        <f t="shared" si="1577"/>
        <v>45994</v>
      </c>
      <c r="F11451" s="511" t="s">
        <v>1247</v>
      </c>
      <c r="G11451" s="225" t="s">
        <v>1245</v>
      </c>
      <c r="H11451" s="226"/>
      <c r="I11451" s="226" t="s">
        <v>1253</v>
      </c>
      <c r="J11451" s="222" t="s">
        <v>77</v>
      </c>
      <c r="K11451" s="227">
        <f>M11451</f>
        <v>7474.4214584855417</v>
      </c>
      <c r="L11451" s="227"/>
      <c r="M11451" s="478">
        <v>7474.4214584855417</v>
      </c>
    </row>
    <row r="11452" spans="1:15" ht="11.25" customHeight="1" x14ac:dyDescent="0.2">
      <c r="A11452" s="228">
        <v>2025</v>
      </c>
      <c r="B11452" s="228">
        <v>12</v>
      </c>
      <c r="C11452" s="228">
        <v>3</v>
      </c>
      <c r="D11452" s="229">
        <f t="shared" si="1574"/>
        <v>45994</v>
      </c>
      <c r="E11452" s="241">
        <f t="shared" si="1577"/>
        <v>45994</v>
      </c>
      <c r="F11452" s="512"/>
      <c r="G11452" s="231" t="s">
        <v>1245</v>
      </c>
      <c r="H11452" s="232"/>
      <c r="I11452" s="232" t="s">
        <v>1253</v>
      </c>
      <c r="J11452" s="228" t="s">
        <v>41</v>
      </c>
      <c r="K11452" s="233"/>
      <c r="L11452" s="233">
        <f>K11451</f>
        <v>7474.4214584855417</v>
      </c>
      <c r="M11452" s="478">
        <v>747.44214584855411</v>
      </c>
      <c r="N11452" s="251"/>
    </row>
    <row r="11453" spans="1:15" ht="11.25" customHeight="1" x14ac:dyDescent="0.2">
      <c r="A11453" s="222">
        <v>2025</v>
      </c>
      <c r="B11453" s="222">
        <v>12</v>
      </c>
      <c r="C11453" s="222">
        <v>3</v>
      </c>
      <c r="D11453" s="223">
        <f t="shared" si="1574"/>
        <v>45994</v>
      </c>
      <c r="E11453" s="240">
        <f t="shared" si="1577"/>
        <v>45994</v>
      </c>
      <c r="F11453" s="511" t="s">
        <v>1248</v>
      </c>
      <c r="G11453" s="225" t="s">
        <v>1245</v>
      </c>
      <c r="H11453" s="226"/>
      <c r="I11453" s="226" t="s">
        <v>1253</v>
      </c>
      <c r="J11453" s="222" t="s">
        <v>80</v>
      </c>
      <c r="K11453" s="227">
        <f>M11452</f>
        <v>747.44214584855411</v>
      </c>
      <c r="L11453" s="227"/>
      <c r="N11453" s="251"/>
      <c r="O11453" s="251"/>
    </row>
    <row r="11454" spans="1:15" ht="11.25" customHeight="1" x14ac:dyDescent="0.2">
      <c r="A11454" s="228">
        <v>2025</v>
      </c>
      <c r="B11454" s="228">
        <v>12</v>
      </c>
      <c r="C11454" s="228">
        <v>3</v>
      </c>
      <c r="D11454" s="229">
        <f t="shared" si="1574"/>
        <v>45994</v>
      </c>
      <c r="E11454" s="241">
        <f t="shared" si="1577"/>
        <v>45994</v>
      </c>
      <c r="F11454" s="512"/>
      <c r="G11454" s="231" t="s">
        <v>1245</v>
      </c>
      <c r="H11454" s="232"/>
      <c r="I11454" s="232" t="s">
        <v>1253</v>
      </c>
      <c r="J11454" s="228" t="s">
        <v>42</v>
      </c>
      <c r="K11454" s="233"/>
      <c r="L11454" s="233">
        <f>K11453</f>
        <v>747.44214584855411</v>
      </c>
    </row>
    <row r="11455" spans="1:15" x14ac:dyDescent="0.2">
      <c r="A11455" s="197">
        <v>2025</v>
      </c>
      <c r="B11455" s="197">
        <v>12</v>
      </c>
      <c r="C11455" s="197">
        <v>4</v>
      </c>
      <c r="D11455" s="198">
        <f t="shared" si="1574"/>
        <v>45995</v>
      </c>
      <c r="E11455" s="209">
        <f t="shared" si="1577"/>
        <v>45995</v>
      </c>
      <c r="F11455" s="513" t="s">
        <v>1210</v>
      </c>
      <c r="G11455" s="200" t="s">
        <v>1209</v>
      </c>
      <c r="H11455" s="201"/>
      <c r="I11455" s="201"/>
      <c r="J11455" s="197" t="s">
        <v>46</v>
      </c>
      <c r="K11455" s="202">
        <v>87006</v>
      </c>
      <c r="L11455" s="202"/>
    </row>
    <row r="11456" spans="1:15" x14ac:dyDescent="0.2">
      <c r="A11456" s="120">
        <v>2025</v>
      </c>
      <c r="B11456" s="120">
        <v>12</v>
      </c>
      <c r="C11456" s="120">
        <v>4</v>
      </c>
      <c r="D11456" s="208">
        <f t="shared" si="1574"/>
        <v>45995</v>
      </c>
      <c r="E11456" s="209">
        <f t="shared" si="1577"/>
        <v>45995</v>
      </c>
      <c r="F11456" s="515"/>
      <c r="G11456" s="132" t="s">
        <v>1209</v>
      </c>
      <c r="J11456" s="120" t="s">
        <v>16</v>
      </c>
      <c r="K11456" s="207"/>
      <c r="L11456" s="207">
        <v>63200</v>
      </c>
    </row>
    <row r="11457" spans="1:13" x14ac:dyDescent="0.2">
      <c r="A11457" s="191">
        <v>2025</v>
      </c>
      <c r="B11457" s="191">
        <v>12</v>
      </c>
      <c r="C11457" s="191">
        <v>4</v>
      </c>
      <c r="D11457" s="192">
        <f t="shared" si="1574"/>
        <v>45995</v>
      </c>
      <c r="E11457" s="193">
        <f t="shared" si="1577"/>
        <v>45995</v>
      </c>
      <c r="F11457" s="514"/>
      <c r="G11457" s="194" t="s">
        <v>1209</v>
      </c>
      <c r="H11457" s="195"/>
      <c r="I11457" s="195"/>
      <c r="J11457" s="191" t="s">
        <v>47</v>
      </c>
      <c r="K11457" s="196"/>
      <c r="L11457" s="196">
        <v>23806</v>
      </c>
    </row>
    <row r="11458" spans="1:13" x14ac:dyDescent="0.2">
      <c r="A11458" s="424">
        <v>2025</v>
      </c>
      <c r="B11458" s="424">
        <v>12</v>
      </c>
      <c r="C11458" s="424">
        <v>4</v>
      </c>
      <c r="D11458" s="425">
        <f t="shared" si="1574"/>
        <v>45995</v>
      </c>
      <c r="E11458" s="384">
        <f t="shared" si="1577"/>
        <v>45995</v>
      </c>
      <c r="F11458" s="516" t="s">
        <v>1850</v>
      </c>
      <c r="G11458" s="426" t="s">
        <v>1209</v>
      </c>
      <c r="H11458" s="427"/>
      <c r="I11458" s="427"/>
      <c r="J11458" s="428" t="s">
        <v>81</v>
      </c>
      <c r="K11458" s="429">
        <v>1595.8173626373627</v>
      </c>
      <c r="L11458" s="429"/>
      <c r="M11458" s="455"/>
    </row>
    <row r="11459" spans="1:13" x14ac:dyDescent="0.2">
      <c r="A11459" s="389">
        <v>2025</v>
      </c>
      <c r="B11459" s="389">
        <v>12</v>
      </c>
      <c r="C11459" s="389">
        <v>4</v>
      </c>
      <c r="D11459" s="390">
        <f t="shared" si="1574"/>
        <v>45995</v>
      </c>
      <c r="E11459" s="391">
        <f t="shared" si="1577"/>
        <v>45995</v>
      </c>
      <c r="F11459" s="517"/>
      <c r="G11459" s="392" t="s">
        <v>1209</v>
      </c>
      <c r="H11459" s="393"/>
      <c r="I11459" s="393"/>
      <c r="J11459" s="394" t="s">
        <v>1847</v>
      </c>
      <c r="K11459" s="423"/>
      <c r="L11459" s="423">
        <f>K11458</f>
        <v>1595.8173626373627</v>
      </c>
    </row>
    <row r="11460" spans="1:13" ht="11.25" customHeight="1" x14ac:dyDescent="0.2">
      <c r="A11460" s="382">
        <v>2025</v>
      </c>
      <c r="B11460" s="382">
        <v>12</v>
      </c>
      <c r="C11460" s="382">
        <v>4</v>
      </c>
      <c r="D11460" s="383">
        <f t="shared" si="1574"/>
        <v>45995</v>
      </c>
      <c r="E11460" s="384">
        <f t="shared" si="1577"/>
        <v>45995</v>
      </c>
      <c r="F11460" s="516" t="s">
        <v>1892</v>
      </c>
      <c r="G11460" s="385" t="s">
        <v>1209</v>
      </c>
      <c r="H11460" s="386"/>
      <c r="I11460" s="386"/>
      <c r="J11460" s="387" t="s">
        <v>173</v>
      </c>
      <c r="K11460" s="388">
        <v>619.00454447619052</v>
      </c>
      <c r="L11460" s="388"/>
      <c r="M11460" s="455"/>
    </row>
    <row r="11461" spans="1:13" ht="11.25" customHeight="1" x14ac:dyDescent="0.2">
      <c r="A11461" s="389">
        <v>2025</v>
      </c>
      <c r="B11461" s="389">
        <v>12</v>
      </c>
      <c r="C11461" s="389">
        <v>4</v>
      </c>
      <c r="D11461" s="390">
        <f t="shared" si="1574"/>
        <v>45995</v>
      </c>
      <c r="E11461" s="391">
        <f t="shared" si="1577"/>
        <v>45995</v>
      </c>
      <c r="F11461" s="517"/>
      <c r="G11461" s="392" t="s">
        <v>1209</v>
      </c>
      <c r="H11461" s="393"/>
      <c r="I11461" s="393"/>
      <c r="J11461" s="394" t="s">
        <v>43</v>
      </c>
      <c r="K11461" s="388"/>
      <c r="L11461" s="423">
        <f>K11460</f>
        <v>619.00454447619052</v>
      </c>
    </row>
    <row r="11462" spans="1:13" ht="11.25" customHeight="1" x14ac:dyDescent="0.2">
      <c r="A11462" s="344">
        <v>2025</v>
      </c>
      <c r="B11462" s="344">
        <v>12</v>
      </c>
      <c r="C11462" s="344">
        <v>4</v>
      </c>
      <c r="D11462" s="345">
        <f t="shared" si="1574"/>
        <v>45995</v>
      </c>
      <c r="E11462" s="346">
        <f t="shared" si="1577"/>
        <v>45995</v>
      </c>
      <c r="F11462" s="518" t="s">
        <v>1982</v>
      </c>
      <c r="G11462" s="347" t="s">
        <v>1245</v>
      </c>
      <c r="H11462" s="348"/>
      <c r="I11462" s="348" t="s">
        <v>1253</v>
      </c>
      <c r="J11462" s="344" t="s">
        <v>1978</v>
      </c>
      <c r="K11462" s="349">
        <v>21249.725274725275</v>
      </c>
      <c r="L11462" s="349"/>
      <c r="M11462" s="455"/>
    </row>
    <row r="11463" spans="1:13" ht="11.25" customHeight="1" x14ac:dyDescent="0.2">
      <c r="A11463" s="350">
        <v>2025</v>
      </c>
      <c r="B11463" s="350">
        <v>12</v>
      </c>
      <c r="C11463" s="350">
        <v>4</v>
      </c>
      <c r="D11463" s="351">
        <f t="shared" si="1574"/>
        <v>45995</v>
      </c>
      <c r="E11463" s="352">
        <f t="shared" si="1577"/>
        <v>45995</v>
      </c>
      <c r="F11463" s="519"/>
      <c r="G11463" s="353" t="s">
        <v>1245</v>
      </c>
      <c r="H11463" s="354"/>
      <c r="I11463" s="354" t="s">
        <v>1253</v>
      </c>
      <c r="J11463" s="350" t="s">
        <v>1979</v>
      </c>
      <c r="K11463" s="355"/>
      <c r="L11463" s="355">
        <f>K11462</f>
        <v>21249.725274725275</v>
      </c>
    </row>
    <row r="11464" spans="1:13" ht="11.25" customHeight="1" x14ac:dyDescent="0.2">
      <c r="A11464" s="344">
        <v>2025</v>
      </c>
      <c r="B11464" s="344">
        <v>12</v>
      </c>
      <c r="C11464" s="344">
        <v>4</v>
      </c>
      <c r="D11464" s="345">
        <f t="shared" si="1574"/>
        <v>45995</v>
      </c>
      <c r="E11464" s="346">
        <f t="shared" si="1577"/>
        <v>45995</v>
      </c>
      <c r="F11464" s="518" t="s">
        <v>2009</v>
      </c>
      <c r="G11464" s="347" t="s">
        <v>1245</v>
      </c>
      <c r="H11464" s="348"/>
      <c r="I11464" s="348" t="s">
        <v>1253</v>
      </c>
      <c r="J11464" s="344" t="s">
        <v>2004</v>
      </c>
      <c r="K11464" s="349">
        <v>7098.9014285714284</v>
      </c>
      <c r="L11464" s="349"/>
      <c r="M11464" s="455"/>
    </row>
    <row r="11465" spans="1:13" ht="11.25" customHeight="1" x14ac:dyDescent="0.2">
      <c r="A11465" s="350">
        <v>2025</v>
      </c>
      <c r="B11465" s="350">
        <v>12</v>
      </c>
      <c r="C11465" s="350">
        <v>4</v>
      </c>
      <c r="D11465" s="351">
        <f t="shared" si="1574"/>
        <v>45995</v>
      </c>
      <c r="E11465" s="352">
        <f t="shared" si="1577"/>
        <v>45995</v>
      </c>
      <c r="F11465" s="519"/>
      <c r="G11465" s="353" t="s">
        <v>1245</v>
      </c>
      <c r="H11465" s="354"/>
      <c r="I11465" s="354" t="s">
        <v>1253</v>
      </c>
      <c r="J11465" s="350" t="s">
        <v>2008</v>
      </c>
      <c r="K11465" s="355"/>
      <c r="L11465" s="355">
        <f t="shared" ref="L11465" si="1578">K11464</f>
        <v>7098.9014285714284</v>
      </c>
    </row>
    <row r="11466" spans="1:13" ht="11.25" customHeight="1" x14ac:dyDescent="0.2">
      <c r="A11466" s="344">
        <v>2025</v>
      </c>
      <c r="B11466" s="344">
        <v>12</v>
      </c>
      <c r="C11466" s="344">
        <v>4</v>
      </c>
      <c r="D11466" s="345">
        <f t="shared" si="1574"/>
        <v>45995</v>
      </c>
      <c r="E11466" s="346">
        <f t="shared" si="1577"/>
        <v>45995</v>
      </c>
      <c r="F11466" s="518" t="s">
        <v>2009</v>
      </c>
      <c r="G11466" s="347" t="s">
        <v>1245</v>
      </c>
      <c r="H11466" s="348"/>
      <c r="I11466" s="348" t="s">
        <v>1253</v>
      </c>
      <c r="J11466" s="344" t="s">
        <v>2004</v>
      </c>
      <c r="K11466" s="349">
        <v>7098.9014285714284</v>
      </c>
      <c r="L11466" s="349"/>
      <c r="M11466" s="455"/>
    </row>
    <row r="11467" spans="1:13" ht="11.25" customHeight="1" x14ac:dyDescent="0.2">
      <c r="A11467" s="350">
        <v>2025</v>
      </c>
      <c r="B11467" s="350">
        <v>12</v>
      </c>
      <c r="C11467" s="350">
        <v>4</v>
      </c>
      <c r="D11467" s="351">
        <f t="shared" si="1574"/>
        <v>45995</v>
      </c>
      <c r="E11467" s="352">
        <f t="shared" si="1577"/>
        <v>45995</v>
      </c>
      <c r="F11467" s="519"/>
      <c r="G11467" s="353" t="s">
        <v>1245</v>
      </c>
      <c r="H11467" s="354"/>
      <c r="I11467" s="354" t="s">
        <v>1253</v>
      </c>
      <c r="J11467" s="350" t="s">
        <v>2008</v>
      </c>
      <c r="K11467" s="355"/>
      <c r="L11467" s="355">
        <f t="shared" ref="L11467" si="1579">K11466</f>
        <v>7098.9014285714284</v>
      </c>
    </row>
    <row r="11468" spans="1:13" ht="11.25" customHeight="1" x14ac:dyDescent="0.2">
      <c r="A11468" s="344">
        <v>2025</v>
      </c>
      <c r="B11468" s="344">
        <v>12</v>
      </c>
      <c r="C11468" s="344">
        <v>4</v>
      </c>
      <c r="D11468" s="345">
        <f t="shared" si="1574"/>
        <v>45995</v>
      </c>
      <c r="E11468" s="346">
        <f t="shared" si="1577"/>
        <v>45995</v>
      </c>
      <c r="F11468" s="518" t="s">
        <v>2088</v>
      </c>
      <c r="G11468" s="347" t="s">
        <v>1245</v>
      </c>
      <c r="H11468" s="348"/>
      <c r="I11468" s="348" t="s">
        <v>1253</v>
      </c>
      <c r="J11468" s="344" t="s">
        <v>2086</v>
      </c>
      <c r="K11468" s="349">
        <v>1789.835164835165</v>
      </c>
      <c r="L11468" s="349"/>
      <c r="M11468" s="455"/>
    </row>
    <row r="11469" spans="1:13" ht="11.25" customHeight="1" x14ac:dyDescent="0.2">
      <c r="A11469" s="350">
        <v>2025</v>
      </c>
      <c r="B11469" s="350">
        <v>12</v>
      </c>
      <c r="C11469" s="350">
        <v>4</v>
      </c>
      <c r="D11469" s="351">
        <f t="shared" si="1574"/>
        <v>45995</v>
      </c>
      <c r="E11469" s="352">
        <f t="shared" si="1577"/>
        <v>45995</v>
      </c>
      <c r="F11469" s="519"/>
      <c r="G11469" s="353" t="s">
        <v>1245</v>
      </c>
      <c r="H11469" s="354"/>
      <c r="I11469" s="354" t="s">
        <v>1253</v>
      </c>
      <c r="J11469" s="350" t="s">
        <v>2089</v>
      </c>
      <c r="K11469" s="355"/>
      <c r="L11469" s="355">
        <f>K11468</f>
        <v>1789.835164835165</v>
      </c>
    </row>
    <row r="11470" spans="1:13" ht="11.25" customHeight="1" x14ac:dyDescent="0.2">
      <c r="A11470" s="344">
        <v>2025</v>
      </c>
      <c r="B11470" s="344">
        <v>12</v>
      </c>
      <c r="C11470" s="344">
        <v>4</v>
      </c>
      <c r="D11470" s="345">
        <f t="shared" si="1574"/>
        <v>45995</v>
      </c>
      <c r="E11470" s="346">
        <f>DATE(A11470,B11470,C11470)</f>
        <v>45995</v>
      </c>
      <c r="F11470" s="518" t="s">
        <v>1988</v>
      </c>
      <c r="G11470" s="347" t="s">
        <v>1245</v>
      </c>
      <c r="H11470" s="348"/>
      <c r="I11470" s="348" t="s">
        <v>1253</v>
      </c>
      <c r="J11470" s="344" t="s">
        <v>113</v>
      </c>
      <c r="K11470" s="349">
        <v>4692.3071428571429</v>
      </c>
      <c r="L11470" s="349"/>
      <c r="M11470" s="455"/>
    </row>
    <row r="11471" spans="1:13" ht="11.25" customHeight="1" x14ac:dyDescent="0.2">
      <c r="A11471" s="350">
        <v>2025</v>
      </c>
      <c r="B11471" s="350">
        <v>12</v>
      </c>
      <c r="C11471" s="350">
        <v>4</v>
      </c>
      <c r="D11471" s="351">
        <f t="shared" si="1574"/>
        <v>45995</v>
      </c>
      <c r="E11471" s="352">
        <f>DATE(A11471,B11471,C11471)</f>
        <v>45995</v>
      </c>
      <c r="F11471" s="519"/>
      <c r="G11471" s="353" t="s">
        <v>1245</v>
      </c>
      <c r="H11471" s="354"/>
      <c r="I11471" s="354" t="s">
        <v>1253</v>
      </c>
      <c r="J11471" s="350" t="s">
        <v>153</v>
      </c>
      <c r="K11471" s="355"/>
      <c r="L11471" s="355">
        <f t="shared" ref="L11471" si="1580">K11470</f>
        <v>4692.3071428571429</v>
      </c>
    </row>
    <row r="11472" spans="1:13" ht="11.25" customHeight="1" x14ac:dyDescent="0.2">
      <c r="A11472" s="344">
        <v>2025</v>
      </c>
      <c r="B11472" s="344">
        <v>12</v>
      </c>
      <c r="C11472" s="344">
        <v>4</v>
      </c>
      <c r="D11472" s="345">
        <f t="shared" si="1574"/>
        <v>45995</v>
      </c>
      <c r="E11472" s="346">
        <f t="shared" ref="E11472:E11478" si="1581">DATE(A11472,B11472,C11472)</f>
        <v>45995</v>
      </c>
      <c r="F11472" s="518" t="s">
        <v>1989</v>
      </c>
      <c r="G11472" s="347" t="s">
        <v>1245</v>
      </c>
      <c r="H11472" s="348"/>
      <c r="I11472" s="348" t="s">
        <v>1253</v>
      </c>
      <c r="J11472" s="344" t="s">
        <v>113</v>
      </c>
      <c r="K11472" s="349">
        <v>3351.6483516483518</v>
      </c>
      <c r="L11472" s="349"/>
      <c r="M11472" s="455"/>
    </row>
    <row r="11473" spans="1:16" ht="11.25" customHeight="1" x14ac:dyDescent="0.2">
      <c r="A11473" s="350">
        <v>2025</v>
      </c>
      <c r="B11473" s="350">
        <v>12</v>
      </c>
      <c r="C11473" s="350">
        <v>4</v>
      </c>
      <c r="D11473" s="351">
        <f t="shared" si="1574"/>
        <v>45995</v>
      </c>
      <c r="E11473" s="352">
        <f t="shared" si="1581"/>
        <v>45995</v>
      </c>
      <c r="F11473" s="519"/>
      <c r="G11473" s="353" t="s">
        <v>1245</v>
      </c>
      <c r="H11473" s="354"/>
      <c r="I11473" s="354" t="s">
        <v>1253</v>
      </c>
      <c r="J11473" s="350" t="s">
        <v>153</v>
      </c>
      <c r="K11473" s="355"/>
      <c r="L11473" s="355">
        <f t="shared" ref="L11473" si="1582">K11472</f>
        <v>3351.6483516483518</v>
      </c>
    </row>
    <row r="11474" spans="1:16" ht="11.25" customHeight="1" x14ac:dyDescent="0.2">
      <c r="A11474" s="344">
        <v>2025</v>
      </c>
      <c r="B11474" s="344">
        <v>12</v>
      </c>
      <c r="C11474" s="344">
        <v>4</v>
      </c>
      <c r="D11474" s="345">
        <f t="shared" si="1574"/>
        <v>45995</v>
      </c>
      <c r="E11474" s="346">
        <f t="shared" si="1581"/>
        <v>45995</v>
      </c>
      <c r="F11474" s="518" t="s">
        <v>1990</v>
      </c>
      <c r="G11474" s="347" t="s">
        <v>1245</v>
      </c>
      <c r="H11474" s="348"/>
      <c r="I11474" s="348" t="s">
        <v>1253</v>
      </c>
      <c r="J11474" s="344" t="s">
        <v>113</v>
      </c>
      <c r="K11474" s="349">
        <v>10054.945714285714</v>
      </c>
      <c r="L11474" s="349"/>
      <c r="M11474" s="455"/>
      <c r="N11474" s="251"/>
      <c r="O11474" s="251"/>
      <c r="P11474" s="251"/>
    </row>
    <row r="11475" spans="1:16" ht="11.25" customHeight="1" x14ac:dyDescent="0.2">
      <c r="A11475" s="350">
        <v>2025</v>
      </c>
      <c r="B11475" s="350">
        <v>12</v>
      </c>
      <c r="C11475" s="350">
        <v>4</v>
      </c>
      <c r="D11475" s="351">
        <f t="shared" si="1574"/>
        <v>45995</v>
      </c>
      <c r="E11475" s="352">
        <f t="shared" si="1581"/>
        <v>45995</v>
      </c>
      <c r="F11475" s="519"/>
      <c r="G11475" s="353" t="s">
        <v>1245</v>
      </c>
      <c r="H11475" s="354"/>
      <c r="I11475" s="354" t="s">
        <v>1253</v>
      </c>
      <c r="J11475" s="350" t="s">
        <v>153</v>
      </c>
      <c r="K11475" s="355"/>
      <c r="L11475" s="355">
        <f t="shared" ref="L11475" si="1583">K11474</f>
        <v>10054.945714285714</v>
      </c>
    </row>
    <row r="11476" spans="1:16" ht="11.25" customHeight="1" x14ac:dyDescent="0.2">
      <c r="A11476" s="344">
        <v>2025</v>
      </c>
      <c r="B11476" s="344">
        <v>12</v>
      </c>
      <c r="C11476" s="344">
        <v>4</v>
      </c>
      <c r="D11476" s="345">
        <f t="shared" si="1574"/>
        <v>45995</v>
      </c>
      <c r="E11476" s="346">
        <f t="shared" si="1581"/>
        <v>45995</v>
      </c>
      <c r="F11476" s="518" t="s">
        <v>2107</v>
      </c>
      <c r="G11476" s="347" t="s">
        <v>1245</v>
      </c>
      <c r="H11476" s="348"/>
      <c r="I11476" s="348" t="s">
        <v>1253</v>
      </c>
      <c r="J11476" s="344" t="s">
        <v>113</v>
      </c>
      <c r="K11476" s="349">
        <v>12370.879120879121</v>
      </c>
      <c r="L11476" s="349"/>
      <c r="M11476" s="455"/>
      <c r="N11476" s="251"/>
      <c r="O11476" s="251"/>
      <c r="P11476" s="251"/>
    </row>
    <row r="11477" spans="1:16" ht="11.25" customHeight="1" x14ac:dyDescent="0.2">
      <c r="A11477" s="350">
        <v>2025</v>
      </c>
      <c r="B11477" s="350">
        <v>12</v>
      </c>
      <c r="C11477" s="350">
        <v>4</v>
      </c>
      <c r="D11477" s="351">
        <f t="shared" si="1574"/>
        <v>45995</v>
      </c>
      <c r="E11477" s="352">
        <f t="shared" si="1581"/>
        <v>45995</v>
      </c>
      <c r="F11477" s="519"/>
      <c r="G11477" s="353" t="s">
        <v>1245</v>
      </c>
      <c r="H11477" s="354"/>
      <c r="I11477" s="354" t="s">
        <v>1253</v>
      </c>
      <c r="J11477" s="350" t="s">
        <v>153</v>
      </c>
      <c r="K11477" s="355"/>
      <c r="L11477" s="355">
        <f t="shared" ref="L11477" si="1584">K11476</f>
        <v>12370.879120879121</v>
      </c>
    </row>
    <row r="11478" spans="1:16" ht="11.25" customHeight="1" x14ac:dyDescent="0.2">
      <c r="A11478" s="210">
        <v>2025</v>
      </c>
      <c r="B11478" s="210">
        <v>12</v>
      </c>
      <c r="C11478" s="210">
        <v>4</v>
      </c>
      <c r="D11478" s="211">
        <f t="shared" si="1574"/>
        <v>45995</v>
      </c>
      <c r="E11478" s="238">
        <f t="shared" si="1581"/>
        <v>45995</v>
      </c>
      <c r="F11478" s="520" t="s">
        <v>1857</v>
      </c>
      <c r="G11478" s="213" t="s">
        <v>1245</v>
      </c>
      <c r="H11478" s="214"/>
      <c r="I11478" s="214" t="s">
        <v>1253</v>
      </c>
      <c r="J11478" s="210" t="s">
        <v>1284</v>
      </c>
      <c r="K11478" s="215">
        <v>334.54448777029421</v>
      </c>
      <c r="L11478" s="215"/>
      <c r="M11478" s="455"/>
    </row>
    <row r="11479" spans="1:16" ht="11.25" customHeight="1" x14ac:dyDescent="0.2">
      <c r="A11479" s="242">
        <v>2025</v>
      </c>
      <c r="B11479" s="242">
        <v>12</v>
      </c>
      <c r="C11479" s="242">
        <v>4</v>
      </c>
      <c r="D11479" s="243">
        <f t="shared" si="1574"/>
        <v>45995</v>
      </c>
      <c r="E11479" s="244">
        <f>DATE(A11479,B11479,C11479)</f>
        <v>45995</v>
      </c>
      <c r="F11479" s="524"/>
      <c r="G11479" s="245" t="s">
        <v>1245</v>
      </c>
      <c r="H11479" s="246"/>
      <c r="I11479" s="246"/>
      <c r="J11479" s="242" t="s">
        <v>1582</v>
      </c>
      <c r="K11479" s="247"/>
      <c r="L11479" s="247">
        <f>K11478</f>
        <v>334.54448777029421</v>
      </c>
    </row>
    <row r="11480" spans="1:16" ht="11.25" customHeight="1" x14ac:dyDescent="0.2">
      <c r="A11480" s="210">
        <v>2025</v>
      </c>
      <c r="B11480" s="210">
        <v>12</v>
      </c>
      <c r="C11480" s="210">
        <v>4</v>
      </c>
      <c r="D11480" s="211">
        <f t="shared" si="1574"/>
        <v>45995</v>
      </c>
      <c r="E11480" s="238">
        <f t="shared" ref="E11480:E11516" si="1585">DATE(A11480,B11480,C11480)</f>
        <v>45995</v>
      </c>
      <c r="F11480" s="520" t="s">
        <v>2055</v>
      </c>
      <c r="G11480" s="213" t="s">
        <v>1245</v>
      </c>
      <c r="H11480" s="214"/>
      <c r="I11480" s="214" t="s">
        <v>1253</v>
      </c>
      <c r="J11480" s="210" t="s">
        <v>58</v>
      </c>
      <c r="K11480" s="215">
        <v>2972.57</v>
      </c>
      <c r="L11480" s="215"/>
    </row>
    <row r="11481" spans="1:16" ht="11.25" customHeight="1" x14ac:dyDescent="0.2">
      <c r="A11481" s="216">
        <v>2025</v>
      </c>
      <c r="B11481" s="216">
        <v>12</v>
      </c>
      <c r="C11481" s="216">
        <v>4</v>
      </c>
      <c r="D11481" s="217">
        <f t="shared" si="1574"/>
        <v>45995</v>
      </c>
      <c r="E11481" s="239">
        <f t="shared" si="1585"/>
        <v>45995</v>
      </c>
      <c r="F11481" s="521"/>
      <c r="G11481" s="219" t="s">
        <v>1245</v>
      </c>
      <c r="H11481" s="220"/>
      <c r="I11481" s="220" t="s">
        <v>1253</v>
      </c>
      <c r="J11481" s="216" t="s">
        <v>153</v>
      </c>
      <c r="K11481" s="221"/>
      <c r="L11481" s="221">
        <f>K11480</f>
        <v>2972.57</v>
      </c>
    </row>
    <row r="11482" spans="1:16" ht="11.25" customHeight="1" x14ac:dyDescent="0.2">
      <c r="A11482" s="312">
        <v>2025</v>
      </c>
      <c r="B11482" s="312">
        <v>12</v>
      </c>
      <c r="C11482" s="312">
        <v>4</v>
      </c>
      <c r="D11482" s="313">
        <f t="shared" si="1574"/>
        <v>45995</v>
      </c>
      <c r="E11482" s="314">
        <f t="shared" si="1585"/>
        <v>45995</v>
      </c>
      <c r="F11482" s="522" t="s">
        <v>1477</v>
      </c>
      <c r="G11482" s="315" t="s">
        <v>1245</v>
      </c>
      <c r="H11482" s="316"/>
      <c r="I11482" s="316" t="s">
        <v>1253</v>
      </c>
      <c r="J11482" s="312" t="s">
        <v>1458</v>
      </c>
      <c r="K11482" s="317">
        <v>0</v>
      </c>
      <c r="L11482" s="317"/>
    </row>
    <row r="11483" spans="1:16" ht="11.25" customHeight="1" x14ac:dyDescent="0.2">
      <c r="A11483" s="318">
        <v>2025</v>
      </c>
      <c r="B11483" s="318">
        <v>12</v>
      </c>
      <c r="C11483" s="318">
        <v>4</v>
      </c>
      <c r="D11483" s="319">
        <f t="shared" si="1574"/>
        <v>45995</v>
      </c>
      <c r="E11483" s="320">
        <f t="shared" si="1585"/>
        <v>45995</v>
      </c>
      <c r="F11483" s="523"/>
      <c r="G11483" s="321" t="s">
        <v>1245</v>
      </c>
      <c r="H11483" s="322"/>
      <c r="I11483" s="322" t="s">
        <v>1253</v>
      </c>
      <c r="J11483" s="318" t="s">
        <v>1460</v>
      </c>
      <c r="K11483" s="323"/>
      <c r="L11483" s="323">
        <f>K11482</f>
        <v>0</v>
      </c>
    </row>
    <row r="11484" spans="1:16" ht="11.25" customHeight="1" x14ac:dyDescent="0.2">
      <c r="A11484" s="312">
        <v>2025</v>
      </c>
      <c r="B11484" s="312">
        <v>12</v>
      </c>
      <c r="C11484" s="312">
        <v>4</v>
      </c>
      <c r="D11484" s="313">
        <f t="shared" si="1574"/>
        <v>45995</v>
      </c>
      <c r="E11484" s="314">
        <f t="shared" si="1585"/>
        <v>45995</v>
      </c>
      <c r="F11484" s="522" t="s">
        <v>1595</v>
      </c>
      <c r="G11484" s="315" t="s">
        <v>1245</v>
      </c>
      <c r="H11484" s="316"/>
      <c r="I11484" s="316" t="s">
        <v>1253</v>
      </c>
      <c r="J11484" s="312" t="s">
        <v>1459</v>
      </c>
      <c r="K11484" s="317">
        <v>471259.40200001001</v>
      </c>
      <c r="L11484" s="317"/>
      <c r="M11484" s="328">
        <f>BS!$I$14</f>
        <v>0</v>
      </c>
    </row>
    <row r="11485" spans="1:16" ht="11.25" customHeight="1" x14ac:dyDescent="0.2">
      <c r="A11485" s="318">
        <v>2025</v>
      </c>
      <c r="B11485" s="318">
        <v>12</v>
      </c>
      <c r="C11485" s="318">
        <v>4</v>
      </c>
      <c r="D11485" s="319">
        <f t="shared" si="1574"/>
        <v>45995</v>
      </c>
      <c r="E11485" s="320">
        <f t="shared" si="1585"/>
        <v>45995</v>
      </c>
      <c r="F11485" s="523"/>
      <c r="G11485" s="321" t="s">
        <v>1245</v>
      </c>
      <c r="H11485" s="322"/>
      <c r="I11485" s="322" t="s">
        <v>1253</v>
      </c>
      <c r="J11485" s="318" t="s">
        <v>1461</v>
      </c>
      <c r="K11485" s="323"/>
      <c r="L11485" s="323">
        <f>K11484</f>
        <v>471259.40200001001</v>
      </c>
      <c r="M11485" s="328"/>
    </row>
    <row r="11486" spans="1:16" ht="11.25" customHeight="1" x14ac:dyDescent="0.2">
      <c r="A11486" s="222">
        <v>2025</v>
      </c>
      <c r="B11486" s="222">
        <v>12</v>
      </c>
      <c r="C11486" s="222">
        <v>4</v>
      </c>
      <c r="D11486" s="223">
        <f t="shared" si="1574"/>
        <v>45995</v>
      </c>
      <c r="E11486" s="240">
        <f t="shared" si="1585"/>
        <v>45995</v>
      </c>
      <c r="F11486" s="511" t="s">
        <v>1244</v>
      </c>
      <c r="G11486" s="225" t="s">
        <v>1245</v>
      </c>
      <c r="H11486" s="226"/>
      <c r="I11486" s="226" t="s">
        <v>1253</v>
      </c>
      <c r="J11486" s="222" t="s">
        <v>72</v>
      </c>
      <c r="K11486" s="227">
        <v>15</v>
      </c>
      <c r="L11486" s="227"/>
      <c r="M11486" s="328">
        <f>BS!$I$7</f>
        <v>0</v>
      </c>
    </row>
    <row r="11487" spans="1:16" ht="11.25" customHeight="1" x14ac:dyDescent="0.2">
      <c r="A11487" s="228">
        <v>2025</v>
      </c>
      <c r="B11487" s="228">
        <v>12</v>
      </c>
      <c r="C11487" s="228">
        <v>4</v>
      </c>
      <c r="D11487" s="229">
        <f t="shared" si="1574"/>
        <v>45995</v>
      </c>
      <c r="E11487" s="241">
        <f t="shared" si="1585"/>
        <v>45995</v>
      </c>
      <c r="F11487" s="512"/>
      <c r="G11487" s="231" t="s">
        <v>1245</v>
      </c>
      <c r="H11487" s="232"/>
      <c r="I11487" s="232" t="s">
        <v>1253</v>
      </c>
      <c r="J11487" s="228" t="s">
        <v>87</v>
      </c>
      <c r="K11487" s="233"/>
      <c r="L11487" s="233">
        <f>K11486</f>
        <v>15</v>
      </c>
    </row>
    <row r="11488" spans="1:16" ht="11.25" customHeight="1" x14ac:dyDescent="0.2">
      <c r="A11488" s="222">
        <v>2025</v>
      </c>
      <c r="B11488" s="222">
        <v>12</v>
      </c>
      <c r="C11488" s="222">
        <v>4</v>
      </c>
      <c r="D11488" s="223">
        <f t="shared" si="1574"/>
        <v>45995</v>
      </c>
      <c r="E11488" s="240">
        <f t="shared" si="1585"/>
        <v>45995</v>
      </c>
      <c r="F11488" s="511" t="s">
        <v>1246</v>
      </c>
      <c r="G11488" s="225" t="s">
        <v>1245</v>
      </c>
      <c r="H11488" s="226"/>
      <c r="I11488" s="226" t="s">
        <v>1253</v>
      </c>
      <c r="J11488" s="222" t="s">
        <v>75</v>
      </c>
      <c r="K11488" s="227">
        <v>517.58912087912086</v>
      </c>
      <c r="L11488" s="227"/>
      <c r="M11488" s="455"/>
    </row>
    <row r="11489" spans="1:15" ht="11.25" customHeight="1" x14ac:dyDescent="0.2">
      <c r="A11489" s="228">
        <v>2025</v>
      </c>
      <c r="B11489" s="228">
        <v>12</v>
      </c>
      <c r="C11489" s="228">
        <v>4</v>
      </c>
      <c r="D11489" s="229">
        <f t="shared" si="1574"/>
        <v>45995</v>
      </c>
      <c r="E11489" s="241">
        <f t="shared" si="1585"/>
        <v>45995</v>
      </c>
      <c r="F11489" s="512"/>
      <c r="G11489" s="231" t="s">
        <v>1245</v>
      </c>
      <c r="H11489" s="232"/>
      <c r="I11489" s="232" t="s">
        <v>1253</v>
      </c>
      <c r="J11489" s="228" t="s">
        <v>55</v>
      </c>
      <c r="K11489" s="233"/>
      <c r="L11489" s="233">
        <f>K11488</f>
        <v>517.58912087912086</v>
      </c>
    </row>
    <row r="11490" spans="1:15" ht="11.25" customHeight="1" x14ac:dyDescent="0.2">
      <c r="A11490" s="222">
        <v>2025</v>
      </c>
      <c r="B11490" s="222">
        <v>12</v>
      </c>
      <c r="C11490" s="222">
        <v>4</v>
      </c>
      <c r="D11490" s="223">
        <f t="shared" si="1574"/>
        <v>45995</v>
      </c>
      <c r="E11490" s="240">
        <f t="shared" si="1585"/>
        <v>45995</v>
      </c>
      <c r="F11490" s="511" t="s">
        <v>1247</v>
      </c>
      <c r="G11490" s="225" t="s">
        <v>1245</v>
      </c>
      <c r="H11490" s="226"/>
      <c r="I11490" s="226" t="s">
        <v>1253</v>
      </c>
      <c r="J11490" s="222" t="s">
        <v>77</v>
      </c>
      <c r="K11490" s="227">
        <f>M11490</f>
        <v>7476.5616530113903</v>
      </c>
      <c r="L11490" s="227"/>
      <c r="M11490" s="478">
        <v>7476.5616530113903</v>
      </c>
    </row>
    <row r="11491" spans="1:15" ht="11.25" customHeight="1" x14ac:dyDescent="0.2">
      <c r="A11491" s="228">
        <v>2025</v>
      </c>
      <c r="B11491" s="228">
        <v>12</v>
      </c>
      <c r="C11491" s="228">
        <v>4</v>
      </c>
      <c r="D11491" s="229">
        <f t="shared" si="1574"/>
        <v>45995</v>
      </c>
      <c r="E11491" s="241">
        <f t="shared" si="1585"/>
        <v>45995</v>
      </c>
      <c r="F11491" s="512"/>
      <c r="G11491" s="231" t="s">
        <v>1245</v>
      </c>
      <c r="H11491" s="232"/>
      <c r="I11491" s="232" t="s">
        <v>1253</v>
      </c>
      <c r="J11491" s="228" t="s">
        <v>41</v>
      </c>
      <c r="K11491" s="233"/>
      <c r="L11491" s="233">
        <f>K11490</f>
        <v>7476.5616530113903</v>
      </c>
      <c r="M11491" s="478">
        <v>747.65616530113891</v>
      </c>
      <c r="N11491" s="251"/>
    </row>
    <row r="11492" spans="1:15" ht="11.25" customHeight="1" x14ac:dyDescent="0.2">
      <c r="A11492" s="222">
        <v>2025</v>
      </c>
      <c r="B11492" s="222">
        <v>12</v>
      </c>
      <c r="C11492" s="222">
        <v>4</v>
      </c>
      <c r="D11492" s="223">
        <f t="shared" si="1574"/>
        <v>45995</v>
      </c>
      <c r="E11492" s="240">
        <f t="shared" si="1585"/>
        <v>45995</v>
      </c>
      <c r="F11492" s="511" t="s">
        <v>1248</v>
      </c>
      <c r="G11492" s="225" t="s">
        <v>1245</v>
      </c>
      <c r="H11492" s="226"/>
      <c r="I11492" s="226" t="s">
        <v>1253</v>
      </c>
      <c r="J11492" s="222" t="s">
        <v>80</v>
      </c>
      <c r="K11492" s="227">
        <f>M11491</f>
        <v>747.65616530113891</v>
      </c>
      <c r="L11492" s="227"/>
      <c r="N11492" s="251"/>
      <c r="O11492" s="251"/>
    </row>
    <row r="11493" spans="1:15" ht="11.25" customHeight="1" x14ac:dyDescent="0.2">
      <c r="A11493" s="228">
        <v>2025</v>
      </c>
      <c r="B11493" s="228">
        <v>12</v>
      </c>
      <c r="C11493" s="228">
        <v>4</v>
      </c>
      <c r="D11493" s="229">
        <f t="shared" si="1574"/>
        <v>45995</v>
      </c>
      <c r="E11493" s="241">
        <f t="shared" si="1585"/>
        <v>45995</v>
      </c>
      <c r="F11493" s="512"/>
      <c r="G11493" s="231" t="s">
        <v>1245</v>
      </c>
      <c r="H11493" s="232"/>
      <c r="I11493" s="232" t="s">
        <v>1253</v>
      </c>
      <c r="J11493" s="228" t="s">
        <v>42</v>
      </c>
      <c r="K11493" s="233"/>
      <c r="L11493" s="233">
        <f>K11492</f>
        <v>747.65616530113891</v>
      </c>
    </row>
    <row r="11494" spans="1:15" x14ac:dyDescent="0.2">
      <c r="A11494" s="197">
        <v>2025</v>
      </c>
      <c r="B11494" s="197">
        <v>12</v>
      </c>
      <c r="C11494" s="120">
        <v>5</v>
      </c>
      <c r="D11494" s="198">
        <f t="shared" si="1574"/>
        <v>45996</v>
      </c>
      <c r="E11494" s="209">
        <f t="shared" si="1585"/>
        <v>45996</v>
      </c>
      <c r="F11494" s="513" t="s">
        <v>1296</v>
      </c>
      <c r="G11494" s="200" t="s">
        <v>1209</v>
      </c>
      <c r="H11494" s="201"/>
      <c r="I11494" s="201"/>
      <c r="J11494" s="197" t="s">
        <v>46</v>
      </c>
      <c r="K11494" s="202">
        <v>126000</v>
      </c>
      <c r="L11494" s="202"/>
    </row>
    <row r="11495" spans="1:15" x14ac:dyDescent="0.2">
      <c r="A11495" s="120">
        <v>2025</v>
      </c>
      <c r="B11495" s="120">
        <v>12</v>
      </c>
      <c r="C11495" s="120">
        <v>5</v>
      </c>
      <c r="D11495" s="208">
        <f t="shared" si="1574"/>
        <v>45996</v>
      </c>
      <c r="E11495" s="209">
        <f t="shared" si="1585"/>
        <v>45996</v>
      </c>
      <c r="F11495" s="515"/>
      <c r="G11495" s="132" t="s">
        <v>1209</v>
      </c>
      <c r="J11495" s="120" t="s">
        <v>16</v>
      </c>
      <c r="K11495" s="207"/>
      <c r="L11495" s="207">
        <v>91530</v>
      </c>
    </row>
    <row r="11496" spans="1:15" x14ac:dyDescent="0.2">
      <c r="A11496" s="191">
        <v>2025</v>
      </c>
      <c r="B11496" s="191">
        <v>12</v>
      </c>
      <c r="C11496" s="191">
        <v>5</v>
      </c>
      <c r="D11496" s="192">
        <f t="shared" si="1574"/>
        <v>45996</v>
      </c>
      <c r="E11496" s="193">
        <f t="shared" si="1585"/>
        <v>45996</v>
      </c>
      <c r="F11496" s="514"/>
      <c r="G11496" s="194" t="s">
        <v>1209</v>
      </c>
      <c r="H11496" s="195"/>
      <c r="I11496" s="195"/>
      <c r="J11496" s="191" t="s">
        <v>47</v>
      </c>
      <c r="K11496" s="196"/>
      <c r="L11496" s="196">
        <v>34470</v>
      </c>
    </row>
    <row r="11497" spans="1:15" ht="11.25" customHeight="1" x14ac:dyDescent="0.2">
      <c r="A11497" s="197">
        <v>2025</v>
      </c>
      <c r="B11497" s="197">
        <v>12</v>
      </c>
      <c r="C11497" s="197">
        <v>7</v>
      </c>
      <c r="D11497" s="198">
        <f t="shared" si="1574"/>
        <v>45998</v>
      </c>
      <c r="E11497" s="290">
        <f t="shared" si="1585"/>
        <v>45998</v>
      </c>
      <c r="F11497" s="513" t="s">
        <v>2035</v>
      </c>
      <c r="G11497" s="200" t="s">
        <v>1209</v>
      </c>
      <c r="H11497" s="201"/>
      <c r="I11497" s="201" t="s">
        <v>1253</v>
      </c>
      <c r="J11497" s="197" t="s">
        <v>46</v>
      </c>
      <c r="K11497" s="202">
        <v>142333.24</v>
      </c>
      <c r="L11497" s="202"/>
      <c r="M11497" s="130"/>
    </row>
    <row r="11498" spans="1:15" ht="11.25" customHeight="1" x14ac:dyDescent="0.2">
      <c r="A11498" s="191">
        <v>2025</v>
      </c>
      <c r="B11498" s="191">
        <v>12</v>
      </c>
      <c r="C11498" s="191">
        <v>7</v>
      </c>
      <c r="D11498" s="192">
        <f t="shared" si="1574"/>
        <v>45998</v>
      </c>
      <c r="E11498" s="291">
        <f t="shared" si="1585"/>
        <v>45998</v>
      </c>
      <c r="F11498" s="527"/>
      <c r="G11498" s="194" t="s">
        <v>1209</v>
      </c>
      <c r="H11498" s="195"/>
      <c r="I11498" s="195" t="s">
        <v>1253</v>
      </c>
      <c r="J11498" s="191" t="s">
        <v>113</v>
      </c>
      <c r="K11498" s="196"/>
      <c r="L11498" s="196">
        <v>142333.24</v>
      </c>
    </row>
    <row r="11499" spans="1:15" x14ac:dyDescent="0.2">
      <c r="A11499" s="197">
        <v>2025</v>
      </c>
      <c r="B11499" s="197">
        <v>12</v>
      </c>
      <c r="C11499" s="120">
        <v>7</v>
      </c>
      <c r="D11499" s="198">
        <f t="shared" si="1574"/>
        <v>45998</v>
      </c>
      <c r="E11499" s="209">
        <f t="shared" ref="E11499:E11504" si="1586">DATE(A11499,B11499,C11499)</f>
        <v>45998</v>
      </c>
      <c r="F11499" s="513" t="s">
        <v>1296</v>
      </c>
      <c r="G11499" s="200" t="s">
        <v>1209</v>
      </c>
      <c r="H11499" s="201"/>
      <c r="I11499" s="201"/>
      <c r="J11499" s="197" t="s">
        <v>46</v>
      </c>
      <c r="K11499" s="202">
        <v>142000</v>
      </c>
      <c r="L11499" s="202"/>
    </row>
    <row r="11500" spans="1:15" x14ac:dyDescent="0.2">
      <c r="A11500" s="120">
        <v>2025</v>
      </c>
      <c r="B11500" s="120">
        <v>12</v>
      </c>
      <c r="C11500" s="120">
        <v>7</v>
      </c>
      <c r="D11500" s="208">
        <f t="shared" ref="D11500:D11563" si="1587">DATE(A11500,B11500,C11500)</f>
        <v>45998</v>
      </c>
      <c r="E11500" s="209">
        <f t="shared" si="1586"/>
        <v>45998</v>
      </c>
      <c r="F11500" s="515"/>
      <c r="G11500" s="132" t="s">
        <v>1209</v>
      </c>
      <c r="J11500" s="120" t="s">
        <v>16</v>
      </c>
      <c r="K11500" s="207"/>
      <c r="L11500" s="207">
        <v>103140</v>
      </c>
    </row>
    <row r="11501" spans="1:15" x14ac:dyDescent="0.2">
      <c r="A11501" s="191">
        <v>2025</v>
      </c>
      <c r="B11501" s="191">
        <v>12</v>
      </c>
      <c r="C11501" s="191">
        <v>7</v>
      </c>
      <c r="D11501" s="192">
        <f t="shared" si="1587"/>
        <v>45998</v>
      </c>
      <c r="E11501" s="193">
        <f t="shared" si="1586"/>
        <v>45998</v>
      </c>
      <c r="F11501" s="514"/>
      <c r="G11501" s="194" t="s">
        <v>1209</v>
      </c>
      <c r="H11501" s="195"/>
      <c r="I11501" s="195"/>
      <c r="J11501" s="191" t="s">
        <v>47</v>
      </c>
      <c r="K11501" s="196"/>
      <c r="L11501" s="196">
        <v>38860</v>
      </c>
    </row>
    <row r="11502" spans="1:15" ht="11.25" customHeight="1" x14ac:dyDescent="0.2">
      <c r="A11502" s="197">
        <v>2025</v>
      </c>
      <c r="B11502" s="197">
        <v>12</v>
      </c>
      <c r="C11502" s="197">
        <v>7</v>
      </c>
      <c r="D11502" s="198">
        <f t="shared" si="1587"/>
        <v>45998</v>
      </c>
      <c r="E11502" s="199">
        <f t="shared" si="1586"/>
        <v>45998</v>
      </c>
      <c r="F11502" s="513" t="s">
        <v>2114</v>
      </c>
      <c r="G11502" s="200" t="s">
        <v>1245</v>
      </c>
      <c r="H11502" s="201"/>
      <c r="I11502" s="201"/>
      <c r="J11502" s="197" t="s">
        <v>1837</v>
      </c>
      <c r="K11502" s="202">
        <v>201791.82</v>
      </c>
      <c r="L11502" s="202"/>
    </row>
    <row r="11503" spans="1:15" ht="11.25" customHeight="1" x14ac:dyDescent="0.2">
      <c r="A11503" s="120">
        <v>2025</v>
      </c>
      <c r="B11503" s="120">
        <v>12</v>
      </c>
      <c r="C11503" s="120">
        <v>7</v>
      </c>
      <c r="D11503" s="208">
        <f t="shared" si="1587"/>
        <v>45998</v>
      </c>
      <c r="E11503" s="209">
        <f t="shared" si="1586"/>
        <v>45998</v>
      </c>
      <c r="F11503" s="515"/>
      <c r="G11503" s="132" t="s">
        <v>1245</v>
      </c>
      <c r="J11503" s="120" t="s">
        <v>1250</v>
      </c>
      <c r="K11503" s="207">
        <v>196.34</v>
      </c>
      <c r="L11503" s="207"/>
      <c r="M11503" s="130"/>
    </row>
    <row r="11504" spans="1:15" ht="11.25" customHeight="1" x14ac:dyDescent="0.2">
      <c r="A11504" s="191">
        <v>2025</v>
      </c>
      <c r="B11504" s="191">
        <v>12</v>
      </c>
      <c r="C11504" s="191">
        <v>7</v>
      </c>
      <c r="D11504" s="192">
        <f t="shared" si="1587"/>
        <v>45998</v>
      </c>
      <c r="E11504" s="193">
        <f t="shared" si="1586"/>
        <v>45998</v>
      </c>
      <c r="F11504" s="514"/>
      <c r="G11504" s="194" t="s">
        <v>1245</v>
      </c>
      <c r="H11504" s="195"/>
      <c r="I11504" s="195"/>
      <c r="J11504" s="191" t="s">
        <v>1251</v>
      </c>
      <c r="K11504" s="196"/>
      <c r="L11504" s="196">
        <v>201988.16</v>
      </c>
    </row>
    <row r="11505" spans="1:13" x14ac:dyDescent="0.2">
      <c r="A11505" s="424">
        <v>2025</v>
      </c>
      <c r="B11505" s="424">
        <v>12</v>
      </c>
      <c r="C11505" s="424">
        <v>7</v>
      </c>
      <c r="D11505" s="425">
        <f t="shared" si="1587"/>
        <v>45998</v>
      </c>
      <c r="E11505" s="384">
        <f t="shared" si="1585"/>
        <v>45998</v>
      </c>
      <c r="F11505" s="516" t="s">
        <v>1850</v>
      </c>
      <c r="G11505" s="426" t="s">
        <v>1209</v>
      </c>
      <c r="H11505" s="427"/>
      <c r="I11505" s="427"/>
      <c r="J11505" s="428" t="s">
        <v>81</v>
      </c>
      <c r="K11505" s="429">
        <v>4787.4520879120882</v>
      </c>
      <c r="L11505" s="429"/>
      <c r="M11505" s="455"/>
    </row>
    <row r="11506" spans="1:13" x14ac:dyDescent="0.2">
      <c r="A11506" s="389">
        <v>2025</v>
      </c>
      <c r="B11506" s="389">
        <v>12</v>
      </c>
      <c r="C11506" s="389">
        <v>7</v>
      </c>
      <c r="D11506" s="390">
        <f t="shared" si="1587"/>
        <v>45998</v>
      </c>
      <c r="E11506" s="391">
        <f t="shared" si="1585"/>
        <v>45998</v>
      </c>
      <c r="F11506" s="517"/>
      <c r="G11506" s="392" t="s">
        <v>1209</v>
      </c>
      <c r="H11506" s="393"/>
      <c r="I11506" s="393"/>
      <c r="J11506" s="394" t="s">
        <v>1847</v>
      </c>
      <c r="K11506" s="423"/>
      <c r="L11506" s="423">
        <f>K11505</f>
        <v>4787.4520879120882</v>
      </c>
    </row>
    <row r="11507" spans="1:13" ht="11.25" customHeight="1" x14ac:dyDescent="0.2">
      <c r="A11507" s="382">
        <v>2025</v>
      </c>
      <c r="B11507" s="382">
        <v>12</v>
      </c>
      <c r="C11507" s="382">
        <v>7</v>
      </c>
      <c r="D11507" s="383">
        <f t="shared" si="1587"/>
        <v>45998</v>
      </c>
      <c r="E11507" s="384">
        <f t="shared" si="1585"/>
        <v>45998</v>
      </c>
      <c r="F11507" s="516" t="s">
        <v>1892</v>
      </c>
      <c r="G11507" s="385" t="s">
        <v>1209</v>
      </c>
      <c r="H11507" s="386"/>
      <c r="I11507" s="386"/>
      <c r="J11507" s="387" t="s">
        <v>173</v>
      </c>
      <c r="K11507" s="388">
        <v>1858.27</v>
      </c>
      <c r="L11507" s="388"/>
      <c r="M11507" s="455"/>
    </row>
    <row r="11508" spans="1:13" ht="11.25" customHeight="1" x14ac:dyDescent="0.2">
      <c r="A11508" s="389">
        <v>2025</v>
      </c>
      <c r="B11508" s="389">
        <v>12</v>
      </c>
      <c r="C11508" s="389">
        <v>7</v>
      </c>
      <c r="D11508" s="390">
        <f t="shared" si="1587"/>
        <v>45998</v>
      </c>
      <c r="E11508" s="391">
        <f t="shared" si="1585"/>
        <v>45998</v>
      </c>
      <c r="F11508" s="517"/>
      <c r="G11508" s="392" t="s">
        <v>1209</v>
      </c>
      <c r="H11508" s="393"/>
      <c r="I11508" s="393"/>
      <c r="J11508" s="394" t="s">
        <v>43</v>
      </c>
      <c r="K11508" s="388"/>
      <c r="L11508" s="423">
        <f>K11507</f>
        <v>1858.27</v>
      </c>
    </row>
    <row r="11509" spans="1:13" ht="11.25" customHeight="1" x14ac:dyDescent="0.2">
      <c r="A11509" s="344">
        <v>2025</v>
      </c>
      <c r="B11509" s="344">
        <v>12</v>
      </c>
      <c r="C11509" s="344">
        <v>7</v>
      </c>
      <c r="D11509" s="345">
        <f t="shared" si="1587"/>
        <v>45998</v>
      </c>
      <c r="E11509" s="346">
        <f t="shared" si="1585"/>
        <v>45998</v>
      </c>
      <c r="F11509" s="518" t="s">
        <v>1982</v>
      </c>
      <c r="G11509" s="347" t="s">
        <v>1245</v>
      </c>
      <c r="H11509" s="348"/>
      <c r="I11509" s="348" t="s">
        <v>1253</v>
      </c>
      <c r="J11509" s="344" t="s">
        <v>1978</v>
      </c>
      <c r="K11509" s="349">
        <v>63749.175824175822</v>
      </c>
      <c r="L11509" s="349"/>
      <c r="M11509" s="455"/>
    </row>
    <row r="11510" spans="1:13" ht="11.25" customHeight="1" x14ac:dyDescent="0.2">
      <c r="A11510" s="350">
        <v>2025</v>
      </c>
      <c r="B11510" s="350">
        <v>12</v>
      </c>
      <c r="C11510" s="350">
        <v>7</v>
      </c>
      <c r="D11510" s="351">
        <f t="shared" si="1587"/>
        <v>45998</v>
      </c>
      <c r="E11510" s="352">
        <f t="shared" si="1585"/>
        <v>45998</v>
      </c>
      <c r="F11510" s="519"/>
      <c r="G11510" s="353" t="s">
        <v>1245</v>
      </c>
      <c r="H11510" s="354"/>
      <c r="I11510" s="354" t="s">
        <v>1253</v>
      </c>
      <c r="J11510" s="350" t="s">
        <v>1979</v>
      </c>
      <c r="K11510" s="355"/>
      <c r="L11510" s="355">
        <f>K11509</f>
        <v>63749.175824175822</v>
      </c>
    </row>
    <row r="11511" spans="1:13" ht="11.25" customHeight="1" x14ac:dyDescent="0.2">
      <c r="A11511" s="344">
        <v>2025</v>
      </c>
      <c r="B11511" s="344">
        <v>12</v>
      </c>
      <c r="C11511" s="344">
        <v>7</v>
      </c>
      <c r="D11511" s="345">
        <f t="shared" si="1587"/>
        <v>45998</v>
      </c>
      <c r="E11511" s="346">
        <f t="shared" si="1585"/>
        <v>45998</v>
      </c>
      <c r="F11511" s="518" t="s">
        <v>2009</v>
      </c>
      <c r="G11511" s="347" t="s">
        <v>1245</v>
      </c>
      <c r="H11511" s="348"/>
      <c r="I11511" s="348" t="s">
        <v>1253</v>
      </c>
      <c r="J11511" s="344" t="s">
        <v>2004</v>
      </c>
      <c r="K11511" s="349">
        <v>21296.704285714284</v>
      </c>
      <c r="L11511" s="349"/>
      <c r="M11511" s="455"/>
    </row>
    <row r="11512" spans="1:13" ht="11.25" customHeight="1" x14ac:dyDescent="0.2">
      <c r="A11512" s="350">
        <v>2025</v>
      </c>
      <c r="B11512" s="350">
        <v>12</v>
      </c>
      <c r="C11512" s="350">
        <v>7</v>
      </c>
      <c r="D11512" s="351">
        <f t="shared" si="1587"/>
        <v>45998</v>
      </c>
      <c r="E11512" s="352">
        <f t="shared" si="1585"/>
        <v>45998</v>
      </c>
      <c r="F11512" s="519"/>
      <c r="G11512" s="353" t="s">
        <v>1245</v>
      </c>
      <c r="H11512" s="354"/>
      <c r="I11512" s="354" t="s">
        <v>1253</v>
      </c>
      <c r="J11512" s="350" t="s">
        <v>2008</v>
      </c>
      <c r="K11512" s="355"/>
      <c r="L11512" s="355">
        <f t="shared" ref="L11512" si="1588">K11511</f>
        <v>21296.704285714284</v>
      </c>
    </row>
    <row r="11513" spans="1:13" ht="11.25" customHeight="1" x14ac:dyDescent="0.2">
      <c r="A11513" s="344">
        <v>2025</v>
      </c>
      <c r="B11513" s="344">
        <v>12</v>
      </c>
      <c r="C11513" s="344">
        <v>7</v>
      </c>
      <c r="D11513" s="345">
        <f t="shared" si="1587"/>
        <v>45998</v>
      </c>
      <c r="E11513" s="346">
        <f t="shared" si="1585"/>
        <v>45998</v>
      </c>
      <c r="F11513" s="518" t="s">
        <v>2009</v>
      </c>
      <c r="G11513" s="347" t="s">
        <v>1245</v>
      </c>
      <c r="H11513" s="348"/>
      <c r="I11513" s="348" t="s">
        <v>1253</v>
      </c>
      <c r="J11513" s="344" t="s">
        <v>2004</v>
      </c>
      <c r="K11513" s="349">
        <v>21296.704285714284</v>
      </c>
      <c r="L11513" s="349"/>
      <c r="M11513" s="455"/>
    </row>
    <row r="11514" spans="1:13" ht="11.25" customHeight="1" x14ac:dyDescent="0.2">
      <c r="A11514" s="350">
        <v>2025</v>
      </c>
      <c r="B11514" s="350">
        <v>12</v>
      </c>
      <c r="C11514" s="350">
        <v>7</v>
      </c>
      <c r="D11514" s="351">
        <f t="shared" si="1587"/>
        <v>45998</v>
      </c>
      <c r="E11514" s="352">
        <f t="shared" si="1585"/>
        <v>45998</v>
      </c>
      <c r="F11514" s="519"/>
      <c r="G11514" s="353" t="s">
        <v>1245</v>
      </c>
      <c r="H11514" s="354"/>
      <c r="I11514" s="354" t="s">
        <v>1253</v>
      </c>
      <c r="J11514" s="350" t="s">
        <v>2008</v>
      </c>
      <c r="K11514" s="355"/>
      <c r="L11514" s="355">
        <f t="shared" ref="L11514" si="1589">K11513</f>
        <v>21296.704285714284</v>
      </c>
    </row>
    <row r="11515" spans="1:13" ht="11.25" customHeight="1" x14ac:dyDescent="0.2">
      <c r="A11515" s="344">
        <v>2025</v>
      </c>
      <c r="B11515" s="344">
        <v>12</v>
      </c>
      <c r="C11515" s="344">
        <v>7</v>
      </c>
      <c r="D11515" s="345">
        <f t="shared" si="1587"/>
        <v>45998</v>
      </c>
      <c r="E11515" s="346">
        <f t="shared" si="1585"/>
        <v>45998</v>
      </c>
      <c r="F11515" s="518" t="s">
        <v>2088</v>
      </c>
      <c r="G11515" s="347" t="s">
        <v>1245</v>
      </c>
      <c r="H11515" s="348"/>
      <c r="I11515" s="348" t="s">
        <v>1253</v>
      </c>
      <c r="J11515" s="344" t="s">
        <v>2086</v>
      </c>
      <c r="K11515" s="349">
        <v>5369.5054945054944</v>
      </c>
      <c r="L11515" s="349"/>
      <c r="M11515" s="455"/>
    </row>
    <row r="11516" spans="1:13" ht="11.25" customHeight="1" x14ac:dyDescent="0.2">
      <c r="A11516" s="350">
        <v>2025</v>
      </c>
      <c r="B11516" s="350">
        <v>12</v>
      </c>
      <c r="C11516" s="350">
        <v>7</v>
      </c>
      <c r="D11516" s="351">
        <f t="shared" si="1587"/>
        <v>45998</v>
      </c>
      <c r="E11516" s="352">
        <f t="shared" si="1585"/>
        <v>45998</v>
      </c>
      <c r="F11516" s="519"/>
      <c r="G11516" s="353" t="s">
        <v>1245</v>
      </c>
      <c r="H11516" s="354"/>
      <c r="I11516" s="354" t="s">
        <v>1253</v>
      </c>
      <c r="J11516" s="350" t="s">
        <v>2089</v>
      </c>
      <c r="K11516" s="355"/>
      <c r="L11516" s="355">
        <f>K11515</f>
        <v>5369.5054945054944</v>
      </c>
    </row>
    <row r="11517" spans="1:13" ht="11.25" customHeight="1" x14ac:dyDescent="0.2">
      <c r="A11517" s="344">
        <v>2025</v>
      </c>
      <c r="B11517" s="344">
        <v>12</v>
      </c>
      <c r="C11517" s="344">
        <v>7</v>
      </c>
      <c r="D11517" s="345">
        <f t="shared" si="1587"/>
        <v>45998</v>
      </c>
      <c r="E11517" s="346">
        <f>DATE(A11517,B11517,C11517)</f>
        <v>45998</v>
      </c>
      <c r="F11517" s="518" t="s">
        <v>1988</v>
      </c>
      <c r="G11517" s="347" t="s">
        <v>1245</v>
      </c>
      <c r="H11517" s="348"/>
      <c r="I11517" s="348" t="s">
        <v>1253</v>
      </c>
      <c r="J11517" s="344" t="s">
        <v>113</v>
      </c>
      <c r="K11517" s="349">
        <v>14076.92142857143</v>
      </c>
      <c r="L11517" s="349"/>
      <c r="M11517" s="455"/>
    </row>
    <row r="11518" spans="1:13" ht="11.25" customHeight="1" x14ac:dyDescent="0.2">
      <c r="A11518" s="350">
        <v>2025</v>
      </c>
      <c r="B11518" s="350">
        <v>12</v>
      </c>
      <c r="C11518" s="350">
        <v>7</v>
      </c>
      <c r="D11518" s="351">
        <f t="shared" si="1587"/>
        <v>45998</v>
      </c>
      <c r="E11518" s="352">
        <f>DATE(A11518,B11518,C11518)</f>
        <v>45998</v>
      </c>
      <c r="F11518" s="519"/>
      <c r="G11518" s="353" t="s">
        <v>1245</v>
      </c>
      <c r="H11518" s="354"/>
      <c r="I11518" s="354" t="s">
        <v>1253</v>
      </c>
      <c r="J11518" s="350" t="s">
        <v>153</v>
      </c>
      <c r="K11518" s="355"/>
      <c r="L11518" s="355">
        <f t="shared" ref="L11518" si="1590">K11517</f>
        <v>14076.92142857143</v>
      </c>
    </row>
    <row r="11519" spans="1:13" ht="11.25" customHeight="1" x14ac:dyDescent="0.2">
      <c r="A11519" s="344">
        <v>2025</v>
      </c>
      <c r="B11519" s="344">
        <v>12</v>
      </c>
      <c r="C11519" s="344">
        <v>7</v>
      </c>
      <c r="D11519" s="345">
        <f t="shared" si="1587"/>
        <v>45998</v>
      </c>
      <c r="E11519" s="346">
        <f t="shared" ref="E11519:E11525" si="1591">DATE(A11519,B11519,C11519)</f>
        <v>45998</v>
      </c>
      <c r="F11519" s="518" t="s">
        <v>1989</v>
      </c>
      <c r="G11519" s="347" t="s">
        <v>1245</v>
      </c>
      <c r="H11519" s="348"/>
      <c r="I11519" s="348" t="s">
        <v>1253</v>
      </c>
      <c r="J11519" s="344" t="s">
        <v>113</v>
      </c>
      <c r="K11519" s="349">
        <v>10054.945054945056</v>
      </c>
      <c r="L11519" s="349"/>
      <c r="M11519" s="455"/>
    </row>
    <row r="11520" spans="1:13" ht="11.25" customHeight="1" x14ac:dyDescent="0.2">
      <c r="A11520" s="350">
        <v>2025</v>
      </c>
      <c r="B11520" s="350">
        <v>12</v>
      </c>
      <c r="C11520" s="350">
        <v>7</v>
      </c>
      <c r="D11520" s="351">
        <f t="shared" si="1587"/>
        <v>45998</v>
      </c>
      <c r="E11520" s="352">
        <f t="shared" si="1591"/>
        <v>45998</v>
      </c>
      <c r="F11520" s="519"/>
      <c r="G11520" s="353" t="s">
        <v>1245</v>
      </c>
      <c r="H11520" s="354"/>
      <c r="I11520" s="354" t="s">
        <v>1253</v>
      </c>
      <c r="J11520" s="350" t="s">
        <v>153</v>
      </c>
      <c r="K11520" s="355"/>
      <c r="L11520" s="355">
        <f t="shared" ref="L11520" si="1592">K11519</f>
        <v>10054.945054945056</v>
      </c>
    </row>
    <row r="11521" spans="1:16" ht="11.25" customHeight="1" x14ac:dyDescent="0.2">
      <c r="A11521" s="344">
        <v>2025</v>
      </c>
      <c r="B11521" s="344">
        <v>12</v>
      </c>
      <c r="C11521" s="344">
        <v>7</v>
      </c>
      <c r="D11521" s="345">
        <f t="shared" si="1587"/>
        <v>45998</v>
      </c>
      <c r="E11521" s="346">
        <f t="shared" si="1591"/>
        <v>45998</v>
      </c>
      <c r="F11521" s="518" t="s">
        <v>1990</v>
      </c>
      <c r="G11521" s="347" t="s">
        <v>1245</v>
      </c>
      <c r="H11521" s="348"/>
      <c r="I11521" s="348" t="s">
        <v>1253</v>
      </c>
      <c r="J11521" s="344" t="s">
        <v>113</v>
      </c>
      <c r="K11521" s="349">
        <v>30164.837142857141</v>
      </c>
      <c r="L11521" s="349"/>
      <c r="M11521" s="455"/>
      <c r="N11521" s="251"/>
      <c r="O11521" s="251"/>
      <c r="P11521" s="251"/>
    </row>
    <row r="11522" spans="1:16" ht="11.25" customHeight="1" x14ac:dyDescent="0.2">
      <c r="A11522" s="350">
        <v>2025</v>
      </c>
      <c r="B11522" s="350">
        <v>12</v>
      </c>
      <c r="C11522" s="350">
        <v>7</v>
      </c>
      <c r="D11522" s="351">
        <f t="shared" si="1587"/>
        <v>45998</v>
      </c>
      <c r="E11522" s="352">
        <f t="shared" si="1591"/>
        <v>45998</v>
      </c>
      <c r="F11522" s="519"/>
      <c r="G11522" s="353" t="s">
        <v>1245</v>
      </c>
      <c r="H11522" s="354"/>
      <c r="I11522" s="354" t="s">
        <v>1253</v>
      </c>
      <c r="J11522" s="350" t="s">
        <v>153</v>
      </c>
      <c r="K11522" s="355"/>
      <c r="L11522" s="355">
        <f t="shared" ref="L11522" si="1593">K11521</f>
        <v>30164.837142857141</v>
      </c>
    </row>
    <row r="11523" spans="1:16" ht="11.25" customHeight="1" x14ac:dyDescent="0.2">
      <c r="A11523" s="344">
        <v>2025</v>
      </c>
      <c r="B11523" s="344">
        <v>12</v>
      </c>
      <c r="C11523" s="344">
        <v>7</v>
      </c>
      <c r="D11523" s="345">
        <f t="shared" si="1587"/>
        <v>45998</v>
      </c>
      <c r="E11523" s="346">
        <f t="shared" si="1591"/>
        <v>45998</v>
      </c>
      <c r="F11523" s="518" t="s">
        <v>2107</v>
      </c>
      <c r="G11523" s="347" t="s">
        <v>1245</v>
      </c>
      <c r="H11523" s="348"/>
      <c r="I11523" s="348" t="s">
        <v>1253</v>
      </c>
      <c r="J11523" s="344" t="s">
        <v>113</v>
      </c>
      <c r="K11523" s="349">
        <v>37112.637362637361</v>
      </c>
      <c r="L11523" s="349"/>
      <c r="M11523" s="455"/>
      <c r="N11523" s="251"/>
      <c r="O11523" s="251"/>
      <c r="P11523" s="251"/>
    </row>
    <row r="11524" spans="1:16" ht="11.25" customHeight="1" x14ac:dyDescent="0.2">
      <c r="A11524" s="350">
        <v>2025</v>
      </c>
      <c r="B11524" s="350">
        <v>12</v>
      </c>
      <c r="C11524" s="350">
        <v>7</v>
      </c>
      <c r="D11524" s="351">
        <f t="shared" si="1587"/>
        <v>45998</v>
      </c>
      <c r="E11524" s="352">
        <f t="shared" si="1591"/>
        <v>45998</v>
      </c>
      <c r="F11524" s="519"/>
      <c r="G11524" s="353" t="s">
        <v>1245</v>
      </c>
      <c r="H11524" s="354"/>
      <c r="I11524" s="354" t="s">
        <v>1253</v>
      </c>
      <c r="J11524" s="350" t="s">
        <v>153</v>
      </c>
      <c r="K11524" s="355"/>
      <c r="L11524" s="355">
        <f t="shared" ref="L11524" si="1594">K11523</f>
        <v>37112.637362637361</v>
      </c>
    </row>
    <row r="11525" spans="1:16" ht="11.25" customHeight="1" x14ac:dyDescent="0.2">
      <c r="A11525" s="210">
        <v>2025</v>
      </c>
      <c r="B11525" s="210">
        <v>12</v>
      </c>
      <c r="C11525" s="210">
        <v>7</v>
      </c>
      <c r="D11525" s="211">
        <f t="shared" si="1587"/>
        <v>45998</v>
      </c>
      <c r="E11525" s="238">
        <f t="shared" si="1591"/>
        <v>45998</v>
      </c>
      <c r="F11525" s="520" t="s">
        <v>1857</v>
      </c>
      <c r="G11525" s="213" t="s">
        <v>1245</v>
      </c>
      <c r="H11525" s="214"/>
      <c r="I11525" s="214" t="s">
        <v>1253</v>
      </c>
      <c r="J11525" s="210" t="s">
        <v>1284</v>
      </c>
      <c r="K11525" s="215">
        <v>1003.6334633108827</v>
      </c>
      <c r="L11525" s="215"/>
      <c r="M11525" s="455"/>
    </row>
    <row r="11526" spans="1:16" ht="11.25" customHeight="1" x14ac:dyDescent="0.2">
      <c r="A11526" s="242">
        <v>2025</v>
      </c>
      <c r="B11526" s="242">
        <v>12</v>
      </c>
      <c r="C11526" s="242">
        <v>7</v>
      </c>
      <c r="D11526" s="243">
        <f t="shared" si="1587"/>
        <v>45998</v>
      </c>
      <c r="E11526" s="244">
        <f>DATE(A11526,B11526,C11526)</f>
        <v>45998</v>
      </c>
      <c r="F11526" s="524"/>
      <c r="G11526" s="245" t="s">
        <v>1245</v>
      </c>
      <c r="H11526" s="246"/>
      <c r="I11526" s="246"/>
      <c r="J11526" s="242" t="s">
        <v>1582</v>
      </c>
      <c r="K11526" s="247"/>
      <c r="L11526" s="247">
        <f>K11525</f>
        <v>1003.6334633108827</v>
      </c>
    </row>
    <row r="11527" spans="1:16" ht="11.25" customHeight="1" x14ac:dyDescent="0.2">
      <c r="A11527" s="210">
        <v>2025</v>
      </c>
      <c r="B11527" s="210">
        <v>12</v>
      </c>
      <c r="C11527" s="210">
        <v>7</v>
      </c>
      <c r="D11527" s="211">
        <f t="shared" si="1587"/>
        <v>45998</v>
      </c>
      <c r="E11527" s="238">
        <f t="shared" ref="E11527:E11562" si="1595">DATE(A11527,B11527,C11527)</f>
        <v>45998</v>
      </c>
      <c r="F11527" s="520" t="s">
        <v>2055</v>
      </c>
      <c r="G11527" s="213" t="s">
        <v>1245</v>
      </c>
      <c r="H11527" s="214"/>
      <c r="I11527" s="214" t="s">
        <v>1253</v>
      </c>
      <c r="J11527" s="210" t="s">
        <v>58</v>
      </c>
      <c r="K11527" s="215">
        <v>8940.74</v>
      </c>
      <c r="L11527" s="215"/>
    </row>
    <row r="11528" spans="1:16" ht="11.25" customHeight="1" x14ac:dyDescent="0.2">
      <c r="A11528" s="216">
        <v>2025</v>
      </c>
      <c r="B11528" s="216">
        <v>12</v>
      </c>
      <c r="C11528" s="216">
        <v>7</v>
      </c>
      <c r="D11528" s="217">
        <f t="shared" si="1587"/>
        <v>45998</v>
      </c>
      <c r="E11528" s="239">
        <f t="shared" si="1595"/>
        <v>45998</v>
      </c>
      <c r="F11528" s="521"/>
      <c r="G11528" s="219" t="s">
        <v>1245</v>
      </c>
      <c r="H11528" s="220"/>
      <c r="I11528" s="220" t="s">
        <v>1253</v>
      </c>
      <c r="J11528" s="216" t="s">
        <v>153</v>
      </c>
      <c r="K11528" s="221"/>
      <c r="L11528" s="221">
        <f>K11527</f>
        <v>8940.74</v>
      </c>
    </row>
    <row r="11529" spans="1:16" ht="11.25" customHeight="1" x14ac:dyDescent="0.2">
      <c r="A11529" s="312">
        <v>2025</v>
      </c>
      <c r="B11529" s="312">
        <v>12</v>
      </c>
      <c r="C11529" s="312">
        <v>7</v>
      </c>
      <c r="D11529" s="313">
        <f t="shared" si="1587"/>
        <v>45998</v>
      </c>
      <c r="E11529" s="314">
        <f t="shared" si="1595"/>
        <v>45998</v>
      </c>
      <c r="F11529" s="522" t="s">
        <v>1477</v>
      </c>
      <c r="G11529" s="315" t="s">
        <v>1245</v>
      </c>
      <c r="H11529" s="316"/>
      <c r="I11529" s="316" t="s">
        <v>1253</v>
      </c>
      <c r="J11529" s="312" t="s">
        <v>1458</v>
      </c>
      <c r="K11529" s="317">
        <v>0</v>
      </c>
      <c r="L11529" s="317"/>
    </row>
    <row r="11530" spans="1:16" ht="11.25" customHeight="1" x14ac:dyDescent="0.2">
      <c r="A11530" s="318">
        <v>2025</v>
      </c>
      <c r="B11530" s="318">
        <v>12</v>
      </c>
      <c r="C11530" s="318">
        <v>7</v>
      </c>
      <c r="D11530" s="319">
        <f t="shared" si="1587"/>
        <v>45998</v>
      </c>
      <c r="E11530" s="320">
        <f t="shared" si="1595"/>
        <v>45998</v>
      </c>
      <c r="F11530" s="523"/>
      <c r="G11530" s="321" t="s">
        <v>1245</v>
      </c>
      <c r="H11530" s="322"/>
      <c r="I11530" s="322" t="s">
        <v>1253</v>
      </c>
      <c r="J11530" s="318" t="s">
        <v>1460</v>
      </c>
      <c r="K11530" s="323"/>
      <c r="L11530" s="323">
        <f>K11529</f>
        <v>0</v>
      </c>
    </row>
    <row r="11531" spans="1:16" ht="11.25" customHeight="1" x14ac:dyDescent="0.2">
      <c r="A11531" s="312">
        <v>2025</v>
      </c>
      <c r="B11531" s="312">
        <v>12</v>
      </c>
      <c r="C11531" s="312">
        <v>7</v>
      </c>
      <c r="D11531" s="313">
        <f t="shared" si="1587"/>
        <v>45998</v>
      </c>
      <c r="E11531" s="314">
        <f t="shared" si="1595"/>
        <v>45998</v>
      </c>
      <c r="F11531" s="522" t="s">
        <v>1595</v>
      </c>
      <c r="G11531" s="315" t="s">
        <v>1245</v>
      </c>
      <c r="H11531" s="316"/>
      <c r="I11531" s="316" t="s">
        <v>1253</v>
      </c>
      <c r="J11531" s="312" t="s">
        <v>1461</v>
      </c>
      <c r="K11531" s="317">
        <v>281767.51100003719</v>
      </c>
      <c r="L11531" s="317"/>
      <c r="M11531" s="328">
        <f>BS!$I$14</f>
        <v>0</v>
      </c>
    </row>
    <row r="11532" spans="1:16" ht="11.25" customHeight="1" x14ac:dyDescent="0.2">
      <c r="A11532" s="318">
        <v>2025</v>
      </c>
      <c r="B11532" s="318">
        <v>12</v>
      </c>
      <c r="C11532" s="318">
        <v>7</v>
      </c>
      <c r="D11532" s="319">
        <f t="shared" si="1587"/>
        <v>45998</v>
      </c>
      <c r="E11532" s="320">
        <f t="shared" si="1595"/>
        <v>45998</v>
      </c>
      <c r="F11532" s="523"/>
      <c r="G11532" s="321" t="s">
        <v>1245</v>
      </c>
      <c r="H11532" s="322"/>
      <c r="I11532" s="322" t="s">
        <v>1253</v>
      </c>
      <c r="J11532" s="318" t="s">
        <v>1459</v>
      </c>
      <c r="K11532" s="323"/>
      <c r="L11532" s="323">
        <f>K11531</f>
        <v>281767.51100003719</v>
      </c>
      <c r="M11532" s="328"/>
    </row>
    <row r="11533" spans="1:16" ht="11.25" customHeight="1" x14ac:dyDescent="0.2">
      <c r="A11533" s="222">
        <v>2025</v>
      </c>
      <c r="B11533" s="222">
        <v>12</v>
      </c>
      <c r="C11533" s="222">
        <v>7</v>
      </c>
      <c r="D11533" s="223">
        <f t="shared" si="1587"/>
        <v>45998</v>
      </c>
      <c r="E11533" s="240">
        <f t="shared" si="1595"/>
        <v>45998</v>
      </c>
      <c r="F11533" s="511" t="s">
        <v>1244</v>
      </c>
      <c r="G11533" s="225" t="s">
        <v>1245</v>
      </c>
      <c r="H11533" s="226"/>
      <c r="I11533" s="226" t="s">
        <v>1253</v>
      </c>
      <c r="J11533" s="222" t="s">
        <v>72</v>
      </c>
      <c r="K11533" s="227">
        <v>0.5</v>
      </c>
      <c r="L11533" s="227"/>
      <c r="M11533" s="328">
        <f>BS!$I$7</f>
        <v>0</v>
      </c>
    </row>
    <row r="11534" spans="1:16" ht="11.25" customHeight="1" x14ac:dyDescent="0.2">
      <c r="A11534" s="228">
        <v>2025</v>
      </c>
      <c r="B11534" s="228">
        <v>12</v>
      </c>
      <c r="C11534" s="228">
        <v>7</v>
      </c>
      <c r="D11534" s="229">
        <f t="shared" si="1587"/>
        <v>45998</v>
      </c>
      <c r="E11534" s="241">
        <f t="shared" si="1595"/>
        <v>45998</v>
      </c>
      <c r="F11534" s="512"/>
      <c r="G11534" s="231" t="s">
        <v>1245</v>
      </c>
      <c r="H11534" s="232"/>
      <c r="I11534" s="232" t="s">
        <v>1253</v>
      </c>
      <c r="J11534" s="228" t="s">
        <v>87</v>
      </c>
      <c r="K11534" s="233"/>
      <c r="L11534" s="233">
        <f>K11533</f>
        <v>0.5</v>
      </c>
    </row>
    <row r="11535" spans="1:16" ht="11.25" customHeight="1" x14ac:dyDescent="0.2">
      <c r="A11535" s="222">
        <v>2025</v>
      </c>
      <c r="B11535" s="222">
        <v>12</v>
      </c>
      <c r="C11535" s="222">
        <v>7</v>
      </c>
      <c r="D11535" s="223">
        <f t="shared" si="1587"/>
        <v>45998</v>
      </c>
      <c r="E11535" s="240">
        <f t="shared" si="1595"/>
        <v>45998</v>
      </c>
      <c r="F11535" s="511" t="s">
        <v>1246</v>
      </c>
      <c r="G11535" s="225" t="s">
        <v>1245</v>
      </c>
      <c r="H11535" s="226"/>
      <c r="I11535" s="226" t="s">
        <v>1253</v>
      </c>
      <c r="J11535" s="222" t="s">
        <v>75</v>
      </c>
      <c r="K11535" s="227">
        <v>1552.7673626373626</v>
      </c>
      <c r="L11535" s="227"/>
    </row>
    <row r="11536" spans="1:16" ht="11.25" customHeight="1" x14ac:dyDescent="0.2">
      <c r="A11536" s="228">
        <v>2025</v>
      </c>
      <c r="B11536" s="228">
        <v>12</v>
      </c>
      <c r="C11536" s="228">
        <v>7</v>
      </c>
      <c r="D11536" s="229">
        <f t="shared" si="1587"/>
        <v>45998</v>
      </c>
      <c r="E11536" s="241">
        <f t="shared" si="1595"/>
        <v>45998</v>
      </c>
      <c r="F11536" s="512"/>
      <c r="G11536" s="231" t="s">
        <v>1245</v>
      </c>
      <c r="H11536" s="232"/>
      <c r="I11536" s="232" t="s">
        <v>1253</v>
      </c>
      <c r="J11536" s="228" t="s">
        <v>55</v>
      </c>
      <c r="K11536" s="233"/>
      <c r="L11536" s="233">
        <f>K11535</f>
        <v>1552.7673626373626</v>
      </c>
    </row>
    <row r="11537" spans="1:15" ht="11.25" customHeight="1" x14ac:dyDescent="0.2">
      <c r="A11537" s="222">
        <v>2025</v>
      </c>
      <c r="B11537" s="222">
        <v>12</v>
      </c>
      <c r="C11537" s="222">
        <v>7</v>
      </c>
      <c r="D11537" s="223">
        <f t="shared" si="1587"/>
        <v>45998</v>
      </c>
      <c r="E11537" s="240">
        <f t="shared" si="1595"/>
        <v>45998</v>
      </c>
      <c r="F11537" s="511" t="s">
        <v>1247</v>
      </c>
      <c r="G11537" s="225" t="s">
        <v>1245</v>
      </c>
      <c r="H11537" s="226"/>
      <c r="I11537" s="226" t="s">
        <v>1253</v>
      </c>
      <c r="J11537" s="222" t="s">
        <v>77</v>
      </c>
      <c r="K11537" s="227">
        <f>M11537</f>
        <v>22455.827683667692</v>
      </c>
      <c r="L11537" s="227"/>
      <c r="M11537" s="478">
        <v>22455.827683667692</v>
      </c>
    </row>
    <row r="11538" spans="1:15" ht="11.25" customHeight="1" x14ac:dyDescent="0.2">
      <c r="A11538" s="228">
        <v>2025</v>
      </c>
      <c r="B11538" s="228">
        <v>12</v>
      </c>
      <c r="C11538" s="228">
        <v>7</v>
      </c>
      <c r="D11538" s="229">
        <f t="shared" si="1587"/>
        <v>45998</v>
      </c>
      <c r="E11538" s="241">
        <f t="shared" si="1595"/>
        <v>45998</v>
      </c>
      <c r="F11538" s="512"/>
      <c r="G11538" s="231" t="s">
        <v>1245</v>
      </c>
      <c r="H11538" s="232"/>
      <c r="I11538" s="232" t="s">
        <v>1253</v>
      </c>
      <c r="J11538" s="228" t="s">
        <v>41</v>
      </c>
      <c r="K11538" s="233"/>
      <c r="L11538" s="233">
        <f>K11537</f>
        <v>22455.827683667692</v>
      </c>
      <c r="M11538" s="478">
        <v>2245.5827683667694</v>
      </c>
    </row>
    <row r="11539" spans="1:15" ht="11.25" customHeight="1" x14ac:dyDescent="0.2">
      <c r="A11539" s="222">
        <v>2025</v>
      </c>
      <c r="B11539" s="222">
        <v>12</v>
      </c>
      <c r="C11539" s="222">
        <v>7</v>
      </c>
      <c r="D11539" s="223">
        <f t="shared" si="1587"/>
        <v>45998</v>
      </c>
      <c r="E11539" s="240">
        <f t="shared" si="1595"/>
        <v>45998</v>
      </c>
      <c r="F11539" s="511" t="s">
        <v>1248</v>
      </c>
      <c r="G11539" s="225" t="s">
        <v>1245</v>
      </c>
      <c r="H11539" s="226"/>
      <c r="I11539" s="226" t="s">
        <v>1253</v>
      </c>
      <c r="J11539" s="222" t="s">
        <v>80</v>
      </c>
      <c r="K11539" s="227">
        <f>M11538</f>
        <v>2245.5827683667694</v>
      </c>
      <c r="L11539" s="227"/>
      <c r="N11539" s="251"/>
      <c r="O11539" s="251"/>
    </row>
    <row r="11540" spans="1:15" ht="11.25" customHeight="1" x14ac:dyDescent="0.2">
      <c r="A11540" s="228">
        <v>2025</v>
      </c>
      <c r="B11540" s="228">
        <v>12</v>
      </c>
      <c r="C11540" s="228">
        <v>7</v>
      </c>
      <c r="D11540" s="229">
        <f t="shared" si="1587"/>
        <v>45998</v>
      </c>
      <c r="E11540" s="241">
        <f t="shared" si="1595"/>
        <v>45998</v>
      </c>
      <c r="F11540" s="512"/>
      <c r="G11540" s="231" t="s">
        <v>1245</v>
      </c>
      <c r="H11540" s="232"/>
      <c r="I11540" s="232" t="s">
        <v>1253</v>
      </c>
      <c r="J11540" s="228" t="s">
        <v>42</v>
      </c>
      <c r="K11540" s="233"/>
      <c r="L11540" s="233">
        <f>K11539</f>
        <v>2245.5827683667694</v>
      </c>
    </row>
    <row r="11541" spans="1:15" x14ac:dyDescent="0.2">
      <c r="A11541" s="197">
        <v>2025</v>
      </c>
      <c r="B11541" s="197">
        <v>12</v>
      </c>
      <c r="C11541" s="197">
        <v>8</v>
      </c>
      <c r="D11541" s="198">
        <f t="shared" si="1587"/>
        <v>45999</v>
      </c>
      <c r="E11541" s="209">
        <f t="shared" si="1595"/>
        <v>45999</v>
      </c>
      <c r="F11541" s="513" t="s">
        <v>1280</v>
      </c>
      <c r="G11541" s="200" t="s">
        <v>1209</v>
      </c>
      <c r="H11541" s="201"/>
      <c r="I11541" s="201"/>
      <c r="J11541" s="197" t="s">
        <v>16</v>
      </c>
      <c r="K11541" s="202">
        <v>70020</v>
      </c>
      <c r="L11541" s="202"/>
    </row>
    <row r="11542" spans="1:15" x14ac:dyDescent="0.2">
      <c r="A11542" s="120">
        <v>2025</v>
      </c>
      <c r="B11542" s="120">
        <v>12</v>
      </c>
      <c r="C11542" s="120">
        <v>8</v>
      </c>
      <c r="D11542" s="208">
        <f t="shared" si="1587"/>
        <v>45999</v>
      </c>
      <c r="E11542" s="209">
        <f t="shared" si="1595"/>
        <v>45999</v>
      </c>
      <c r="F11542" s="515"/>
      <c r="G11542" s="132" t="s">
        <v>1209</v>
      </c>
      <c r="J11542" s="120" t="s">
        <v>47</v>
      </c>
      <c r="K11542" s="207">
        <v>26383.42</v>
      </c>
      <c r="L11542" s="207"/>
    </row>
    <row r="11543" spans="1:15" x14ac:dyDescent="0.2">
      <c r="A11543" s="191">
        <v>2025</v>
      </c>
      <c r="B11543" s="191">
        <v>12</v>
      </c>
      <c r="C11543" s="191">
        <v>8</v>
      </c>
      <c r="D11543" s="192">
        <f t="shared" si="1587"/>
        <v>45999</v>
      </c>
      <c r="E11543" s="193">
        <f t="shared" si="1595"/>
        <v>45999</v>
      </c>
      <c r="F11543" s="514"/>
      <c r="G11543" s="194" t="s">
        <v>1209</v>
      </c>
      <c r="H11543" s="195"/>
      <c r="I11543" s="195"/>
      <c r="J11543" s="191" t="s">
        <v>46</v>
      </c>
      <c r="K11543" s="196"/>
      <c r="L11543" s="196">
        <v>96403.42</v>
      </c>
    </row>
    <row r="11544" spans="1:15" ht="11.25" customHeight="1" x14ac:dyDescent="0.2">
      <c r="A11544" s="197">
        <v>2025</v>
      </c>
      <c r="B11544" s="197">
        <v>12</v>
      </c>
      <c r="C11544" s="197">
        <v>8</v>
      </c>
      <c r="D11544" s="198">
        <f t="shared" si="1587"/>
        <v>45999</v>
      </c>
      <c r="E11544" s="199">
        <f t="shared" si="1595"/>
        <v>45999</v>
      </c>
      <c r="F11544" s="513" t="s">
        <v>2115</v>
      </c>
      <c r="G11544" s="200" t="s">
        <v>1245</v>
      </c>
      <c r="H11544" s="201"/>
      <c r="I11544" s="201"/>
      <c r="J11544" s="197" t="s">
        <v>1837</v>
      </c>
      <c r="K11544" s="202">
        <v>1041787.54</v>
      </c>
      <c r="L11544" s="202"/>
    </row>
    <row r="11545" spans="1:15" ht="11.25" customHeight="1" x14ac:dyDescent="0.2">
      <c r="A11545" s="120">
        <v>2025</v>
      </c>
      <c r="B11545" s="120">
        <v>12</v>
      </c>
      <c r="C11545" s="120">
        <v>8</v>
      </c>
      <c r="D11545" s="208">
        <f t="shared" si="1587"/>
        <v>45999</v>
      </c>
      <c r="E11545" s="209">
        <f t="shared" si="1595"/>
        <v>45999</v>
      </c>
      <c r="F11545" s="515"/>
      <c r="G11545" s="132" t="s">
        <v>1245</v>
      </c>
      <c r="J11545" s="120" t="s">
        <v>1250</v>
      </c>
      <c r="K11545" s="207">
        <v>1033.22</v>
      </c>
      <c r="L11545" s="207"/>
      <c r="M11545" s="130"/>
    </row>
    <row r="11546" spans="1:15" ht="11.25" customHeight="1" x14ac:dyDescent="0.2">
      <c r="A11546" s="191">
        <v>2025</v>
      </c>
      <c r="B11546" s="191">
        <v>12</v>
      </c>
      <c r="C11546" s="191">
        <v>8</v>
      </c>
      <c r="D11546" s="192">
        <f t="shared" si="1587"/>
        <v>45999</v>
      </c>
      <c r="E11546" s="193">
        <f t="shared" si="1595"/>
        <v>45999</v>
      </c>
      <c r="F11546" s="514"/>
      <c r="G11546" s="194" t="s">
        <v>1245</v>
      </c>
      <c r="H11546" s="195"/>
      <c r="I11546" s="195"/>
      <c r="J11546" s="191" t="s">
        <v>1251</v>
      </c>
      <c r="K11546" s="196"/>
      <c r="L11546" s="196">
        <v>1042820.76</v>
      </c>
    </row>
    <row r="11547" spans="1:15" ht="11.25" customHeight="1" x14ac:dyDescent="0.2">
      <c r="A11547" s="197">
        <v>2025</v>
      </c>
      <c r="B11547" s="197">
        <v>12</v>
      </c>
      <c r="C11547" s="197">
        <v>8</v>
      </c>
      <c r="D11547" s="198">
        <f t="shared" si="1587"/>
        <v>45999</v>
      </c>
      <c r="E11547" s="199">
        <f t="shared" si="1595"/>
        <v>45999</v>
      </c>
      <c r="F11547" s="513" t="s">
        <v>2112</v>
      </c>
      <c r="G11547" s="200" t="s">
        <v>1209</v>
      </c>
      <c r="H11547" s="201"/>
      <c r="I11547" s="201"/>
      <c r="J11547" s="197" t="s">
        <v>1251</v>
      </c>
      <c r="K11547" s="202">
        <v>201988.16</v>
      </c>
      <c r="L11547" s="202"/>
    </row>
    <row r="11548" spans="1:15" ht="11.25" customHeight="1" x14ac:dyDescent="0.2">
      <c r="A11548" s="191">
        <v>2025</v>
      </c>
      <c r="B11548" s="191">
        <v>12</v>
      </c>
      <c r="C11548" s="191">
        <v>8</v>
      </c>
      <c r="D11548" s="192">
        <f t="shared" si="1587"/>
        <v>45999</v>
      </c>
      <c r="E11548" s="193">
        <f t="shared" si="1595"/>
        <v>45999</v>
      </c>
      <c r="F11548" s="514"/>
      <c r="G11548" s="194" t="s">
        <v>1209</v>
      </c>
      <c r="H11548" s="195"/>
      <c r="I11548" s="195"/>
      <c r="J11548" s="191" t="s">
        <v>46</v>
      </c>
      <c r="K11548" s="196"/>
      <c r="L11548" s="196">
        <f>K11547</f>
        <v>201988.16</v>
      </c>
    </row>
    <row r="11549" spans="1:15" x14ac:dyDescent="0.2">
      <c r="A11549" s="197">
        <v>2025</v>
      </c>
      <c r="B11549" s="197">
        <v>12</v>
      </c>
      <c r="C11549" s="197">
        <v>8</v>
      </c>
      <c r="D11549" s="198">
        <f t="shared" si="1587"/>
        <v>45999</v>
      </c>
      <c r="E11549" s="290">
        <f t="shared" si="1595"/>
        <v>45999</v>
      </c>
      <c r="F11549" s="513" t="s">
        <v>1514</v>
      </c>
      <c r="G11549" s="200" t="s">
        <v>1209</v>
      </c>
      <c r="H11549" s="201"/>
      <c r="I11549" s="201"/>
      <c r="J11549" s="197" t="s">
        <v>54</v>
      </c>
      <c r="K11549" s="202">
        <v>58</v>
      </c>
      <c r="L11549" s="202"/>
      <c r="M11549" s="251"/>
      <c r="N11549" s="251"/>
      <c r="O11549" s="251"/>
    </row>
    <row r="11550" spans="1:15" ht="11.25" customHeight="1" x14ac:dyDescent="0.2">
      <c r="A11550" s="191">
        <v>2025</v>
      </c>
      <c r="B11550" s="191">
        <v>12</v>
      </c>
      <c r="C11550" s="191">
        <v>8</v>
      </c>
      <c r="D11550" s="192">
        <f t="shared" si="1587"/>
        <v>45999</v>
      </c>
      <c r="E11550" s="291">
        <f t="shared" si="1595"/>
        <v>45999</v>
      </c>
      <c r="F11550" s="514"/>
      <c r="G11550" s="194" t="s">
        <v>1209</v>
      </c>
      <c r="H11550" s="195"/>
      <c r="I11550" s="195"/>
      <c r="J11550" s="191" t="s">
        <v>46</v>
      </c>
      <c r="K11550" s="196"/>
      <c r="L11550" s="196">
        <f>K11549</f>
        <v>58</v>
      </c>
      <c r="M11550" s="251"/>
    </row>
    <row r="11551" spans="1:15" x14ac:dyDescent="0.2">
      <c r="A11551" s="424">
        <v>2025</v>
      </c>
      <c r="B11551" s="424">
        <v>12</v>
      </c>
      <c r="C11551" s="424">
        <v>8</v>
      </c>
      <c r="D11551" s="425">
        <f t="shared" si="1587"/>
        <v>45999</v>
      </c>
      <c r="E11551" s="384">
        <f t="shared" si="1595"/>
        <v>45999</v>
      </c>
      <c r="F11551" s="516" t="s">
        <v>1850</v>
      </c>
      <c r="G11551" s="426" t="s">
        <v>1209</v>
      </c>
      <c r="H11551" s="427"/>
      <c r="I11551" s="427"/>
      <c r="J11551" s="428" t="s">
        <v>81</v>
      </c>
      <c r="K11551" s="429">
        <v>1595.8173626373627</v>
      </c>
      <c r="L11551" s="429"/>
      <c r="M11551" s="455"/>
    </row>
    <row r="11552" spans="1:15" x14ac:dyDescent="0.2">
      <c r="A11552" s="389">
        <v>2025</v>
      </c>
      <c r="B11552" s="389">
        <v>12</v>
      </c>
      <c r="C11552" s="389">
        <v>8</v>
      </c>
      <c r="D11552" s="390">
        <f t="shared" si="1587"/>
        <v>45999</v>
      </c>
      <c r="E11552" s="391">
        <f t="shared" si="1595"/>
        <v>45999</v>
      </c>
      <c r="F11552" s="517"/>
      <c r="G11552" s="392" t="s">
        <v>1209</v>
      </c>
      <c r="H11552" s="393"/>
      <c r="I11552" s="393"/>
      <c r="J11552" s="394" t="s">
        <v>1847</v>
      </c>
      <c r="K11552" s="423"/>
      <c r="L11552" s="423">
        <f>K11551</f>
        <v>1595.8173626373627</v>
      </c>
    </row>
    <row r="11553" spans="1:16" ht="11.25" customHeight="1" x14ac:dyDescent="0.2">
      <c r="A11553" s="382">
        <v>2025</v>
      </c>
      <c r="B11553" s="382">
        <v>12</v>
      </c>
      <c r="C11553" s="382">
        <v>8</v>
      </c>
      <c r="D11553" s="383">
        <f t="shared" si="1587"/>
        <v>45999</v>
      </c>
      <c r="E11553" s="384">
        <f t="shared" si="1595"/>
        <v>45999</v>
      </c>
      <c r="F11553" s="516" t="s">
        <v>1892</v>
      </c>
      <c r="G11553" s="385" t="s">
        <v>1209</v>
      </c>
      <c r="H11553" s="386"/>
      <c r="I11553" s="386"/>
      <c r="J11553" s="387" t="s">
        <v>173</v>
      </c>
      <c r="K11553" s="388">
        <v>621.41720826488086</v>
      </c>
      <c r="L11553" s="388"/>
      <c r="M11553" s="455"/>
    </row>
    <row r="11554" spans="1:16" ht="11.25" customHeight="1" x14ac:dyDescent="0.2">
      <c r="A11554" s="389">
        <v>2025</v>
      </c>
      <c r="B11554" s="389">
        <v>12</v>
      </c>
      <c r="C11554" s="389">
        <v>8</v>
      </c>
      <c r="D11554" s="390">
        <f t="shared" si="1587"/>
        <v>45999</v>
      </c>
      <c r="E11554" s="391">
        <f t="shared" si="1595"/>
        <v>45999</v>
      </c>
      <c r="F11554" s="517"/>
      <c r="G11554" s="392" t="s">
        <v>1209</v>
      </c>
      <c r="H11554" s="393"/>
      <c r="I11554" s="393"/>
      <c r="J11554" s="394" t="s">
        <v>43</v>
      </c>
      <c r="K11554" s="388"/>
      <c r="L11554" s="423">
        <f>K11553</f>
        <v>621.41720826488086</v>
      </c>
    </row>
    <row r="11555" spans="1:16" ht="11.25" customHeight="1" x14ac:dyDescent="0.2">
      <c r="A11555" s="344">
        <v>2025</v>
      </c>
      <c r="B11555" s="344">
        <v>12</v>
      </c>
      <c r="C11555" s="344">
        <v>8</v>
      </c>
      <c r="D11555" s="345">
        <f t="shared" si="1587"/>
        <v>45999</v>
      </c>
      <c r="E11555" s="346">
        <f t="shared" si="1595"/>
        <v>45999</v>
      </c>
      <c r="F11555" s="518" t="s">
        <v>1982</v>
      </c>
      <c r="G11555" s="347" t="s">
        <v>1245</v>
      </c>
      <c r="H11555" s="348"/>
      <c r="I11555" s="348" t="s">
        <v>1253</v>
      </c>
      <c r="J11555" s="344" t="s">
        <v>1978</v>
      </c>
      <c r="K11555" s="349">
        <v>21249.725274725275</v>
      </c>
      <c r="L11555" s="349"/>
      <c r="M11555" s="455"/>
    </row>
    <row r="11556" spans="1:16" ht="11.25" customHeight="1" x14ac:dyDescent="0.2">
      <c r="A11556" s="350">
        <v>2025</v>
      </c>
      <c r="B11556" s="350">
        <v>12</v>
      </c>
      <c r="C11556" s="350">
        <v>8</v>
      </c>
      <c r="D11556" s="351">
        <f t="shared" si="1587"/>
        <v>45999</v>
      </c>
      <c r="E11556" s="352">
        <f t="shared" si="1595"/>
        <v>45999</v>
      </c>
      <c r="F11556" s="519"/>
      <c r="G11556" s="353" t="s">
        <v>1245</v>
      </c>
      <c r="H11556" s="354"/>
      <c r="I11556" s="354" t="s">
        <v>1253</v>
      </c>
      <c r="J11556" s="350" t="s">
        <v>1979</v>
      </c>
      <c r="K11556" s="355"/>
      <c r="L11556" s="355">
        <f>K11555</f>
        <v>21249.725274725275</v>
      </c>
    </row>
    <row r="11557" spans="1:16" ht="11.25" customHeight="1" x14ac:dyDescent="0.2">
      <c r="A11557" s="344">
        <v>2025</v>
      </c>
      <c r="B11557" s="344">
        <v>12</v>
      </c>
      <c r="C11557" s="344">
        <v>8</v>
      </c>
      <c r="D11557" s="345">
        <f t="shared" si="1587"/>
        <v>45999</v>
      </c>
      <c r="E11557" s="346">
        <f t="shared" si="1595"/>
        <v>45999</v>
      </c>
      <c r="F11557" s="518" t="s">
        <v>2009</v>
      </c>
      <c r="G11557" s="347" t="s">
        <v>1245</v>
      </c>
      <c r="H11557" s="348"/>
      <c r="I11557" s="348" t="s">
        <v>1253</v>
      </c>
      <c r="J11557" s="344" t="s">
        <v>2004</v>
      </c>
      <c r="K11557" s="349">
        <v>7098.9014285714284</v>
      </c>
      <c r="L11557" s="349"/>
      <c r="M11557" s="455"/>
    </row>
    <row r="11558" spans="1:16" ht="11.25" customHeight="1" x14ac:dyDescent="0.2">
      <c r="A11558" s="350">
        <v>2025</v>
      </c>
      <c r="B11558" s="350">
        <v>12</v>
      </c>
      <c r="C11558" s="350">
        <v>8</v>
      </c>
      <c r="D11558" s="351">
        <f t="shared" si="1587"/>
        <v>45999</v>
      </c>
      <c r="E11558" s="352">
        <f t="shared" si="1595"/>
        <v>45999</v>
      </c>
      <c r="F11558" s="519"/>
      <c r="G11558" s="353" t="s">
        <v>1245</v>
      </c>
      <c r="H11558" s="354"/>
      <c r="I11558" s="354" t="s">
        <v>1253</v>
      </c>
      <c r="J11558" s="350" t="s">
        <v>2008</v>
      </c>
      <c r="K11558" s="355"/>
      <c r="L11558" s="355">
        <f t="shared" ref="L11558" si="1596">K11557</f>
        <v>7098.9014285714284</v>
      </c>
    </row>
    <row r="11559" spans="1:16" ht="11.25" customHeight="1" x14ac:dyDescent="0.2">
      <c r="A11559" s="344">
        <v>2025</v>
      </c>
      <c r="B11559" s="344">
        <v>12</v>
      </c>
      <c r="C11559" s="344">
        <v>8</v>
      </c>
      <c r="D11559" s="345">
        <f t="shared" si="1587"/>
        <v>45999</v>
      </c>
      <c r="E11559" s="346">
        <f t="shared" si="1595"/>
        <v>45999</v>
      </c>
      <c r="F11559" s="518" t="s">
        <v>2009</v>
      </c>
      <c r="G11559" s="347" t="s">
        <v>1245</v>
      </c>
      <c r="H11559" s="348"/>
      <c r="I11559" s="348" t="s">
        <v>1253</v>
      </c>
      <c r="J11559" s="344" t="s">
        <v>2004</v>
      </c>
      <c r="K11559" s="349">
        <v>7098.9014285714284</v>
      </c>
      <c r="L11559" s="349"/>
      <c r="M11559" s="455"/>
    </row>
    <row r="11560" spans="1:16" ht="11.25" customHeight="1" x14ac:dyDescent="0.2">
      <c r="A11560" s="350">
        <v>2025</v>
      </c>
      <c r="B11560" s="350">
        <v>12</v>
      </c>
      <c r="C11560" s="350">
        <v>8</v>
      </c>
      <c r="D11560" s="351">
        <f t="shared" si="1587"/>
        <v>45999</v>
      </c>
      <c r="E11560" s="352">
        <f t="shared" si="1595"/>
        <v>45999</v>
      </c>
      <c r="F11560" s="519"/>
      <c r="G11560" s="353" t="s">
        <v>1245</v>
      </c>
      <c r="H11560" s="354"/>
      <c r="I11560" s="354" t="s">
        <v>1253</v>
      </c>
      <c r="J11560" s="350" t="s">
        <v>2008</v>
      </c>
      <c r="K11560" s="355"/>
      <c r="L11560" s="355">
        <f t="shared" ref="L11560" si="1597">K11559</f>
        <v>7098.9014285714284</v>
      </c>
    </row>
    <row r="11561" spans="1:16" ht="11.25" customHeight="1" x14ac:dyDescent="0.2">
      <c r="A11561" s="344">
        <v>2025</v>
      </c>
      <c r="B11561" s="344">
        <v>12</v>
      </c>
      <c r="C11561" s="344">
        <v>8</v>
      </c>
      <c r="D11561" s="345">
        <f t="shared" si="1587"/>
        <v>45999</v>
      </c>
      <c r="E11561" s="346">
        <f t="shared" si="1595"/>
        <v>45999</v>
      </c>
      <c r="F11561" s="518" t="s">
        <v>2088</v>
      </c>
      <c r="G11561" s="347" t="s">
        <v>1245</v>
      </c>
      <c r="H11561" s="348"/>
      <c r="I11561" s="348" t="s">
        <v>1253</v>
      </c>
      <c r="J11561" s="344" t="s">
        <v>2086</v>
      </c>
      <c r="K11561" s="349">
        <v>1789.835164835165</v>
      </c>
      <c r="L11561" s="349"/>
      <c r="M11561" s="455"/>
    </row>
    <row r="11562" spans="1:16" ht="11.25" customHeight="1" x14ac:dyDescent="0.2">
      <c r="A11562" s="350">
        <v>2025</v>
      </c>
      <c r="B11562" s="350">
        <v>12</v>
      </c>
      <c r="C11562" s="350">
        <v>8</v>
      </c>
      <c r="D11562" s="351">
        <f t="shared" si="1587"/>
        <v>45999</v>
      </c>
      <c r="E11562" s="352">
        <f t="shared" si="1595"/>
        <v>45999</v>
      </c>
      <c r="F11562" s="519"/>
      <c r="G11562" s="353" t="s">
        <v>1245</v>
      </c>
      <c r="H11562" s="354"/>
      <c r="I11562" s="354" t="s">
        <v>1253</v>
      </c>
      <c r="J11562" s="350" t="s">
        <v>2089</v>
      </c>
      <c r="K11562" s="355"/>
      <c r="L11562" s="355">
        <f>K11561</f>
        <v>1789.835164835165</v>
      </c>
    </row>
    <row r="11563" spans="1:16" ht="11.25" customHeight="1" x14ac:dyDescent="0.2">
      <c r="A11563" s="344">
        <v>2025</v>
      </c>
      <c r="B11563" s="344">
        <v>12</v>
      </c>
      <c r="C11563" s="344">
        <v>8</v>
      </c>
      <c r="D11563" s="345">
        <f t="shared" si="1587"/>
        <v>45999</v>
      </c>
      <c r="E11563" s="346">
        <f>DATE(A11563,B11563,C11563)</f>
        <v>45999</v>
      </c>
      <c r="F11563" s="518" t="s">
        <v>1988</v>
      </c>
      <c r="G11563" s="347" t="s">
        <v>1245</v>
      </c>
      <c r="H11563" s="348"/>
      <c r="I11563" s="348" t="s">
        <v>1253</v>
      </c>
      <c r="J11563" s="344" t="s">
        <v>113</v>
      </c>
      <c r="K11563" s="349">
        <v>4692.3071428571429</v>
      </c>
      <c r="L11563" s="349"/>
      <c r="M11563" s="455"/>
    </row>
    <row r="11564" spans="1:16" ht="11.25" customHeight="1" x14ac:dyDescent="0.2">
      <c r="A11564" s="350">
        <v>2025</v>
      </c>
      <c r="B11564" s="350">
        <v>12</v>
      </c>
      <c r="C11564" s="350">
        <v>8</v>
      </c>
      <c r="D11564" s="351">
        <f t="shared" ref="D11564:D11627" si="1598">DATE(A11564,B11564,C11564)</f>
        <v>45999</v>
      </c>
      <c r="E11564" s="352">
        <f>DATE(A11564,B11564,C11564)</f>
        <v>45999</v>
      </c>
      <c r="F11564" s="519"/>
      <c r="G11564" s="353" t="s">
        <v>1245</v>
      </c>
      <c r="H11564" s="354"/>
      <c r="I11564" s="354" t="s">
        <v>1253</v>
      </c>
      <c r="J11564" s="350" t="s">
        <v>153</v>
      </c>
      <c r="K11564" s="355"/>
      <c r="L11564" s="355">
        <f t="shared" ref="L11564" si="1599">K11563</f>
        <v>4692.3071428571429</v>
      </c>
    </row>
    <row r="11565" spans="1:16" ht="11.25" customHeight="1" x14ac:dyDescent="0.2">
      <c r="A11565" s="344">
        <v>2025</v>
      </c>
      <c r="B11565" s="344">
        <v>12</v>
      </c>
      <c r="C11565" s="344">
        <v>8</v>
      </c>
      <c r="D11565" s="345">
        <f t="shared" si="1598"/>
        <v>45999</v>
      </c>
      <c r="E11565" s="346">
        <f t="shared" ref="E11565:E11571" si="1600">DATE(A11565,B11565,C11565)</f>
        <v>45999</v>
      </c>
      <c r="F11565" s="518" t="s">
        <v>1989</v>
      </c>
      <c r="G11565" s="347" t="s">
        <v>1245</v>
      </c>
      <c r="H11565" s="348"/>
      <c r="I11565" s="348" t="s">
        <v>1253</v>
      </c>
      <c r="J11565" s="344" t="s">
        <v>113</v>
      </c>
      <c r="K11565" s="349">
        <v>3351.6483516483518</v>
      </c>
      <c r="L11565" s="349"/>
      <c r="M11565" s="455"/>
    </row>
    <row r="11566" spans="1:16" ht="11.25" customHeight="1" x14ac:dyDescent="0.2">
      <c r="A11566" s="350">
        <v>2025</v>
      </c>
      <c r="B11566" s="350">
        <v>12</v>
      </c>
      <c r="C11566" s="350">
        <v>8</v>
      </c>
      <c r="D11566" s="351">
        <f t="shared" si="1598"/>
        <v>45999</v>
      </c>
      <c r="E11566" s="352">
        <f t="shared" si="1600"/>
        <v>45999</v>
      </c>
      <c r="F11566" s="519"/>
      <c r="G11566" s="353" t="s">
        <v>1245</v>
      </c>
      <c r="H11566" s="354"/>
      <c r="I11566" s="354" t="s">
        <v>1253</v>
      </c>
      <c r="J11566" s="350" t="s">
        <v>153</v>
      </c>
      <c r="K11566" s="355"/>
      <c r="L11566" s="355">
        <f t="shared" ref="L11566" si="1601">K11565</f>
        <v>3351.6483516483518</v>
      </c>
    </row>
    <row r="11567" spans="1:16" ht="11.25" customHeight="1" x14ac:dyDescent="0.2">
      <c r="A11567" s="344">
        <v>2025</v>
      </c>
      <c r="B11567" s="344">
        <v>12</v>
      </c>
      <c r="C11567" s="344">
        <v>8</v>
      </c>
      <c r="D11567" s="345">
        <f t="shared" si="1598"/>
        <v>45999</v>
      </c>
      <c r="E11567" s="346">
        <f t="shared" si="1600"/>
        <v>45999</v>
      </c>
      <c r="F11567" s="518" t="s">
        <v>1990</v>
      </c>
      <c r="G11567" s="347" t="s">
        <v>1245</v>
      </c>
      <c r="H11567" s="348"/>
      <c r="I11567" s="348" t="s">
        <v>1253</v>
      </c>
      <c r="J11567" s="344" t="s">
        <v>113</v>
      </c>
      <c r="K11567" s="349">
        <v>10054.945714285714</v>
      </c>
      <c r="L11567" s="349"/>
      <c r="M11567" s="455"/>
      <c r="N11567" s="251"/>
      <c r="O11567" s="251"/>
      <c r="P11567" s="251"/>
    </row>
    <row r="11568" spans="1:16" ht="11.25" customHeight="1" x14ac:dyDescent="0.2">
      <c r="A11568" s="350">
        <v>2025</v>
      </c>
      <c r="B11568" s="350">
        <v>12</v>
      </c>
      <c r="C11568" s="350">
        <v>8</v>
      </c>
      <c r="D11568" s="351">
        <f t="shared" si="1598"/>
        <v>45999</v>
      </c>
      <c r="E11568" s="352">
        <f t="shared" si="1600"/>
        <v>45999</v>
      </c>
      <c r="F11568" s="519"/>
      <c r="G11568" s="353" t="s">
        <v>1245</v>
      </c>
      <c r="H11568" s="354"/>
      <c r="I11568" s="354" t="s">
        <v>1253</v>
      </c>
      <c r="J11568" s="350" t="s">
        <v>153</v>
      </c>
      <c r="K11568" s="355"/>
      <c r="L11568" s="355">
        <f t="shared" ref="L11568" si="1602">K11567</f>
        <v>10054.945714285714</v>
      </c>
    </row>
    <row r="11569" spans="1:16" ht="11.25" customHeight="1" x14ac:dyDescent="0.2">
      <c r="A11569" s="344">
        <v>2025</v>
      </c>
      <c r="B11569" s="344">
        <v>12</v>
      </c>
      <c r="C11569" s="344">
        <v>8</v>
      </c>
      <c r="D11569" s="345">
        <f t="shared" si="1598"/>
        <v>45999</v>
      </c>
      <c r="E11569" s="346">
        <f t="shared" si="1600"/>
        <v>45999</v>
      </c>
      <c r="F11569" s="518" t="s">
        <v>2107</v>
      </c>
      <c r="G11569" s="347" t="s">
        <v>1245</v>
      </c>
      <c r="H11569" s="348"/>
      <c r="I11569" s="348" t="s">
        <v>1253</v>
      </c>
      <c r="J11569" s="344" t="s">
        <v>113</v>
      </c>
      <c r="K11569" s="349">
        <v>12370.879120879121</v>
      </c>
      <c r="L11569" s="349"/>
      <c r="M11569" s="455"/>
      <c r="N11569" s="251"/>
      <c r="O11569" s="251"/>
      <c r="P11569" s="251"/>
    </row>
    <row r="11570" spans="1:16" ht="11.25" customHeight="1" x14ac:dyDescent="0.2">
      <c r="A11570" s="350">
        <v>2025</v>
      </c>
      <c r="B11570" s="350">
        <v>12</v>
      </c>
      <c r="C11570" s="350">
        <v>8</v>
      </c>
      <c r="D11570" s="351">
        <f t="shared" si="1598"/>
        <v>45999</v>
      </c>
      <c r="E11570" s="352">
        <f t="shared" si="1600"/>
        <v>45999</v>
      </c>
      <c r="F11570" s="519"/>
      <c r="G11570" s="353" t="s">
        <v>1245</v>
      </c>
      <c r="H11570" s="354"/>
      <c r="I11570" s="354" t="s">
        <v>1253</v>
      </c>
      <c r="J11570" s="350" t="s">
        <v>153</v>
      </c>
      <c r="K11570" s="355"/>
      <c r="L11570" s="355">
        <f t="shared" ref="L11570" si="1603">K11569</f>
        <v>12370.879120879121</v>
      </c>
    </row>
    <row r="11571" spans="1:16" ht="11.25" customHeight="1" x14ac:dyDescent="0.2">
      <c r="A11571" s="210">
        <v>2025</v>
      </c>
      <c r="B11571" s="210">
        <v>12</v>
      </c>
      <c r="C11571" s="210">
        <v>8</v>
      </c>
      <c r="D11571" s="211">
        <f t="shared" si="1598"/>
        <v>45999</v>
      </c>
      <c r="E11571" s="238">
        <f t="shared" si="1600"/>
        <v>45999</v>
      </c>
      <c r="F11571" s="520" t="s">
        <v>1857</v>
      </c>
      <c r="G11571" s="213" t="s">
        <v>1245</v>
      </c>
      <c r="H11571" s="214"/>
      <c r="I11571" s="214" t="s">
        <v>1253</v>
      </c>
      <c r="J11571" s="210" t="s">
        <v>1284</v>
      </c>
      <c r="K11571" s="215">
        <v>334.54448777029421</v>
      </c>
      <c r="L11571" s="215"/>
      <c r="M11571" s="455"/>
    </row>
    <row r="11572" spans="1:16" ht="11.25" customHeight="1" x14ac:dyDescent="0.2">
      <c r="A11572" s="242">
        <v>2025</v>
      </c>
      <c r="B11572" s="242">
        <v>12</v>
      </c>
      <c r="C11572" s="242">
        <v>8</v>
      </c>
      <c r="D11572" s="243">
        <f t="shared" si="1598"/>
        <v>45999</v>
      </c>
      <c r="E11572" s="244">
        <f>DATE(A11572,B11572,C11572)</f>
        <v>45999</v>
      </c>
      <c r="F11572" s="524"/>
      <c r="G11572" s="245" t="s">
        <v>1245</v>
      </c>
      <c r="H11572" s="246"/>
      <c r="I11572" s="246"/>
      <c r="J11572" s="242" t="s">
        <v>1582</v>
      </c>
      <c r="K11572" s="247"/>
      <c r="L11572" s="247">
        <f>K11571</f>
        <v>334.54448777029421</v>
      </c>
    </row>
    <row r="11573" spans="1:16" ht="11.25" customHeight="1" x14ac:dyDescent="0.2">
      <c r="A11573" s="210">
        <v>2025</v>
      </c>
      <c r="B11573" s="210">
        <v>12</v>
      </c>
      <c r="C11573" s="210">
        <v>8</v>
      </c>
      <c r="D11573" s="211">
        <f t="shared" si="1598"/>
        <v>45999</v>
      </c>
      <c r="E11573" s="238">
        <f t="shared" ref="E11573:E11636" si="1604">DATE(A11573,B11573,C11573)</f>
        <v>45999</v>
      </c>
      <c r="F11573" s="520" t="s">
        <v>2055</v>
      </c>
      <c r="G11573" s="213" t="s">
        <v>1245</v>
      </c>
      <c r="H11573" s="214"/>
      <c r="I11573" s="214" t="s">
        <v>1253</v>
      </c>
      <c r="J11573" s="210" t="s">
        <v>58</v>
      </c>
      <c r="K11573" s="215">
        <v>2948.74</v>
      </c>
      <c r="L11573" s="215"/>
    </row>
    <row r="11574" spans="1:16" ht="11.25" customHeight="1" x14ac:dyDescent="0.2">
      <c r="A11574" s="216">
        <v>2025</v>
      </c>
      <c r="B11574" s="216">
        <v>12</v>
      </c>
      <c r="C11574" s="216">
        <v>8</v>
      </c>
      <c r="D11574" s="217">
        <f t="shared" si="1598"/>
        <v>45999</v>
      </c>
      <c r="E11574" s="239">
        <f t="shared" si="1604"/>
        <v>45999</v>
      </c>
      <c r="F11574" s="521"/>
      <c r="G11574" s="219" t="s">
        <v>1245</v>
      </c>
      <c r="H11574" s="220"/>
      <c r="I11574" s="220" t="s">
        <v>1253</v>
      </c>
      <c r="J11574" s="216" t="s">
        <v>153</v>
      </c>
      <c r="K11574" s="221"/>
      <c r="L11574" s="221">
        <f>K11573</f>
        <v>2948.74</v>
      </c>
    </row>
    <row r="11575" spans="1:16" ht="11.25" customHeight="1" x14ac:dyDescent="0.2">
      <c r="A11575" s="312">
        <v>2025</v>
      </c>
      <c r="B11575" s="312">
        <v>12</v>
      </c>
      <c r="C11575" s="312">
        <v>8</v>
      </c>
      <c r="D11575" s="313">
        <f t="shared" si="1598"/>
        <v>45999</v>
      </c>
      <c r="E11575" s="314">
        <f t="shared" si="1604"/>
        <v>45999</v>
      </c>
      <c r="F11575" s="522" t="s">
        <v>1477</v>
      </c>
      <c r="G11575" s="315" t="s">
        <v>1245</v>
      </c>
      <c r="H11575" s="316"/>
      <c r="I11575" s="316" t="s">
        <v>1253</v>
      </c>
      <c r="J11575" s="312" t="s">
        <v>1458</v>
      </c>
      <c r="K11575" s="317">
        <v>0</v>
      </c>
      <c r="L11575" s="317"/>
    </row>
    <row r="11576" spans="1:16" ht="11.25" customHeight="1" x14ac:dyDescent="0.2">
      <c r="A11576" s="318">
        <v>2025</v>
      </c>
      <c r="B11576" s="318">
        <v>12</v>
      </c>
      <c r="C11576" s="318">
        <v>8</v>
      </c>
      <c r="D11576" s="319">
        <f t="shared" si="1598"/>
        <v>45999</v>
      </c>
      <c r="E11576" s="320">
        <f t="shared" si="1604"/>
        <v>45999</v>
      </c>
      <c r="F11576" s="523"/>
      <c r="G11576" s="321" t="s">
        <v>1245</v>
      </c>
      <c r="H11576" s="322"/>
      <c r="I11576" s="322" t="s">
        <v>1253</v>
      </c>
      <c r="J11576" s="318" t="s">
        <v>1460</v>
      </c>
      <c r="K11576" s="323"/>
      <c r="L11576" s="323">
        <f>K11575</f>
        <v>0</v>
      </c>
    </row>
    <row r="11577" spans="1:16" ht="11.25" customHeight="1" x14ac:dyDescent="0.2">
      <c r="A11577" s="312">
        <v>2025</v>
      </c>
      <c r="B11577" s="312">
        <v>12</v>
      </c>
      <c r="C11577" s="312">
        <v>8</v>
      </c>
      <c r="D11577" s="313">
        <f t="shared" si="1598"/>
        <v>45999</v>
      </c>
      <c r="E11577" s="314">
        <f t="shared" si="1604"/>
        <v>45999</v>
      </c>
      <c r="F11577" s="522" t="s">
        <v>1595</v>
      </c>
      <c r="G11577" s="315" t="s">
        <v>1245</v>
      </c>
      <c r="H11577" s="316"/>
      <c r="I11577" s="316" t="s">
        <v>1253</v>
      </c>
      <c r="J11577" s="312" t="s">
        <v>1461</v>
      </c>
      <c r="K11577" s="317">
        <v>93364.194999873638</v>
      </c>
      <c r="L11577" s="317"/>
      <c r="M11577" s="328">
        <f>BS!$I$14</f>
        <v>0</v>
      </c>
    </row>
    <row r="11578" spans="1:16" ht="11.25" customHeight="1" x14ac:dyDescent="0.2">
      <c r="A11578" s="318">
        <v>2025</v>
      </c>
      <c r="B11578" s="318">
        <v>12</v>
      </c>
      <c r="C11578" s="318">
        <v>8</v>
      </c>
      <c r="D11578" s="319">
        <f t="shared" si="1598"/>
        <v>45999</v>
      </c>
      <c r="E11578" s="320">
        <f t="shared" si="1604"/>
        <v>45999</v>
      </c>
      <c r="F11578" s="523"/>
      <c r="G11578" s="321" t="s">
        <v>1245</v>
      </c>
      <c r="H11578" s="322"/>
      <c r="I11578" s="322" t="s">
        <v>1253</v>
      </c>
      <c r="J11578" s="318" t="s">
        <v>1459</v>
      </c>
      <c r="K11578" s="323"/>
      <c r="L11578" s="323">
        <f>K11577</f>
        <v>93364.194999873638</v>
      </c>
      <c r="M11578" s="328"/>
    </row>
    <row r="11579" spans="1:16" ht="11.25" customHeight="1" x14ac:dyDescent="0.2">
      <c r="A11579" s="222">
        <v>2025</v>
      </c>
      <c r="B11579" s="222">
        <v>12</v>
      </c>
      <c r="C11579" s="222">
        <v>8</v>
      </c>
      <c r="D11579" s="223">
        <f t="shared" si="1598"/>
        <v>45999</v>
      </c>
      <c r="E11579" s="240">
        <f t="shared" si="1604"/>
        <v>45999</v>
      </c>
      <c r="F11579" s="511" t="s">
        <v>1244</v>
      </c>
      <c r="G11579" s="225" t="s">
        <v>1245</v>
      </c>
      <c r="H11579" s="226"/>
      <c r="I11579" s="226" t="s">
        <v>1253</v>
      </c>
      <c r="J11579" s="222" t="s">
        <v>87</v>
      </c>
      <c r="K11579" s="227">
        <v>2614.5</v>
      </c>
      <c r="L11579" s="227"/>
      <c r="M11579" s="328">
        <f>BS!$I$7</f>
        <v>0</v>
      </c>
    </row>
    <row r="11580" spans="1:16" ht="11.25" customHeight="1" x14ac:dyDescent="0.2">
      <c r="A11580" s="228">
        <v>2025</v>
      </c>
      <c r="B11580" s="228">
        <v>12</v>
      </c>
      <c r="C11580" s="228">
        <v>8</v>
      </c>
      <c r="D11580" s="229">
        <f t="shared" si="1598"/>
        <v>45999</v>
      </c>
      <c r="E11580" s="241">
        <f t="shared" si="1604"/>
        <v>45999</v>
      </c>
      <c r="F11580" s="512"/>
      <c r="G11580" s="231" t="s">
        <v>1245</v>
      </c>
      <c r="H11580" s="232"/>
      <c r="I11580" s="232" t="s">
        <v>1253</v>
      </c>
      <c r="J11580" s="228" t="s">
        <v>72</v>
      </c>
      <c r="K11580" s="233"/>
      <c r="L11580" s="233">
        <f>K11579</f>
        <v>2614.5</v>
      </c>
    </row>
    <row r="11581" spans="1:16" ht="11.25" customHeight="1" x14ac:dyDescent="0.2">
      <c r="A11581" s="222">
        <v>2025</v>
      </c>
      <c r="B11581" s="222">
        <v>12</v>
      </c>
      <c r="C11581" s="222">
        <v>8</v>
      </c>
      <c r="D11581" s="223">
        <f t="shared" si="1598"/>
        <v>45999</v>
      </c>
      <c r="E11581" s="240">
        <f t="shared" si="1604"/>
        <v>45999</v>
      </c>
      <c r="F11581" s="511" t="s">
        <v>1246</v>
      </c>
      <c r="G11581" s="225" t="s">
        <v>1245</v>
      </c>
      <c r="H11581" s="226"/>
      <c r="I11581" s="226" t="s">
        <v>1253</v>
      </c>
      <c r="J11581" s="222" t="s">
        <v>75</v>
      </c>
      <c r="K11581" s="227">
        <v>517.58912087912086</v>
      </c>
      <c r="L11581" s="227"/>
      <c r="M11581" s="455"/>
    </row>
    <row r="11582" spans="1:16" ht="11.25" customHeight="1" x14ac:dyDescent="0.2">
      <c r="A11582" s="228">
        <v>2025</v>
      </c>
      <c r="B11582" s="228">
        <v>12</v>
      </c>
      <c r="C11582" s="228">
        <v>8</v>
      </c>
      <c r="D11582" s="229">
        <f t="shared" si="1598"/>
        <v>45999</v>
      </c>
      <c r="E11582" s="241">
        <f t="shared" si="1604"/>
        <v>45999</v>
      </c>
      <c r="F11582" s="512"/>
      <c r="G11582" s="231" t="s">
        <v>1245</v>
      </c>
      <c r="H11582" s="232"/>
      <c r="I11582" s="232" t="s">
        <v>1253</v>
      </c>
      <c r="J11582" s="228" t="s">
        <v>55</v>
      </c>
      <c r="K11582" s="233"/>
      <c r="L11582" s="233">
        <f>K11581</f>
        <v>517.58912087912086</v>
      </c>
    </row>
    <row r="11583" spans="1:16" ht="11.25" customHeight="1" x14ac:dyDescent="0.2">
      <c r="A11583" s="222">
        <v>2025</v>
      </c>
      <c r="B11583" s="222">
        <v>12</v>
      </c>
      <c r="C11583" s="222">
        <v>8</v>
      </c>
      <c r="D11583" s="223">
        <f t="shared" si="1598"/>
        <v>45999</v>
      </c>
      <c r="E11583" s="240">
        <f t="shared" si="1604"/>
        <v>45999</v>
      </c>
      <c r="F11583" s="511" t="s">
        <v>1247</v>
      </c>
      <c r="G11583" s="225" t="s">
        <v>1245</v>
      </c>
      <c r="H11583" s="226"/>
      <c r="I11583" s="226" t="s">
        <v>1253</v>
      </c>
      <c r="J11583" s="222" t="s">
        <v>77</v>
      </c>
      <c r="K11583" s="227">
        <f>M11583</f>
        <v>7487.8019749488058</v>
      </c>
      <c r="L11583" s="227"/>
      <c r="M11583" s="478">
        <v>7487.8019749488058</v>
      </c>
    </row>
    <row r="11584" spans="1:16" ht="11.25" customHeight="1" x14ac:dyDescent="0.2">
      <c r="A11584" s="228">
        <v>2025</v>
      </c>
      <c r="B11584" s="228">
        <v>12</v>
      </c>
      <c r="C11584" s="228">
        <v>8</v>
      </c>
      <c r="D11584" s="229">
        <f t="shared" si="1598"/>
        <v>45999</v>
      </c>
      <c r="E11584" s="241">
        <f t="shared" si="1604"/>
        <v>45999</v>
      </c>
      <c r="F11584" s="512"/>
      <c r="G11584" s="231" t="s">
        <v>1245</v>
      </c>
      <c r="H11584" s="232"/>
      <c r="I11584" s="232" t="s">
        <v>1253</v>
      </c>
      <c r="J11584" s="228" t="s">
        <v>41</v>
      </c>
      <c r="K11584" s="233"/>
      <c r="L11584" s="233">
        <f>K11583</f>
        <v>7487.8019749488058</v>
      </c>
      <c r="M11584" s="478">
        <v>748.78019749488044</v>
      </c>
      <c r="N11584" s="251"/>
    </row>
    <row r="11585" spans="1:15" ht="11.25" customHeight="1" x14ac:dyDescent="0.2">
      <c r="A11585" s="222">
        <v>2025</v>
      </c>
      <c r="B11585" s="222">
        <v>12</v>
      </c>
      <c r="C11585" s="222">
        <v>8</v>
      </c>
      <c r="D11585" s="223">
        <f t="shared" si="1598"/>
        <v>45999</v>
      </c>
      <c r="E11585" s="240">
        <f t="shared" si="1604"/>
        <v>45999</v>
      </c>
      <c r="F11585" s="511" t="s">
        <v>1248</v>
      </c>
      <c r="G11585" s="225" t="s">
        <v>1245</v>
      </c>
      <c r="H11585" s="226"/>
      <c r="I11585" s="226" t="s">
        <v>1253</v>
      </c>
      <c r="J11585" s="222" t="s">
        <v>80</v>
      </c>
      <c r="K11585" s="227">
        <f>M11584</f>
        <v>748.78019749488044</v>
      </c>
      <c r="L11585" s="227"/>
      <c r="N11585" s="251"/>
      <c r="O11585" s="251"/>
    </row>
    <row r="11586" spans="1:15" ht="11.25" customHeight="1" x14ac:dyDescent="0.2">
      <c r="A11586" s="228">
        <v>2025</v>
      </c>
      <c r="B11586" s="228">
        <v>12</v>
      </c>
      <c r="C11586" s="228">
        <v>8</v>
      </c>
      <c r="D11586" s="229">
        <f t="shared" si="1598"/>
        <v>45999</v>
      </c>
      <c r="E11586" s="241">
        <f t="shared" si="1604"/>
        <v>45999</v>
      </c>
      <c r="F11586" s="512"/>
      <c r="G11586" s="231" t="s">
        <v>1245</v>
      </c>
      <c r="H11586" s="232"/>
      <c r="I11586" s="232" t="s">
        <v>1253</v>
      </c>
      <c r="J11586" s="228" t="s">
        <v>42</v>
      </c>
      <c r="K11586" s="233"/>
      <c r="L11586" s="233">
        <f>K11585</f>
        <v>748.78019749488044</v>
      </c>
      <c r="N11586" s="251"/>
    </row>
    <row r="11587" spans="1:15" x14ac:dyDescent="0.2">
      <c r="A11587" s="197">
        <v>2025</v>
      </c>
      <c r="B11587" s="197">
        <v>12</v>
      </c>
      <c r="C11587" s="120">
        <v>9</v>
      </c>
      <c r="D11587" s="198">
        <f t="shared" si="1598"/>
        <v>46000</v>
      </c>
      <c r="E11587" s="209">
        <f t="shared" si="1604"/>
        <v>46000</v>
      </c>
      <c r="F11587" s="513" t="s">
        <v>2113</v>
      </c>
      <c r="G11587" s="200" t="s">
        <v>1209</v>
      </c>
      <c r="H11587" s="201"/>
      <c r="I11587" s="201"/>
      <c r="J11587" s="197" t="s">
        <v>46</v>
      </c>
      <c r="K11587" s="202">
        <v>200000</v>
      </c>
      <c r="L11587" s="202"/>
    </row>
    <row r="11588" spans="1:15" x14ac:dyDescent="0.2">
      <c r="A11588" s="120">
        <v>2025</v>
      </c>
      <c r="B11588" s="120">
        <v>12</v>
      </c>
      <c r="C11588" s="120">
        <v>9</v>
      </c>
      <c r="D11588" s="208">
        <f t="shared" si="1598"/>
        <v>46000</v>
      </c>
      <c r="E11588" s="209">
        <f t="shared" si="1604"/>
        <v>46000</v>
      </c>
      <c r="F11588" s="515"/>
      <c r="G11588" s="132" t="s">
        <v>1209</v>
      </c>
      <c r="J11588" s="120" t="s">
        <v>16</v>
      </c>
      <c r="K11588" s="207"/>
      <c r="L11588" s="207">
        <v>145270</v>
      </c>
    </row>
    <row r="11589" spans="1:15" x14ac:dyDescent="0.2">
      <c r="A11589" s="191">
        <v>2025</v>
      </c>
      <c r="B11589" s="191">
        <v>12</v>
      </c>
      <c r="C11589" s="191">
        <v>9</v>
      </c>
      <c r="D11589" s="192">
        <f t="shared" si="1598"/>
        <v>46000</v>
      </c>
      <c r="E11589" s="193">
        <f t="shared" si="1604"/>
        <v>46000</v>
      </c>
      <c r="F11589" s="514"/>
      <c r="G11589" s="194" t="s">
        <v>1209</v>
      </c>
      <c r="H11589" s="195"/>
      <c r="I11589" s="195"/>
      <c r="J11589" s="191" t="s">
        <v>47</v>
      </c>
      <c r="K11589" s="196"/>
      <c r="L11589" s="196">
        <v>54730</v>
      </c>
    </row>
    <row r="11590" spans="1:15" ht="11.25" customHeight="1" x14ac:dyDescent="0.2">
      <c r="A11590" s="197">
        <v>2025</v>
      </c>
      <c r="B11590" s="197">
        <v>12</v>
      </c>
      <c r="C11590" s="197">
        <v>9</v>
      </c>
      <c r="D11590" s="198">
        <f t="shared" si="1598"/>
        <v>46000</v>
      </c>
      <c r="E11590" s="199">
        <f t="shared" si="1604"/>
        <v>46000</v>
      </c>
      <c r="F11590" s="513" t="s">
        <v>2112</v>
      </c>
      <c r="G11590" s="200" t="s">
        <v>1209</v>
      </c>
      <c r="H11590" s="201"/>
      <c r="I11590" s="201"/>
      <c r="J11590" s="197" t="s">
        <v>1251</v>
      </c>
      <c r="K11590" s="202">
        <v>1042820.76</v>
      </c>
      <c r="L11590" s="202"/>
    </row>
    <row r="11591" spans="1:15" ht="11.25" customHeight="1" x14ac:dyDescent="0.2">
      <c r="A11591" s="191">
        <v>2025</v>
      </c>
      <c r="B11591" s="191">
        <v>12</v>
      </c>
      <c r="C11591" s="191">
        <v>9</v>
      </c>
      <c r="D11591" s="192">
        <f t="shared" si="1598"/>
        <v>46000</v>
      </c>
      <c r="E11591" s="193">
        <f t="shared" si="1604"/>
        <v>46000</v>
      </c>
      <c r="F11591" s="514"/>
      <c r="G11591" s="194" t="s">
        <v>1209</v>
      </c>
      <c r="H11591" s="195"/>
      <c r="I11591" s="195"/>
      <c r="J11591" s="191" t="s">
        <v>46</v>
      </c>
      <c r="K11591" s="196"/>
      <c r="L11591" s="196">
        <f>K11590</f>
        <v>1042820.76</v>
      </c>
    </row>
    <row r="11592" spans="1:15" ht="11.25" customHeight="1" x14ac:dyDescent="0.2">
      <c r="A11592" s="197">
        <v>2025</v>
      </c>
      <c r="B11592" s="197">
        <v>12</v>
      </c>
      <c r="C11592" s="197">
        <v>9</v>
      </c>
      <c r="D11592" s="198">
        <f t="shared" si="1598"/>
        <v>46000</v>
      </c>
      <c r="E11592" s="290">
        <f t="shared" si="1604"/>
        <v>46000</v>
      </c>
      <c r="F11592" s="513" t="s">
        <v>2033</v>
      </c>
      <c r="G11592" s="200" t="s">
        <v>1245</v>
      </c>
      <c r="H11592" s="201"/>
      <c r="I11592" s="201" t="s">
        <v>1253</v>
      </c>
      <c r="J11592" s="197" t="s">
        <v>46</v>
      </c>
      <c r="K11592" s="202">
        <v>101666.67</v>
      </c>
      <c r="L11592" s="202"/>
      <c r="M11592" s="130"/>
      <c r="N11592" s="251"/>
    </row>
    <row r="11593" spans="1:15" ht="11.25" customHeight="1" x14ac:dyDescent="0.2">
      <c r="A11593" s="191">
        <v>2025</v>
      </c>
      <c r="B11593" s="191">
        <v>12</v>
      </c>
      <c r="C11593" s="191">
        <v>9</v>
      </c>
      <c r="D11593" s="192">
        <f t="shared" si="1598"/>
        <v>46000</v>
      </c>
      <c r="E11593" s="291">
        <f t="shared" si="1604"/>
        <v>46000</v>
      </c>
      <c r="F11593" s="527"/>
      <c r="G11593" s="194" t="s">
        <v>1245</v>
      </c>
      <c r="H11593" s="195"/>
      <c r="I11593" s="195" t="s">
        <v>1253</v>
      </c>
      <c r="J11593" s="191" t="s">
        <v>113</v>
      </c>
      <c r="K11593" s="196"/>
      <c r="L11593" s="196">
        <v>101666.67</v>
      </c>
      <c r="N11593" s="251"/>
    </row>
    <row r="11594" spans="1:15" x14ac:dyDescent="0.2">
      <c r="A11594" s="424">
        <v>2025</v>
      </c>
      <c r="B11594" s="424">
        <v>12</v>
      </c>
      <c r="C11594" s="424">
        <v>9</v>
      </c>
      <c r="D11594" s="425">
        <f t="shared" si="1598"/>
        <v>46000</v>
      </c>
      <c r="E11594" s="384">
        <f t="shared" si="1604"/>
        <v>46000</v>
      </c>
      <c r="F11594" s="516" t="s">
        <v>1850</v>
      </c>
      <c r="G11594" s="426" t="s">
        <v>1209</v>
      </c>
      <c r="H11594" s="427"/>
      <c r="I11594" s="427"/>
      <c r="J11594" s="428" t="s">
        <v>81</v>
      </c>
      <c r="K11594" s="429">
        <v>1595.8173626373627</v>
      </c>
      <c r="L11594" s="429"/>
      <c r="M11594" s="455"/>
    </row>
    <row r="11595" spans="1:15" x14ac:dyDescent="0.2">
      <c r="A11595" s="389">
        <v>2025</v>
      </c>
      <c r="B11595" s="389">
        <v>12</v>
      </c>
      <c r="C11595" s="389">
        <v>9</v>
      </c>
      <c r="D11595" s="390">
        <f t="shared" si="1598"/>
        <v>46000</v>
      </c>
      <c r="E11595" s="391">
        <f t="shared" si="1604"/>
        <v>46000</v>
      </c>
      <c r="F11595" s="517"/>
      <c r="G11595" s="392" t="s">
        <v>1209</v>
      </c>
      <c r="H11595" s="393"/>
      <c r="I11595" s="393"/>
      <c r="J11595" s="394" t="s">
        <v>1847</v>
      </c>
      <c r="K11595" s="423"/>
      <c r="L11595" s="423">
        <f>K11594</f>
        <v>1595.8173626373627</v>
      </c>
    </row>
    <row r="11596" spans="1:15" ht="11.25" customHeight="1" x14ac:dyDescent="0.2">
      <c r="A11596" s="382">
        <v>2025</v>
      </c>
      <c r="B11596" s="382">
        <v>12</v>
      </c>
      <c r="C11596" s="382">
        <v>9</v>
      </c>
      <c r="D11596" s="383">
        <f t="shared" si="1598"/>
        <v>46000</v>
      </c>
      <c r="E11596" s="384">
        <f t="shared" si="1604"/>
        <v>46000</v>
      </c>
      <c r="F11596" s="516" t="s">
        <v>1892</v>
      </c>
      <c r="G11596" s="385" t="s">
        <v>1209</v>
      </c>
      <c r="H11596" s="386"/>
      <c r="I11596" s="386"/>
      <c r="J11596" s="387" t="s">
        <v>173</v>
      </c>
      <c r="K11596" s="388">
        <v>621.41720826488086</v>
      </c>
      <c r="L11596" s="388"/>
      <c r="M11596" s="455"/>
    </row>
    <row r="11597" spans="1:15" ht="11.25" customHeight="1" x14ac:dyDescent="0.2">
      <c r="A11597" s="389">
        <v>2025</v>
      </c>
      <c r="B11597" s="389">
        <v>12</v>
      </c>
      <c r="C11597" s="389">
        <v>9</v>
      </c>
      <c r="D11597" s="390">
        <f t="shared" si="1598"/>
        <v>46000</v>
      </c>
      <c r="E11597" s="391">
        <f t="shared" si="1604"/>
        <v>46000</v>
      </c>
      <c r="F11597" s="517"/>
      <c r="G11597" s="392" t="s">
        <v>1209</v>
      </c>
      <c r="H11597" s="393"/>
      <c r="I11597" s="393"/>
      <c r="J11597" s="394" t="s">
        <v>43</v>
      </c>
      <c r="K11597" s="388"/>
      <c r="L11597" s="423">
        <f>K11596</f>
        <v>621.41720826488086</v>
      </c>
    </row>
    <row r="11598" spans="1:15" ht="11.25" customHeight="1" x14ac:dyDescent="0.2">
      <c r="A11598" s="344">
        <v>2025</v>
      </c>
      <c r="B11598" s="344">
        <v>12</v>
      </c>
      <c r="C11598" s="344">
        <v>9</v>
      </c>
      <c r="D11598" s="345">
        <f t="shared" si="1598"/>
        <v>46000</v>
      </c>
      <c r="E11598" s="346">
        <f t="shared" si="1604"/>
        <v>46000</v>
      </c>
      <c r="F11598" s="518" t="s">
        <v>1982</v>
      </c>
      <c r="G11598" s="347" t="s">
        <v>1245</v>
      </c>
      <c r="H11598" s="348"/>
      <c r="I11598" s="348" t="s">
        <v>1253</v>
      </c>
      <c r="J11598" s="344" t="s">
        <v>1978</v>
      </c>
      <c r="K11598" s="349">
        <v>21249.725274725275</v>
      </c>
      <c r="L11598" s="349"/>
      <c r="M11598" s="455"/>
    </row>
    <row r="11599" spans="1:15" ht="11.25" customHeight="1" x14ac:dyDescent="0.2">
      <c r="A11599" s="350">
        <v>2025</v>
      </c>
      <c r="B11599" s="350">
        <v>12</v>
      </c>
      <c r="C11599" s="350">
        <v>9</v>
      </c>
      <c r="D11599" s="351">
        <f t="shared" si="1598"/>
        <v>46000</v>
      </c>
      <c r="E11599" s="352">
        <f t="shared" si="1604"/>
        <v>46000</v>
      </c>
      <c r="F11599" s="519"/>
      <c r="G11599" s="353" t="s">
        <v>1245</v>
      </c>
      <c r="H11599" s="354"/>
      <c r="I11599" s="354" t="s">
        <v>1253</v>
      </c>
      <c r="J11599" s="350" t="s">
        <v>1979</v>
      </c>
      <c r="K11599" s="355"/>
      <c r="L11599" s="355">
        <f>K11598</f>
        <v>21249.725274725275</v>
      </c>
    </row>
    <row r="11600" spans="1:15" ht="11.25" customHeight="1" x14ac:dyDescent="0.2">
      <c r="A11600" s="344">
        <v>2025</v>
      </c>
      <c r="B11600" s="344">
        <v>12</v>
      </c>
      <c r="C11600" s="344">
        <v>9</v>
      </c>
      <c r="D11600" s="345">
        <f t="shared" si="1598"/>
        <v>46000</v>
      </c>
      <c r="E11600" s="346">
        <f t="shared" si="1604"/>
        <v>46000</v>
      </c>
      <c r="F11600" s="518" t="s">
        <v>2009</v>
      </c>
      <c r="G11600" s="347" t="s">
        <v>1245</v>
      </c>
      <c r="H11600" s="348"/>
      <c r="I11600" s="348" t="s">
        <v>1253</v>
      </c>
      <c r="J11600" s="344" t="s">
        <v>2004</v>
      </c>
      <c r="K11600" s="349">
        <v>7098.9014285714284</v>
      </c>
      <c r="L11600" s="349"/>
      <c r="M11600" s="455"/>
    </row>
    <row r="11601" spans="1:16" ht="11.25" customHeight="1" x14ac:dyDescent="0.2">
      <c r="A11601" s="350">
        <v>2025</v>
      </c>
      <c r="B11601" s="350">
        <v>12</v>
      </c>
      <c r="C11601" s="350">
        <v>9</v>
      </c>
      <c r="D11601" s="351">
        <f t="shared" si="1598"/>
        <v>46000</v>
      </c>
      <c r="E11601" s="352">
        <f t="shared" si="1604"/>
        <v>46000</v>
      </c>
      <c r="F11601" s="519"/>
      <c r="G11601" s="353" t="s">
        <v>1245</v>
      </c>
      <c r="H11601" s="354"/>
      <c r="I11601" s="354" t="s">
        <v>1253</v>
      </c>
      <c r="J11601" s="350" t="s">
        <v>2008</v>
      </c>
      <c r="K11601" s="355"/>
      <c r="L11601" s="355">
        <f t="shared" ref="L11601" si="1605">K11600</f>
        <v>7098.9014285714284</v>
      </c>
    </row>
    <row r="11602" spans="1:16" ht="11.25" customHeight="1" x14ac:dyDescent="0.2">
      <c r="A11602" s="344">
        <v>2025</v>
      </c>
      <c r="B11602" s="344">
        <v>12</v>
      </c>
      <c r="C11602" s="344">
        <v>9</v>
      </c>
      <c r="D11602" s="345">
        <f t="shared" si="1598"/>
        <v>46000</v>
      </c>
      <c r="E11602" s="346">
        <f t="shared" si="1604"/>
        <v>46000</v>
      </c>
      <c r="F11602" s="518" t="s">
        <v>2009</v>
      </c>
      <c r="G11602" s="347" t="s">
        <v>1245</v>
      </c>
      <c r="H11602" s="348"/>
      <c r="I11602" s="348" t="s">
        <v>1253</v>
      </c>
      <c r="J11602" s="344" t="s">
        <v>2004</v>
      </c>
      <c r="K11602" s="349">
        <v>7098.9014285714284</v>
      </c>
      <c r="L11602" s="349"/>
      <c r="M11602" s="455"/>
    </row>
    <row r="11603" spans="1:16" ht="11.25" customHeight="1" x14ac:dyDescent="0.2">
      <c r="A11603" s="350">
        <v>2025</v>
      </c>
      <c r="B11603" s="350">
        <v>12</v>
      </c>
      <c r="C11603" s="350">
        <v>9</v>
      </c>
      <c r="D11603" s="351">
        <f t="shared" si="1598"/>
        <v>46000</v>
      </c>
      <c r="E11603" s="352">
        <f t="shared" si="1604"/>
        <v>46000</v>
      </c>
      <c r="F11603" s="519"/>
      <c r="G11603" s="353" t="s">
        <v>1245</v>
      </c>
      <c r="H11603" s="354"/>
      <c r="I11603" s="354" t="s">
        <v>1253</v>
      </c>
      <c r="J11603" s="350" t="s">
        <v>2008</v>
      </c>
      <c r="K11603" s="355"/>
      <c r="L11603" s="355">
        <f t="shared" ref="L11603" si="1606">K11602</f>
        <v>7098.9014285714284</v>
      </c>
    </row>
    <row r="11604" spans="1:16" ht="11.25" customHeight="1" x14ac:dyDescent="0.2">
      <c r="A11604" s="344">
        <v>2025</v>
      </c>
      <c r="B11604" s="344">
        <v>12</v>
      </c>
      <c r="C11604" s="344">
        <v>9</v>
      </c>
      <c r="D11604" s="345">
        <f t="shared" si="1598"/>
        <v>46000</v>
      </c>
      <c r="E11604" s="346">
        <f t="shared" si="1604"/>
        <v>46000</v>
      </c>
      <c r="F11604" s="518" t="s">
        <v>2088</v>
      </c>
      <c r="G11604" s="347" t="s">
        <v>1245</v>
      </c>
      <c r="H11604" s="348"/>
      <c r="I11604" s="348" t="s">
        <v>1253</v>
      </c>
      <c r="J11604" s="344" t="s">
        <v>2086</v>
      </c>
      <c r="K11604" s="349">
        <v>1789.835164835165</v>
      </c>
      <c r="L11604" s="349"/>
      <c r="M11604" s="455"/>
    </row>
    <row r="11605" spans="1:16" ht="11.25" customHeight="1" x14ac:dyDescent="0.2">
      <c r="A11605" s="350">
        <v>2025</v>
      </c>
      <c r="B11605" s="350">
        <v>12</v>
      </c>
      <c r="C11605" s="350">
        <v>9</v>
      </c>
      <c r="D11605" s="351">
        <f t="shared" si="1598"/>
        <v>46000</v>
      </c>
      <c r="E11605" s="352">
        <f t="shared" si="1604"/>
        <v>46000</v>
      </c>
      <c r="F11605" s="519"/>
      <c r="G11605" s="353" t="s">
        <v>1245</v>
      </c>
      <c r="H11605" s="354"/>
      <c r="I11605" s="354" t="s">
        <v>1253</v>
      </c>
      <c r="J11605" s="350" t="s">
        <v>2089</v>
      </c>
      <c r="K11605" s="355"/>
      <c r="L11605" s="355">
        <f>K11604</f>
        <v>1789.835164835165</v>
      </c>
    </row>
    <row r="11606" spans="1:16" ht="11.25" customHeight="1" x14ac:dyDescent="0.2">
      <c r="A11606" s="344">
        <v>2025</v>
      </c>
      <c r="B11606" s="344">
        <v>12</v>
      </c>
      <c r="C11606" s="344">
        <v>9</v>
      </c>
      <c r="D11606" s="345">
        <f t="shared" si="1598"/>
        <v>46000</v>
      </c>
      <c r="E11606" s="346">
        <f>DATE(A11606,B11606,C11606)</f>
        <v>46000</v>
      </c>
      <c r="F11606" s="518" t="s">
        <v>1988</v>
      </c>
      <c r="G11606" s="347" t="s">
        <v>1245</v>
      </c>
      <c r="H11606" s="348"/>
      <c r="I11606" s="348" t="s">
        <v>1253</v>
      </c>
      <c r="J11606" s="344" t="s">
        <v>113</v>
      </c>
      <c r="K11606" s="349">
        <v>4692.3071428571429</v>
      </c>
      <c r="L11606" s="349"/>
      <c r="M11606" s="455"/>
    </row>
    <row r="11607" spans="1:16" ht="11.25" customHeight="1" x14ac:dyDescent="0.2">
      <c r="A11607" s="350">
        <v>2025</v>
      </c>
      <c r="B11607" s="350">
        <v>12</v>
      </c>
      <c r="C11607" s="350">
        <v>9</v>
      </c>
      <c r="D11607" s="351">
        <f t="shared" si="1598"/>
        <v>46000</v>
      </c>
      <c r="E11607" s="352">
        <f>DATE(A11607,B11607,C11607)</f>
        <v>46000</v>
      </c>
      <c r="F11607" s="519"/>
      <c r="G11607" s="353" t="s">
        <v>1245</v>
      </c>
      <c r="H11607" s="354"/>
      <c r="I11607" s="354" t="s">
        <v>1253</v>
      </c>
      <c r="J11607" s="350" t="s">
        <v>153</v>
      </c>
      <c r="K11607" s="355"/>
      <c r="L11607" s="355">
        <f t="shared" ref="L11607" si="1607">K11606</f>
        <v>4692.3071428571429</v>
      </c>
    </row>
    <row r="11608" spans="1:16" ht="11.25" customHeight="1" x14ac:dyDescent="0.2">
      <c r="A11608" s="344">
        <v>2025</v>
      </c>
      <c r="B11608" s="344">
        <v>12</v>
      </c>
      <c r="C11608" s="344">
        <v>9</v>
      </c>
      <c r="D11608" s="345">
        <f t="shared" si="1598"/>
        <v>46000</v>
      </c>
      <c r="E11608" s="346">
        <f t="shared" ref="E11608:E11614" si="1608">DATE(A11608,B11608,C11608)</f>
        <v>46000</v>
      </c>
      <c r="F11608" s="518" t="s">
        <v>1989</v>
      </c>
      <c r="G11608" s="347" t="s">
        <v>1245</v>
      </c>
      <c r="H11608" s="348"/>
      <c r="I11608" s="348" t="s">
        <v>1253</v>
      </c>
      <c r="J11608" s="344" t="s">
        <v>113</v>
      </c>
      <c r="K11608" s="349">
        <v>3351.6483516483518</v>
      </c>
      <c r="L11608" s="349"/>
      <c r="M11608" s="455"/>
    </row>
    <row r="11609" spans="1:16" ht="11.25" customHeight="1" x14ac:dyDescent="0.2">
      <c r="A11609" s="350">
        <v>2025</v>
      </c>
      <c r="B11609" s="350">
        <v>12</v>
      </c>
      <c r="C11609" s="350">
        <v>9</v>
      </c>
      <c r="D11609" s="351">
        <f t="shared" si="1598"/>
        <v>46000</v>
      </c>
      <c r="E11609" s="352">
        <f t="shared" si="1608"/>
        <v>46000</v>
      </c>
      <c r="F11609" s="519"/>
      <c r="G11609" s="353" t="s">
        <v>1245</v>
      </c>
      <c r="H11609" s="354"/>
      <c r="I11609" s="354" t="s">
        <v>1253</v>
      </c>
      <c r="J11609" s="350" t="s">
        <v>153</v>
      </c>
      <c r="K11609" s="355"/>
      <c r="L11609" s="355">
        <f t="shared" ref="L11609" si="1609">K11608</f>
        <v>3351.6483516483518</v>
      </c>
    </row>
    <row r="11610" spans="1:16" ht="11.25" customHeight="1" x14ac:dyDescent="0.2">
      <c r="A11610" s="344">
        <v>2025</v>
      </c>
      <c r="B11610" s="344">
        <v>12</v>
      </c>
      <c r="C11610" s="344">
        <v>9</v>
      </c>
      <c r="D11610" s="345">
        <f t="shared" si="1598"/>
        <v>46000</v>
      </c>
      <c r="E11610" s="346">
        <f t="shared" si="1608"/>
        <v>46000</v>
      </c>
      <c r="F11610" s="518" t="s">
        <v>1990</v>
      </c>
      <c r="G11610" s="347" t="s">
        <v>1245</v>
      </c>
      <c r="H11610" s="348"/>
      <c r="I11610" s="348" t="s">
        <v>1253</v>
      </c>
      <c r="J11610" s="344" t="s">
        <v>113</v>
      </c>
      <c r="K11610" s="349">
        <v>10054.945714285714</v>
      </c>
      <c r="L11610" s="349"/>
      <c r="M11610" s="455"/>
      <c r="N11610" s="251"/>
      <c r="O11610" s="251"/>
      <c r="P11610" s="251"/>
    </row>
    <row r="11611" spans="1:16" ht="11.25" customHeight="1" x14ac:dyDescent="0.2">
      <c r="A11611" s="350">
        <v>2025</v>
      </c>
      <c r="B11611" s="350">
        <v>12</v>
      </c>
      <c r="C11611" s="350">
        <v>9</v>
      </c>
      <c r="D11611" s="351">
        <f t="shared" si="1598"/>
        <v>46000</v>
      </c>
      <c r="E11611" s="352">
        <f t="shared" si="1608"/>
        <v>46000</v>
      </c>
      <c r="F11611" s="519"/>
      <c r="G11611" s="353" t="s">
        <v>1245</v>
      </c>
      <c r="H11611" s="354"/>
      <c r="I11611" s="354" t="s">
        <v>1253</v>
      </c>
      <c r="J11611" s="350" t="s">
        <v>153</v>
      </c>
      <c r="K11611" s="355"/>
      <c r="L11611" s="355">
        <f t="shared" ref="L11611" si="1610">K11610</f>
        <v>10054.945714285714</v>
      </c>
    </row>
    <row r="11612" spans="1:16" ht="11.25" customHeight="1" x14ac:dyDescent="0.2">
      <c r="A11612" s="344">
        <v>2025</v>
      </c>
      <c r="B11612" s="344">
        <v>12</v>
      </c>
      <c r="C11612" s="344">
        <v>9</v>
      </c>
      <c r="D11612" s="345">
        <f t="shared" si="1598"/>
        <v>46000</v>
      </c>
      <c r="E11612" s="346">
        <f t="shared" si="1608"/>
        <v>46000</v>
      </c>
      <c r="F11612" s="518" t="s">
        <v>2107</v>
      </c>
      <c r="G11612" s="347" t="s">
        <v>1245</v>
      </c>
      <c r="H11612" s="348"/>
      <c r="I11612" s="348" t="s">
        <v>1253</v>
      </c>
      <c r="J11612" s="344" t="s">
        <v>113</v>
      </c>
      <c r="K11612" s="349">
        <v>12370.879120879121</v>
      </c>
      <c r="L11612" s="349"/>
      <c r="M11612" s="455"/>
      <c r="N11612" s="251"/>
      <c r="O11612" s="251"/>
      <c r="P11612" s="251"/>
    </row>
    <row r="11613" spans="1:16" ht="11.25" customHeight="1" x14ac:dyDescent="0.2">
      <c r="A11613" s="350">
        <v>2025</v>
      </c>
      <c r="B11613" s="350">
        <v>12</v>
      </c>
      <c r="C11613" s="350">
        <v>9</v>
      </c>
      <c r="D11613" s="351">
        <f t="shared" si="1598"/>
        <v>46000</v>
      </c>
      <c r="E11613" s="352">
        <f t="shared" si="1608"/>
        <v>46000</v>
      </c>
      <c r="F11613" s="519"/>
      <c r="G11613" s="353" t="s">
        <v>1245</v>
      </c>
      <c r="H11613" s="354"/>
      <c r="I11613" s="354" t="s">
        <v>1253</v>
      </c>
      <c r="J11613" s="350" t="s">
        <v>153</v>
      </c>
      <c r="K11613" s="355"/>
      <c r="L11613" s="355">
        <f t="shared" ref="L11613" si="1611">K11612</f>
        <v>12370.879120879121</v>
      </c>
    </row>
    <row r="11614" spans="1:16" ht="11.25" customHeight="1" x14ac:dyDescent="0.2">
      <c r="A11614" s="210">
        <v>2025</v>
      </c>
      <c r="B11614" s="210">
        <v>12</v>
      </c>
      <c r="C11614" s="210">
        <v>9</v>
      </c>
      <c r="D11614" s="211">
        <f t="shared" si="1598"/>
        <v>46000</v>
      </c>
      <c r="E11614" s="238">
        <f t="shared" si="1608"/>
        <v>46000</v>
      </c>
      <c r="F11614" s="520" t="s">
        <v>1857</v>
      </c>
      <c r="G11614" s="213" t="s">
        <v>1245</v>
      </c>
      <c r="H11614" s="214"/>
      <c r="I11614" s="214" t="s">
        <v>1253</v>
      </c>
      <c r="J11614" s="210" t="s">
        <v>1284</v>
      </c>
      <c r="K11614" s="215">
        <v>334.54448777029421</v>
      </c>
      <c r="L11614" s="215"/>
      <c r="M11614" s="455"/>
    </row>
    <row r="11615" spans="1:16" ht="11.25" customHeight="1" x14ac:dyDescent="0.2">
      <c r="A11615" s="242">
        <v>2025</v>
      </c>
      <c r="B11615" s="242">
        <v>12</v>
      </c>
      <c r="C11615" s="242">
        <v>9</v>
      </c>
      <c r="D11615" s="243">
        <f t="shared" si="1598"/>
        <v>46000</v>
      </c>
      <c r="E11615" s="244">
        <f>DATE(A11615,B11615,C11615)</f>
        <v>46000</v>
      </c>
      <c r="F11615" s="524"/>
      <c r="G11615" s="245" t="s">
        <v>1245</v>
      </c>
      <c r="H11615" s="246"/>
      <c r="I11615" s="246"/>
      <c r="J11615" s="242" t="s">
        <v>1582</v>
      </c>
      <c r="K11615" s="247"/>
      <c r="L11615" s="247">
        <f>K11614</f>
        <v>334.54448777029421</v>
      </c>
    </row>
    <row r="11616" spans="1:16" ht="11.25" customHeight="1" x14ac:dyDescent="0.2">
      <c r="A11616" s="210">
        <v>2025</v>
      </c>
      <c r="B11616" s="210">
        <v>12</v>
      </c>
      <c r="C11616" s="210">
        <v>9</v>
      </c>
      <c r="D11616" s="211">
        <f t="shared" si="1598"/>
        <v>46000</v>
      </c>
      <c r="E11616" s="238">
        <f t="shared" ref="E11616:E11629" si="1612">DATE(A11616,B11616,C11616)</f>
        <v>46000</v>
      </c>
      <c r="F11616" s="520" t="s">
        <v>2055</v>
      </c>
      <c r="G11616" s="213" t="s">
        <v>1245</v>
      </c>
      <c r="H11616" s="214"/>
      <c r="I11616" s="214" t="s">
        <v>1253</v>
      </c>
      <c r="J11616" s="210" t="s">
        <v>58</v>
      </c>
      <c r="K11616" s="215">
        <v>2621.77</v>
      </c>
      <c r="L11616" s="215"/>
    </row>
    <row r="11617" spans="1:15" ht="11.25" customHeight="1" x14ac:dyDescent="0.2">
      <c r="A11617" s="216">
        <v>2025</v>
      </c>
      <c r="B11617" s="216">
        <v>12</v>
      </c>
      <c r="C11617" s="216">
        <v>9</v>
      </c>
      <c r="D11617" s="217">
        <f t="shared" si="1598"/>
        <v>46000</v>
      </c>
      <c r="E11617" s="239">
        <f t="shared" si="1612"/>
        <v>46000</v>
      </c>
      <c r="F11617" s="521"/>
      <c r="G11617" s="219" t="s">
        <v>1245</v>
      </c>
      <c r="H11617" s="220"/>
      <c r="I11617" s="220" t="s">
        <v>1253</v>
      </c>
      <c r="J11617" s="216" t="s">
        <v>153</v>
      </c>
      <c r="K11617" s="221"/>
      <c r="L11617" s="221">
        <f>K11616</f>
        <v>2621.77</v>
      </c>
    </row>
    <row r="11618" spans="1:15" ht="11.25" customHeight="1" x14ac:dyDescent="0.2">
      <c r="A11618" s="312">
        <v>2025</v>
      </c>
      <c r="B11618" s="312">
        <v>12</v>
      </c>
      <c r="C11618" s="312">
        <v>9</v>
      </c>
      <c r="D11618" s="313">
        <f t="shared" si="1598"/>
        <v>46000</v>
      </c>
      <c r="E11618" s="314">
        <f t="shared" si="1612"/>
        <v>46000</v>
      </c>
      <c r="F11618" s="522" t="s">
        <v>1477</v>
      </c>
      <c r="G11618" s="315" t="s">
        <v>1245</v>
      </c>
      <c r="H11618" s="316"/>
      <c r="I11618" s="316" t="s">
        <v>1253</v>
      </c>
      <c r="J11618" s="312" t="s">
        <v>1458</v>
      </c>
      <c r="K11618" s="317">
        <v>0</v>
      </c>
      <c r="L11618" s="317"/>
    </row>
    <row r="11619" spans="1:15" ht="11.25" customHeight="1" x14ac:dyDescent="0.2">
      <c r="A11619" s="318">
        <v>2025</v>
      </c>
      <c r="B11619" s="318">
        <v>12</v>
      </c>
      <c r="C11619" s="318">
        <v>9</v>
      </c>
      <c r="D11619" s="319">
        <f t="shared" si="1598"/>
        <v>46000</v>
      </c>
      <c r="E11619" s="320">
        <f t="shared" si="1612"/>
        <v>46000</v>
      </c>
      <c r="F11619" s="523"/>
      <c r="G11619" s="321" t="s">
        <v>1245</v>
      </c>
      <c r="H11619" s="322"/>
      <c r="I11619" s="322" t="s">
        <v>1253</v>
      </c>
      <c r="J11619" s="318" t="s">
        <v>1460</v>
      </c>
      <c r="K11619" s="323"/>
      <c r="L11619" s="323">
        <f>K11618</f>
        <v>0</v>
      </c>
    </row>
    <row r="11620" spans="1:15" ht="11.25" customHeight="1" x14ac:dyDescent="0.2">
      <c r="A11620" s="312">
        <v>2025</v>
      </c>
      <c r="B11620" s="312">
        <v>12</v>
      </c>
      <c r="C11620" s="312">
        <v>9</v>
      </c>
      <c r="D11620" s="313">
        <f t="shared" si="1598"/>
        <v>46000</v>
      </c>
      <c r="E11620" s="314">
        <f t="shared" si="1612"/>
        <v>46000</v>
      </c>
      <c r="F11620" s="522" t="s">
        <v>1595</v>
      </c>
      <c r="G11620" s="315" t="s">
        <v>1245</v>
      </c>
      <c r="H11620" s="316"/>
      <c r="I11620" s="316" t="s">
        <v>1253</v>
      </c>
      <c r="J11620" s="312" t="s">
        <v>1461</v>
      </c>
      <c r="K11620" s="317"/>
      <c r="L11620" s="317"/>
      <c r="M11620" s="328">
        <f>BS!$I$14</f>
        <v>0</v>
      </c>
    </row>
    <row r="11621" spans="1:15" ht="11.25" customHeight="1" x14ac:dyDescent="0.2">
      <c r="A11621" s="318">
        <v>2025</v>
      </c>
      <c r="B11621" s="318">
        <v>12</v>
      </c>
      <c r="C11621" s="318">
        <v>9</v>
      </c>
      <c r="D11621" s="319">
        <f t="shared" si="1598"/>
        <v>46000</v>
      </c>
      <c r="E11621" s="320">
        <f t="shared" si="1612"/>
        <v>46000</v>
      </c>
      <c r="F11621" s="523"/>
      <c r="G11621" s="321" t="s">
        <v>1245</v>
      </c>
      <c r="H11621" s="322"/>
      <c r="I11621" s="322" t="s">
        <v>1253</v>
      </c>
      <c r="J11621" s="318" t="s">
        <v>1459</v>
      </c>
      <c r="K11621" s="323"/>
      <c r="L11621" s="323">
        <f>K11620</f>
        <v>0</v>
      </c>
      <c r="M11621" s="328"/>
    </row>
    <row r="11622" spans="1:15" ht="11.25" customHeight="1" x14ac:dyDescent="0.2">
      <c r="A11622" s="222">
        <v>2025</v>
      </c>
      <c r="B11622" s="222">
        <v>12</v>
      </c>
      <c r="C11622" s="222">
        <v>9</v>
      </c>
      <c r="D11622" s="223">
        <f t="shared" si="1598"/>
        <v>46000</v>
      </c>
      <c r="E11622" s="240">
        <f t="shared" si="1612"/>
        <v>46000</v>
      </c>
      <c r="F11622" s="511" t="s">
        <v>1244</v>
      </c>
      <c r="G11622" s="225" t="s">
        <v>1245</v>
      </c>
      <c r="H11622" s="226"/>
      <c r="I11622" s="226" t="s">
        <v>1253</v>
      </c>
      <c r="J11622" s="222" t="s">
        <v>87</v>
      </c>
      <c r="K11622" s="227"/>
      <c r="L11622" s="227"/>
      <c r="M11622" s="328">
        <f>BS!$I$7</f>
        <v>0</v>
      </c>
    </row>
    <row r="11623" spans="1:15" ht="11.25" customHeight="1" x14ac:dyDescent="0.2">
      <c r="A11623" s="228">
        <v>2025</v>
      </c>
      <c r="B11623" s="228">
        <v>12</v>
      </c>
      <c r="C11623" s="228">
        <v>9</v>
      </c>
      <c r="D11623" s="229">
        <f t="shared" si="1598"/>
        <v>46000</v>
      </c>
      <c r="E11623" s="241">
        <f t="shared" si="1612"/>
        <v>46000</v>
      </c>
      <c r="F11623" s="512"/>
      <c r="G11623" s="231" t="s">
        <v>1245</v>
      </c>
      <c r="H11623" s="232"/>
      <c r="I11623" s="232" t="s">
        <v>1253</v>
      </c>
      <c r="J11623" s="228" t="s">
        <v>72</v>
      </c>
      <c r="K11623" s="233"/>
      <c r="L11623" s="233">
        <f>K11622</f>
        <v>0</v>
      </c>
    </row>
    <row r="11624" spans="1:15" ht="11.25" customHeight="1" x14ac:dyDescent="0.2">
      <c r="A11624" s="222">
        <v>2025</v>
      </c>
      <c r="B11624" s="222">
        <v>12</v>
      </c>
      <c r="C11624" s="222">
        <v>9</v>
      </c>
      <c r="D11624" s="223">
        <f t="shared" si="1598"/>
        <v>46000</v>
      </c>
      <c r="E11624" s="240">
        <f t="shared" si="1612"/>
        <v>46000</v>
      </c>
      <c r="F11624" s="511" t="s">
        <v>1246</v>
      </c>
      <c r="G11624" s="225" t="s">
        <v>1245</v>
      </c>
      <c r="H11624" s="226"/>
      <c r="I11624" s="226" t="s">
        <v>1253</v>
      </c>
      <c r="J11624" s="222" t="s">
        <v>75</v>
      </c>
      <c r="K11624" s="227">
        <v>517.58912087912086</v>
      </c>
      <c r="L11624" s="227"/>
      <c r="M11624" s="455"/>
    </row>
    <row r="11625" spans="1:15" ht="11.25" customHeight="1" x14ac:dyDescent="0.2">
      <c r="A11625" s="228">
        <v>2025</v>
      </c>
      <c r="B11625" s="228">
        <v>12</v>
      </c>
      <c r="C11625" s="228">
        <v>9</v>
      </c>
      <c r="D11625" s="229">
        <f t="shared" si="1598"/>
        <v>46000</v>
      </c>
      <c r="E11625" s="241">
        <f t="shared" si="1612"/>
        <v>46000</v>
      </c>
      <c r="F11625" s="512"/>
      <c r="G11625" s="231" t="s">
        <v>1245</v>
      </c>
      <c r="H11625" s="232"/>
      <c r="I11625" s="232" t="s">
        <v>1253</v>
      </c>
      <c r="J11625" s="228" t="s">
        <v>55</v>
      </c>
      <c r="K11625" s="233"/>
      <c r="L11625" s="233">
        <f>K11624</f>
        <v>517.58912087912086</v>
      </c>
    </row>
    <row r="11626" spans="1:15" ht="11.25" customHeight="1" x14ac:dyDescent="0.2">
      <c r="A11626" s="222">
        <v>2025</v>
      </c>
      <c r="B11626" s="222">
        <v>12</v>
      </c>
      <c r="C11626" s="222">
        <v>9</v>
      </c>
      <c r="D11626" s="223">
        <f t="shared" si="1598"/>
        <v>46000</v>
      </c>
      <c r="E11626" s="240">
        <f t="shared" si="1612"/>
        <v>46000</v>
      </c>
      <c r="F11626" s="511" t="s">
        <v>1247</v>
      </c>
      <c r="G11626" s="225" t="s">
        <v>1245</v>
      </c>
      <c r="H11626" s="226"/>
      <c r="I11626" s="226" t="s">
        <v>1253</v>
      </c>
      <c r="J11626" s="222" t="s">
        <v>77</v>
      </c>
      <c r="K11626" s="227">
        <f>M11626</f>
        <v>7487.8019749488058</v>
      </c>
      <c r="L11626" s="227"/>
      <c r="M11626" s="478">
        <v>7487.8019749488058</v>
      </c>
    </row>
    <row r="11627" spans="1:15" ht="11.25" customHeight="1" x14ac:dyDescent="0.2">
      <c r="A11627" s="228">
        <v>2025</v>
      </c>
      <c r="B11627" s="228">
        <v>12</v>
      </c>
      <c r="C11627" s="228">
        <v>9</v>
      </c>
      <c r="D11627" s="229">
        <f t="shared" si="1598"/>
        <v>46000</v>
      </c>
      <c r="E11627" s="241">
        <f t="shared" si="1612"/>
        <v>46000</v>
      </c>
      <c r="F11627" s="512"/>
      <c r="G11627" s="231" t="s">
        <v>1245</v>
      </c>
      <c r="H11627" s="232"/>
      <c r="I11627" s="232" t="s">
        <v>1253</v>
      </c>
      <c r="J11627" s="228" t="s">
        <v>41</v>
      </c>
      <c r="K11627" s="233"/>
      <c r="L11627" s="233">
        <f>K11626</f>
        <v>7487.8019749488058</v>
      </c>
      <c r="M11627" s="478">
        <v>748.78019749488044</v>
      </c>
      <c r="N11627" s="251"/>
    </row>
    <row r="11628" spans="1:15" ht="11.25" customHeight="1" x14ac:dyDescent="0.2">
      <c r="A11628" s="222">
        <v>2025</v>
      </c>
      <c r="B11628" s="222">
        <v>12</v>
      </c>
      <c r="C11628" s="222">
        <v>9</v>
      </c>
      <c r="D11628" s="223">
        <f t="shared" ref="D11628:D11691" si="1613">DATE(A11628,B11628,C11628)</f>
        <v>46000</v>
      </c>
      <c r="E11628" s="240">
        <f t="shared" si="1612"/>
        <v>46000</v>
      </c>
      <c r="F11628" s="511" t="s">
        <v>1248</v>
      </c>
      <c r="G11628" s="225" t="s">
        <v>1245</v>
      </c>
      <c r="H11628" s="226"/>
      <c r="I11628" s="226" t="s">
        <v>1253</v>
      </c>
      <c r="J11628" s="222" t="s">
        <v>80</v>
      </c>
      <c r="K11628" s="227">
        <f>M11627</f>
        <v>748.78019749488044</v>
      </c>
      <c r="L11628" s="227"/>
      <c r="N11628" s="251"/>
      <c r="O11628" s="251"/>
    </row>
    <row r="11629" spans="1:15" ht="11.25" customHeight="1" x14ac:dyDescent="0.2">
      <c r="A11629" s="228">
        <v>2025</v>
      </c>
      <c r="B11629" s="228">
        <v>12</v>
      </c>
      <c r="C11629" s="228">
        <v>9</v>
      </c>
      <c r="D11629" s="229">
        <f t="shared" si="1613"/>
        <v>46000</v>
      </c>
      <c r="E11629" s="241">
        <f t="shared" si="1612"/>
        <v>46000</v>
      </c>
      <c r="F11629" s="512"/>
      <c r="G11629" s="231" t="s">
        <v>1245</v>
      </c>
      <c r="H11629" s="232"/>
      <c r="I11629" s="232" t="s">
        <v>1253</v>
      </c>
      <c r="J11629" s="228" t="s">
        <v>42</v>
      </c>
      <c r="K11629" s="233"/>
      <c r="L11629" s="233">
        <f>K11628</f>
        <v>748.78019749488044</v>
      </c>
      <c r="N11629" s="251"/>
    </row>
    <row r="11630" spans="1:15" x14ac:dyDescent="0.2">
      <c r="A11630" s="197">
        <v>2025</v>
      </c>
      <c r="B11630" s="197">
        <v>12</v>
      </c>
      <c r="C11630" s="120">
        <v>10</v>
      </c>
      <c r="D11630" s="198">
        <f t="shared" si="1613"/>
        <v>46001</v>
      </c>
      <c r="E11630" s="209">
        <f t="shared" si="1604"/>
        <v>46001</v>
      </c>
      <c r="F11630" s="513" t="s">
        <v>1280</v>
      </c>
      <c r="G11630" s="200" t="s">
        <v>1209</v>
      </c>
      <c r="H11630" s="201"/>
      <c r="I11630" s="201"/>
      <c r="J11630" s="197" t="s">
        <v>16</v>
      </c>
      <c r="K11630" s="202">
        <v>5080</v>
      </c>
      <c r="L11630" s="202"/>
    </row>
    <row r="11631" spans="1:15" x14ac:dyDescent="0.2">
      <c r="A11631" s="120">
        <v>2025</v>
      </c>
      <c r="B11631" s="120">
        <v>12</v>
      </c>
      <c r="C11631" s="120">
        <v>10</v>
      </c>
      <c r="D11631" s="208">
        <f t="shared" si="1613"/>
        <v>46001</v>
      </c>
      <c r="E11631" s="209">
        <f t="shared" si="1604"/>
        <v>46001</v>
      </c>
      <c r="F11631" s="515"/>
      <c r="G11631" s="132" t="s">
        <v>1209</v>
      </c>
      <c r="J11631" s="120" t="s">
        <v>47</v>
      </c>
      <c r="K11631" s="207">
        <v>1920</v>
      </c>
      <c r="L11631" s="207"/>
    </row>
    <row r="11632" spans="1:15" x14ac:dyDescent="0.2">
      <c r="A11632" s="191">
        <v>2025</v>
      </c>
      <c r="B11632" s="191">
        <v>12</v>
      </c>
      <c r="C11632" s="191">
        <v>10</v>
      </c>
      <c r="D11632" s="192">
        <f t="shared" si="1613"/>
        <v>46001</v>
      </c>
      <c r="E11632" s="193">
        <f t="shared" si="1604"/>
        <v>46001</v>
      </c>
      <c r="F11632" s="514"/>
      <c r="G11632" s="194" t="s">
        <v>1209</v>
      </c>
      <c r="H11632" s="195"/>
      <c r="I11632" s="195"/>
      <c r="J11632" s="191" t="s">
        <v>46</v>
      </c>
      <c r="K11632" s="196"/>
      <c r="L11632" s="196">
        <v>7000</v>
      </c>
    </row>
    <row r="11633" spans="1:15" ht="11.25" customHeight="1" x14ac:dyDescent="0.2">
      <c r="A11633" s="197">
        <v>2025</v>
      </c>
      <c r="B11633" s="197">
        <v>12</v>
      </c>
      <c r="C11633" s="197">
        <v>10</v>
      </c>
      <c r="D11633" s="198">
        <f t="shared" si="1613"/>
        <v>46001</v>
      </c>
      <c r="E11633" s="199">
        <f t="shared" si="1604"/>
        <v>46001</v>
      </c>
      <c r="F11633" s="513" t="s">
        <v>2116</v>
      </c>
      <c r="G11633" s="200" t="s">
        <v>1209</v>
      </c>
      <c r="H11633" s="201"/>
      <c r="I11633" s="201" t="s">
        <v>1253</v>
      </c>
      <c r="J11633" s="197" t="s">
        <v>1837</v>
      </c>
      <c r="K11633" s="202">
        <v>2007915.33</v>
      </c>
      <c r="L11633" s="202"/>
    </row>
    <row r="11634" spans="1:15" ht="11.25" customHeight="1" x14ac:dyDescent="0.2">
      <c r="A11634" s="191">
        <v>2025</v>
      </c>
      <c r="B11634" s="191">
        <v>12</v>
      </c>
      <c r="C11634" s="191">
        <v>10</v>
      </c>
      <c r="D11634" s="192">
        <f t="shared" si="1613"/>
        <v>46001</v>
      </c>
      <c r="E11634" s="193">
        <f t="shared" si="1604"/>
        <v>46001</v>
      </c>
      <c r="F11634" s="514"/>
      <c r="G11634" s="194" t="s">
        <v>1209</v>
      </c>
      <c r="H11634" s="195"/>
      <c r="I11634" s="195" t="s">
        <v>1253</v>
      </c>
      <c r="J11634" s="191" t="s">
        <v>46</v>
      </c>
      <c r="K11634" s="196"/>
      <c r="L11634" s="196">
        <f>K11633</f>
        <v>2007915.33</v>
      </c>
      <c r="N11634" s="130"/>
    </row>
    <row r="11635" spans="1:15" ht="11.25" customHeight="1" x14ac:dyDescent="0.2">
      <c r="A11635" s="197">
        <v>2025</v>
      </c>
      <c r="B11635" s="197">
        <v>12</v>
      </c>
      <c r="C11635" s="197">
        <v>10</v>
      </c>
      <c r="D11635" s="198">
        <f t="shared" si="1613"/>
        <v>46001</v>
      </c>
      <c r="E11635" s="199">
        <f t="shared" si="1604"/>
        <v>46001</v>
      </c>
      <c r="F11635" s="513" t="s">
        <v>2115</v>
      </c>
      <c r="G11635" s="200" t="s">
        <v>1245</v>
      </c>
      <c r="H11635" s="201"/>
      <c r="I11635" s="201"/>
      <c r="J11635" s="197" t="s">
        <v>1837</v>
      </c>
      <c r="K11635" s="202">
        <v>521520.85</v>
      </c>
      <c r="L11635" s="202"/>
    </row>
    <row r="11636" spans="1:15" ht="11.25" customHeight="1" x14ac:dyDescent="0.2">
      <c r="A11636" s="120">
        <v>2025</v>
      </c>
      <c r="B11636" s="120">
        <v>12</v>
      </c>
      <c r="C11636" s="120">
        <v>10</v>
      </c>
      <c r="D11636" s="208">
        <f t="shared" si="1613"/>
        <v>46001</v>
      </c>
      <c r="E11636" s="209">
        <f t="shared" si="1604"/>
        <v>46001</v>
      </c>
      <c r="F11636" s="515"/>
      <c r="G11636" s="132" t="s">
        <v>1245</v>
      </c>
      <c r="J11636" s="120" t="s">
        <v>1250</v>
      </c>
      <c r="K11636" s="207">
        <v>516.54999999999995</v>
      </c>
      <c r="L11636" s="207"/>
      <c r="M11636" s="130"/>
    </row>
    <row r="11637" spans="1:15" ht="11.25" customHeight="1" x14ac:dyDescent="0.2">
      <c r="A11637" s="191">
        <v>2025</v>
      </c>
      <c r="B11637" s="191">
        <v>12</v>
      </c>
      <c r="C11637" s="191">
        <v>10</v>
      </c>
      <c r="D11637" s="192">
        <f t="shared" si="1613"/>
        <v>46001</v>
      </c>
      <c r="E11637" s="193">
        <f t="shared" ref="E11637:E11654" si="1614">DATE(A11637,B11637,C11637)</f>
        <v>46001</v>
      </c>
      <c r="F11637" s="514"/>
      <c r="G11637" s="194" t="s">
        <v>1245</v>
      </c>
      <c r="H11637" s="195"/>
      <c r="I11637" s="195"/>
      <c r="J11637" s="191" t="s">
        <v>1251</v>
      </c>
      <c r="K11637" s="196"/>
      <c r="L11637" s="196">
        <v>522037.4</v>
      </c>
    </row>
    <row r="11638" spans="1:15" x14ac:dyDescent="0.2">
      <c r="A11638" s="197">
        <v>2025</v>
      </c>
      <c r="B11638" s="197">
        <v>12</v>
      </c>
      <c r="C11638" s="197">
        <v>10</v>
      </c>
      <c r="D11638" s="198">
        <f t="shared" si="1613"/>
        <v>46001</v>
      </c>
      <c r="E11638" s="290">
        <f t="shared" si="1614"/>
        <v>46001</v>
      </c>
      <c r="F11638" s="513" t="s">
        <v>1514</v>
      </c>
      <c r="G11638" s="200" t="s">
        <v>1209</v>
      </c>
      <c r="H11638" s="201"/>
      <c r="I11638" s="201"/>
      <c r="J11638" s="197" t="s">
        <v>54</v>
      </c>
      <c r="K11638" s="202">
        <v>510</v>
      </c>
      <c r="L11638" s="202"/>
      <c r="M11638" s="251"/>
      <c r="N11638" s="251"/>
      <c r="O11638" s="251"/>
    </row>
    <row r="11639" spans="1:15" ht="11.25" customHeight="1" x14ac:dyDescent="0.2">
      <c r="A11639" s="191">
        <v>2025</v>
      </c>
      <c r="B11639" s="191">
        <v>12</v>
      </c>
      <c r="C11639" s="191">
        <v>10</v>
      </c>
      <c r="D11639" s="192">
        <f t="shared" si="1613"/>
        <v>46001</v>
      </c>
      <c r="E11639" s="291">
        <f t="shared" si="1614"/>
        <v>46001</v>
      </c>
      <c r="F11639" s="514"/>
      <c r="G11639" s="194" t="s">
        <v>1209</v>
      </c>
      <c r="H11639" s="195"/>
      <c r="I11639" s="195"/>
      <c r="J11639" s="191" t="s">
        <v>46</v>
      </c>
      <c r="K11639" s="196"/>
      <c r="L11639" s="196">
        <f>K11638</f>
        <v>510</v>
      </c>
      <c r="M11639" s="251"/>
    </row>
    <row r="11640" spans="1:15" x14ac:dyDescent="0.2">
      <c r="A11640" s="197">
        <v>2025</v>
      </c>
      <c r="B11640" s="197">
        <v>12</v>
      </c>
      <c r="C11640" s="120">
        <v>10</v>
      </c>
      <c r="D11640" s="198">
        <f t="shared" si="1613"/>
        <v>46001</v>
      </c>
      <c r="E11640" s="209">
        <f t="shared" si="1614"/>
        <v>46001</v>
      </c>
      <c r="F11640" s="513" t="s">
        <v>2113</v>
      </c>
      <c r="G11640" s="200" t="s">
        <v>1209</v>
      </c>
      <c r="H11640" s="201"/>
      <c r="I11640" s="201"/>
      <c r="J11640" s="197" t="s">
        <v>46</v>
      </c>
      <c r="K11640" s="202">
        <v>5000</v>
      </c>
      <c r="L11640" s="202"/>
    </row>
    <row r="11641" spans="1:15" x14ac:dyDescent="0.2">
      <c r="A11641" s="120">
        <v>2025</v>
      </c>
      <c r="B11641" s="120">
        <v>12</v>
      </c>
      <c r="C11641" s="120">
        <v>10</v>
      </c>
      <c r="D11641" s="208">
        <f t="shared" si="1613"/>
        <v>46001</v>
      </c>
      <c r="E11641" s="209">
        <f t="shared" si="1614"/>
        <v>46001</v>
      </c>
      <c r="F11641" s="515"/>
      <c r="G11641" s="132" t="s">
        <v>1209</v>
      </c>
      <c r="J11641" s="120" t="s">
        <v>16</v>
      </c>
      <c r="K11641" s="207"/>
      <c r="L11641" s="207">
        <v>3630</v>
      </c>
    </row>
    <row r="11642" spans="1:15" x14ac:dyDescent="0.2">
      <c r="A11642" s="191">
        <v>2025</v>
      </c>
      <c r="B11642" s="191">
        <v>12</v>
      </c>
      <c r="C11642" s="191">
        <v>10</v>
      </c>
      <c r="D11642" s="192">
        <f t="shared" si="1613"/>
        <v>46001</v>
      </c>
      <c r="E11642" s="193">
        <f t="shared" si="1614"/>
        <v>46001</v>
      </c>
      <c r="F11642" s="514"/>
      <c r="G11642" s="194" t="s">
        <v>1209</v>
      </c>
      <c r="H11642" s="195"/>
      <c r="I11642" s="195"/>
      <c r="J11642" s="191" t="s">
        <v>47</v>
      </c>
      <c r="K11642" s="196"/>
      <c r="L11642" s="196">
        <v>1370</v>
      </c>
    </row>
    <row r="11643" spans="1:15" x14ac:dyDescent="0.2">
      <c r="A11643" s="424">
        <v>2025</v>
      </c>
      <c r="B11643" s="424">
        <v>12</v>
      </c>
      <c r="C11643" s="424">
        <v>10</v>
      </c>
      <c r="D11643" s="425">
        <f t="shared" si="1613"/>
        <v>46001</v>
      </c>
      <c r="E11643" s="384">
        <f t="shared" si="1614"/>
        <v>46001</v>
      </c>
      <c r="F11643" s="516" t="s">
        <v>1850</v>
      </c>
      <c r="G11643" s="426" t="s">
        <v>1209</v>
      </c>
      <c r="H11643" s="427"/>
      <c r="I11643" s="427"/>
      <c r="J11643" s="428" t="s">
        <v>81</v>
      </c>
      <c r="K11643" s="429">
        <v>1595.8173626373627</v>
      </c>
      <c r="L11643" s="429"/>
      <c r="M11643" s="455"/>
    </row>
    <row r="11644" spans="1:15" x14ac:dyDescent="0.2">
      <c r="A11644" s="389">
        <v>2025</v>
      </c>
      <c r="B11644" s="389">
        <v>12</v>
      </c>
      <c r="C11644" s="389">
        <v>10</v>
      </c>
      <c r="D11644" s="390">
        <f t="shared" si="1613"/>
        <v>46001</v>
      </c>
      <c r="E11644" s="391">
        <f t="shared" si="1614"/>
        <v>46001</v>
      </c>
      <c r="F11644" s="517"/>
      <c r="G11644" s="392" t="s">
        <v>1209</v>
      </c>
      <c r="H11644" s="393"/>
      <c r="I11644" s="393"/>
      <c r="J11644" s="394" t="s">
        <v>1847</v>
      </c>
      <c r="K11644" s="423"/>
      <c r="L11644" s="423">
        <f>K11643</f>
        <v>1595.8173626373627</v>
      </c>
    </row>
    <row r="11645" spans="1:15" ht="11.25" customHeight="1" x14ac:dyDescent="0.2">
      <c r="A11645" s="382">
        <v>2025</v>
      </c>
      <c r="B11645" s="382">
        <v>12</v>
      </c>
      <c r="C11645" s="382">
        <v>10</v>
      </c>
      <c r="D11645" s="383">
        <f t="shared" si="1613"/>
        <v>46001</v>
      </c>
      <c r="E11645" s="384">
        <f t="shared" si="1614"/>
        <v>46001</v>
      </c>
      <c r="F11645" s="516" t="s">
        <v>1892</v>
      </c>
      <c r="G11645" s="385" t="s">
        <v>1209</v>
      </c>
      <c r="H11645" s="386"/>
      <c r="I11645" s="386"/>
      <c r="J11645" s="387" t="s">
        <v>173</v>
      </c>
      <c r="K11645" s="388">
        <v>625.46111969940478</v>
      </c>
      <c r="L11645" s="388"/>
      <c r="M11645" s="455"/>
    </row>
    <row r="11646" spans="1:15" ht="11.25" customHeight="1" x14ac:dyDescent="0.2">
      <c r="A11646" s="389">
        <v>2025</v>
      </c>
      <c r="B11646" s="389">
        <v>12</v>
      </c>
      <c r="C11646" s="389">
        <v>10</v>
      </c>
      <c r="D11646" s="390">
        <f t="shared" si="1613"/>
        <v>46001</v>
      </c>
      <c r="E11646" s="391">
        <f t="shared" si="1614"/>
        <v>46001</v>
      </c>
      <c r="F11646" s="517"/>
      <c r="G11646" s="392" t="s">
        <v>1209</v>
      </c>
      <c r="H11646" s="393"/>
      <c r="I11646" s="393"/>
      <c r="J11646" s="394" t="s">
        <v>43</v>
      </c>
      <c r="K11646" s="388"/>
      <c r="L11646" s="423">
        <f>K11645</f>
        <v>625.46111969940478</v>
      </c>
    </row>
    <row r="11647" spans="1:15" ht="11.25" customHeight="1" x14ac:dyDescent="0.2">
      <c r="A11647" s="344">
        <v>2025</v>
      </c>
      <c r="B11647" s="344">
        <v>12</v>
      </c>
      <c r="C11647" s="344">
        <v>10</v>
      </c>
      <c r="D11647" s="345">
        <f t="shared" si="1613"/>
        <v>46001</v>
      </c>
      <c r="E11647" s="346">
        <f t="shared" si="1614"/>
        <v>46001</v>
      </c>
      <c r="F11647" s="518" t="s">
        <v>1982</v>
      </c>
      <c r="G11647" s="347" t="s">
        <v>1245</v>
      </c>
      <c r="H11647" s="348"/>
      <c r="I11647" s="348" t="s">
        <v>1253</v>
      </c>
      <c r="J11647" s="344" t="s">
        <v>1978</v>
      </c>
      <c r="K11647" s="349">
        <v>21249.725274725275</v>
      </c>
      <c r="L11647" s="349"/>
      <c r="M11647" s="455"/>
    </row>
    <row r="11648" spans="1:15" ht="11.25" customHeight="1" x14ac:dyDescent="0.2">
      <c r="A11648" s="350">
        <v>2025</v>
      </c>
      <c r="B11648" s="350">
        <v>12</v>
      </c>
      <c r="C11648" s="350">
        <v>10</v>
      </c>
      <c r="D11648" s="351">
        <f t="shared" si="1613"/>
        <v>46001</v>
      </c>
      <c r="E11648" s="352">
        <f t="shared" si="1614"/>
        <v>46001</v>
      </c>
      <c r="F11648" s="519"/>
      <c r="G11648" s="353" t="s">
        <v>1245</v>
      </c>
      <c r="H11648" s="354"/>
      <c r="I11648" s="354" t="s">
        <v>1253</v>
      </c>
      <c r="J11648" s="350" t="s">
        <v>1979</v>
      </c>
      <c r="K11648" s="355"/>
      <c r="L11648" s="355">
        <f>K11647</f>
        <v>21249.725274725275</v>
      </c>
    </row>
    <row r="11649" spans="1:16" ht="11.25" customHeight="1" x14ac:dyDescent="0.2">
      <c r="A11649" s="344">
        <v>2025</v>
      </c>
      <c r="B11649" s="344">
        <v>12</v>
      </c>
      <c r="C11649" s="344">
        <v>10</v>
      </c>
      <c r="D11649" s="345">
        <f t="shared" si="1613"/>
        <v>46001</v>
      </c>
      <c r="E11649" s="346">
        <f t="shared" si="1614"/>
        <v>46001</v>
      </c>
      <c r="F11649" s="518" t="s">
        <v>2009</v>
      </c>
      <c r="G11649" s="347" t="s">
        <v>1245</v>
      </c>
      <c r="H11649" s="348"/>
      <c r="I11649" s="348" t="s">
        <v>1253</v>
      </c>
      <c r="J11649" s="344" t="s">
        <v>2004</v>
      </c>
      <c r="K11649" s="349">
        <v>7098.9014285714284</v>
      </c>
      <c r="L11649" s="349"/>
      <c r="M11649" s="455"/>
    </row>
    <row r="11650" spans="1:16" ht="11.25" customHeight="1" x14ac:dyDescent="0.2">
      <c r="A11650" s="350">
        <v>2025</v>
      </c>
      <c r="B11650" s="350">
        <v>12</v>
      </c>
      <c r="C11650" s="350">
        <v>10</v>
      </c>
      <c r="D11650" s="351">
        <f t="shared" si="1613"/>
        <v>46001</v>
      </c>
      <c r="E11650" s="352">
        <f t="shared" si="1614"/>
        <v>46001</v>
      </c>
      <c r="F11650" s="519"/>
      <c r="G11650" s="353" t="s">
        <v>1245</v>
      </c>
      <c r="H11650" s="354"/>
      <c r="I11650" s="354" t="s">
        <v>1253</v>
      </c>
      <c r="J11650" s="350" t="s">
        <v>2008</v>
      </c>
      <c r="K11650" s="355"/>
      <c r="L11650" s="355">
        <f t="shared" ref="L11650" si="1615">K11649</f>
        <v>7098.9014285714284</v>
      </c>
    </row>
    <row r="11651" spans="1:16" ht="11.25" customHeight="1" x14ac:dyDescent="0.2">
      <c r="A11651" s="344">
        <v>2025</v>
      </c>
      <c r="B11651" s="344">
        <v>12</v>
      </c>
      <c r="C11651" s="344">
        <v>10</v>
      </c>
      <c r="D11651" s="345">
        <f t="shared" si="1613"/>
        <v>46001</v>
      </c>
      <c r="E11651" s="346">
        <f t="shared" si="1614"/>
        <v>46001</v>
      </c>
      <c r="F11651" s="518" t="s">
        <v>2009</v>
      </c>
      <c r="G11651" s="347" t="s">
        <v>1245</v>
      </c>
      <c r="H11651" s="348"/>
      <c r="I11651" s="348" t="s">
        <v>1253</v>
      </c>
      <c r="J11651" s="344" t="s">
        <v>2004</v>
      </c>
      <c r="K11651" s="349">
        <v>7098.9014285714284</v>
      </c>
      <c r="L11651" s="349"/>
      <c r="M11651" s="455"/>
    </row>
    <row r="11652" spans="1:16" ht="11.25" customHeight="1" x14ac:dyDescent="0.2">
      <c r="A11652" s="350">
        <v>2025</v>
      </c>
      <c r="B11652" s="350">
        <v>12</v>
      </c>
      <c r="C11652" s="350">
        <v>10</v>
      </c>
      <c r="D11652" s="351">
        <f t="shared" si="1613"/>
        <v>46001</v>
      </c>
      <c r="E11652" s="352">
        <f t="shared" si="1614"/>
        <v>46001</v>
      </c>
      <c r="F11652" s="519"/>
      <c r="G11652" s="353" t="s">
        <v>1245</v>
      </c>
      <c r="H11652" s="354"/>
      <c r="I11652" s="354" t="s">
        <v>1253</v>
      </c>
      <c r="J11652" s="350" t="s">
        <v>2008</v>
      </c>
      <c r="K11652" s="355"/>
      <c r="L11652" s="355">
        <f t="shared" ref="L11652" si="1616">K11651</f>
        <v>7098.9014285714284</v>
      </c>
    </row>
    <row r="11653" spans="1:16" ht="11.25" customHeight="1" x14ac:dyDescent="0.2">
      <c r="A11653" s="344">
        <v>2025</v>
      </c>
      <c r="B11653" s="344">
        <v>12</v>
      </c>
      <c r="C11653" s="344">
        <v>10</v>
      </c>
      <c r="D11653" s="345">
        <f t="shared" si="1613"/>
        <v>46001</v>
      </c>
      <c r="E11653" s="346">
        <f t="shared" si="1614"/>
        <v>46001</v>
      </c>
      <c r="F11653" s="518" t="s">
        <v>2088</v>
      </c>
      <c r="G11653" s="347" t="s">
        <v>1245</v>
      </c>
      <c r="H11653" s="348"/>
      <c r="I11653" s="348" t="s">
        <v>1253</v>
      </c>
      <c r="J11653" s="344" t="s">
        <v>2086</v>
      </c>
      <c r="K11653" s="349">
        <v>1789.835164835165</v>
      </c>
      <c r="L11653" s="349"/>
      <c r="M11653" s="455"/>
    </row>
    <row r="11654" spans="1:16" ht="11.25" customHeight="1" x14ac:dyDescent="0.2">
      <c r="A11654" s="350">
        <v>2025</v>
      </c>
      <c r="B11654" s="350">
        <v>12</v>
      </c>
      <c r="C11654" s="350">
        <v>10</v>
      </c>
      <c r="D11654" s="351">
        <f t="shared" si="1613"/>
        <v>46001</v>
      </c>
      <c r="E11654" s="352">
        <f t="shared" si="1614"/>
        <v>46001</v>
      </c>
      <c r="F11654" s="519"/>
      <c r="G11654" s="353" t="s">
        <v>1245</v>
      </c>
      <c r="H11654" s="354"/>
      <c r="I11654" s="354" t="s">
        <v>1253</v>
      </c>
      <c r="J11654" s="350" t="s">
        <v>2089</v>
      </c>
      <c r="K11654" s="355"/>
      <c r="L11654" s="355">
        <f>K11653</f>
        <v>1789.835164835165</v>
      </c>
    </row>
    <row r="11655" spans="1:16" ht="11.25" customHeight="1" x14ac:dyDescent="0.2">
      <c r="A11655" s="344">
        <v>2025</v>
      </c>
      <c r="B11655" s="344">
        <v>12</v>
      </c>
      <c r="C11655" s="344">
        <v>10</v>
      </c>
      <c r="D11655" s="345">
        <f t="shared" si="1613"/>
        <v>46001</v>
      </c>
      <c r="E11655" s="346">
        <f>DATE(A11655,B11655,C11655)</f>
        <v>46001</v>
      </c>
      <c r="F11655" s="518" t="s">
        <v>1988</v>
      </c>
      <c r="G11655" s="347" t="s">
        <v>1245</v>
      </c>
      <c r="H11655" s="348"/>
      <c r="I11655" s="348" t="s">
        <v>1253</v>
      </c>
      <c r="J11655" s="344" t="s">
        <v>113</v>
      </c>
      <c r="K11655" s="349">
        <v>4692.3071428571429</v>
      </c>
      <c r="L11655" s="349"/>
      <c r="M11655" s="455"/>
    </row>
    <row r="11656" spans="1:16" ht="11.25" customHeight="1" x14ac:dyDescent="0.2">
      <c r="A11656" s="350">
        <v>2025</v>
      </c>
      <c r="B11656" s="350">
        <v>12</v>
      </c>
      <c r="C11656" s="350">
        <v>10</v>
      </c>
      <c r="D11656" s="351">
        <f t="shared" si="1613"/>
        <v>46001</v>
      </c>
      <c r="E11656" s="352">
        <f>DATE(A11656,B11656,C11656)</f>
        <v>46001</v>
      </c>
      <c r="F11656" s="519"/>
      <c r="G11656" s="353" t="s">
        <v>1245</v>
      </c>
      <c r="H11656" s="354"/>
      <c r="I11656" s="354" t="s">
        <v>1253</v>
      </c>
      <c r="J11656" s="350" t="s">
        <v>153</v>
      </c>
      <c r="K11656" s="355"/>
      <c r="L11656" s="355">
        <f t="shared" ref="L11656" si="1617">K11655</f>
        <v>4692.3071428571429</v>
      </c>
    </row>
    <row r="11657" spans="1:16" ht="11.25" customHeight="1" x14ac:dyDescent="0.2">
      <c r="A11657" s="344">
        <v>2025</v>
      </c>
      <c r="B11657" s="344">
        <v>12</v>
      </c>
      <c r="C11657" s="344">
        <v>10</v>
      </c>
      <c r="D11657" s="345">
        <f t="shared" si="1613"/>
        <v>46001</v>
      </c>
      <c r="E11657" s="346">
        <f t="shared" ref="E11657:E11663" si="1618">DATE(A11657,B11657,C11657)</f>
        <v>46001</v>
      </c>
      <c r="F11657" s="518" t="s">
        <v>1989</v>
      </c>
      <c r="G11657" s="347" t="s">
        <v>1245</v>
      </c>
      <c r="H11657" s="348"/>
      <c r="I11657" s="348" t="s">
        <v>1253</v>
      </c>
      <c r="J11657" s="344" t="s">
        <v>113</v>
      </c>
      <c r="K11657" s="349">
        <v>3351.6483516483518</v>
      </c>
      <c r="L11657" s="349"/>
      <c r="M11657" s="455"/>
    </row>
    <row r="11658" spans="1:16" ht="11.25" customHeight="1" x14ac:dyDescent="0.2">
      <c r="A11658" s="350">
        <v>2025</v>
      </c>
      <c r="B11658" s="350">
        <v>12</v>
      </c>
      <c r="C11658" s="350">
        <v>10</v>
      </c>
      <c r="D11658" s="351">
        <f t="shared" si="1613"/>
        <v>46001</v>
      </c>
      <c r="E11658" s="352">
        <f t="shared" si="1618"/>
        <v>46001</v>
      </c>
      <c r="F11658" s="519"/>
      <c r="G11658" s="353" t="s">
        <v>1245</v>
      </c>
      <c r="H11658" s="354"/>
      <c r="I11658" s="354" t="s">
        <v>1253</v>
      </c>
      <c r="J11658" s="350" t="s">
        <v>153</v>
      </c>
      <c r="K11658" s="355"/>
      <c r="L11658" s="355">
        <f t="shared" ref="L11658" si="1619">K11657</f>
        <v>3351.6483516483518</v>
      </c>
    </row>
    <row r="11659" spans="1:16" ht="11.25" customHeight="1" x14ac:dyDescent="0.2">
      <c r="A11659" s="344">
        <v>2025</v>
      </c>
      <c r="B11659" s="344">
        <v>12</v>
      </c>
      <c r="C11659" s="344">
        <v>10</v>
      </c>
      <c r="D11659" s="345">
        <f t="shared" si="1613"/>
        <v>46001</v>
      </c>
      <c r="E11659" s="346">
        <f t="shared" si="1618"/>
        <v>46001</v>
      </c>
      <c r="F11659" s="518" t="s">
        <v>1990</v>
      </c>
      <c r="G11659" s="347" t="s">
        <v>1245</v>
      </c>
      <c r="H11659" s="348"/>
      <c r="I11659" s="348" t="s">
        <v>1253</v>
      </c>
      <c r="J11659" s="344" t="s">
        <v>113</v>
      </c>
      <c r="K11659" s="349">
        <v>10054.945714285714</v>
      </c>
      <c r="L11659" s="349"/>
      <c r="M11659" s="455"/>
      <c r="N11659" s="251"/>
      <c r="O11659" s="251"/>
      <c r="P11659" s="251"/>
    </row>
    <row r="11660" spans="1:16" ht="11.25" customHeight="1" x14ac:dyDescent="0.2">
      <c r="A11660" s="350">
        <v>2025</v>
      </c>
      <c r="B11660" s="350">
        <v>12</v>
      </c>
      <c r="C11660" s="350">
        <v>10</v>
      </c>
      <c r="D11660" s="351">
        <f t="shared" si="1613"/>
        <v>46001</v>
      </c>
      <c r="E11660" s="352">
        <f t="shared" si="1618"/>
        <v>46001</v>
      </c>
      <c r="F11660" s="519"/>
      <c r="G11660" s="353" t="s">
        <v>1245</v>
      </c>
      <c r="H11660" s="354"/>
      <c r="I11660" s="354" t="s">
        <v>1253</v>
      </c>
      <c r="J11660" s="350" t="s">
        <v>153</v>
      </c>
      <c r="K11660" s="355"/>
      <c r="L11660" s="355">
        <f t="shared" ref="L11660" si="1620">K11659</f>
        <v>10054.945714285714</v>
      </c>
    </row>
    <row r="11661" spans="1:16" ht="11.25" customHeight="1" x14ac:dyDescent="0.2">
      <c r="A11661" s="344">
        <v>2025</v>
      </c>
      <c r="B11661" s="344">
        <v>12</v>
      </c>
      <c r="C11661" s="344">
        <v>10</v>
      </c>
      <c r="D11661" s="345">
        <f t="shared" si="1613"/>
        <v>46001</v>
      </c>
      <c r="E11661" s="346">
        <f t="shared" si="1618"/>
        <v>46001</v>
      </c>
      <c r="F11661" s="518" t="s">
        <v>2107</v>
      </c>
      <c r="G11661" s="347" t="s">
        <v>1245</v>
      </c>
      <c r="H11661" s="348"/>
      <c r="I11661" s="348" t="s">
        <v>1253</v>
      </c>
      <c r="J11661" s="344" t="s">
        <v>113</v>
      </c>
      <c r="K11661" s="349">
        <v>12370.879120879121</v>
      </c>
      <c r="L11661" s="349"/>
      <c r="M11661" s="455"/>
      <c r="N11661" s="251"/>
      <c r="O11661" s="251"/>
      <c r="P11661" s="251"/>
    </row>
    <row r="11662" spans="1:16" ht="11.25" customHeight="1" x14ac:dyDescent="0.2">
      <c r="A11662" s="350">
        <v>2025</v>
      </c>
      <c r="B11662" s="350">
        <v>12</v>
      </c>
      <c r="C11662" s="350">
        <v>10</v>
      </c>
      <c r="D11662" s="351">
        <f t="shared" si="1613"/>
        <v>46001</v>
      </c>
      <c r="E11662" s="352">
        <f t="shared" si="1618"/>
        <v>46001</v>
      </c>
      <c r="F11662" s="519"/>
      <c r="G11662" s="353" t="s">
        <v>1245</v>
      </c>
      <c r="H11662" s="354"/>
      <c r="I11662" s="354" t="s">
        <v>1253</v>
      </c>
      <c r="J11662" s="350" t="s">
        <v>153</v>
      </c>
      <c r="K11662" s="355"/>
      <c r="L11662" s="355">
        <f t="shared" ref="L11662" si="1621">K11661</f>
        <v>12370.879120879121</v>
      </c>
    </row>
    <row r="11663" spans="1:16" ht="11.25" customHeight="1" x14ac:dyDescent="0.2">
      <c r="A11663" s="210">
        <v>2025</v>
      </c>
      <c r="B11663" s="210">
        <v>12</v>
      </c>
      <c r="C11663" s="210">
        <v>10</v>
      </c>
      <c r="D11663" s="211">
        <f t="shared" si="1613"/>
        <v>46001</v>
      </c>
      <c r="E11663" s="238">
        <f t="shared" si="1618"/>
        <v>46001</v>
      </c>
      <c r="F11663" s="520" t="s">
        <v>1857</v>
      </c>
      <c r="G11663" s="213" t="s">
        <v>1245</v>
      </c>
      <c r="H11663" s="214"/>
      <c r="I11663" s="214" t="s">
        <v>1253</v>
      </c>
      <c r="J11663" s="210" t="s">
        <v>1284</v>
      </c>
      <c r="K11663" s="215">
        <v>334.54448777029421</v>
      </c>
      <c r="L11663" s="215"/>
      <c r="M11663" s="455"/>
    </row>
    <row r="11664" spans="1:16" ht="11.25" customHeight="1" x14ac:dyDescent="0.2">
      <c r="A11664" s="242">
        <v>2025</v>
      </c>
      <c r="B11664" s="242">
        <v>12</v>
      </c>
      <c r="C11664" s="242">
        <v>10</v>
      </c>
      <c r="D11664" s="243">
        <f t="shared" si="1613"/>
        <v>46001</v>
      </c>
      <c r="E11664" s="244">
        <f>DATE(A11664,B11664,C11664)</f>
        <v>46001</v>
      </c>
      <c r="F11664" s="524"/>
      <c r="G11664" s="245" t="s">
        <v>1245</v>
      </c>
      <c r="H11664" s="246"/>
      <c r="I11664" s="246"/>
      <c r="J11664" s="242" t="s">
        <v>1582</v>
      </c>
      <c r="K11664" s="247"/>
      <c r="L11664" s="247">
        <f>K11663</f>
        <v>334.54448777029421</v>
      </c>
    </row>
    <row r="11665" spans="1:15" ht="11.25" customHeight="1" x14ac:dyDescent="0.2">
      <c r="A11665" s="210">
        <v>2025</v>
      </c>
      <c r="B11665" s="210">
        <v>12</v>
      </c>
      <c r="C11665" s="210">
        <v>10</v>
      </c>
      <c r="D11665" s="211">
        <f t="shared" si="1613"/>
        <v>46001</v>
      </c>
      <c r="E11665" s="238">
        <f t="shared" ref="E11665:E11699" si="1622">DATE(A11665,B11665,C11665)</f>
        <v>46001</v>
      </c>
      <c r="F11665" s="520" t="s">
        <v>2055</v>
      </c>
      <c r="G11665" s="213" t="s">
        <v>1245</v>
      </c>
      <c r="H11665" s="214"/>
      <c r="I11665" s="214" t="s">
        <v>1253</v>
      </c>
      <c r="J11665" s="210" t="s">
        <v>58</v>
      </c>
      <c r="K11665" s="215">
        <v>2621.67</v>
      </c>
      <c r="L11665" s="215"/>
    </row>
    <row r="11666" spans="1:15" ht="11.25" customHeight="1" x14ac:dyDescent="0.2">
      <c r="A11666" s="216">
        <v>2025</v>
      </c>
      <c r="B11666" s="216">
        <v>12</v>
      </c>
      <c r="C11666" s="216">
        <v>10</v>
      </c>
      <c r="D11666" s="217">
        <f t="shared" si="1613"/>
        <v>46001</v>
      </c>
      <c r="E11666" s="239">
        <f t="shared" si="1622"/>
        <v>46001</v>
      </c>
      <c r="F11666" s="521"/>
      <c r="G11666" s="219" t="s">
        <v>1245</v>
      </c>
      <c r="H11666" s="220"/>
      <c r="I11666" s="220" t="s">
        <v>1253</v>
      </c>
      <c r="J11666" s="216" t="s">
        <v>153</v>
      </c>
      <c r="K11666" s="221"/>
      <c r="L11666" s="221">
        <f>K11665</f>
        <v>2621.67</v>
      </c>
    </row>
    <row r="11667" spans="1:15" ht="11.25" customHeight="1" x14ac:dyDescent="0.2">
      <c r="A11667" s="312">
        <v>2025</v>
      </c>
      <c r="B11667" s="312">
        <v>12</v>
      </c>
      <c r="C11667" s="312">
        <v>10</v>
      </c>
      <c r="D11667" s="313">
        <f t="shared" si="1613"/>
        <v>46001</v>
      </c>
      <c r="E11667" s="314">
        <f t="shared" si="1622"/>
        <v>46001</v>
      </c>
      <c r="F11667" s="522" t="s">
        <v>1477</v>
      </c>
      <c r="G11667" s="315" t="s">
        <v>1245</v>
      </c>
      <c r="H11667" s="316"/>
      <c r="I11667" s="316" t="s">
        <v>1253</v>
      </c>
      <c r="J11667" s="312" t="s">
        <v>1458</v>
      </c>
      <c r="K11667" s="317">
        <v>0</v>
      </c>
      <c r="L11667" s="317"/>
    </row>
    <row r="11668" spans="1:15" ht="11.25" customHeight="1" x14ac:dyDescent="0.2">
      <c r="A11668" s="318">
        <v>2025</v>
      </c>
      <c r="B11668" s="318">
        <v>12</v>
      </c>
      <c r="C11668" s="318">
        <v>10</v>
      </c>
      <c r="D11668" s="319">
        <f t="shared" si="1613"/>
        <v>46001</v>
      </c>
      <c r="E11668" s="320">
        <f t="shared" si="1622"/>
        <v>46001</v>
      </c>
      <c r="F11668" s="523"/>
      <c r="G11668" s="321" t="s">
        <v>1245</v>
      </c>
      <c r="H11668" s="322"/>
      <c r="I11668" s="322" t="s">
        <v>1253</v>
      </c>
      <c r="J11668" s="318" t="s">
        <v>1460</v>
      </c>
      <c r="K11668" s="323"/>
      <c r="L11668" s="323">
        <f>K11667</f>
        <v>0</v>
      </c>
    </row>
    <row r="11669" spans="1:15" ht="11.25" customHeight="1" x14ac:dyDescent="0.2">
      <c r="A11669" s="312">
        <v>2025</v>
      </c>
      <c r="B11669" s="312">
        <v>12</v>
      </c>
      <c r="C11669" s="312">
        <v>10</v>
      </c>
      <c r="D11669" s="313">
        <f t="shared" si="1613"/>
        <v>46001</v>
      </c>
      <c r="E11669" s="314">
        <f t="shared" si="1622"/>
        <v>46001</v>
      </c>
      <c r="F11669" s="522" t="s">
        <v>1595</v>
      </c>
      <c r="G11669" s="315" t="s">
        <v>1245</v>
      </c>
      <c r="H11669" s="316"/>
      <c r="I11669" s="316" t="s">
        <v>1253</v>
      </c>
      <c r="J11669" s="312" t="s">
        <v>1461</v>
      </c>
      <c r="K11669" s="317">
        <v>188049.80400002003</v>
      </c>
      <c r="L11669" s="317"/>
      <c r="M11669" s="328">
        <f>BS!$I$14</f>
        <v>0</v>
      </c>
    </row>
    <row r="11670" spans="1:15" ht="11.25" customHeight="1" x14ac:dyDescent="0.2">
      <c r="A11670" s="318">
        <v>2025</v>
      </c>
      <c r="B11670" s="318">
        <v>12</v>
      </c>
      <c r="C11670" s="318">
        <v>10</v>
      </c>
      <c r="D11670" s="319">
        <f t="shared" si="1613"/>
        <v>46001</v>
      </c>
      <c r="E11670" s="320">
        <f t="shared" si="1622"/>
        <v>46001</v>
      </c>
      <c r="F11670" s="523"/>
      <c r="G11670" s="321" t="s">
        <v>1245</v>
      </c>
      <c r="H11670" s="322"/>
      <c r="I11670" s="322" t="s">
        <v>1253</v>
      </c>
      <c r="J11670" s="318" t="s">
        <v>1459</v>
      </c>
      <c r="K11670" s="323"/>
      <c r="L11670" s="323">
        <f>K11669</f>
        <v>188049.80400002003</v>
      </c>
      <c r="M11670" s="328"/>
    </row>
    <row r="11671" spans="1:15" ht="11.25" customHeight="1" x14ac:dyDescent="0.2">
      <c r="A11671" s="222">
        <v>2025</v>
      </c>
      <c r="B11671" s="222">
        <v>12</v>
      </c>
      <c r="C11671" s="222">
        <v>10</v>
      </c>
      <c r="D11671" s="223">
        <f t="shared" si="1613"/>
        <v>46001</v>
      </c>
      <c r="E11671" s="240">
        <f t="shared" si="1622"/>
        <v>46001</v>
      </c>
      <c r="F11671" s="511" t="s">
        <v>1244</v>
      </c>
      <c r="G11671" s="225" t="s">
        <v>1245</v>
      </c>
      <c r="H11671" s="226"/>
      <c r="I11671" s="226" t="s">
        <v>1253</v>
      </c>
      <c r="J11671" s="222" t="s">
        <v>87</v>
      </c>
      <c r="K11671" s="227">
        <v>22.5</v>
      </c>
      <c r="L11671" s="227"/>
      <c r="M11671" s="328">
        <f>BS!$I$7</f>
        <v>0</v>
      </c>
    </row>
    <row r="11672" spans="1:15" ht="11.25" customHeight="1" x14ac:dyDescent="0.2">
      <c r="A11672" s="228">
        <v>2025</v>
      </c>
      <c r="B11672" s="228">
        <v>12</v>
      </c>
      <c r="C11672" s="228">
        <v>10</v>
      </c>
      <c r="D11672" s="229">
        <f t="shared" si="1613"/>
        <v>46001</v>
      </c>
      <c r="E11672" s="241">
        <f t="shared" si="1622"/>
        <v>46001</v>
      </c>
      <c r="F11672" s="512"/>
      <c r="G11672" s="231" t="s">
        <v>1245</v>
      </c>
      <c r="H11672" s="232"/>
      <c r="I11672" s="232" t="s">
        <v>1253</v>
      </c>
      <c r="J11672" s="228" t="s">
        <v>72</v>
      </c>
      <c r="K11672" s="233"/>
      <c r="L11672" s="233">
        <f>K11671</f>
        <v>22.5</v>
      </c>
    </row>
    <row r="11673" spans="1:15" ht="11.25" customHeight="1" x14ac:dyDescent="0.2">
      <c r="A11673" s="222">
        <v>2025</v>
      </c>
      <c r="B11673" s="222">
        <v>12</v>
      </c>
      <c r="C11673" s="222">
        <v>10</v>
      </c>
      <c r="D11673" s="223">
        <f t="shared" si="1613"/>
        <v>46001</v>
      </c>
      <c r="E11673" s="240">
        <f t="shared" si="1622"/>
        <v>46001</v>
      </c>
      <c r="F11673" s="511" t="s">
        <v>1246</v>
      </c>
      <c r="G11673" s="225" t="s">
        <v>1245</v>
      </c>
      <c r="H11673" s="226"/>
      <c r="I11673" s="226" t="s">
        <v>1253</v>
      </c>
      <c r="J11673" s="222" t="s">
        <v>75</v>
      </c>
      <c r="K11673" s="227">
        <v>517.58912087912086</v>
      </c>
      <c r="L11673" s="227"/>
      <c r="M11673" s="455"/>
    </row>
    <row r="11674" spans="1:15" ht="11.25" customHeight="1" x14ac:dyDescent="0.2">
      <c r="A11674" s="228">
        <v>2025</v>
      </c>
      <c r="B11674" s="228">
        <v>12</v>
      </c>
      <c r="C11674" s="228">
        <v>10</v>
      </c>
      <c r="D11674" s="229">
        <f t="shared" si="1613"/>
        <v>46001</v>
      </c>
      <c r="E11674" s="241">
        <f t="shared" si="1622"/>
        <v>46001</v>
      </c>
      <c r="F11674" s="512"/>
      <c r="G11674" s="231" t="s">
        <v>1245</v>
      </c>
      <c r="H11674" s="232"/>
      <c r="I11674" s="232" t="s">
        <v>1253</v>
      </c>
      <c r="J11674" s="228" t="s">
        <v>55</v>
      </c>
      <c r="K11674" s="233"/>
      <c r="L11674" s="233">
        <f>K11673</f>
        <v>517.58912087912086</v>
      </c>
    </row>
    <row r="11675" spans="1:15" ht="11.25" customHeight="1" x14ac:dyDescent="0.2">
      <c r="A11675" s="222">
        <v>2025</v>
      </c>
      <c r="B11675" s="222">
        <v>12</v>
      </c>
      <c r="C11675" s="222">
        <v>10</v>
      </c>
      <c r="D11675" s="223">
        <f t="shared" si="1613"/>
        <v>46001</v>
      </c>
      <c r="E11675" s="240">
        <f t="shared" si="1622"/>
        <v>46001</v>
      </c>
      <c r="F11675" s="511" t="s">
        <v>1247</v>
      </c>
      <c r="G11675" s="225" t="s">
        <v>1245</v>
      </c>
      <c r="H11675" s="226"/>
      <c r="I11675" s="226" t="s">
        <v>1253</v>
      </c>
      <c r="J11675" s="222" t="s">
        <v>77</v>
      </c>
      <c r="K11675" s="227">
        <f>M11675</f>
        <v>7494.6684270722717</v>
      </c>
      <c r="L11675" s="227"/>
      <c r="M11675" s="478">
        <v>7494.6684270722717</v>
      </c>
    </row>
    <row r="11676" spans="1:15" ht="11.25" customHeight="1" x14ac:dyDescent="0.2">
      <c r="A11676" s="228">
        <v>2025</v>
      </c>
      <c r="B11676" s="228">
        <v>12</v>
      </c>
      <c r="C11676" s="228">
        <v>10</v>
      </c>
      <c r="D11676" s="229">
        <f t="shared" si="1613"/>
        <v>46001</v>
      </c>
      <c r="E11676" s="241">
        <f t="shared" si="1622"/>
        <v>46001</v>
      </c>
      <c r="F11676" s="512"/>
      <c r="G11676" s="231" t="s">
        <v>1245</v>
      </c>
      <c r="H11676" s="232"/>
      <c r="I11676" s="232" t="s">
        <v>1253</v>
      </c>
      <c r="J11676" s="228" t="s">
        <v>41</v>
      </c>
      <c r="K11676" s="233"/>
      <c r="L11676" s="233">
        <f>K11675</f>
        <v>7494.6684270722717</v>
      </c>
      <c r="M11676" s="478">
        <v>749.46684270722722</v>
      </c>
      <c r="N11676" s="251"/>
    </row>
    <row r="11677" spans="1:15" ht="11.25" customHeight="1" x14ac:dyDescent="0.2">
      <c r="A11677" s="222">
        <v>2025</v>
      </c>
      <c r="B11677" s="222">
        <v>12</v>
      </c>
      <c r="C11677" s="222">
        <v>10</v>
      </c>
      <c r="D11677" s="223">
        <f t="shared" si="1613"/>
        <v>46001</v>
      </c>
      <c r="E11677" s="240">
        <f t="shared" si="1622"/>
        <v>46001</v>
      </c>
      <c r="F11677" s="511" t="s">
        <v>1248</v>
      </c>
      <c r="G11677" s="225" t="s">
        <v>1245</v>
      </c>
      <c r="H11677" s="226"/>
      <c r="I11677" s="226" t="s">
        <v>1253</v>
      </c>
      <c r="J11677" s="222" t="s">
        <v>80</v>
      </c>
      <c r="K11677" s="227">
        <f>M11676</f>
        <v>749.46684270722722</v>
      </c>
      <c r="L11677" s="227"/>
      <c r="N11677" s="251"/>
      <c r="O11677" s="251"/>
    </row>
    <row r="11678" spans="1:15" ht="11.25" customHeight="1" x14ac:dyDescent="0.2">
      <c r="A11678" s="228">
        <v>2025</v>
      </c>
      <c r="B11678" s="228">
        <v>12</v>
      </c>
      <c r="C11678" s="228">
        <v>10</v>
      </c>
      <c r="D11678" s="229">
        <f t="shared" si="1613"/>
        <v>46001</v>
      </c>
      <c r="E11678" s="241">
        <f t="shared" si="1622"/>
        <v>46001</v>
      </c>
      <c r="F11678" s="512"/>
      <c r="G11678" s="231" t="s">
        <v>1245</v>
      </c>
      <c r="H11678" s="232"/>
      <c r="I11678" s="232" t="s">
        <v>1253</v>
      </c>
      <c r="J11678" s="228" t="s">
        <v>42</v>
      </c>
      <c r="K11678" s="233"/>
      <c r="L11678" s="233">
        <f>K11677</f>
        <v>749.46684270722722</v>
      </c>
      <c r="N11678" s="251"/>
    </row>
    <row r="11679" spans="1:15" ht="11.25" customHeight="1" x14ac:dyDescent="0.2">
      <c r="A11679" s="197">
        <v>2025</v>
      </c>
      <c r="B11679" s="197">
        <v>12</v>
      </c>
      <c r="C11679" s="197">
        <v>11</v>
      </c>
      <c r="D11679" s="198">
        <f t="shared" si="1613"/>
        <v>46002</v>
      </c>
      <c r="E11679" s="199">
        <f t="shared" si="1622"/>
        <v>46002</v>
      </c>
      <c r="F11679" s="513" t="s">
        <v>2112</v>
      </c>
      <c r="G11679" s="200" t="s">
        <v>1209</v>
      </c>
      <c r="H11679" s="201"/>
      <c r="I11679" s="201"/>
      <c r="J11679" s="197" t="s">
        <v>1251</v>
      </c>
      <c r="K11679" s="202">
        <v>522037.4</v>
      </c>
      <c r="L11679" s="202"/>
    </row>
    <row r="11680" spans="1:15" ht="11.25" customHeight="1" x14ac:dyDescent="0.2">
      <c r="A11680" s="191">
        <v>2025</v>
      </c>
      <c r="B11680" s="191">
        <v>12</v>
      </c>
      <c r="C11680" s="191">
        <v>11</v>
      </c>
      <c r="D11680" s="192">
        <f t="shared" si="1613"/>
        <v>46002</v>
      </c>
      <c r="E11680" s="193">
        <f t="shared" si="1622"/>
        <v>46002</v>
      </c>
      <c r="F11680" s="514"/>
      <c r="G11680" s="194" t="s">
        <v>1209</v>
      </c>
      <c r="H11680" s="195"/>
      <c r="I11680" s="195"/>
      <c r="J11680" s="191" t="s">
        <v>46</v>
      </c>
      <c r="K11680" s="196"/>
      <c r="L11680" s="196">
        <f>K11679</f>
        <v>522037.4</v>
      </c>
    </row>
    <row r="11681" spans="1:14" x14ac:dyDescent="0.2">
      <c r="A11681" s="197">
        <v>2025</v>
      </c>
      <c r="B11681" s="197">
        <v>12</v>
      </c>
      <c r="C11681" s="120">
        <v>11</v>
      </c>
      <c r="D11681" s="198">
        <f t="shared" si="1613"/>
        <v>46002</v>
      </c>
      <c r="E11681" s="209">
        <f t="shared" si="1622"/>
        <v>46002</v>
      </c>
      <c r="F11681" s="513" t="s">
        <v>2113</v>
      </c>
      <c r="G11681" s="200" t="s">
        <v>1209</v>
      </c>
      <c r="H11681" s="201"/>
      <c r="I11681" s="201"/>
      <c r="J11681" s="197" t="s">
        <v>46</v>
      </c>
      <c r="K11681" s="202">
        <v>100000</v>
      </c>
      <c r="L11681" s="202"/>
    </row>
    <row r="11682" spans="1:14" x14ac:dyDescent="0.2">
      <c r="A11682" s="120">
        <v>2025</v>
      </c>
      <c r="B11682" s="120">
        <v>12</v>
      </c>
      <c r="C11682" s="120">
        <v>11</v>
      </c>
      <c r="D11682" s="208">
        <f t="shared" si="1613"/>
        <v>46002</v>
      </c>
      <c r="E11682" s="209">
        <f t="shared" si="1622"/>
        <v>46002</v>
      </c>
      <c r="F11682" s="515"/>
      <c r="G11682" s="132" t="s">
        <v>1209</v>
      </c>
      <c r="J11682" s="120" t="s">
        <v>16</v>
      </c>
      <c r="K11682" s="207"/>
      <c r="L11682" s="207">
        <v>72760</v>
      </c>
    </row>
    <row r="11683" spans="1:14" x14ac:dyDescent="0.2">
      <c r="A11683" s="191">
        <v>2025</v>
      </c>
      <c r="B11683" s="191">
        <v>12</v>
      </c>
      <c r="C11683" s="191">
        <v>11</v>
      </c>
      <c r="D11683" s="192">
        <f t="shared" si="1613"/>
        <v>46002</v>
      </c>
      <c r="E11683" s="193">
        <f t="shared" si="1622"/>
        <v>46002</v>
      </c>
      <c r="F11683" s="514"/>
      <c r="G11683" s="194" t="s">
        <v>1209</v>
      </c>
      <c r="H11683" s="195"/>
      <c r="I11683" s="195"/>
      <c r="J11683" s="191" t="s">
        <v>47</v>
      </c>
      <c r="K11683" s="196"/>
      <c r="L11683" s="196">
        <v>27240</v>
      </c>
    </row>
    <row r="11684" spans="1:14" ht="11.25" customHeight="1" x14ac:dyDescent="0.2">
      <c r="A11684" s="197">
        <v>2025</v>
      </c>
      <c r="B11684" s="197">
        <v>12</v>
      </c>
      <c r="C11684" s="197">
        <v>11</v>
      </c>
      <c r="D11684" s="198">
        <f t="shared" si="1613"/>
        <v>46002</v>
      </c>
      <c r="E11684" s="290">
        <f t="shared" si="1622"/>
        <v>46002</v>
      </c>
      <c r="F11684" s="513" t="s">
        <v>2117</v>
      </c>
      <c r="G11684" s="200" t="s">
        <v>1209</v>
      </c>
      <c r="H11684" s="201"/>
      <c r="I11684" s="201" t="s">
        <v>1253</v>
      </c>
      <c r="J11684" s="197" t="s">
        <v>46</v>
      </c>
      <c r="K11684" s="202">
        <v>154750</v>
      </c>
      <c r="L11684" s="202"/>
    </row>
    <row r="11685" spans="1:14" ht="11.25" customHeight="1" x14ac:dyDescent="0.2">
      <c r="A11685" s="191">
        <v>2025</v>
      </c>
      <c r="B11685" s="191">
        <v>12</v>
      </c>
      <c r="C11685" s="191">
        <v>11</v>
      </c>
      <c r="D11685" s="192">
        <f t="shared" si="1613"/>
        <v>46002</v>
      </c>
      <c r="E11685" s="291">
        <f t="shared" si="1622"/>
        <v>46002</v>
      </c>
      <c r="F11685" s="514"/>
      <c r="G11685" s="194" t="s">
        <v>1209</v>
      </c>
      <c r="H11685" s="195"/>
      <c r="I11685" s="195"/>
      <c r="J11685" s="191" t="s">
        <v>1845</v>
      </c>
      <c r="K11685" s="196"/>
      <c r="L11685" s="196">
        <f>K11684</f>
        <v>154750</v>
      </c>
    </row>
    <row r="11686" spans="1:14" ht="11.25" customHeight="1" x14ac:dyDescent="0.2">
      <c r="A11686" s="197">
        <v>2025</v>
      </c>
      <c r="B11686" s="197">
        <v>12</v>
      </c>
      <c r="C11686" s="197">
        <v>11</v>
      </c>
      <c r="D11686" s="198">
        <f t="shared" si="1613"/>
        <v>46002</v>
      </c>
      <c r="E11686" s="290">
        <f t="shared" si="1622"/>
        <v>46002</v>
      </c>
      <c r="F11686" s="513" t="s">
        <v>2034</v>
      </c>
      <c r="G11686" s="200" t="s">
        <v>1245</v>
      </c>
      <c r="H11686" s="201"/>
      <c r="I11686" s="201" t="s">
        <v>1253</v>
      </c>
      <c r="J11686" s="197" t="s">
        <v>46</v>
      </c>
      <c r="K11686" s="202">
        <v>305000</v>
      </c>
      <c r="L11686" s="202"/>
      <c r="M11686" s="130"/>
    </row>
    <row r="11687" spans="1:14" ht="11.25" customHeight="1" x14ac:dyDescent="0.2">
      <c r="A11687" s="191">
        <v>2025</v>
      </c>
      <c r="B11687" s="191">
        <v>12</v>
      </c>
      <c r="C11687" s="191">
        <v>11</v>
      </c>
      <c r="D11687" s="192">
        <f t="shared" si="1613"/>
        <v>46002</v>
      </c>
      <c r="E11687" s="291">
        <f t="shared" si="1622"/>
        <v>46002</v>
      </c>
      <c r="F11687" s="527"/>
      <c r="G11687" s="194" t="s">
        <v>1245</v>
      </c>
      <c r="H11687" s="195"/>
      <c r="I11687" s="195" t="s">
        <v>1253</v>
      </c>
      <c r="J11687" s="191" t="s">
        <v>113</v>
      </c>
      <c r="K11687" s="196"/>
      <c r="L11687" s="196">
        <v>305000</v>
      </c>
      <c r="N11687" s="251"/>
    </row>
    <row r="11688" spans="1:14" x14ac:dyDescent="0.2">
      <c r="A11688" s="424">
        <v>2025</v>
      </c>
      <c r="B11688" s="424">
        <v>12</v>
      </c>
      <c r="C11688" s="424">
        <v>11</v>
      </c>
      <c r="D11688" s="425">
        <f t="shared" si="1613"/>
        <v>46002</v>
      </c>
      <c r="E11688" s="384">
        <f t="shared" si="1622"/>
        <v>46002</v>
      </c>
      <c r="F11688" s="516" t="s">
        <v>1850</v>
      </c>
      <c r="G11688" s="426" t="s">
        <v>1209</v>
      </c>
      <c r="H11688" s="427"/>
      <c r="I11688" s="427"/>
      <c r="J11688" s="428" t="s">
        <v>81</v>
      </c>
      <c r="K11688" s="429">
        <v>4787.4520879120882</v>
      </c>
      <c r="L11688" s="429"/>
      <c r="M11688" s="455"/>
    </row>
    <row r="11689" spans="1:14" x14ac:dyDescent="0.2">
      <c r="A11689" s="389">
        <v>2025</v>
      </c>
      <c r="B11689" s="389">
        <v>12</v>
      </c>
      <c r="C11689" s="389">
        <v>11</v>
      </c>
      <c r="D11689" s="390">
        <f t="shared" si="1613"/>
        <v>46002</v>
      </c>
      <c r="E11689" s="391">
        <f t="shared" si="1622"/>
        <v>46002</v>
      </c>
      <c r="F11689" s="517"/>
      <c r="G11689" s="392" t="s">
        <v>1209</v>
      </c>
      <c r="H11689" s="393"/>
      <c r="I11689" s="393"/>
      <c r="J11689" s="394" t="s">
        <v>1847</v>
      </c>
      <c r="K11689" s="423"/>
      <c r="L11689" s="423">
        <f>K11688</f>
        <v>4787.4520879120882</v>
      </c>
    </row>
    <row r="11690" spans="1:14" ht="11.25" customHeight="1" x14ac:dyDescent="0.2">
      <c r="A11690" s="382">
        <v>2025</v>
      </c>
      <c r="B11690" s="382">
        <v>12</v>
      </c>
      <c r="C11690" s="382">
        <v>11</v>
      </c>
      <c r="D11690" s="383">
        <f t="shared" si="1613"/>
        <v>46002</v>
      </c>
      <c r="E11690" s="384">
        <f t="shared" si="1622"/>
        <v>46002</v>
      </c>
      <c r="F11690" s="516" t="s">
        <v>1892</v>
      </c>
      <c r="G11690" s="385" t="s">
        <v>1209</v>
      </c>
      <c r="H11690" s="386"/>
      <c r="I11690" s="386"/>
      <c r="J11690" s="387" t="s">
        <v>173</v>
      </c>
      <c r="K11690" s="388">
        <v>1876.34</v>
      </c>
      <c r="L11690" s="388"/>
      <c r="M11690" s="455"/>
    </row>
    <row r="11691" spans="1:14" ht="11.25" customHeight="1" x14ac:dyDescent="0.2">
      <c r="A11691" s="389">
        <v>2025</v>
      </c>
      <c r="B11691" s="389">
        <v>12</v>
      </c>
      <c r="C11691" s="389">
        <v>11</v>
      </c>
      <c r="D11691" s="390">
        <f t="shared" si="1613"/>
        <v>46002</v>
      </c>
      <c r="E11691" s="391">
        <f t="shared" si="1622"/>
        <v>46002</v>
      </c>
      <c r="F11691" s="517"/>
      <c r="G11691" s="392" t="s">
        <v>1209</v>
      </c>
      <c r="H11691" s="393"/>
      <c r="I11691" s="393"/>
      <c r="J11691" s="394" t="s">
        <v>43</v>
      </c>
      <c r="K11691" s="388"/>
      <c r="L11691" s="423">
        <f>K11690</f>
        <v>1876.34</v>
      </c>
    </row>
    <row r="11692" spans="1:14" ht="11.25" customHeight="1" x14ac:dyDescent="0.2">
      <c r="A11692" s="344">
        <v>2025</v>
      </c>
      <c r="B11692" s="344">
        <v>12</v>
      </c>
      <c r="C11692" s="344">
        <v>11</v>
      </c>
      <c r="D11692" s="345">
        <f t="shared" ref="D11692:D11755" si="1623">DATE(A11692,B11692,C11692)</f>
        <v>46002</v>
      </c>
      <c r="E11692" s="346">
        <f t="shared" si="1622"/>
        <v>46002</v>
      </c>
      <c r="F11692" s="518" t="s">
        <v>1982</v>
      </c>
      <c r="G11692" s="347" t="s">
        <v>1245</v>
      </c>
      <c r="H11692" s="348"/>
      <c r="I11692" s="348" t="s">
        <v>1253</v>
      </c>
      <c r="J11692" s="344" t="s">
        <v>1978</v>
      </c>
      <c r="K11692" s="349">
        <v>63749.175824175822</v>
      </c>
      <c r="L11692" s="349"/>
      <c r="M11692" s="455"/>
    </row>
    <row r="11693" spans="1:14" ht="11.25" customHeight="1" x14ac:dyDescent="0.2">
      <c r="A11693" s="350">
        <v>2025</v>
      </c>
      <c r="B11693" s="350">
        <v>12</v>
      </c>
      <c r="C11693" s="350">
        <v>11</v>
      </c>
      <c r="D11693" s="351">
        <f t="shared" si="1623"/>
        <v>46002</v>
      </c>
      <c r="E11693" s="352">
        <f t="shared" si="1622"/>
        <v>46002</v>
      </c>
      <c r="F11693" s="519"/>
      <c r="G11693" s="353" t="s">
        <v>1245</v>
      </c>
      <c r="H11693" s="354"/>
      <c r="I11693" s="354" t="s">
        <v>1253</v>
      </c>
      <c r="J11693" s="350" t="s">
        <v>1979</v>
      </c>
      <c r="K11693" s="355"/>
      <c r="L11693" s="355">
        <f>K11692</f>
        <v>63749.175824175822</v>
      </c>
    </row>
    <row r="11694" spans="1:14" ht="11.25" customHeight="1" x14ac:dyDescent="0.2">
      <c r="A11694" s="344">
        <v>2025</v>
      </c>
      <c r="B11694" s="344">
        <v>12</v>
      </c>
      <c r="C11694" s="344">
        <v>11</v>
      </c>
      <c r="D11694" s="345">
        <f t="shared" si="1623"/>
        <v>46002</v>
      </c>
      <c r="E11694" s="346">
        <f t="shared" si="1622"/>
        <v>46002</v>
      </c>
      <c r="F11694" s="518" t="s">
        <v>2009</v>
      </c>
      <c r="G11694" s="347" t="s">
        <v>1245</v>
      </c>
      <c r="H11694" s="348"/>
      <c r="I11694" s="348" t="s">
        <v>1253</v>
      </c>
      <c r="J11694" s="344" t="s">
        <v>2004</v>
      </c>
      <c r="K11694" s="349">
        <v>21296.704285714284</v>
      </c>
      <c r="L11694" s="349"/>
      <c r="M11694" s="455"/>
    </row>
    <row r="11695" spans="1:14" ht="11.25" customHeight="1" x14ac:dyDescent="0.2">
      <c r="A11695" s="350">
        <v>2025</v>
      </c>
      <c r="B11695" s="350">
        <v>12</v>
      </c>
      <c r="C11695" s="350">
        <v>11</v>
      </c>
      <c r="D11695" s="351">
        <f t="shared" si="1623"/>
        <v>46002</v>
      </c>
      <c r="E11695" s="352">
        <f t="shared" si="1622"/>
        <v>46002</v>
      </c>
      <c r="F11695" s="519"/>
      <c r="G11695" s="353" t="s">
        <v>1245</v>
      </c>
      <c r="H11695" s="354"/>
      <c r="I11695" s="354" t="s">
        <v>1253</v>
      </c>
      <c r="J11695" s="350" t="s">
        <v>2008</v>
      </c>
      <c r="K11695" s="355"/>
      <c r="L11695" s="355">
        <f t="shared" ref="L11695" si="1624">K11694</f>
        <v>21296.704285714284</v>
      </c>
    </row>
    <row r="11696" spans="1:14" ht="11.25" customHeight="1" x14ac:dyDescent="0.2">
      <c r="A11696" s="344">
        <v>2025</v>
      </c>
      <c r="B11696" s="344">
        <v>12</v>
      </c>
      <c r="C11696" s="344">
        <v>11</v>
      </c>
      <c r="D11696" s="345">
        <f t="shared" si="1623"/>
        <v>46002</v>
      </c>
      <c r="E11696" s="346">
        <f t="shared" si="1622"/>
        <v>46002</v>
      </c>
      <c r="F11696" s="518" t="s">
        <v>2009</v>
      </c>
      <c r="G11696" s="347" t="s">
        <v>1245</v>
      </c>
      <c r="H11696" s="348"/>
      <c r="I11696" s="348" t="s">
        <v>1253</v>
      </c>
      <c r="J11696" s="344" t="s">
        <v>2004</v>
      </c>
      <c r="K11696" s="349">
        <v>21296.704285714284</v>
      </c>
      <c r="L11696" s="349"/>
      <c r="M11696" s="455"/>
    </row>
    <row r="11697" spans="1:16" ht="11.25" customHeight="1" x14ac:dyDescent="0.2">
      <c r="A11697" s="350">
        <v>2025</v>
      </c>
      <c r="B11697" s="350">
        <v>12</v>
      </c>
      <c r="C11697" s="350">
        <v>11</v>
      </c>
      <c r="D11697" s="351">
        <f t="shared" si="1623"/>
        <v>46002</v>
      </c>
      <c r="E11697" s="352">
        <f t="shared" si="1622"/>
        <v>46002</v>
      </c>
      <c r="F11697" s="519"/>
      <c r="G11697" s="353" t="s">
        <v>1245</v>
      </c>
      <c r="H11697" s="354"/>
      <c r="I11697" s="354" t="s">
        <v>1253</v>
      </c>
      <c r="J11697" s="350" t="s">
        <v>2008</v>
      </c>
      <c r="K11697" s="355"/>
      <c r="L11697" s="355">
        <f t="shared" ref="L11697" si="1625">K11696</f>
        <v>21296.704285714284</v>
      </c>
    </row>
    <row r="11698" spans="1:16" ht="11.25" customHeight="1" x14ac:dyDescent="0.2">
      <c r="A11698" s="344">
        <v>2025</v>
      </c>
      <c r="B11698" s="344">
        <v>12</v>
      </c>
      <c r="C11698" s="344">
        <v>11</v>
      </c>
      <c r="D11698" s="345">
        <f t="shared" si="1623"/>
        <v>46002</v>
      </c>
      <c r="E11698" s="346">
        <f t="shared" si="1622"/>
        <v>46002</v>
      </c>
      <c r="F11698" s="518" t="s">
        <v>2088</v>
      </c>
      <c r="G11698" s="347" t="s">
        <v>1245</v>
      </c>
      <c r="H11698" s="348"/>
      <c r="I11698" s="348" t="s">
        <v>1253</v>
      </c>
      <c r="J11698" s="344" t="s">
        <v>2086</v>
      </c>
      <c r="K11698" s="349">
        <v>5369.5054945054944</v>
      </c>
      <c r="L11698" s="349"/>
      <c r="M11698" s="455"/>
    </row>
    <row r="11699" spans="1:16" ht="11.25" customHeight="1" x14ac:dyDescent="0.2">
      <c r="A11699" s="350">
        <v>2025</v>
      </c>
      <c r="B11699" s="350">
        <v>12</v>
      </c>
      <c r="C11699" s="350">
        <v>11</v>
      </c>
      <c r="D11699" s="351">
        <f t="shared" si="1623"/>
        <v>46002</v>
      </c>
      <c r="E11699" s="352">
        <f t="shared" si="1622"/>
        <v>46002</v>
      </c>
      <c r="F11699" s="519"/>
      <c r="G11699" s="353" t="s">
        <v>1245</v>
      </c>
      <c r="H11699" s="354"/>
      <c r="I11699" s="354" t="s">
        <v>1253</v>
      </c>
      <c r="J11699" s="350" t="s">
        <v>2089</v>
      </c>
      <c r="K11699" s="355"/>
      <c r="L11699" s="355">
        <f>K11698</f>
        <v>5369.5054945054944</v>
      </c>
    </row>
    <row r="11700" spans="1:16" ht="11.25" customHeight="1" x14ac:dyDescent="0.2">
      <c r="A11700" s="344">
        <v>2025</v>
      </c>
      <c r="B11700" s="344">
        <v>12</v>
      </c>
      <c r="C11700" s="344">
        <v>11</v>
      </c>
      <c r="D11700" s="345">
        <f t="shared" si="1623"/>
        <v>46002</v>
      </c>
      <c r="E11700" s="346">
        <f>DATE(A11700,B11700,C11700)</f>
        <v>46002</v>
      </c>
      <c r="F11700" s="518" t="s">
        <v>1988</v>
      </c>
      <c r="G11700" s="347" t="s">
        <v>1245</v>
      </c>
      <c r="H11700" s="348"/>
      <c r="I11700" s="348" t="s">
        <v>1253</v>
      </c>
      <c r="J11700" s="344" t="s">
        <v>113</v>
      </c>
      <c r="K11700" s="349">
        <v>14076.92142857143</v>
      </c>
      <c r="L11700" s="349"/>
      <c r="M11700" s="455"/>
    </row>
    <row r="11701" spans="1:16" ht="11.25" customHeight="1" x14ac:dyDescent="0.2">
      <c r="A11701" s="350">
        <v>2025</v>
      </c>
      <c r="B11701" s="350">
        <v>12</v>
      </c>
      <c r="C11701" s="350">
        <v>11</v>
      </c>
      <c r="D11701" s="351">
        <f t="shared" si="1623"/>
        <v>46002</v>
      </c>
      <c r="E11701" s="352">
        <f>DATE(A11701,B11701,C11701)</f>
        <v>46002</v>
      </c>
      <c r="F11701" s="519"/>
      <c r="G11701" s="353" t="s">
        <v>1245</v>
      </c>
      <c r="H11701" s="354"/>
      <c r="I11701" s="354" t="s">
        <v>1253</v>
      </c>
      <c r="J11701" s="350" t="s">
        <v>153</v>
      </c>
      <c r="K11701" s="355"/>
      <c r="L11701" s="355">
        <f t="shared" ref="L11701" si="1626">K11700</f>
        <v>14076.92142857143</v>
      </c>
    </row>
    <row r="11702" spans="1:16" ht="11.25" customHeight="1" x14ac:dyDescent="0.2">
      <c r="A11702" s="344">
        <v>2025</v>
      </c>
      <c r="B11702" s="344">
        <v>12</v>
      </c>
      <c r="C11702" s="344">
        <v>11</v>
      </c>
      <c r="D11702" s="345">
        <f t="shared" si="1623"/>
        <v>46002</v>
      </c>
      <c r="E11702" s="346">
        <f t="shared" ref="E11702:E11708" si="1627">DATE(A11702,B11702,C11702)</f>
        <v>46002</v>
      </c>
      <c r="F11702" s="518" t="s">
        <v>1989</v>
      </c>
      <c r="G11702" s="347" t="s">
        <v>1245</v>
      </c>
      <c r="H11702" s="348"/>
      <c r="I11702" s="348" t="s">
        <v>1253</v>
      </c>
      <c r="J11702" s="344" t="s">
        <v>113</v>
      </c>
      <c r="K11702" s="349">
        <v>10054.945054945056</v>
      </c>
      <c r="L11702" s="349"/>
      <c r="M11702" s="455"/>
    </row>
    <row r="11703" spans="1:16" ht="11.25" customHeight="1" x14ac:dyDescent="0.2">
      <c r="A11703" s="350">
        <v>2025</v>
      </c>
      <c r="B11703" s="350">
        <v>12</v>
      </c>
      <c r="C11703" s="350">
        <v>11</v>
      </c>
      <c r="D11703" s="351">
        <f t="shared" si="1623"/>
        <v>46002</v>
      </c>
      <c r="E11703" s="352">
        <f t="shared" si="1627"/>
        <v>46002</v>
      </c>
      <c r="F11703" s="519"/>
      <c r="G11703" s="353" t="s">
        <v>1245</v>
      </c>
      <c r="H11703" s="354"/>
      <c r="I11703" s="354" t="s">
        <v>1253</v>
      </c>
      <c r="J11703" s="350" t="s">
        <v>153</v>
      </c>
      <c r="K11703" s="355"/>
      <c r="L11703" s="355">
        <f t="shared" ref="L11703" si="1628">K11702</f>
        <v>10054.945054945056</v>
      </c>
    </row>
    <row r="11704" spans="1:16" ht="11.25" customHeight="1" x14ac:dyDescent="0.2">
      <c r="A11704" s="344">
        <v>2025</v>
      </c>
      <c r="B11704" s="344">
        <v>12</v>
      </c>
      <c r="C11704" s="344">
        <v>11</v>
      </c>
      <c r="D11704" s="345">
        <f t="shared" si="1623"/>
        <v>46002</v>
      </c>
      <c r="E11704" s="346">
        <f t="shared" si="1627"/>
        <v>46002</v>
      </c>
      <c r="F11704" s="518" t="s">
        <v>1990</v>
      </c>
      <c r="G11704" s="347" t="s">
        <v>1245</v>
      </c>
      <c r="H11704" s="348"/>
      <c r="I11704" s="348" t="s">
        <v>1253</v>
      </c>
      <c r="J11704" s="344" t="s">
        <v>113</v>
      </c>
      <c r="K11704" s="349">
        <v>30164.837142857141</v>
      </c>
      <c r="L11704" s="349"/>
      <c r="M11704" s="455"/>
      <c r="N11704" s="251"/>
      <c r="O11704" s="251"/>
      <c r="P11704" s="251"/>
    </row>
    <row r="11705" spans="1:16" ht="11.25" customHeight="1" x14ac:dyDescent="0.2">
      <c r="A11705" s="350">
        <v>2025</v>
      </c>
      <c r="B11705" s="350">
        <v>12</v>
      </c>
      <c r="C11705" s="350">
        <v>11</v>
      </c>
      <c r="D11705" s="351">
        <f t="shared" si="1623"/>
        <v>46002</v>
      </c>
      <c r="E11705" s="352">
        <f t="shared" si="1627"/>
        <v>46002</v>
      </c>
      <c r="F11705" s="519"/>
      <c r="G11705" s="353" t="s">
        <v>1245</v>
      </c>
      <c r="H11705" s="354"/>
      <c r="I11705" s="354" t="s">
        <v>1253</v>
      </c>
      <c r="J11705" s="350" t="s">
        <v>153</v>
      </c>
      <c r="K11705" s="355"/>
      <c r="L11705" s="355">
        <f t="shared" ref="L11705" si="1629">K11704</f>
        <v>30164.837142857141</v>
      </c>
    </row>
    <row r="11706" spans="1:16" ht="11.25" customHeight="1" x14ac:dyDescent="0.2">
      <c r="A11706" s="344">
        <v>2025</v>
      </c>
      <c r="B11706" s="344">
        <v>12</v>
      </c>
      <c r="C11706" s="344">
        <v>11</v>
      </c>
      <c r="D11706" s="345">
        <f t="shared" si="1623"/>
        <v>46002</v>
      </c>
      <c r="E11706" s="346">
        <f t="shared" si="1627"/>
        <v>46002</v>
      </c>
      <c r="F11706" s="518" t="s">
        <v>2107</v>
      </c>
      <c r="G11706" s="347" t="s">
        <v>1245</v>
      </c>
      <c r="H11706" s="348"/>
      <c r="I11706" s="348" t="s">
        <v>1253</v>
      </c>
      <c r="J11706" s="344" t="s">
        <v>113</v>
      </c>
      <c r="K11706" s="349">
        <v>37112.637362637361</v>
      </c>
      <c r="L11706" s="349"/>
      <c r="M11706" s="455"/>
      <c r="N11706" s="251"/>
      <c r="O11706" s="251"/>
      <c r="P11706" s="251"/>
    </row>
    <row r="11707" spans="1:16" ht="11.25" customHeight="1" x14ac:dyDescent="0.2">
      <c r="A11707" s="350">
        <v>2025</v>
      </c>
      <c r="B11707" s="350">
        <v>12</v>
      </c>
      <c r="C11707" s="350">
        <v>11</v>
      </c>
      <c r="D11707" s="351">
        <f t="shared" si="1623"/>
        <v>46002</v>
      </c>
      <c r="E11707" s="352">
        <f t="shared" si="1627"/>
        <v>46002</v>
      </c>
      <c r="F11707" s="519"/>
      <c r="G11707" s="353" t="s">
        <v>1245</v>
      </c>
      <c r="H11707" s="354"/>
      <c r="I11707" s="354" t="s">
        <v>1253</v>
      </c>
      <c r="J11707" s="350" t="s">
        <v>153</v>
      </c>
      <c r="K11707" s="355"/>
      <c r="L11707" s="355">
        <f t="shared" ref="L11707" si="1630">K11706</f>
        <v>37112.637362637361</v>
      </c>
    </row>
    <row r="11708" spans="1:16" ht="11.25" customHeight="1" x14ac:dyDescent="0.2">
      <c r="A11708" s="210">
        <v>2025</v>
      </c>
      <c r="B11708" s="210">
        <v>12</v>
      </c>
      <c r="C11708" s="210">
        <v>11</v>
      </c>
      <c r="D11708" s="211">
        <f t="shared" si="1623"/>
        <v>46002</v>
      </c>
      <c r="E11708" s="238">
        <f t="shared" si="1627"/>
        <v>46002</v>
      </c>
      <c r="F11708" s="520" t="s">
        <v>1857</v>
      </c>
      <c r="G11708" s="213" t="s">
        <v>1245</v>
      </c>
      <c r="H11708" s="214"/>
      <c r="I11708" s="214" t="s">
        <v>1253</v>
      </c>
      <c r="J11708" s="210" t="s">
        <v>1284</v>
      </c>
      <c r="K11708" s="215">
        <v>334.54448777029421</v>
      </c>
      <c r="L11708" s="215"/>
      <c r="M11708" s="455"/>
    </row>
    <row r="11709" spans="1:16" ht="11.25" customHeight="1" x14ac:dyDescent="0.2">
      <c r="A11709" s="242">
        <v>2025</v>
      </c>
      <c r="B11709" s="242">
        <v>12</v>
      </c>
      <c r="C11709" s="242">
        <v>11</v>
      </c>
      <c r="D11709" s="243">
        <f t="shared" si="1623"/>
        <v>46002</v>
      </c>
      <c r="E11709" s="244">
        <f>DATE(A11709,B11709,C11709)</f>
        <v>46002</v>
      </c>
      <c r="F11709" s="524"/>
      <c r="G11709" s="245" t="s">
        <v>1245</v>
      </c>
      <c r="H11709" s="246"/>
      <c r="I11709" s="246"/>
      <c r="J11709" s="242" t="s">
        <v>1582</v>
      </c>
      <c r="K11709" s="247"/>
      <c r="L11709" s="247">
        <f>K11708</f>
        <v>334.54448777029421</v>
      </c>
    </row>
    <row r="11710" spans="1:16" ht="11.25" customHeight="1" x14ac:dyDescent="0.2">
      <c r="A11710" s="210">
        <v>2025</v>
      </c>
      <c r="B11710" s="210">
        <v>12</v>
      </c>
      <c r="C11710" s="210">
        <v>11</v>
      </c>
      <c r="D11710" s="211">
        <f t="shared" si="1623"/>
        <v>46002</v>
      </c>
      <c r="E11710" s="238">
        <f t="shared" ref="E11710:E11743" si="1631">DATE(A11710,B11710,C11710)</f>
        <v>46002</v>
      </c>
      <c r="F11710" s="520" t="s">
        <v>2055</v>
      </c>
      <c r="G11710" s="213" t="s">
        <v>1245</v>
      </c>
      <c r="H11710" s="214"/>
      <c r="I11710" s="214" t="s">
        <v>1253</v>
      </c>
      <c r="J11710" s="210" t="s">
        <v>58</v>
      </c>
      <c r="K11710" s="215">
        <v>1003.6334633108827</v>
      </c>
      <c r="L11710" s="215"/>
    </row>
    <row r="11711" spans="1:16" ht="11.25" customHeight="1" x14ac:dyDescent="0.2">
      <c r="A11711" s="216">
        <v>2025</v>
      </c>
      <c r="B11711" s="216">
        <v>12</v>
      </c>
      <c r="C11711" s="216">
        <v>11</v>
      </c>
      <c r="D11711" s="217">
        <f t="shared" si="1623"/>
        <v>46002</v>
      </c>
      <c r="E11711" s="239">
        <f t="shared" si="1631"/>
        <v>46002</v>
      </c>
      <c r="F11711" s="521"/>
      <c r="G11711" s="219" t="s">
        <v>1245</v>
      </c>
      <c r="H11711" s="220"/>
      <c r="I11711" s="220" t="s">
        <v>1253</v>
      </c>
      <c r="J11711" s="216" t="s">
        <v>153</v>
      </c>
      <c r="K11711" s="221"/>
      <c r="L11711" s="221">
        <f>K11710</f>
        <v>1003.6334633108827</v>
      </c>
    </row>
    <row r="11712" spans="1:16" ht="11.25" customHeight="1" x14ac:dyDescent="0.2">
      <c r="A11712" s="312">
        <v>2025</v>
      </c>
      <c r="B11712" s="312">
        <v>12</v>
      </c>
      <c r="C11712" s="312">
        <v>11</v>
      </c>
      <c r="D11712" s="313">
        <f t="shared" si="1623"/>
        <v>46002</v>
      </c>
      <c r="E11712" s="314">
        <f t="shared" si="1631"/>
        <v>46002</v>
      </c>
      <c r="F11712" s="522" t="s">
        <v>1477</v>
      </c>
      <c r="G11712" s="315" t="s">
        <v>1245</v>
      </c>
      <c r="H11712" s="316"/>
      <c r="I11712" s="316" t="s">
        <v>1253</v>
      </c>
      <c r="J11712" s="312" t="s">
        <v>1458</v>
      </c>
      <c r="K11712" s="317">
        <v>0</v>
      </c>
      <c r="L11712" s="317"/>
    </row>
    <row r="11713" spans="1:15" ht="11.25" customHeight="1" x14ac:dyDescent="0.2">
      <c r="A11713" s="318">
        <v>2025</v>
      </c>
      <c r="B11713" s="318">
        <v>12</v>
      </c>
      <c r="C11713" s="318">
        <v>11</v>
      </c>
      <c r="D11713" s="319">
        <f t="shared" si="1623"/>
        <v>46002</v>
      </c>
      <c r="E11713" s="320">
        <f t="shared" si="1631"/>
        <v>46002</v>
      </c>
      <c r="F11713" s="523"/>
      <c r="G11713" s="321" t="s">
        <v>1245</v>
      </c>
      <c r="H11713" s="322"/>
      <c r="I11713" s="322" t="s">
        <v>1253</v>
      </c>
      <c r="J11713" s="318" t="s">
        <v>1460</v>
      </c>
      <c r="K11713" s="323"/>
      <c r="L11713" s="323">
        <f>K11712</f>
        <v>0</v>
      </c>
    </row>
    <row r="11714" spans="1:15" ht="11.25" customHeight="1" x14ac:dyDescent="0.2">
      <c r="A11714" s="312">
        <v>2025</v>
      </c>
      <c r="B11714" s="312">
        <v>12</v>
      </c>
      <c r="C11714" s="312">
        <v>11</v>
      </c>
      <c r="D11714" s="313">
        <f t="shared" si="1623"/>
        <v>46002</v>
      </c>
      <c r="E11714" s="314">
        <f t="shared" si="1631"/>
        <v>46002</v>
      </c>
      <c r="F11714" s="522" t="s">
        <v>1595</v>
      </c>
      <c r="G11714" s="315" t="s">
        <v>1245</v>
      </c>
      <c r="H11714" s="316"/>
      <c r="I11714" s="316" t="s">
        <v>1253</v>
      </c>
      <c r="J11714" s="312" t="s">
        <v>1459</v>
      </c>
      <c r="K11714" s="317">
        <v>12197.346999943256</v>
      </c>
      <c r="L11714" s="317"/>
      <c r="M11714" s="328">
        <f>BS!$I$14</f>
        <v>0</v>
      </c>
    </row>
    <row r="11715" spans="1:15" ht="11.25" customHeight="1" x14ac:dyDescent="0.2">
      <c r="A11715" s="318">
        <v>2025</v>
      </c>
      <c r="B11715" s="318">
        <v>12</v>
      </c>
      <c r="C11715" s="318">
        <v>11</v>
      </c>
      <c r="D11715" s="319">
        <f t="shared" si="1623"/>
        <v>46002</v>
      </c>
      <c r="E11715" s="320">
        <f t="shared" si="1631"/>
        <v>46002</v>
      </c>
      <c r="F11715" s="523"/>
      <c r="G11715" s="321" t="s">
        <v>1245</v>
      </c>
      <c r="H11715" s="322"/>
      <c r="I11715" s="322" t="s">
        <v>1253</v>
      </c>
      <c r="J11715" s="318" t="s">
        <v>1461</v>
      </c>
      <c r="K11715" s="323"/>
      <c r="L11715" s="323">
        <f>K11714</f>
        <v>12197.346999943256</v>
      </c>
      <c r="M11715" s="328"/>
    </row>
    <row r="11716" spans="1:15" ht="11.25" customHeight="1" x14ac:dyDescent="0.2">
      <c r="A11716" s="222">
        <v>2025</v>
      </c>
      <c r="B11716" s="222">
        <v>12</v>
      </c>
      <c r="C11716" s="222">
        <v>11</v>
      </c>
      <c r="D11716" s="223">
        <f t="shared" si="1623"/>
        <v>46002</v>
      </c>
      <c r="E11716" s="240">
        <f t="shared" si="1631"/>
        <v>46002</v>
      </c>
      <c r="F11716" s="511" t="s">
        <v>1244</v>
      </c>
      <c r="G11716" s="225" t="s">
        <v>1245</v>
      </c>
      <c r="H11716" s="226"/>
      <c r="I11716" s="226" t="s">
        <v>1253</v>
      </c>
      <c r="J11716" s="222" t="s">
        <v>87</v>
      </c>
      <c r="K11716" s="227">
        <v>2631.5</v>
      </c>
      <c r="L11716" s="227"/>
      <c r="M11716" s="328">
        <f>BS!$I$7</f>
        <v>0</v>
      </c>
    </row>
    <row r="11717" spans="1:15" ht="11.25" customHeight="1" x14ac:dyDescent="0.2">
      <c r="A11717" s="228">
        <v>2025</v>
      </c>
      <c r="B11717" s="228">
        <v>12</v>
      </c>
      <c r="C11717" s="228">
        <v>11</v>
      </c>
      <c r="D11717" s="229">
        <f t="shared" si="1623"/>
        <v>46002</v>
      </c>
      <c r="E11717" s="241">
        <f t="shared" si="1631"/>
        <v>46002</v>
      </c>
      <c r="F11717" s="512"/>
      <c r="G11717" s="231" t="s">
        <v>1245</v>
      </c>
      <c r="H11717" s="232"/>
      <c r="I11717" s="232" t="s">
        <v>1253</v>
      </c>
      <c r="J11717" s="228" t="s">
        <v>72</v>
      </c>
      <c r="K11717" s="233"/>
      <c r="L11717" s="233">
        <f>K11716</f>
        <v>2631.5</v>
      </c>
    </row>
    <row r="11718" spans="1:15" ht="11.25" customHeight="1" x14ac:dyDescent="0.2">
      <c r="A11718" s="222">
        <v>2025</v>
      </c>
      <c r="B11718" s="222">
        <v>12</v>
      </c>
      <c r="C11718" s="222">
        <v>11</v>
      </c>
      <c r="D11718" s="223">
        <f t="shared" si="1623"/>
        <v>46002</v>
      </c>
      <c r="E11718" s="240">
        <f t="shared" si="1631"/>
        <v>46002</v>
      </c>
      <c r="F11718" s="511" t="s">
        <v>1246</v>
      </c>
      <c r="G11718" s="225" t="s">
        <v>1245</v>
      </c>
      <c r="H11718" s="226"/>
      <c r="I11718" s="226" t="s">
        <v>1253</v>
      </c>
      <c r="J11718" s="222" t="s">
        <v>75</v>
      </c>
      <c r="K11718" s="227">
        <v>1552.7673626373626</v>
      </c>
      <c r="L11718" s="227"/>
    </row>
    <row r="11719" spans="1:15" ht="11.25" customHeight="1" x14ac:dyDescent="0.2">
      <c r="A11719" s="228">
        <v>2025</v>
      </c>
      <c r="B11719" s="228">
        <v>12</v>
      </c>
      <c r="C11719" s="228">
        <v>11</v>
      </c>
      <c r="D11719" s="229">
        <f t="shared" si="1623"/>
        <v>46002</v>
      </c>
      <c r="E11719" s="241">
        <f t="shared" si="1631"/>
        <v>46002</v>
      </c>
      <c r="F11719" s="512"/>
      <c r="G11719" s="231" t="s">
        <v>1245</v>
      </c>
      <c r="H11719" s="232"/>
      <c r="I11719" s="232" t="s">
        <v>1253</v>
      </c>
      <c r="J11719" s="228" t="s">
        <v>55</v>
      </c>
      <c r="K11719" s="233"/>
      <c r="L11719" s="233">
        <f>K11718</f>
        <v>1552.7673626373626</v>
      </c>
    </row>
    <row r="11720" spans="1:15" ht="11.25" customHeight="1" x14ac:dyDescent="0.2">
      <c r="A11720" s="222">
        <v>2025</v>
      </c>
      <c r="B11720" s="222">
        <v>12</v>
      </c>
      <c r="C11720" s="222">
        <v>11</v>
      </c>
      <c r="D11720" s="223">
        <f t="shared" si="1623"/>
        <v>46002</v>
      </c>
      <c r="E11720" s="240">
        <f t="shared" si="1631"/>
        <v>46002</v>
      </c>
      <c r="F11720" s="511" t="s">
        <v>1247</v>
      </c>
      <c r="G11720" s="225" t="s">
        <v>1245</v>
      </c>
      <c r="H11720" s="226"/>
      <c r="I11720" s="226" t="s">
        <v>1253</v>
      </c>
      <c r="J11720" s="222" t="s">
        <v>77</v>
      </c>
      <c r="K11720" s="227">
        <f>M11720</f>
        <v>22502.027473083112</v>
      </c>
      <c r="L11720" s="227"/>
      <c r="M11720" s="478">
        <v>22502.027473083112</v>
      </c>
    </row>
    <row r="11721" spans="1:15" ht="11.25" customHeight="1" x14ac:dyDescent="0.2">
      <c r="A11721" s="228">
        <v>2025</v>
      </c>
      <c r="B11721" s="228">
        <v>12</v>
      </c>
      <c r="C11721" s="228">
        <v>11</v>
      </c>
      <c r="D11721" s="229">
        <f t="shared" si="1623"/>
        <v>46002</v>
      </c>
      <c r="E11721" s="241">
        <f t="shared" si="1631"/>
        <v>46002</v>
      </c>
      <c r="F11721" s="512"/>
      <c r="G11721" s="231" t="s">
        <v>1245</v>
      </c>
      <c r="H11721" s="232"/>
      <c r="I11721" s="232" t="s">
        <v>1253</v>
      </c>
      <c r="J11721" s="228" t="s">
        <v>41</v>
      </c>
      <c r="K11721" s="233"/>
      <c r="L11721" s="233">
        <f>K11720</f>
        <v>22502.027473083112</v>
      </c>
      <c r="M11721" s="478">
        <v>2250.2027473083108</v>
      </c>
    </row>
    <row r="11722" spans="1:15" ht="11.25" customHeight="1" x14ac:dyDescent="0.2">
      <c r="A11722" s="222">
        <v>2025</v>
      </c>
      <c r="B11722" s="222">
        <v>12</v>
      </c>
      <c r="C11722" s="222">
        <v>11</v>
      </c>
      <c r="D11722" s="223">
        <f t="shared" si="1623"/>
        <v>46002</v>
      </c>
      <c r="E11722" s="240">
        <f t="shared" si="1631"/>
        <v>46002</v>
      </c>
      <c r="F11722" s="511" t="s">
        <v>1248</v>
      </c>
      <c r="G11722" s="225" t="s">
        <v>1245</v>
      </c>
      <c r="H11722" s="226"/>
      <c r="I11722" s="226" t="s">
        <v>1253</v>
      </c>
      <c r="J11722" s="222" t="s">
        <v>80</v>
      </c>
      <c r="K11722" s="227">
        <f>M11721</f>
        <v>2250.2027473083108</v>
      </c>
      <c r="L11722" s="227"/>
      <c r="N11722" s="251"/>
      <c r="O11722" s="251"/>
    </row>
    <row r="11723" spans="1:15" ht="11.25" customHeight="1" x14ac:dyDescent="0.2">
      <c r="A11723" s="228">
        <v>2025</v>
      </c>
      <c r="B11723" s="228">
        <v>12</v>
      </c>
      <c r="C11723" s="228">
        <v>11</v>
      </c>
      <c r="D11723" s="229">
        <f t="shared" si="1623"/>
        <v>46002</v>
      </c>
      <c r="E11723" s="241">
        <f t="shared" si="1631"/>
        <v>46002</v>
      </c>
      <c r="F11723" s="512"/>
      <c r="G11723" s="231" t="s">
        <v>1245</v>
      </c>
      <c r="H11723" s="232"/>
      <c r="I11723" s="232" t="s">
        <v>1253</v>
      </c>
      <c r="J11723" s="228" t="s">
        <v>42</v>
      </c>
      <c r="K11723" s="233"/>
      <c r="L11723" s="233">
        <f>K11722</f>
        <v>2250.2027473083108</v>
      </c>
    </row>
    <row r="11724" spans="1:15" x14ac:dyDescent="0.2">
      <c r="A11724" s="197">
        <v>2025</v>
      </c>
      <c r="B11724" s="197">
        <v>12</v>
      </c>
      <c r="C11724" s="120">
        <v>14</v>
      </c>
      <c r="D11724" s="198">
        <f t="shared" si="1623"/>
        <v>46005</v>
      </c>
      <c r="E11724" s="209">
        <f t="shared" si="1631"/>
        <v>46005</v>
      </c>
      <c r="F11724" s="513" t="s">
        <v>2113</v>
      </c>
      <c r="G11724" s="200" t="s">
        <v>1209</v>
      </c>
      <c r="H11724" s="201"/>
      <c r="I11724" s="201"/>
      <c r="J11724" s="197" t="s">
        <v>46</v>
      </c>
      <c r="K11724" s="202">
        <v>600000</v>
      </c>
      <c r="L11724" s="202"/>
    </row>
    <row r="11725" spans="1:15" x14ac:dyDescent="0.2">
      <c r="A11725" s="120">
        <v>2025</v>
      </c>
      <c r="B11725" s="120">
        <v>12</v>
      </c>
      <c r="C11725" s="120">
        <v>14</v>
      </c>
      <c r="D11725" s="208">
        <f t="shared" si="1623"/>
        <v>46005</v>
      </c>
      <c r="E11725" s="209">
        <f t="shared" si="1631"/>
        <v>46005</v>
      </c>
      <c r="F11725" s="515"/>
      <c r="G11725" s="132" t="s">
        <v>1209</v>
      </c>
      <c r="J11725" s="120" t="s">
        <v>16</v>
      </c>
      <c r="K11725" s="207"/>
      <c r="L11725" s="207">
        <v>435820</v>
      </c>
    </row>
    <row r="11726" spans="1:15" x14ac:dyDescent="0.2">
      <c r="A11726" s="191">
        <v>2025</v>
      </c>
      <c r="B11726" s="191">
        <v>12</v>
      </c>
      <c r="C11726" s="191">
        <v>14</v>
      </c>
      <c r="D11726" s="192">
        <f t="shared" si="1623"/>
        <v>46005</v>
      </c>
      <c r="E11726" s="193">
        <f t="shared" si="1631"/>
        <v>46005</v>
      </c>
      <c r="F11726" s="514"/>
      <c r="G11726" s="194" t="s">
        <v>1209</v>
      </c>
      <c r="H11726" s="195"/>
      <c r="I11726" s="195"/>
      <c r="J11726" s="191" t="s">
        <v>47</v>
      </c>
      <c r="K11726" s="196"/>
      <c r="L11726" s="196">
        <v>164180</v>
      </c>
    </row>
    <row r="11727" spans="1:15" x14ac:dyDescent="0.2">
      <c r="A11727" s="197">
        <v>2025</v>
      </c>
      <c r="B11727" s="197">
        <v>12</v>
      </c>
      <c r="C11727" s="120">
        <v>14</v>
      </c>
      <c r="D11727" s="198">
        <f t="shared" si="1623"/>
        <v>46005</v>
      </c>
      <c r="E11727" s="209">
        <f t="shared" si="1631"/>
        <v>46005</v>
      </c>
      <c r="F11727" s="513" t="s">
        <v>1280</v>
      </c>
      <c r="G11727" s="200" t="s">
        <v>1209</v>
      </c>
      <c r="H11727" s="201"/>
      <c r="I11727" s="201"/>
      <c r="J11727" s="197" t="s">
        <v>16</v>
      </c>
      <c r="K11727" s="202">
        <v>1452580</v>
      </c>
      <c r="L11727" s="202"/>
    </row>
    <row r="11728" spans="1:15" x14ac:dyDescent="0.2">
      <c r="A11728" s="120">
        <v>2025</v>
      </c>
      <c r="B11728" s="120">
        <v>12</v>
      </c>
      <c r="C11728" s="120">
        <v>14</v>
      </c>
      <c r="D11728" s="208">
        <f t="shared" si="1623"/>
        <v>46005</v>
      </c>
      <c r="E11728" s="209">
        <f t="shared" si="1631"/>
        <v>46005</v>
      </c>
      <c r="F11728" s="515"/>
      <c r="G11728" s="132" t="s">
        <v>1209</v>
      </c>
      <c r="J11728" s="120" t="s">
        <v>47</v>
      </c>
      <c r="K11728" s="207">
        <v>547242.56000000006</v>
      </c>
      <c r="L11728" s="207"/>
    </row>
    <row r="11729" spans="1:15" x14ac:dyDescent="0.2">
      <c r="A11729" s="191">
        <v>2025</v>
      </c>
      <c r="B11729" s="191">
        <v>12</v>
      </c>
      <c r="C11729" s="191">
        <v>14</v>
      </c>
      <c r="D11729" s="192">
        <f t="shared" si="1623"/>
        <v>46005</v>
      </c>
      <c r="E11729" s="193">
        <f t="shared" si="1631"/>
        <v>46005</v>
      </c>
      <c r="F11729" s="514"/>
      <c r="G11729" s="194" t="s">
        <v>1209</v>
      </c>
      <c r="H11729" s="195"/>
      <c r="I11729" s="195"/>
      <c r="J11729" s="191" t="s">
        <v>46</v>
      </c>
      <c r="K11729" s="196"/>
      <c r="L11729" s="196">
        <v>1999822.56</v>
      </c>
    </row>
    <row r="11730" spans="1:15" x14ac:dyDescent="0.2">
      <c r="A11730" s="197">
        <v>2025</v>
      </c>
      <c r="B11730" s="197">
        <v>12</v>
      </c>
      <c r="C11730" s="197">
        <v>14</v>
      </c>
      <c r="D11730" s="198">
        <f t="shared" si="1623"/>
        <v>46005</v>
      </c>
      <c r="E11730" s="290">
        <f t="shared" si="1631"/>
        <v>46005</v>
      </c>
      <c r="F11730" s="513" t="s">
        <v>1514</v>
      </c>
      <c r="G11730" s="200" t="s">
        <v>1209</v>
      </c>
      <c r="H11730" s="201"/>
      <c r="I11730" s="201"/>
      <c r="J11730" s="197" t="s">
        <v>54</v>
      </c>
      <c r="K11730" s="202">
        <v>160</v>
      </c>
      <c r="L11730" s="202"/>
      <c r="M11730" s="251"/>
      <c r="N11730" s="251"/>
      <c r="O11730" s="251"/>
    </row>
    <row r="11731" spans="1:15" ht="11.25" customHeight="1" x14ac:dyDescent="0.2">
      <c r="A11731" s="191">
        <v>2025</v>
      </c>
      <c r="B11731" s="191">
        <v>12</v>
      </c>
      <c r="C11731" s="191">
        <v>14</v>
      </c>
      <c r="D11731" s="192">
        <f t="shared" si="1623"/>
        <v>46005</v>
      </c>
      <c r="E11731" s="291">
        <f t="shared" si="1631"/>
        <v>46005</v>
      </c>
      <c r="F11731" s="514"/>
      <c r="G11731" s="194" t="s">
        <v>1209</v>
      </c>
      <c r="H11731" s="195"/>
      <c r="I11731" s="195"/>
      <c r="J11731" s="191" t="s">
        <v>46</v>
      </c>
      <c r="K11731" s="196"/>
      <c r="L11731" s="196">
        <f>K11730</f>
        <v>160</v>
      </c>
      <c r="M11731" s="251"/>
    </row>
    <row r="11732" spans="1:15" x14ac:dyDescent="0.2">
      <c r="A11732" s="424">
        <v>2025</v>
      </c>
      <c r="B11732" s="424">
        <v>12</v>
      </c>
      <c r="C11732" s="424">
        <v>14</v>
      </c>
      <c r="D11732" s="425">
        <f t="shared" si="1623"/>
        <v>46005</v>
      </c>
      <c r="E11732" s="384">
        <f t="shared" si="1631"/>
        <v>46005</v>
      </c>
      <c r="F11732" s="516" t="s">
        <v>1850</v>
      </c>
      <c r="G11732" s="426" t="s">
        <v>1209</v>
      </c>
      <c r="H11732" s="427"/>
      <c r="I11732" s="427"/>
      <c r="J11732" s="428" t="s">
        <v>81</v>
      </c>
      <c r="K11732" s="429">
        <v>1595.8173626373627</v>
      </c>
      <c r="L11732" s="429"/>
      <c r="M11732" s="455"/>
    </row>
    <row r="11733" spans="1:15" x14ac:dyDescent="0.2">
      <c r="A11733" s="389">
        <v>2025</v>
      </c>
      <c r="B11733" s="389">
        <v>12</v>
      </c>
      <c r="C11733" s="389">
        <v>14</v>
      </c>
      <c r="D11733" s="390">
        <f t="shared" si="1623"/>
        <v>46005</v>
      </c>
      <c r="E11733" s="391">
        <f t="shared" si="1631"/>
        <v>46005</v>
      </c>
      <c r="F11733" s="517"/>
      <c r="G11733" s="392" t="s">
        <v>1209</v>
      </c>
      <c r="H11733" s="393"/>
      <c r="I11733" s="393"/>
      <c r="J11733" s="394" t="s">
        <v>1847</v>
      </c>
      <c r="K11733" s="423"/>
      <c r="L11733" s="423">
        <f>K11732</f>
        <v>1595.8173626373627</v>
      </c>
    </row>
    <row r="11734" spans="1:15" ht="11.25" customHeight="1" x14ac:dyDescent="0.2">
      <c r="A11734" s="382">
        <v>2025</v>
      </c>
      <c r="B11734" s="382">
        <v>12</v>
      </c>
      <c r="C11734" s="382">
        <v>14</v>
      </c>
      <c r="D11734" s="383">
        <f t="shared" si="1623"/>
        <v>46005</v>
      </c>
      <c r="E11734" s="384">
        <f t="shared" si="1631"/>
        <v>46005</v>
      </c>
      <c r="F11734" s="516" t="s">
        <v>1892</v>
      </c>
      <c r="G11734" s="385" t="s">
        <v>1209</v>
      </c>
      <c r="H11734" s="386"/>
      <c r="I11734" s="386"/>
      <c r="J11734" s="387" t="s">
        <v>173</v>
      </c>
      <c r="K11734" s="388">
        <v>625.58854876636894</v>
      </c>
      <c r="L11734" s="388"/>
      <c r="M11734" s="455"/>
    </row>
    <row r="11735" spans="1:15" ht="11.25" customHeight="1" x14ac:dyDescent="0.2">
      <c r="A11735" s="389">
        <v>2025</v>
      </c>
      <c r="B11735" s="389">
        <v>12</v>
      </c>
      <c r="C11735" s="389">
        <v>14</v>
      </c>
      <c r="D11735" s="390">
        <f t="shared" si="1623"/>
        <v>46005</v>
      </c>
      <c r="E11735" s="391">
        <f t="shared" si="1631"/>
        <v>46005</v>
      </c>
      <c r="F11735" s="517"/>
      <c r="G11735" s="392" t="s">
        <v>1209</v>
      </c>
      <c r="H11735" s="393"/>
      <c r="I11735" s="393"/>
      <c r="J11735" s="394" t="s">
        <v>43</v>
      </c>
      <c r="K11735" s="388"/>
      <c r="L11735" s="423">
        <f>K11734</f>
        <v>625.58854876636894</v>
      </c>
    </row>
    <row r="11736" spans="1:15" ht="11.25" customHeight="1" x14ac:dyDescent="0.2">
      <c r="A11736" s="344">
        <v>2025</v>
      </c>
      <c r="B11736" s="344">
        <v>12</v>
      </c>
      <c r="C11736" s="344">
        <v>14</v>
      </c>
      <c r="D11736" s="345">
        <f t="shared" si="1623"/>
        <v>46005</v>
      </c>
      <c r="E11736" s="346">
        <f t="shared" si="1631"/>
        <v>46005</v>
      </c>
      <c r="F11736" s="518" t="s">
        <v>1982</v>
      </c>
      <c r="G11736" s="347" t="s">
        <v>1245</v>
      </c>
      <c r="H11736" s="348"/>
      <c r="I11736" s="348" t="s">
        <v>1253</v>
      </c>
      <c r="J11736" s="344" t="s">
        <v>1978</v>
      </c>
      <c r="K11736" s="349">
        <v>21249.725274725275</v>
      </c>
      <c r="L11736" s="349"/>
      <c r="M11736" s="455"/>
    </row>
    <row r="11737" spans="1:15" ht="11.25" customHeight="1" x14ac:dyDescent="0.2">
      <c r="A11737" s="350">
        <v>2025</v>
      </c>
      <c r="B11737" s="350">
        <v>12</v>
      </c>
      <c r="C11737" s="350">
        <v>14</v>
      </c>
      <c r="D11737" s="351">
        <f t="shared" si="1623"/>
        <v>46005</v>
      </c>
      <c r="E11737" s="352">
        <f t="shared" si="1631"/>
        <v>46005</v>
      </c>
      <c r="F11737" s="519"/>
      <c r="G11737" s="353" t="s">
        <v>1245</v>
      </c>
      <c r="H11737" s="354"/>
      <c r="I11737" s="354" t="s">
        <v>1253</v>
      </c>
      <c r="J11737" s="350" t="s">
        <v>1979</v>
      </c>
      <c r="K11737" s="355"/>
      <c r="L11737" s="355">
        <f>K11736</f>
        <v>21249.725274725275</v>
      </c>
    </row>
    <row r="11738" spans="1:15" ht="11.25" customHeight="1" x14ac:dyDescent="0.2">
      <c r="A11738" s="344">
        <v>2025</v>
      </c>
      <c r="B11738" s="344">
        <v>12</v>
      </c>
      <c r="C11738" s="344">
        <v>14</v>
      </c>
      <c r="D11738" s="345">
        <f t="shared" si="1623"/>
        <v>46005</v>
      </c>
      <c r="E11738" s="346">
        <f t="shared" si="1631"/>
        <v>46005</v>
      </c>
      <c r="F11738" s="518" t="s">
        <v>2009</v>
      </c>
      <c r="G11738" s="347" t="s">
        <v>1245</v>
      </c>
      <c r="H11738" s="348"/>
      <c r="I11738" s="348" t="s">
        <v>1253</v>
      </c>
      <c r="J11738" s="344" t="s">
        <v>2004</v>
      </c>
      <c r="K11738" s="349">
        <v>7098.9014285714284</v>
      </c>
      <c r="L11738" s="349"/>
      <c r="M11738" s="455"/>
    </row>
    <row r="11739" spans="1:15" ht="11.25" customHeight="1" x14ac:dyDescent="0.2">
      <c r="A11739" s="350">
        <v>2025</v>
      </c>
      <c r="B11739" s="350">
        <v>12</v>
      </c>
      <c r="C11739" s="350">
        <v>14</v>
      </c>
      <c r="D11739" s="351">
        <f t="shared" si="1623"/>
        <v>46005</v>
      </c>
      <c r="E11739" s="352">
        <f t="shared" si="1631"/>
        <v>46005</v>
      </c>
      <c r="F11739" s="519"/>
      <c r="G11739" s="353" t="s">
        <v>1245</v>
      </c>
      <c r="H11739" s="354"/>
      <c r="I11739" s="354" t="s">
        <v>1253</v>
      </c>
      <c r="J11739" s="350" t="s">
        <v>2008</v>
      </c>
      <c r="K11739" s="355"/>
      <c r="L11739" s="355">
        <f t="shared" ref="L11739" si="1632">K11738</f>
        <v>7098.9014285714284</v>
      </c>
    </row>
    <row r="11740" spans="1:15" ht="11.25" customHeight="1" x14ac:dyDescent="0.2">
      <c r="A11740" s="344">
        <v>2025</v>
      </c>
      <c r="B11740" s="344">
        <v>12</v>
      </c>
      <c r="C11740" s="344">
        <v>14</v>
      </c>
      <c r="D11740" s="345">
        <f t="shared" si="1623"/>
        <v>46005</v>
      </c>
      <c r="E11740" s="346">
        <f t="shared" si="1631"/>
        <v>46005</v>
      </c>
      <c r="F11740" s="518" t="s">
        <v>2009</v>
      </c>
      <c r="G11740" s="347" t="s">
        <v>1245</v>
      </c>
      <c r="H11740" s="348"/>
      <c r="I11740" s="348" t="s">
        <v>1253</v>
      </c>
      <c r="J11740" s="344" t="s">
        <v>2004</v>
      </c>
      <c r="K11740" s="349">
        <v>7098.9014285714284</v>
      </c>
      <c r="L11740" s="349"/>
      <c r="M11740" s="455"/>
    </row>
    <row r="11741" spans="1:15" ht="11.25" customHeight="1" x14ac:dyDescent="0.2">
      <c r="A11741" s="350">
        <v>2025</v>
      </c>
      <c r="B11741" s="350">
        <v>12</v>
      </c>
      <c r="C11741" s="350">
        <v>14</v>
      </c>
      <c r="D11741" s="351">
        <f t="shared" si="1623"/>
        <v>46005</v>
      </c>
      <c r="E11741" s="352">
        <f t="shared" si="1631"/>
        <v>46005</v>
      </c>
      <c r="F11741" s="519"/>
      <c r="G11741" s="353" t="s">
        <v>1245</v>
      </c>
      <c r="H11741" s="354"/>
      <c r="I11741" s="354" t="s">
        <v>1253</v>
      </c>
      <c r="J11741" s="350" t="s">
        <v>2008</v>
      </c>
      <c r="K11741" s="355"/>
      <c r="L11741" s="355">
        <f t="shared" ref="L11741" si="1633">K11740</f>
        <v>7098.9014285714284</v>
      </c>
    </row>
    <row r="11742" spans="1:15" ht="11.25" customHeight="1" x14ac:dyDescent="0.2">
      <c r="A11742" s="344">
        <v>2025</v>
      </c>
      <c r="B11742" s="344">
        <v>12</v>
      </c>
      <c r="C11742" s="344">
        <v>14</v>
      </c>
      <c r="D11742" s="345">
        <f t="shared" si="1623"/>
        <v>46005</v>
      </c>
      <c r="E11742" s="346">
        <f t="shared" si="1631"/>
        <v>46005</v>
      </c>
      <c r="F11742" s="518" t="s">
        <v>2088</v>
      </c>
      <c r="G11742" s="347" t="s">
        <v>1245</v>
      </c>
      <c r="H11742" s="348"/>
      <c r="I11742" s="348" t="s">
        <v>1253</v>
      </c>
      <c r="J11742" s="344" t="s">
        <v>2086</v>
      </c>
      <c r="K11742" s="349">
        <v>1789.835164835165</v>
      </c>
      <c r="L11742" s="349"/>
      <c r="M11742" s="455"/>
    </row>
    <row r="11743" spans="1:15" ht="11.25" customHeight="1" x14ac:dyDescent="0.2">
      <c r="A11743" s="350">
        <v>2025</v>
      </c>
      <c r="B11743" s="350">
        <v>12</v>
      </c>
      <c r="C11743" s="350">
        <v>14</v>
      </c>
      <c r="D11743" s="351">
        <f t="shared" si="1623"/>
        <v>46005</v>
      </c>
      <c r="E11743" s="352">
        <f t="shared" si="1631"/>
        <v>46005</v>
      </c>
      <c r="F11743" s="519"/>
      <c r="G11743" s="353" t="s">
        <v>1245</v>
      </c>
      <c r="H11743" s="354"/>
      <c r="I11743" s="354" t="s">
        <v>1253</v>
      </c>
      <c r="J11743" s="350" t="s">
        <v>2089</v>
      </c>
      <c r="K11743" s="355"/>
      <c r="L11743" s="355">
        <f>K11742</f>
        <v>1789.835164835165</v>
      </c>
    </row>
    <row r="11744" spans="1:15" ht="11.25" customHeight="1" x14ac:dyDescent="0.2">
      <c r="A11744" s="344">
        <v>2025</v>
      </c>
      <c r="B11744" s="344">
        <v>12</v>
      </c>
      <c r="C11744" s="344">
        <v>14</v>
      </c>
      <c r="D11744" s="345">
        <f t="shared" si="1623"/>
        <v>46005</v>
      </c>
      <c r="E11744" s="346">
        <f>DATE(A11744,B11744,C11744)</f>
        <v>46005</v>
      </c>
      <c r="F11744" s="518" t="s">
        <v>1988</v>
      </c>
      <c r="G11744" s="347" t="s">
        <v>1245</v>
      </c>
      <c r="H11744" s="348"/>
      <c r="I11744" s="348" t="s">
        <v>1253</v>
      </c>
      <c r="J11744" s="344" t="s">
        <v>113</v>
      </c>
      <c r="K11744" s="349">
        <v>4692.3071428571429</v>
      </c>
      <c r="L11744" s="349"/>
      <c r="M11744" s="455"/>
    </row>
    <row r="11745" spans="1:16" ht="11.25" customHeight="1" x14ac:dyDescent="0.2">
      <c r="A11745" s="350">
        <v>2025</v>
      </c>
      <c r="B11745" s="350">
        <v>12</v>
      </c>
      <c r="C11745" s="350">
        <v>14</v>
      </c>
      <c r="D11745" s="351">
        <f t="shared" si="1623"/>
        <v>46005</v>
      </c>
      <c r="E11745" s="352">
        <f>DATE(A11745,B11745,C11745)</f>
        <v>46005</v>
      </c>
      <c r="F11745" s="519"/>
      <c r="G11745" s="353" t="s">
        <v>1245</v>
      </c>
      <c r="H11745" s="354"/>
      <c r="I11745" s="354" t="s">
        <v>1253</v>
      </c>
      <c r="J11745" s="350" t="s">
        <v>153</v>
      </c>
      <c r="K11745" s="355"/>
      <c r="L11745" s="355">
        <f t="shared" ref="L11745" si="1634">K11744</f>
        <v>4692.3071428571429</v>
      </c>
    </row>
    <row r="11746" spans="1:16" ht="11.25" customHeight="1" x14ac:dyDescent="0.2">
      <c r="A11746" s="344">
        <v>2025</v>
      </c>
      <c r="B11746" s="344">
        <v>12</v>
      </c>
      <c r="C11746" s="344">
        <v>14</v>
      </c>
      <c r="D11746" s="345">
        <f t="shared" si="1623"/>
        <v>46005</v>
      </c>
      <c r="E11746" s="346">
        <f t="shared" ref="E11746:E11752" si="1635">DATE(A11746,B11746,C11746)</f>
        <v>46005</v>
      </c>
      <c r="F11746" s="518" t="s">
        <v>1989</v>
      </c>
      <c r="G11746" s="347" t="s">
        <v>1245</v>
      </c>
      <c r="H11746" s="348"/>
      <c r="I11746" s="348" t="s">
        <v>1253</v>
      </c>
      <c r="J11746" s="344" t="s">
        <v>113</v>
      </c>
      <c r="K11746" s="349">
        <v>3351.6483516483518</v>
      </c>
      <c r="L11746" s="349"/>
      <c r="M11746" s="455"/>
    </row>
    <row r="11747" spans="1:16" ht="11.25" customHeight="1" x14ac:dyDescent="0.2">
      <c r="A11747" s="350">
        <v>2025</v>
      </c>
      <c r="B11747" s="350">
        <v>12</v>
      </c>
      <c r="C11747" s="350">
        <v>14</v>
      </c>
      <c r="D11747" s="351">
        <f t="shared" si="1623"/>
        <v>46005</v>
      </c>
      <c r="E11747" s="352">
        <f t="shared" si="1635"/>
        <v>46005</v>
      </c>
      <c r="F11747" s="519"/>
      <c r="G11747" s="353" t="s">
        <v>1245</v>
      </c>
      <c r="H11747" s="354"/>
      <c r="I11747" s="354" t="s">
        <v>1253</v>
      </c>
      <c r="J11747" s="350" t="s">
        <v>153</v>
      </c>
      <c r="K11747" s="355"/>
      <c r="L11747" s="355">
        <f t="shared" ref="L11747" si="1636">K11746</f>
        <v>3351.6483516483518</v>
      </c>
    </row>
    <row r="11748" spans="1:16" ht="11.25" customHeight="1" x14ac:dyDescent="0.2">
      <c r="A11748" s="344">
        <v>2025</v>
      </c>
      <c r="B11748" s="344">
        <v>12</v>
      </c>
      <c r="C11748" s="344">
        <v>14</v>
      </c>
      <c r="D11748" s="345">
        <f t="shared" si="1623"/>
        <v>46005</v>
      </c>
      <c r="E11748" s="346">
        <f t="shared" si="1635"/>
        <v>46005</v>
      </c>
      <c r="F11748" s="518" t="s">
        <v>1990</v>
      </c>
      <c r="G11748" s="347" t="s">
        <v>1245</v>
      </c>
      <c r="H11748" s="348"/>
      <c r="I11748" s="348" t="s">
        <v>1253</v>
      </c>
      <c r="J11748" s="344" t="s">
        <v>113</v>
      </c>
      <c r="K11748" s="349">
        <v>10054.945714285714</v>
      </c>
      <c r="L11748" s="349"/>
      <c r="M11748" s="455"/>
      <c r="N11748" s="251"/>
      <c r="O11748" s="251"/>
      <c r="P11748" s="251"/>
    </row>
    <row r="11749" spans="1:16" ht="11.25" customHeight="1" x14ac:dyDescent="0.2">
      <c r="A11749" s="350">
        <v>2025</v>
      </c>
      <c r="B11749" s="350">
        <v>12</v>
      </c>
      <c r="C11749" s="350">
        <v>14</v>
      </c>
      <c r="D11749" s="351">
        <f t="shared" si="1623"/>
        <v>46005</v>
      </c>
      <c r="E11749" s="352">
        <f t="shared" si="1635"/>
        <v>46005</v>
      </c>
      <c r="F11749" s="519"/>
      <c r="G11749" s="353" t="s">
        <v>1245</v>
      </c>
      <c r="H11749" s="354"/>
      <c r="I11749" s="354" t="s">
        <v>1253</v>
      </c>
      <c r="J11749" s="350" t="s">
        <v>153</v>
      </c>
      <c r="K11749" s="355"/>
      <c r="L11749" s="355">
        <f t="shared" ref="L11749" si="1637">K11748</f>
        <v>10054.945714285714</v>
      </c>
    </row>
    <row r="11750" spans="1:16" ht="11.25" customHeight="1" x14ac:dyDescent="0.2">
      <c r="A11750" s="344">
        <v>2025</v>
      </c>
      <c r="B11750" s="344">
        <v>12</v>
      </c>
      <c r="C11750" s="344">
        <v>14</v>
      </c>
      <c r="D11750" s="345">
        <f t="shared" si="1623"/>
        <v>46005</v>
      </c>
      <c r="E11750" s="346">
        <f t="shared" si="1635"/>
        <v>46005</v>
      </c>
      <c r="F11750" s="518" t="s">
        <v>2107</v>
      </c>
      <c r="G11750" s="347" t="s">
        <v>1245</v>
      </c>
      <c r="H11750" s="348"/>
      <c r="I11750" s="348" t="s">
        <v>1253</v>
      </c>
      <c r="J11750" s="344" t="s">
        <v>113</v>
      </c>
      <c r="K11750" s="349">
        <v>12370.879120879121</v>
      </c>
      <c r="L11750" s="349"/>
      <c r="M11750" s="455"/>
      <c r="N11750" s="251"/>
      <c r="O11750" s="251"/>
      <c r="P11750" s="251"/>
    </row>
    <row r="11751" spans="1:16" ht="11.25" customHeight="1" x14ac:dyDescent="0.2">
      <c r="A11751" s="350">
        <v>2025</v>
      </c>
      <c r="B11751" s="350">
        <v>12</v>
      </c>
      <c r="C11751" s="350">
        <v>14</v>
      </c>
      <c r="D11751" s="351">
        <f t="shared" si="1623"/>
        <v>46005</v>
      </c>
      <c r="E11751" s="352">
        <f t="shared" si="1635"/>
        <v>46005</v>
      </c>
      <c r="F11751" s="519"/>
      <c r="G11751" s="353" t="s">
        <v>1245</v>
      </c>
      <c r="H11751" s="354"/>
      <c r="I11751" s="354" t="s">
        <v>1253</v>
      </c>
      <c r="J11751" s="350" t="s">
        <v>153</v>
      </c>
      <c r="K11751" s="355"/>
      <c r="L11751" s="355">
        <f t="shared" ref="L11751" si="1638">K11750</f>
        <v>12370.879120879121</v>
      </c>
    </row>
    <row r="11752" spans="1:16" ht="11.25" customHeight="1" x14ac:dyDescent="0.2">
      <c r="A11752" s="210">
        <v>2025</v>
      </c>
      <c r="B11752" s="210">
        <v>12</v>
      </c>
      <c r="C11752" s="210">
        <v>14</v>
      </c>
      <c r="D11752" s="211">
        <f t="shared" si="1623"/>
        <v>46005</v>
      </c>
      <c r="E11752" s="238">
        <f t="shared" si="1635"/>
        <v>46005</v>
      </c>
      <c r="F11752" s="520" t="s">
        <v>1857</v>
      </c>
      <c r="G11752" s="213" t="s">
        <v>1245</v>
      </c>
      <c r="H11752" s="214"/>
      <c r="I11752" s="214" t="s">
        <v>1253</v>
      </c>
      <c r="J11752" s="210" t="s">
        <v>1284</v>
      </c>
      <c r="K11752" s="215">
        <v>334.54448777029421</v>
      </c>
      <c r="L11752" s="215"/>
      <c r="M11752" s="455"/>
    </row>
    <row r="11753" spans="1:16" ht="11.25" customHeight="1" x14ac:dyDescent="0.2">
      <c r="A11753" s="242">
        <v>2025</v>
      </c>
      <c r="B11753" s="242">
        <v>12</v>
      </c>
      <c r="C11753" s="242">
        <v>14</v>
      </c>
      <c r="D11753" s="243">
        <f t="shared" si="1623"/>
        <v>46005</v>
      </c>
      <c r="E11753" s="244">
        <f>DATE(A11753,B11753,C11753)</f>
        <v>46005</v>
      </c>
      <c r="F11753" s="524"/>
      <c r="G11753" s="245" t="s">
        <v>1245</v>
      </c>
      <c r="H11753" s="246"/>
      <c r="I11753" s="246"/>
      <c r="J11753" s="242" t="s">
        <v>1582</v>
      </c>
      <c r="K11753" s="247"/>
      <c r="L11753" s="247">
        <f>K11752</f>
        <v>334.54448777029421</v>
      </c>
    </row>
    <row r="11754" spans="1:16" ht="11.25" customHeight="1" x14ac:dyDescent="0.2">
      <c r="A11754" s="210">
        <v>2025</v>
      </c>
      <c r="B11754" s="210">
        <v>12</v>
      </c>
      <c r="C11754" s="210">
        <v>14</v>
      </c>
      <c r="D11754" s="211">
        <f t="shared" si="1623"/>
        <v>46005</v>
      </c>
      <c r="E11754" s="238">
        <f t="shared" ref="E11754:E11793" si="1639">DATE(A11754,B11754,C11754)</f>
        <v>46005</v>
      </c>
      <c r="F11754" s="520" t="s">
        <v>2055</v>
      </c>
      <c r="G11754" s="213" t="s">
        <v>1245</v>
      </c>
      <c r="H11754" s="214"/>
      <c r="I11754" s="214" t="s">
        <v>1253</v>
      </c>
      <c r="J11754" s="210" t="s">
        <v>58</v>
      </c>
      <c r="K11754" s="215">
        <v>2615.2800000000002</v>
      </c>
      <c r="L11754" s="215"/>
    </row>
    <row r="11755" spans="1:16" ht="11.25" customHeight="1" x14ac:dyDescent="0.2">
      <c r="A11755" s="216">
        <v>2025</v>
      </c>
      <c r="B11755" s="216">
        <v>12</v>
      </c>
      <c r="C11755" s="216">
        <v>14</v>
      </c>
      <c r="D11755" s="217">
        <f t="shared" si="1623"/>
        <v>46005</v>
      </c>
      <c r="E11755" s="239">
        <f t="shared" si="1639"/>
        <v>46005</v>
      </c>
      <c r="F11755" s="521"/>
      <c r="G11755" s="219" t="s">
        <v>1245</v>
      </c>
      <c r="H11755" s="220"/>
      <c r="I11755" s="220" t="s">
        <v>1253</v>
      </c>
      <c r="J11755" s="216" t="s">
        <v>153</v>
      </c>
      <c r="K11755" s="221"/>
      <c r="L11755" s="221">
        <f>K11754</f>
        <v>2615.2800000000002</v>
      </c>
    </row>
    <row r="11756" spans="1:16" ht="11.25" customHeight="1" x14ac:dyDescent="0.2">
      <c r="A11756" s="312">
        <v>2025</v>
      </c>
      <c r="B11756" s="312">
        <v>12</v>
      </c>
      <c r="C11756" s="312">
        <v>14</v>
      </c>
      <c r="D11756" s="313">
        <f t="shared" ref="D11756:D11819" si="1640">DATE(A11756,B11756,C11756)</f>
        <v>46005</v>
      </c>
      <c r="E11756" s="314">
        <f t="shared" si="1639"/>
        <v>46005</v>
      </c>
      <c r="F11756" s="522" t="s">
        <v>1477</v>
      </c>
      <c r="G11756" s="315" t="s">
        <v>1245</v>
      </c>
      <c r="H11756" s="316"/>
      <c r="I11756" s="316" t="s">
        <v>1253</v>
      </c>
      <c r="J11756" s="312" t="s">
        <v>1458</v>
      </c>
      <c r="K11756" s="317">
        <v>0</v>
      </c>
      <c r="L11756" s="317"/>
    </row>
    <row r="11757" spans="1:16" ht="11.25" customHeight="1" x14ac:dyDescent="0.2">
      <c r="A11757" s="318">
        <v>2025</v>
      </c>
      <c r="B11757" s="318">
        <v>12</v>
      </c>
      <c r="C11757" s="318">
        <v>14</v>
      </c>
      <c r="D11757" s="319">
        <f t="shared" si="1640"/>
        <v>46005</v>
      </c>
      <c r="E11757" s="320">
        <f t="shared" si="1639"/>
        <v>46005</v>
      </c>
      <c r="F11757" s="523"/>
      <c r="G11757" s="321" t="s">
        <v>1245</v>
      </c>
      <c r="H11757" s="322"/>
      <c r="I11757" s="322" t="s">
        <v>1253</v>
      </c>
      <c r="J11757" s="318" t="s">
        <v>1460</v>
      </c>
      <c r="K11757" s="323"/>
      <c r="L11757" s="323">
        <f>K11756</f>
        <v>0</v>
      </c>
    </row>
    <row r="11758" spans="1:16" ht="11.25" customHeight="1" x14ac:dyDescent="0.2">
      <c r="A11758" s="312">
        <v>2025</v>
      </c>
      <c r="B11758" s="312">
        <v>12</v>
      </c>
      <c r="C11758" s="312">
        <v>14</v>
      </c>
      <c r="D11758" s="313">
        <f t="shared" si="1640"/>
        <v>46005</v>
      </c>
      <c r="E11758" s="314">
        <f t="shared" si="1639"/>
        <v>46005</v>
      </c>
      <c r="F11758" s="522" t="s">
        <v>1595</v>
      </c>
      <c r="G11758" s="315" t="s">
        <v>1245</v>
      </c>
      <c r="H11758" s="316"/>
      <c r="I11758" s="316" t="s">
        <v>1253</v>
      </c>
      <c r="J11758" s="312" t="s">
        <v>1461</v>
      </c>
      <c r="K11758" s="317">
        <v>95198.179999947548</v>
      </c>
      <c r="L11758" s="317"/>
      <c r="M11758" s="328">
        <f>BS!$I$14</f>
        <v>0</v>
      </c>
    </row>
    <row r="11759" spans="1:16" ht="11.25" customHeight="1" x14ac:dyDescent="0.2">
      <c r="A11759" s="318">
        <v>2025</v>
      </c>
      <c r="B11759" s="318">
        <v>12</v>
      </c>
      <c r="C11759" s="318">
        <v>14</v>
      </c>
      <c r="D11759" s="319">
        <f t="shared" si="1640"/>
        <v>46005</v>
      </c>
      <c r="E11759" s="320">
        <f t="shared" si="1639"/>
        <v>46005</v>
      </c>
      <c r="F11759" s="523"/>
      <c r="G11759" s="321" t="s">
        <v>1245</v>
      </c>
      <c r="H11759" s="322"/>
      <c r="I11759" s="322" t="s">
        <v>1253</v>
      </c>
      <c r="J11759" s="318" t="s">
        <v>1459</v>
      </c>
      <c r="K11759" s="323"/>
      <c r="L11759" s="323">
        <f>K11758</f>
        <v>95198.179999947548</v>
      </c>
      <c r="M11759" s="328"/>
    </row>
    <row r="11760" spans="1:16" ht="11.25" customHeight="1" x14ac:dyDescent="0.2">
      <c r="A11760" s="222">
        <v>2025</v>
      </c>
      <c r="B11760" s="222">
        <v>12</v>
      </c>
      <c r="C11760" s="222">
        <v>14</v>
      </c>
      <c r="D11760" s="223">
        <f t="shared" si="1640"/>
        <v>46005</v>
      </c>
      <c r="E11760" s="240">
        <f t="shared" si="1639"/>
        <v>46005</v>
      </c>
      <c r="F11760" s="511" t="s">
        <v>1244</v>
      </c>
      <c r="G11760" s="225" t="s">
        <v>1245</v>
      </c>
      <c r="H11760" s="226"/>
      <c r="I11760" s="226" t="s">
        <v>1253</v>
      </c>
      <c r="J11760" s="222" t="s">
        <v>87</v>
      </c>
      <c r="K11760" s="227"/>
      <c r="L11760" s="227"/>
      <c r="M11760" s="328">
        <f>BS!$I$7</f>
        <v>0</v>
      </c>
    </row>
    <row r="11761" spans="1:15" ht="11.25" customHeight="1" x14ac:dyDescent="0.2">
      <c r="A11761" s="228">
        <v>2025</v>
      </c>
      <c r="B11761" s="228">
        <v>12</v>
      </c>
      <c r="C11761" s="228">
        <v>14</v>
      </c>
      <c r="D11761" s="229">
        <f t="shared" si="1640"/>
        <v>46005</v>
      </c>
      <c r="E11761" s="241">
        <f t="shared" si="1639"/>
        <v>46005</v>
      </c>
      <c r="F11761" s="512"/>
      <c r="G11761" s="231" t="s">
        <v>1245</v>
      </c>
      <c r="H11761" s="232"/>
      <c r="I11761" s="232" t="s">
        <v>1253</v>
      </c>
      <c r="J11761" s="228" t="s">
        <v>72</v>
      </c>
      <c r="K11761" s="233"/>
      <c r="L11761" s="233">
        <f>K11760</f>
        <v>0</v>
      </c>
    </row>
    <row r="11762" spans="1:15" ht="11.25" customHeight="1" x14ac:dyDescent="0.2">
      <c r="A11762" s="222">
        <v>2025</v>
      </c>
      <c r="B11762" s="222">
        <v>12</v>
      </c>
      <c r="C11762" s="222">
        <v>14</v>
      </c>
      <c r="D11762" s="223">
        <f t="shared" si="1640"/>
        <v>46005</v>
      </c>
      <c r="E11762" s="240">
        <f t="shared" si="1639"/>
        <v>46005</v>
      </c>
      <c r="F11762" s="511" t="s">
        <v>1246</v>
      </c>
      <c r="G11762" s="225" t="s">
        <v>1245</v>
      </c>
      <c r="H11762" s="226"/>
      <c r="I11762" s="226" t="s">
        <v>1253</v>
      </c>
      <c r="J11762" s="222" t="s">
        <v>75</v>
      </c>
      <c r="K11762" s="227">
        <v>517.58912087912086</v>
      </c>
      <c r="L11762" s="227"/>
      <c r="M11762" s="455"/>
    </row>
    <row r="11763" spans="1:15" ht="11.25" customHeight="1" x14ac:dyDescent="0.2">
      <c r="A11763" s="228">
        <v>2025</v>
      </c>
      <c r="B11763" s="228">
        <v>12</v>
      </c>
      <c r="C11763" s="228">
        <v>14</v>
      </c>
      <c r="D11763" s="229">
        <f t="shared" si="1640"/>
        <v>46005</v>
      </c>
      <c r="E11763" s="241">
        <f t="shared" si="1639"/>
        <v>46005</v>
      </c>
      <c r="F11763" s="512"/>
      <c r="G11763" s="231" t="s">
        <v>1245</v>
      </c>
      <c r="H11763" s="232"/>
      <c r="I11763" s="232" t="s">
        <v>1253</v>
      </c>
      <c r="J11763" s="228" t="s">
        <v>55</v>
      </c>
      <c r="K11763" s="233"/>
      <c r="L11763" s="233">
        <f>K11762</f>
        <v>517.58912087912086</v>
      </c>
    </row>
    <row r="11764" spans="1:15" ht="11.25" customHeight="1" x14ac:dyDescent="0.2">
      <c r="A11764" s="222">
        <v>2025</v>
      </c>
      <c r="B11764" s="222">
        <v>12</v>
      </c>
      <c r="C11764" s="222">
        <v>14</v>
      </c>
      <c r="D11764" s="223">
        <f t="shared" si="1640"/>
        <v>46005</v>
      </c>
      <c r="E11764" s="240">
        <f t="shared" si="1639"/>
        <v>46005</v>
      </c>
      <c r="F11764" s="511" t="s">
        <v>1247</v>
      </c>
      <c r="G11764" s="225" t="s">
        <v>1245</v>
      </c>
      <c r="H11764" s="226"/>
      <c r="I11764" s="226" t="s">
        <v>1253</v>
      </c>
      <c r="J11764" s="222" t="s">
        <v>77</v>
      </c>
      <c r="K11764" s="227">
        <f>M11764</f>
        <v>7502.5764276970467</v>
      </c>
      <c r="L11764" s="227"/>
      <c r="M11764" s="478">
        <v>7502.5764276970467</v>
      </c>
    </row>
    <row r="11765" spans="1:15" ht="11.25" customHeight="1" x14ac:dyDescent="0.2">
      <c r="A11765" s="228">
        <v>2025</v>
      </c>
      <c r="B11765" s="228">
        <v>12</v>
      </c>
      <c r="C11765" s="228">
        <v>14</v>
      </c>
      <c r="D11765" s="229">
        <f t="shared" si="1640"/>
        <v>46005</v>
      </c>
      <c r="E11765" s="241">
        <f t="shared" si="1639"/>
        <v>46005</v>
      </c>
      <c r="F11765" s="512"/>
      <c r="G11765" s="231" t="s">
        <v>1245</v>
      </c>
      <c r="H11765" s="232"/>
      <c r="I11765" s="232" t="s">
        <v>1253</v>
      </c>
      <c r="J11765" s="228" t="s">
        <v>41</v>
      </c>
      <c r="K11765" s="233"/>
      <c r="L11765" s="233">
        <f>K11764</f>
        <v>7502.5764276970467</v>
      </c>
      <c r="M11765" s="478">
        <v>750.25764276970472</v>
      </c>
      <c r="N11765" s="251"/>
    </row>
    <row r="11766" spans="1:15" ht="11.25" customHeight="1" x14ac:dyDescent="0.2">
      <c r="A11766" s="222">
        <v>2025</v>
      </c>
      <c r="B11766" s="222">
        <v>12</v>
      </c>
      <c r="C11766" s="222">
        <v>14</v>
      </c>
      <c r="D11766" s="223">
        <f t="shared" si="1640"/>
        <v>46005</v>
      </c>
      <c r="E11766" s="240">
        <f t="shared" si="1639"/>
        <v>46005</v>
      </c>
      <c r="F11766" s="511" t="s">
        <v>1248</v>
      </c>
      <c r="G11766" s="225" t="s">
        <v>1245</v>
      </c>
      <c r="H11766" s="226"/>
      <c r="I11766" s="226" t="s">
        <v>1253</v>
      </c>
      <c r="J11766" s="222" t="s">
        <v>80</v>
      </c>
      <c r="K11766" s="227">
        <f>M11765</f>
        <v>750.25764276970472</v>
      </c>
      <c r="L11766" s="227"/>
      <c r="N11766" s="251"/>
      <c r="O11766" s="251"/>
    </row>
    <row r="11767" spans="1:15" ht="11.25" customHeight="1" x14ac:dyDescent="0.2">
      <c r="A11767" s="228">
        <v>2025</v>
      </c>
      <c r="B11767" s="228">
        <v>12</v>
      </c>
      <c r="C11767" s="228">
        <v>14</v>
      </c>
      <c r="D11767" s="229">
        <f t="shared" si="1640"/>
        <v>46005</v>
      </c>
      <c r="E11767" s="241">
        <f t="shared" si="1639"/>
        <v>46005</v>
      </c>
      <c r="F11767" s="512"/>
      <c r="G11767" s="231" t="s">
        <v>1245</v>
      </c>
      <c r="H11767" s="232"/>
      <c r="I11767" s="232" t="s">
        <v>1253</v>
      </c>
      <c r="J11767" s="228" t="s">
        <v>42</v>
      </c>
      <c r="K11767" s="233"/>
      <c r="L11767" s="233">
        <f>K11766</f>
        <v>750.25764276970472</v>
      </c>
      <c r="N11767" s="251"/>
    </row>
    <row r="11768" spans="1:15" x14ac:dyDescent="0.2">
      <c r="A11768" s="197">
        <v>2025</v>
      </c>
      <c r="B11768" s="197">
        <v>12</v>
      </c>
      <c r="C11768" s="120">
        <v>15</v>
      </c>
      <c r="D11768" s="198">
        <f t="shared" si="1640"/>
        <v>46006</v>
      </c>
      <c r="E11768" s="209">
        <f t="shared" si="1639"/>
        <v>46006</v>
      </c>
      <c r="F11768" s="513" t="s">
        <v>1280</v>
      </c>
      <c r="G11768" s="200" t="s">
        <v>1209</v>
      </c>
      <c r="H11768" s="201"/>
      <c r="I11768" s="201"/>
      <c r="J11768" s="197" t="s">
        <v>16</v>
      </c>
      <c r="K11768" s="202">
        <v>363180</v>
      </c>
      <c r="L11768" s="202"/>
    </row>
    <row r="11769" spans="1:15" x14ac:dyDescent="0.2">
      <c r="A11769" s="120">
        <v>2025</v>
      </c>
      <c r="B11769" s="120">
        <v>12</v>
      </c>
      <c r="C11769" s="120">
        <v>15</v>
      </c>
      <c r="D11769" s="208">
        <f t="shared" si="1640"/>
        <v>46006</v>
      </c>
      <c r="E11769" s="209">
        <f t="shared" si="1639"/>
        <v>46006</v>
      </c>
      <c r="F11769" s="515"/>
      <c r="G11769" s="132" t="s">
        <v>1209</v>
      </c>
      <c r="J11769" s="120" t="s">
        <v>47</v>
      </c>
      <c r="K11769" s="207">
        <v>136820</v>
      </c>
      <c r="L11769" s="207"/>
    </row>
    <row r="11770" spans="1:15" x14ac:dyDescent="0.2">
      <c r="A11770" s="191">
        <v>2025</v>
      </c>
      <c r="B11770" s="191">
        <v>12</v>
      </c>
      <c r="C11770" s="191">
        <v>15</v>
      </c>
      <c r="D11770" s="192">
        <f t="shared" si="1640"/>
        <v>46006</v>
      </c>
      <c r="E11770" s="193">
        <f t="shared" si="1639"/>
        <v>46006</v>
      </c>
      <c r="F11770" s="514"/>
      <c r="G11770" s="194" t="s">
        <v>1209</v>
      </c>
      <c r="H11770" s="195"/>
      <c r="I11770" s="195"/>
      <c r="J11770" s="191" t="s">
        <v>46</v>
      </c>
      <c r="K11770" s="196"/>
      <c r="L11770" s="196">
        <v>500000</v>
      </c>
    </row>
    <row r="11771" spans="1:15" x14ac:dyDescent="0.2">
      <c r="A11771" s="197">
        <v>2025</v>
      </c>
      <c r="B11771" s="197">
        <v>12</v>
      </c>
      <c r="C11771" s="120">
        <v>15</v>
      </c>
      <c r="D11771" s="198">
        <f t="shared" si="1640"/>
        <v>46006</v>
      </c>
      <c r="E11771" s="209">
        <f t="shared" si="1639"/>
        <v>46006</v>
      </c>
      <c r="F11771" s="513" t="s">
        <v>2113</v>
      </c>
      <c r="G11771" s="200" t="s">
        <v>1209</v>
      </c>
      <c r="H11771" s="201"/>
      <c r="I11771" s="201"/>
      <c r="J11771" s="197" t="s">
        <v>46</v>
      </c>
      <c r="K11771" s="202">
        <v>1000000</v>
      </c>
      <c r="L11771" s="202"/>
    </row>
    <row r="11772" spans="1:15" x14ac:dyDescent="0.2">
      <c r="A11772" s="120">
        <v>2025</v>
      </c>
      <c r="B11772" s="120">
        <v>12</v>
      </c>
      <c r="C11772" s="120">
        <v>15</v>
      </c>
      <c r="D11772" s="208">
        <f t="shared" si="1640"/>
        <v>46006</v>
      </c>
      <c r="E11772" s="209">
        <f t="shared" si="1639"/>
        <v>46006</v>
      </c>
      <c r="F11772" s="515"/>
      <c r="G11772" s="132" t="s">
        <v>1209</v>
      </c>
      <c r="J11772" s="120" t="s">
        <v>16</v>
      </c>
      <c r="K11772" s="207"/>
      <c r="L11772" s="207">
        <v>727010</v>
      </c>
    </row>
    <row r="11773" spans="1:15" x14ac:dyDescent="0.2">
      <c r="A11773" s="191">
        <v>2025</v>
      </c>
      <c r="B11773" s="191">
        <v>12</v>
      </c>
      <c r="C11773" s="191">
        <v>15</v>
      </c>
      <c r="D11773" s="192">
        <f t="shared" si="1640"/>
        <v>46006</v>
      </c>
      <c r="E11773" s="193">
        <f t="shared" si="1639"/>
        <v>46006</v>
      </c>
      <c r="F11773" s="514"/>
      <c r="G11773" s="194" t="s">
        <v>1209</v>
      </c>
      <c r="H11773" s="195"/>
      <c r="I11773" s="195"/>
      <c r="J11773" s="191" t="s">
        <v>47</v>
      </c>
      <c r="K11773" s="196"/>
      <c r="L11773" s="196">
        <v>272990</v>
      </c>
    </row>
    <row r="11774" spans="1:15" x14ac:dyDescent="0.2">
      <c r="A11774" s="197">
        <v>2025</v>
      </c>
      <c r="B11774" s="197">
        <v>12</v>
      </c>
      <c r="C11774" s="197">
        <v>15</v>
      </c>
      <c r="D11774" s="198">
        <f t="shared" si="1640"/>
        <v>46006</v>
      </c>
      <c r="E11774" s="290">
        <f t="shared" si="1639"/>
        <v>46006</v>
      </c>
      <c r="F11774" s="513" t="s">
        <v>1514</v>
      </c>
      <c r="G11774" s="200" t="s">
        <v>1209</v>
      </c>
      <c r="H11774" s="201"/>
      <c r="I11774" s="201"/>
      <c r="J11774" s="197" t="s">
        <v>54</v>
      </c>
      <c r="K11774" s="202">
        <v>83</v>
      </c>
      <c r="L11774" s="202"/>
      <c r="M11774" s="251"/>
      <c r="N11774" s="251"/>
      <c r="O11774" s="251"/>
    </row>
    <row r="11775" spans="1:15" ht="11.25" customHeight="1" x14ac:dyDescent="0.2">
      <c r="A11775" s="191">
        <v>2025</v>
      </c>
      <c r="B11775" s="191">
        <v>12</v>
      </c>
      <c r="C11775" s="191">
        <v>15</v>
      </c>
      <c r="D11775" s="192">
        <f t="shared" si="1640"/>
        <v>46006</v>
      </c>
      <c r="E11775" s="291">
        <f t="shared" si="1639"/>
        <v>46006</v>
      </c>
      <c r="F11775" s="514"/>
      <c r="G11775" s="194" t="s">
        <v>1209</v>
      </c>
      <c r="H11775" s="195"/>
      <c r="I11775" s="195"/>
      <c r="J11775" s="191" t="s">
        <v>46</v>
      </c>
      <c r="K11775" s="196"/>
      <c r="L11775" s="196">
        <f>K11774</f>
        <v>83</v>
      </c>
      <c r="M11775" s="251"/>
    </row>
    <row r="11776" spans="1:15" x14ac:dyDescent="0.2">
      <c r="A11776" s="197">
        <v>2025</v>
      </c>
      <c r="B11776" s="197">
        <v>12</v>
      </c>
      <c r="C11776" s="120">
        <v>15</v>
      </c>
      <c r="D11776" s="198">
        <f t="shared" si="1640"/>
        <v>46006</v>
      </c>
      <c r="E11776" s="209">
        <f t="shared" si="1639"/>
        <v>46006</v>
      </c>
      <c r="F11776" s="513" t="s">
        <v>1280</v>
      </c>
      <c r="G11776" s="200" t="s">
        <v>1209</v>
      </c>
      <c r="H11776" s="201"/>
      <c r="I11776" s="201"/>
      <c r="J11776" s="197" t="s">
        <v>16</v>
      </c>
      <c r="K11776" s="202">
        <v>36320</v>
      </c>
      <c r="L11776" s="202"/>
    </row>
    <row r="11777" spans="1:13" x14ac:dyDescent="0.2">
      <c r="A11777" s="120">
        <v>2025</v>
      </c>
      <c r="B11777" s="120">
        <v>12</v>
      </c>
      <c r="C11777" s="120">
        <v>15</v>
      </c>
      <c r="D11777" s="208">
        <f t="shared" si="1640"/>
        <v>46006</v>
      </c>
      <c r="E11777" s="209">
        <f t="shared" si="1639"/>
        <v>46006</v>
      </c>
      <c r="F11777" s="515"/>
      <c r="G11777" s="132" t="s">
        <v>1209</v>
      </c>
      <c r="J11777" s="120" t="s">
        <v>47</v>
      </c>
      <c r="K11777" s="207">
        <v>13680</v>
      </c>
      <c r="L11777" s="207"/>
    </row>
    <row r="11778" spans="1:13" x14ac:dyDescent="0.2">
      <c r="A11778" s="191">
        <v>2025</v>
      </c>
      <c r="B11778" s="191">
        <v>12</v>
      </c>
      <c r="C11778" s="191">
        <v>15</v>
      </c>
      <c r="D11778" s="192">
        <f t="shared" si="1640"/>
        <v>46006</v>
      </c>
      <c r="E11778" s="193">
        <f t="shared" si="1639"/>
        <v>46006</v>
      </c>
      <c r="F11778" s="514"/>
      <c r="G11778" s="194" t="s">
        <v>1209</v>
      </c>
      <c r="H11778" s="195"/>
      <c r="I11778" s="195"/>
      <c r="J11778" s="191" t="s">
        <v>46</v>
      </c>
      <c r="K11778" s="196"/>
      <c r="L11778" s="196">
        <v>50000</v>
      </c>
    </row>
    <row r="11779" spans="1:13" x14ac:dyDescent="0.2">
      <c r="A11779" s="197">
        <v>2025</v>
      </c>
      <c r="B11779" s="197">
        <v>12</v>
      </c>
      <c r="C11779" s="120">
        <v>15</v>
      </c>
      <c r="D11779" s="198">
        <f t="shared" si="1640"/>
        <v>46006</v>
      </c>
      <c r="E11779" s="209">
        <f t="shared" ref="E11779:E11781" si="1641">DATE(A11779,B11779,C11779)</f>
        <v>46006</v>
      </c>
      <c r="F11779" s="513" t="s">
        <v>1296</v>
      </c>
      <c r="G11779" s="200" t="s">
        <v>1209</v>
      </c>
      <c r="H11779" s="201"/>
      <c r="I11779" s="201"/>
      <c r="J11779" s="197" t="s">
        <v>46</v>
      </c>
      <c r="K11779" s="202">
        <v>110000</v>
      </c>
      <c r="L11779" s="202"/>
    </row>
    <row r="11780" spans="1:13" x14ac:dyDescent="0.2">
      <c r="A11780" s="120">
        <v>2025</v>
      </c>
      <c r="B11780" s="120">
        <v>12</v>
      </c>
      <c r="C11780" s="120">
        <v>15</v>
      </c>
      <c r="D11780" s="208">
        <f t="shared" si="1640"/>
        <v>46006</v>
      </c>
      <c r="E11780" s="209">
        <f t="shared" si="1641"/>
        <v>46006</v>
      </c>
      <c r="F11780" s="515"/>
      <c r="G11780" s="132" t="s">
        <v>1209</v>
      </c>
      <c r="J11780" s="120" t="s">
        <v>16</v>
      </c>
      <c r="K11780" s="207"/>
      <c r="L11780" s="207">
        <v>79900</v>
      </c>
    </row>
    <row r="11781" spans="1:13" x14ac:dyDescent="0.2">
      <c r="A11781" s="191">
        <v>2025</v>
      </c>
      <c r="B11781" s="191">
        <v>12</v>
      </c>
      <c r="C11781" s="191">
        <v>15</v>
      </c>
      <c r="D11781" s="192">
        <f t="shared" si="1640"/>
        <v>46006</v>
      </c>
      <c r="E11781" s="193">
        <f t="shared" si="1641"/>
        <v>46006</v>
      </c>
      <c r="F11781" s="514"/>
      <c r="G11781" s="194" t="s">
        <v>1209</v>
      </c>
      <c r="H11781" s="195"/>
      <c r="I11781" s="195"/>
      <c r="J11781" s="191" t="s">
        <v>47</v>
      </c>
      <c r="K11781" s="196"/>
      <c r="L11781" s="196">
        <v>30100</v>
      </c>
    </row>
    <row r="11782" spans="1:13" x14ac:dyDescent="0.2">
      <c r="A11782" s="424">
        <v>2025</v>
      </c>
      <c r="B11782" s="424">
        <v>12</v>
      </c>
      <c r="C11782" s="424">
        <v>15</v>
      </c>
      <c r="D11782" s="425">
        <f t="shared" si="1640"/>
        <v>46006</v>
      </c>
      <c r="E11782" s="384">
        <f t="shared" si="1639"/>
        <v>46006</v>
      </c>
      <c r="F11782" s="516" t="s">
        <v>1850</v>
      </c>
      <c r="G11782" s="426" t="s">
        <v>1209</v>
      </c>
      <c r="H11782" s="427"/>
      <c r="I11782" s="427"/>
      <c r="J11782" s="428" t="s">
        <v>81</v>
      </c>
      <c r="K11782" s="429">
        <v>1595.8173626373627</v>
      </c>
      <c r="L11782" s="429"/>
      <c r="M11782" s="455"/>
    </row>
    <row r="11783" spans="1:13" x14ac:dyDescent="0.2">
      <c r="A11783" s="389">
        <v>2025</v>
      </c>
      <c r="B11783" s="389">
        <v>12</v>
      </c>
      <c r="C11783" s="389">
        <v>15</v>
      </c>
      <c r="D11783" s="390">
        <f t="shared" si="1640"/>
        <v>46006</v>
      </c>
      <c r="E11783" s="391">
        <f t="shared" si="1639"/>
        <v>46006</v>
      </c>
      <c r="F11783" s="517"/>
      <c r="G11783" s="392" t="s">
        <v>1209</v>
      </c>
      <c r="H11783" s="393"/>
      <c r="I11783" s="393"/>
      <c r="J11783" s="394" t="s">
        <v>1847</v>
      </c>
      <c r="K11783" s="423"/>
      <c r="L11783" s="423">
        <f>K11782</f>
        <v>1595.8173626373627</v>
      </c>
    </row>
    <row r="11784" spans="1:13" ht="11.25" customHeight="1" x14ac:dyDescent="0.2">
      <c r="A11784" s="382">
        <v>2025</v>
      </c>
      <c r="B11784" s="382">
        <v>12</v>
      </c>
      <c r="C11784" s="382">
        <v>15</v>
      </c>
      <c r="D11784" s="383">
        <f t="shared" si="1640"/>
        <v>46006</v>
      </c>
      <c r="E11784" s="384">
        <f t="shared" si="1639"/>
        <v>46006</v>
      </c>
      <c r="F11784" s="516" t="s">
        <v>1892</v>
      </c>
      <c r="G11784" s="385" t="s">
        <v>1209</v>
      </c>
      <c r="H11784" s="386"/>
      <c r="I11784" s="386"/>
      <c r="J11784" s="387" t="s">
        <v>173</v>
      </c>
      <c r="K11784" s="388">
        <v>625.73412836160719</v>
      </c>
      <c r="L11784" s="388"/>
      <c r="M11784" s="455"/>
    </row>
    <row r="11785" spans="1:13" ht="11.25" customHeight="1" x14ac:dyDescent="0.2">
      <c r="A11785" s="389">
        <v>2025</v>
      </c>
      <c r="B11785" s="389">
        <v>12</v>
      </c>
      <c r="C11785" s="389">
        <v>15</v>
      </c>
      <c r="D11785" s="390">
        <f t="shared" si="1640"/>
        <v>46006</v>
      </c>
      <c r="E11785" s="391">
        <f t="shared" si="1639"/>
        <v>46006</v>
      </c>
      <c r="F11785" s="517"/>
      <c r="G11785" s="392" t="s">
        <v>1209</v>
      </c>
      <c r="H11785" s="393"/>
      <c r="I11785" s="393"/>
      <c r="J11785" s="394" t="s">
        <v>43</v>
      </c>
      <c r="K11785" s="388"/>
      <c r="L11785" s="423">
        <f>K11784</f>
        <v>625.73412836160719</v>
      </c>
    </row>
    <row r="11786" spans="1:13" ht="11.25" customHeight="1" x14ac:dyDescent="0.2">
      <c r="A11786" s="344">
        <v>2025</v>
      </c>
      <c r="B11786" s="344">
        <v>12</v>
      </c>
      <c r="C11786" s="344">
        <v>15</v>
      </c>
      <c r="D11786" s="345">
        <f t="shared" si="1640"/>
        <v>46006</v>
      </c>
      <c r="E11786" s="346">
        <f t="shared" si="1639"/>
        <v>46006</v>
      </c>
      <c r="F11786" s="518" t="s">
        <v>1982</v>
      </c>
      <c r="G11786" s="347" t="s">
        <v>1245</v>
      </c>
      <c r="H11786" s="348"/>
      <c r="I11786" s="348" t="s">
        <v>1253</v>
      </c>
      <c r="J11786" s="344" t="s">
        <v>1978</v>
      </c>
      <c r="K11786" s="349">
        <v>21249.725274725275</v>
      </c>
      <c r="L11786" s="349"/>
      <c r="M11786" s="455"/>
    </row>
    <row r="11787" spans="1:13" ht="11.25" customHeight="1" x14ac:dyDescent="0.2">
      <c r="A11787" s="350">
        <v>2025</v>
      </c>
      <c r="B11787" s="350">
        <v>12</v>
      </c>
      <c r="C11787" s="350">
        <v>15</v>
      </c>
      <c r="D11787" s="351">
        <f t="shared" si="1640"/>
        <v>46006</v>
      </c>
      <c r="E11787" s="352">
        <f t="shared" si="1639"/>
        <v>46006</v>
      </c>
      <c r="F11787" s="519"/>
      <c r="G11787" s="353" t="s">
        <v>1245</v>
      </c>
      <c r="H11787" s="354"/>
      <c r="I11787" s="354" t="s">
        <v>1253</v>
      </c>
      <c r="J11787" s="350" t="s">
        <v>1979</v>
      </c>
      <c r="K11787" s="355"/>
      <c r="L11787" s="355">
        <f>K11786</f>
        <v>21249.725274725275</v>
      </c>
    </row>
    <row r="11788" spans="1:13" ht="11.25" customHeight="1" x14ac:dyDescent="0.2">
      <c r="A11788" s="344">
        <v>2025</v>
      </c>
      <c r="B11788" s="344">
        <v>12</v>
      </c>
      <c r="C11788" s="344">
        <v>15</v>
      </c>
      <c r="D11788" s="345">
        <f t="shared" si="1640"/>
        <v>46006</v>
      </c>
      <c r="E11788" s="346">
        <f t="shared" si="1639"/>
        <v>46006</v>
      </c>
      <c r="F11788" s="518" t="s">
        <v>2009</v>
      </c>
      <c r="G11788" s="347" t="s">
        <v>1245</v>
      </c>
      <c r="H11788" s="348"/>
      <c r="I11788" s="348" t="s">
        <v>1253</v>
      </c>
      <c r="J11788" s="344" t="s">
        <v>2004</v>
      </c>
      <c r="K11788" s="349">
        <v>7098.9014285714284</v>
      </c>
      <c r="L11788" s="349"/>
      <c r="M11788" s="455"/>
    </row>
    <row r="11789" spans="1:13" ht="11.25" customHeight="1" x14ac:dyDescent="0.2">
      <c r="A11789" s="350">
        <v>2025</v>
      </c>
      <c r="B11789" s="350">
        <v>12</v>
      </c>
      <c r="C11789" s="350">
        <v>15</v>
      </c>
      <c r="D11789" s="351">
        <f t="shared" si="1640"/>
        <v>46006</v>
      </c>
      <c r="E11789" s="352">
        <f t="shared" si="1639"/>
        <v>46006</v>
      </c>
      <c r="F11789" s="519"/>
      <c r="G11789" s="353" t="s">
        <v>1245</v>
      </c>
      <c r="H11789" s="354"/>
      <c r="I11789" s="354" t="s">
        <v>1253</v>
      </c>
      <c r="J11789" s="350" t="s">
        <v>2008</v>
      </c>
      <c r="K11789" s="355"/>
      <c r="L11789" s="355">
        <f t="shared" ref="L11789" si="1642">K11788</f>
        <v>7098.9014285714284</v>
      </c>
    </row>
    <row r="11790" spans="1:13" ht="11.25" customHeight="1" x14ac:dyDescent="0.2">
      <c r="A11790" s="344">
        <v>2025</v>
      </c>
      <c r="B11790" s="344">
        <v>12</v>
      </c>
      <c r="C11790" s="344">
        <v>15</v>
      </c>
      <c r="D11790" s="345">
        <f t="shared" si="1640"/>
        <v>46006</v>
      </c>
      <c r="E11790" s="346">
        <f t="shared" si="1639"/>
        <v>46006</v>
      </c>
      <c r="F11790" s="518" t="s">
        <v>2009</v>
      </c>
      <c r="G11790" s="347" t="s">
        <v>1245</v>
      </c>
      <c r="H11790" s="348"/>
      <c r="I11790" s="348" t="s">
        <v>1253</v>
      </c>
      <c r="J11790" s="344" t="s">
        <v>2004</v>
      </c>
      <c r="K11790" s="349">
        <v>7098.9014285714284</v>
      </c>
      <c r="L11790" s="349"/>
      <c r="M11790" s="455"/>
    </row>
    <row r="11791" spans="1:13" ht="11.25" customHeight="1" x14ac:dyDescent="0.2">
      <c r="A11791" s="350">
        <v>2025</v>
      </c>
      <c r="B11791" s="350">
        <v>12</v>
      </c>
      <c r="C11791" s="350">
        <v>15</v>
      </c>
      <c r="D11791" s="351">
        <f t="shared" si="1640"/>
        <v>46006</v>
      </c>
      <c r="E11791" s="352">
        <f t="shared" si="1639"/>
        <v>46006</v>
      </c>
      <c r="F11791" s="519"/>
      <c r="G11791" s="353" t="s">
        <v>1245</v>
      </c>
      <c r="H11791" s="354"/>
      <c r="I11791" s="354" t="s">
        <v>1253</v>
      </c>
      <c r="J11791" s="350" t="s">
        <v>2008</v>
      </c>
      <c r="K11791" s="355"/>
      <c r="L11791" s="355">
        <f t="shared" ref="L11791" si="1643">K11790</f>
        <v>7098.9014285714284</v>
      </c>
    </row>
    <row r="11792" spans="1:13" ht="11.25" customHeight="1" x14ac:dyDescent="0.2">
      <c r="A11792" s="344">
        <v>2025</v>
      </c>
      <c r="B11792" s="344">
        <v>12</v>
      </c>
      <c r="C11792" s="344">
        <v>15</v>
      </c>
      <c r="D11792" s="345">
        <f t="shared" si="1640"/>
        <v>46006</v>
      </c>
      <c r="E11792" s="346">
        <f t="shared" si="1639"/>
        <v>46006</v>
      </c>
      <c r="F11792" s="518" t="s">
        <v>2088</v>
      </c>
      <c r="G11792" s="347" t="s">
        <v>1245</v>
      </c>
      <c r="H11792" s="348"/>
      <c r="I11792" s="348" t="s">
        <v>1253</v>
      </c>
      <c r="J11792" s="344" t="s">
        <v>2086</v>
      </c>
      <c r="K11792" s="349">
        <v>1789.835164835165</v>
      </c>
      <c r="L11792" s="349"/>
      <c r="M11792" s="455"/>
    </row>
    <row r="11793" spans="1:16" ht="11.25" customHeight="1" x14ac:dyDescent="0.2">
      <c r="A11793" s="350">
        <v>2025</v>
      </c>
      <c r="B11793" s="350">
        <v>12</v>
      </c>
      <c r="C11793" s="350">
        <v>15</v>
      </c>
      <c r="D11793" s="351">
        <f t="shared" si="1640"/>
        <v>46006</v>
      </c>
      <c r="E11793" s="352">
        <f t="shared" si="1639"/>
        <v>46006</v>
      </c>
      <c r="F11793" s="519"/>
      <c r="G11793" s="353" t="s">
        <v>1245</v>
      </c>
      <c r="H11793" s="354"/>
      <c r="I11793" s="354" t="s">
        <v>1253</v>
      </c>
      <c r="J11793" s="350" t="s">
        <v>2089</v>
      </c>
      <c r="K11793" s="355"/>
      <c r="L11793" s="355">
        <f>K11792</f>
        <v>1789.835164835165</v>
      </c>
    </row>
    <row r="11794" spans="1:16" ht="11.25" customHeight="1" x14ac:dyDescent="0.2">
      <c r="A11794" s="344">
        <v>2025</v>
      </c>
      <c r="B11794" s="344">
        <v>12</v>
      </c>
      <c r="C11794" s="344">
        <v>15</v>
      </c>
      <c r="D11794" s="345">
        <f t="shared" si="1640"/>
        <v>46006</v>
      </c>
      <c r="E11794" s="346">
        <f>DATE(A11794,B11794,C11794)</f>
        <v>46006</v>
      </c>
      <c r="F11794" s="518" t="s">
        <v>1988</v>
      </c>
      <c r="G11794" s="347" t="s">
        <v>1245</v>
      </c>
      <c r="H11794" s="348"/>
      <c r="I11794" s="348" t="s">
        <v>1253</v>
      </c>
      <c r="J11794" s="344" t="s">
        <v>113</v>
      </c>
      <c r="K11794" s="349">
        <v>4692.3071428571429</v>
      </c>
      <c r="L11794" s="349"/>
      <c r="M11794" s="455"/>
    </row>
    <row r="11795" spans="1:16" ht="11.25" customHeight="1" x14ac:dyDescent="0.2">
      <c r="A11795" s="350">
        <v>2025</v>
      </c>
      <c r="B11795" s="350">
        <v>12</v>
      </c>
      <c r="C11795" s="350">
        <v>15</v>
      </c>
      <c r="D11795" s="351">
        <f t="shared" si="1640"/>
        <v>46006</v>
      </c>
      <c r="E11795" s="352">
        <f>DATE(A11795,B11795,C11795)</f>
        <v>46006</v>
      </c>
      <c r="F11795" s="519"/>
      <c r="G11795" s="353" t="s">
        <v>1245</v>
      </c>
      <c r="H11795" s="354"/>
      <c r="I11795" s="354" t="s">
        <v>1253</v>
      </c>
      <c r="J11795" s="350" t="s">
        <v>153</v>
      </c>
      <c r="K11795" s="355"/>
      <c r="L11795" s="355">
        <f t="shared" ref="L11795" si="1644">K11794</f>
        <v>4692.3071428571429</v>
      </c>
    </row>
    <row r="11796" spans="1:16" ht="11.25" customHeight="1" x14ac:dyDescent="0.2">
      <c r="A11796" s="344">
        <v>2025</v>
      </c>
      <c r="B11796" s="344">
        <v>12</v>
      </c>
      <c r="C11796" s="344">
        <v>15</v>
      </c>
      <c r="D11796" s="345">
        <f t="shared" si="1640"/>
        <v>46006</v>
      </c>
      <c r="E11796" s="346">
        <f t="shared" ref="E11796:E11802" si="1645">DATE(A11796,B11796,C11796)</f>
        <v>46006</v>
      </c>
      <c r="F11796" s="518" t="s">
        <v>1989</v>
      </c>
      <c r="G11796" s="347" t="s">
        <v>1245</v>
      </c>
      <c r="H11796" s="348"/>
      <c r="I11796" s="348" t="s">
        <v>1253</v>
      </c>
      <c r="J11796" s="344" t="s">
        <v>113</v>
      </c>
      <c r="K11796" s="349">
        <v>3351.6483516483518</v>
      </c>
      <c r="L11796" s="349"/>
      <c r="M11796" s="455"/>
    </row>
    <row r="11797" spans="1:16" ht="11.25" customHeight="1" x14ac:dyDescent="0.2">
      <c r="A11797" s="350">
        <v>2025</v>
      </c>
      <c r="B11797" s="350">
        <v>12</v>
      </c>
      <c r="C11797" s="350">
        <v>15</v>
      </c>
      <c r="D11797" s="351">
        <f t="shared" si="1640"/>
        <v>46006</v>
      </c>
      <c r="E11797" s="352">
        <f t="shared" si="1645"/>
        <v>46006</v>
      </c>
      <c r="F11797" s="519"/>
      <c r="G11797" s="353" t="s">
        <v>1245</v>
      </c>
      <c r="H11797" s="354"/>
      <c r="I11797" s="354" t="s">
        <v>1253</v>
      </c>
      <c r="J11797" s="350" t="s">
        <v>153</v>
      </c>
      <c r="K11797" s="355"/>
      <c r="L11797" s="355">
        <f t="shared" ref="L11797" si="1646">K11796</f>
        <v>3351.6483516483518</v>
      </c>
    </row>
    <row r="11798" spans="1:16" ht="11.25" customHeight="1" x14ac:dyDescent="0.2">
      <c r="A11798" s="344">
        <v>2025</v>
      </c>
      <c r="B11798" s="344">
        <v>12</v>
      </c>
      <c r="C11798" s="344">
        <v>15</v>
      </c>
      <c r="D11798" s="345">
        <f t="shared" si="1640"/>
        <v>46006</v>
      </c>
      <c r="E11798" s="346">
        <f t="shared" si="1645"/>
        <v>46006</v>
      </c>
      <c r="F11798" s="518" t="s">
        <v>1990</v>
      </c>
      <c r="G11798" s="347" t="s">
        <v>1245</v>
      </c>
      <c r="H11798" s="348"/>
      <c r="I11798" s="348" t="s">
        <v>1253</v>
      </c>
      <c r="J11798" s="344" t="s">
        <v>113</v>
      </c>
      <c r="K11798" s="349">
        <v>10054.945714285714</v>
      </c>
      <c r="L11798" s="349"/>
      <c r="M11798" s="455"/>
      <c r="N11798" s="251"/>
      <c r="O11798" s="251"/>
      <c r="P11798" s="251"/>
    </row>
    <row r="11799" spans="1:16" ht="11.25" customHeight="1" x14ac:dyDescent="0.2">
      <c r="A11799" s="350">
        <v>2025</v>
      </c>
      <c r="B11799" s="350">
        <v>12</v>
      </c>
      <c r="C11799" s="350">
        <v>15</v>
      </c>
      <c r="D11799" s="351">
        <f t="shared" si="1640"/>
        <v>46006</v>
      </c>
      <c r="E11799" s="352">
        <f t="shared" si="1645"/>
        <v>46006</v>
      </c>
      <c r="F11799" s="519"/>
      <c r="G11799" s="353" t="s">
        <v>1245</v>
      </c>
      <c r="H11799" s="354"/>
      <c r="I11799" s="354" t="s">
        <v>1253</v>
      </c>
      <c r="J11799" s="350" t="s">
        <v>153</v>
      </c>
      <c r="K11799" s="355"/>
      <c r="L11799" s="355">
        <f t="shared" ref="L11799" si="1647">K11798</f>
        <v>10054.945714285714</v>
      </c>
    </row>
    <row r="11800" spans="1:16" ht="11.25" customHeight="1" x14ac:dyDescent="0.2">
      <c r="A11800" s="344">
        <v>2025</v>
      </c>
      <c r="B11800" s="344">
        <v>12</v>
      </c>
      <c r="C11800" s="344">
        <v>15</v>
      </c>
      <c r="D11800" s="345">
        <f t="shared" si="1640"/>
        <v>46006</v>
      </c>
      <c r="E11800" s="346">
        <f t="shared" si="1645"/>
        <v>46006</v>
      </c>
      <c r="F11800" s="518" t="s">
        <v>2107</v>
      </c>
      <c r="G11800" s="347" t="s">
        <v>1245</v>
      </c>
      <c r="H11800" s="348"/>
      <c r="I11800" s="348" t="s">
        <v>1253</v>
      </c>
      <c r="J11800" s="344" t="s">
        <v>113</v>
      </c>
      <c r="K11800" s="349">
        <v>12370.879120879121</v>
      </c>
      <c r="L11800" s="349"/>
      <c r="M11800" s="455"/>
      <c r="N11800" s="251"/>
      <c r="O11800" s="251"/>
      <c r="P11800" s="251"/>
    </row>
    <row r="11801" spans="1:16" ht="11.25" customHeight="1" x14ac:dyDescent="0.2">
      <c r="A11801" s="350">
        <v>2025</v>
      </c>
      <c r="B11801" s="350">
        <v>12</v>
      </c>
      <c r="C11801" s="350">
        <v>15</v>
      </c>
      <c r="D11801" s="351">
        <f t="shared" si="1640"/>
        <v>46006</v>
      </c>
      <c r="E11801" s="352">
        <f t="shared" si="1645"/>
        <v>46006</v>
      </c>
      <c r="F11801" s="519"/>
      <c r="G11801" s="353" t="s">
        <v>1245</v>
      </c>
      <c r="H11801" s="354"/>
      <c r="I11801" s="354" t="s">
        <v>1253</v>
      </c>
      <c r="J11801" s="350" t="s">
        <v>153</v>
      </c>
      <c r="K11801" s="355"/>
      <c r="L11801" s="355">
        <f t="shared" ref="L11801" si="1648">K11800</f>
        <v>12370.879120879121</v>
      </c>
    </row>
    <row r="11802" spans="1:16" ht="11.25" customHeight="1" x14ac:dyDescent="0.2">
      <c r="A11802" s="210">
        <v>2025</v>
      </c>
      <c r="B11802" s="210">
        <v>12</v>
      </c>
      <c r="C11802" s="210">
        <v>15</v>
      </c>
      <c r="D11802" s="211">
        <f t="shared" si="1640"/>
        <v>46006</v>
      </c>
      <c r="E11802" s="238">
        <f t="shared" si="1645"/>
        <v>46006</v>
      </c>
      <c r="F11802" s="520" t="s">
        <v>1857</v>
      </c>
      <c r="G11802" s="213" t="s">
        <v>1245</v>
      </c>
      <c r="H11802" s="214"/>
      <c r="I11802" s="214" t="s">
        <v>1253</v>
      </c>
      <c r="J11802" s="210" t="s">
        <v>1284</v>
      </c>
      <c r="K11802" s="215">
        <v>334.54448777029421</v>
      </c>
      <c r="L11802" s="215"/>
      <c r="M11802" s="455"/>
    </row>
    <row r="11803" spans="1:16" ht="11.25" customHeight="1" x14ac:dyDescent="0.2">
      <c r="A11803" s="242">
        <v>2025</v>
      </c>
      <c r="B11803" s="242">
        <v>12</v>
      </c>
      <c r="C11803" s="242">
        <v>15</v>
      </c>
      <c r="D11803" s="243">
        <f t="shared" si="1640"/>
        <v>46006</v>
      </c>
      <c r="E11803" s="244">
        <f>DATE(A11803,B11803,C11803)</f>
        <v>46006</v>
      </c>
      <c r="F11803" s="524"/>
      <c r="G11803" s="245" t="s">
        <v>1245</v>
      </c>
      <c r="H11803" s="246"/>
      <c r="I11803" s="246"/>
      <c r="J11803" s="242" t="s">
        <v>1582</v>
      </c>
      <c r="K11803" s="247"/>
      <c r="L11803" s="247">
        <f>K11802</f>
        <v>334.54448777029421</v>
      </c>
    </row>
    <row r="11804" spans="1:16" ht="11.25" customHeight="1" x14ac:dyDescent="0.2">
      <c r="A11804" s="210">
        <v>2025</v>
      </c>
      <c r="B11804" s="210">
        <v>12</v>
      </c>
      <c r="C11804" s="210">
        <v>15</v>
      </c>
      <c r="D11804" s="211">
        <f t="shared" si="1640"/>
        <v>46006</v>
      </c>
      <c r="E11804" s="238">
        <f t="shared" ref="E11804:E11965" si="1649">DATE(A11804,B11804,C11804)</f>
        <v>46006</v>
      </c>
      <c r="F11804" s="520" t="s">
        <v>2055</v>
      </c>
      <c r="G11804" s="213" t="s">
        <v>1245</v>
      </c>
      <c r="H11804" s="214"/>
      <c r="I11804" s="214" t="s">
        <v>1253</v>
      </c>
      <c r="J11804" s="210" t="s">
        <v>58</v>
      </c>
      <c r="K11804" s="215">
        <v>2219.44</v>
      </c>
      <c r="L11804" s="215"/>
    </row>
    <row r="11805" spans="1:16" ht="11.25" customHeight="1" x14ac:dyDescent="0.2">
      <c r="A11805" s="216">
        <v>2025</v>
      </c>
      <c r="B11805" s="216">
        <v>12</v>
      </c>
      <c r="C11805" s="216">
        <v>15</v>
      </c>
      <c r="D11805" s="217">
        <f t="shared" si="1640"/>
        <v>46006</v>
      </c>
      <c r="E11805" s="239">
        <f t="shared" si="1649"/>
        <v>46006</v>
      </c>
      <c r="F11805" s="521"/>
      <c r="G11805" s="219" t="s">
        <v>1245</v>
      </c>
      <c r="H11805" s="220"/>
      <c r="I11805" s="220" t="s">
        <v>1253</v>
      </c>
      <c r="J11805" s="216" t="s">
        <v>153</v>
      </c>
      <c r="K11805" s="221"/>
      <c r="L11805" s="221">
        <f>K11804</f>
        <v>2219.44</v>
      </c>
    </row>
    <row r="11806" spans="1:16" ht="11.25" customHeight="1" x14ac:dyDescent="0.2">
      <c r="A11806" s="312">
        <v>2025</v>
      </c>
      <c r="B11806" s="312">
        <v>12</v>
      </c>
      <c r="C11806" s="312">
        <v>15</v>
      </c>
      <c r="D11806" s="313">
        <f t="shared" si="1640"/>
        <v>46006</v>
      </c>
      <c r="E11806" s="314">
        <f t="shared" si="1649"/>
        <v>46006</v>
      </c>
      <c r="F11806" s="522" t="s">
        <v>1477</v>
      </c>
      <c r="G11806" s="315" t="s">
        <v>1245</v>
      </c>
      <c r="H11806" s="316"/>
      <c r="I11806" s="316" t="s">
        <v>1253</v>
      </c>
      <c r="J11806" s="312" t="s">
        <v>1458</v>
      </c>
      <c r="K11806" s="317">
        <v>0</v>
      </c>
      <c r="L11806" s="317"/>
    </row>
    <row r="11807" spans="1:16" ht="11.25" customHeight="1" x14ac:dyDescent="0.2">
      <c r="A11807" s="318">
        <v>2025</v>
      </c>
      <c r="B11807" s="318">
        <v>12</v>
      </c>
      <c r="C11807" s="318">
        <v>15</v>
      </c>
      <c r="D11807" s="319">
        <f t="shared" si="1640"/>
        <v>46006</v>
      </c>
      <c r="E11807" s="320">
        <f t="shared" si="1649"/>
        <v>46006</v>
      </c>
      <c r="F11807" s="523"/>
      <c r="G11807" s="321" t="s">
        <v>1245</v>
      </c>
      <c r="H11807" s="322"/>
      <c r="I11807" s="322" t="s">
        <v>1253</v>
      </c>
      <c r="J11807" s="318" t="s">
        <v>1460</v>
      </c>
      <c r="K11807" s="323"/>
      <c r="L11807" s="323">
        <f>K11806</f>
        <v>0</v>
      </c>
    </row>
    <row r="11808" spans="1:16" ht="11.25" customHeight="1" x14ac:dyDescent="0.2">
      <c r="A11808" s="312">
        <v>2025</v>
      </c>
      <c r="B11808" s="312">
        <v>12</v>
      </c>
      <c r="C11808" s="312">
        <v>15</v>
      </c>
      <c r="D11808" s="313">
        <f t="shared" si="1640"/>
        <v>46006</v>
      </c>
      <c r="E11808" s="314">
        <f t="shared" si="1649"/>
        <v>46006</v>
      </c>
      <c r="F11808" s="522" t="s">
        <v>1595</v>
      </c>
      <c r="G11808" s="315" t="s">
        <v>1245</v>
      </c>
      <c r="H11808" s="316"/>
      <c r="I11808" s="316" t="s">
        <v>1253</v>
      </c>
      <c r="J11808" s="312" t="s">
        <v>1461</v>
      </c>
      <c r="K11808" s="317">
        <v>95231.488000094891</v>
      </c>
      <c r="L11808" s="317"/>
      <c r="M11808" s="328">
        <f>BS!$I$14</f>
        <v>0</v>
      </c>
    </row>
    <row r="11809" spans="1:15" ht="11.25" customHeight="1" x14ac:dyDescent="0.2">
      <c r="A11809" s="318">
        <v>2025</v>
      </c>
      <c r="B11809" s="318">
        <v>12</v>
      </c>
      <c r="C11809" s="318">
        <v>15</v>
      </c>
      <c r="D11809" s="319">
        <f t="shared" si="1640"/>
        <v>46006</v>
      </c>
      <c r="E11809" s="320">
        <f t="shared" si="1649"/>
        <v>46006</v>
      </c>
      <c r="F11809" s="523"/>
      <c r="G11809" s="321" t="s">
        <v>1245</v>
      </c>
      <c r="H11809" s="322"/>
      <c r="I11809" s="322" t="s">
        <v>1253</v>
      </c>
      <c r="J11809" s="318" t="s">
        <v>1459</v>
      </c>
      <c r="K11809" s="323"/>
      <c r="L11809" s="323">
        <f>K11808</f>
        <v>95231.488000094891</v>
      </c>
      <c r="M11809" s="328"/>
    </row>
    <row r="11810" spans="1:15" ht="11.25" customHeight="1" x14ac:dyDescent="0.2">
      <c r="A11810" s="222">
        <v>2025</v>
      </c>
      <c r="B11810" s="222">
        <v>12</v>
      </c>
      <c r="C11810" s="222">
        <v>15</v>
      </c>
      <c r="D11810" s="223">
        <f t="shared" si="1640"/>
        <v>46006</v>
      </c>
      <c r="E11810" s="240">
        <f t="shared" si="1649"/>
        <v>46006</v>
      </c>
      <c r="F11810" s="511" t="s">
        <v>1244</v>
      </c>
      <c r="G11810" s="225" t="s">
        <v>1245</v>
      </c>
      <c r="H11810" s="226"/>
      <c r="I11810" s="226" t="s">
        <v>1253</v>
      </c>
      <c r="J11810" s="222" t="s">
        <v>87</v>
      </c>
      <c r="K11810" s="227">
        <v>2598</v>
      </c>
      <c r="L11810" s="227"/>
      <c r="M11810" s="328">
        <f>BS!$I$7</f>
        <v>0</v>
      </c>
    </row>
    <row r="11811" spans="1:15" ht="11.25" customHeight="1" x14ac:dyDescent="0.2">
      <c r="A11811" s="228">
        <v>2025</v>
      </c>
      <c r="B11811" s="228">
        <v>12</v>
      </c>
      <c r="C11811" s="228">
        <v>15</v>
      </c>
      <c r="D11811" s="229">
        <f t="shared" si="1640"/>
        <v>46006</v>
      </c>
      <c r="E11811" s="241">
        <f t="shared" si="1649"/>
        <v>46006</v>
      </c>
      <c r="F11811" s="512"/>
      <c r="G11811" s="231" t="s">
        <v>1245</v>
      </c>
      <c r="H11811" s="232"/>
      <c r="I11811" s="232" t="s">
        <v>1253</v>
      </c>
      <c r="J11811" s="228" t="s">
        <v>72</v>
      </c>
      <c r="K11811" s="233"/>
      <c r="L11811" s="233">
        <f>K11810</f>
        <v>2598</v>
      </c>
    </row>
    <row r="11812" spans="1:15" ht="11.25" customHeight="1" x14ac:dyDescent="0.2">
      <c r="A11812" s="222">
        <v>2025</v>
      </c>
      <c r="B11812" s="222">
        <v>12</v>
      </c>
      <c r="C11812" s="222">
        <v>15</v>
      </c>
      <c r="D11812" s="223">
        <f t="shared" si="1640"/>
        <v>46006</v>
      </c>
      <c r="E11812" s="240">
        <f t="shared" si="1649"/>
        <v>46006</v>
      </c>
      <c r="F11812" s="511" t="s">
        <v>1246</v>
      </c>
      <c r="G11812" s="225" t="s">
        <v>1245</v>
      </c>
      <c r="H11812" s="226"/>
      <c r="I11812" s="226" t="s">
        <v>1253</v>
      </c>
      <c r="J11812" s="222" t="s">
        <v>75</v>
      </c>
      <c r="K11812" s="227">
        <v>517.58912087912086</v>
      </c>
      <c r="L11812" s="227"/>
      <c r="M11812" s="455"/>
    </row>
    <row r="11813" spans="1:15" ht="11.25" customHeight="1" x14ac:dyDescent="0.2">
      <c r="A11813" s="228">
        <v>2025</v>
      </c>
      <c r="B11813" s="228">
        <v>12</v>
      </c>
      <c r="C11813" s="228">
        <v>15</v>
      </c>
      <c r="D11813" s="229">
        <f t="shared" si="1640"/>
        <v>46006</v>
      </c>
      <c r="E11813" s="241">
        <f t="shared" si="1649"/>
        <v>46006</v>
      </c>
      <c r="F11813" s="512"/>
      <c r="G11813" s="231" t="s">
        <v>1245</v>
      </c>
      <c r="H11813" s="232"/>
      <c r="I11813" s="232" t="s">
        <v>1253</v>
      </c>
      <c r="J11813" s="228" t="s">
        <v>55</v>
      </c>
      <c r="K11813" s="233"/>
      <c r="L11813" s="233">
        <f>K11812</f>
        <v>517.58912087912086</v>
      </c>
    </row>
    <row r="11814" spans="1:15" ht="11.25" customHeight="1" x14ac:dyDescent="0.2">
      <c r="A11814" s="222">
        <v>2025</v>
      </c>
      <c r="B11814" s="222">
        <v>12</v>
      </c>
      <c r="C11814" s="222">
        <v>15</v>
      </c>
      <c r="D11814" s="223">
        <f t="shared" si="1640"/>
        <v>46006</v>
      </c>
      <c r="E11814" s="240">
        <f t="shared" si="1649"/>
        <v>46006</v>
      </c>
      <c r="F11814" s="511" t="s">
        <v>1247</v>
      </c>
      <c r="G11814" s="225" t="s">
        <v>1245</v>
      </c>
      <c r="H11814" s="226"/>
      <c r="I11814" s="226" t="s">
        <v>1253</v>
      </c>
      <c r="J11814" s="222" t="s">
        <v>77</v>
      </c>
      <c r="K11814" s="227">
        <f>M11814</f>
        <v>7478.6349178266073</v>
      </c>
      <c r="L11814" s="227"/>
      <c r="M11814" s="478">
        <v>7478.6349178266073</v>
      </c>
    </row>
    <row r="11815" spans="1:15" ht="11.25" customHeight="1" x14ac:dyDescent="0.2">
      <c r="A11815" s="228">
        <v>2025</v>
      </c>
      <c r="B11815" s="228">
        <v>12</v>
      </c>
      <c r="C11815" s="228">
        <v>15</v>
      </c>
      <c r="D11815" s="229">
        <f t="shared" si="1640"/>
        <v>46006</v>
      </c>
      <c r="E11815" s="241">
        <f t="shared" si="1649"/>
        <v>46006</v>
      </c>
      <c r="F11815" s="512"/>
      <c r="G11815" s="231" t="s">
        <v>1245</v>
      </c>
      <c r="H11815" s="232"/>
      <c r="I11815" s="232" t="s">
        <v>1253</v>
      </c>
      <c r="J11815" s="228" t="s">
        <v>41</v>
      </c>
      <c r="K11815" s="233"/>
      <c r="L11815" s="233">
        <f>K11814</f>
        <v>7478.6349178266073</v>
      </c>
      <c r="M11815" s="478">
        <v>747.86349178266062</v>
      </c>
      <c r="N11815" s="251"/>
    </row>
    <row r="11816" spans="1:15" ht="11.25" customHeight="1" x14ac:dyDescent="0.2">
      <c r="A11816" s="222">
        <v>2025</v>
      </c>
      <c r="B11816" s="222">
        <v>12</v>
      </c>
      <c r="C11816" s="222">
        <v>15</v>
      </c>
      <c r="D11816" s="223">
        <f t="shared" si="1640"/>
        <v>46006</v>
      </c>
      <c r="E11816" s="240">
        <f t="shared" si="1649"/>
        <v>46006</v>
      </c>
      <c r="F11816" s="511" t="s">
        <v>1248</v>
      </c>
      <c r="G11816" s="225" t="s">
        <v>1245</v>
      </c>
      <c r="H11816" s="226"/>
      <c r="I11816" s="226" t="s">
        <v>1253</v>
      </c>
      <c r="J11816" s="222" t="s">
        <v>80</v>
      </c>
      <c r="K11816" s="227">
        <f>M11815</f>
        <v>747.86349178266062</v>
      </c>
      <c r="L11816" s="227"/>
      <c r="N11816" s="251"/>
      <c r="O11816" s="251"/>
    </row>
    <row r="11817" spans="1:15" ht="11.25" customHeight="1" x14ac:dyDescent="0.2">
      <c r="A11817" s="228">
        <v>2025</v>
      </c>
      <c r="B11817" s="228">
        <v>12</v>
      </c>
      <c r="C11817" s="228">
        <v>15</v>
      </c>
      <c r="D11817" s="229">
        <f t="shared" si="1640"/>
        <v>46006</v>
      </c>
      <c r="E11817" s="241">
        <f t="shared" si="1649"/>
        <v>46006</v>
      </c>
      <c r="F11817" s="512"/>
      <c r="G11817" s="231" t="s">
        <v>1245</v>
      </c>
      <c r="H11817" s="232"/>
      <c r="I11817" s="232" t="s">
        <v>1253</v>
      </c>
      <c r="J11817" s="228" t="s">
        <v>42</v>
      </c>
      <c r="K11817" s="233"/>
      <c r="L11817" s="233">
        <f>K11816</f>
        <v>747.86349178266062</v>
      </c>
      <c r="N11817" s="251"/>
    </row>
    <row r="11818" spans="1:15" x14ac:dyDescent="0.2">
      <c r="A11818" s="197">
        <v>2025</v>
      </c>
      <c r="B11818" s="197">
        <v>12</v>
      </c>
      <c r="C11818" s="120">
        <v>17</v>
      </c>
      <c r="D11818" s="198">
        <f t="shared" si="1640"/>
        <v>46008</v>
      </c>
      <c r="E11818" s="209">
        <f t="shared" si="1649"/>
        <v>46008</v>
      </c>
      <c r="F11818" s="513" t="s">
        <v>2113</v>
      </c>
      <c r="G11818" s="200" t="s">
        <v>1209</v>
      </c>
      <c r="H11818" s="201"/>
      <c r="I11818" s="201"/>
      <c r="J11818" s="197" t="s">
        <v>46</v>
      </c>
      <c r="K11818" s="202">
        <v>300000</v>
      </c>
      <c r="L11818" s="202"/>
    </row>
    <row r="11819" spans="1:15" x14ac:dyDescent="0.2">
      <c r="A11819" s="120">
        <v>2025</v>
      </c>
      <c r="B11819" s="120">
        <v>12</v>
      </c>
      <c r="C11819" s="120">
        <v>17</v>
      </c>
      <c r="D11819" s="208">
        <f t="shared" si="1640"/>
        <v>46008</v>
      </c>
      <c r="E11819" s="209">
        <f t="shared" si="1649"/>
        <v>46008</v>
      </c>
      <c r="F11819" s="515"/>
      <c r="G11819" s="132" t="s">
        <v>1209</v>
      </c>
      <c r="J11819" s="120" t="s">
        <v>16</v>
      </c>
      <c r="K11819" s="207"/>
      <c r="L11819" s="207">
        <v>218040</v>
      </c>
    </row>
    <row r="11820" spans="1:15" x14ac:dyDescent="0.2">
      <c r="A11820" s="191">
        <v>2025</v>
      </c>
      <c r="B11820" s="191">
        <v>12</v>
      </c>
      <c r="C11820" s="191">
        <v>17</v>
      </c>
      <c r="D11820" s="192">
        <f t="shared" ref="D11820:D11883" si="1650">DATE(A11820,B11820,C11820)</f>
        <v>46008</v>
      </c>
      <c r="E11820" s="193">
        <f t="shared" si="1649"/>
        <v>46008</v>
      </c>
      <c r="F11820" s="514"/>
      <c r="G11820" s="194" t="s">
        <v>1209</v>
      </c>
      <c r="H11820" s="195"/>
      <c r="I11820" s="195"/>
      <c r="J11820" s="191" t="s">
        <v>47</v>
      </c>
      <c r="K11820" s="196"/>
      <c r="L11820" s="196">
        <v>81960</v>
      </c>
    </row>
    <row r="11821" spans="1:15" ht="11.25" customHeight="1" x14ac:dyDescent="0.2">
      <c r="A11821" s="197">
        <v>2025</v>
      </c>
      <c r="B11821" s="197">
        <v>12</v>
      </c>
      <c r="C11821" s="197">
        <v>17</v>
      </c>
      <c r="D11821" s="198">
        <f t="shared" si="1650"/>
        <v>46008</v>
      </c>
      <c r="E11821" s="199">
        <f t="shared" si="1649"/>
        <v>46008</v>
      </c>
      <c r="F11821" s="513" t="s">
        <v>2118</v>
      </c>
      <c r="G11821" s="200" t="s">
        <v>1209</v>
      </c>
      <c r="H11821" s="201"/>
      <c r="I11821" s="201" t="s">
        <v>1253</v>
      </c>
      <c r="J11821" s="197" t="s">
        <v>1837</v>
      </c>
      <c r="K11821" s="202">
        <v>4911157.32</v>
      </c>
      <c r="L11821" s="202"/>
    </row>
    <row r="11822" spans="1:15" ht="11.25" customHeight="1" x14ac:dyDescent="0.2">
      <c r="A11822" s="191">
        <v>2025</v>
      </c>
      <c r="B11822" s="191">
        <v>12</v>
      </c>
      <c r="C11822" s="191">
        <v>17</v>
      </c>
      <c r="D11822" s="192">
        <f t="shared" si="1650"/>
        <v>46008</v>
      </c>
      <c r="E11822" s="193">
        <f t="shared" si="1649"/>
        <v>46008</v>
      </c>
      <c r="F11822" s="514"/>
      <c r="G11822" s="194" t="s">
        <v>1209</v>
      </c>
      <c r="H11822" s="195"/>
      <c r="I11822" s="195" t="s">
        <v>1253</v>
      </c>
      <c r="J11822" s="191" t="s">
        <v>46</v>
      </c>
      <c r="K11822" s="196"/>
      <c r="L11822" s="196">
        <f>K11821</f>
        <v>4911157.32</v>
      </c>
      <c r="N11822" s="130"/>
    </row>
    <row r="11823" spans="1:15" x14ac:dyDescent="0.2">
      <c r="A11823" s="197">
        <v>2025</v>
      </c>
      <c r="B11823" s="197">
        <v>12</v>
      </c>
      <c r="C11823" s="197">
        <v>17</v>
      </c>
      <c r="D11823" s="198">
        <f t="shared" si="1650"/>
        <v>46008</v>
      </c>
      <c r="E11823" s="290">
        <f t="shared" si="1649"/>
        <v>46008</v>
      </c>
      <c r="F11823" s="513" t="s">
        <v>1514</v>
      </c>
      <c r="G11823" s="200" t="s">
        <v>1209</v>
      </c>
      <c r="H11823" s="201"/>
      <c r="I11823" s="201"/>
      <c r="J11823" s="197" t="s">
        <v>54</v>
      </c>
      <c r="K11823" s="202">
        <v>500</v>
      </c>
      <c r="L11823" s="202"/>
      <c r="M11823" s="251"/>
      <c r="N11823" s="251"/>
      <c r="O11823" s="251"/>
    </row>
    <row r="11824" spans="1:15" ht="11.25" customHeight="1" x14ac:dyDescent="0.2">
      <c r="A11824" s="191">
        <v>2025</v>
      </c>
      <c r="B11824" s="191">
        <v>12</v>
      </c>
      <c r="C11824" s="191">
        <v>17</v>
      </c>
      <c r="D11824" s="192">
        <f t="shared" si="1650"/>
        <v>46008</v>
      </c>
      <c r="E11824" s="291">
        <f t="shared" si="1649"/>
        <v>46008</v>
      </c>
      <c r="F11824" s="514"/>
      <c r="G11824" s="194" t="s">
        <v>1209</v>
      </c>
      <c r="H11824" s="195"/>
      <c r="I11824" s="195"/>
      <c r="J11824" s="191" t="s">
        <v>46</v>
      </c>
      <c r="K11824" s="196"/>
      <c r="L11824" s="196">
        <f>K11823</f>
        <v>500</v>
      </c>
      <c r="M11824" s="251"/>
    </row>
    <row r="11825" spans="1:13" x14ac:dyDescent="0.2">
      <c r="A11825" s="424">
        <v>2025</v>
      </c>
      <c r="B11825" s="424">
        <v>12</v>
      </c>
      <c r="C11825" s="424">
        <v>17</v>
      </c>
      <c r="D11825" s="425">
        <f t="shared" si="1650"/>
        <v>46008</v>
      </c>
      <c r="E11825" s="384">
        <f t="shared" si="1649"/>
        <v>46008</v>
      </c>
      <c r="F11825" s="516" t="s">
        <v>1850</v>
      </c>
      <c r="G11825" s="426" t="s">
        <v>1209</v>
      </c>
      <c r="H11825" s="427"/>
      <c r="I11825" s="427"/>
      <c r="J11825" s="428" t="s">
        <v>81</v>
      </c>
      <c r="K11825" s="429">
        <v>3191.6347252747255</v>
      </c>
      <c r="L11825" s="429"/>
      <c r="M11825" s="455"/>
    </row>
    <row r="11826" spans="1:13" x14ac:dyDescent="0.2">
      <c r="A11826" s="389">
        <v>2025</v>
      </c>
      <c r="B11826" s="389">
        <v>12</v>
      </c>
      <c r="C11826" s="389">
        <v>17</v>
      </c>
      <c r="D11826" s="390">
        <f t="shared" si="1650"/>
        <v>46008</v>
      </c>
      <c r="E11826" s="391">
        <f t="shared" si="1649"/>
        <v>46008</v>
      </c>
      <c r="F11826" s="517"/>
      <c r="G11826" s="392" t="s">
        <v>1209</v>
      </c>
      <c r="H11826" s="393"/>
      <c r="I11826" s="393"/>
      <c r="J11826" s="394" t="s">
        <v>1847</v>
      </c>
      <c r="K11826" s="423"/>
      <c r="L11826" s="423">
        <f>K11825</f>
        <v>3191.6347252747255</v>
      </c>
    </row>
    <row r="11827" spans="1:13" ht="11.25" customHeight="1" x14ac:dyDescent="0.2">
      <c r="A11827" s="382">
        <v>2025</v>
      </c>
      <c r="B11827" s="382">
        <v>12</v>
      </c>
      <c r="C11827" s="382">
        <v>17</v>
      </c>
      <c r="D11827" s="383">
        <f t="shared" si="1650"/>
        <v>46008</v>
      </c>
      <c r="E11827" s="384">
        <f t="shared" si="1649"/>
        <v>46008</v>
      </c>
      <c r="F11827" s="516" t="s">
        <v>1892</v>
      </c>
      <c r="G11827" s="385" t="s">
        <v>1209</v>
      </c>
      <c r="H11827" s="386"/>
      <c r="I11827" s="386"/>
      <c r="J11827" s="387" t="s">
        <v>173</v>
      </c>
      <c r="K11827" s="388">
        <v>1257.7377879999999</v>
      </c>
      <c r="L11827" s="388"/>
      <c r="M11827" s="455"/>
    </row>
    <row r="11828" spans="1:13" ht="11.25" customHeight="1" x14ac:dyDescent="0.2">
      <c r="A11828" s="389">
        <v>2025</v>
      </c>
      <c r="B11828" s="389">
        <v>12</v>
      </c>
      <c r="C11828" s="389">
        <v>17</v>
      </c>
      <c r="D11828" s="390">
        <f t="shared" si="1650"/>
        <v>46008</v>
      </c>
      <c r="E11828" s="391">
        <f t="shared" si="1649"/>
        <v>46008</v>
      </c>
      <c r="F11828" s="517"/>
      <c r="G11828" s="392" t="s">
        <v>1209</v>
      </c>
      <c r="H11828" s="393"/>
      <c r="I11828" s="393"/>
      <c r="J11828" s="394" t="s">
        <v>43</v>
      </c>
      <c r="K11828" s="388"/>
      <c r="L11828" s="423">
        <f>K11827</f>
        <v>1257.7377879999999</v>
      </c>
    </row>
    <row r="11829" spans="1:13" ht="11.25" customHeight="1" x14ac:dyDescent="0.2">
      <c r="A11829" s="344">
        <v>2025</v>
      </c>
      <c r="B11829" s="344">
        <v>12</v>
      </c>
      <c r="C11829" s="344">
        <v>17</v>
      </c>
      <c r="D11829" s="345">
        <f t="shared" si="1650"/>
        <v>46008</v>
      </c>
      <c r="E11829" s="346">
        <f t="shared" si="1649"/>
        <v>46008</v>
      </c>
      <c r="F11829" s="518" t="s">
        <v>1982</v>
      </c>
      <c r="G11829" s="347" t="s">
        <v>1245</v>
      </c>
      <c r="H11829" s="348"/>
      <c r="I11829" s="348" t="s">
        <v>1253</v>
      </c>
      <c r="J11829" s="344" t="s">
        <v>1978</v>
      </c>
      <c r="K11829" s="349">
        <v>42499.45054945055</v>
      </c>
      <c r="L11829" s="349"/>
      <c r="M11829" s="455"/>
    </row>
    <row r="11830" spans="1:13" ht="11.25" customHeight="1" x14ac:dyDescent="0.2">
      <c r="A11830" s="350">
        <v>2025</v>
      </c>
      <c r="B11830" s="350">
        <v>12</v>
      </c>
      <c r="C11830" s="350">
        <v>17</v>
      </c>
      <c r="D11830" s="351">
        <f t="shared" si="1650"/>
        <v>46008</v>
      </c>
      <c r="E11830" s="352">
        <f t="shared" si="1649"/>
        <v>46008</v>
      </c>
      <c r="F11830" s="519"/>
      <c r="G11830" s="353" t="s">
        <v>1245</v>
      </c>
      <c r="H11830" s="354"/>
      <c r="I11830" s="354" t="s">
        <v>1253</v>
      </c>
      <c r="J11830" s="350" t="s">
        <v>1979</v>
      </c>
      <c r="K11830" s="355"/>
      <c r="L11830" s="355">
        <f>K11829</f>
        <v>42499.45054945055</v>
      </c>
    </row>
    <row r="11831" spans="1:13" ht="11.25" customHeight="1" x14ac:dyDescent="0.2">
      <c r="A11831" s="344">
        <v>2025</v>
      </c>
      <c r="B11831" s="344">
        <v>12</v>
      </c>
      <c r="C11831" s="344">
        <v>17</v>
      </c>
      <c r="D11831" s="345">
        <f t="shared" si="1650"/>
        <v>46008</v>
      </c>
      <c r="E11831" s="346">
        <f t="shared" si="1649"/>
        <v>46008</v>
      </c>
      <c r="F11831" s="518" t="s">
        <v>2009</v>
      </c>
      <c r="G11831" s="347" t="s">
        <v>1245</v>
      </c>
      <c r="H11831" s="348"/>
      <c r="I11831" s="348" t="s">
        <v>1253</v>
      </c>
      <c r="J11831" s="344" t="s">
        <v>2004</v>
      </c>
      <c r="K11831" s="349">
        <v>14197.802857142857</v>
      </c>
      <c r="L11831" s="349"/>
      <c r="M11831" s="455"/>
    </row>
    <row r="11832" spans="1:13" ht="11.25" customHeight="1" x14ac:dyDescent="0.2">
      <c r="A11832" s="350">
        <v>2025</v>
      </c>
      <c r="B11832" s="350">
        <v>12</v>
      </c>
      <c r="C11832" s="350">
        <v>17</v>
      </c>
      <c r="D11832" s="351">
        <f t="shared" si="1650"/>
        <v>46008</v>
      </c>
      <c r="E11832" s="352">
        <f t="shared" si="1649"/>
        <v>46008</v>
      </c>
      <c r="F11832" s="519"/>
      <c r="G11832" s="353" t="s">
        <v>1245</v>
      </c>
      <c r="H11832" s="354"/>
      <c r="I11832" s="354" t="s">
        <v>1253</v>
      </c>
      <c r="J11832" s="350" t="s">
        <v>2008</v>
      </c>
      <c r="K11832" s="355"/>
      <c r="L11832" s="355">
        <f t="shared" ref="L11832" si="1651">K11831</f>
        <v>14197.802857142857</v>
      </c>
    </row>
    <row r="11833" spans="1:13" ht="11.25" customHeight="1" x14ac:dyDescent="0.2">
      <c r="A11833" s="344">
        <v>2025</v>
      </c>
      <c r="B11833" s="344">
        <v>12</v>
      </c>
      <c r="C11833" s="344">
        <v>17</v>
      </c>
      <c r="D11833" s="345">
        <f t="shared" si="1650"/>
        <v>46008</v>
      </c>
      <c r="E11833" s="346">
        <f t="shared" si="1649"/>
        <v>46008</v>
      </c>
      <c r="F11833" s="518" t="s">
        <v>2009</v>
      </c>
      <c r="G11833" s="347" t="s">
        <v>1245</v>
      </c>
      <c r="H11833" s="348"/>
      <c r="I11833" s="348" t="s">
        <v>1253</v>
      </c>
      <c r="J11833" s="344" t="s">
        <v>2004</v>
      </c>
      <c r="K11833" s="349">
        <v>14197.802857142857</v>
      </c>
      <c r="L11833" s="349"/>
      <c r="M11833" s="455"/>
    </row>
    <row r="11834" spans="1:13" ht="11.25" customHeight="1" x14ac:dyDescent="0.2">
      <c r="A11834" s="350">
        <v>2025</v>
      </c>
      <c r="B11834" s="350">
        <v>12</v>
      </c>
      <c r="C11834" s="350">
        <v>17</v>
      </c>
      <c r="D11834" s="351">
        <f t="shared" si="1650"/>
        <v>46008</v>
      </c>
      <c r="E11834" s="352">
        <f t="shared" si="1649"/>
        <v>46008</v>
      </c>
      <c r="F11834" s="519"/>
      <c r="G11834" s="353" t="s">
        <v>1245</v>
      </c>
      <c r="H11834" s="354"/>
      <c r="I11834" s="354" t="s">
        <v>1253</v>
      </c>
      <c r="J11834" s="350" t="s">
        <v>2008</v>
      </c>
      <c r="K11834" s="355"/>
      <c r="L11834" s="355">
        <f t="shared" ref="L11834" si="1652">K11833</f>
        <v>14197.802857142857</v>
      </c>
    </row>
    <row r="11835" spans="1:13" ht="11.25" customHeight="1" x14ac:dyDescent="0.2">
      <c r="A11835" s="344">
        <v>2025</v>
      </c>
      <c r="B11835" s="344">
        <v>12</v>
      </c>
      <c r="C11835" s="344">
        <v>17</v>
      </c>
      <c r="D11835" s="345">
        <f t="shared" si="1650"/>
        <v>46008</v>
      </c>
      <c r="E11835" s="346">
        <f t="shared" si="1649"/>
        <v>46008</v>
      </c>
      <c r="F11835" s="518" t="s">
        <v>2088</v>
      </c>
      <c r="G11835" s="347" t="s">
        <v>1245</v>
      </c>
      <c r="H11835" s="348"/>
      <c r="I11835" s="348" t="s">
        <v>1253</v>
      </c>
      <c r="J11835" s="344" t="s">
        <v>2086</v>
      </c>
      <c r="K11835" s="349">
        <v>3579.6703296703299</v>
      </c>
      <c r="L11835" s="349"/>
      <c r="M11835" s="455"/>
    </row>
    <row r="11836" spans="1:13" ht="11.25" customHeight="1" x14ac:dyDescent="0.2">
      <c r="A11836" s="350">
        <v>2025</v>
      </c>
      <c r="B11836" s="350">
        <v>12</v>
      </c>
      <c r="C11836" s="350">
        <v>17</v>
      </c>
      <c r="D11836" s="351">
        <f t="shared" si="1650"/>
        <v>46008</v>
      </c>
      <c r="E11836" s="352">
        <f t="shared" si="1649"/>
        <v>46008</v>
      </c>
      <c r="F11836" s="519"/>
      <c r="G11836" s="353" t="s">
        <v>1245</v>
      </c>
      <c r="H11836" s="354"/>
      <c r="I11836" s="354" t="s">
        <v>1253</v>
      </c>
      <c r="J11836" s="350" t="s">
        <v>2089</v>
      </c>
      <c r="K11836" s="355"/>
      <c r="L11836" s="355">
        <f>K11835</f>
        <v>3579.6703296703299</v>
      </c>
    </row>
    <row r="11837" spans="1:13" ht="11.25" customHeight="1" x14ac:dyDescent="0.2">
      <c r="A11837" s="344">
        <v>2025</v>
      </c>
      <c r="B11837" s="344">
        <v>12</v>
      </c>
      <c r="C11837" s="344">
        <v>17</v>
      </c>
      <c r="D11837" s="345">
        <f t="shared" si="1650"/>
        <v>46008</v>
      </c>
      <c r="E11837" s="346">
        <f>DATE(A11837,B11837,C11837)</f>
        <v>46008</v>
      </c>
      <c r="F11837" s="518" t="s">
        <v>1988</v>
      </c>
      <c r="G11837" s="347" t="s">
        <v>1245</v>
      </c>
      <c r="H11837" s="348"/>
      <c r="I11837" s="348" t="s">
        <v>1253</v>
      </c>
      <c r="J11837" s="344" t="s">
        <v>113</v>
      </c>
      <c r="K11837" s="349">
        <v>9384.6142857142859</v>
      </c>
      <c r="L11837" s="349"/>
      <c r="M11837" s="455"/>
    </row>
    <row r="11838" spans="1:13" ht="11.25" customHeight="1" x14ac:dyDescent="0.2">
      <c r="A11838" s="350">
        <v>2025</v>
      </c>
      <c r="B11838" s="350">
        <v>12</v>
      </c>
      <c r="C11838" s="350">
        <v>17</v>
      </c>
      <c r="D11838" s="351">
        <f t="shared" si="1650"/>
        <v>46008</v>
      </c>
      <c r="E11838" s="352">
        <f>DATE(A11838,B11838,C11838)</f>
        <v>46008</v>
      </c>
      <c r="F11838" s="519"/>
      <c r="G11838" s="353" t="s">
        <v>1245</v>
      </c>
      <c r="H11838" s="354"/>
      <c r="I11838" s="354" t="s">
        <v>1253</v>
      </c>
      <c r="J11838" s="350" t="s">
        <v>153</v>
      </c>
      <c r="K11838" s="355"/>
      <c r="L11838" s="355">
        <f t="shared" ref="L11838" si="1653">K11837</f>
        <v>9384.6142857142859</v>
      </c>
    </row>
    <row r="11839" spans="1:13" ht="11.25" customHeight="1" x14ac:dyDescent="0.2">
      <c r="A11839" s="344">
        <v>2025</v>
      </c>
      <c r="B11839" s="344">
        <v>12</v>
      </c>
      <c r="C11839" s="344">
        <v>17</v>
      </c>
      <c r="D11839" s="345">
        <f t="shared" si="1650"/>
        <v>46008</v>
      </c>
      <c r="E11839" s="346">
        <f t="shared" ref="E11839:E11845" si="1654">DATE(A11839,B11839,C11839)</f>
        <v>46008</v>
      </c>
      <c r="F11839" s="518" t="s">
        <v>1989</v>
      </c>
      <c r="G11839" s="347" t="s">
        <v>1245</v>
      </c>
      <c r="H11839" s="348"/>
      <c r="I11839" s="348" t="s">
        <v>1253</v>
      </c>
      <c r="J11839" s="344" t="s">
        <v>113</v>
      </c>
      <c r="K11839" s="349">
        <v>6703.2967032967035</v>
      </c>
      <c r="L11839" s="349"/>
      <c r="M11839" s="455"/>
    </row>
    <row r="11840" spans="1:13" ht="11.25" customHeight="1" x14ac:dyDescent="0.2">
      <c r="A11840" s="350">
        <v>2025</v>
      </c>
      <c r="B11840" s="350">
        <v>12</v>
      </c>
      <c r="C11840" s="350">
        <v>17</v>
      </c>
      <c r="D11840" s="351">
        <f t="shared" si="1650"/>
        <v>46008</v>
      </c>
      <c r="E11840" s="352">
        <f t="shared" si="1654"/>
        <v>46008</v>
      </c>
      <c r="F11840" s="519"/>
      <c r="G11840" s="353" t="s">
        <v>1245</v>
      </c>
      <c r="H11840" s="354"/>
      <c r="I11840" s="354" t="s">
        <v>1253</v>
      </c>
      <c r="J11840" s="350" t="s">
        <v>153</v>
      </c>
      <c r="K11840" s="355"/>
      <c r="L11840" s="355">
        <f t="shared" ref="L11840" si="1655">K11839</f>
        <v>6703.2967032967035</v>
      </c>
    </row>
    <row r="11841" spans="1:16" ht="11.25" customHeight="1" x14ac:dyDescent="0.2">
      <c r="A11841" s="344">
        <v>2025</v>
      </c>
      <c r="B11841" s="344">
        <v>12</v>
      </c>
      <c r="C11841" s="344">
        <v>17</v>
      </c>
      <c r="D11841" s="345">
        <f t="shared" si="1650"/>
        <v>46008</v>
      </c>
      <c r="E11841" s="346">
        <f t="shared" si="1654"/>
        <v>46008</v>
      </c>
      <c r="F11841" s="518" t="s">
        <v>1990</v>
      </c>
      <c r="G11841" s="347" t="s">
        <v>1245</v>
      </c>
      <c r="H11841" s="348"/>
      <c r="I11841" s="348" t="s">
        <v>1253</v>
      </c>
      <c r="J11841" s="344" t="s">
        <v>113</v>
      </c>
      <c r="K11841" s="349">
        <v>20109.891428571427</v>
      </c>
      <c r="L11841" s="349"/>
      <c r="M11841" s="455"/>
      <c r="N11841" s="251"/>
      <c r="O11841" s="251"/>
      <c r="P11841" s="251"/>
    </row>
    <row r="11842" spans="1:16" ht="11.25" customHeight="1" x14ac:dyDescent="0.2">
      <c r="A11842" s="350">
        <v>2025</v>
      </c>
      <c r="B11842" s="350">
        <v>12</v>
      </c>
      <c r="C11842" s="350">
        <v>17</v>
      </c>
      <c r="D11842" s="351">
        <f t="shared" si="1650"/>
        <v>46008</v>
      </c>
      <c r="E11842" s="352">
        <f t="shared" si="1654"/>
        <v>46008</v>
      </c>
      <c r="F11842" s="519"/>
      <c r="G11842" s="353" t="s">
        <v>1245</v>
      </c>
      <c r="H11842" s="354"/>
      <c r="I11842" s="354" t="s">
        <v>1253</v>
      </c>
      <c r="J11842" s="350" t="s">
        <v>153</v>
      </c>
      <c r="K11842" s="355"/>
      <c r="L11842" s="355">
        <f t="shared" ref="L11842" si="1656">K11841</f>
        <v>20109.891428571427</v>
      </c>
    </row>
    <row r="11843" spans="1:16" ht="11.25" customHeight="1" x14ac:dyDescent="0.2">
      <c r="A11843" s="344">
        <v>2025</v>
      </c>
      <c r="B11843" s="344">
        <v>12</v>
      </c>
      <c r="C11843" s="344">
        <v>17</v>
      </c>
      <c r="D11843" s="345">
        <f t="shared" si="1650"/>
        <v>46008</v>
      </c>
      <c r="E11843" s="346">
        <f t="shared" si="1654"/>
        <v>46008</v>
      </c>
      <c r="F11843" s="518" t="s">
        <v>2107</v>
      </c>
      <c r="G11843" s="347" t="s">
        <v>1245</v>
      </c>
      <c r="H11843" s="348"/>
      <c r="I11843" s="348" t="s">
        <v>1253</v>
      </c>
      <c r="J11843" s="344" t="s">
        <v>113</v>
      </c>
      <c r="K11843" s="349">
        <v>24741.758241758242</v>
      </c>
      <c r="L11843" s="349"/>
      <c r="M11843" s="455"/>
      <c r="N11843" s="251"/>
      <c r="O11843" s="251"/>
      <c r="P11843" s="251"/>
    </row>
    <row r="11844" spans="1:16" ht="11.25" customHeight="1" x14ac:dyDescent="0.2">
      <c r="A11844" s="350">
        <v>2025</v>
      </c>
      <c r="B11844" s="350">
        <v>12</v>
      </c>
      <c r="C11844" s="350">
        <v>17</v>
      </c>
      <c r="D11844" s="351">
        <f t="shared" si="1650"/>
        <v>46008</v>
      </c>
      <c r="E11844" s="352">
        <f t="shared" si="1654"/>
        <v>46008</v>
      </c>
      <c r="F11844" s="519"/>
      <c r="G11844" s="353" t="s">
        <v>1245</v>
      </c>
      <c r="H11844" s="354"/>
      <c r="I11844" s="354" t="s">
        <v>1253</v>
      </c>
      <c r="J11844" s="350" t="s">
        <v>153</v>
      </c>
      <c r="K11844" s="355"/>
      <c r="L11844" s="355">
        <f t="shared" ref="L11844" si="1657">K11843</f>
        <v>24741.758241758242</v>
      </c>
    </row>
    <row r="11845" spans="1:16" ht="11.25" customHeight="1" x14ac:dyDescent="0.2">
      <c r="A11845" s="210">
        <v>2025</v>
      </c>
      <c r="B11845" s="210">
        <v>12</v>
      </c>
      <c r="C11845" s="210">
        <v>17</v>
      </c>
      <c r="D11845" s="211">
        <f t="shared" si="1650"/>
        <v>46008</v>
      </c>
      <c r="E11845" s="238">
        <f t="shared" si="1654"/>
        <v>46008</v>
      </c>
      <c r="F11845" s="520" t="s">
        <v>1857</v>
      </c>
      <c r="G11845" s="213" t="s">
        <v>1245</v>
      </c>
      <c r="H11845" s="214"/>
      <c r="I11845" s="214" t="s">
        <v>1253</v>
      </c>
      <c r="J11845" s="210" t="s">
        <v>1284</v>
      </c>
      <c r="K11845" s="215">
        <v>669.08897554058842</v>
      </c>
      <c r="L11845" s="215"/>
      <c r="M11845" s="455"/>
    </row>
    <row r="11846" spans="1:16" ht="11.25" customHeight="1" x14ac:dyDescent="0.2">
      <c r="A11846" s="242">
        <v>2025</v>
      </c>
      <c r="B11846" s="242">
        <v>12</v>
      </c>
      <c r="C11846" s="242">
        <v>17</v>
      </c>
      <c r="D11846" s="243">
        <f t="shared" si="1650"/>
        <v>46008</v>
      </c>
      <c r="E11846" s="244">
        <f>DATE(A11846,B11846,C11846)</f>
        <v>46008</v>
      </c>
      <c r="F11846" s="524"/>
      <c r="G11846" s="245" t="s">
        <v>1245</v>
      </c>
      <c r="H11846" s="246"/>
      <c r="I11846" s="246"/>
      <c r="J11846" s="242" t="s">
        <v>1582</v>
      </c>
      <c r="K11846" s="247"/>
      <c r="L11846" s="247">
        <f>K11845</f>
        <v>669.08897554058842</v>
      </c>
    </row>
    <row r="11847" spans="1:16" ht="11.25" customHeight="1" x14ac:dyDescent="0.2">
      <c r="A11847" s="210">
        <v>2025</v>
      </c>
      <c r="B11847" s="210">
        <v>12</v>
      </c>
      <c r="C11847" s="210">
        <v>17</v>
      </c>
      <c r="D11847" s="211">
        <f t="shared" si="1650"/>
        <v>46008</v>
      </c>
      <c r="E11847" s="238">
        <f t="shared" ref="E11847:E11887" si="1658">DATE(A11847,B11847,C11847)</f>
        <v>46008</v>
      </c>
      <c r="F11847" s="520" t="s">
        <v>2055</v>
      </c>
      <c r="G11847" s="213" t="s">
        <v>1245</v>
      </c>
      <c r="H11847" s="214"/>
      <c r="I11847" s="214" t="s">
        <v>1253</v>
      </c>
      <c r="J11847" s="210" t="s">
        <v>58</v>
      </c>
      <c r="K11847" s="215">
        <v>4304.08</v>
      </c>
      <c r="L11847" s="215"/>
    </row>
    <row r="11848" spans="1:16" ht="11.25" customHeight="1" x14ac:dyDescent="0.2">
      <c r="A11848" s="216">
        <v>2025</v>
      </c>
      <c r="B11848" s="216">
        <v>12</v>
      </c>
      <c r="C11848" s="216">
        <v>17</v>
      </c>
      <c r="D11848" s="217">
        <f t="shared" si="1650"/>
        <v>46008</v>
      </c>
      <c r="E11848" s="239">
        <f t="shared" si="1658"/>
        <v>46008</v>
      </c>
      <c r="F11848" s="521"/>
      <c r="G11848" s="219" t="s">
        <v>1245</v>
      </c>
      <c r="H11848" s="220"/>
      <c r="I11848" s="220" t="s">
        <v>1253</v>
      </c>
      <c r="J11848" s="216" t="s">
        <v>153</v>
      </c>
      <c r="K11848" s="221"/>
      <c r="L11848" s="221">
        <f>K11847</f>
        <v>4304.08</v>
      </c>
    </row>
    <row r="11849" spans="1:16" ht="11.25" customHeight="1" x14ac:dyDescent="0.2">
      <c r="A11849" s="312">
        <v>2025</v>
      </c>
      <c r="B11849" s="312">
        <v>12</v>
      </c>
      <c r="C11849" s="312">
        <v>17</v>
      </c>
      <c r="D11849" s="313">
        <f t="shared" si="1650"/>
        <v>46008</v>
      </c>
      <c r="E11849" s="314">
        <f t="shared" si="1658"/>
        <v>46008</v>
      </c>
      <c r="F11849" s="522" t="s">
        <v>1477</v>
      </c>
      <c r="G11849" s="315" t="s">
        <v>1245</v>
      </c>
      <c r="H11849" s="316"/>
      <c r="I11849" s="316" t="s">
        <v>1253</v>
      </c>
      <c r="J11849" s="312" t="s">
        <v>1458</v>
      </c>
      <c r="K11849" s="317">
        <v>0</v>
      </c>
      <c r="L11849" s="317"/>
    </row>
    <row r="11850" spans="1:16" ht="11.25" customHeight="1" x14ac:dyDescent="0.2">
      <c r="A11850" s="318">
        <v>2025</v>
      </c>
      <c r="B11850" s="318">
        <v>12</v>
      </c>
      <c r="C11850" s="318">
        <v>17</v>
      </c>
      <c r="D11850" s="319">
        <f t="shared" si="1650"/>
        <v>46008</v>
      </c>
      <c r="E11850" s="320">
        <f t="shared" si="1658"/>
        <v>46008</v>
      </c>
      <c r="F11850" s="523"/>
      <c r="G11850" s="321" t="s">
        <v>1245</v>
      </c>
      <c r="H11850" s="322"/>
      <c r="I11850" s="322" t="s">
        <v>1253</v>
      </c>
      <c r="J11850" s="318" t="s">
        <v>1460</v>
      </c>
      <c r="K11850" s="323"/>
      <c r="L11850" s="323">
        <f>K11849</f>
        <v>0</v>
      </c>
    </row>
    <row r="11851" spans="1:16" ht="11.25" customHeight="1" x14ac:dyDescent="0.2">
      <c r="A11851" s="312">
        <v>2025</v>
      </c>
      <c r="B11851" s="312">
        <v>12</v>
      </c>
      <c r="C11851" s="312">
        <v>17</v>
      </c>
      <c r="D11851" s="313">
        <f t="shared" si="1650"/>
        <v>46008</v>
      </c>
      <c r="E11851" s="314">
        <f t="shared" si="1658"/>
        <v>46008</v>
      </c>
      <c r="F11851" s="522" t="s">
        <v>1595</v>
      </c>
      <c r="G11851" s="315" t="s">
        <v>1245</v>
      </c>
      <c r="H11851" s="316"/>
      <c r="I11851" s="316" t="s">
        <v>1253</v>
      </c>
      <c r="J11851" s="312" t="s">
        <v>1459</v>
      </c>
      <c r="K11851" s="317">
        <v>2783675.462000072</v>
      </c>
      <c r="L11851" s="317"/>
      <c r="M11851" s="328">
        <f>BS!$I$14</f>
        <v>0</v>
      </c>
    </row>
    <row r="11852" spans="1:16" ht="11.25" customHeight="1" x14ac:dyDescent="0.2">
      <c r="A11852" s="318">
        <v>2025</v>
      </c>
      <c r="B11852" s="318">
        <v>12</v>
      </c>
      <c r="C11852" s="318">
        <v>17</v>
      </c>
      <c r="D11852" s="319">
        <f t="shared" si="1650"/>
        <v>46008</v>
      </c>
      <c r="E11852" s="320">
        <f t="shared" si="1658"/>
        <v>46008</v>
      </c>
      <c r="F11852" s="523"/>
      <c r="G11852" s="321" t="s">
        <v>1245</v>
      </c>
      <c r="H11852" s="322"/>
      <c r="I11852" s="322" t="s">
        <v>1253</v>
      </c>
      <c r="J11852" s="318" t="s">
        <v>1461</v>
      </c>
      <c r="K11852" s="323"/>
      <c r="L11852" s="323">
        <f>K11851</f>
        <v>2783675.462000072</v>
      </c>
      <c r="M11852" s="328"/>
    </row>
    <row r="11853" spans="1:16" ht="11.25" customHeight="1" x14ac:dyDescent="0.2">
      <c r="A11853" s="222">
        <v>2025</v>
      </c>
      <c r="B11853" s="222">
        <v>12</v>
      </c>
      <c r="C11853" s="222">
        <v>17</v>
      </c>
      <c r="D11853" s="223">
        <f t="shared" si="1650"/>
        <v>46008</v>
      </c>
      <c r="E11853" s="240">
        <f t="shared" si="1658"/>
        <v>46008</v>
      </c>
      <c r="F11853" s="511" t="s">
        <v>1244</v>
      </c>
      <c r="G11853" s="225" t="s">
        <v>1245</v>
      </c>
      <c r="H11853" s="226"/>
      <c r="I11853" s="226" t="s">
        <v>1253</v>
      </c>
      <c r="J11853" s="222" t="s">
        <v>72</v>
      </c>
      <c r="K11853" s="227">
        <v>20919.5</v>
      </c>
      <c r="L11853" s="227"/>
      <c r="M11853" s="328">
        <f>BS!$I$7</f>
        <v>0</v>
      </c>
    </row>
    <row r="11854" spans="1:16" ht="11.25" customHeight="1" x14ac:dyDescent="0.2">
      <c r="A11854" s="228">
        <v>2025</v>
      </c>
      <c r="B11854" s="228">
        <v>12</v>
      </c>
      <c r="C11854" s="228">
        <v>17</v>
      </c>
      <c r="D11854" s="229">
        <f t="shared" si="1650"/>
        <v>46008</v>
      </c>
      <c r="E11854" s="241">
        <f t="shared" si="1658"/>
        <v>46008</v>
      </c>
      <c r="F11854" s="512"/>
      <c r="G11854" s="231" t="s">
        <v>1245</v>
      </c>
      <c r="H11854" s="232"/>
      <c r="I11854" s="232" t="s">
        <v>1253</v>
      </c>
      <c r="J11854" s="228" t="s">
        <v>87</v>
      </c>
      <c r="K11854" s="233"/>
      <c r="L11854" s="233">
        <f>K11853</f>
        <v>20919.5</v>
      </c>
    </row>
    <row r="11855" spans="1:16" ht="11.25" customHeight="1" x14ac:dyDescent="0.2">
      <c r="A11855" s="222">
        <v>2025</v>
      </c>
      <c r="B11855" s="222">
        <v>12</v>
      </c>
      <c r="C11855" s="222">
        <v>17</v>
      </c>
      <c r="D11855" s="223">
        <f t="shared" si="1650"/>
        <v>46008</v>
      </c>
      <c r="E11855" s="240">
        <f t="shared" si="1658"/>
        <v>46008</v>
      </c>
      <c r="F11855" s="511" t="s">
        <v>1246</v>
      </c>
      <c r="G11855" s="225" t="s">
        <v>1245</v>
      </c>
      <c r="H11855" s="226"/>
      <c r="I11855" s="226" t="s">
        <v>1253</v>
      </c>
      <c r="J11855" s="222" t="s">
        <v>75</v>
      </c>
      <c r="K11855" s="227">
        <v>1035.1782417582417</v>
      </c>
      <c r="L11855" s="227"/>
      <c r="M11855" s="455"/>
    </row>
    <row r="11856" spans="1:16" ht="11.25" customHeight="1" x14ac:dyDescent="0.2">
      <c r="A11856" s="228">
        <v>2025</v>
      </c>
      <c r="B11856" s="228">
        <v>12</v>
      </c>
      <c r="C11856" s="228">
        <v>17</v>
      </c>
      <c r="D11856" s="229">
        <f t="shared" si="1650"/>
        <v>46008</v>
      </c>
      <c r="E11856" s="241">
        <f t="shared" si="1658"/>
        <v>46008</v>
      </c>
      <c r="F11856" s="512"/>
      <c r="G11856" s="231" t="s">
        <v>1245</v>
      </c>
      <c r="H11856" s="232"/>
      <c r="I11856" s="232" t="s">
        <v>1253</v>
      </c>
      <c r="J11856" s="228" t="s">
        <v>55</v>
      </c>
      <c r="K11856" s="233"/>
      <c r="L11856" s="233">
        <f>K11855</f>
        <v>1035.1782417582417</v>
      </c>
    </row>
    <row r="11857" spans="1:15" ht="11.25" customHeight="1" x14ac:dyDescent="0.2">
      <c r="A11857" s="222">
        <v>2025</v>
      </c>
      <c r="B11857" s="222">
        <v>12</v>
      </c>
      <c r="C11857" s="222">
        <v>17</v>
      </c>
      <c r="D11857" s="223">
        <f t="shared" si="1650"/>
        <v>46008</v>
      </c>
      <c r="E11857" s="240">
        <f t="shared" si="1658"/>
        <v>46008</v>
      </c>
      <c r="F11857" s="511" t="s">
        <v>1247</v>
      </c>
      <c r="G11857" s="225" t="s">
        <v>1245</v>
      </c>
      <c r="H11857" s="226"/>
      <c r="I11857" s="226" t="s">
        <v>1253</v>
      </c>
      <c r="J11857" s="222" t="s">
        <v>77</v>
      </c>
      <c r="K11857" s="227">
        <f>M11857</f>
        <v>14919.382125655629</v>
      </c>
      <c r="L11857" s="227"/>
      <c r="M11857" s="478">
        <v>14919.382125655629</v>
      </c>
    </row>
    <row r="11858" spans="1:15" ht="11.25" customHeight="1" x14ac:dyDescent="0.2">
      <c r="A11858" s="228">
        <v>2025</v>
      </c>
      <c r="B11858" s="228">
        <v>12</v>
      </c>
      <c r="C11858" s="228">
        <v>17</v>
      </c>
      <c r="D11858" s="229">
        <f t="shared" si="1650"/>
        <v>46008</v>
      </c>
      <c r="E11858" s="241">
        <f t="shared" si="1658"/>
        <v>46008</v>
      </c>
      <c r="F11858" s="512"/>
      <c r="G11858" s="231" t="s">
        <v>1245</v>
      </c>
      <c r="H11858" s="232"/>
      <c r="I11858" s="232" t="s">
        <v>1253</v>
      </c>
      <c r="J11858" s="228" t="s">
        <v>41</v>
      </c>
      <c r="K11858" s="233"/>
      <c r="L11858" s="233">
        <f>K11857</f>
        <v>14919.382125655629</v>
      </c>
      <c r="M11858" s="478">
        <v>1491.9382125655627</v>
      </c>
    </row>
    <row r="11859" spans="1:15" ht="11.25" customHeight="1" x14ac:dyDescent="0.2">
      <c r="A11859" s="222">
        <v>2025</v>
      </c>
      <c r="B11859" s="222">
        <v>12</v>
      </c>
      <c r="C11859" s="222">
        <v>17</v>
      </c>
      <c r="D11859" s="223">
        <f t="shared" si="1650"/>
        <v>46008</v>
      </c>
      <c r="E11859" s="240">
        <f t="shared" si="1658"/>
        <v>46008</v>
      </c>
      <c r="F11859" s="511" t="s">
        <v>1248</v>
      </c>
      <c r="G11859" s="225" t="s">
        <v>1245</v>
      </c>
      <c r="H11859" s="226"/>
      <c r="I11859" s="226" t="s">
        <v>1253</v>
      </c>
      <c r="J11859" s="222" t="s">
        <v>80</v>
      </c>
      <c r="K11859" s="227">
        <f>M11858</f>
        <v>1491.9382125655627</v>
      </c>
      <c r="L11859" s="227"/>
      <c r="N11859" s="251"/>
      <c r="O11859" s="251"/>
    </row>
    <row r="11860" spans="1:15" ht="11.25" customHeight="1" x14ac:dyDescent="0.2">
      <c r="A11860" s="228">
        <v>2025</v>
      </c>
      <c r="B11860" s="228">
        <v>12</v>
      </c>
      <c r="C11860" s="228">
        <v>17</v>
      </c>
      <c r="D11860" s="229">
        <f t="shared" si="1650"/>
        <v>46008</v>
      </c>
      <c r="E11860" s="241">
        <f t="shared" si="1658"/>
        <v>46008</v>
      </c>
      <c r="F11860" s="512"/>
      <c r="G11860" s="231" t="s">
        <v>1245</v>
      </c>
      <c r="H11860" s="232"/>
      <c r="I11860" s="232" t="s">
        <v>1253</v>
      </c>
      <c r="J11860" s="228" t="s">
        <v>42</v>
      </c>
      <c r="K11860" s="233"/>
      <c r="L11860" s="233">
        <f>K11859</f>
        <v>1491.9382125655627</v>
      </c>
      <c r="N11860" s="251"/>
    </row>
    <row r="11861" spans="1:15" ht="11.25" customHeight="1" x14ac:dyDescent="0.2">
      <c r="A11861" s="197">
        <v>2025</v>
      </c>
      <c r="B11861" s="197">
        <v>12</v>
      </c>
      <c r="C11861" s="197">
        <v>18</v>
      </c>
      <c r="D11861" s="198">
        <f t="shared" si="1650"/>
        <v>46009</v>
      </c>
      <c r="E11861" s="290">
        <f t="shared" si="1658"/>
        <v>46009</v>
      </c>
      <c r="F11861" s="513" t="s">
        <v>2119</v>
      </c>
      <c r="G11861" s="200" t="s">
        <v>1209</v>
      </c>
      <c r="H11861" s="201"/>
      <c r="I11861" s="201" t="s">
        <v>1253</v>
      </c>
      <c r="J11861" s="197" t="s">
        <v>46</v>
      </c>
      <c r="K11861" s="202">
        <v>62000</v>
      </c>
      <c r="L11861" s="202"/>
    </row>
    <row r="11862" spans="1:15" ht="11.25" customHeight="1" x14ac:dyDescent="0.2">
      <c r="A11862" s="191">
        <v>2025</v>
      </c>
      <c r="B11862" s="191">
        <v>12</v>
      </c>
      <c r="C11862" s="191">
        <v>18</v>
      </c>
      <c r="D11862" s="192">
        <f t="shared" si="1650"/>
        <v>46009</v>
      </c>
      <c r="E11862" s="291">
        <f t="shared" si="1658"/>
        <v>46009</v>
      </c>
      <c r="F11862" s="514"/>
      <c r="G11862" s="194" t="s">
        <v>1209</v>
      </c>
      <c r="H11862" s="195"/>
      <c r="I11862" s="195"/>
      <c r="J11862" s="191" t="s">
        <v>1845</v>
      </c>
      <c r="K11862" s="196"/>
      <c r="L11862" s="196">
        <f>K11861</f>
        <v>62000</v>
      </c>
    </row>
    <row r="11863" spans="1:15" x14ac:dyDescent="0.2">
      <c r="A11863" s="197">
        <v>2025</v>
      </c>
      <c r="B11863" s="197">
        <v>12</v>
      </c>
      <c r="C11863" s="120">
        <v>18</v>
      </c>
      <c r="D11863" s="198">
        <f t="shared" si="1650"/>
        <v>46009</v>
      </c>
      <c r="E11863" s="209">
        <f t="shared" si="1658"/>
        <v>46009</v>
      </c>
      <c r="F11863" s="513" t="s">
        <v>1280</v>
      </c>
      <c r="G11863" s="200" t="s">
        <v>1209</v>
      </c>
      <c r="H11863" s="201"/>
      <c r="I11863" s="201"/>
      <c r="J11863" s="197" t="s">
        <v>16</v>
      </c>
      <c r="K11863" s="202">
        <v>301410</v>
      </c>
      <c r="L11863" s="202"/>
    </row>
    <row r="11864" spans="1:15" x14ac:dyDescent="0.2">
      <c r="A11864" s="120">
        <v>2025</v>
      </c>
      <c r="B11864" s="120">
        <v>12</v>
      </c>
      <c r="C11864" s="120">
        <v>18</v>
      </c>
      <c r="D11864" s="208">
        <f t="shared" si="1650"/>
        <v>46009</v>
      </c>
      <c r="E11864" s="209">
        <f t="shared" si="1658"/>
        <v>46009</v>
      </c>
      <c r="F11864" s="515"/>
      <c r="G11864" s="132" t="s">
        <v>1209</v>
      </c>
      <c r="J11864" s="120" t="s">
        <v>47</v>
      </c>
      <c r="K11864" s="207">
        <v>113553.20000000001</v>
      </c>
      <c r="L11864" s="207"/>
    </row>
    <row r="11865" spans="1:15" x14ac:dyDescent="0.2">
      <c r="A11865" s="191">
        <v>2025</v>
      </c>
      <c r="B11865" s="191">
        <v>12</v>
      </c>
      <c r="C11865" s="191">
        <v>18</v>
      </c>
      <c r="D11865" s="192">
        <f t="shared" si="1650"/>
        <v>46009</v>
      </c>
      <c r="E11865" s="193">
        <f t="shared" si="1658"/>
        <v>46009</v>
      </c>
      <c r="F11865" s="514"/>
      <c r="G11865" s="194" t="s">
        <v>1209</v>
      </c>
      <c r="H11865" s="195"/>
      <c r="I11865" s="195"/>
      <c r="J11865" s="191" t="s">
        <v>46</v>
      </c>
      <c r="K11865" s="196"/>
      <c r="L11865" s="196">
        <v>414963.20000000001</v>
      </c>
    </row>
    <row r="11866" spans="1:15" x14ac:dyDescent="0.2">
      <c r="A11866" s="197">
        <v>2025</v>
      </c>
      <c r="B11866" s="197">
        <v>12</v>
      </c>
      <c r="C11866" s="120">
        <v>18</v>
      </c>
      <c r="D11866" s="198">
        <f t="shared" si="1650"/>
        <v>46009</v>
      </c>
      <c r="E11866" s="209">
        <f t="shared" ref="E11866:E11868" si="1659">DATE(A11866,B11866,C11866)</f>
        <v>46009</v>
      </c>
      <c r="F11866" s="513" t="s">
        <v>2113</v>
      </c>
      <c r="G11866" s="200" t="s">
        <v>1209</v>
      </c>
      <c r="H11866" s="201"/>
      <c r="I11866" s="201"/>
      <c r="J11866" s="197" t="s">
        <v>46</v>
      </c>
      <c r="K11866" s="202">
        <v>300000</v>
      </c>
      <c r="L11866" s="202"/>
    </row>
    <row r="11867" spans="1:15" x14ac:dyDescent="0.2">
      <c r="A11867" s="120">
        <v>2025</v>
      </c>
      <c r="B11867" s="120">
        <v>12</v>
      </c>
      <c r="C11867" s="120">
        <v>18</v>
      </c>
      <c r="D11867" s="208">
        <f t="shared" si="1650"/>
        <v>46009</v>
      </c>
      <c r="E11867" s="209">
        <f t="shared" si="1659"/>
        <v>46009</v>
      </c>
      <c r="F11867" s="515"/>
      <c r="G11867" s="132" t="s">
        <v>1209</v>
      </c>
      <c r="J11867" s="120" t="s">
        <v>16</v>
      </c>
      <c r="K11867" s="207"/>
      <c r="L11867" s="207">
        <v>217910</v>
      </c>
    </row>
    <row r="11868" spans="1:15" x14ac:dyDescent="0.2">
      <c r="A11868" s="191">
        <v>2025</v>
      </c>
      <c r="B11868" s="191">
        <v>12</v>
      </c>
      <c r="C11868" s="191">
        <v>18</v>
      </c>
      <c r="D11868" s="192">
        <f t="shared" si="1650"/>
        <v>46009</v>
      </c>
      <c r="E11868" s="193">
        <f t="shared" si="1659"/>
        <v>46009</v>
      </c>
      <c r="F11868" s="514"/>
      <c r="G11868" s="194" t="s">
        <v>1209</v>
      </c>
      <c r="H11868" s="195"/>
      <c r="I11868" s="195"/>
      <c r="J11868" s="191" t="s">
        <v>47</v>
      </c>
      <c r="K11868" s="196"/>
      <c r="L11868" s="196">
        <v>82090</v>
      </c>
    </row>
    <row r="11869" spans="1:15" x14ac:dyDescent="0.2">
      <c r="A11869" s="197">
        <v>2025</v>
      </c>
      <c r="B11869" s="197">
        <v>12</v>
      </c>
      <c r="C11869" s="120">
        <v>18</v>
      </c>
      <c r="D11869" s="198">
        <f t="shared" si="1650"/>
        <v>46009</v>
      </c>
      <c r="E11869" s="209">
        <f t="shared" si="1658"/>
        <v>46009</v>
      </c>
      <c r="F11869" s="513" t="s">
        <v>1296</v>
      </c>
      <c r="G11869" s="200" t="s">
        <v>1209</v>
      </c>
      <c r="H11869" s="201"/>
      <c r="I11869" s="201"/>
      <c r="J11869" s="197" t="s">
        <v>46</v>
      </c>
      <c r="K11869" s="202">
        <v>10000</v>
      </c>
      <c r="L11869" s="202"/>
    </row>
    <row r="11870" spans="1:15" x14ac:dyDescent="0.2">
      <c r="A11870" s="120">
        <v>2025</v>
      </c>
      <c r="B11870" s="120">
        <v>12</v>
      </c>
      <c r="C11870" s="120">
        <v>18</v>
      </c>
      <c r="D11870" s="208">
        <f t="shared" si="1650"/>
        <v>46009</v>
      </c>
      <c r="E11870" s="209">
        <f t="shared" si="1658"/>
        <v>46009</v>
      </c>
      <c r="F11870" s="515"/>
      <c r="G11870" s="132" t="s">
        <v>1209</v>
      </c>
      <c r="J11870" s="120" t="s">
        <v>16</v>
      </c>
      <c r="K11870" s="207"/>
      <c r="L11870" s="207">
        <v>7260</v>
      </c>
    </row>
    <row r="11871" spans="1:15" x14ac:dyDescent="0.2">
      <c r="A11871" s="191">
        <v>2025</v>
      </c>
      <c r="B11871" s="191">
        <v>12</v>
      </c>
      <c r="C11871" s="191">
        <v>18</v>
      </c>
      <c r="D11871" s="192">
        <f t="shared" si="1650"/>
        <v>46009</v>
      </c>
      <c r="E11871" s="193">
        <f t="shared" si="1658"/>
        <v>46009</v>
      </c>
      <c r="F11871" s="514"/>
      <c r="G11871" s="194" t="s">
        <v>1209</v>
      </c>
      <c r="H11871" s="195"/>
      <c r="I11871" s="195"/>
      <c r="J11871" s="191" t="s">
        <v>47</v>
      </c>
      <c r="K11871" s="196"/>
      <c r="L11871" s="196">
        <v>2740</v>
      </c>
    </row>
    <row r="11872" spans="1:15" x14ac:dyDescent="0.2">
      <c r="A11872" s="197">
        <v>2025</v>
      </c>
      <c r="B11872" s="197">
        <v>12</v>
      </c>
      <c r="C11872" s="197">
        <v>18</v>
      </c>
      <c r="D11872" s="198">
        <f t="shared" si="1650"/>
        <v>46009</v>
      </c>
      <c r="E11872" s="290">
        <f t="shared" si="1658"/>
        <v>46009</v>
      </c>
      <c r="F11872" s="513" t="s">
        <v>1514</v>
      </c>
      <c r="G11872" s="200" t="s">
        <v>1209</v>
      </c>
      <c r="H11872" s="201"/>
      <c r="I11872" s="201"/>
      <c r="J11872" s="197" t="s">
        <v>54</v>
      </c>
      <c r="K11872" s="202">
        <v>116</v>
      </c>
      <c r="L11872" s="202"/>
      <c r="M11872" s="251"/>
      <c r="N11872" s="251"/>
      <c r="O11872" s="251"/>
    </row>
    <row r="11873" spans="1:13" ht="11.25" customHeight="1" x14ac:dyDescent="0.2">
      <c r="A11873" s="191">
        <v>2025</v>
      </c>
      <c r="B11873" s="191">
        <v>12</v>
      </c>
      <c r="C11873" s="191">
        <v>18</v>
      </c>
      <c r="D11873" s="192">
        <f t="shared" si="1650"/>
        <v>46009</v>
      </c>
      <c r="E11873" s="291">
        <f t="shared" si="1658"/>
        <v>46009</v>
      </c>
      <c r="F11873" s="514"/>
      <c r="G11873" s="194" t="s">
        <v>1209</v>
      </c>
      <c r="H11873" s="195"/>
      <c r="I11873" s="195"/>
      <c r="J11873" s="191" t="s">
        <v>46</v>
      </c>
      <c r="K11873" s="196"/>
      <c r="L11873" s="196">
        <f>K11872</f>
        <v>116</v>
      </c>
      <c r="M11873" s="251"/>
    </row>
    <row r="11874" spans="1:13" ht="11.25" customHeight="1" x14ac:dyDescent="0.2">
      <c r="A11874" s="120">
        <v>2025</v>
      </c>
      <c r="B11874" s="197">
        <v>12</v>
      </c>
      <c r="C11874" s="197">
        <v>18</v>
      </c>
      <c r="D11874" s="208">
        <f t="shared" si="1650"/>
        <v>46009</v>
      </c>
      <c r="E11874" s="209">
        <f>DATE(A11874,B11874,C11874)</f>
        <v>46009</v>
      </c>
      <c r="F11874" s="515" t="s">
        <v>1922</v>
      </c>
      <c r="G11874" s="132" t="s">
        <v>1209</v>
      </c>
      <c r="H11874" s="132"/>
      <c r="J11874" s="120" t="s">
        <v>457</v>
      </c>
      <c r="K11874" s="202">
        <v>6581.6504421797672</v>
      </c>
      <c r="L11874" s="207"/>
    </row>
    <row r="11875" spans="1:13" ht="11.25" customHeight="1" x14ac:dyDescent="0.2">
      <c r="A11875" s="191">
        <v>2025</v>
      </c>
      <c r="B11875" s="191">
        <v>12</v>
      </c>
      <c r="C11875" s="191">
        <v>18</v>
      </c>
      <c r="D11875" s="192">
        <f t="shared" si="1650"/>
        <v>46009</v>
      </c>
      <c r="E11875" s="291">
        <f t="shared" ref="E11875" si="1660">DATE(A11875,B11875,C11875)</f>
        <v>46009</v>
      </c>
      <c r="F11875" s="514"/>
      <c r="G11875" s="194" t="s">
        <v>1209</v>
      </c>
      <c r="H11875" s="195"/>
      <c r="I11875" s="195" t="s">
        <v>1253</v>
      </c>
      <c r="J11875" s="191" t="s">
        <v>46</v>
      </c>
      <c r="K11875" s="196"/>
      <c r="L11875" s="196">
        <v>6581.65</v>
      </c>
    </row>
    <row r="11876" spans="1:13" x14ac:dyDescent="0.2">
      <c r="A11876" s="424">
        <v>2025</v>
      </c>
      <c r="B11876" s="424">
        <v>12</v>
      </c>
      <c r="C11876" s="424">
        <v>18</v>
      </c>
      <c r="D11876" s="425">
        <f t="shared" si="1650"/>
        <v>46009</v>
      </c>
      <c r="E11876" s="384">
        <f t="shared" si="1658"/>
        <v>46009</v>
      </c>
      <c r="F11876" s="516" t="s">
        <v>1850</v>
      </c>
      <c r="G11876" s="426" t="s">
        <v>1209</v>
      </c>
      <c r="H11876" s="427"/>
      <c r="I11876" s="427"/>
      <c r="J11876" s="428" t="s">
        <v>81</v>
      </c>
      <c r="K11876" s="429">
        <v>1595.8173626373627</v>
      </c>
      <c r="L11876" s="429"/>
      <c r="M11876" s="455"/>
    </row>
    <row r="11877" spans="1:13" x14ac:dyDescent="0.2">
      <c r="A11877" s="389">
        <v>2025</v>
      </c>
      <c r="B11877" s="389">
        <v>12</v>
      </c>
      <c r="C11877" s="389">
        <v>18</v>
      </c>
      <c r="D11877" s="390">
        <f t="shared" si="1650"/>
        <v>46009</v>
      </c>
      <c r="E11877" s="391">
        <f t="shared" si="1658"/>
        <v>46009</v>
      </c>
      <c r="F11877" s="517"/>
      <c r="G11877" s="392" t="s">
        <v>1209</v>
      </c>
      <c r="H11877" s="393"/>
      <c r="I11877" s="393"/>
      <c r="J11877" s="394" t="s">
        <v>1847</v>
      </c>
      <c r="K11877" s="423"/>
      <c r="L11877" s="423">
        <f>K11876</f>
        <v>1595.8173626373627</v>
      </c>
    </row>
    <row r="11878" spans="1:13" ht="11.25" customHeight="1" x14ac:dyDescent="0.2">
      <c r="A11878" s="382">
        <v>2025</v>
      </c>
      <c r="B11878" s="382">
        <v>12</v>
      </c>
      <c r="C11878" s="382">
        <v>18</v>
      </c>
      <c r="D11878" s="383">
        <f t="shared" si="1650"/>
        <v>46009</v>
      </c>
      <c r="E11878" s="384">
        <f t="shared" si="1658"/>
        <v>46009</v>
      </c>
      <c r="F11878" s="516" t="s">
        <v>1892</v>
      </c>
      <c r="G11878" s="385" t="s">
        <v>1209</v>
      </c>
      <c r="H11878" s="386"/>
      <c r="I11878" s="386"/>
      <c r="J11878" s="387" t="s">
        <v>173</v>
      </c>
      <c r="K11878" s="388">
        <v>628.94116990327382</v>
      </c>
      <c r="L11878" s="388"/>
      <c r="M11878" s="455"/>
    </row>
    <row r="11879" spans="1:13" ht="11.25" customHeight="1" x14ac:dyDescent="0.2">
      <c r="A11879" s="389">
        <v>2025</v>
      </c>
      <c r="B11879" s="389">
        <v>12</v>
      </c>
      <c r="C11879" s="389">
        <v>18</v>
      </c>
      <c r="D11879" s="390">
        <f t="shared" si="1650"/>
        <v>46009</v>
      </c>
      <c r="E11879" s="391">
        <f t="shared" si="1658"/>
        <v>46009</v>
      </c>
      <c r="F11879" s="517"/>
      <c r="G11879" s="392" t="s">
        <v>1209</v>
      </c>
      <c r="H11879" s="393"/>
      <c r="I11879" s="393"/>
      <c r="J11879" s="394" t="s">
        <v>43</v>
      </c>
      <c r="K11879" s="388"/>
      <c r="L11879" s="423">
        <f>K11878</f>
        <v>628.94116990327382</v>
      </c>
    </row>
    <row r="11880" spans="1:13" ht="11.25" customHeight="1" x14ac:dyDescent="0.2">
      <c r="A11880" s="344">
        <v>2025</v>
      </c>
      <c r="B11880" s="344">
        <v>12</v>
      </c>
      <c r="C11880" s="344">
        <v>18</v>
      </c>
      <c r="D11880" s="345">
        <f t="shared" si="1650"/>
        <v>46009</v>
      </c>
      <c r="E11880" s="346">
        <f t="shared" si="1658"/>
        <v>46009</v>
      </c>
      <c r="F11880" s="518" t="s">
        <v>1982</v>
      </c>
      <c r="G11880" s="347" t="s">
        <v>1245</v>
      </c>
      <c r="H11880" s="348"/>
      <c r="I11880" s="348" t="s">
        <v>1253</v>
      </c>
      <c r="J11880" s="344" t="s">
        <v>1978</v>
      </c>
      <c r="K11880" s="349">
        <v>21249.725274725275</v>
      </c>
      <c r="L11880" s="349"/>
      <c r="M11880" s="455"/>
    </row>
    <row r="11881" spans="1:13" ht="11.25" customHeight="1" x14ac:dyDescent="0.2">
      <c r="A11881" s="350">
        <v>2025</v>
      </c>
      <c r="B11881" s="350">
        <v>12</v>
      </c>
      <c r="C11881" s="350">
        <v>18</v>
      </c>
      <c r="D11881" s="351">
        <f t="shared" si="1650"/>
        <v>46009</v>
      </c>
      <c r="E11881" s="352">
        <f t="shared" si="1658"/>
        <v>46009</v>
      </c>
      <c r="F11881" s="519"/>
      <c r="G11881" s="353" t="s">
        <v>1245</v>
      </c>
      <c r="H11881" s="354"/>
      <c r="I11881" s="354" t="s">
        <v>1253</v>
      </c>
      <c r="J11881" s="350" t="s">
        <v>1979</v>
      </c>
      <c r="K11881" s="355"/>
      <c r="L11881" s="355">
        <f>K11880</f>
        <v>21249.725274725275</v>
      </c>
    </row>
    <row r="11882" spans="1:13" ht="11.25" customHeight="1" x14ac:dyDescent="0.2">
      <c r="A11882" s="344">
        <v>2025</v>
      </c>
      <c r="B11882" s="344">
        <v>12</v>
      </c>
      <c r="C11882" s="344">
        <v>18</v>
      </c>
      <c r="D11882" s="345">
        <f t="shared" si="1650"/>
        <v>46009</v>
      </c>
      <c r="E11882" s="346">
        <f t="shared" si="1658"/>
        <v>46009</v>
      </c>
      <c r="F11882" s="518" t="s">
        <v>2009</v>
      </c>
      <c r="G11882" s="347" t="s">
        <v>1245</v>
      </c>
      <c r="H11882" s="348"/>
      <c r="I11882" s="348" t="s">
        <v>1253</v>
      </c>
      <c r="J11882" s="344" t="s">
        <v>2004</v>
      </c>
      <c r="K11882" s="349">
        <v>7098.9014285714284</v>
      </c>
      <c r="L11882" s="349"/>
      <c r="M11882" s="455"/>
    </row>
    <row r="11883" spans="1:13" ht="11.25" customHeight="1" x14ac:dyDescent="0.2">
      <c r="A11883" s="350">
        <v>2025</v>
      </c>
      <c r="B11883" s="350">
        <v>12</v>
      </c>
      <c r="C11883" s="350">
        <v>18</v>
      </c>
      <c r="D11883" s="351">
        <f t="shared" si="1650"/>
        <v>46009</v>
      </c>
      <c r="E11883" s="352">
        <f t="shared" si="1658"/>
        <v>46009</v>
      </c>
      <c r="F11883" s="519"/>
      <c r="G11883" s="353" t="s">
        <v>1245</v>
      </c>
      <c r="H11883" s="354"/>
      <c r="I11883" s="354" t="s">
        <v>1253</v>
      </c>
      <c r="J11883" s="350" t="s">
        <v>2008</v>
      </c>
      <c r="K11883" s="355"/>
      <c r="L11883" s="355">
        <f t="shared" ref="L11883" si="1661">K11882</f>
        <v>7098.9014285714284</v>
      </c>
    </row>
    <row r="11884" spans="1:13" ht="11.25" customHeight="1" x14ac:dyDescent="0.2">
      <c r="A11884" s="344">
        <v>2025</v>
      </c>
      <c r="B11884" s="344">
        <v>12</v>
      </c>
      <c r="C11884" s="344">
        <v>18</v>
      </c>
      <c r="D11884" s="345">
        <f t="shared" ref="D11884:D11947" si="1662">DATE(A11884,B11884,C11884)</f>
        <v>46009</v>
      </c>
      <c r="E11884" s="346">
        <f t="shared" si="1658"/>
        <v>46009</v>
      </c>
      <c r="F11884" s="518" t="s">
        <v>2009</v>
      </c>
      <c r="G11884" s="347" t="s">
        <v>1245</v>
      </c>
      <c r="H11884" s="348"/>
      <c r="I11884" s="348" t="s">
        <v>1253</v>
      </c>
      <c r="J11884" s="344" t="s">
        <v>2004</v>
      </c>
      <c r="K11884" s="349">
        <v>7098.9014285714284</v>
      </c>
      <c r="L11884" s="349"/>
      <c r="M11884" s="455"/>
    </row>
    <row r="11885" spans="1:13" ht="11.25" customHeight="1" x14ac:dyDescent="0.2">
      <c r="A11885" s="350">
        <v>2025</v>
      </c>
      <c r="B11885" s="350">
        <v>12</v>
      </c>
      <c r="C11885" s="350">
        <v>18</v>
      </c>
      <c r="D11885" s="351">
        <f t="shared" si="1662"/>
        <v>46009</v>
      </c>
      <c r="E11885" s="352">
        <f t="shared" si="1658"/>
        <v>46009</v>
      </c>
      <c r="F11885" s="519"/>
      <c r="G11885" s="353" t="s">
        <v>1245</v>
      </c>
      <c r="H11885" s="354"/>
      <c r="I11885" s="354" t="s">
        <v>1253</v>
      </c>
      <c r="J11885" s="350" t="s">
        <v>2008</v>
      </c>
      <c r="K11885" s="355"/>
      <c r="L11885" s="355">
        <f t="shared" ref="L11885" si="1663">K11884</f>
        <v>7098.9014285714284</v>
      </c>
    </row>
    <row r="11886" spans="1:13" ht="11.25" customHeight="1" x14ac:dyDescent="0.2">
      <c r="A11886" s="344">
        <v>2025</v>
      </c>
      <c r="B11886" s="344">
        <v>12</v>
      </c>
      <c r="C11886" s="344">
        <v>18</v>
      </c>
      <c r="D11886" s="345">
        <f t="shared" si="1662"/>
        <v>46009</v>
      </c>
      <c r="E11886" s="346">
        <f t="shared" si="1658"/>
        <v>46009</v>
      </c>
      <c r="F11886" s="518" t="s">
        <v>2088</v>
      </c>
      <c r="G11886" s="347" t="s">
        <v>1245</v>
      </c>
      <c r="H11886" s="348"/>
      <c r="I11886" s="348" t="s">
        <v>1253</v>
      </c>
      <c r="J11886" s="344" t="s">
        <v>2086</v>
      </c>
      <c r="K11886" s="349">
        <v>1789.835164835165</v>
      </c>
      <c r="L11886" s="349"/>
      <c r="M11886" s="455"/>
    </row>
    <row r="11887" spans="1:13" ht="11.25" customHeight="1" x14ac:dyDescent="0.2">
      <c r="A11887" s="350">
        <v>2025</v>
      </c>
      <c r="B11887" s="350">
        <v>12</v>
      </c>
      <c r="C11887" s="350">
        <v>18</v>
      </c>
      <c r="D11887" s="351">
        <f t="shared" si="1662"/>
        <v>46009</v>
      </c>
      <c r="E11887" s="352">
        <f t="shared" si="1658"/>
        <v>46009</v>
      </c>
      <c r="F11887" s="519"/>
      <c r="G11887" s="353" t="s">
        <v>1245</v>
      </c>
      <c r="H11887" s="354"/>
      <c r="I11887" s="354" t="s">
        <v>1253</v>
      </c>
      <c r="J11887" s="350" t="s">
        <v>2089</v>
      </c>
      <c r="K11887" s="355"/>
      <c r="L11887" s="355">
        <f>K11886</f>
        <v>1789.835164835165</v>
      </c>
    </row>
    <row r="11888" spans="1:13" ht="11.25" customHeight="1" x14ac:dyDescent="0.2">
      <c r="A11888" s="344">
        <v>2025</v>
      </c>
      <c r="B11888" s="344">
        <v>12</v>
      </c>
      <c r="C11888" s="344">
        <v>18</v>
      </c>
      <c r="D11888" s="345">
        <f t="shared" si="1662"/>
        <v>46009</v>
      </c>
      <c r="E11888" s="346">
        <f>DATE(A11888,B11888,C11888)</f>
        <v>46009</v>
      </c>
      <c r="F11888" s="518" t="s">
        <v>1988</v>
      </c>
      <c r="G11888" s="347" t="s">
        <v>1245</v>
      </c>
      <c r="H11888" s="348"/>
      <c r="I11888" s="348" t="s">
        <v>1253</v>
      </c>
      <c r="J11888" s="344" t="s">
        <v>113</v>
      </c>
      <c r="K11888" s="349">
        <v>4692.3071428571429</v>
      </c>
      <c r="L11888" s="349"/>
      <c r="M11888" s="455"/>
    </row>
    <row r="11889" spans="1:16" ht="11.25" customHeight="1" x14ac:dyDescent="0.2">
      <c r="A11889" s="350">
        <v>2025</v>
      </c>
      <c r="B11889" s="350">
        <v>12</v>
      </c>
      <c r="C11889" s="350">
        <v>18</v>
      </c>
      <c r="D11889" s="351">
        <f t="shared" si="1662"/>
        <v>46009</v>
      </c>
      <c r="E11889" s="352">
        <f>DATE(A11889,B11889,C11889)</f>
        <v>46009</v>
      </c>
      <c r="F11889" s="519"/>
      <c r="G11889" s="353" t="s">
        <v>1245</v>
      </c>
      <c r="H11889" s="354"/>
      <c r="I11889" s="354" t="s">
        <v>1253</v>
      </c>
      <c r="J11889" s="350" t="s">
        <v>153</v>
      </c>
      <c r="K11889" s="355"/>
      <c r="L11889" s="355">
        <f t="shared" ref="L11889" si="1664">K11888</f>
        <v>4692.3071428571429</v>
      </c>
    </row>
    <row r="11890" spans="1:16" ht="11.25" customHeight="1" x14ac:dyDescent="0.2">
      <c r="A11890" s="344">
        <v>2025</v>
      </c>
      <c r="B11890" s="344">
        <v>12</v>
      </c>
      <c r="C11890" s="344">
        <v>18</v>
      </c>
      <c r="D11890" s="345">
        <f t="shared" si="1662"/>
        <v>46009</v>
      </c>
      <c r="E11890" s="346">
        <f t="shared" ref="E11890:E11896" si="1665">DATE(A11890,B11890,C11890)</f>
        <v>46009</v>
      </c>
      <c r="F11890" s="518" t="s">
        <v>1989</v>
      </c>
      <c r="G11890" s="347" t="s">
        <v>1245</v>
      </c>
      <c r="H11890" s="348"/>
      <c r="I11890" s="348" t="s">
        <v>1253</v>
      </c>
      <c r="J11890" s="344" t="s">
        <v>113</v>
      </c>
      <c r="K11890" s="349">
        <v>3351.6483516483518</v>
      </c>
      <c r="L11890" s="349"/>
      <c r="M11890" s="455"/>
    </row>
    <row r="11891" spans="1:16" ht="11.25" customHeight="1" x14ac:dyDescent="0.2">
      <c r="A11891" s="350">
        <v>2025</v>
      </c>
      <c r="B11891" s="350">
        <v>12</v>
      </c>
      <c r="C11891" s="350">
        <v>18</v>
      </c>
      <c r="D11891" s="351">
        <f t="shared" si="1662"/>
        <v>46009</v>
      </c>
      <c r="E11891" s="352">
        <f t="shared" si="1665"/>
        <v>46009</v>
      </c>
      <c r="F11891" s="519"/>
      <c r="G11891" s="353" t="s">
        <v>1245</v>
      </c>
      <c r="H11891" s="354"/>
      <c r="I11891" s="354" t="s">
        <v>1253</v>
      </c>
      <c r="J11891" s="350" t="s">
        <v>153</v>
      </c>
      <c r="K11891" s="355"/>
      <c r="L11891" s="355">
        <f t="shared" ref="L11891" si="1666">K11890</f>
        <v>3351.6483516483518</v>
      </c>
    </row>
    <row r="11892" spans="1:16" ht="11.25" customHeight="1" x14ac:dyDescent="0.2">
      <c r="A11892" s="344">
        <v>2025</v>
      </c>
      <c r="B11892" s="344">
        <v>12</v>
      </c>
      <c r="C11892" s="344">
        <v>18</v>
      </c>
      <c r="D11892" s="345">
        <f t="shared" si="1662"/>
        <v>46009</v>
      </c>
      <c r="E11892" s="346">
        <f t="shared" si="1665"/>
        <v>46009</v>
      </c>
      <c r="F11892" s="518" t="s">
        <v>1990</v>
      </c>
      <c r="G11892" s="347" t="s">
        <v>1245</v>
      </c>
      <c r="H11892" s="348"/>
      <c r="I11892" s="348" t="s">
        <v>1253</v>
      </c>
      <c r="J11892" s="344" t="s">
        <v>113</v>
      </c>
      <c r="K11892" s="349">
        <v>10054.945714285714</v>
      </c>
      <c r="L11892" s="349"/>
      <c r="M11892" s="455"/>
      <c r="N11892" s="251"/>
      <c r="O11892" s="251"/>
      <c r="P11892" s="251"/>
    </row>
    <row r="11893" spans="1:16" ht="11.25" customHeight="1" x14ac:dyDescent="0.2">
      <c r="A11893" s="350">
        <v>2025</v>
      </c>
      <c r="B11893" s="350">
        <v>12</v>
      </c>
      <c r="C11893" s="350">
        <v>18</v>
      </c>
      <c r="D11893" s="351">
        <f t="shared" si="1662"/>
        <v>46009</v>
      </c>
      <c r="E11893" s="352">
        <f t="shared" si="1665"/>
        <v>46009</v>
      </c>
      <c r="F11893" s="519"/>
      <c r="G11893" s="353" t="s">
        <v>1245</v>
      </c>
      <c r="H11893" s="354"/>
      <c r="I11893" s="354" t="s">
        <v>1253</v>
      </c>
      <c r="J11893" s="350" t="s">
        <v>153</v>
      </c>
      <c r="K11893" s="355"/>
      <c r="L11893" s="355">
        <f t="shared" ref="L11893" si="1667">K11892</f>
        <v>10054.945714285714</v>
      </c>
    </row>
    <row r="11894" spans="1:16" ht="11.25" customHeight="1" x14ac:dyDescent="0.2">
      <c r="A11894" s="344">
        <v>2025</v>
      </c>
      <c r="B11894" s="344">
        <v>12</v>
      </c>
      <c r="C11894" s="344">
        <v>18</v>
      </c>
      <c r="D11894" s="345">
        <f t="shared" si="1662"/>
        <v>46009</v>
      </c>
      <c r="E11894" s="346">
        <f t="shared" si="1665"/>
        <v>46009</v>
      </c>
      <c r="F11894" s="518" t="s">
        <v>2107</v>
      </c>
      <c r="G11894" s="347" t="s">
        <v>1245</v>
      </c>
      <c r="H11894" s="348"/>
      <c r="I11894" s="348" t="s">
        <v>1253</v>
      </c>
      <c r="J11894" s="344" t="s">
        <v>113</v>
      </c>
      <c r="K11894" s="349">
        <v>12370.879120879121</v>
      </c>
      <c r="L11894" s="349"/>
      <c r="M11894" s="455"/>
      <c r="N11894" s="251"/>
      <c r="O11894" s="251"/>
      <c r="P11894" s="251"/>
    </row>
    <row r="11895" spans="1:16" ht="11.25" customHeight="1" x14ac:dyDescent="0.2">
      <c r="A11895" s="350">
        <v>2025</v>
      </c>
      <c r="B11895" s="350">
        <v>12</v>
      </c>
      <c r="C11895" s="350">
        <v>18</v>
      </c>
      <c r="D11895" s="351">
        <f t="shared" si="1662"/>
        <v>46009</v>
      </c>
      <c r="E11895" s="352">
        <f t="shared" si="1665"/>
        <v>46009</v>
      </c>
      <c r="F11895" s="519"/>
      <c r="G11895" s="353" t="s">
        <v>1245</v>
      </c>
      <c r="H11895" s="354"/>
      <c r="I11895" s="354" t="s">
        <v>1253</v>
      </c>
      <c r="J11895" s="350" t="s">
        <v>153</v>
      </c>
      <c r="K11895" s="355"/>
      <c r="L11895" s="355">
        <f t="shared" ref="L11895" si="1668">K11894</f>
        <v>12370.879120879121</v>
      </c>
    </row>
    <row r="11896" spans="1:16" ht="11.25" customHeight="1" x14ac:dyDescent="0.2">
      <c r="A11896" s="210">
        <v>2025</v>
      </c>
      <c r="B11896" s="210">
        <v>12</v>
      </c>
      <c r="C11896" s="210">
        <v>18</v>
      </c>
      <c r="D11896" s="211">
        <f t="shared" si="1662"/>
        <v>46009</v>
      </c>
      <c r="E11896" s="238">
        <f t="shared" si="1665"/>
        <v>46009</v>
      </c>
      <c r="F11896" s="520" t="s">
        <v>1857</v>
      </c>
      <c r="G11896" s="213" t="s">
        <v>1245</v>
      </c>
      <c r="H11896" s="214"/>
      <c r="I11896" s="214" t="s">
        <v>1253</v>
      </c>
      <c r="J11896" s="210" t="s">
        <v>1284</v>
      </c>
      <c r="K11896" s="215">
        <v>334.54448777029421</v>
      </c>
      <c r="L11896" s="215"/>
      <c r="M11896" s="455"/>
    </row>
    <row r="11897" spans="1:16" ht="11.25" customHeight="1" x14ac:dyDescent="0.2">
      <c r="A11897" s="242">
        <v>2025</v>
      </c>
      <c r="B11897" s="242">
        <v>12</v>
      </c>
      <c r="C11897" s="242">
        <v>18</v>
      </c>
      <c r="D11897" s="243">
        <f t="shared" si="1662"/>
        <v>46009</v>
      </c>
      <c r="E11897" s="244">
        <f>DATE(A11897,B11897,C11897)</f>
        <v>46009</v>
      </c>
      <c r="F11897" s="524"/>
      <c r="G11897" s="245" t="s">
        <v>1245</v>
      </c>
      <c r="H11897" s="246"/>
      <c r="I11897" s="246"/>
      <c r="J11897" s="242" t="s">
        <v>1582</v>
      </c>
      <c r="K11897" s="247"/>
      <c r="L11897" s="247">
        <f>K11896</f>
        <v>334.54448777029421</v>
      </c>
    </row>
    <row r="11898" spans="1:16" ht="11.25" customHeight="1" x14ac:dyDescent="0.2">
      <c r="A11898" s="210">
        <v>2025</v>
      </c>
      <c r="B11898" s="210">
        <v>12</v>
      </c>
      <c r="C11898" s="210">
        <v>18</v>
      </c>
      <c r="D11898" s="211">
        <f t="shared" si="1662"/>
        <v>46009</v>
      </c>
      <c r="E11898" s="238">
        <f t="shared" ref="E11898:E11914" si="1669">DATE(A11898,B11898,C11898)</f>
        <v>46009</v>
      </c>
      <c r="F11898" s="520" t="s">
        <v>2055</v>
      </c>
      <c r="G11898" s="213" t="s">
        <v>1245</v>
      </c>
      <c r="H11898" s="214"/>
      <c r="I11898" s="214" t="s">
        <v>1253</v>
      </c>
      <c r="J11898" s="210" t="s">
        <v>58</v>
      </c>
      <c r="K11898" s="215">
        <v>1802.73</v>
      </c>
      <c r="L11898" s="215"/>
    </row>
    <row r="11899" spans="1:16" ht="11.25" customHeight="1" x14ac:dyDescent="0.2">
      <c r="A11899" s="216">
        <v>2025</v>
      </c>
      <c r="B11899" s="216">
        <v>12</v>
      </c>
      <c r="C11899" s="216">
        <v>18</v>
      </c>
      <c r="D11899" s="217">
        <f t="shared" si="1662"/>
        <v>46009</v>
      </c>
      <c r="E11899" s="239">
        <f t="shared" si="1669"/>
        <v>46009</v>
      </c>
      <c r="F11899" s="521"/>
      <c r="G11899" s="219" t="s">
        <v>1245</v>
      </c>
      <c r="H11899" s="220"/>
      <c r="I11899" s="220" t="s">
        <v>1253</v>
      </c>
      <c r="J11899" s="216" t="s">
        <v>153</v>
      </c>
      <c r="K11899" s="221"/>
      <c r="L11899" s="221">
        <f>K11898</f>
        <v>1802.73</v>
      </c>
    </row>
    <row r="11900" spans="1:16" ht="11.25" customHeight="1" x14ac:dyDescent="0.2">
      <c r="A11900" s="312">
        <v>2025</v>
      </c>
      <c r="B11900" s="312">
        <v>12</v>
      </c>
      <c r="C11900" s="312">
        <v>18</v>
      </c>
      <c r="D11900" s="313">
        <f t="shared" si="1662"/>
        <v>46009</v>
      </c>
      <c r="E11900" s="314">
        <f t="shared" si="1669"/>
        <v>46009</v>
      </c>
      <c r="F11900" s="522" t="s">
        <v>1477</v>
      </c>
      <c r="G11900" s="315" t="s">
        <v>1245</v>
      </c>
      <c r="H11900" s="316"/>
      <c r="I11900" s="316" t="s">
        <v>1253</v>
      </c>
      <c r="J11900" s="312" t="s">
        <v>1458</v>
      </c>
      <c r="K11900" s="317">
        <v>0</v>
      </c>
      <c r="L11900" s="317"/>
    </row>
    <row r="11901" spans="1:16" ht="11.25" customHeight="1" x14ac:dyDescent="0.2">
      <c r="A11901" s="318">
        <v>2025</v>
      </c>
      <c r="B11901" s="318">
        <v>12</v>
      </c>
      <c r="C11901" s="318">
        <v>18</v>
      </c>
      <c r="D11901" s="319">
        <f t="shared" si="1662"/>
        <v>46009</v>
      </c>
      <c r="E11901" s="320">
        <f t="shared" si="1669"/>
        <v>46009</v>
      </c>
      <c r="F11901" s="523"/>
      <c r="G11901" s="321" t="s">
        <v>1245</v>
      </c>
      <c r="H11901" s="322"/>
      <c r="I11901" s="322" t="s">
        <v>1253</v>
      </c>
      <c r="J11901" s="318" t="s">
        <v>1460</v>
      </c>
      <c r="K11901" s="323"/>
      <c r="L11901" s="323">
        <f>K11900</f>
        <v>0</v>
      </c>
    </row>
    <row r="11902" spans="1:16" ht="11.25" customHeight="1" x14ac:dyDescent="0.2">
      <c r="A11902" s="312">
        <v>2025</v>
      </c>
      <c r="B11902" s="312">
        <v>12</v>
      </c>
      <c r="C11902" s="312">
        <v>18</v>
      </c>
      <c r="D11902" s="313">
        <f t="shared" si="1662"/>
        <v>46009</v>
      </c>
      <c r="E11902" s="314">
        <f t="shared" si="1669"/>
        <v>46009</v>
      </c>
      <c r="F11902" s="522" t="s">
        <v>1595</v>
      </c>
      <c r="G11902" s="315" t="s">
        <v>1245</v>
      </c>
      <c r="H11902" s="316"/>
      <c r="I11902" s="316" t="s">
        <v>1253</v>
      </c>
      <c r="J11902" s="312" t="s">
        <v>1461</v>
      </c>
      <c r="K11902" s="317">
        <v>45965.058000087738</v>
      </c>
      <c r="L11902" s="317"/>
      <c r="M11902" s="328">
        <f>BS!$I$14</f>
        <v>0</v>
      </c>
    </row>
    <row r="11903" spans="1:16" ht="11.25" customHeight="1" x14ac:dyDescent="0.2">
      <c r="A11903" s="318">
        <v>2025</v>
      </c>
      <c r="B11903" s="318">
        <v>12</v>
      </c>
      <c r="C11903" s="318">
        <v>18</v>
      </c>
      <c r="D11903" s="319">
        <f t="shared" si="1662"/>
        <v>46009</v>
      </c>
      <c r="E11903" s="320">
        <f t="shared" si="1669"/>
        <v>46009</v>
      </c>
      <c r="F11903" s="523"/>
      <c r="G11903" s="321" t="s">
        <v>1245</v>
      </c>
      <c r="H11903" s="322"/>
      <c r="I11903" s="322" t="s">
        <v>1253</v>
      </c>
      <c r="J11903" s="318" t="s">
        <v>1459</v>
      </c>
      <c r="K11903" s="323"/>
      <c r="L11903" s="323">
        <f>K11902</f>
        <v>45965.058000087738</v>
      </c>
      <c r="M11903" s="328"/>
    </row>
    <row r="11904" spans="1:16" ht="11.25" customHeight="1" x14ac:dyDescent="0.2">
      <c r="A11904" s="222">
        <v>2025</v>
      </c>
      <c r="B11904" s="222">
        <v>12</v>
      </c>
      <c r="C11904" s="222">
        <v>18</v>
      </c>
      <c r="D11904" s="223">
        <f t="shared" si="1662"/>
        <v>46009</v>
      </c>
      <c r="E11904" s="240">
        <f t="shared" si="1669"/>
        <v>46009</v>
      </c>
      <c r="F11904" s="511" t="s">
        <v>1244</v>
      </c>
      <c r="G11904" s="225" t="s">
        <v>1245</v>
      </c>
      <c r="H11904" s="226"/>
      <c r="I11904" s="226" t="s">
        <v>1253</v>
      </c>
      <c r="J11904" s="222" t="s">
        <v>87</v>
      </c>
      <c r="K11904" s="227">
        <v>2604.5</v>
      </c>
      <c r="L11904" s="227"/>
      <c r="M11904" s="328">
        <f>BS!$I$7</f>
        <v>0</v>
      </c>
    </row>
    <row r="11905" spans="1:15" ht="11.25" customHeight="1" x14ac:dyDescent="0.2">
      <c r="A11905" s="228">
        <v>2025</v>
      </c>
      <c r="B11905" s="228">
        <v>12</v>
      </c>
      <c r="C11905" s="228">
        <v>18</v>
      </c>
      <c r="D11905" s="229">
        <f t="shared" si="1662"/>
        <v>46009</v>
      </c>
      <c r="E11905" s="241">
        <f t="shared" si="1669"/>
        <v>46009</v>
      </c>
      <c r="F11905" s="512"/>
      <c r="G11905" s="231" t="s">
        <v>1245</v>
      </c>
      <c r="H11905" s="232"/>
      <c r="I11905" s="232" t="s">
        <v>1253</v>
      </c>
      <c r="J11905" s="228" t="s">
        <v>72</v>
      </c>
      <c r="K11905" s="233"/>
      <c r="L11905" s="233">
        <f>K11904</f>
        <v>2604.5</v>
      </c>
    </row>
    <row r="11906" spans="1:15" ht="11.25" customHeight="1" x14ac:dyDescent="0.2">
      <c r="A11906" s="222">
        <v>2025</v>
      </c>
      <c r="B11906" s="222">
        <v>12</v>
      </c>
      <c r="C11906" s="222">
        <v>18</v>
      </c>
      <c r="D11906" s="223">
        <f t="shared" si="1662"/>
        <v>46009</v>
      </c>
      <c r="E11906" s="240">
        <f t="shared" si="1669"/>
        <v>46009</v>
      </c>
      <c r="F11906" s="511" t="s">
        <v>1246</v>
      </c>
      <c r="G11906" s="225" t="s">
        <v>1245</v>
      </c>
      <c r="H11906" s="226"/>
      <c r="I11906" s="226" t="s">
        <v>1253</v>
      </c>
      <c r="J11906" s="222" t="s">
        <v>75</v>
      </c>
      <c r="K11906" s="227">
        <v>517.58912087912086</v>
      </c>
      <c r="L11906" s="227"/>
      <c r="M11906" s="455"/>
    </row>
    <row r="11907" spans="1:15" ht="11.25" customHeight="1" x14ac:dyDescent="0.2">
      <c r="A11907" s="228">
        <v>2025</v>
      </c>
      <c r="B11907" s="228">
        <v>12</v>
      </c>
      <c r="C11907" s="228">
        <v>18</v>
      </c>
      <c r="D11907" s="229">
        <f t="shared" si="1662"/>
        <v>46009</v>
      </c>
      <c r="E11907" s="241">
        <f t="shared" si="1669"/>
        <v>46009</v>
      </c>
      <c r="F11907" s="512"/>
      <c r="G11907" s="231" t="s">
        <v>1245</v>
      </c>
      <c r="H11907" s="232"/>
      <c r="I11907" s="232" t="s">
        <v>1253</v>
      </c>
      <c r="J11907" s="228" t="s">
        <v>55</v>
      </c>
      <c r="K11907" s="233"/>
      <c r="L11907" s="233">
        <f>K11906</f>
        <v>517.58912087912086</v>
      </c>
    </row>
    <row r="11908" spans="1:15" ht="11.25" customHeight="1" x14ac:dyDescent="0.2">
      <c r="A11908" s="222">
        <v>2025</v>
      </c>
      <c r="B11908" s="222">
        <v>12</v>
      </c>
      <c r="C11908" s="222">
        <v>18</v>
      </c>
      <c r="D11908" s="223">
        <f t="shared" si="1662"/>
        <v>46009</v>
      </c>
      <c r="E11908" s="240">
        <f t="shared" si="1669"/>
        <v>46009</v>
      </c>
      <c r="F11908" s="511" t="s">
        <v>1247</v>
      </c>
      <c r="G11908" s="225" t="s">
        <v>1245</v>
      </c>
      <c r="H11908" s="226"/>
      <c r="I11908" s="226" t="s">
        <v>1253</v>
      </c>
      <c r="J11908" s="222" t="s">
        <v>77</v>
      </c>
      <c r="K11908" s="227">
        <f>M11908</f>
        <v>7461.282405831611</v>
      </c>
      <c r="L11908" s="227"/>
      <c r="M11908" s="478">
        <v>7461.282405831611</v>
      </c>
    </row>
    <row r="11909" spans="1:15" ht="11.25" customHeight="1" x14ac:dyDescent="0.2">
      <c r="A11909" s="228">
        <v>2025</v>
      </c>
      <c r="B11909" s="228">
        <v>12</v>
      </c>
      <c r="C11909" s="228">
        <v>18</v>
      </c>
      <c r="D11909" s="229">
        <f t="shared" si="1662"/>
        <v>46009</v>
      </c>
      <c r="E11909" s="241">
        <f t="shared" si="1669"/>
        <v>46009</v>
      </c>
      <c r="F11909" s="512"/>
      <c r="G11909" s="231" t="s">
        <v>1245</v>
      </c>
      <c r="H11909" s="232"/>
      <c r="I11909" s="232" t="s">
        <v>1253</v>
      </c>
      <c r="J11909" s="228" t="s">
        <v>41</v>
      </c>
      <c r="K11909" s="233"/>
      <c r="L11909" s="233">
        <f>K11908</f>
        <v>7461.282405831611</v>
      </c>
      <c r="M11909" s="478">
        <v>746.12824058316107</v>
      </c>
      <c r="N11909" s="251"/>
    </row>
    <row r="11910" spans="1:15" ht="11.25" customHeight="1" x14ac:dyDescent="0.2">
      <c r="A11910" s="222">
        <v>2025</v>
      </c>
      <c r="B11910" s="222">
        <v>12</v>
      </c>
      <c r="C11910" s="222">
        <v>18</v>
      </c>
      <c r="D11910" s="223">
        <f t="shared" si="1662"/>
        <v>46009</v>
      </c>
      <c r="E11910" s="240">
        <f t="shared" si="1669"/>
        <v>46009</v>
      </c>
      <c r="F11910" s="511" t="s">
        <v>1248</v>
      </c>
      <c r="G11910" s="225" t="s">
        <v>1245</v>
      </c>
      <c r="H11910" s="226"/>
      <c r="I11910" s="226" t="s">
        <v>1253</v>
      </c>
      <c r="J11910" s="222" t="s">
        <v>80</v>
      </c>
      <c r="K11910" s="227">
        <f>M11909</f>
        <v>746.12824058316107</v>
      </c>
      <c r="L11910" s="227"/>
      <c r="N11910" s="251"/>
      <c r="O11910" s="251"/>
    </row>
    <row r="11911" spans="1:15" ht="11.25" customHeight="1" x14ac:dyDescent="0.2">
      <c r="A11911" s="228">
        <v>2025</v>
      </c>
      <c r="B11911" s="228">
        <v>12</v>
      </c>
      <c r="C11911" s="228">
        <v>18</v>
      </c>
      <c r="D11911" s="229">
        <f t="shared" si="1662"/>
        <v>46009</v>
      </c>
      <c r="E11911" s="241">
        <f t="shared" si="1669"/>
        <v>46009</v>
      </c>
      <c r="F11911" s="512"/>
      <c r="G11911" s="231" t="s">
        <v>1245</v>
      </c>
      <c r="H11911" s="232"/>
      <c r="I11911" s="232" t="s">
        <v>1253</v>
      </c>
      <c r="J11911" s="228" t="s">
        <v>42</v>
      </c>
      <c r="K11911" s="233"/>
      <c r="L11911" s="233">
        <f>K11910</f>
        <v>746.12824058316107</v>
      </c>
      <c r="N11911" s="251"/>
    </row>
    <row r="11912" spans="1:15" x14ac:dyDescent="0.2">
      <c r="A11912" s="197">
        <v>2025</v>
      </c>
      <c r="B11912" s="197">
        <v>12</v>
      </c>
      <c r="C11912" s="120">
        <v>21</v>
      </c>
      <c r="D11912" s="198">
        <f t="shared" si="1662"/>
        <v>46012</v>
      </c>
      <c r="E11912" s="209">
        <f t="shared" si="1669"/>
        <v>46012</v>
      </c>
      <c r="F11912" s="513" t="s">
        <v>1423</v>
      </c>
      <c r="G11912" s="200" t="s">
        <v>1209</v>
      </c>
      <c r="H11912" s="201"/>
      <c r="I11912" s="201"/>
      <c r="J11912" s="197" t="s">
        <v>16</v>
      </c>
      <c r="K11912" s="202">
        <v>1820</v>
      </c>
      <c r="L11912" s="202"/>
    </row>
    <row r="11913" spans="1:15" x14ac:dyDescent="0.2">
      <c r="A11913" s="120">
        <v>2025</v>
      </c>
      <c r="B11913" s="120">
        <v>12</v>
      </c>
      <c r="C11913" s="120">
        <v>21</v>
      </c>
      <c r="D11913" s="208">
        <f t="shared" si="1662"/>
        <v>46012</v>
      </c>
      <c r="E11913" s="209">
        <f t="shared" si="1669"/>
        <v>46012</v>
      </c>
      <c r="F11913" s="515"/>
      <c r="G11913" s="132" t="s">
        <v>1209</v>
      </c>
      <c r="J11913" s="120" t="s">
        <v>47</v>
      </c>
      <c r="K11913" s="207">
        <v>680</v>
      </c>
      <c r="L11913" s="207"/>
    </row>
    <row r="11914" spans="1:15" x14ac:dyDescent="0.2">
      <c r="A11914" s="191">
        <v>2025</v>
      </c>
      <c r="B11914" s="191">
        <v>12</v>
      </c>
      <c r="C11914" s="191">
        <v>21</v>
      </c>
      <c r="D11914" s="192">
        <f t="shared" si="1662"/>
        <v>46012</v>
      </c>
      <c r="E11914" s="193">
        <f t="shared" si="1669"/>
        <v>46012</v>
      </c>
      <c r="F11914" s="514"/>
      <c r="G11914" s="194" t="s">
        <v>1209</v>
      </c>
      <c r="H11914" s="195"/>
      <c r="I11914" s="195"/>
      <c r="J11914" s="191" t="s">
        <v>46</v>
      </c>
      <c r="K11914" s="196"/>
      <c r="L11914" s="196">
        <v>2500</v>
      </c>
    </row>
    <row r="11915" spans="1:15" x14ac:dyDescent="0.2">
      <c r="A11915" s="197">
        <v>2025</v>
      </c>
      <c r="B11915" s="197">
        <v>12</v>
      </c>
      <c r="C11915" s="120">
        <v>21</v>
      </c>
      <c r="D11915" s="198">
        <f t="shared" si="1662"/>
        <v>46012</v>
      </c>
      <c r="E11915" s="209">
        <f t="shared" ref="E11915:E11935" si="1670">DATE(A11915,B11915,C11915)</f>
        <v>46012</v>
      </c>
      <c r="F11915" s="513" t="s">
        <v>1280</v>
      </c>
      <c r="G11915" s="200" t="s">
        <v>1209</v>
      </c>
      <c r="H11915" s="201"/>
      <c r="I11915" s="201"/>
      <c r="J11915" s="197" t="s">
        <v>16</v>
      </c>
      <c r="K11915" s="202">
        <v>363180</v>
      </c>
      <c r="L11915" s="202"/>
    </row>
    <row r="11916" spans="1:15" x14ac:dyDescent="0.2">
      <c r="A11916" s="120">
        <v>2025</v>
      </c>
      <c r="B11916" s="120">
        <v>12</v>
      </c>
      <c r="C11916" s="120">
        <v>21</v>
      </c>
      <c r="D11916" s="208">
        <f t="shared" si="1662"/>
        <v>46012</v>
      </c>
      <c r="E11916" s="209">
        <f t="shared" si="1670"/>
        <v>46012</v>
      </c>
      <c r="F11916" s="515"/>
      <c r="G11916" s="132" t="s">
        <v>1209</v>
      </c>
      <c r="J11916" s="120" t="s">
        <v>47</v>
      </c>
      <c r="K11916" s="207">
        <v>136820</v>
      </c>
      <c r="L11916" s="207"/>
    </row>
    <row r="11917" spans="1:15" x14ac:dyDescent="0.2">
      <c r="A11917" s="191">
        <v>2025</v>
      </c>
      <c r="B11917" s="191">
        <v>12</v>
      </c>
      <c r="C11917" s="191">
        <v>21</v>
      </c>
      <c r="D11917" s="192">
        <f t="shared" si="1662"/>
        <v>46012</v>
      </c>
      <c r="E11917" s="193">
        <f t="shared" si="1670"/>
        <v>46012</v>
      </c>
      <c r="F11917" s="514"/>
      <c r="G11917" s="194" t="s">
        <v>1209</v>
      </c>
      <c r="H11917" s="195"/>
      <c r="I11917" s="195"/>
      <c r="J11917" s="191" t="s">
        <v>46</v>
      </c>
      <c r="K11917" s="196"/>
      <c r="L11917" s="196">
        <v>500000</v>
      </c>
    </row>
    <row r="11918" spans="1:15" x14ac:dyDescent="0.2">
      <c r="A11918" s="197">
        <v>2025</v>
      </c>
      <c r="B11918" s="197">
        <v>12</v>
      </c>
      <c r="C11918" s="197">
        <v>21</v>
      </c>
      <c r="D11918" s="198">
        <f t="shared" si="1662"/>
        <v>46012</v>
      </c>
      <c r="E11918" s="290">
        <f t="shared" si="1670"/>
        <v>46012</v>
      </c>
      <c r="F11918" s="513" t="s">
        <v>1514</v>
      </c>
      <c r="G11918" s="200" t="s">
        <v>1209</v>
      </c>
      <c r="H11918" s="201"/>
      <c r="I11918" s="201"/>
      <c r="J11918" s="197" t="s">
        <v>54</v>
      </c>
      <c r="K11918" s="202">
        <v>158</v>
      </c>
      <c r="L11918" s="202"/>
      <c r="M11918" s="251"/>
      <c r="N11918" s="251"/>
      <c r="O11918" s="251"/>
    </row>
    <row r="11919" spans="1:15" ht="11.25" customHeight="1" x14ac:dyDescent="0.2">
      <c r="A11919" s="191">
        <v>2025</v>
      </c>
      <c r="B11919" s="191">
        <v>12</v>
      </c>
      <c r="C11919" s="191">
        <v>21</v>
      </c>
      <c r="D11919" s="192">
        <f t="shared" si="1662"/>
        <v>46012</v>
      </c>
      <c r="E11919" s="291">
        <f t="shared" si="1670"/>
        <v>46012</v>
      </c>
      <c r="F11919" s="514"/>
      <c r="G11919" s="194" t="s">
        <v>1209</v>
      </c>
      <c r="H11919" s="195"/>
      <c r="I11919" s="195"/>
      <c r="J11919" s="191" t="s">
        <v>46</v>
      </c>
      <c r="K11919" s="196"/>
      <c r="L11919" s="196">
        <f>K11918</f>
        <v>158</v>
      </c>
      <c r="M11919" s="251"/>
    </row>
    <row r="11920" spans="1:15" ht="11.25" customHeight="1" x14ac:dyDescent="0.2">
      <c r="A11920" s="197">
        <v>2025</v>
      </c>
      <c r="B11920" s="197">
        <v>12</v>
      </c>
      <c r="C11920" s="197">
        <v>21</v>
      </c>
      <c r="D11920" s="198">
        <f t="shared" si="1662"/>
        <v>46012</v>
      </c>
      <c r="E11920" s="290">
        <f t="shared" si="1670"/>
        <v>46012</v>
      </c>
      <c r="F11920" s="513" t="s">
        <v>2120</v>
      </c>
      <c r="G11920" s="200" t="s">
        <v>1209</v>
      </c>
      <c r="H11920" s="201"/>
      <c r="I11920" s="201" t="s">
        <v>1253</v>
      </c>
      <c r="J11920" s="197" t="s">
        <v>46</v>
      </c>
      <c r="K11920" s="202">
        <v>1272600</v>
      </c>
      <c r="L11920" s="202"/>
    </row>
    <row r="11921" spans="1:14" ht="11.25" customHeight="1" x14ac:dyDescent="0.2">
      <c r="A11921" s="191">
        <v>2025</v>
      </c>
      <c r="B11921" s="191">
        <v>12</v>
      </c>
      <c r="C11921" s="191">
        <v>21</v>
      </c>
      <c r="D11921" s="192">
        <f t="shared" si="1662"/>
        <v>46012</v>
      </c>
      <c r="E11921" s="291">
        <f t="shared" si="1670"/>
        <v>46012</v>
      </c>
      <c r="F11921" s="514"/>
      <c r="G11921" s="194" t="s">
        <v>1209</v>
      </c>
      <c r="H11921" s="195"/>
      <c r="I11921" s="195"/>
      <c r="J11921" s="191" t="s">
        <v>1845</v>
      </c>
      <c r="K11921" s="196"/>
      <c r="L11921" s="196">
        <f>K11920</f>
        <v>1272600</v>
      </c>
    </row>
    <row r="11922" spans="1:14" ht="11.25" customHeight="1" x14ac:dyDescent="0.2">
      <c r="A11922" s="197">
        <v>2025</v>
      </c>
      <c r="B11922" s="197">
        <v>12</v>
      </c>
      <c r="C11922" s="197">
        <v>21</v>
      </c>
      <c r="D11922" s="198">
        <f t="shared" si="1662"/>
        <v>46012</v>
      </c>
      <c r="E11922" s="199">
        <f t="shared" si="1670"/>
        <v>46012</v>
      </c>
      <c r="F11922" s="513" t="s">
        <v>1923</v>
      </c>
      <c r="G11922" s="200" t="s">
        <v>1209</v>
      </c>
      <c r="H11922" s="201"/>
      <c r="I11922" s="201" t="s">
        <v>1253</v>
      </c>
      <c r="J11922" s="197" t="s">
        <v>1837</v>
      </c>
      <c r="K11922" s="202">
        <v>749200.60600000003</v>
      </c>
      <c r="L11922" s="202"/>
    </row>
    <row r="11923" spans="1:14" ht="11.25" customHeight="1" x14ac:dyDescent="0.2">
      <c r="A11923" s="191">
        <v>2025</v>
      </c>
      <c r="B11923" s="191">
        <v>12</v>
      </c>
      <c r="C11923" s="191">
        <v>21</v>
      </c>
      <c r="D11923" s="192">
        <f t="shared" si="1662"/>
        <v>46012</v>
      </c>
      <c r="E11923" s="193">
        <f t="shared" si="1670"/>
        <v>46012</v>
      </c>
      <c r="F11923" s="514"/>
      <c r="G11923" s="194" t="s">
        <v>1209</v>
      </c>
      <c r="H11923" s="195"/>
      <c r="I11923" s="195" t="s">
        <v>1253</v>
      </c>
      <c r="J11923" s="191" t="s">
        <v>46</v>
      </c>
      <c r="K11923" s="196"/>
      <c r="L11923" s="196">
        <f>K11922</f>
        <v>749200.60600000003</v>
      </c>
      <c r="N11923" s="130"/>
    </row>
    <row r="11924" spans="1:14" x14ac:dyDescent="0.2">
      <c r="A11924" s="424">
        <v>2025</v>
      </c>
      <c r="B11924" s="424">
        <v>12</v>
      </c>
      <c r="C11924" s="424">
        <v>21</v>
      </c>
      <c r="D11924" s="425">
        <f t="shared" si="1662"/>
        <v>46012</v>
      </c>
      <c r="E11924" s="384">
        <f t="shared" si="1670"/>
        <v>46012</v>
      </c>
      <c r="F11924" s="516" t="s">
        <v>1850</v>
      </c>
      <c r="G11924" s="426" t="s">
        <v>1209</v>
      </c>
      <c r="H11924" s="427"/>
      <c r="I11924" s="427"/>
      <c r="J11924" s="428" t="s">
        <v>81</v>
      </c>
      <c r="K11924" s="429">
        <v>4787.4520879120882</v>
      </c>
      <c r="L11924" s="429"/>
      <c r="M11924" s="455"/>
    </row>
    <row r="11925" spans="1:14" x14ac:dyDescent="0.2">
      <c r="A11925" s="389">
        <v>2025</v>
      </c>
      <c r="B11925" s="389">
        <v>12</v>
      </c>
      <c r="C11925" s="389">
        <v>21</v>
      </c>
      <c r="D11925" s="390">
        <f t="shared" si="1662"/>
        <v>46012</v>
      </c>
      <c r="E11925" s="391">
        <f t="shared" si="1670"/>
        <v>46012</v>
      </c>
      <c r="F11925" s="517"/>
      <c r="G11925" s="392" t="s">
        <v>1209</v>
      </c>
      <c r="H11925" s="393"/>
      <c r="I11925" s="393"/>
      <c r="J11925" s="394" t="s">
        <v>1847</v>
      </c>
      <c r="K11925" s="423"/>
      <c r="L11925" s="423">
        <f>K11924</f>
        <v>4787.4520879120882</v>
      </c>
    </row>
    <row r="11926" spans="1:14" ht="11.25" customHeight="1" x14ac:dyDescent="0.2">
      <c r="A11926" s="382">
        <v>2025</v>
      </c>
      <c r="B11926" s="382">
        <v>12</v>
      </c>
      <c r="C11926" s="382">
        <v>21</v>
      </c>
      <c r="D11926" s="383">
        <f t="shared" si="1662"/>
        <v>46012</v>
      </c>
      <c r="E11926" s="384">
        <f t="shared" si="1670"/>
        <v>46012</v>
      </c>
      <c r="F11926" s="516" t="s">
        <v>1892</v>
      </c>
      <c r="G11926" s="385" t="s">
        <v>1209</v>
      </c>
      <c r="H11926" s="386"/>
      <c r="I11926" s="386"/>
      <c r="J11926" s="387" t="s">
        <v>173</v>
      </c>
      <c r="K11926" s="388">
        <v>1886.8235097098213</v>
      </c>
      <c r="L11926" s="388"/>
      <c r="M11926" s="455"/>
    </row>
    <row r="11927" spans="1:14" ht="11.25" customHeight="1" x14ac:dyDescent="0.2">
      <c r="A11927" s="389">
        <v>2025</v>
      </c>
      <c r="B11927" s="389">
        <v>12</v>
      </c>
      <c r="C11927" s="389">
        <v>21</v>
      </c>
      <c r="D11927" s="390">
        <f t="shared" si="1662"/>
        <v>46012</v>
      </c>
      <c r="E11927" s="391">
        <f t="shared" si="1670"/>
        <v>46012</v>
      </c>
      <c r="F11927" s="517"/>
      <c r="G11927" s="392" t="s">
        <v>1209</v>
      </c>
      <c r="H11927" s="393"/>
      <c r="I11927" s="393"/>
      <c r="J11927" s="394" t="s">
        <v>43</v>
      </c>
      <c r="K11927" s="388"/>
      <c r="L11927" s="423">
        <f>K11926</f>
        <v>1886.8235097098213</v>
      </c>
    </row>
    <row r="11928" spans="1:14" ht="11.25" customHeight="1" x14ac:dyDescent="0.2">
      <c r="A11928" s="344">
        <v>2025</v>
      </c>
      <c r="B11928" s="344">
        <v>12</v>
      </c>
      <c r="C11928" s="344">
        <v>21</v>
      </c>
      <c r="D11928" s="345">
        <f t="shared" si="1662"/>
        <v>46012</v>
      </c>
      <c r="E11928" s="346">
        <f t="shared" si="1670"/>
        <v>46012</v>
      </c>
      <c r="F11928" s="518" t="s">
        <v>1982</v>
      </c>
      <c r="G11928" s="347" t="s">
        <v>1245</v>
      </c>
      <c r="H11928" s="348"/>
      <c r="I11928" s="348" t="s">
        <v>1253</v>
      </c>
      <c r="J11928" s="344" t="s">
        <v>1978</v>
      </c>
      <c r="K11928" s="349">
        <v>63749.175824175822</v>
      </c>
      <c r="L11928" s="349"/>
      <c r="M11928" s="455"/>
    </row>
    <row r="11929" spans="1:14" ht="11.25" customHeight="1" x14ac:dyDescent="0.2">
      <c r="A11929" s="350">
        <v>2025</v>
      </c>
      <c r="B11929" s="350">
        <v>12</v>
      </c>
      <c r="C11929" s="350">
        <v>21</v>
      </c>
      <c r="D11929" s="351">
        <f t="shared" si="1662"/>
        <v>46012</v>
      </c>
      <c r="E11929" s="352">
        <f t="shared" si="1670"/>
        <v>46012</v>
      </c>
      <c r="F11929" s="519"/>
      <c r="G11929" s="353" t="s">
        <v>1245</v>
      </c>
      <c r="H11929" s="354"/>
      <c r="I11929" s="354" t="s">
        <v>1253</v>
      </c>
      <c r="J11929" s="350" t="s">
        <v>1979</v>
      </c>
      <c r="K11929" s="355"/>
      <c r="L11929" s="355">
        <f>K11928</f>
        <v>63749.175824175822</v>
      </c>
    </row>
    <row r="11930" spans="1:14" ht="11.25" customHeight="1" x14ac:dyDescent="0.2">
      <c r="A11930" s="344">
        <v>2025</v>
      </c>
      <c r="B11930" s="344">
        <v>12</v>
      </c>
      <c r="C11930" s="344">
        <v>21</v>
      </c>
      <c r="D11930" s="345">
        <f t="shared" si="1662"/>
        <v>46012</v>
      </c>
      <c r="E11930" s="346">
        <f t="shared" si="1670"/>
        <v>46012</v>
      </c>
      <c r="F11930" s="518" t="s">
        <v>2009</v>
      </c>
      <c r="G11930" s="347" t="s">
        <v>1245</v>
      </c>
      <c r="H11930" s="348"/>
      <c r="I11930" s="348" t="s">
        <v>1253</v>
      </c>
      <c r="J11930" s="344" t="s">
        <v>2004</v>
      </c>
      <c r="K11930" s="349">
        <v>21296.704285714284</v>
      </c>
      <c r="L11930" s="349"/>
      <c r="M11930" s="455"/>
    </row>
    <row r="11931" spans="1:14" ht="11.25" customHeight="1" x14ac:dyDescent="0.2">
      <c r="A11931" s="350">
        <v>2025</v>
      </c>
      <c r="B11931" s="350">
        <v>12</v>
      </c>
      <c r="C11931" s="350">
        <v>21</v>
      </c>
      <c r="D11931" s="351">
        <f t="shared" si="1662"/>
        <v>46012</v>
      </c>
      <c r="E11931" s="352">
        <f t="shared" si="1670"/>
        <v>46012</v>
      </c>
      <c r="F11931" s="519"/>
      <c r="G11931" s="353" t="s">
        <v>1245</v>
      </c>
      <c r="H11931" s="354"/>
      <c r="I11931" s="354" t="s">
        <v>1253</v>
      </c>
      <c r="J11931" s="350" t="s">
        <v>2008</v>
      </c>
      <c r="K11931" s="355"/>
      <c r="L11931" s="355">
        <f t="shared" ref="L11931" si="1671">K11930</f>
        <v>21296.704285714284</v>
      </c>
    </row>
    <row r="11932" spans="1:14" ht="11.25" customHeight="1" x14ac:dyDescent="0.2">
      <c r="A11932" s="344">
        <v>2025</v>
      </c>
      <c r="B11932" s="344">
        <v>12</v>
      </c>
      <c r="C11932" s="344">
        <v>21</v>
      </c>
      <c r="D11932" s="345">
        <f t="shared" si="1662"/>
        <v>46012</v>
      </c>
      <c r="E11932" s="346">
        <f t="shared" si="1670"/>
        <v>46012</v>
      </c>
      <c r="F11932" s="518" t="s">
        <v>2009</v>
      </c>
      <c r="G11932" s="347" t="s">
        <v>1245</v>
      </c>
      <c r="H11932" s="348"/>
      <c r="I11932" s="348" t="s">
        <v>1253</v>
      </c>
      <c r="J11932" s="344" t="s">
        <v>2004</v>
      </c>
      <c r="K11932" s="349">
        <v>21296.704285714284</v>
      </c>
      <c r="L11932" s="349"/>
      <c r="M11932" s="455"/>
    </row>
    <row r="11933" spans="1:14" ht="11.25" customHeight="1" x14ac:dyDescent="0.2">
      <c r="A11933" s="350">
        <v>2025</v>
      </c>
      <c r="B11933" s="350">
        <v>12</v>
      </c>
      <c r="C11933" s="350">
        <v>21</v>
      </c>
      <c r="D11933" s="351">
        <f t="shared" si="1662"/>
        <v>46012</v>
      </c>
      <c r="E11933" s="352">
        <f t="shared" si="1670"/>
        <v>46012</v>
      </c>
      <c r="F11933" s="519"/>
      <c r="G11933" s="353" t="s">
        <v>1245</v>
      </c>
      <c r="H11933" s="354"/>
      <c r="I11933" s="354" t="s">
        <v>1253</v>
      </c>
      <c r="J11933" s="350" t="s">
        <v>2008</v>
      </c>
      <c r="K11933" s="355"/>
      <c r="L11933" s="355">
        <f t="shared" ref="L11933" si="1672">K11932</f>
        <v>21296.704285714284</v>
      </c>
    </row>
    <row r="11934" spans="1:14" ht="11.25" customHeight="1" x14ac:dyDescent="0.2">
      <c r="A11934" s="344">
        <v>2025</v>
      </c>
      <c r="B11934" s="344">
        <v>12</v>
      </c>
      <c r="C11934" s="344">
        <v>21</v>
      </c>
      <c r="D11934" s="345">
        <f t="shared" si="1662"/>
        <v>46012</v>
      </c>
      <c r="E11934" s="346">
        <f t="shared" si="1670"/>
        <v>46012</v>
      </c>
      <c r="F11934" s="518" t="s">
        <v>2088</v>
      </c>
      <c r="G11934" s="347" t="s">
        <v>1245</v>
      </c>
      <c r="H11934" s="348"/>
      <c r="I11934" s="348" t="s">
        <v>1253</v>
      </c>
      <c r="J11934" s="344" t="s">
        <v>2086</v>
      </c>
      <c r="K11934" s="349">
        <v>5369.5054945054944</v>
      </c>
      <c r="L11934" s="349"/>
      <c r="M11934" s="455"/>
    </row>
    <row r="11935" spans="1:14" ht="11.25" customHeight="1" x14ac:dyDescent="0.2">
      <c r="A11935" s="350">
        <v>2025</v>
      </c>
      <c r="B11935" s="350">
        <v>12</v>
      </c>
      <c r="C11935" s="350">
        <v>21</v>
      </c>
      <c r="D11935" s="351">
        <f t="shared" si="1662"/>
        <v>46012</v>
      </c>
      <c r="E11935" s="352">
        <f t="shared" si="1670"/>
        <v>46012</v>
      </c>
      <c r="F11935" s="519"/>
      <c r="G11935" s="353" t="s">
        <v>1245</v>
      </c>
      <c r="H11935" s="354"/>
      <c r="I11935" s="354" t="s">
        <v>1253</v>
      </c>
      <c r="J11935" s="350" t="s">
        <v>2089</v>
      </c>
      <c r="K11935" s="355"/>
      <c r="L11935" s="355">
        <f>K11934</f>
        <v>5369.5054945054944</v>
      </c>
    </row>
    <row r="11936" spans="1:14" ht="11.25" customHeight="1" x14ac:dyDescent="0.2">
      <c r="A11936" s="344">
        <v>2025</v>
      </c>
      <c r="B11936" s="344">
        <v>12</v>
      </c>
      <c r="C11936" s="344">
        <v>21</v>
      </c>
      <c r="D11936" s="345">
        <f t="shared" si="1662"/>
        <v>46012</v>
      </c>
      <c r="E11936" s="346">
        <f>DATE(A11936,B11936,C11936)</f>
        <v>46012</v>
      </c>
      <c r="F11936" s="518" t="s">
        <v>1988</v>
      </c>
      <c r="G11936" s="347" t="s">
        <v>1245</v>
      </c>
      <c r="H11936" s="348"/>
      <c r="I11936" s="348" t="s">
        <v>1253</v>
      </c>
      <c r="J11936" s="344" t="s">
        <v>113</v>
      </c>
      <c r="K11936" s="349">
        <v>14076.92142857143</v>
      </c>
      <c r="L11936" s="349"/>
      <c r="M11936" s="455"/>
    </row>
    <row r="11937" spans="1:16" ht="11.25" customHeight="1" x14ac:dyDescent="0.2">
      <c r="A11937" s="350">
        <v>2025</v>
      </c>
      <c r="B11937" s="350">
        <v>12</v>
      </c>
      <c r="C11937" s="350">
        <v>21</v>
      </c>
      <c r="D11937" s="351">
        <f t="shared" si="1662"/>
        <v>46012</v>
      </c>
      <c r="E11937" s="352">
        <f>DATE(A11937,B11937,C11937)</f>
        <v>46012</v>
      </c>
      <c r="F11937" s="519"/>
      <c r="G11937" s="353" t="s">
        <v>1245</v>
      </c>
      <c r="H11937" s="354"/>
      <c r="I11937" s="354" t="s">
        <v>1253</v>
      </c>
      <c r="J11937" s="350" t="s">
        <v>153</v>
      </c>
      <c r="K11937" s="355"/>
      <c r="L11937" s="355">
        <f t="shared" ref="L11937" si="1673">K11936</f>
        <v>14076.92142857143</v>
      </c>
    </row>
    <row r="11938" spans="1:16" ht="11.25" customHeight="1" x14ac:dyDescent="0.2">
      <c r="A11938" s="344">
        <v>2025</v>
      </c>
      <c r="B11938" s="344">
        <v>12</v>
      </c>
      <c r="C11938" s="344">
        <v>21</v>
      </c>
      <c r="D11938" s="345">
        <f t="shared" si="1662"/>
        <v>46012</v>
      </c>
      <c r="E11938" s="346">
        <f t="shared" ref="E11938:E11944" si="1674">DATE(A11938,B11938,C11938)</f>
        <v>46012</v>
      </c>
      <c r="F11938" s="518" t="s">
        <v>1989</v>
      </c>
      <c r="G11938" s="347" t="s">
        <v>1245</v>
      </c>
      <c r="H11938" s="348"/>
      <c r="I11938" s="348" t="s">
        <v>1253</v>
      </c>
      <c r="J11938" s="344" t="s">
        <v>113</v>
      </c>
      <c r="K11938" s="349">
        <v>10054.945054945056</v>
      </c>
      <c r="L11938" s="349"/>
      <c r="M11938" s="455"/>
    </row>
    <row r="11939" spans="1:16" ht="11.25" customHeight="1" x14ac:dyDescent="0.2">
      <c r="A11939" s="350">
        <v>2025</v>
      </c>
      <c r="B11939" s="350">
        <v>12</v>
      </c>
      <c r="C11939" s="350">
        <v>21</v>
      </c>
      <c r="D11939" s="351">
        <f t="shared" si="1662"/>
        <v>46012</v>
      </c>
      <c r="E11939" s="352">
        <f t="shared" si="1674"/>
        <v>46012</v>
      </c>
      <c r="F11939" s="519"/>
      <c r="G11939" s="353" t="s">
        <v>1245</v>
      </c>
      <c r="H11939" s="354"/>
      <c r="I11939" s="354" t="s">
        <v>1253</v>
      </c>
      <c r="J11939" s="350" t="s">
        <v>153</v>
      </c>
      <c r="K11939" s="355"/>
      <c r="L11939" s="355">
        <f t="shared" ref="L11939" si="1675">K11938</f>
        <v>10054.945054945056</v>
      </c>
    </row>
    <row r="11940" spans="1:16" ht="11.25" customHeight="1" x14ac:dyDescent="0.2">
      <c r="A11940" s="344">
        <v>2025</v>
      </c>
      <c r="B11940" s="344">
        <v>12</v>
      </c>
      <c r="C11940" s="344">
        <v>21</v>
      </c>
      <c r="D11940" s="345">
        <f t="shared" si="1662"/>
        <v>46012</v>
      </c>
      <c r="E11940" s="346">
        <f t="shared" si="1674"/>
        <v>46012</v>
      </c>
      <c r="F11940" s="518" t="s">
        <v>1990</v>
      </c>
      <c r="G11940" s="347" t="s">
        <v>1245</v>
      </c>
      <c r="H11940" s="348"/>
      <c r="I11940" s="348" t="s">
        <v>1253</v>
      </c>
      <c r="J11940" s="344" t="s">
        <v>113</v>
      </c>
      <c r="K11940" s="349">
        <v>30164.837142857141</v>
      </c>
      <c r="L11940" s="349"/>
      <c r="M11940" s="455"/>
      <c r="N11940" s="251"/>
      <c r="O11940" s="251"/>
      <c r="P11940" s="251"/>
    </row>
    <row r="11941" spans="1:16" ht="11.25" customHeight="1" x14ac:dyDescent="0.2">
      <c r="A11941" s="350">
        <v>2025</v>
      </c>
      <c r="B11941" s="350">
        <v>12</v>
      </c>
      <c r="C11941" s="350">
        <v>21</v>
      </c>
      <c r="D11941" s="351">
        <f t="shared" si="1662"/>
        <v>46012</v>
      </c>
      <c r="E11941" s="352">
        <f t="shared" si="1674"/>
        <v>46012</v>
      </c>
      <c r="F11941" s="519"/>
      <c r="G11941" s="353" t="s">
        <v>1245</v>
      </c>
      <c r="H11941" s="354"/>
      <c r="I11941" s="354" t="s">
        <v>1253</v>
      </c>
      <c r="J11941" s="350" t="s">
        <v>153</v>
      </c>
      <c r="K11941" s="355"/>
      <c r="L11941" s="355">
        <f t="shared" ref="L11941" si="1676">K11940</f>
        <v>30164.837142857141</v>
      </c>
    </row>
    <row r="11942" spans="1:16" ht="11.25" customHeight="1" x14ac:dyDescent="0.2">
      <c r="A11942" s="344">
        <v>2025</v>
      </c>
      <c r="B11942" s="344">
        <v>12</v>
      </c>
      <c r="C11942" s="344">
        <v>21</v>
      </c>
      <c r="D11942" s="345">
        <f t="shared" si="1662"/>
        <v>46012</v>
      </c>
      <c r="E11942" s="346">
        <f t="shared" si="1674"/>
        <v>46012</v>
      </c>
      <c r="F11942" s="518" t="s">
        <v>2107</v>
      </c>
      <c r="G11942" s="347" t="s">
        <v>1245</v>
      </c>
      <c r="H11942" s="348"/>
      <c r="I11942" s="348" t="s">
        <v>1253</v>
      </c>
      <c r="J11942" s="344" t="s">
        <v>113</v>
      </c>
      <c r="K11942" s="349">
        <v>37112.637362637361</v>
      </c>
      <c r="L11942" s="349"/>
      <c r="M11942" s="455"/>
      <c r="N11942" s="251"/>
      <c r="O11942" s="251"/>
      <c r="P11942" s="251"/>
    </row>
    <row r="11943" spans="1:16" ht="11.25" customHeight="1" x14ac:dyDescent="0.2">
      <c r="A11943" s="350">
        <v>2025</v>
      </c>
      <c r="B11943" s="350">
        <v>12</v>
      </c>
      <c r="C11943" s="350">
        <v>21</v>
      </c>
      <c r="D11943" s="351">
        <f t="shared" si="1662"/>
        <v>46012</v>
      </c>
      <c r="E11943" s="352">
        <f t="shared" si="1674"/>
        <v>46012</v>
      </c>
      <c r="F11943" s="519"/>
      <c r="G11943" s="353" t="s">
        <v>1245</v>
      </c>
      <c r="H11943" s="354"/>
      <c r="I11943" s="354" t="s">
        <v>1253</v>
      </c>
      <c r="J11943" s="350" t="s">
        <v>153</v>
      </c>
      <c r="K11943" s="355"/>
      <c r="L11943" s="355">
        <f t="shared" ref="L11943" si="1677">K11942</f>
        <v>37112.637362637361</v>
      </c>
    </row>
    <row r="11944" spans="1:16" ht="11.25" customHeight="1" x14ac:dyDescent="0.2">
      <c r="A11944" s="210">
        <v>2025</v>
      </c>
      <c r="B11944" s="210">
        <v>12</v>
      </c>
      <c r="C11944" s="210">
        <v>21</v>
      </c>
      <c r="D11944" s="211">
        <f t="shared" si="1662"/>
        <v>46012</v>
      </c>
      <c r="E11944" s="238">
        <f t="shared" si="1674"/>
        <v>46012</v>
      </c>
      <c r="F11944" s="520" t="s">
        <v>1857</v>
      </c>
      <c r="G11944" s="213" t="s">
        <v>1245</v>
      </c>
      <c r="H11944" s="214"/>
      <c r="I11944" s="214" t="s">
        <v>1253</v>
      </c>
      <c r="J11944" s="210" t="s">
        <v>1284</v>
      </c>
      <c r="K11944" s="215">
        <v>1003.6334633108827</v>
      </c>
      <c r="L11944" s="215"/>
      <c r="M11944" s="455"/>
    </row>
    <row r="11945" spans="1:16" ht="11.25" customHeight="1" x14ac:dyDescent="0.2">
      <c r="A11945" s="242">
        <v>2025</v>
      </c>
      <c r="B11945" s="242">
        <v>12</v>
      </c>
      <c r="C11945" s="242">
        <v>21</v>
      </c>
      <c r="D11945" s="243">
        <f t="shared" si="1662"/>
        <v>46012</v>
      </c>
      <c r="E11945" s="244">
        <f>DATE(A11945,B11945,C11945)</f>
        <v>46012</v>
      </c>
      <c r="F11945" s="524"/>
      <c r="G11945" s="245" t="s">
        <v>1245</v>
      </c>
      <c r="H11945" s="246"/>
      <c r="I11945" s="246"/>
      <c r="J11945" s="242" t="s">
        <v>1582</v>
      </c>
      <c r="K11945" s="247"/>
      <c r="L11945" s="247">
        <f>K11944</f>
        <v>1003.6334633108827</v>
      </c>
    </row>
    <row r="11946" spans="1:16" ht="11.25" customHeight="1" x14ac:dyDescent="0.2">
      <c r="A11946" s="210">
        <v>2025</v>
      </c>
      <c r="B11946" s="210">
        <v>12</v>
      </c>
      <c r="C11946" s="210">
        <v>21</v>
      </c>
      <c r="D11946" s="211">
        <f t="shared" si="1662"/>
        <v>46012</v>
      </c>
      <c r="E11946" s="238">
        <f t="shared" ref="E11946:E11962" si="1678">DATE(A11946,B11946,C11946)</f>
        <v>46012</v>
      </c>
      <c r="F11946" s="520" t="s">
        <v>2055</v>
      </c>
      <c r="G11946" s="213" t="s">
        <v>1245</v>
      </c>
      <c r="H11946" s="214"/>
      <c r="I11946" s="214" t="s">
        <v>1253</v>
      </c>
      <c r="J11946" s="210" t="s">
        <v>58</v>
      </c>
      <c r="K11946" s="215">
        <v>5366.44</v>
      </c>
      <c r="L11946" s="215"/>
    </row>
    <row r="11947" spans="1:16" ht="11.25" customHeight="1" x14ac:dyDescent="0.2">
      <c r="A11947" s="216">
        <v>2025</v>
      </c>
      <c r="B11947" s="216">
        <v>12</v>
      </c>
      <c r="C11947" s="216">
        <v>21</v>
      </c>
      <c r="D11947" s="217">
        <f t="shared" si="1662"/>
        <v>46012</v>
      </c>
      <c r="E11947" s="239">
        <f t="shared" si="1678"/>
        <v>46012</v>
      </c>
      <c r="F11947" s="521"/>
      <c r="G11947" s="219" t="s">
        <v>1245</v>
      </c>
      <c r="H11947" s="220"/>
      <c r="I11947" s="220" t="s">
        <v>1253</v>
      </c>
      <c r="J11947" s="216" t="s">
        <v>153</v>
      </c>
      <c r="K11947" s="221"/>
      <c r="L11947" s="221">
        <f>K11946</f>
        <v>5366.44</v>
      </c>
    </row>
    <row r="11948" spans="1:16" ht="11.25" customHeight="1" x14ac:dyDescent="0.2">
      <c r="A11948" s="312">
        <v>2025</v>
      </c>
      <c r="B11948" s="312">
        <v>12</v>
      </c>
      <c r="C11948" s="312">
        <v>21</v>
      </c>
      <c r="D11948" s="313">
        <f t="shared" ref="D11948:D12011" si="1679">DATE(A11948,B11948,C11948)</f>
        <v>46012</v>
      </c>
      <c r="E11948" s="314">
        <f t="shared" si="1678"/>
        <v>46012</v>
      </c>
      <c r="F11948" s="522" t="s">
        <v>1477</v>
      </c>
      <c r="G11948" s="315" t="s">
        <v>1245</v>
      </c>
      <c r="H11948" s="316"/>
      <c r="I11948" s="316" t="s">
        <v>1253</v>
      </c>
      <c r="J11948" s="312" t="s">
        <v>1458</v>
      </c>
      <c r="K11948" s="317">
        <v>0</v>
      </c>
      <c r="L11948" s="317"/>
    </row>
    <row r="11949" spans="1:16" ht="11.25" customHeight="1" x14ac:dyDescent="0.2">
      <c r="A11949" s="318">
        <v>2025</v>
      </c>
      <c r="B11949" s="318">
        <v>12</v>
      </c>
      <c r="C11949" s="318">
        <v>21</v>
      </c>
      <c r="D11949" s="319">
        <f t="shared" si="1679"/>
        <v>46012</v>
      </c>
      <c r="E11949" s="320">
        <f t="shared" si="1678"/>
        <v>46012</v>
      </c>
      <c r="F11949" s="523"/>
      <c r="G11949" s="321" t="s">
        <v>1245</v>
      </c>
      <c r="H11949" s="322"/>
      <c r="I11949" s="322" t="s">
        <v>1253</v>
      </c>
      <c r="J11949" s="318" t="s">
        <v>1460</v>
      </c>
      <c r="K11949" s="323"/>
      <c r="L11949" s="323">
        <f>K11948</f>
        <v>0</v>
      </c>
    </row>
    <row r="11950" spans="1:16" ht="11.25" customHeight="1" x14ac:dyDescent="0.2">
      <c r="A11950" s="312">
        <v>2025</v>
      </c>
      <c r="B11950" s="312">
        <v>12</v>
      </c>
      <c r="C11950" s="312">
        <v>21</v>
      </c>
      <c r="D11950" s="313">
        <f t="shared" si="1679"/>
        <v>46012</v>
      </c>
      <c r="E11950" s="314">
        <f t="shared" si="1678"/>
        <v>46012</v>
      </c>
      <c r="F11950" s="522" t="s">
        <v>1595</v>
      </c>
      <c r="G11950" s="315" t="s">
        <v>1245</v>
      </c>
      <c r="H11950" s="316"/>
      <c r="I11950" s="316" t="s">
        <v>1253</v>
      </c>
      <c r="J11950" s="312" t="s">
        <v>1459</v>
      </c>
      <c r="K11950" s="317">
        <v>977436.82000005245</v>
      </c>
      <c r="L11950" s="317"/>
      <c r="M11950" s="328">
        <f>BS!$I$14</f>
        <v>0</v>
      </c>
    </row>
    <row r="11951" spans="1:16" ht="11.25" customHeight="1" x14ac:dyDescent="0.2">
      <c r="A11951" s="318">
        <v>2025</v>
      </c>
      <c r="B11951" s="318">
        <v>12</v>
      </c>
      <c r="C11951" s="318">
        <v>21</v>
      </c>
      <c r="D11951" s="319">
        <f t="shared" si="1679"/>
        <v>46012</v>
      </c>
      <c r="E11951" s="320">
        <f t="shared" si="1678"/>
        <v>46012</v>
      </c>
      <c r="F11951" s="523"/>
      <c r="G11951" s="321" t="s">
        <v>1245</v>
      </c>
      <c r="H11951" s="322"/>
      <c r="I11951" s="322" t="s">
        <v>1253</v>
      </c>
      <c r="J11951" s="318" t="s">
        <v>1461</v>
      </c>
      <c r="K11951" s="323"/>
      <c r="L11951" s="323">
        <f>K11950</f>
        <v>977436.82000005245</v>
      </c>
      <c r="M11951" s="328"/>
    </row>
    <row r="11952" spans="1:16" ht="11.25" customHeight="1" x14ac:dyDescent="0.2">
      <c r="A11952" s="222">
        <v>2025</v>
      </c>
      <c r="B11952" s="222">
        <v>12</v>
      </c>
      <c r="C11952" s="222">
        <v>21</v>
      </c>
      <c r="D11952" s="223">
        <f t="shared" si="1679"/>
        <v>46012</v>
      </c>
      <c r="E11952" s="240">
        <f t="shared" si="1678"/>
        <v>46012</v>
      </c>
      <c r="F11952" s="511" t="s">
        <v>1244</v>
      </c>
      <c r="G11952" s="225" t="s">
        <v>1245</v>
      </c>
      <c r="H11952" s="226"/>
      <c r="I11952" s="226" t="s">
        <v>1253</v>
      </c>
      <c r="J11952" s="222" t="s">
        <v>72</v>
      </c>
      <c r="K11952" s="227">
        <v>10</v>
      </c>
      <c r="L11952" s="227"/>
      <c r="M11952" s="328">
        <f>BS!$I$7</f>
        <v>0</v>
      </c>
    </row>
    <row r="11953" spans="1:15" ht="11.25" customHeight="1" x14ac:dyDescent="0.2">
      <c r="A11953" s="228">
        <v>2025</v>
      </c>
      <c r="B11953" s="228">
        <v>12</v>
      </c>
      <c r="C11953" s="228">
        <v>21</v>
      </c>
      <c r="D11953" s="229">
        <f t="shared" si="1679"/>
        <v>46012</v>
      </c>
      <c r="E11953" s="241">
        <f t="shared" si="1678"/>
        <v>46012</v>
      </c>
      <c r="F11953" s="512"/>
      <c r="G11953" s="231" t="s">
        <v>1245</v>
      </c>
      <c r="H11953" s="232"/>
      <c r="I11953" s="232" t="s">
        <v>1253</v>
      </c>
      <c r="J11953" s="228" t="s">
        <v>87</v>
      </c>
      <c r="K11953" s="233"/>
      <c r="L11953" s="233">
        <f>K11952</f>
        <v>10</v>
      </c>
    </row>
    <row r="11954" spans="1:15" ht="11.25" customHeight="1" x14ac:dyDescent="0.2">
      <c r="A11954" s="222">
        <v>2025</v>
      </c>
      <c r="B11954" s="222">
        <v>12</v>
      </c>
      <c r="C11954" s="222">
        <v>21</v>
      </c>
      <c r="D11954" s="223">
        <f t="shared" si="1679"/>
        <v>46012</v>
      </c>
      <c r="E11954" s="240">
        <f t="shared" si="1678"/>
        <v>46012</v>
      </c>
      <c r="F11954" s="511" t="s">
        <v>1246</v>
      </c>
      <c r="G11954" s="225" t="s">
        <v>1245</v>
      </c>
      <c r="H11954" s="226"/>
      <c r="I11954" s="226" t="s">
        <v>1253</v>
      </c>
      <c r="J11954" s="222" t="s">
        <v>75</v>
      </c>
      <c r="K11954" s="227">
        <v>1552.7673626373626</v>
      </c>
      <c r="L11954" s="227"/>
      <c r="M11954" s="455"/>
    </row>
    <row r="11955" spans="1:15" ht="11.25" customHeight="1" x14ac:dyDescent="0.2">
      <c r="A11955" s="228">
        <v>2025</v>
      </c>
      <c r="B11955" s="228">
        <v>12</v>
      </c>
      <c r="C11955" s="228">
        <v>21</v>
      </c>
      <c r="D11955" s="229">
        <f t="shared" si="1679"/>
        <v>46012</v>
      </c>
      <c r="E11955" s="241">
        <f t="shared" si="1678"/>
        <v>46012</v>
      </c>
      <c r="F11955" s="512"/>
      <c r="G11955" s="231" t="s">
        <v>1245</v>
      </c>
      <c r="H11955" s="232"/>
      <c r="I11955" s="232" t="s">
        <v>1253</v>
      </c>
      <c r="J11955" s="228" t="s">
        <v>55</v>
      </c>
      <c r="K11955" s="233"/>
      <c r="L11955" s="233">
        <f>K11954</f>
        <v>1552.7673626373626</v>
      </c>
    </row>
    <row r="11956" spans="1:15" ht="11.25" customHeight="1" x14ac:dyDescent="0.2">
      <c r="A11956" s="222">
        <v>2025</v>
      </c>
      <c r="B11956" s="222">
        <v>12</v>
      </c>
      <c r="C11956" s="222">
        <v>21</v>
      </c>
      <c r="D11956" s="223">
        <f t="shared" si="1679"/>
        <v>46012</v>
      </c>
      <c r="E11956" s="240">
        <f t="shared" si="1678"/>
        <v>46012</v>
      </c>
      <c r="F11956" s="511" t="s">
        <v>1247</v>
      </c>
      <c r="G11956" s="225" t="s">
        <v>1245</v>
      </c>
      <c r="H11956" s="226"/>
      <c r="I11956" s="226" t="s">
        <v>1253</v>
      </c>
      <c r="J11956" s="222" t="s">
        <v>77</v>
      </c>
      <c r="K11956" s="227">
        <f>M11956</f>
        <v>22423.008800856831</v>
      </c>
      <c r="L11956" s="227"/>
      <c r="M11956" s="478">
        <v>22423.008800856831</v>
      </c>
    </row>
    <row r="11957" spans="1:15" ht="11.25" customHeight="1" x14ac:dyDescent="0.2">
      <c r="A11957" s="228">
        <v>2025</v>
      </c>
      <c r="B11957" s="228">
        <v>12</v>
      </c>
      <c r="C11957" s="228">
        <v>21</v>
      </c>
      <c r="D11957" s="229">
        <f t="shared" si="1679"/>
        <v>46012</v>
      </c>
      <c r="E11957" s="241">
        <f t="shared" si="1678"/>
        <v>46012</v>
      </c>
      <c r="F11957" s="512"/>
      <c r="G11957" s="231" t="s">
        <v>1245</v>
      </c>
      <c r="H11957" s="232"/>
      <c r="I11957" s="232" t="s">
        <v>1253</v>
      </c>
      <c r="J11957" s="228" t="s">
        <v>41</v>
      </c>
      <c r="K11957" s="233"/>
      <c r="L11957" s="233">
        <f>K11956</f>
        <v>22423.008800856831</v>
      </c>
      <c r="M11957" s="478">
        <v>2242.3008800856828</v>
      </c>
      <c r="N11957" s="251"/>
    </row>
    <row r="11958" spans="1:15" ht="11.25" customHeight="1" x14ac:dyDescent="0.2">
      <c r="A11958" s="222">
        <v>2025</v>
      </c>
      <c r="B11958" s="222">
        <v>12</v>
      </c>
      <c r="C11958" s="222">
        <v>21</v>
      </c>
      <c r="D11958" s="223">
        <f t="shared" si="1679"/>
        <v>46012</v>
      </c>
      <c r="E11958" s="240">
        <f t="shared" si="1678"/>
        <v>46012</v>
      </c>
      <c r="F11958" s="511" t="s">
        <v>1248</v>
      </c>
      <c r="G11958" s="225" t="s">
        <v>1245</v>
      </c>
      <c r="H11958" s="226"/>
      <c r="I11958" s="226" t="s">
        <v>1253</v>
      </c>
      <c r="J11958" s="222" t="s">
        <v>80</v>
      </c>
      <c r="K11958" s="227">
        <f>M11957</f>
        <v>2242.3008800856828</v>
      </c>
      <c r="L11958" s="227"/>
      <c r="N11958" s="251"/>
      <c r="O11958" s="251"/>
    </row>
    <row r="11959" spans="1:15" ht="11.25" customHeight="1" x14ac:dyDescent="0.2">
      <c r="A11959" s="228">
        <v>2025</v>
      </c>
      <c r="B11959" s="228">
        <v>12</v>
      </c>
      <c r="C11959" s="228">
        <v>21</v>
      </c>
      <c r="D11959" s="229">
        <f t="shared" si="1679"/>
        <v>46012</v>
      </c>
      <c r="E11959" s="241">
        <f t="shared" si="1678"/>
        <v>46012</v>
      </c>
      <c r="F11959" s="512"/>
      <c r="G11959" s="231" t="s">
        <v>1245</v>
      </c>
      <c r="H11959" s="232"/>
      <c r="I11959" s="232" t="s">
        <v>1253</v>
      </c>
      <c r="J11959" s="228" t="s">
        <v>42</v>
      </c>
      <c r="K11959" s="233"/>
      <c r="L11959" s="233">
        <f>K11958</f>
        <v>2242.3008800856828</v>
      </c>
      <c r="N11959" s="251"/>
    </row>
    <row r="11960" spans="1:15" ht="11.25" customHeight="1" x14ac:dyDescent="0.2">
      <c r="A11960" s="197">
        <v>2025</v>
      </c>
      <c r="B11960" s="197">
        <v>12</v>
      </c>
      <c r="C11960" s="197">
        <v>22</v>
      </c>
      <c r="D11960" s="198">
        <f t="shared" si="1679"/>
        <v>46013</v>
      </c>
      <c r="E11960" s="199">
        <f t="shared" si="1678"/>
        <v>46013</v>
      </c>
      <c r="F11960" s="513" t="s">
        <v>2121</v>
      </c>
      <c r="G11960" s="200" t="s">
        <v>1209</v>
      </c>
      <c r="H11960" s="201"/>
      <c r="I11960" s="201"/>
      <c r="J11960" s="197" t="s">
        <v>44</v>
      </c>
      <c r="K11960" s="202">
        <v>40250</v>
      </c>
      <c r="L11960" s="202"/>
    </row>
    <row r="11961" spans="1:15" ht="11.25" customHeight="1" x14ac:dyDescent="0.2">
      <c r="A11961" s="120">
        <v>2025</v>
      </c>
      <c r="B11961" s="120">
        <v>12</v>
      </c>
      <c r="C11961" s="120">
        <v>22</v>
      </c>
      <c r="D11961" s="208">
        <f t="shared" si="1679"/>
        <v>46013</v>
      </c>
      <c r="E11961" s="293">
        <f t="shared" si="1678"/>
        <v>46013</v>
      </c>
      <c r="F11961" s="515"/>
      <c r="G11961" s="132" t="s">
        <v>1209</v>
      </c>
      <c r="I11961" s="128" t="s">
        <v>1253</v>
      </c>
      <c r="J11961" s="120" t="s">
        <v>457</v>
      </c>
      <c r="K11961" s="207"/>
      <c r="L11961" s="207">
        <v>3500</v>
      </c>
    </row>
    <row r="11962" spans="1:15" ht="11.25" customHeight="1" x14ac:dyDescent="0.2">
      <c r="A11962" s="191">
        <v>2025</v>
      </c>
      <c r="B11962" s="191">
        <v>12</v>
      </c>
      <c r="C11962" s="191">
        <v>22</v>
      </c>
      <c r="D11962" s="192">
        <f t="shared" si="1679"/>
        <v>46013</v>
      </c>
      <c r="E11962" s="193">
        <f t="shared" si="1678"/>
        <v>46013</v>
      </c>
      <c r="F11962" s="514"/>
      <c r="G11962" s="194" t="s">
        <v>1209</v>
      </c>
      <c r="H11962" s="195"/>
      <c r="I11962" s="195"/>
      <c r="J11962" s="191" t="s">
        <v>46</v>
      </c>
      <c r="K11962" s="196"/>
      <c r="L11962" s="196">
        <v>36750</v>
      </c>
    </row>
    <row r="11963" spans="1:15" ht="11.25" customHeight="1" x14ac:dyDescent="0.2">
      <c r="A11963" s="197">
        <v>2025</v>
      </c>
      <c r="B11963" s="197">
        <v>12</v>
      </c>
      <c r="C11963" s="197">
        <v>22</v>
      </c>
      <c r="D11963" s="198">
        <f t="shared" si="1679"/>
        <v>46013</v>
      </c>
      <c r="E11963" s="290">
        <f t="shared" si="1649"/>
        <v>46013</v>
      </c>
      <c r="F11963" s="513" t="s">
        <v>2019</v>
      </c>
      <c r="G11963" s="200" t="s">
        <v>1209</v>
      </c>
      <c r="H11963" s="201"/>
      <c r="I11963" s="201" t="s">
        <v>1253</v>
      </c>
      <c r="J11963" s="197" t="s">
        <v>42</v>
      </c>
      <c r="K11963" s="202">
        <v>65816.504421797668</v>
      </c>
      <c r="L11963" s="202"/>
    </row>
    <row r="11964" spans="1:15" ht="11.25" customHeight="1" x14ac:dyDescent="0.2">
      <c r="A11964" s="120">
        <v>2025</v>
      </c>
      <c r="B11964" s="120">
        <v>12</v>
      </c>
      <c r="C11964" s="120">
        <v>22</v>
      </c>
      <c r="D11964" s="208">
        <f t="shared" si="1679"/>
        <v>46013</v>
      </c>
      <c r="E11964" s="293">
        <f t="shared" si="1649"/>
        <v>46013</v>
      </c>
      <c r="F11964" s="515"/>
      <c r="G11964" s="132" t="s">
        <v>1209</v>
      </c>
      <c r="J11964" s="120" t="s">
        <v>457</v>
      </c>
      <c r="K11964" s="120"/>
      <c r="L11964" s="207">
        <v>6581.6504421797672</v>
      </c>
    </row>
    <row r="11965" spans="1:15" ht="11.25" customHeight="1" x14ac:dyDescent="0.2">
      <c r="A11965" s="191">
        <v>2025</v>
      </c>
      <c r="B11965" s="191">
        <v>12</v>
      </c>
      <c r="C11965" s="191">
        <v>22</v>
      </c>
      <c r="D11965" s="192">
        <f t="shared" si="1679"/>
        <v>46013</v>
      </c>
      <c r="E11965" s="291">
        <f t="shared" si="1649"/>
        <v>46013</v>
      </c>
      <c r="F11965" s="514"/>
      <c r="G11965" s="194" t="s">
        <v>1209</v>
      </c>
      <c r="H11965" s="195"/>
      <c r="I11965" s="195" t="s">
        <v>1253</v>
      </c>
      <c r="J11965" s="191" t="s">
        <v>46</v>
      </c>
      <c r="K11965" s="196"/>
      <c r="L11965" s="196">
        <v>59234.853979617903</v>
      </c>
    </row>
    <row r="11966" spans="1:15" x14ac:dyDescent="0.2">
      <c r="A11966" s="197">
        <v>2025</v>
      </c>
      <c r="B11966" s="197">
        <v>12</v>
      </c>
      <c r="C11966" s="120">
        <v>22</v>
      </c>
      <c r="D11966" s="198">
        <f t="shared" si="1679"/>
        <v>46013</v>
      </c>
      <c r="E11966" s="209">
        <f t="shared" ref="E11966:E11982" si="1680">DATE(A11966,B11966,C11966)</f>
        <v>46013</v>
      </c>
      <c r="F11966" s="513" t="s">
        <v>1280</v>
      </c>
      <c r="G11966" s="200" t="s">
        <v>1209</v>
      </c>
      <c r="H11966" s="201"/>
      <c r="I11966" s="201"/>
      <c r="J11966" s="197" t="s">
        <v>16</v>
      </c>
      <c r="K11966" s="202">
        <v>959950</v>
      </c>
      <c r="L11966" s="202"/>
    </row>
    <row r="11967" spans="1:15" x14ac:dyDescent="0.2">
      <c r="A11967" s="120">
        <v>2025</v>
      </c>
      <c r="B11967" s="120">
        <v>12</v>
      </c>
      <c r="C11967" s="120">
        <v>22</v>
      </c>
      <c r="D11967" s="208">
        <f t="shared" si="1679"/>
        <v>46013</v>
      </c>
      <c r="E11967" s="209">
        <f t="shared" si="1680"/>
        <v>46013</v>
      </c>
      <c r="F11967" s="515"/>
      <c r="G11967" s="132" t="s">
        <v>1209</v>
      </c>
      <c r="J11967" s="120" t="s">
        <v>47</v>
      </c>
      <c r="K11967" s="207">
        <v>361651.56</v>
      </c>
      <c r="L11967" s="207"/>
    </row>
    <row r="11968" spans="1:15" x14ac:dyDescent="0.2">
      <c r="A11968" s="191">
        <v>2025</v>
      </c>
      <c r="B11968" s="191">
        <v>12</v>
      </c>
      <c r="C11968" s="191">
        <v>22</v>
      </c>
      <c r="D11968" s="192">
        <f t="shared" si="1679"/>
        <v>46013</v>
      </c>
      <c r="E11968" s="193">
        <f t="shared" si="1680"/>
        <v>46013</v>
      </c>
      <c r="F11968" s="514"/>
      <c r="G11968" s="194" t="s">
        <v>1209</v>
      </c>
      <c r="H11968" s="195"/>
      <c r="I11968" s="195"/>
      <c r="J11968" s="191" t="s">
        <v>46</v>
      </c>
      <c r="K11968" s="196"/>
      <c r="L11968" s="196">
        <v>1321601.56</v>
      </c>
    </row>
    <row r="11969" spans="1:15" x14ac:dyDescent="0.2">
      <c r="A11969" s="197">
        <v>2025</v>
      </c>
      <c r="B11969" s="197">
        <v>12</v>
      </c>
      <c r="C11969" s="197">
        <v>22</v>
      </c>
      <c r="D11969" s="198">
        <f t="shared" si="1679"/>
        <v>46013</v>
      </c>
      <c r="E11969" s="290">
        <f t="shared" si="1680"/>
        <v>46013</v>
      </c>
      <c r="F11969" s="513" t="s">
        <v>1514</v>
      </c>
      <c r="G11969" s="200" t="s">
        <v>1209</v>
      </c>
      <c r="H11969" s="201"/>
      <c r="I11969" s="201"/>
      <c r="J11969" s="197" t="s">
        <v>54</v>
      </c>
      <c r="K11969" s="202">
        <f>58*4</f>
        <v>232</v>
      </c>
      <c r="L11969" s="202"/>
      <c r="M11969" s="251"/>
      <c r="N11969" s="251"/>
      <c r="O11969" s="251"/>
    </row>
    <row r="11970" spans="1:15" ht="11.25" customHeight="1" x14ac:dyDescent="0.2">
      <c r="A11970" s="191">
        <v>2025</v>
      </c>
      <c r="B11970" s="191">
        <v>12</v>
      </c>
      <c r="C11970" s="191">
        <v>22</v>
      </c>
      <c r="D11970" s="192">
        <f t="shared" si="1679"/>
        <v>46013</v>
      </c>
      <c r="E11970" s="291">
        <f t="shared" si="1680"/>
        <v>46013</v>
      </c>
      <c r="F11970" s="514"/>
      <c r="G11970" s="194" t="s">
        <v>1209</v>
      </c>
      <c r="H11970" s="195"/>
      <c r="I11970" s="195"/>
      <c r="J11970" s="191" t="s">
        <v>46</v>
      </c>
      <c r="K11970" s="196"/>
      <c r="L11970" s="196">
        <f>K11969</f>
        <v>232</v>
      </c>
      <c r="M11970" s="251"/>
    </row>
    <row r="11971" spans="1:15" x14ac:dyDescent="0.2">
      <c r="A11971" s="424">
        <v>2025</v>
      </c>
      <c r="B11971" s="424">
        <v>12</v>
      </c>
      <c r="C11971" s="424">
        <v>22</v>
      </c>
      <c r="D11971" s="425">
        <f t="shared" si="1679"/>
        <v>46013</v>
      </c>
      <c r="E11971" s="384">
        <f t="shared" si="1680"/>
        <v>46013</v>
      </c>
      <c r="F11971" s="516" t="s">
        <v>1850</v>
      </c>
      <c r="G11971" s="426" t="s">
        <v>1209</v>
      </c>
      <c r="H11971" s="427"/>
      <c r="I11971" s="427"/>
      <c r="J11971" s="428" t="s">
        <v>81</v>
      </c>
      <c r="K11971" s="429">
        <v>1595.8173626373627</v>
      </c>
      <c r="L11971" s="429"/>
      <c r="M11971" s="455"/>
    </row>
    <row r="11972" spans="1:15" x14ac:dyDescent="0.2">
      <c r="A11972" s="389">
        <v>2025</v>
      </c>
      <c r="B11972" s="389">
        <v>12</v>
      </c>
      <c r="C11972" s="389">
        <v>22</v>
      </c>
      <c r="D11972" s="390">
        <f t="shared" si="1679"/>
        <v>46013</v>
      </c>
      <c r="E11972" s="391">
        <f t="shared" si="1680"/>
        <v>46013</v>
      </c>
      <c r="F11972" s="517"/>
      <c r="G11972" s="392" t="s">
        <v>1209</v>
      </c>
      <c r="H11972" s="393"/>
      <c r="I11972" s="393"/>
      <c r="J11972" s="394" t="s">
        <v>1847</v>
      </c>
      <c r="K11972" s="423"/>
      <c r="L11972" s="423">
        <f>K11971</f>
        <v>1595.8173626373627</v>
      </c>
    </row>
    <row r="11973" spans="1:15" ht="11.25" customHeight="1" x14ac:dyDescent="0.2">
      <c r="A11973" s="382">
        <v>2025</v>
      </c>
      <c r="B11973" s="382">
        <v>12</v>
      </c>
      <c r="C11973" s="382">
        <v>22</v>
      </c>
      <c r="D11973" s="383">
        <f t="shared" si="1679"/>
        <v>46013</v>
      </c>
      <c r="E11973" s="384">
        <f t="shared" si="1680"/>
        <v>46013</v>
      </c>
      <c r="F11973" s="516" t="s">
        <v>1892</v>
      </c>
      <c r="G11973" s="385" t="s">
        <v>1209</v>
      </c>
      <c r="H11973" s="386"/>
      <c r="I11973" s="386"/>
      <c r="J11973" s="387" t="s">
        <v>173</v>
      </c>
      <c r="K11973" s="388">
        <v>628.75179914136902</v>
      </c>
      <c r="L11973" s="388"/>
      <c r="M11973" s="455"/>
    </row>
    <row r="11974" spans="1:15" ht="11.25" customHeight="1" x14ac:dyDescent="0.2">
      <c r="A11974" s="389">
        <v>2025</v>
      </c>
      <c r="B11974" s="389">
        <v>12</v>
      </c>
      <c r="C11974" s="389">
        <v>22</v>
      </c>
      <c r="D11974" s="390">
        <f t="shared" si="1679"/>
        <v>46013</v>
      </c>
      <c r="E11974" s="391">
        <f t="shared" si="1680"/>
        <v>46013</v>
      </c>
      <c r="F11974" s="517"/>
      <c r="G11974" s="392" t="s">
        <v>1209</v>
      </c>
      <c r="H11974" s="393"/>
      <c r="I11974" s="393"/>
      <c r="J11974" s="394" t="s">
        <v>43</v>
      </c>
      <c r="K11974" s="388"/>
      <c r="L11974" s="423">
        <f>K11973</f>
        <v>628.75179914136902</v>
      </c>
    </row>
    <row r="11975" spans="1:15" ht="11.25" customHeight="1" x14ac:dyDescent="0.2">
      <c r="A11975" s="344">
        <v>2025</v>
      </c>
      <c r="B11975" s="344">
        <v>12</v>
      </c>
      <c r="C11975" s="344">
        <v>22</v>
      </c>
      <c r="D11975" s="345">
        <f t="shared" si="1679"/>
        <v>46013</v>
      </c>
      <c r="E11975" s="346">
        <f t="shared" si="1680"/>
        <v>46013</v>
      </c>
      <c r="F11975" s="518" t="s">
        <v>1982</v>
      </c>
      <c r="G11975" s="347" t="s">
        <v>1245</v>
      </c>
      <c r="H11975" s="348"/>
      <c r="I11975" s="348" t="s">
        <v>1253</v>
      </c>
      <c r="J11975" s="344" t="s">
        <v>1978</v>
      </c>
      <c r="K11975" s="349">
        <v>21249.725274725275</v>
      </c>
      <c r="L11975" s="349"/>
      <c r="M11975" s="455"/>
    </row>
    <row r="11976" spans="1:15" ht="11.25" customHeight="1" x14ac:dyDescent="0.2">
      <c r="A11976" s="350">
        <v>2025</v>
      </c>
      <c r="B11976" s="350">
        <v>12</v>
      </c>
      <c r="C11976" s="350">
        <v>22</v>
      </c>
      <c r="D11976" s="351">
        <f t="shared" si="1679"/>
        <v>46013</v>
      </c>
      <c r="E11976" s="352">
        <f t="shared" si="1680"/>
        <v>46013</v>
      </c>
      <c r="F11976" s="519"/>
      <c r="G11976" s="353" t="s">
        <v>1245</v>
      </c>
      <c r="H11976" s="354"/>
      <c r="I11976" s="354" t="s">
        <v>1253</v>
      </c>
      <c r="J11976" s="350" t="s">
        <v>1979</v>
      </c>
      <c r="K11976" s="355"/>
      <c r="L11976" s="355">
        <f>K11975</f>
        <v>21249.725274725275</v>
      </c>
    </row>
    <row r="11977" spans="1:15" ht="11.25" customHeight="1" x14ac:dyDescent="0.2">
      <c r="A11977" s="344">
        <v>2025</v>
      </c>
      <c r="B11977" s="344">
        <v>12</v>
      </c>
      <c r="C11977" s="344">
        <v>22</v>
      </c>
      <c r="D11977" s="345">
        <f t="shared" si="1679"/>
        <v>46013</v>
      </c>
      <c r="E11977" s="346">
        <f t="shared" si="1680"/>
        <v>46013</v>
      </c>
      <c r="F11977" s="518" t="s">
        <v>2009</v>
      </c>
      <c r="G11977" s="347" t="s">
        <v>1245</v>
      </c>
      <c r="H11977" s="348"/>
      <c r="I11977" s="348" t="s">
        <v>1253</v>
      </c>
      <c r="J11977" s="344" t="s">
        <v>2004</v>
      </c>
      <c r="K11977" s="349">
        <v>7098.9014285714284</v>
      </c>
      <c r="L11977" s="349"/>
      <c r="M11977" s="455"/>
    </row>
    <row r="11978" spans="1:15" ht="11.25" customHeight="1" x14ac:dyDescent="0.2">
      <c r="A11978" s="350">
        <v>2025</v>
      </c>
      <c r="B11978" s="350">
        <v>12</v>
      </c>
      <c r="C11978" s="350">
        <v>22</v>
      </c>
      <c r="D11978" s="351">
        <f t="shared" si="1679"/>
        <v>46013</v>
      </c>
      <c r="E11978" s="352">
        <f t="shared" si="1680"/>
        <v>46013</v>
      </c>
      <c r="F11978" s="519"/>
      <c r="G11978" s="353" t="s">
        <v>1245</v>
      </c>
      <c r="H11978" s="354"/>
      <c r="I11978" s="354" t="s">
        <v>1253</v>
      </c>
      <c r="J11978" s="350" t="s">
        <v>2008</v>
      </c>
      <c r="K11978" s="355"/>
      <c r="L11978" s="355">
        <f t="shared" ref="L11978" si="1681">K11977</f>
        <v>7098.9014285714284</v>
      </c>
    </row>
    <row r="11979" spans="1:15" ht="11.25" customHeight="1" x14ac:dyDescent="0.2">
      <c r="A11979" s="344">
        <v>2025</v>
      </c>
      <c r="B11979" s="344">
        <v>12</v>
      </c>
      <c r="C11979" s="344">
        <v>22</v>
      </c>
      <c r="D11979" s="345">
        <f t="shared" si="1679"/>
        <v>46013</v>
      </c>
      <c r="E11979" s="346">
        <f t="shared" si="1680"/>
        <v>46013</v>
      </c>
      <c r="F11979" s="518" t="s">
        <v>2009</v>
      </c>
      <c r="G11979" s="347" t="s">
        <v>1245</v>
      </c>
      <c r="H11979" s="348"/>
      <c r="I11979" s="348" t="s">
        <v>1253</v>
      </c>
      <c r="J11979" s="344" t="s">
        <v>2004</v>
      </c>
      <c r="K11979" s="349">
        <v>7098.9014285714284</v>
      </c>
      <c r="L11979" s="349"/>
      <c r="M11979" s="455"/>
    </row>
    <row r="11980" spans="1:15" ht="11.25" customHeight="1" x14ac:dyDescent="0.2">
      <c r="A11980" s="350">
        <v>2025</v>
      </c>
      <c r="B11980" s="350">
        <v>12</v>
      </c>
      <c r="C11980" s="350">
        <v>22</v>
      </c>
      <c r="D11980" s="351">
        <f t="shared" si="1679"/>
        <v>46013</v>
      </c>
      <c r="E11980" s="352">
        <f t="shared" si="1680"/>
        <v>46013</v>
      </c>
      <c r="F11980" s="519"/>
      <c r="G11980" s="353" t="s">
        <v>1245</v>
      </c>
      <c r="H11980" s="354"/>
      <c r="I11980" s="354" t="s">
        <v>1253</v>
      </c>
      <c r="J11980" s="350" t="s">
        <v>2008</v>
      </c>
      <c r="K11980" s="355"/>
      <c r="L11980" s="355">
        <f t="shared" ref="L11980" si="1682">K11979</f>
        <v>7098.9014285714284</v>
      </c>
    </row>
    <row r="11981" spans="1:15" ht="11.25" customHeight="1" x14ac:dyDescent="0.2">
      <c r="A11981" s="344">
        <v>2025</v>
      </c>
      <c r="B11981" s="344">
        <v>12</v>
      </c>
      <c r="C11981" s="344">
        <v>22</v>
      </c>
      <c r="D11981" s="345">
        <f t="shared" si="1679"/>
        <v>46013</v>
      </c>
      <c r="E11981" s="346">
        <f t="shared" si="1680"/>
        <v>46013</v>
      </c>
      <c r="F11981" s="518" t="s">
        <v>2088</v>
      </c>
      <c r="G11981" s="347" t="s">
        <v>1245</v>
      </c>
      <c r="H11981" s="348"/>
      <c r="I11981" s="348" t="s">
        <v>1253</v>
      </c>
      <c r="J11981" s="344" t="s">
        <v>2086</v>
      </c>
      <c r="K11981" s="349">
        <v>1789.835164835165</v>
      </c>
      <c r="L11981" s="349"/>
      <c r="M11981" s="455"/>
    </row>
    <row r="11982" spans="1:15" ht="11.25" customHeight="1" x14ac:dyDescent="0.2">
      <c r="A11982" s="350">
        <v>2025</v>
      </c>
      <c r="B11982" s="350">
        <v>12</v>
      </c>
      <c r="C11982" s="350">
        <v>22</v>
      </c>
      <c r="D11982" s="351">
        <f t="shared" si="1679"/>
        <v>46013</v>
      </c>
      <c r="E11982" s="352">
        <f t="shared" si="1680"/>
        <v>46013</v>
      </c>
      <c r="F11982" s="519"/>
      <c r="G11982" s="353" t="s">
        <v>1245</v>
      </c>
      <c r="H11982" s="354"/>
      <c r="I11982" s="354" t="s">
        <v>1253</v>
      </c>
      <c r="J11982" s="350" t="s">
        <v>2089</v>
      </c>
      <c r="K11982" s="355"/>
      <c r="L11982" s="355">
        <f>K11981</f>
        <v>1789.835164835165</v>
      </c>
    </row>
    <row r="11983" spans="1:15" ht="11.25" customHeight="1" x14ac:dyDescent="0.2">
      <c r="A11983" s="344">
        <v>2025</v>
      </c>
      <c r="B11983" s="344">
        <v>12</v>
      </c>
      <c r="C11983" s="344">
        <v>22</v>
      </c>
      <c r="D11983" s="345">
        <f t="shared" si="1679"/>
        <v>46013</v>
      </c>
      <c r="E11983" s="346">
        <f>DATE(A11983,B11983,C11983)</f>
        <v>46013</v>
      </c>
      <c r="F11983" s="518" t="s">
        <v>1988</v>
      </c>
      <c r="G11983" s="347" t="s">
        <v>1245</v>
      </c>
      <c r="H11983" s="348"/>
      <c r="I11983" s="348" t="s">
        <v>1253</v>
      </c>
      <c r="J11983" s="344" t="s">
        <v>113</v>
      </c>
      <c r="K11983" s="349">
        <v>4692.3071428571429</v>
      </c>
      <c r="L11983" s="349"/>
      <c r="M11983" s="455"/>
    </row>
    <row r="11984" spans="1:15" ht="11.25" customHeight="1" x14ac:dyDescent="0.2">
      <c r="A11984" s="350">
        <v>2025</v>
      </c>
      <c r="B11984" s="350">
        <v>12</v>
      </c>
      <c r="C11984" s="350">
        <v>22</v>
      </c>
      <c r="D11984" s="351">
        <f t="shared" si="1679"/>
        <v>46013</v>
      </c>
      <c r="E11984" s="352">
        <f>DATE(A11984,B11984,C11984)</f>
        <v>46013</v>
      </c>
      <c r="F11984" s="519"/>
      <c r="G11984" s="353" t="s">
        <v>1245</v>
      </c>
      <c r="H11984" s="354"/>
      <c r="I11984" s="354" t="s">
        <v>1253</v>
      </c>
      <c r="J11984" s="350" t="s">
        <v>153</v>
      </c>
      <c r="K11984" s="355"/>
      <c r="L11984" s="355">
        <f t="shared" ref="L11984" si="1683">K11983</f>
        <v>4692.3071428571429</v>
      </c>
    </row>
    <row r="11985" spans="1:16" ht="11.25" customHeight="1" x14ac:dyDescent="0.2">
      <c r="A11985" s="344">
        <v>2025</v>
      </c>
      <c r="B11985" s="344">
        <v>12</v>
      </c>
      <c r="C11985" s="344">
        <v>22</v>
      </c>
      <c r="D11985" s="345">
        <f t="shared" si="1679"/>
        <v>46013</v>
      </c>
      <c r="E11985" s="346">
        <f t="shared" ref="E11985:E11991" si="1684">DATE(A11985,B11985,C11985)</f>
        <v>46013</v>
      </c>
      <c r="F11985" s="518" t="s">
        <v>1989</v>
      </c>
      <c r="G11985" s="347" t="s">
        <v>1245</v>
      </c>
      <c r="H11985" s="348"/>
      <c r="I11985" s="348" t="s">
        <v>1253</v>
      </c>
      <c r="J11985" s="344" t="s">
        <v>113</v>
      </c>
      <c r="K11985" s="349">
        <v>3351.6483516483518</v>
      </c>
      <c r="L11985" s="349"/>
      <c r="M11985" s="455"/>
    </row>
    <row r="11986" spans="1:16" ht="11.25" customHeight="1" x14ac:dyDescent="0.2">
      <c r="A11986" s="350">
        <v>2025</v>
      </c>
      <c r="B11986" s="350">
        <v>12</v>
      </c>
      <c r="C11986" s="350">
        <v>22</v>
      </c>
      <c r="D11986" s="351">
        <f t="shared" si="1679"/>
        <v>46013</v>
      </c>
      <c r="E11986" s="352">
        <f t="shared" si="1684"/>
        <v>46013</v>
      </c>
      <c r="F11986" s="519"/>
      <c r="G11986" s="353" t="s">
        <v>1245</v>
      </c>
      <c r="H11986" s="354"/>
      <c r="I11986" s="354" t="s">
        <v>1253</v>
      </c>
      <c r="J11986" s="350" t="s">
        <v>153</v>
      </c>
      <c r="K11986" s="355"/>
      <c r="L11986" s="355">
        <f t="shared" ref="L11986" si="1685">K11985</f>
        <v>3351.6483516483518</v>
      </c>
    </row>
    <row r="11987" spans="1:16" ht="11.25" customHeight="1" x14ac:dyDescent="0.2">
      <c r="A11987" s="344">
        <v>2025</v>
      </c>
      <c r="B11987" s="344">
        <v>12</v>
      </c>
      <c r="C11987" s="344">
        <v>22</v>
      </c>
      <c r="D11987" s="345">
        <f t="shared" si="1679"/>
        <v>46013</v>
      </c>
      <c r="E11987" s="346">
        <f t="shared" si="1684"/>
        <v>46013</v>
      </c>
      <c r="F11987" s="518" t="s">
        <v>1990</v>
      </c>
      <c r="G11987" s="347" t="s">
        <v>1245</v>
      </c>
      <c r="H11987" s="348"/>
      <c r="I11987" s="348" t="s">
        <v>1253</v>
      </c>
      <c r="J11987" s="344" t="s">
        <v>113</v>
      </c>
      <c r="K11987" s="349">
        <v>10054.945714285714</v>
      </c>
      <c r="L11987" s="349"/>
      <c r="M11987" s="455"/>
      <c r="N11987" s="251"/>
      <c r="O11987" s="251"/>
      <c r="P11987" s="251"/>
    </row>
    <row r="11988" spans="1:16" ht="11.25" customHeight="1" x14ac:dyDescent="0.2">
      <c r="A11988" s="350">
        <v>2025</v>
      </c>
      <c r="B11988" s="350">
        <v>12</v>
      </c>
      <c r="C11988" s="350">
        <v>22</v>
      </c>
      <c r="D11988" s="351">
        <f t="shared" si="1679"/>
        <v>46013</v>
      </c>
      <c r="E11988" s="352">
        <f t="shared" si="1684"/>
        <v>46013</v>
      </c>
      <c r="F11988" s="519"/>
      <c r="G11988" s="353" t="s">
        <v>1245</v>
      </c>
      <c r="H11988" s="354"/>
      <c r="I11988" s="354" t="s">
        <v>1253</v>
      </c>
      <c r="J11988" s="350" t="s">
        <v>153</v>
      </c>
      <c r="K11988" s="355"/>
      <c r="L11988" s="355">
        <f t="shared" ref="L11988" si="1686">K11987</f>
        <v>10054.945714285714</v>
      </c>
    </row>
    <row r="11989" spans="1:16" ht="11.25" customHeight="1" x14ac:dyDescent="0.2">
      <c r="A11989" s="344">
        <v>2025</v>
      </c>
      <c r="B11989" s="344">
        <v>12</v>
      </c>
      <c r="C11989" s="344">
        <v>22</v>
      </c>
      <c r="D11989" s="345">
        <f t="shared" si="1679"/>
        <v>46013</v>
      </c>
      <c r="E11989" s="346">
        <f t="shared" si="1684"/>
        <v>46013</v>
      </c>
      <c r="F11989" s="518" t="s">
        <v>2107</v>
      </c>
      <c r="G11989" s="347" t="s">
        <v>1245</v>
      </c>
      <c r="H11989" s="348"/>
      <c r="I11989" s="348" t="s">
        <v>1253</v>
      </c>
      <c r="J11989" s="344" t="s">
        <v>113</v>
      </c>
      <c r="K11989" s="349">
        <v>12370.879120879121</v>
      </c>
      <c r="L11989" s="349"/>
      <c r="M11989" s="455"/>
      <c r="N11989" s="251"/>
      <c r="O11989" s="251"/>
      <c r="P11989" s="251"/>
    </row>
    <row r="11990" spans="1:16" ht="11.25" customHeight="1" x14ac:dyDescent="0.2">
      <c r="A11990" s="350">
        <v>2025</v>
      </c>
      <c r="B11990" s="350">
        <v>12</v>
      </c>
      <c r="C11990" s="350">
        <v>22</v>
      </c>
      <c r="D11990" s="351">
        <f t="shared" si="1679"/>
        <v>46013</v>
      </c>
      <c r="E11990" s="352">
        <f t="shared" si="1684"/>
        <v>46013</v>
      </c>
      <c r="F11990" s="519"/>
      <c r="G11990" s="353" t="s">
        <v>1245</v>
      </c>
      <c r="H11990" s="354"/>
      <c r="I11990" s="354" t="s">
        <v>1253</v>
      </c>
      <c r="J11990" s="350" t="s">
        <v>153</v>
      </c>
      <c r="K11990" s="355"/>
      <c r="L11990" s="355">
        <f t="shared" ref="L11990" si="1687">K11989</f>
        <v>12370.879120879121</v>
      </c>
    </row>
    <row r="11991" spans="1:16" ht="11.25" customHeight="1" x14ac:dyDescent="0.2">
      <c r="A11991" s="210">
        <v>2025</v>
      </c>
      <c r="B11991" s="210">
        <v>12</v>
      </c>
      <c r="C11991" s="210">
        <v>22</v>
      </c>
      <c r="D11991" s="211">
        <f t="shared" si="1679"/>
        <v>46013</v>
      </c>
      <c r="E11991" s="238">
        <f t="shared" si="1684"/>
        <v>46013</v>
      </c>
      <c r="F11991" s="520" t="s">
        <v>1857</v>
      </c>
      <c r="G11991" s="213" t="s">
        <v>1245</v>
      </c>
      <c r="H11991" s="214"/>
      <c r="I11991" s="214" t="s">
        <v>1253</v>
      </c>
      <c r="J11991" s="210" t="s">
        <v>1284</v>
      </c>
      <c r="K11991" s="215">
        <v>334.54448777029421</v>
      </c>
      <c r="L11991" s="215"/>
      <c r="M11991" s="455"/>
    </row>
    <row r="11992" spans="1:16" ht="11.25" customHeight="1" x14ac:dyDescent="0.2">
      <c r="A11992" s="242">
        <v>2025</v>
      </c>
      <c r="B11992" s="242">
        <v>12</v>
      </c>
      <c r="C11992" s="242">
        <v>22</v>
      </c>
      <c r="D11992" s="243">
        <f t="shared" si="1679"/>
        <v>46013</v>
      </c>
      <c r="E11992" s="244">
        <f>DATE(A11992,B11992,C11992)</f>
        <v>46013</v>
      </c>
      <c r="F11992" s="524"/>
      <c r="G11992" s="245" t="s">
        <v>1245</v>
      </c>
      <c r="H11992" s="246"/>
      <c r="I11992" s="246"/>
      <c r="J11992" s="242" t="s">
        <v>1582</v>
      </c>
      <c r="K11992" s="247"/>
      <c r="L11992" s="247">
        <f>K11991</f>
        <v>334.54448777029421</v>
      </c>
    </row>
    <row r="11993" spans="1:16" ht="11.25" customHeight="1" x14ac:dyDescent="0.2">
      <c r="A11993" s="210">
        <v>2025</v>
      </c>
      <c r="B11993" s="210">
        <v>12</v>
      </c>
      <c r="C11993" s="210">
        <v>22</v>
      </c>
      <c r="D11993" s="211">
        <f t="shared" si="1679"/>
        <v>46013</v>
      </c>
      <c r="E11993" s="238">
        <f t="shared" ref="E11993:E12012" si="1688">DATE(A11993,B11993,C11993)</f>
        <v>46013</v>
      </c>
      <c r="F11993" s="520" t="s">
        <v>2055</v>
      </c>
      <c r="G11993" s="213" t="s">
        <v>1245</v>
      </c>
      <c r="H11993" s="214"/>
      <c r="I11993" s="214" t="s">
        <v>1253</v>
      </c>
      <c r="J11993" s="210" t="s">
        <v>58</v>
      </c>
      <c r="K11993" s="215">
        <v>1475.24</v>
      </c>
      <c r="L11993" s="215"/>
    </row>
    <row r="11994" spans="1:16" ht="11.25" customHeight="1" x14ac:dyDescent="0.2">
      <c r="A11994" s="216">
        <v>2025</v>
      </c>
      <c r="B11994" s="216">
        <v>12</v>
      </c>
      <c r="C11994" s="216">
        <v>22</v>
      </c>
      <c r="D11994" s="217">
        <f t="shared" si="1679"/>
        <v>46013</v>
      </c>
      <c r="E11994" s="239">
        <f t="shared" si="1688"/>
        <v>46013</v>
      </c>
      <c r="F11994" s="521"/>
      <c r="G11994" s="219" t="s">
        <v>1245</v>
      </c>
      <c r="H11994" s="220"/>
      <c r="I11994" s="220" t="s">
        <v>1253</v>
      </c>
      <c r="J11994" s="216" t="s">
        <v>153</v>
      </c>
      <c r="K11994" s="221"/>
      <c r="L11994" s="221">
        <f>K11993</f>
        <v>1475.24</v>
      </c>
    </row>
    <row r="11995" spans="1:16" ht="11.25" customHeight="1" x14ac:dyDescent="0.2">
      <c r="A11995" s="312">
        <v>2025</v>
      </c>
      <c r="B11995" s="312">
        <v>12</v>
      </c>
      <c r="C11995" s="312">
        <v>22</v>
      </c>
      <c r="D11995" s="313">
        <f t="shared" si="1679"/>
        <v>46013</v>
      </c>
      <c r="E11995" s="314">
        <f t="shared" si="1688"/>
        <v>46013</v>
      </c>
      <c r="F11995" s="522" t="s">
        <v>1477</v>
      </c>
      <c r="G11995" s="315" t="s">
        <v>1245</v>
      </c>
      <c r="H11995" s="316"/>
      <c r="I11995" s="316" t="s">
        <v>1253</v>
      </c>
      <c r="J11995" s="312" t="s">
        <v>1458</v>
      </c>
      <c r="K11995" s="317">
        <v>0</v>
      </c>
      <c r="L11995" s="317"/>
    </row>
    <row r="11996" spans="1:16" ht="11.25" customHeight="1" x14ac:dyDescent="0.2">
      <c r="A11996" s="318">
        <v>2025</v>
      </c>
      <c r="B11996" s="318">
        <v>12</v>
      </c>
      <c r="C11996" s="318">
        <v>22</v>
      </c>
      <c r="D11996" s="319">
        <f t="shared" si="1679"/>
        <v>46013</v>
      </c>
      <c r="E11996" s="320">
        <f t="shared" si="1688"/>
        <v>46013</v>
      </c>
      <c r="F11996" s="523"/>
      <c r="G11996" s="321" t="s">
        <v>1245</v>
      </c>
      <c r="H11996" s="322"/>
      <c r="I11996" s="322" t="s">
        <v>1253</v>
      </c>
      <c r="J11996" s="318" t="s">
        <v>1460</v>
      </c>
      <c r="K11996" s="323"/>
      <c r="L11996" s="323">
        <f>K11995</f>
        <v>0</v>
      </c>
    </row>
    <row r="11997" spans="1:16" ht="11.25" customHeight="1" x14ac:dyDescent="0.2">
      <c r="A11997" s="312">
        <v>2025</v>
      </c>
      <c r="B11997" s="312">
        <v>12</v>
      </c>
      <c r="C11997" s="312">
        <v>22</v>
      </c>
      <c r="D11997" s="313">
        <f t="shared" si="1679"/>
        <v>46013</v>
      </c>
      <c r="E11997" s="314">
        <f t="shared" si="1688"/>
        <v>46013</v>
      </c>
      <c r="F11997" s="522" t="s">
        <v>1595</v>
      </c>
      <c r="G11997" s="315" t="s">
        <v>1245</v>
      </c>
      <c r="H11997" s="316"/>
      <c r="I11997" s="316" t="s">
        <v>1253</v>
      </c>
      <c r="J11997" s="312" t="s">
        <v>1461</v>
      </c>
      <c r="K11997" s="317">
        <v>98372.56199991703</v>
      </c>
      <c r="L11997" s="317"/>
      <c r="M11997" s="328">
        <f>BS!$I$14</f>
        <v>0</v>
      </c>
    </row>
    <row r="11998" spans="1:16" ht="11.25" customHeight="1" x14ac:dyDescent="0.2">
      <c r="A11998" s="318">
        <v>2025</v>
      </c>
      <c r="B11998" s="318">
        <v>12</v>
      </c>
      <c r="C11998" s="318">
        <v>22</v>
      </c>
      <c r="D11998" s="319">
        <f t="shared" si="1679"/>
        <v>46013</v>
      </c>
      <c r="E11998" s="320">
        <f t="shared" si="1688"/>
        <v>46013</v>
      </c>
      <c r="F11998" s="523"/>
      <c r="G11998" s="321" t="s">
        <v>1245</v>
      </c>
      <c r="H11998" s="322"/>
      <c r="I11998" s="322" t="s">
        <v>1253</v>
      </c>
      <c r="J11998" s="318" t="s">
        <v>1459</v>
      </c>
      <c r="K11998" s="323"/>
      <c r="L11998" s="323">
        <f>K11997</f>
        <v>98372.56199991703</v>
      </c>
      <c r="M11998" s="328"/>
    </row>
    <row r="11999" spans="1:16" ht="11.25" customHeight="1" x14ac:dyDescent="0.2">
      <c r="A11999" s="222">
        <v>2025</v>
      </c>
      <c r="B11999" s="222">
        <v>12</v>
      </c>
      <c r="C11999" s="222">
        <v>22</v>
      </c>
      <c r="D11999" s="223">
        <f t="shared" si="1679"/>
        <v>46013</v>
      </c>
      <c r="E11999" s="240">
        <f t="shared" si="1688"/>
        <v>46013</v>
      </c>
      <c r="F11999" s="511" t="s">
        <v>1244</v>
      </c>
      <c r="G11999" s="225" t="s">
        <v>1245</v>
      </c>
      <c r="H11999" s="226"/>
      <c r="I11999" s="226" t="s">
        <v>1253</v>
      </c>
      <c r="J11999" s="222" t="s">
        <v>87</v>
      </c>
      <c r="K11999" s="227">
        <v>2616.5</v>
      </c>
      <c r="L11999" s="227"/>
      <c r="M11999" s="328">
        <f>BS!$I$7</f>
        <v>0</v>
      </c>
    </row>
    <row r="12000" spans="1:16" ht="11.25" customHeight="1" x14ac:dyDescent="0.2">
      <c r="A12000" s="228">
        <v>2025</v>
      </c>
      <c r="B12000" s="228">
        <v>12</v>
      </c>
      <c r="C12000" s="228">
        <v>22</v>
      </c>
      <c r="D12000" s="229">
        <f t="shared" si="1679"/>
        <v>46013</v>
      </c>
      <c r="E12000" s="241">
        <f t="shared" si="1688"/>
        <v>46013</v>
      </c>
      <c r="F12000" s="512"/>
      <c r="G12000" s="231" t="s">
        <v>1245</v>
      </c>
      <c r="H12000" s="232"/>
      <c r="I12000" s="232" t="s">
        <v>1253</v>
      </c>
      <c r="J12000" s="228" t="s">
        <v>72</v>
      </c>
      <c r="K12000" s="233"/>
      <c r="L12000" s="233">
        <f>K11999</f>
        <v>2616.5</v>
      </c>
    </row>
    <row r="12001" spans="1:15" ht="11.25" customHeight="1" x14ac:dyDescent="0.2">
      <c r="A12001" s="222">
        <v>2025</v>
      </c>
      <c r="B12001" s="222">
        <v>12</v>
      </c>
      <c r="C12001" s="222">
        <v>22</v>
      </c>
      <c r="D12001" s="223">
        <f t="shared" si="1679"/>
        <v>46013</v>
      </c>
      <c r="E12001" s="240">
        <f t="shared" si="1688"/>
        <v>46013</v>
      </c>
      <c r="F12001" s="511" t="s">
        <v>1246</v>
      </c>
      <c r="G12001" s="225" t="s">
        <v>1245</v>
      </c>
      <c r="H12001" s="226"/>
      <c r="I12001" s="226" t="s">
        <v>1253</v>
      </c>
      <c r="J12001" s="222" t="s">
        <v>75</v>
      </c>
      <c r="K12001" s="227">
        <v>517.58912087912086</v>
      </c>
      <c r="L12001" s="227"/>
      <c r="M12001" s="455"/>
    </row>
    <row r="12002" spans="1:15" ht="11.25" customHeight="1" x14ac:dyDescent="0.2">
      <c r="A12002" s="228">
        <v>2025</v>
      </c>
      <c r="B12002" s="228">
        <v>12</v>
      </c>
      <c r="C12002" s="228">
        <v>22</v>
      </c>
      <c r="D12002" s="229">
        <f t="shared" si="1679"/>
        <v>46013</v>
      </c>
      <c r="E12002" s="241">
        <f t="shared" si="1688"/>
        <v>46013</v>
      </c>
      <c r="F12002" s="512"/>
      <c r="G12002" s="231" t="s">
        <v>1245</v>
      </c>
      <c r="H12002" s="232"/>
      <c r="I12002" s="232" t="s">
        <v>1253</v>
      </c>
      <c r="J12002" s="228" t="s">
        <v>55</v>
      </c>
      <c r="K12002" s="233"/>
      <c r="L12002" s="233">
        <f>K12001</f>
        <v>517.58912087912086</v>
      </c>
    </row>
    <row r="12003" spans="1:15" ht="11.25" customHeight="1" x14ac:dyDescent="0.2">
      <c r="A12003" s="222">
        <v>2025</v>
      </c>
      <c r="B12003" s="222">
        <v>12</v>
      </c>
      <c r="C12003" s="222">
        <v>22</v>
      </c>
      <c r="D12003" s="223">
        <f t="shared" si="1679"/>
        <v>46013</v>
      </c>
      <c r="E12003" s="240">
        <f t="shared" si="1688"/>
        <v>46013</v>
      </c>
      <c r="F12003" s="511" t="s">
        <v>1247</v>
      </c>
      <c r="G12003" s="225" t="s">
        <v>1245</v>
      </c>
      <c r="H12003" s="226"/>
      <c r="I12003" s="226" t="s">
        <v>1253</v>
      </c>
      <c r="J12003" s="222" t="s">
        <v>77</v>
      </c>
      <c r="K12003" s="227">
        <f>M12003</f>
        <v>7444.9108696200137</v>
      </c>
      <c r="L12003" s="227"/>
      <c r="M12003" s="478">
        <v>7444.9108696200137</v>
      </c>
    </row>
    <row r="12004" spans="1:15" ht="11.25" customHeight="1" x14ac:dyDescent="0.2">
      <c r="A12004" s="228">
        <v>2025</v>
      </c>
      <c r="B12004" s="228">
        <v>12</v>
      </c>
      <c r="C12004" s="228">
        <v>22</v>
      </c>
      <c r="D12004" s="229">
        <f t="shared" si="1679"/>
        <v>46013</v>
      </c>
      <c r="E12004" s="241">
        <f t="shared" si="1688"/>
        <v>46013</v>
      </c>
      <c r="F12004" s="512"/>
      <c r="G12004" s="231" t="s">
        <v>1245</v>
      </c>
      <c r="H12004" s="232"/>
      <c r="I12004" s="232" t="s">
        <v>1253</v>
      </c>
      <c r="J12004" s="228" t="s">
        <v>41</v>
      </c>
      <c r="K12004" s="233"/>
      <c r="L12004" s="233">
        <f>K12003</f>
        <v>7444.9108696200137</v>
      </c>
      <c r="M12004" s="478">
        <v>744.49108696200142</v>
      </c>
      <c r="N12004" s="251"/>
    </row>
    <row r="12005" spans="1:15" ht="11.25" customHeight="1" x14ac:dyDescent="0.2">
      <c r="A12005" s="222">
        <v>2025</v>
      </c>
      <c r="B12005" s="222">
        <v>12</v>
      </c>
      <c r="C12005" s="222">
        <v>22</v>
      </c>
      <c r="D12005" s="223">
        <f t="shared" si="1679"/>
        <v>46013</v>
      </c>
      <c r="E12005" s="240">
        <f t="shared" si="1688"/>
        <v>46013</v>
      </c>
      <c r="F12005" s="511" t="s">
        <v>1248</v>
      </c>
      <c r="G12005" s="225" t="s">
        <v>1245</v>
      </c>
      <c r="H12005" s="226"/>
      <c r="I12005" s="226" t="s">
        <v>1253</v>
      </c>
      <c r="J12005" s="222" t="s">
        <v>80</v>
      </c>
      <c r="K12005" s="227">
        <f>M12004</f>
        <v>744.49108696200142</v>
      </c>
      <c r="L12005" s="227"/>
      <c r="N12005" s="251"/>
      <c r="O12005" s="251"/>
    </row>
    <row r="12006" spans="1:15" ht="11.25" customHeight="1" x14ac:dyDescent="0.2">
      <c r="A12006" s="228">
        <v>2025</v>
      </c>
      <c r="B12006" s="228">
        <v>12</v>
      </c>
      <c r="C12006" s="228">
        <v>22</v>
      </c>
      <c r="D12006" s="229">
        <f t="shared" si="1679"/>
        <v>46013</v>
      </c>
      <c r="E12006" s="241">
        <f t="shared" si="1688"/>
        <v>46013</v>
      </c>
      <c r="F12006" s="512"/>
      <c r="G12006" s="231" t="s">
        <v>1245</v>
      </c>
      <c r="H12006" s="232"/>
      <c r="I12006" s="232" t="s">
        <v>1253</v>
      </c>
      <c r="J12006" s="228" t="s">
        <v>42</v>
      </c>
      <c r="K12006" s="233"/>
      <c r="L12006" s="233">
        <f>K12005</f>
        <v>744.49108696200142</v>
      </c>
      <c r="N12006" s="251"/>
    </row>
    <row r="12007" spans="1:15" x14ac:dyDescent="0.2">
      <c r="A12007" s="197">
        <v>2025</v>
      </c>
      <c r="B12007" s="197">
        <v>12</v>
      </c>
      <c r="C12007" s="120">
        <v>23</v>
      </c>
      <c r="D12007" s="198">
        <f t="shared" si="1679"/>
        <v>46014</v>
      </c>
      <c r="E12007" s="209">
        <f t="shared" si="1688"/>
        <v>46014</v>
      </c>
      <c r="F12007" s="513" t="s">
        <v>1280</v>
      </c>
      <c r="G12007" s="200" t="s">
        <v>1209</v>
      </c>
      <c r="H12007" s="201"/>
      <c r="I12007" s="201"/>
      <c r="J12007" s="197" t="s">
        <v>16</v>
      </c>
      <c r="K12007" s="202">
        <v>4740720</v>
      </c>
      <c r="L12007" s="202"/>
    </row>
    <row r="12008" spans="1:15" x14ac:dyDescent="0.2">
      <c r="A12008" s="120">
        <v>2025</v>
      </c>
      <c r="B12008" s="120">
        <v>12</v>
      </c>
      <c r="C12008" s="120">
        <v>23</v>
      </c>
      <c r="D12008" s="208">
        <f t="shared" si="1679"/>
        <v>46014</v>
      </c>
      <c r="E12008" s="209">
        <f t="shared" si="1688"/>
        <v>46014</v>
      </c>
      <c r="F12008" s="515"/>
      <c r="G12008" s="132" t="s">
        <v>1209</v>
      </c>
      <c r="J12008" s="120" t="s">
        <v>47</v>
      </c>
      <c r="K12008" s="207">
        <v>1759280</v>
      </c>
      <c r="L12008" s="207"/>
    </row>
    <row r="12009" spans="1:15" x14ac:dyDescent="0.2">
      <c r="A12009" s="191">
        <v>2025</v>
      </c>
      <c r="B12009" s="191">
        <v>12</v>
      </c>
      <c r="C12009" s="191">
        <v>23</v>
      </c>
      <c r="D12009" s="192">
        <f t="shared" si="1679"/>
        <v>46014</v>
      </c>
      <c r="E12009" s="193">
        <f t="shared" si="1688"/>
        <v>46014</v>
      </c>
      <c r="F12009" s="514"/>
      <c r="G12009" s="194" t="s">
        <v>1209</v>
      </c>
      <c r="H12009" s="195"/>
      <c r="I12009" s="195"/>
      <c r="J12009" s="191" t="s">
        <v>46</v>
      </c>
      <c r="K12009" s="196"/>
      <c r="L12009" s="196">
        <v>6500000</v>
      </c>
    </row>
    <row r="12010" spans="1:15" x14ac:dyDescent="0.2">
      <c r="A12010" s="197">
        <v>2025</v>
      </c>
      <c r="B12010" s="197">
        <v>12</v>
      </c>
      <c r="C12010" s="197">
        <v>23</v>
      </c>
      <c r="D12010" s="198">
        <f t="shared" si="1679"/>
        <v>46014</v>
      </c>
      <c r="E12010" s="290">
        <f t="shared" si="1688"/>
        <v>46014</v>
      </c>
      <c r="F12010" s="513" t="s">
        <v>1514</v>
      </c>
      <c r="G12010" s="200" t="s">
        <v>1209</v>
      </c>
      <c r="H12010" s="201"/>
      <c r="I12010" s="201"/>
      <c r="J12010" s="197" t="s">
        <v>54</v>
      </c>
      <c r="K12010" s="202">
        <v>200</v>
      </c>
      <c r="L12010" s="202"/>
      <c r="M12010" s="251"/>
      <c r="N12010" s="251"/>
      <c r="O12010" s="251"/>
    </row>
    <row r="12011" spans="1:15" ht="11.25" customHeight="1" x14ac:dyDescent="0.2">
      <c r="A12011" s="191">
        <v>2025</v>
      </c>
      <c r="B12011" s="191">
        <v>12</v>
      </c>
      <c r="C12011" s="191">
        <v>23</v>
      </c>
      <c r="D12011" s="192">
        <f t="shared" si="1679"/>
        <v>46014</v>
      </c>
      <c r="E12011" s="291">
        <f t="shared" si="1688"/>
        <v>46014</v>
      </c>
      <c r="F12011" s="514"/>
      <c r="G12011" s="194" t="s">
        <v>1209</v>
      </c>
      <c r="H12011" s="195"/>
      <c r="I12011" s="195"/>
      <c r="J12011" s="191" t="s">
        <v>46</v>
      </c>
      <c r="K12011" s="196"/>
      <c r="L12011" s="196">
        <f>K12010</f>
        <v>200</v>
      </c>
      <c r="M12011" s="251"/>
    </row>
    <row r="12012" spans="1:15" ht="11.25" customHeight="1" x14ac:dyDescent="0.2">
      <c r="A12012" s="197">
        <v>2025</v>
      </c>
      <c r="B12012" s="197">
        <v>12</v>
      </c>
      <c r="C12012" s="120">
        <v>23</v>
      </c>
      <c r="D12012" s="198">
        <f t="shared" ref="D12012:D12079" si="1689">DATE(A12012,B12012,C12012)</f>
        <v>46014</v>
      </c>
      <c r="E12012" s="290">
        <f t="shared" si="1688"/>
        <v>46014</v>
      </c>
      <c r="F12012" s="513" t="s">
        <v>1964</v>
      </c>
      <c r="G12012" s="200" t="s">
        <v>1209</v>
      </c>
      <c r="H12012" s="201"/>
      <c r="I12012" s="201" t="s">
        <v>1253</v>
      </c>
      <c r="J12012" s="197" t="s">
        <v>41</v>
      </c>
      <c r="K12012" s="202">
        <v>755857.26904265257</v>
      </c>
      <c r="L12012" s="202"/>
      <c r="M12012" s="130"/>
      <c r="N12012" s="130"/>
    </row>
    <row r="12013" spans="1:15" ht="11.25" customHeight="1" x14ac:dyDescent="0.2">
      <c r="A12013" s="120">
        <v>2025</v>
      </c>
      <c r="B12013" s="120">
        <v>12</v>
      </c>
      <c r="C12013" s="120">
        <v>23</v>
      </c>
      <c r="D12013" s="208">
        <f t="shared" si="1689"/>
        <v>46014</v>
      </c>
      <c r="E12013" s="209">
        <f>DATE(A12013,B12013,C12013)</f>
        <v>46014</v>
      </c>
      <c r="F12013" s="515"/>
      <c r="G12013" s="132" t="s">
        <v>1209</v>
      </c>
      <c r="H12013" s="132"/>
      <c r="J12013" s="120" t="s">
        <v>457</v>
      </c>
      <c r="K12013" s="120"/>
      <c r="L12013" s="207">
        <v>113378.59</v>
      </c>
    </row>
    <row r="12014" spans="1:15" ht="11.25" customHeight="1" x14ac:dyDescent="0.2">
      <c r="A12014" s="191">
        <v>2025</v>
      </c>
      <c r="B12014" s="191">
        <v>12</v>
      </c>
      <c r="C12014" s="191">
        <v>23</v>
      </c>
      <c r="D12014" s="192">
        <f t="shared" si="1689"/>
        <v>46014</v>
      </c>
      <c r="E12014" s="291">
        <f t="shared" ref="E12014:E12030" si="1690">DATE(A12014,B12014,C12014)</f>
        <v>46014</v>
      </c>
      <c r="F12014" s="514"/>
      <c r="G12014" s="194" t="s">
        <v>1209</v>
      </c>
      <c r="H12014" s="195"/>
      <c r="I12014" s="195" t="s">
        <v>1253</v>
      </c>
      <c r="J12014" s="191" t="s">
        <v>46</v>
      </c>
      <c r="K12014" s="196"/>
      <c r="L12014" s="196">
        <v>642478.68000000005</v>
      </c>
    </row>
    <row r="12015" spans="1:15" x14ac:dyDescent="0.2">
      <c r="A12015" s="197">
        <v>2025</v>
      </c>
      <c r="B12015" s="197">
        <v>12</v>
      </c>
      <c r="C12015" s="197">
        <v>23</v>
      </c>
      <c r="D12015" s="198">
        <f t="shared" si="1689"/>
        <v>46014</v>
      </c>
      <c r="E12015" s="290">
        <f t="shared" si="1690"/>
        <v>46014</v>
      </c>
      <c r="F12015" s="513" t="s">
        <v>2051</v>
      </c>
      <c r="G12015" s="200" t="s">
        <v>1209</v>
      </c>
      <c r="H12015" s="201"/>
      <c r="I12015" s="201"/>
      <c r="J12015" s="197" t="s">
        <v>54</v>
      </c>
      <c r="K12015" s="202">
        <v>345</v>
      </c>
      <c r="L12015" s="202"/>
      <c r="M12015" s="251"/>
      <c r="N12015" s="251"/>
      <c r="O12015" s="251"/>
    </row>
    <row r="12016" spans="1:15" ht="11.25" customHeight="1" x14ac:dyDescent="0.2">
      <c r="A12016" s="191">
        <v>2025</v>
      </c>
      <c r="B12016" s="191">
        <v>12</v>
      </c>
      <c r="C12016" s="191">
        <v>23</v>
      </c>
      <c r="D12016" s="192">
        <f t="shared" si="1689"/>
        <v>46014</v>
      </c>
      <c r="E12016" s="291">
        <f t="shared" si="1690"/>
        <v>46014</v>
      </c>
      <c r="F12016" s="514"/>
      <c r="G12016" s="194" t="s">
        <v>1209</v>
      </c>
      <c r="H12016" s="195"/>
      <c r="I12016" s="195"/>
      <c r="J12016" s="191" t="s">
        <v>46</v>
      </c>
      <c r="K12016" s="196"/>
      <c r="L12016" s="196">
        <f>K12015</f>
        <v>345</v>
      </c>
      <c r="M12016" s="251"/>
    </row>
    <row r="12017" spans="1:15" x14ac:dyDescent="0.2">
      <c r="A12017" s="197">
        <v>2025</v>
      </c>
      <c r="B12017" s="197">
        <v>12</v>
      </c>
      <c r="C12017" s="197">
        <v>23</v>
      </c>
      <c r="D12017" s="198">
        <f t="shared" si="1689"/>
        <v>46014</v>
      </c>
      <c r="E12017" s="290">
        <f t="shared" si="1690"/>
        <v>46014</v>
      </c>
      <c r="F12017" s="513" t="s">
        <v>2051</v>
      </c>
      <c r="G12017" s="200" t="s">
        <v>1209</v>
      </c>
      <c r="H12017" s="201"/>
      <c r="I12017" s="201"/>
      <c r="J12017" s="197" t="s">
        <v>54</v>
      </c>
      <c r="K12017" s="202">
        <v>287.5</v>
      </c>
      <c r="L12017" s="202"/>
      <c r="M12017" s="251"/>
      <c r="N12017" s="251"/>
      <c r="O12017" s="251"/>
    </row>
    <row r="12018" spans="1:15" ht="11.25" customHeight="1" x14ac:dyDescent="0.2">
      <c r="A12018" s="191">
        <v>2025</v>
      </c>
      <c r="B12018" s="191">
        <v>12</v>
      </c>
      <c r="C12018" s="191">
        <v>23</v>
      </c>
      <c r="D12018" s="192">
        <f t="shared" si="1689"/>
        <v>46014</v>
      </c>
      <c r="E12018" s="291">
        <f t="shared" si="1690"/>
        <v>46014</v>
      </c>
      <c r="F12018" s="514"/>
      <c r="G12018" s="194" t="s">
        <v>1209</v>
      </c>
      <c r="H12018" s="195"/>
      <c r="I12018" s="195"/>
      <c r="J12018" s="191" t="s">
        <v>46</v>
      </c>
      <c r="K12018" s="196"/>
      <c r="L12018" s="196">
        <f>K12017</f>
        <v>287.5</v>
      </c>
      <c r="M12018" s="251"/>
    </row>
    <row r="12019" spans="1:15" x14ac:dyDescent="0.2">
      <c r="A12019" s="424">
        <v>2025</v>
      </c>
      <c r="B12019" s="424">
        <v>12</v>
      </c>
      <c r="C12019" s="424">
        <v>23</v>
      </c>
      <c r="D12019" s="425">
        <f t="shared" si="1689"/>
        <v>46014</v>
      </c>
      <c r="E12019" s="384">
        <f t="shared" si="1690"/>
        <v>46014</v>
      </c>
      <c r="F12019" s="516" t="s">
        <v>1850</v>
      </c>
      <c r="G12019" s="426" t="s">
        <v>1209</v>
      </c>
      <c r="H12019" s="427"/>
      <c r="I12019" s="427"/>
      <c r="J12019" s="428" t="s">
        <v>81</v>
      </c>
      <c r="K12019" s="429">
        <v>1595.8173626373627</v>
      </c>
      <c r="L12019" s="429"/>
      <c r="M12019" s="455"/>
    </row>
    <row r="12020" spans="1:15" x14ac:dyDescent="0.2">
      <c r="A12020" s="389">
        <v>2025</v>
      </c>
      <c r="B12020" s="389">
        <v>12</v>
      </c>
      <c r="C12020" s="389">
        <v>23</v>
      </c>
      <c r="D12020" s="390">
        <f t="shared" si="1689"/>
        <v>46014</v>
      </c>
      <c r="E12020" s="391">
        <f t="shared" si="1690"/>
        <v>46014</v>
      </c>
      <c r="F12020" s="517"/>
      <c r="G12020" s="392" t="s">
        <v>1209</v>
      </c>
      <c r="H12020" s="393"/>
      <c r="I12020" s="393"/>
      <c r="J12020" s="394" t="s">
        <v>1847</v>
      </c>
      <c r="K12020" s="423"/>
      <c r="L12020" s="423">
        <f>K12019</f>
        <v>1595.8173626373627</v>
      </c>
    </row>
    <row r="12021" spans="1:15" ht="11.25" customHeight="1" x14ac:dyDescent="0.2">
      <c r="A12021" s="382">
        <v>2025</v>
      </c>
      <c r="B12021" s="382">
        <v>12</v>
      </c>
      <c r="C12021" s="382">
        <v>23</v>
      </c>
      <c r="D12021" s="383">
        <f t="shared" si="1689"/>
        <v>46014</v>
      </c>
      <c r="E12021" s="384">
        <f t="shared" si="1690"/>
        <v>46014</v>
      </c>
      <c r="F12021" s="516" t="s">
        <v>1892</v>
      </c>
      <c r="G12021" s="385" t="s">
        <v>1209</v>
      </c>
      <c r="H12021" s="386"/>
      <c r="I12021" s="386"/>
      <c r="J12021" s="387" t="s">
        <v>173</v>
      </c>
      <c r="K12021" s="388">
        <v>628.75179914136902</v>
      </c>
      <c r="L12021" s="388"/>
      <c r="M12021" s="455"/>
    </row>
    <row r="12022" spans="1:15" ht="11.25" customHeight="1" x14ac:dyDescent="0.2">
      <c r="A12022" s="389">
        <v>2025</v>
      </c>
      <c r="B12022" s="389">
        <v>12</v>
      </c>
      <c r="C12022" s="389">
        <v>23</v>
      </c>
      <c r="D12022" s="390">
        <f t="shared" si="1689"/>
        <v>46014</v>
      </c>
      <c r="E12022" s="391">
        <f t="shared" si="1690"/>
        <v>46014</v>
      </c>
      <c r="F12022" s="517"/>
      <c r="G12022" s="392" t="s">
        <v>1209</v>
      </c>
      <c r="H12022" s="393"/>
      <c r="I12022" s="393"/>
      <c r="J12022" s="394" t="s">
        <v>43</v>
      </c>
      <c r="K12022" s="388"/>
      <c r="L12022" s="423">
        <f>K12021</f>
        <v>628.75179914136902</v>
      </c>
    </row>
    <row r="12023" spans="1:15" ht="11.25" customHeight="1" x14ac:dyDescent="0.2">
      <c r="A12023" s="344">
        <v>2025</v>
      </c>
      <c r="B12023" s="344">
        <v>12</v>
      </c>
      <c r="C12023" s="344">
        <v>23</v>
      </c>
      <c r="D12023" s="345">
        <f t="shared" si="1689"/>
        <v>46014</v>
      </c>
      <c r="E12023" s="346">
        <f t="shared" si="1690"/>
        <v>46014</v>
      </c>
      <c r="F12023" s="518" t="s">
        <v>1982</v>
      </c>
      <c r="G12023" s="347" t="s">
        <v>1245</v>
      </c>
      <c r="H12023" s="348"/>
      <c r="I12023" s="348" t="s">
        <v>1253</v>
      </c>
      <c r="J12023" s="344" t="s">
        <v>1978</v>
      </c>
      <c r="K12023" s="349">
        <v>21249.725274725275</v>
      </c>
      <c r="L12023" s="349"/>
      <c r="M12023" s="455"/>
    </row>
    <row r="12024" spans="1:15" ht="11.25" customHeight="1" x14ac:dyDescent="0.2">
      <c r="A12024" s="350">
        <v>2025</v>
      </c>
      <c r="B12024" s="350">
        <v>12</v>
      </c>
      <c r="C12024" s="350">
        <v>23</v>
      </c>
      <c r="D12024" s="351">
        <f t="shared" si="1689"/>
        <v>46014</v>
      </c>
      <c r="E12024" s="352">
        <f t="shared" si="1690"/>
        <v>46014</v>
      </c>
      <c r="F12024" s="519"/>
      <c r="G12024" s="353" t="s">
        <v>1245</v>
      </c>
      <c r="H12024" s="354"/>
      <c r="I12024" s="354" t="s">
        <v>1253</v>
      </c>
      <c r="J12024" s="350" t="s">
        <v>1979</v>
      </c>
      <c r="K12024" s="355"/>
      <c r="L12024" s="355">
        <f>K12023</f>
        <v>21249.725274725275</v>
      </c>
    </row>
    <row r="12025" spans="1:15" ht="11.25" customHeight="1" x14ac:dyDescent="0.2">
      <c r="A12025" s="344">
        <v>2025</v>
      </c>
      <c r="B12025" s="344">
        <v>12</v>
      </c>
      <c r="C12025" s="344">
        <v>23</v>
      </c>
      <c r="D12025" s="345">
        <f t="shared" si="1689"/>
        <v>46014</v>
      </c>
      <c r="E12025" s="346">
        <f t="shared" si="1690"/>
        <v>46014</v>
      </c>
      <c r="F12025" s="518" t="s">
        <v>2009</v>
      </c>
      <c r="G12025" s="347" t="s">
        <v>1245</v>
      </c>
      <c r="H12025" s="348"/>
      <c r="I12025" s="348" t="s">
        <v>1253</v>
      </c>
      <c r="J12025" s="344" t="s">
        <v>2004</v>
      </c>
      <c r="K12025" s="349">
        <v>7098.9014285714284</v>
      </c>
      <c r="L12025" s="349"/>
      <c r="M12025" s="455"/>
    </row>
    <row r="12026" spans="1:15" ht="11.25" customHeight="1" x14ac:dyDescent="0.2">
      <c r="A12026" s="350">
        <v>2025</v>
      </c>
      <c r="B12026" s="350">
        <v>12</v>
      </c>
      <c r="C12026" s="350">
        <v>23</v>
      </c>
      <c r="D12026" s="351">
        <f t="shared" si="1689"/>
        <v>46014</v>
      </c>
      <c r="E12026" s="352">
        <f t="shared" si="1690"/>
        <v>46014</v>
      </c>
      <c r="F12026" s="519"/>
      <c r="G12026" s="353" t="s">
        <v>1245</v>
      </c>
      <c r="H12026" s="354"/>
      <c r="I12026" s="354" t="s">
        <v>1253</v>
      </c>
      <c r="J12026" s="350" t="s">
        <v>2008</v>
      </c>
      <c r="K12026" s="355"/>
      <c r="L12026" s="355">
        <f t="shared" ref="L12026" si="1691">K12025</f>
        <v>7098.9014285714284</v>
      </c>
    </row>
    <row r="12027" spans="1:15" ht="11.25" customHeight="1" x14ac:dyDescent="0.2">
      <c r="A12027" s="344">
        <v>2025</v>
      </c>
      <c r="B12027" s="344">
        <v>12</v>
      </c>
      <c r="C12027" s="344">
        <v>23</v>
      </c>
      <c r="D12027" s="345">
        <f t="shared" si="1689"/>
        <v>46014</v>
      </c>
      <c r="E12027" s="346">
        <f t="shared" si="1690"/>
        <v>46014</v>
      </c>
      <c r="F12027" s="518" t="s">
        <v>2009</v>
      </c>
      <c r="G12027" s="347" t="s">
        <v>1245</v>
      </c>
      <c r="H12027" s="348"/>
      <c r="I12027" s="348" t="s">
        <v>1253</v>
      </c>
      <c r="J12027" s="344" t="s">
        <v>2004</v>
      </c>
      <c r="K12027" s="349">
        <v>7098.9014285714284</v>
      </c>
      <c r="L12027" s="349"/>
      <c r="M12027" s="455"/>
    </row>
    <row r="12028" spans="1:15" ht="11.25" customHeight="1" x14ac:dyDescent="0.2">
      <c r="A12028" s="350">
        <v>2025</v>
      </c>
      <c r="B12028" s="350">
        <v>12</v>
      </c>
      <c r="C12028" s="350">
        <v>23</v>
      </c>
      <c r="D12028" s="351">
        <f t="shared" si="1689"/>
        <v>46014</v>
      </c>
      <c r="E12028" s="352">
        <f t="shared" si="1690"/>
        <v>46014</v>
      </c>
      <c r="F12028" s="519"/>
      <c r="G12028" s="353" t="s">
        <v>1245</v>
      </c>
      <c r="H12028" s="354"/>
      <c r="I12028" s="354" t="s">
        <v>1253</v>
      </c>
      <c r="J12028" s="350" t="s">
        <v>2008</v>
      </c>
      <c r="K12028" s="355"/>
      <c r="L12028" s="355">
        <f t="shared" ref="L12028" si="1692">K12027</f>
        <v>7098.9014285714284</v>
      </c>
    </row>
    <row r="12029" spans="1:15" ht="11.25" customHeight="1" x14ac:dyDescent="0.2">
      <c r="A12029" s="344">
        <v>2025</v>
      </c>
      <c r="B12029" s="344">
        <v>12</v>
      </c>
      <c r="C12029" s="344">
        <v>23</v>
      </c>
      <c r="D12029" s="345">
        <f t="shared" si="1689"/>
        <v>46014</v>
      </c>
      <c r="E12029" s="346">
        <f t="shared" si="1690"/>
        <v>46014</v>
      </c>
      <c r="F12029" s="518" t="s">
        <v>2088</v>
      </c>
      <c r="G12029" s="347" t="s">
        <v>1245</v>
      </c>
      <c r="H12029" s="348"/>
      <c r="I12029" s="348" t="s">
        <v>1253</v>
      </c>
      <c r="J12029" s="344" t="s">
        <v>2086</v>
      </c>
      <c r="K12029" s="349">
        <v>1789.835164835165</v>
      </c>
      <c r="L12029" s="349"/>
      <c r="M12029" s="455"/>
    </row>
    <row r="12030" spans="1:15" ht="11.25" customHeight="1" x14ac:dyDescent="0.2">
      <c r="A12030" s="350">
        <v>2025</v>
      </c>
      <c r="B12030" s="350">
        <v>12</v>
      </c>
      <c r="C12030" s="350">
        <v>23</v>
      </c>
      <c r="D12030" s="351">
        <f t="shared" si="1689"/>
        <v>46014</v>
      </c>
      <c r="E12030" s="352">
        <f t="shared" si="1690"/>
        <v>46014</v>
      </c>
      <c r="F12030" s="519"/>
      <c r="G12030" s="353" t="s">
        <v>1245</v>
      </c>
      <c r="H12030" s="354"/>
      <c r="I12030" s="354" t="s">
        <v>1253</v>
      </c>
      <c r="J12030" s="350" t="s">
        <v>2089</v>
      </c>
      <c r="K12030" s="355"/>
      <c r="L12030" s="355">
        <f>K12029</f>
        <v>1789.835164835165</v>
      </c>
    </row>
    <row r="12031" spans="1:15" ht="11.25" customHeight="1" x14ac:dyDescent="0.2">
      <c r="A12031" s="344">
        <v>2025</v>
      </c>
      <c r="B12031" s="344">
        <v>12</v>
      </c>
      <c r="C12031" s="344">
        <v>23</v>
      </c>
      <c r="D12031" s="345">
        <f t="shared" si="1689"/>
        <v>46014</v>
      </c>
      <c r="E12031" s="346">
        <f>DATE(A12031,B12031,C12031)</f>
        <v>46014</v>
      </c>
      <c r="F12031" s="518" t="s">
        <v>1988</v>
      </c>
      <c r="G12031" s="347" t="s">
        <v>1245</v>
      </c>
      <c r="H12031" s="348"/>
      <c r="I12031" s="348" t="s">
        <v>1253</v>
      </c>
      <c r="J12031" s="344" t="s">
        <v>113</v>
      </c>
      <c r="K12031" s="349">
        <v>4692.3071428571429</v>
      </c>
      <c r="L12031" s="349"/>
      <c r="M12031" s="455"/>
    </row>
    <row r="12032" spans="1:15" ht="11.25" customHeight="1" x14ac:dyDescent="0.2">
      <c r="A12032" s="350">
        <v>2025</v>
      </c>
      <c r="B12032" s="350">
        <v>12</v>
      </c>
      <c r="C12032" s="350">
        <v>23</v>
      </c>
      <c r="D12032" s="351">
        <f t="shared" si="1689"/>
        <v>46014</v>
      </c>
      <c r="E12032" s="352">
        <f>DATE(A12032,B12032,C12032)</f>
        <v>46014</v>
      </c>
      <c r="F12032" s="519"/>
      <c r="G12032" s="353" t="s">
        <v>1245</v>
      </c>
      <c r="H12032" s="354"/>
      <c r="I12032" s="354" t="s">
        <v>1253</v>
      </c>
      <c r="J12032" s="350" t="s">
        <v>153</v>
      </c>
      <c r="K12032" s="355"/>
      <c r="L12032" s="355">
        <f t="shared" ref="L12032" si="1693">K12031</f>
        <v>4692.3071428571429</v>
      </c>
    </row>
    <row r="12033" spans="1:16" ht="11.25" customHeight="1" x14ac:dyDescent="0.2">
      <c r="A12033" s="344">
        <v>2025</v>
      </c>
      <c r="B12033" s="344">
        <v>12</v>
      </c>
      <c r="C12033" s="344">
        <v>23</v>
      </c>
      <c r="D12033" s="345">
        <f t="shared" si="1689"/>
        <v>46014</v>
      </c>
      <c r="E12033" s="346">
        <f t="shared" ref="E12033:E12039" si="1694">DATE(A12033,B12033,C12033)</f>
        <v>46014</v>
      </c>
      <c r="F12033" s="518" t="s">
        <v>1989</v>
      </c>
      <c r="G12033" s="347" t="s">
        <v>1245</v>
      </c>
      <c r="H12033" s="348"/>
      <c r="I12033" s="348" t="s">
        <v>1253</v>
      </c>
      <c r="J12033" s="344" t="s">
        <v>113</v>
      </c>
      <c r="K12033" s="349">
        <v>3351.6483516483518</v>
      </c>
      <c r="L12033" s="349"/>
      <c r="M12033" s="455"/>
    </row>
    <row r="12034" spans="1:16" ht="11.25" customHeight="1" x14ac:dyDescent="0.2">
      <c r="A12034" s="350">
        <v>2025</v>
      </c>
      <c r="B12034" s="350">
        <v>12</v>
      </c>
      <c r="C12034" s="350">
        <v>23</v>
      </c>
      <c r="D12034" s="351">
        <f t="shared" si="1689"/>
        <v>46014</v>
      </c>
      <c r="E12034" s="352">
        <f t="shared" si="1694"/>
        <v>46014</v>
      </c>
      <c r="F12034" s="519"/>
      <c r="G12034" s="353" t="s">
        <v>1245</v>
      </c>
      <c r="H12034" s="354"/>
      <c r="I12034" s="354" t="s">
        <v>1253</v>
      </c>
      <c r="J12034" s="350" t="s">
        <v>153</v>
      </c>
      <c r="K12034" s="355"/>
      <c r="L12034" s="355">
        <f t="shared" ref="L12034" si="1695">K12033</f>
        <v>3351.6483516483518</v>
      </c>
    </row>
    <row r="12035" spans="1:16" ht="11.25" customHeight="1" x14ac:dyDescent="0.2">
      <c r="A12035" s="344">
        <v>2025</v>
      </c>
      <c r="B12035" s="344">
        <v>12</v>
      </c>
      <c r="C12035" s="344">
        <v>23</v>
      </c>
      <c r="D12035" s="345">
        <f t="shared" si="1689"/>
        <v>46014</v>
      </c>
      <c r="E12035" s="346">
        <f t="shared" si="1694"/>
        <v>46014</v>
      </c>
      <c r="F12035" s="518" t="s">
        <v>1990</v>
      </c>
      <c r="G12035" s="347" t="s">
        <v>1245</v>
      </c>
      <c r="H12035" s="348"/>
      <c r="I12035" s="348" t="s">
        <v>1253</v>
      </c>
      <c r="J12035" s="344" t="s">
        <v>113</v>
      </c>
      <c r="K12035" s="349">
        <v>10054.945714285714</v>
      </c>
      <c r="L12035" s="349"/>
      <c r="M12035" s="455"/>
      <c r="N12035" s="251"/>
      <c r="O12035" s="251"/>
      <c r="P12035" s="251"/>
    </row>
    <row r="12036" spans="1:16" ht="11.25" customHeight="1" x14ac:dyDescent="0.2">
      <c r="A12036" s="350">
        <v>2025</v>
      </c>
      <c r="B12036" s="350">
        <v>12</v>
      </c>
      <c r="C12036" s="350">
        <v>23</v>
      </c>
      <c r="D12036" s="351">
        <f t="shared" si="1689"/>
        <v>46014</v>
      </c>
      <c r="E12036" s="352">
        <f t="shared" si="1694"/>
        <v>46014</v>
      </c>
      <c r="F12036" s="519"/>
      <c r="G12036" s="353" t="s">
        <v>1245</v>
      </c>
      <c r="H12036" s="354"/>
      <c r="I12036" s="354" t="s">
        <v>1253</v>
      </c>
      <c r="J12036" s="350" t="s">
        <v>153</v>
      </c>
      <c r="K12036" s="355"/>
      <c r="L12036" s="355">
        <f t="shared" ref="L12036" si="1696">K12035</f>
        <v>10054.945714285714</v>
      </c>
    </row>
    <row r="12037" spans="1:16" ht="11.25" customHeight="1" x14ac:dyDescent="0.2">
      <c r="A12037" s="344">
        <v>2025</v>
      </c>
      <c r="B12037" s="344">
        <v>12</v>
      </c>
      <c r="C12037" s="344">
        <v>23</v>
      </c>
      <c r="D12037" s="345">
        <f t="shared" si="1689"/>
        <v>46014</v>
      </c>
      <c r="E12037" s="346">
        <f t="shared" si="1694"/>
        <v>46014</v>
      </c>
      <c r="F12037" s="518" t="s">
        <v>2107</v>
      </c>
      <c r="G12037" s="347" t="s">
        <v>1245</v>
      </c>
      <c r="H12037" s="348"/>
      <c r="I12037" s="348" t="s">
        <v>1253</v>
      </c>
      <c r="J12037" s="344" t="s">
        <v>113</v>
      </c>
      <c r="K12037" s="349">
        <v>12370.879120879121</v>
      </c>
      <c r="L12037" s="349"/>
      <c r="M12037" s="455"/>
      <c r="N12037" s="251"/>
      <c r="O12037" s="251"/>
      <c r="P12037" s="251"/>
    </row>
    <row r="12038" spans="1:16" ht="11.25" customHeight="1" x14ac:dyDescent="0.2">
      <c r="A12038" s="350">
        <v>2025</v>
      </c>
      <c r="B12038" s="350">
        <v>12</v>
      </c>
      <c r="C12038" s="350">
        <v>23</v>
      </c>
      <c r="D12038" s="351">
        <f t="shared" si="1689"/>
        <v>46014</v>
      </c>
      <c r="E12038" s="352">
        <f t="shared" si="1694"/>
        <v>46014</v>
      </c>
      <c r="F12038" s="519"/>
      <c r="G12038" s="353" t="s">
        <v>1245</v>
      </c>
      <c r="H12038" s="354"/>
      <c r="I12038" s="354" t="s">
        <v>1253</v>
      </c>
      <c r="J12038" s="350" t="s">
        <v>153</v>
      </c>
      <c r="K12038" s="355"/>
      <c r="L12038" s="355">
        <f t="shared" ref="L12038" si="1697">K12037</f>
        <v>12370.879120879121</v>
      </c>
    </row>
    <row r="12039" spans="1:16" ht="11.25" customHeight="1" x14ac:dyDescent="0.2">
      <c r="A12039" s="210">
        <v>2025</v>
      </c>
      <c r="B12039" s="210">
        <v>12</v>
      </c>
      <c r="C12039" s="210">
        <v>23</v>
      </c>
      <c r="D12039" s="211">
        <f t="shared" si="1689"/>
        <v>46014</v>
      </c>
      <c r="E12039" s="238">
        <f t="shared" si="1694"/>
        <v>46014</v>
      </c>
      <c r="F12039" s="520" t="s">
        <v>1857</v>
      </c>
      <c r="G12039" s="213" t="s">
        <v>1245</v>
      </c>
      <c r="H12039" s="214"/>
      <c r="I12039" s="214" t="s">
        <v>1253</v>
      </c>
      <c r="J12039" s="210" t="s">
        <v>1284</v>
      </c>
      <c r="K12039" s="215">
        <v>334.54448777029421</v>
      </c>
      <c r="L12039" s="215"/>
      <c r="M12039" s="455"/>
    </row>
    <row r="12040" spans="1:16" ht="11.25" customHeight="1" x14ac:dyDescent="0.2">
      <c r="A12040" s="242">
        <v>2025</v>
      </c>
      <c r="B12040" s="242">
        <v>12</v>
      </c>
      <c r="C12040" s="242">
        <v>23</v>
      </c>
      <c r="D12040" s="243">
        <f t="shared" si="1689"/>
        <v>46014</v>
      </c>
      <c r="E12040" s="244">
        <f>DATE(A12040,B12040,C12040)</f>
        <v>46014</v>
      </c>
      <c r="F12040" s="524"/>
      <c r="G12040" s="245" t="s">
        <v>1245</v>
      </c>
      <c r="H12040" s="246"/>
      <c r="I12040" s="246"/>
      <c r="J12040" s="242" t="s">
        <v>1582</v>
      </c>
      <c r="K12040" s="247"/>
      <c r="L12040" s="247">
        <f>K12039</f>
        <v>334.54448777029421</v>
      </c>
    </row>
    <row r="12041" spans="1:16" ht="11.25" customHeight="1" x14ac:dyDescent="0.2">
      <c r="A12041" s="210">
        <v>2025</v>
      </c>
      <c r="B12041" s="210">
        <v>12</v>
      </c>
      <c r="C12041" s="210">
        <v>23</v>
      </c>
      <c r="D12041" s="211">
        <f t="shared" si="1689"/>
        <v>46014</v>
      </c>
      <c r="E12041" s="238">
        <f t="shared" ref="E12041:E12074" si="1698">DATE(A12041,B12041,C12041)</f>
        <v>46014</v>
      </c>
      <c r="F12041" s="520" t="s">
        <v>2055</v>
      </c>
      <c r="G12041" s="213" t="s">
        <v>1245</v>
      </c>
      <c r="H12041" s="214"/>
      <c r="I12041" s="214" t="s">
        <v>1253</v>
      </c>
      <c r="J12041" s="210" t="s">
        <v>58</v>
      </c>
      <c r="K12041" s="215">
        <v>415.73</v>
      </c>
      <c r="L12041" s="215"/>
    </row>
    <row r="12042" spans="1:16" ht="11.25" customHeight="1" x14ac:dyDescent="0.2">
      <c r="A12042" s="216">
        <v>2025</v>
      </c>
      <c r="B12042" s="216">
        <v>12</v>
      </c>
      <c r="C12042" s="216">
        <v>23</v>
      </c>
      <c r="D12042" s="217">
        <f t="shared" si="1689"/>
        <v>46014</v>
      </c>
      <c r="E12042" s="239">
        <f t="shared" si="1698"/>
        <v>46014</v>
      </c>
      <c r="F12042" s="521"/>
      <c r="G12042" s="219" t="s">
        <v>1245</v>
      </c>
      <c r="H12042" s="220"/>
      <c r="I12042" s="220" t="s">
        <v>1253</v>
      </c>
      <c r="J12042" s="216" t="s">
        <v>153</v>
      </c>
      <c r="K12042" s="221"/>
      <c r="L12042" s="221">
        <f>K12041</f>
        <v>415.73</v>
      </c>
    </row>
    <row r="12043" spans="1:16" ht="11.25" customHeight="1" x14ac:dyDescent="0.2">
      <c r="A12043" s="312">
        <v>2025</v>
      </c>
      <c r="B12043" s="312">
        <v>12</v>
      </c>
      <c r="C12043" s="312">
        <v>23</v>
      </c>
      <c r="D12043" s="313">
        <f t="shared" si="1689"/>
        <v>46014</v>
      </c>
      <c r="E12043" s="314">
        <f t="shared" si="1698"/>
        <v>46014</v>
      </c>
      <c r="F12043" s="522" t="s">
        <v>1477</v>
      </c>
      <c r="G12043" s="315" t="s">
        <v>1245</v>
      </c>
      <c r="H12043" s="316"/>
      <c r="I12043" s="316" t="s">
        <v>1253</v>
      </c>
      <c r="J12043" s="312" t="s">
        <v>1458</v>
      </c>
      <c r="K12043" s="317">
        <v>0</v>
      </c>
      <c r="L12043" s="317"/>
    </row>
    <row r="12044" spans="1:16" ht="11.25" customHeight="1" x14ac:dyDescent="0.2">
      <c r="A12044" s="318">
        <v>2025</v>
      </c>
      <c r="B12044" s="318">
        <v>12</v>
      </c>
      <c r="C12044" s="318">
        <v>23</v>
      </c>
      <c r="D12044" s="319">
        <f t="shared" si="1689"/>
        <v>46014</v>
      </c>
      <c r="E12044" s="320">
        <f t="shared" si="1698"/>
        <v>46014</v>
      </c>
      <c r="F12044" s="523"/>
      <c r="G12044" s="321" t="s">
        <v>1245</v>
      </c>
      <c r="H12044" s="322"/>
      <c r="I12044" s="322" t="s">
        <v>1253</v>
      </c>
      <c r="J12044" s="318" t="s">
        <v>1460</v>
      </c>
      <c r="K12044" s="323"/>
      <c r="L12044" s="323">
        <f>K12043</f>
        <v>0</v>
      </c>
    </row>
    <row r="12045" spans="1:16" ht="11.25" customHeight="1" x14ac:dyDescent="0.2">
      <c r="A12045" s="312">
        <v>2025</v>
      </c>
      <c r="B12045" s="312">
        <v>12</v>
      </c>
      <c r="C12045" s="312">
        <v>23</v>
      </c>
      <c r="D12045" s="313">
        <f t="shared" si="1689"/>
        <v>46014</v>
      </c>
      <c r="E12045" s="314">
        <f t="shared" si="1698"/>
        <v>46014</v>
      </c>
      <c r="F12045" s="522" t="s">
        <v>1595</v>
      </c>
      <c r="G12045" s="315" t="s">
        <v>1245</v>
      </c>
      <c r="H12045" s="316"/>
      <c r="I12045" s="316" t="s">
        <v>1253</v>
      </c>
      <c r="J12045" s="312" t="s">
        <v>1461</v>
      </c>
      <c r="K12045" s="317">
        <v>98300.858000040054</v>
      </c>
      <c r="L12045" s="317"/>
      <c r="M12045" s="328">
        <f>BS!$I$14</f>
        <v>0</v>
      </c>
    </row>
    <row r="12046" spans="1:16" ht="11.25" customHeight="1" x14ac:dyDescent="0.2">
      <c r="A12046" s="318">
        <v>2025</v>
      </c>
      <c r="B12046" s="318">
        <v>12</v>
      </c>
      <c r="C12046" s="318">
        <v>23</v>
      </c>
      <c r="D12046" s="319">
        <f t="shared" si="1689"/>
        <v>46014</v>
      </c>
      <c r="E12046" s="320">
        <f t="shared" si="1698"/>
        <v>46014</v>
      </c>
      <c r="F12046" s="523"/>
      <c r="G12046" s="321" t="s">
        <v>1245</v>
      </c>
      <c r="H12046" s="322"/>
      <c r="I12046" s="322" t="s">
        <v>1253</v>
      </c>
      <c r="J12046" s="318" t="s">
        <v>1459</v>
      </c>
      <c r="K12046" s="323"/>
      <c r="L12046" s="323">
        <f>K12045</f>
        <v>98300.858000040054</v>
      </c>
      <c r="M12046" s="328"/>
    </row>
    <row r="12047" spans="1:16" ht="11.25" customHeight="1" x14ac:dyDescent="0.2">
      <c r="A12047" s="222">
        <v>2025</v>
      </c>
      <c r="B12047" s="222">
        <v>12</v>
      </c>
      <c r="C12047" s="222">
        <v>23</v>
      </c>
      <c r="D12047" s="223">
        <f t="shared" si="1689"/>
        <v>46014</v>
      </c>
      <c r="E12047" s="240">
        <f t="shared" si="1698"/>
        <v>46014</v>
      </c>
      <c r="F12047" s="511" t="s">
        <v>1244</v>
      </c>
      <c r="G12047" s="225" t="s">
        <v>1245</v>
      </c>
      <c r="H12047" s="226"/>
      <c r="I12047" s="226" t="s">
        <v>1253</v>
      </c>
      <c r="J12047" s="222" t="s">
        <v>72</v>
      </c>
      <c r="K12047" s="227">
        <v>6</v>
      </c>
      <c r="L12047" s="227"/>
      <c r="M12047" s="328">
        <f>BS!$I$7</f>
        <v>0</v>
      </c>
    </row>
    <row r="12048" spans="1:16" ht="11.25" customHeight="1" x14ac:dyDescent="0.2">
      <c r="A12048" s="228">
        <v>2025</v>
      </c>
      <c r="B12048" s="228">
        <v>12</v>
      </c>
      <c r="C12048" s="228">
        <v>23</v>
      </c>
      <c r="D12048" s="229">
        <f t="shared" si="1689"/>
        <v>46014</v>
      </c>
      <c r="E12048" s="241">
        <f t="shared" si="1698"/>
        <v>46014</v>
      </c>
      <c r="F12048" s="512"/>
      <c r="G12048" s="231" t="s">
        <v>1245</v>
      </c>
      <c r="H12048" s="232"/>
      <c r="I12048" s="232" t="s">
        <v>1253</v>
      </c>
      <c r="J12048" s="228" t="s">
        <v>87</v>
      </c>
      <c r="K12048" s="233"/>
      <c r="L12048" s="233">
        <f>K12047</f>
        <v>6</v>
      </c>
    </row>
    <row r="12049" spans="1:15" ht="11.25" customHeight="1" x14ac:dyDescent="0.2">
      <c r="A12049" s="222">
        <v>2025</v>
      </c>
      <c r="B12049" s="222">
        <v>12</v>
      </c>
      <c r="C12049" s="222">
        <v>23</v>
      </c>
      <c r="D12049" s="223">
        <f t="shared" si="1689"/>
        <v>46014</v>
      </c>
      <c r="E12049" s="240">
        <f t="shared" si="1698"/>
        <v>46014</v>
      </c>
      <c r="F12049" s="511" t="s">
        <v>1246</v>
      </c>
      <c r="G12049" s="225" t="s">
        <v>1245</v>
      </c>
      <c r="H12049" s="226"/>
      <c r="I12049" s="226" t="s">
        <v>1253</v>
      </c>
      <c r="J12049" s="222" t="s">
        <v>75</v>
      </c>
      <c r="K12049" s="227">
        <v>517.58912087912086</v>
      </c>
      <c r="L12049" s="227"/>
      <c r="M12049" s="455"/>
    </row>
    <row r="12050" spans="1:15" ht="11.25" customHeight="1" x14ac:dyDescent="0.2">
      <c r="A12050" s="228">
        <v>2025</v>
      </c>
      <c r="B12050" s="228">
        <v>12</v>
      </c>
      <c r="C12050" s="228">
        <v>23</v>
      </c>
      <c r="D12050" s="229">
        <f t="shared" si="1689"/>
        <v>46014</v>
      </c>
      <c r="E12050" s="241">
        <f t="shared" si="1698"/>
        <v>46014</v>
      </c>
      <c r="F12050" s="512"/>
      <c r="G12050" s="231" t="s">
        <v>1245</v>
      </c>
      <c r="H12050" s="232"/>
      <c r="I12050" s="232" t="s">
        <v>1253</v>
      </c>
      <c r="J12050" s="228" t="s">
        <v>55</v>
      </c>
      <c r="K12050" s="233"/>
      <c r="L12050" s="233">
        <f>K12049</f>
        <v>517.58912087912086</v>
      </c>
    </row>
    <row r="12051" spans="1:15" ht="11.25" customHeight="1" x14ac:dyDescent="0.2">
      <c r="A12051" s="222">
        <v>2025</v>
      </c>
      <c r="B12051" s="222">
        <v>12</v>
      </c>
      <c r="C12051" s="222">
        <v>23</v>
      </c>
      <c r="D12051" s="223">
        <f t="shared" si="1689"/>
        <v>46014</v>
      </c>
      <c r="E12051" s="240">
        <f t="shared" si="1698"/>
        <v>46014</v>
      </c>
      <c r="F12051" s="511" t="s">
        <v>1247</v>
      </c>
      <c r="G12051" s="225" t="s">
        <v>1245</v>
      </c>
      <c r="H12051" s="226"/>
      <c r="I12051" s="226" t="s">
        <v>1253</v>
      </c>
      <c r="J12051" s="222" t="s">
        <v>77</v>
      </c>
      <c r="K12051" s="227">
        <f>M12051</f>
        <v>7357.7629673655492</v>
      </c>
      <c r="L12051" s="227"/>
      <c r="M12051" s="478">
        <v>7357.7629673655492</v>
      </c>
    </row>
    <row r="12052" spans="1:15" ht="11.25" customHeight="1" x14ac:dyDescent="0.2">
      <c r="A12052" s="228">
        <v>2025</v>
      </c>
      <c r="B12052" s="228">
        <v>12</v>
      </c>
      <c r="C12052" s="228">
        <v>23</v>
      </c>
      <c r="D12052" s="229">
        <f t="shared" si="1689"/>
        <v>46014</v>
      </c>
      <c r="E12052" s="241">
        <f t="shared" si="1698"/>
        <v>46014</v>
      </c>
      <c r="F12052" s="512"/>
      <c r="G12052" s="231" t="s">
        <v>1245</v>
      </c>
      <c r="H12052" s="232"/>
      <c r="I12052" s="232" t="s">
        <v>1253</v>
      </c>
      <c r="J12052" s="228" t="s">
        <v>41</v>
      </c>
      <c r="K12052" s="233"/>
      <c r="L12052" s="233">
        <f>K12051</f>
        <v>7357.7629673655492</v>
      </c>
      <c r="M12052" s="478">
        <v>735.77629673655497</v>
      </c>
      <c r="N12052" s="251"/>
    </row>
    <row r="12053" spans="1:15" ht="11.25" customHeight="1" x14ac:dyDescent="0.2">
      <c r="A12053" s="222">
        <v>2025</v>
      </c>
      <c r="B12053" s="222">
        <v>12</v>
      </c>
      <c r="C12053" s="222">
        <v>23</v>
      </c>
      <c r="D12053" s="223">
        <f t="shared" si="1689"/>
        <v>46014</v>
      </c>
      <c r="E12053" s="240">
        <f t="shared" si="1698"/>
        <v>46014</v>
      </c>
      <c r="F12053" s="511" t="s">
        <v>1248</v>
      </c>
      <c r="G12053" s="225" t="s">
        <v>1245</v>
      </c>
      <c r="H12053" s="226"/>
      <c r="I12053" s="226" t="s">
        <v>1253</v>
      </c>
      <c r="J12053" s="222" t="s">
        <v>80</v>
      </c>
      <c r="K12053" s="227">
        <f>M12052</f>
        <v>735.77629673655497</v>
      </c>
      <c r="L12053" s="227"/>
      <c r="N12053" s="251"/>
      <c r="O12053" s="251"/>
    </row>
    <row r="12054" spans="1:15" ht="11.25" customHeight="1" x14ac:dyDescent="0.2">
      <c r="A12054" s="228">
        <v>2025</v>
      </c>
      <c r="B12054" s="228">
        <v>12</v>
      </c>
      <c r="C12054" s="228">
        <v>23</v>
      </c>
      <c r="D12054" s="229">
        <f t="shared" si="1689"/>
        <v>46014</v>
      </c>
      <c r="E12054" s="241">
        <f t="shared" si="1698"/>
        <v>46014</v>
      </c>
      <c r="F12054" s="512"/>
      <c r="G12054" s="231" t="s">
        <v>1245</v>
      </c>
      <c r="H12054" s="232"/>
      <c r="I12054" s="232" t="s">
        <v>1253</v>
      </c>
      <c r="J12054" s="228" t="s">
        <v>42</v>
      </c>
      <c r="K12054" s="233"/>
      <c r="L12054" s="233">
        <f>K12053</f>
        <v>735.77629673655497</v>
      </c>
      <c r="N12054" s="251"/>
    </row>
    <row r="12055" spans="1:15" ht="11.25" customHeight="1" x14ac:dyDescent="0.2">
      <c r="A12055" s="197">
        <v>2025</v>
      </c>
      <c r="B12055" s="197">
        <v>12</v>
      </c>
      <c r="C12055" s="197">
        <v>24</v>
      </c>
      <c r="D12055" s="198">
        <f t="shared" si="1689"/>
        <v>46015</v>
      </c>
      <c r="E12055" s="199">
        <f t="shared" si="1698"/>
        <v>46015</v>
      </c>
      <c r="F12055" s="513" t="s">
        <v>2122</v>
      </c>
      <c r="G12055" s="200" t="s">
        <v>1209</v>
      </c>
      <c r="H12055" s="201"/>
      <c r="I12055" s="201" t="s">
        <v>1253</v>
      </c>
      <c r="J12055" s="197" t="s">
        <v>1837</v>
      </c>
      <c r="K12055" s="202">
        <v>990393.39</v>
      </c>
      <c r="L12055" s="202"/>
    </row>
    <row r="12056" spans="1:15" ht="11.25" customHeight="1" x14ac:dyDescent="0.2">
      <c r="A12056" s="191">
        <v>2025</v>
      </c>
      <c r="B12056" s="191">
        <v>12</v>
      </c>
      <c r="C12056" s="191">
        <v>24</v>
      </c>
      <c r="D12056" s="192">
        <f t="shared" si="1689"/>
        <v>46015</v>
      </c>
      <c r="E12056" s="193">
        <f t="shared" si="1698"/>
        <v>46015</v>
      </c>
      <c r="F12056" s="514"/>
      <c r="G12056" s="194" t="s">
        <v>1209</v>
      </c>
      <c r="H12056" s="195"/>
      <c r="I12056" s="195" t="s">
        <v>1253</v>
      </c>
      <c r="J12056" s="191" t="s">
        <v>46</v>
      </c>
      <c r="K12056" s="196"/>
      <c r="L12056" s="196">
        <f>K12055</f>
        <v>990393.39</v>
      </c>
      <c r="N12056" s="130"/>
    </row>
    <row r="12057" spans="1:15" x14ac:dyDescent="0.2">
      <c r="A12057" s="197">
        <v>2025</v>
      </c>
      <c r="B12057" s="197">
        <v>12</v>
      </c>
      <c r="C12057" s="197">
        <v>24</v>
      </c>
      <c r="D12057" s="198">
        <f t="shared" si="1689"/>
        <v>46015</v>
      </c>
      <c r="E12057" s="290">
        <f t="shared" si="1698"/>
        <v>46015</v>
      </c>
      <c r="F12057" s="513" t="s">
        <v>1514</v>
      </c>
      <c r="G12057" s="200" t="s">
        <v>1209</v>
      </c>
      <c r="H12057" s="201"/>
      <c r="I12057" s="201"/>
      <c r="J12057" s="197" t="s">
        <v>54</v>
      </c>
      <c r="K12057" s="202">
        <v>500</v>
      </c>
      <c r="L12057" s="202"/>
      <c r="M12057" s="251"/>
      <c r="N12057" s="251"/>
      <c r="O12057" s="251"/>
    </row>
    <row r="12058" spans="1:15" ht="11.25" customHeight="1" x14ac:dyDescent="0.2">
      <c r="A12058" s="191">
        <v>2025</v>
      </c>
      <c r="B12058" s="191">
        <v>12</v>
      </c>
      <c r="C12058" s="191">
        <v>24</v>
      </c>
      <c r="D12058" s="192">
        <f t="shared" si="1689"/>
        <v>46015</v>
      </c>
      <c r="E12058" s="291">
        <f t="shared" si="1698"/>
        <v>46015</v>
      </c>
      <c r="F12058" s="514"/>
      <c r="G12058" s="194" t="s">
        <v>1209</v>
      </c>
      <c r="H12058" s="195"/>
      <c r="I12058" s="195"/>
      <c r="J12058" s="191" t="s">
        <v>46</v>
      </c>
      <c r="K12058" s="196"/>
      <c r="L12058" s="196">
        <f>K12057</f>
        <v>500</v>
      </c>
      <c r="M12058" s="251"/>
    </row>
    <row r="12059" spans="1:15" ht="11.25" customHeight="1" x14ac:dyDescent="0.2">
      <c r="A12059" s="197">
        <v>2025</v>
      </c>
      <c r="B12059" s="197">
        <v>12</v>
      </c>
      <c r="C12059" s="197">
        <v>24</v>
      </c>
      <c r="D12059" s="198">
        <f t="shared" si="1689"/>
        <v>46015</v>
      </c>
      <c r="E12059" s="290">
        <f t="shared" si="1698"/>
        <v>46015</v>
      </c>
      <c r="F12059" s="513" t="s">
        <v>2120</v>
      </c>
      <c r="G12059" s="200" t="s">
        <v>1209</v>
      </c>
      <c r="H12059" s="201"/>
      <c r="I12059" s="201" t="s">
        <v>1253</v>
      </c>
      <c r="J12059" s="197" t="s">
        <v>46</v>
      </c>
      <c r="K12059" s="202">
        <v>217499.99999999997</v>
      </c>
      <c r="L12059" s="202"/>
    </row>
    <row r="12060" spans="1:15" ht="11.25" customHeight="1" x14ac:dyDescent="0.2">
      <c r="A12060" s="191">
        <v>2025</v>
      </c>
      <c r="B12060" s="191">
        <v>12</v>
      </c>
      <c r="C12060" s="191">
        <v>24</v>
      </c>
      <c r="D12060" s="192">
        <f t="shared" si="1689"/>
        <v>46015</v>
      </c>
      <c r="E12060" s="291">
        <f t="shared" si="1698"/>
        <v>46015</v>
      </c>
      <c r="F12060" s="514"/>
      <c r="G12060" s="194" t="s">
        <v>1209</v>
      </c>
      <c r="H12060" s="195"/>
      <c r="I12060" s="195"/>
      <c r="J12060" s="191" t="s">
        <v>1845</v>
      </c>
      <c r="K12060" s="196"/>
      <c r="L12060" s="196">
        <f>K12059</f>
        <v>217499.99999999997</v>
      </c>
    </row>
    <row r="12061" spans="1:15" ht="11.25" customHeight="1" x14ac:dyDescent="0.2">
      <c r="A12061" s="120">
        <v>2025</v>
      </c>
      <c r="B12061" s="197">
        <v>12</v>
      </c>
      <c r="C12061" s="197">
        <v>24</v>
      </c>
      <c r="D12061" s="208">
        <f t="shared" si="1689"/>
        <v>46015</v>
      </c>
      <c r="E12061" s="209">
        <f>DATE(A12061,B12061,C12061)</f>
        <v>46015</v>
      </c>
      <c r="F12061" s="515" t="s">
        <v>1922</v>
      </c>
      <c r="G12061" s="132" t="s">
        <v>1209</v>
      </c>
      <c r="H12061" s="132"/>
      <c r="J12061" s="120" t="s">
        <v>457</v>
      </c>
      <c r="K12061" s="202">
        <v>3500</v>
      </c>
      <c r="L12061" s="207"/>
    </row>
    <row r="12062" spans="1:15" ht="11.25" customHeight="1" x14ac:dyDescent="0.2">
      <c r="A12062" s="191">
        <v>2025</v>
      </c>
      <c r="B12062" s="191">
        <v>12</v>
      </c>
      <c r="C12062" s="191">
        <v>24</v>
      </c>
      <c r="D12062" s="192">
        <f t="shared" si="1689"/>
        <v>46015</v>
      </c>
      <c r="E12062" s="291">
        <f t="shared" ref="E12062" si="1699">DATE(A12062,B12062,C12062)</f>
        <v>46015</v>
      </c>
      <c r="F12062" s="514"/>
      <c r="G12062" s="194" t="s">
        <v>1209</v>
      </c>
      <c r="H12062" s="195"/>
      <c r="I12062" s="195" t="s">
        <v>1253</v>
      </c>
      <c r="J12062" s="191" t="s">
        <v>46</v>
      </c>
      <c r="K12062" s="196"/>
      <c r="L12062" s="196">
        <v>3500</v>
      </c>
    </row>
    <row r="12063" spans="1:15" x14ac:dyDescent="0.2">
      <c r="A12063" s="424">
        <v>2025</v>
      </c>
      <c r="B12063" s="424">
        <v>12</v>
      </c>
      <c r="C12063" s="424">
        <v>24</v>
      </c>
      <c r="D12063" s="425">
        <f t="shared" si="1689"/>
        <v>46015</v>
      </c>
      <c r="E12063" s="384">
        <f t="shared" si="1698"/>
        <v>46015</v>
      </c>
      <c r="F12063" s="516" t="s">
        <v>1850</v>
      </c>
      <c r="G12063" s="426" t="s">
        <v>1209</v>
      </c>
      <c r="H12063" s="427"/>
      <c r="I12063" s="427"/>
      <c r="J12063" s="428" t="s">
        <v>81</v>
      </c>
      <c r="K12063" s="429">
        <v>1595.8173626373627</v>
      </c>
      <c r="L12063" s="429"/>
      <c r="M12063" s="455"/>
    </row>
    <row r="12064" spans="1:15" x14ac:dyDescent="0.2">
      <c r="A12064" s="389">
        <v>2025</v>
      </c>
      <c r="B12064" s="389">
        <v>12</v>
      </c>
      <c r="C12064" s="389">
        <v>24</v>
      </c>
      <c r="D12064" s="390">
        <f t="shared" si="1689"/>
        <v>46015</v>
      </c>
      <c r="E12064" s="391">
        <f t="shared" si="1698"/>
        <v>46015</v>
      </c>
      <c r="F12064" s="517"/>
      <c r="G12064" s="392" t="s">
        <v>1209</v>
      </c>
      <c r="H12064" s="393"/>
      <c r="I12064" s="393"/>
      <c r="J12064" s="394" t="s">
        <v>1847</v>
      </c>
      <c r="K12064" s="423"/>
      <c r="L12064" s="423">
        <f>K12063</f>
        <v>1595.8173626373627</v>
      </c>
    </row>
    <row r="12065" spans="1:16" ht="11.25" customHeight="1" x14ac:dyDescent="0.2">
      <c r="A12065" s="382">
        <v>2025</v>
      </c>
      <c r="B12065" s="382">
        <v>12</v>
      </c>
      <c r="C12065" s="382">
        <v>24</v>
      </c>
      <c r="D12065" s="383">
        <f t="shared" si="1689"/>
        <v>46015</v>
      </c>
      <c r="E12065" s="384">
        <f t="shared" si="1698"/>
        <v>46015</v>
      </c>
      <c r="F12065" s="516" t="s">
        <v>1892</v>
      </c>
      <c r="G12065" s="385" t="s">
        <v>1209</v>
      </c>
      <c r="H12065" s="386"/>
      <c r="I12065" s="386"/>
      <c r="J12065" s="387" t="s">
        <v>173</v>
      </c>
      <c r="K12065" s="388">
        <v>628.75179914136902</v>
      </c>
      <c r="L12065" s="388"/>
      <c r="M12065" s="455"/>
    </row>
    <row r="12066" spans="1:16" ht="11.25" customHeight="1" x14ac:dyDescent="0.2">
      <c r="A12066" s="389">
        <v>2025</v>
      </c>
      <c r="B12066" s="389">
        <v>12</v>
      </c>
      <c r="C12066" s="389">
        <v>24</v>
      </c>
      <c r="D12066" s="390">
        <f t="shared" si="1689"/>
        <v>46015</v>
      </c>
      <c r="E12066" s="391">
        <f t="shared" si="1698"/>
        <v>46015</v>
      </c>
      <c r="F12066" s="517"/>
      <c r="G12066" s="392" t="s">
        <v>1209</v>
      </c>
      <c r="H12066" s="393"/>
      <c r="I12066" s="393"/>
      <c r="J12066" s="394" t="s">
        <v>43</v>
      </c>
      <c r="K12066" s="388"/>
      <c r="L12066" s="423">
        <f>K12065</f>
        <v>628.75179914136902</v>
      </c>
    </row>
    <row r="12067" spans="1:16" ht="11.25" customHeight="1" x14ac:dyDescent="0.2">
      <c r="A12067" s="344">
        <v>2025</v>
      </c>
      <c r="B12067" s="344">
        <v>12</v>
      </c>
      <c r="C12067" s="344">
        <v>24</v>
      </c>
      <c r="D12067" s="345">
        <f t="shared" si="1689"/>
        <v>46015</v>
      </c>
      <c r="E12067" s="346">
        <f t="shared" si="1698"/>
        <v>46015</v>
      </c>
      <c r="F12067" s="518" t="s">
        <v>1982</v>
      </c>
      <c r="G12067" s="347" t="s">
        <v>1245</v>
      </c>
      <c r="H12067" s="348"/>
      <c r="I12067" s="348" t="s">
        <v>1253</v>
      </c>
      <c r="J12067" s="344" t="s">
        <v>1978</v>
      </c>
      <c r="K12067" s="349">
        <v>21249.725274725275</v>
      </c>
      <c r="L12067" s="349"/>
      <c r="M12067" s="455"/>
    </row>
    <row r="12068" spans="1:16" ht="11.25" customHeight="1" x14ac:dyDescent="0.2">
      <c r="A12068" s="350">
        <v>2025</v>
      </c>
      <c r="B12068" s="350">
        <v>12</v>
      </c>
      <c r="C12068" s="350">
        <v>24</v>
      </c>
      <c r="D12068" s="351">
        <f t="shared" si="1689"/>
        <v>46015</v>
      </c>
      <c r="E12068" s="352">
        <f t="shared" si="1698"/>
        <v>46015</v>
      </c>
      <c r="F12068" s="519"/>
      <c r="G12068" s="353" t="s">
        <v>1245</v>
      </c>
      <c r="H12068" s="354"/>
      <c r="I12068" s="354" t="s">
        <v>1253</v>
      </c>
      <c r="J12068" s="350" t="s">
        <v>1979</v>
      </c>
      <c r="K12068" s="355"/>
      <c r="L12068" s="355">
        <f>K12067</f>
        <v>21249.725274725275</v>
      </c>
    </row>
    <row r="12069" spans="1:16" ht="11.25" customHeight="1" x14ac:dyDescent="0.2">
      <c r="A12069" s="344">
        <v>2025</v>
      </c>
      <c r="B12069" s="344">
        <v>12</v>
      </c>
      <c r="C12069" s="344">
        <v>24</v>
      </c>
      <c r="D12069" s="345">
        <f t="shared" si="1689"/>
        <v>46015</v>
      </c>
      <c r="E12069" s="346">
        <f t="shared" si="1698"/>
        <v>46015</v>
      </c>
      <c r="F12069" s="518" t="s">
        <v>2009</v>
      </c>
      <c r="G12069" s="347" t="s">
        <v>1245</v>
      </c>
      <c r="H12069" s="348"/>
      <c r="I12069" s="348" t="s">
        <v>1253</v>
      </c>
      <c r="J12069" s="344" t="s">
        <v>2004</v>
      </c>
      <c r="K12069" s="349">
        <v>7098.9014285714284</v>
      </c>
      <c r="L12069" s="349"/>
      <c r="M12069" s="455"/>
    </row>
    <row r="12070" spans="1:16" ht="11.25" customHeight="1" x14ac:dyDescent="0.2">
      <c r="A12070" s="350">
        <v>2025</v>
      </c>
      <c r="B12070" s="350">
        <v>12</v>
      </c>
      <c r="C12070" s="350">
        <v>24</v>
      </c>
      <c r="D12070" s="351">
        <f t="shared" si="1689"/>
        <v>46015</v>
      </c>
      <c r="E12070" s="352">
        <f t="shared" si="1698"/>
        <v>46015</v>
      </c>
      <c r="F12070" s="519"/>
      <c r="G12070" s="353" t="s">
        <v>1245</v>
      </c>
      <c r="H12070" s="354"/>
      <c r="I12070" s="354" t="s">
        <v>1253</v>
      </c>
      <c r="J12070" s="350" t="s">
        <v>2008</v>
      </c>
      <c r="K12070" s="355"/>
      <c r="L12070" s="355">
        <f t="shared" ref="L12070" si="1700">K12069</f>
        <v>7098.9014285714284</v>
      </c>
    </row>
    <row r="12071" spans="1:16" ht="11.25" customHeight="1" x14ac:dyDescent="0.2">
      <c r="A12071" s="344">
        <v>2025</v>
      </c>
      <c r="B12071" s="344">
        <v>12</v>
      </c>
      <c r="C12071" s="344">
        <v>24</v>
      </c>
      <c r="D12071" s="345">
        <f t="shared" si="1689"/>
        <v>46015</v>
      </c>
      <c r="E12071" s="346">
        <f t="shared" si="1698"/>
        <v>46015</v>
      </c>
      <c r="F12071" s="518" t="s">
        <v>2009</v>
      </c>
      <c r="G12071" s="347" t="s">
        <v>1245</v>
      </c>
      <c r="H12071" s="348"/>
      <c r="I12071" s="348" t="s">
        <v>1253</v>
      </c>
      <c r="J12071" s="344" t="s">
        <v>2004</v>
      </c>
      <c r="K12071" s="349">
        <v>7098.9014285714284</v>
      </c>
      <c r="L12071" s="349"/>
      <c r="M12071" s="455"/>
    </row>
    <row r="12072" spans="1:16" ht="11.25" customHeight="1" x14ac:dyDescent="0.2">
      <c r="A12072" s="350">
        <v>2025</v>
      </c>
      <c r="B12072" s="350">
        <v>12</v>
      </c>
      <c r="C12072" s="350">
        <v>24</v>
      </c>
      <c r="D12072" s="351">
        <f t="shared" si="1689"/>
        <v>46015</v>
      </c>
      <c r="E12072" s="352">
        <f t="shared" si="1698"/>
        <v>46015</v>
      </c>
      <c r="F12072" s="519"/>
      <c r="G12072" s="353" t="s">
        <v>1245</v>
      </c>
      <c r="H12072" s="354"/>
      <c r="I12072" s="354" t="s">
        <v>1253</v>
      </c>
      <c r="J12072" s="350" t="s">
        <v>2008</v>
      </c>
      <c r="K12072" s="355"/>
      <c r="L12072" s="355">
        <f t="shared" ref="L12072" si="1701">K12071</f>
        <v>7098.9014285714284</v>
      </c>
    </row>
    <row r="12073" spans="1:16" ht="11.25" customHeight="1" x14ac:dyDescent="0.2">
      <c r="A12073" s="344">
        <v>2025</v>
      </c>
      <c r="B12073" s="344">
        <v>12</v>
      </c>
      <c r="C12073" s="344">
        <v>24</v>
      </c>
      <c r="D12073" s="345">
        <f t="shared" si="1689"/>
        <v>46015</v>
      </c>
      <c r="E12073" s="346">
        <f t="shared" si="1698"/>
        <v>46015</v>
      </c>
      <c r="F12073" s="518" t="s">
        <v>2088</v>
      </c>
      <c r="G12073" s="347" t="s">
        <v>1245</v>
      </c>
      <c r="H12073" s="348"/>
      <c r="I12073" s="348" t="s">
        <v>1253</v>
      </c>
      <c r="J12073" s="344" t="s">
        <v>2086</v>
      </c>
      <c r="K12073" s="349">
        <v>1789.835164835165</v>
      </c>
      <c r="L12073" s="349"/>
      <c r="M12073" s="455"/>
    </row>
    <row r="12074" spans="1:16" ht="11.25" customHeight="1" x14ac:dyDescent="0.2">
      <c r="A12074" s="350">
        <v>2025</v>
      </c>
      <c r="B12074" s="350">
        <v>12</v>
      </c>
      <c r="C12074" s="350">
        <v>24</v>
      </c>
      <c r="D12074" s="351">
        <f t="shared" si="1689"/>
        <v>46015</v>
      </c>
      <c r="E12074" s="352">
        <f t="shared" si="1698"/>
        <v>46015</v>
      </c>
      <c r="F12074" s="519"/>
      <c r="G12074" s="353" t="s">
        <v>1245</v>
      </c>
      <c r="H12074" s="354"/>
      <c r="I12074" s="354" t="s">
        <v>1253</v>
      </c>
      <c r="J12074" s="350" t="s">
        <v>2089</v>
      </c>
      <c r="K12074" s="355"/>
      <c r="L12074" s="355">
        <f>K12073</f>
        <v>1789.835164835165</v>
      </c>
    </row>
    <row r="12075" spans="1:16" ht="11.25" customHeight="1" x14ac:dyDescent="0.2">
      <c r="A12075" s="344">
        <v>2025</v>
      </c>
      <c r="B12075" s="344">
        <v>12</v>
      </c>
      <c r="C12075" s="344">
        <v>24</v>
      </c>
      <c r="D12075" s="345">
        <f t="shared" si="1689"/>
        <v>46015</v>
      </c>
      <c r="E12075" s="346">
        <f>DATE(A12075,B12075,C12075)</f>
        <v>46015</v>
      </c>
      <c r="F12075" s="518" t="s">
        <v>1988</v>
      </c>
      <c r="G12075" s="347" t="s">
        <v>1245</v>
      </c>
      <c r="H12075" s="348"/>
      <c r="I12075" s="348" t="s">
        <v>1253</v>
      </c>
      <c r="J12075" s="344" t="s">
        <v>113</v>
      </c>
      <c r="K12075" s="349">
        <v>4692.3071428571429</v>
      </c>
      <c r="L12075" s="349"/>
      <c r="M12075" s="455"/>
    </row>
    <row r="12076" spans="1:16" ht="11.25" customHeight="1" x14ac:dyDescent="0.2">
      <c r="A12076" s="350">
        <v>2025</v>
      </c>
      <c r="B12076" s="350">
        <v>12</v>
      </c>
      <c r="C12076" s="350">
        <v>24</v>
      </c>
      <c r="D12076" s="351">
        <f t="shared" si="1689"/>
        <v>46015</v>
      </c>
      <c r="E12076" s="352">
        <f>DATE(A12076,B12076,C12076)</f>
        <v>46015</v>
      </c>
      <c r="F12076" s="519"/>
      <c r="G12076" s="353" t="s">
        <v>1245</v>
      </c>
      <c r="H12076" s="354"/>
      <c r="I12076" s="354" t="s">
        <v>1253</v>
      </c>
      <c r="J12076" s="350" t="s">
        <v>153</v>
      </c>
      <c r="K12076" s="355"/>
      <c r="L12076" s="355">
        <f t="shared" ref="L12076" si="1702">K12075</f>
        <v>4692.3071428571429</v>
      </c>
    </row>
    <row r="12077" spans="1:16" ht="11.25" customHeight="1" x14ac:dyDescent="0.2">
      <c r="A12077" s="344">
        <v>2025</v>
      </c>
      <c r="B12077" s="344">
        <v>12</v>
      </c>
      <c r="C12077" s="344">
        <v>24</v>
      </c>
      <c r="D12077" s="345">
        <f t="shared" si="1689"/>
        <v>46015</v>
      </c>
      <c r="E12077" s="346">
        <f t="shared" ref="E12077:E12083" si="1703">DATE(A12077,B12077,C12077)</f>
        <v>46015</v>
      </c>
      <c r="F12077" s="518" t="s">
        <v>1989</v>
      </c>
      <c r="G12077" s="347" t="s">
        <v>1245</v>
      </c>
      <c r="H12077" s="348"/>
      <c r="I12077" s="348" t="s">
        <v>1253</v>
      </c>
      <c r="J12077" s="344" t="s">
        <v>113</v>
      </c>
      <c r="K12077" s="349">
        <v>3351.6483516483518</v>
      </c>
      <c r="L12077" s="349"/>
      <c r="M12077" s="455"/>
    </row>
    <row r="12078" spans="1:16" ht="11.25" customHeight="1" x14ac:dyDescent="0.2">
      <c r="A12078" s="350">
        <v>2025</v>
      </c>
      <c r="B12078" s="350">
        <v>12</v>
      </c>
      <c r="C12078" s="350">
        <v>24</v>
      </c>
      <c r="D12078" s="351">
        <f t="shared" si="1689"/>
        <v>46015</v>
      </c>
      <c r="E12078" s="352">
        <f t="shared" si="1703"/>
        <v>46015</v>
      </c>
      <c r="F12078" s="519"/>
      <c r="G12078" s="353" t="s">
        <v>1245</v>
      </c>
      <c r="H12078" s="354"/>
      <c r="I12078" s="354" t="s">
        <v>1253</v>
      </c>
      <c r="J12078" s="350" t="s">
        <v>153</v>
      </c>
      <c r="K12078" s="355"/>
      <c r="L12078" s="355">
        <f t="shared" ref="L12078" si="1704">K12077</f>
        <v>3351.6483516483518</v>
      </c>
    </row>
    <row r="12079" spans="1:16" ht="11.25" customHeight="1" x14ac:dyDescent="0.2">
      <c r="A12079" s="344">
        <v>2025</v>
      </c>
      <c r="B12079" s="344">
        <v>12</v>
      </c>
      <c r="C12079" s="344">
        <v>24</v>
      </c>
      <c r="D12079" s="345">
        <f t="shared" si="1689"/>
        <v>46015</v>
      </c>
      <c r="E12079" s="346">
        <f t="shared" si="1703"/>
        <v>46015</v>
      </c>
      <c r="F12079" s="518" t="s">
        <v>1990</v>
      </c>
      <c r="G12079" s="347" t="s">
        <v>1245</v>
      </c>
      <c r="H12079" s="348"/>
      <c r="I12079" s="348" t="s">
        <v>1253</v>
      </c>
      <c r="J12079" s="344" t="s">
        <v>113</v>
      </c>
      <c r="K12079" s="349">
        <v>10054.945714285714</v>
      </c>
      <c r="L12079" s="349"/>
      <c r="M12079" s="455"/>
      <c r="N12079" s="251"/>
      <c r="O12079" s="251"/>
      <c r="P12079" s="251"/>
    </row>
    <row r="12080" spans="1:16" ht="11.25" customHeight="1" x14ac:dyDescent="0.2">
      <c r="A12080" s="350">
        <v>2025</v>
      </c>
      <c r="B12080" s="350">
        <v>12</v>
      </c>
      <c r="C12080" s="350">
        <v>24</v>
      </c>
      <c r="D12080" s="351">
        <f t="shared" ref="D12080:D12143" si="1705">DATE(A12080,B12080,C12080)</f>
        <v>46015</v>
      </c>
      <c r="E12080" s="352">
        <f t="shared" si="1703"/>
        <v>46015</v>
      </c>
      <c r="F12080" s="519"/>
      <c r="G12080" s="353" t="s">
        <v>1245</v>
      </c>
      <c r="H12080" s="354"/>
      <c r="I12080" s="354" t="s">
        <v>1253</v>
      </c>
      <c r="J12080" s="350" t="s">
        <v>153</v>
      </c>
      <c r="K12080" s="355"/>
      <c r="L12080" s="355">
        <f t="shared" ref="L12080" si="1706">K12079</f>
        <v>10054.945714285714</v>
      </c>
    </row>
    <row r="12081" spans="1:16" ht="11.25" customHeight="1" x14ac:dyDescent="0.2">
      <c r="A12081" s="344">
        <v>2025</v>
      </c>
      <c r="B12081" s="344">
        <v>12</v>
      </c>
      <c r="C12081" s="344">
        <v>24</v>
      </c>
      <c r="D12081" s="345">
        <f t="shared" si="1705"/>
        <v>46015</v>
      </c>
      <c r="E12081" s="346">
        <f t="shared" si="1703"/>
        <v>46015</v>
      </c>
      <c r="F12081" s="518" t="s">
        <v>2107</v>
      </c>
      <c r="G12081" s="347" t="s">
        <v>1245</v>
      </c>
      <c r="H12081" s="348"/>
      <c r="I12081" s="348" t="s">
        <v>1253</v>
      </c>
      <c r="J12081" s="344" t="s">
        <v>113</v>
      </c>
      <c r="K12081" s="349">
        <v>12370.879120879121</v>
      </c>
      <c r="L12081" s="349"/>
      <c r="M12081" s="455"/>
      <c r="N12081" s="251"/>
      <c r="O12081" s="251"/>
      <c r="P12081" s="251"/>
    </row>
    <row r="12082" spans="1:16" ht="11.25" customHeight="1" x14ac:dyDescent="0.2">
      <c r="A12082" s="350">
        <v>2025</v>
      </c>
      <c r="B12082" s="350">
        <v>12</v>
      </c>
      <c r="C12082" s="350">
        <v>24</v>
      </c>
      <c r="D12082" s="351">
        <f t="shared" si="1705"/>
        <v>46015</v>
      </c>
      <c r="E12082" s="352">
        <f t="shared" si="1703"/>
        <v>46015</v>
      </c>
      <c r="F12082" s="519"/>
      <c r="G12082" s="353" t="s">
        <v>1245</v>
      </c>
      <c r="H12082" s="354"/>
      <c r="I12082" s="354" t="s">
        <v>1253</v>
      </c>
      <c r="J12082" s="350" t="s">
        <v>153</v>
      </c>
      <c r="K12082" s="355"/>
      <c r="L12082" s="355">
        <f t="shared" ref="L12082" si="1707">K12081</f>
        <v>12370.879120879121</v>
      </c>
    </row>
    <row r="12083" spans="1:16" ht="11.25" customHeight="1" x14ac:dyDescent="0.2">
      <c r="A12083" s="210">
        <v>2025</v>
      </c>
      <c r="B12083" s="210">
        <v>12</v>
      </c>
      <c r="C12083" s="210">
        <v>24</v>
      </c>
      <c r="D12083" s="211">
        <f t="shared" si="1705"/>
        <v>46015</v>
      </c>
      <c r="E12083" s="238">
        <f t="shared" si="1703"/>
        <v>46015</v>
      </c>
      <c r="F12083" s="520" t="s">
        <v>1857</v>
      </c>
      <c r="G12083" s="213" t="s">
        <v>1245</v>
      </c>
      <c r="H12083" s="214"/>
      <c r="I12083" s="214" t="s">
        <v>1253</v>
      </c>
      <c r="J12083" s="210" t="s">
        <v>1284</v>
      </c>
      <c r="K12083" s="215">
        <v>334.54448777029421</v>
      </c>
      <c r="L12083" s="215"/>
      <c r="M12083" s="455"/>
    </row>
    <row r="12084" spans="1:16" ht="11.25" customHeight="1" x14ac:dyDescent="0.2">
      <c r="A12084" s="242">
        <v>2025</v>
      </c>
      <c r="B12084" s="242">
        <v>12</v>
      </c>
      <c r="C12084" s="242">
        <v>24</v>
      </c>
      <c r="D12084" s="243">
        <f t="shared" si="1705"/>
        <v>46015</v>
      </c>
      <c r="E12084" s="244">
        <f>DATE(A12084,B12084,C12084)</f>
        <v>46015</v>
      </c>
      <c r="F12084" s="524"/>
      <c r="G12084" s="245" t="s">
        <v>1245</v>
      </c>
      <c r="H12084" s="246"/>
      <c r="I12084" s="246"/>
      <c r="J12084" s="242" t="s">
        <v>1582</v>
      </c>
      <c r="K12084" s="247"/>
      <c r="L12084" s="247">
        <f>K12083</f>
        <v>334.54448777029421</v>
      </c>
    </row>
    <row r="12085" spans="1:16" ht="11.25" customHeight="1" x14ac:dyDescent="0.2">
      <c r="A12085" s="210">
        <v>2025</v>
      </c>
      <c r="B12085" s="210">
        <v>12</v>
      </c>
      <c r="C12085" s="210">
        <v>24</v>
      </c>
      <c r="D12085" s="211">
        <f t="shared" si="1705"/>
        <v>46015</v>
      </c>
      <c r="E12085" s="238">
        <f t="shared" ref="E12085:E12106" si="1708">DATE(A12085,B12085,C12085)</f>
        <v>46015</v>
      </c>
      <c r="F12085" s="520" t="s">
        <v>2055</v>
      </c>
      <c r="G12085" s="213" t="s">
        <v>1245</v>
      </c>
      <c r="H12085" s="214"/>
      <c r="I12085" s="214" t="s">
        <v>1253</v>
      </c>
      <c r="J12085" s="210" t="s">
        <v>58</v>
      </c>
      <c r="K12085" s="215">
        <v>319.05</v>
      </c>
      <c r="L12085" s="215"/>
    </row>
    <row r="12086" spans="1:16" ht="11.25" customHeight="1" x14ac:dyDescent="0.2">
      <c r="A12086" s="216">
        <v>2025</v>
      </c>
      <c r="B12086" s="216">
        <v>12</v>
      </c>
      <c r="C12086" s="216">
        <v>24</v>
      </c>
      <c r="D12086" s="217">
        <f t="shared" si="1705"/>
        <v>46015</v>
      </c>
      <c r="E12086" s="239">
        <f t="shared" si="1708"/>
        <v>46015</v>
      </c>
      <c r="F12086" s="521"/>
      <c r="G12086" s="219" t="s">
        <v>1245</v>
      </c>
      <c r="H12086" s="220"/>
      <c r="I12086" s="220" t="s">
        <v>1253</v>
      </c>
      <c r="J12086" s="216" t="s">
        <v>153</v>
      </c>
      <c r="K12086" s="221"/>
      <c r="L12086" s="221">
        <f>K12085</f>
        <v>319.05</v>
      </c>
    </row>
    <row r="12087" spans="1:16" ht="11.25" customHeight="1" x14ac:dyDescent="0.2">
      <c r="A12087" s="312">
        <v>2025</v>
      </c>
      <c r="B12087" s="312">
        <v>12</v>
      </c>
      <c r="C12087" s="312">
        <v>24</v>
      </c>
      <c r="D12087" s="313">
        <f t="shared" si="1705"/>
        <v>46015</v>
      </c>
      <c r="E12087" s="314">
        <f t="shared" si="1708"/>
        <v>46015</v>
      </c>
      <c r="F12087" s="522" t="s">
        <v>1477</v>
      </c>
      <c r="G12087" s="315" t="s">
        <v>1245</v>
      </c>
      <c r="H12087" s="316"/>
      <c r="I12087" s="316" t="s">
        <v>1253</v>
      </c>
      <c r="J12087" s="312" t="s">
        <v>1458</v>
      </c>
      <c r="K12087" s="317">
        <v>0</v>
      </c>
      <c r="L12087" s="317"/>
    </row>
    <row r="12088" spans="1:16" ht="11.25" customHeight="1" x14ac:dyDescent="0.2">
      <c r="A12088" s="318">
        <v>2025</v>
      </c>
      <c r="B12088" s="318">
        <v>12</v>
      </c>
      <c r="C12088" s="318">
        <v>24</v>
      </c>
      <c r="D12088" s="319">
        <f t="shared" si="1705"/>
        <v>46015</v>
      </c>
      <c r="E12088" s="320">
        <f t="shared" si="1708"/>
        <v>46015</v>
      </c>
      <c r="F12088" s="523"/>
      <c r="G12088" s="321" t="s">
        <v>1245</v>
      </c>
      <c r="H12088" s="322"/>
      <c r="I12088" s="322" t="s">
        <v>1253</v>
      </c>
      <c r="J12088" s="318" t="s">
        <v>1460</v>
      </c>
      <c r="K12088" s="323"/>
      <c r="L12088" s="323">
        <f>K12087</f>
        <v>0</v>
      </c>
    </row>
    <row r="12089" spans="1:16" ht="11.25" customHeight="1" x14ac:dyDescent="0.2">
      <c r="A12089" s="312">
        <v>2025</v>
      </c>
      <c r="B12089" s="312">
        <v>12</v>
      </c>
      <c r="C12089" s="312">
        <v>24</v>
      </c>
      <c r="D12089" s="313">
        <f t="shared" si="1705"/>
        <v>46015</v>
      </c>
      <c r="E12089" s="314">
        <f t="shared" si="1708"/>
        <v>46015</v>
      </c>
      <c r="F12089" s="522" t="s">
        <v>1595</v>
      </c>
      <c r="G12089" s="315" t="s">
        <v>1245</v>
      </c>
      <c r="H12089" s="316"/>
      <c r="I12089" s="316" t="s">
        <v>1253</v>
      </c>
      <c r="J12089" s="312" t="s">
        <v>1459</v>
      </c>
      <c r="K12089" s="317">
        <v>430113.17799991369</v>
      </c>
      <c r="L12089" s="317"/>
      <c r="M12089" s="328">
        <f>BS!$I$14</f>
        <v>0</v>
      </c>
    </row>
    <row r="12090" spans="1:16" ht="11.25" customHeight="1" x14ac:dyDescent="0.2">
      <c r="A12090" s="318">
        <v>2025</v>
      </c>
      <c r="B12090" s="318">
        <v>12</v>
      </c>
      <c r="C12090" s="318">
        <v>24</v>
      </c>
      <c r="D12090" s="319">
        <f t="shared" si="1705"/>
        <v>46015</v>
      </c>
      <c r="E12090" s="320">
        <f t="shared" si="1708"/>
        <v>46015</v>
      </c>
      <c r="F12090" s="523"/>
      <c r="G12090" s="321" t="s">
        <v>1245</v>
      </c>
      <c r="H12090" s="322"/>
      <c r="I12090" s="322" t="s">
        <v>1253</v>
      </c>
      <c r="J12090" s="318" t="s">
        <v>1461</v>
      </c>
      <c r="K12090" s="323"/>
      <c r="L12090" s="323">
        <f>K12089</f>
        <v>430113.17799991369</v>
      </c>
      <c r="M12090" s="328"/>
    </row>
    <row r="12091" spans="1:16" ht="11.25" customHeight="1" x14ac:dyDescent="0.2">
      <c r="A12091" s="222">
        <v>2025</v>
      </c>
      <c r="B12091" s="222">
        <v>12</v>
      </c>
      <c r="C12091" s="222">
        <v>24</v>
      </c>
      <c r="D12091" s="223">
        <f t="shared" si="1705"/>
        <v>46015</v>
      </c>
      <c r="E12091" s="240">
        <f t="shared" si="1708"/>
        <v>46015</v>
      </c>
      <c r="F12091" s="511" t="s">
        <v>1244</v>
      </c>
      <c r="G12091" s="225" t="s">
        <v>1245</v>
      </c>
      <c r="H12091" s="226"/>
      <c r="I12091" s="226" t="s">
        <v>1253</v>
      </c>
      <c r="J12091" s="222" t="s">
        <v>87</v>
      </c>
      <c r="K12091" s="227">
        <v>2614</v>
      </c>
      <c r="L12091" s="227"/>
      <c r="M12091" s="328">
        <f>BS!$I$7</f>
        <v>0</v>
      </c>
    </row>
    <row r="12092" spans="1:16" ht="11.25" customHeight="1" x14ac:dyDescent="0.2">
      <c r="A12092" s="228">
        <v>2025</v>
      </c>
      <c r="B12092" s="228">
        <v>12</v>
      </c>
      <c r="C12092" s="228">
        <v>24</v>
      </c>
      <c r="D12092" s="229">
        <f t="shared" si="1705"/>
        <v>46015</v>
      </c>
      <c r="E12092" s="241">
        <f t="shared" si="1708"/>
        <v>46015</v>
      </c>
      <c r="F12092" s="512"/>
      <c r="G12092" s="231" t="s">
        <v>1245</v>
      </c>
      <c r="H12092" s="232"/>
      <c r="I12092" s="232" t="s">
        <v>1253</v>
      </c>
      <c r="J12092" s="228" t="s">
        <v>72</v>
      </c>
      <c r="K12092" s="233"/>
      <c r="L12092" s="233">
        <f>K12091</f>
        <v>2614</v>
      </c>
    </row>
    <row r="12093" spans="1:16" ht="11.25" customHeight="1" x14ac:dyDescent="0.2">
      <c r="A12093" s="222">
        <v>2025</v>
      </c>
      <c r="B12093" s="222">
        <v>12</v>
      </c>
      <c r="C12093" s="222">
        <v>24</v>
      </c>
      <c r="D12093" s="223">
        <f t="shared" si="1705"/>
        <v>46015</v>
      </c>
      <c r="E12093" s="240">
        <f t="shared" si="1708"/>
        <v>46015</v>
      </c>
      <c r="F12093" s="511" t="s">
        <v>1246</v>
      </c>
      <c r="G12093" s="225" t="s">
        <v>1245</v>
      </c>
      <c r="H12093" s="226"/>
      <c r="I12093" s="226" t="s">
        <v>1253</v>
      </c>
      <c r="J12093" s="222" t="s">
        <v>75</v>
      </c>
      <c r="K12093" s="227">
        <v>517.58912087912086</v>
      </c>
      <c r="L12093" s="227"/>
      <c r="M12093" s="455"/>
    </row>
    <row r="12094" spans="1:16" ht="11.25" customHeight="1" x14ac:dyDescent="0.2">
      <c r="A12094" s="228">
        <v>2025</v>
      </c>
      <c r="B12094" s="228">
        <v>12</v>
      </c>
      <c r="C12094" s="228">
        <v>24</v>
      </c>
      <c r="D12094" s="229">
        <f t="shared" si="1705"/>
        <v>46015</v>
      </c>
      <c r="E12094" s="241">
        <f t="shared" si="1708"/>
        <v>46015</v>
      </c>
      <c r="F12094" s="512"/>
      <c r="G12094" s="231" t="s">
        <v>1245</v>
      </c>
      <c r="H12094" s="232"/>
      <c r="I12094" s="232" t="s">
        <v>1253</v>
      </c>
      <c r="J12094" s="228" t="s">
        <v>55</v>
      </c>
      <c r="K12094" s="233"/>
      <c r="L12094" s="233">
        <f>K12093</f>
        <v>517.58912087912086</v>
      </c>
    </row>
    <row r="12095" spans="1:16" ht="11.25" customHeight="1" x14ac:dyDescent="0.2">
      <c r="A12095" s="222">
        <v>2025</v>
      </c>
      <c r="B12095" s="222">
        <v>12</v>
      </c>
      <c r="C12095" s="222">
        <v>24</v>
      </c>
      <c r="D12095" s="223">
        <f t="shared" si="1705"/>
        <v>46015</v>
      </c>
      <c r="E12095" s="240">
        <f t="shared" si="1708"/>
        <v>46015</v>
      </c>
      <c r="F12095" s="511" t="s">
        <v>1247</v>
      </c>
      <c r="G12095" s="225" t="s">
        <v>1245</v>
      </c>
      <c r="H12095" s="226"/>
      <c r="I12095" s="226" t="s">
        <v>1253</v>
      </c>
      <c r="J12095" s="222" t="s">
        <v>77</v>
      </c>
      <c r="K12095" s="227">
        <f>M12095</f>
        <v>7355.6571268788375</v>
      </c>
      <c r="L12095" s="227"/>
      <c r="M12095" s="478">
        <v>7355.6571268788375</v>
      </c>
    </row>
    <row r="12096" spans="1:16" ht="11.25" customHeight="1" x14ac:dyDescent="0.2">
      <c r="A12096" s="228">
        <v>2025</v>
      </c>
      <c r="B12096" s="228">
        <v>12</v>
      </c>
      <c r="C12096" s="228">
        <v>24</v>
      </c>
      <c r="D12096" s="229">
        <f t="shared" si="1705"/>
        <v>46015</v>
      </c>
      <c r="E12096" s="241">
        <f t="shared" si="1708"/>
        <v>46015</v>
      </c>
      <c r="F12096" s="512"/>
      <c r="G12096" s="231" t="s">
        <v>1245</v>
      </c>
      <c r="H12096" s="232"/>
      <c r="I12096" s="232" t="s">
        <v>1253</v>
      </c>
      <c r="J12096" s="228" t="s">
        <v>41</v>
      </c>
      <c r="K12096" s="233"/>
      <c r="L12096" s="233">
        <f>K12095</f>
        <v>7355.6571268788375</v>
      </c>
      <c r="M12096" s="478">
        <v>735.56571268788377</v>
      </c>
      <c r="N12096" s="251"/>
    </row>
    <row r="12097" spans="1:15" ht="11.25" customHeight="1" x14ac:dyDescent="0.2">
      <c r="A12097" s="222">
        <v>2025</v>
      </c>
      <c r="B12097" s="222">
        <v>12</v>
      </c>
      <c r="C12097" s="222">
        <v>24</v>
      </c>
      <c r="D12097" s="223">
        <f t="shared" si="1705"/>
        <v>46015</v>
      </c>
      <c r="E12097" s="240">
        <f t="shared" si="1708"/>
        <v>46015</v>
      </c>
      <c r="F12097" s="511" t="s">
        <v>1248</v>
      </c>
      <c r="G12097" s="225" t="s">
        <v>1245</v>
      </c>
      <c r="H12097" s="226"/>
      <c r="I12097" s="226" t="s">
        <v>1253</v>
      </c>
      <c r="J12097" s="222" t="s">
        <v>80</v>
      </c>
      <c r="K12097" s="227">
        <f>M12096</f>
        <v>735.56571268788377</v>
      </c>
      <c r="L12097" s="227"/>
      <c r="N12097" s="251"/>
      <c r="O12097" s="251"/>
    </row>
    <row r="12098" spans="1:15" ht="11.25" customHeight="1" x14ac:dyDescent="0.2">
      <c r="A12098" s="228">
        <v>2025</v>
      </c>
      <c r="B12098" s="228">
        <v>12</v>
      </c>
      <c r="C12098" s="228">
        <v>24</v>
      </c>
      <c r="D12098" s="229">
        <f t="shared" si="1705"/>
        <v>46015</v>
      </c>
      <c r="E12098" s="241">
        <f t="shared" si="1708"/>
        <v>46015</v>
      </c>
      <c r="F12098" s="512"/>
      <c r="G12098" s="231" t="s">
        <v>1245</v>
      </c>
      <c r="H12098" s="232"/>
      <c r="I12098" s="232" t="s">
        <v>1253</v>
      </c>
      <c r="J12098" s="228" t="s">
        <v>42</v>
      </c>
      <c r="K12098" s="233"/>
      <c r="L12098" s="233">
        <f>K12097</f>
        <v>735.56571268788377</v>
      </c>
      <c r="N12098" s="251"/>
    </row>
    <row r="12099" spans="1:15" x14ac:dyDescent="0.2">
      <c r="A12099" s="197">
        <v>2025</v>
      </c>
      <c r="B12099" s="197">
        <v>12</v>
      </c>
      <c r="C12099" s="120">
        <v>26</v>
      </c>
      <c r="D12099" s="198">
        <f t="shared" si="1705"/>
        <v>46017</v>
      </c>
      <c r="E12099" s="209">
        <f t="shared" si="1708"/>
        <v>46017</v>
      </c>
      <c r="F12099" s="513" t="s">
        <v>1296</v>
      </c>
      <c r="G12099" s="200" t="s">
        <v>1209</v>
      </c>
      <c r="H12099" s="201"/>
      <c r="I12099" s="201"/>
      <c r="J12099" s="197" t="s">
        <v>46</v>
      </c>
      <c r="K12099" s="202">
        <v>11000</v>
      </c>
      <c r="L12099" s="202"/>
    </row>
    <row r="12100" spans="1:15" x14ac:dyDescent="0.2">
      <c r="A12100" s="120">
        <v>2025</v>
      </c>
      <c r="B12100" s="120">
        <v>12</v>
      </c>
      <c r="C12100" s="120">
        <v>26</v>
      </c>
      <c r="D12100" s="208">
        <f t="shared" si="1705"/>
        <v>46017</v>
      </c>
      <c r="E12100" s="209">
        <f t="shared" si="1708"/>
        <v>46017</v>
      </c>
      <c r="F12100" s="515"/>
      <c r="G12100" s="132" t="s">
        <v>1209</v>
      </c>
      <c r="J12100" s="120" t="s">
        <v>16</v>
      </c>
      <c r="K12100" s="207"/>
      <c r="L12100" s="207">
        <v>7990</v>
      </c>
    </row>
    <row r="12101" spans="1:15" x14ac:dyDescent="0.2">
      <c r="A12101" s="191">
        <v>2025</v>
      </c>
      <c r="B12101" s="191">
        <v>12</v>
      </c>
      <c r="C12101" s="191">
        <v>26</v>
      </c>
      <c r="D12101" s="192">
        <f t="shared" si="1705"/>
        <v>46017</v>
      </c>
      <c r="E12101" s="193">
        <f t="shared" si="1708"/>
        <v>46017</v>
      </c>
      <c r="F12101" s="514"/>
      <c r="G12101" s="194" t="s">
        <v>1209</v>
      </c>
      <c r="H12101" s="195"/>
      <c r="I12101" s="195"/>
      <c r="J12101" s="191" t="s">
        <v>47</v>
      </c>
      <c r="K12101" s="196"/>
      <c r="L12101" s="196">
        <v>3010</v>
      </c>
    </row>
    <row r="12102" spans="1:15" x14ac:dyDescent="0.2">
      <c r="A12102" s="197">
        <v>2025</v>
      </c>
      <c r="B12102" s="197">
        <v>12</v>
      </c>
      <c r="C12102" s="120">
        <v>28</v>
      </c>
      <c r="D12102" s="198">
        <f t="shared" si="1705"/>
        <v>46019</v>
      </c>
      <c r="E12102" s="209">
        <f t="shared" si="1708"/>
        <v>46019</v>
      </c>
      <c r="F12102" s="513" t="s">
        <v>1280</v>
      </c>
      <c r="G12102" s="200" t="s">
        <v>1209</v>
      </c>
      <c r="H12102" s="201"/>
      <c r="I12102" s="201"/>
      <c r="J12102" s="197" t="s">
        <v>16</v>
      </c>
      <c r="K12102" s="202">
        <v>729290</v>
      </c>
      <c r="L12102" s="202"/>
    </row>
    <row r="12103" spans="1:15" x14ac:dyDescent="0.2">
      <c r="A12103" s="120">
        <v>2025</v>
      </c>
      <c r="B12103" s="120">
        <v>12</v>
      </c>
      <c r="C12103" s="120">
        <v>28</v>
      </c>
      <c r="D12103" s="208">
        <f t="shared" si="1705"/>
        <v>46019</v>
      </c>
      <c r="E12103" s="209">
        <f t="shared" si="1708"/>
        <v>46019</v>
      </c>
      <c r="F12103" s="515"/>
      <c r="G12103" s="132" t="s">
        <v>1209</v>
      </c>
      <c r="J12103" s="120" t="s">
        <v>47</v>
      </c>
      <c r="K12103" s="207">
        <v>270710</v>
      </c>
      <c r="L12103" s="207"/>
    </row>
    <row r="12104" spans="1:15" x14ac:dyDescent="0.2">
      <c r="A12104" s="191">
        <v>2025</v>
      </c>
      <c r="B12104" s="191">
        <v>12</v>
      </c>
      <c r="C12104" s="191">
        <v>28</v>
      </c>
      <c r="D12104" s="192">
        <f t="shared" si="1705"/>
        <v>46019</v>
      </c>
      <c r="E12104" s="193">
        <f t="shared" si="1708"/>
        <v>46019</v>
      </c>
      <c r="F12104" s="514"/>
      <c r="G12104" s="194" t="s">
        <v>1209</v>
      </c>
      <c r="H12104" s="195"/>
      <c r="I12104" s="195"/>
      <c r="J12104" s="191" t="s">
        <v>46</v>
      </c>
      <c r="K12104" s="196"/>
      <c r="L12104" s="196">
        <v>1000000</v>
      </c>
    </row>
    <row r="12105" spans="1:15" x14ac:dyDescent="0.2">
      <c r="A12105" s="197">
        <v>2025</v>
      </c>
      <c r="B12105" s="197">
        <v>12</v>
      </c>
      <c r="C12105" s="197">
        <v>28</v>
      </c>
      <c r="D12105" s="198">
        <f t="shared" si="1705"/>
        <v>46019</v>
      </c>
      <c r="E12105" s="290">
        <f t="shared" si="1708"/>
        <v>46019</v>
      </c>
      <c r="F12105" s="513" t="s">
        <v>1514</v>
      </c>
      <c r="G12105" s="200" t="s">
        <v>1209</v>
      </c>
      <c r="H12105" s="201"/>
      <c r="I12105" s="201"/>
      <c r="J12105" s="197" t="s">
        <v>54</v>
      </c>
      <c r="K12105" s="202">
        <v>100</v>
      </c>
      <c r="L12105" s="202"/>
      <c r="M12105" s="251"/>
      <c r="N12105" s="251"/>
      <c r="O12105" s="251"/>
    </row>
    <row r="12106" spans="1:15" ht="11.25" customHeight="1" x14ac:dyDescent="0.2">
      <c r="A12106" s="191">
        <v>2025</v>
      </c>
      <c r="B12106" s="191">
        <v>12</v>
      </c>
      <c r="C12106" s="191">
        <v>28</v>
      </c>
      <c r="D12106" s="192">
        <f t="shared" si="1705"/>
        <v>46019</v>
      </c>
      <c r="E12106" s="291">
        <f t="shared" si="1708"/>
        <v>46019</v>
      </c>
      <c r="F12106" s="514"/>
      <c r="G12106" s="194" t="s">
        <v>1209</v>
      </c>
      <c r="H12106" s="195"/>
      <c r="I12106" s="195"/>
      <c r="J12106" s="191" t="s">
        <v>46</v>
      </c>
      <c r="K12106" s="196"/>
      <c r="L12106" s="196">
        <f>K12105</f>
        <v>100</v>
      </c>
      <c r="M12106" s="251"/>
    </row>
    <row r="12107" spans="1:15" x14ac:dyDescent="0.2">
      <c r="A12107" s="197">
        <v>2025</v>
      </c>
      <c r="B12107" s="197">
        <v>12</v>
      </c>
      <c r="C12107" s="120">
        <v>28</v>
      </c>
      <c r="D12107" s="198">
        <f t="shared" si="1705"/>
        <v>46019</v>
      </c>
      <c r="E12107" s="209">
        <f t="shared" ref="E12107:E12124" si="1709">DATE(A12107,B12107,C12107)</f>
        <v>46019</v>
      </c>
      <c r="F12107" s="513" t="s">
        <v>1296</v>
      </c>
      <c r="G12107" s="200" t="s">
        <v>1209</v>
      </c>
      <c r="H12107" s="201"/>
      <c r="I12107" s="201"/>
      <c r="J12107" s="197" t="s">
        <v>46</v>
      </c>
      <c r="K12107" s="202">
        <v>426640</v>
      </c>
      <c r="L12107" s="202"/>
    </row>
    <row r="12108" spans="1:15" x14ac:dyDescent="0.2">
      <c r="A12108" s="120">
        <v>2025</v>
      </c>
      <c r="B12108" s="120">
        <v>12</v>
      </c>
      <c r="C12108" s="120">
        <v>28</v>
      </c>
      <c r="D12108" s="208">
        <f t="shared" si="1705"/>
        <v>46019</v>
      </c>
      <c r="E12108" s="209">
        <f t="shared" si="1709"/>
        <v>46019</v>
      </c>
      <c r="F12108" s="515"/>
      <c r="G12108" s="132" t="s">
        <v>1209</v>
      </c>
      <c r="J12108" s="120" t="s">
        <v>16</v>
      </c>
      <c r="K12108" s="207"/>
      <c r="L12108" s="207">
        <v>309870</v>
      </c>
    </row>
    <row r="12109" spans="1:15" x14ac:dyDescent="0.2">
      <c r="A12109" s="191">
        <v>2025</v>
      </c>
      <c r="B12109" s="191">
        <v>12</v>
      </c>
      <c r="C12109" s="191">
        <v>28</v>
      </c>
      <c r="D12109" s="192">
        <f t="shared" si="1705"/>
        <v>46019</v>
      </c>
      <c r="E12109" s="193">
        <f t="shared" si="1709"/>
        <v>46019</v>
      </c>
      <c r="F12109" s="514"/>
      <c r="G12109" s="194" t="s">
        <v>1209</v>
      </c>
      <c r="H12109" s="195"/>
      <c r="I12109" s="195"/>
      <c r="J12109" s="191" t="s">
        <v>47</v>
      </c>
      <c r="K12109" s="196"/>
      <c r="L12109" s="196">
        <v>116770</v>
      </c>
    </row>
    <row r="12110" spans="1:15" ht="11.25" customHeight="1" x14ac:dyDescent="0.2">
      <c r="A12110" s="197">
        <v>2025</v>
      </c>
      <c r="B12110" s="197">
        <v>12</v>
      </c>
      <c r="C12110" s="197">
        <v>28</v>
      </c>
      <c r="D12110" s="198">
        <f t="shared" si="1705"/>
        <v>46019</v>
      </c>
      <c r="E12110" s="199">
        <f t="shared" si="1709"/>
        <v>46019</v>
      </c>
      <c r="F12110" s="513" t="s">
        <v>2123</v>
      </c>
      <c r="G12110" s="200" t="s">
        <v>1245</v>
      </c>
      <c r="H12110" s="201"/>
      <c r="I12110" s="201"/>
      <c r="J12110" s="197" t="s">
        <v>1837</v>
      </c>
      <c r="K12110" s="202">
        <v>887366.31</v>
      </c>
      <c r="L12110" s="202"/>
      <c r="M12110" s="251"/>
    </row>
    <row r="12111" spans="1:15" ht="11.25" customHeight="1" x14ac:dyDescent="0.2">
      <c r="A12111" s="120">
        <v>2025</v>
      </c>
      <c r="B12111" s="120">
        <v>12</v>
      </c>
      <c r="C12111" s="120">
        <v>28</v>
      </c>
      <c r="D12111" s="208">
        <f t="shared" si="1705"/>
        <v>46019</v>
      </c>
      <c r="E12111" s="209">
        <f t="shared" si="1709"/>
        <v>46019</v>
      </c>
      <c r="F12111" s="515"/>
      <c r="G12111" s="132" t="s">
        <v>1245</v>
      </c>
      <c r="J12111" s="120" t="s">
        <v>1250</v>
      </c>
      <c r="K12111" s="207">
        <v>878.71</v>
      </c>
      <c r="L12111" s="207"/>
      <c r="M12111" s="130"/>
    </row>
    <row r="12112" spans="1:15" ht="11.25" customHeight="1" x14ac:dyDescent="0.2">
      <c r="A12112" s="191">
        <v>2025</v>
      </c>
      <c r="B12112" s="191">
        <v>12</v>
      </c>
      <c r="C12112" s="191">
        <v>28</v>
      </c>
      <c r="D12112" s="192">
        <f t="shared" si="1705"/>
        <v>46019</v>
      </c>
      <c r="E12112" s="193">
        <f t="shared" si="1709"/>
        <v>46019</v>
      </c>
      <c r="F12112" s="514"/>
      <c r="G12112" s="194" t="s">
        <v>1245</v>
      </c>
      <c r="H12112" s="195"/>
      <c r="I12112" s="195"/>
      <c r="J12112" s="191" t="s">
        <v>1251</v>
      </c>
      <c r="K12112" s="196"/>
      <c r="L12112" s="196">
        <v>888245.02</v>
      </c>
    </row>
    <row r="12113" spans="1:13" x14ac:dyDescent="0.2">
      <c r="A12113" s="424">
        <v>2025</v>
      </c>
      <c r="B12113" s="424">
        <v>12</v>
      </c>
      <c r="C12113" s="424">
        <v>28</v>
      </c>
      <c r="D12113" s="425">
        <f t="shared" si="1705"/>
        <v>46019</v>
      </c>
      <c r="E12113" s="384">
        <f t="shared" si="1709"/>
        <v>46019</v>
      </c>
      <c r="F12113" s="516" t="s">
        <v>1850</v>
      </c>
      <c r="G12113" s="426" t="s">
        <v>1209</v>
      </c>
      <c r="H12113" s="427"/>
      <c r="I12113" s="427"/>
      <c r="J12113" s="428" t="s">
        <v>81</v>
      </c>
      <c r="K12113" s="429">
        <v>6383.269450549451</v>
      </c>
      <c r="L12113" s="429"/>
      <c r="M12113" s="455"/>
    </row>
    <row r="12114" spans="1:13" x14ac:dyDescent="0.2">
      <c r="A12114" s="389">
        <v>2025</v>
      </c>
      <c r="B12114" s="389">
        <v>12</v>
      </c>
      <c r="C12114" s="389">
        <v>28</v>
      </c>
      <c r="D12114" s="390">
        <f t="shared" si="1705"/>
        <v>46019</v>
      </c>
      <c r="E12114" s="391">
        <f t="shared" si="1709"/>
        <v>46019</v>
      </c>
      <c r="F12114" s="517"/>
      <c r="G12114" s="392" t="s">
        <v>1209</v>
      </c>
      <c r="H12114" s="393"/>
      <c r="I12114" s="393"/>
      <c r="J12114" s="394" t="s">
        <v>1847</v>
      </c>
      <c r="K12114" s="423"/>
      <c r="L12114" s="423">
        <f>K12113</f>
        <v>6383.269450549451</v>
      </c>
    </row>
    <row r="12115" spans="1:13" ht="11.25" customHeight="1" x14ac:dyDescent="0.2">
      <c r="A12115" s="382">
        <v>2025</v>
      </c>
      <c r="B12115" s="382">
        <v>12</v>
      </c>
      <c r="C12115" s="382">
        <v>28</v>
      </c>
      <c r="D12115" s="383">
        <f t="shared" si="1705"/>
        <v>46019</v>
      </c>
      <c r="E12115" s="384">
        <f t="shared" si="1709"/>
        <v>46019</v>
      </c>
      <c r="F12115" s="516" t="s">
        <v>1892</v>
      </c>
      <c r="G12115" s="385" t="s">
        <v>1209</v>
      </c>
      <c r="H12115" s="386"/>
      <c r="I12115" s="386"/>
      <c r="J12115" s="387" t="s">
        <v>173</v>
      </c>
      <c r="K12115" s="388">
        <v>2519.9186340000001</v>
      </c>
      <c r="L12115" s="388"/>
      <c r="M12115" s="455"/>
    </row>
    <row r="12116" spans="1:13" ht="11.25" customHeight="1" x14ac:dyDescent="0.2">
      <c r="A12116" s="389">
        <v>2025</v>
      </c>
      <c r="B12116" s="389">
        <v>12</v>
      </c>
      <c r="C12116" s="389">
        <v>28</v>
      </c>
      <c r="D12116" s="390">
        <f t="shared" si="1705"/>
        <v>46019</v>
      </c>
      <c r="E12116" s="391">
        <f t="shared" si="1709"/>
        <v>46019</v>
      </c>
      <c r="F12116" s="517"/>
      <c r="G12116" s="392" t="s">
        <v>1209</v>
      </c>
      <c r="H12116" s="393"/>
      <c r="I12116" s="393"/>
      <c r="J12116" s="394" t="s">
        <v>43</v>
      </c>
      <c r="K12116" s="388"/>
      <c r="L12116" s="423">
        <f>K12115</f>
        <v>2519.9186340000001</v>
      </c>
    </row>
    <row r="12117" spans="1:13" ht="11.25" customHeight="1" x14ac:dyDescent="0.2">
      <c r="A12117" s="344">
        <v>2025</v>
      </c>
      <c r="B12117" s="344">
        <v>12</v>
      </c>
      <c r="C12117" s="344">
        <v>28</v>
      </c>
      <c r="D12117" s="345">
        <f t="shared" si="1705"/>
        <v>46019</v>
      </c>
      <c r="E12117" s="346">
        <f t="shared" si="1709"/>
        <v>46019</v>
      </c>
      <c r="F12117" s="518" t="s">
        <v>1982</v>
      </c>
      <c r="G12117" s="347" t="s">
        <v>1245</v>
      </c>
      <c r="H12117" s="348"/>
      <c r="I12117" s="348" t="s">
        <v>1253</v>
      </c>
      <c r="J12117" s="344" t="s">
        <v>1978</v>
      </c>
      <c r="K12117" s="349">
        <v>84998.9010989011</v>
      </c>
      <c r="L12117" s="349"/>
      <c r="M12117" s="455"/>
    </row>
    <row r="12118" spans="1:13" ht="11.25" customHeight="1" x14ac:dyDescent="0.2">
      <c r="A12118" s="350">
        <v>2025</v>
      </c>
      <c r="B12118" s="350">
        <v>12</v>
      </c>
      <c r="C12118" s="350">
        <v>28</v>
      </c>
      <c r="D12118" s="351">
        <f t="shared" si="1705"/>
        <v>46019</v>
      </c>
      <c r="E12118" s="352">
        <f t="shared" si="1709"/>
        <v>46019</v>
      </c>
      <c r="F12118" s="519"/>
      <c r="G12118" s="353" t="s">
        <v>1245</v>
      </c>
      <c r="H12118" s="354"/>
      <c r="I12118" s="354" t="s">
        <v>1253</v>
      </c>
      <c r="J12118" s="350" t="s">
        <v>1979</v>
      </c>
      <c r="K12118" s="355"/>
      <c r="L12118" s="355">
        <f>K12117</f>
        <v>84998.9010989011</v>
      </c>
    </row>
    <row r="12119" spans="1:13" ht="11.25" customHeight="1" x14ac:dyDescent="0.2">
      <c r="A12119" s="344">
        <v>2025</v>
      </c>
      <c r="B12119" s="344">
        <v>12</v>
      </c>
      <c r="C12119" s="344">
        <v>28</v>
      </c>
      <c r="D12119" s="345">
        <f t="shared" si="1705"/>
        <v>46019</v>
      </c>
      <c r="E12119" s="346">
        <f t="shared" si="1709"/>
        <v>46019</v>
      </c>
      <c r="F12119" s="518" t="s">
        <v>2009</v>
      </c>
      <c r="G12119" s="347" t="s">
        <v>1245</v>
      </c>
      <c r="H12119" s="348"/>
      <c r="I12119" s="348" t="s">
        <v>1253</v>
      </c>
      <c r="J12119" s="344" t="s">
        <v>2004</v>
      </c>
      <c r="K12119" s="349">
        <v>28395.605714285713</v>
      </c>
      <c r="L12119" s="349"/>
      <c r="M12119" s="455"/>
    </row>
    <row r="12120" spans="1:13" ht="11.25" customHeight="1" x14ac:dyDescent="0.2">
      <c r="A12120" s="350">
        <v>2025</v>
      </c>
      <c r="B12120" s="350">
        <v>12</v>
      </c>
      <c r="C12120" s="350">
        <v>28</v>
      </c>
      <c r="D12120" s="351">
        <f t="shared" si="1705"/>
        <v>46019</v>
      </c>
      <c r="E12120" s="352">
        <f t="shared" si="1709"/>
        <v>46019</v>
      </c>
      <c r="F12120" s="519"/>
      <c r="G12120" s="353" t="s">
        <v>1245</v>
      </c>
      <c r="H12120" s="354"/>
      <c r="I12120" s="354" t="s">
        <v>1253</v>
      </c>
      <c r="J12120" s="350" t="s">
        <v>2008</v>
      </c>
      <c r="K12120" s="355"/>
      <c r="L12120" s="355">
        <f t="shared" ref="L12120" si="1710">K12119</f>
        <v>28395.605714285713</v>
      </c>
    </row>
    <row r="12121" spans="1:13" ht="11.25" customHeight="1" x14ac:dyDescent="0.2">
      <c r="A12121" s="344">
        <v>2025</v>
      </c>
      <c r="B12121" s="344">
        <v>12</v>
      </c>
      <c r="C12121" s="344">
        <v>28</v>
      </c>
      <c r="D12121" s="345">
        <f t="shared" si="1705"/>
        <v>46019</v>
      </c>
      <c r="E12121" s="346">
        <f t="shared" si="1709"/>
        <v>46019</v>
      </c>
      <c r="F12121" s="518" t="s">
        <v>2009</v>
      </c>
      <c r="G12121" s="347" t="s">
        <v>1245</v>
      </c>
      <c r="H12121" s="348"/>
      <c r="I12121" s="348" t="s">
        <v>1253</v>
      </c>
      <c r="J12121" s="344" t="s">
        <v>2004</v>
      </c>
      <c r="K12121" s="349">
        <v>28395.605714285713</v>
      </c>
      <c r="L12121" s="349"/>
      <c r="M12121" s="455"/>
    </row>
    <row r="12122" spans="1:13" ht="11.25" customHeight="1" x14ac:dyDescent="0.2">
      <c r="A12122" s="350">
        <v>2025</v>
      </c>
      <c r="B12122" s="350">
        <v>12</v>
      </c>
      <c r="C12122" s="350">
        <v>28</v>
      </c>
      <c r="D12122" s="351">
        <f t="shared" si="1705"/>
        <v>46019</v>
      </c>
      <c r="E12122" s="352">
        <f t="shared" si="1709"/>
        <v>46019</v>
      </c>
      <c r="F12122" s="519"/>
      <c r="G12122" s="353" t="s">
        <v>1245</v>
      </c>
      <c r="H12122" s="354"/>
      <c r="I12122" s="354" t="s">
        <v>1253</v>
      </c>
      <c r="J12122" s="350" t="s">
        <v>2008</v>
      </c>
      <c r="K12122" s="355"/>
      <c r="L12122" s="355">
        <f t="shared" ref="L12122" si="1711">K12121</f>
        <v>28395.605714285713</v>
      </c>
    </row>
    <row r="12123" spans="1:13" ht="11.25" customHeight="1" x14ac:dyDescent="0.2">
      <c r="A12123" s="344">
        <v>2025</v>
      </c>
      <c r="B12123" s="344">
        <v>12</v>
      </c>
      <c r="C12123" s="344">
        <v>28</v>
      </c>
      <c r="D12123" s="345">
        <f t="shared" si="1705"/>
        <v>46019</v>
      </c>
      <c r="E12123" s="346">
        <f t="shared" si="1709"/>
        <v>46019</v>
      </c>
      <c r="F12123" s="518" t="s">
        <v>2088</v>
      </c>
      <c r="G12123" s="347" t="s">
        <v>1245</v>
      </c>
      <c r="H12123" s="348"/>
      <c r="I12123" s="348" t="s">
        <v>1253</v>
      </c>
      <c r="J12123" s="344" t="s">
        <v>2086</v>
      </c>
      <c r="K12123" s="349">
        <v>7159.3406593406598</v>
      </c>
      <c r="L12123" s="349"/>
      <c r="M12123" s="455"/>
    </row>
    <row r="12124" spans="1:13" ht="11.25" customHeight="1" x14ac:dyDescent="0.2">
      <c r="A12124" s="350">
        <v>2025</v>
      </c>
      <c r="B12124" s="350">
        <v>12</v>
      </c>
      <c r="C12124" s="350">
        <v>28</v>
      </c>
      <c r="D12124" s="351">
        <f t="shared" si="1705"/>
        <v>46019</v>
      </c>
      <c r="E12124" s="352">
        <f t="shared" si="1709"/>
        <v>46019</v>
      </c>
      <c r="F12124" s="519"/>
      <c r="G12124" s="353" t="s">
        <v>1245</v>
      </c>
      <c r="H12124" s="354"/>
      <c r="I12124" s="354" t="s">
        <v>1253</v>
      </c>
      <c r="J12124" s="350" t="s">
        <v>2089</v>
      </c>
      <c r="K12124" s="355"/>
      <c r="L12124" s="355">
        <f>K12123</f>
        <v>7159.3406593406598</v>
      </c>
    </row>
    <row r="12125" spans="1:13" ht="11.25" customHeight="1" x14ac:dyDescent="0.2">
      <c r="A12125" s="344">
        <v>2025</v>
      </c>
      <c r="B12125" s="344">
        <v>12</v>
      </c>
      <c r="C12125" s="344">
        <v>28</v>
      </c>
      <c r="D12125" s="345">
        <f t="shared" si="1705"/>
        <v>46019</v>
      </c>
      <c r="E12125" s="346">
        <f>DATE(A12125,B12125,C12125)</f>
        <v>46019</v>
      </c>
      <c r="F12125" s="518" t="s">
        <v>1988</v>
      </c>
      <c r="G12125" s="347" t="s">
        <v>1245</v>
      </c>
      <c r="H12125" s="348"/>
      <c r="I12125" s="348" t="s">
        <v>1253</v>
      </c>
      <c r="J12125" s="344" t="s">
        <v>113</v>
      </c>
      <c r="K12125" s="349">
        <v>18769.228571428572</v>
      </c>
      <c r="L12125" s="349"/>
      <c r="M12125" s="455"/>
    </row>
    <row r="12126" spans="1:13" ht="11.25" customHeight="1" x14ac:dyDescent="0.2">
      <c r="A12126" s="350">
        <v>2025</v>
      </c>
      <c r="B12126" s="350">
        <v>12</v>
      </c>
      <c r="C12126" s="350">
        <v>28</v>
      </c>
      <c r="D12126" s="351">
        <f t="shared" si="1705"/>
        <v>46019</v>
      </c>
      <c r="E12126" s="352">
        <f>DATE(A12126,B12126,C12126)</f>
        <v>46019</v>
      </c>
      <c r="F12126" s="519"/>
      <c r="G12126" s="353" t="s">
        <v>1245</v>
      </c>
      <c r="H12126" s="354"/>
      <c r="I12126" s="354" t="s">
        <v>1253</v>
      </c>
      <c r="J12126" s="350" t="s">
        <v>153</v>
      </c>
      <c r="K12126" s="355"/>
      <c r="L12126" s="355">
        <f t="shared" ref="L12126" si="1712">K12125</f>
        <v>18769.228571428572</v>
      </c>
    </row>
    <row r="12127" spans="1:13" ht="11.25" customHeight="1" x14ac:dyDescent="0.2">
      <c r="A12127" s="344">
        <v>2025</v>
      </c>
      <c r="B12127" s="344">
        <v>12</v>
      </c>
      <c r="C12127" s="344">
        <v>28</v>
      </c>
      <c r="D12127" s="345">
        <f t="shared" si="1705"/>
        <v>46019</v>
      </c>
      <c r="E12127" s="346">
        <f t="shared" ref="E12127:E12133" si="1713">DATE(A12127,B12127,C12127)</f>
        <v>46019</v>
      </c>
      <c r="F12127" s="518" t="s">
        <v>1989</v>
      </c>
      <c r="G12127" s="347" t="s">
        <v>1245</v>
      </c>
      <c r="H12127" s="348"/>
      <c r="I12127" s="348" t="s">
        <v>1253</v>
      </c>
      <c r="J12127" s="344" t="s">
        <v>113</v>
      </c>
      <c r="K12127" s="349">
        <v>13406.593406593407</v>
      </c>
      <c r="L12127" s="349"/>
      <c r="M12127" s="455"/>
    </row>
    <row r="12128" spans="1:13" ht="11.25" customHeight="1" x14ac:dyDescent="0.2">
      <c r="A12128" s="350">
        <v>2025</v>
      </c>
      <c r="B12128" s="350">
        <v>12</v>
      </c>
      <c r="C12128" s="350">
        <v>28</v>
      </c>
      <c r="D12128" s="351">
        <f t="shared" si="1705"/>
        <v>46019</v>
      </c>
      <c r="E12128" s="352">
        <f t="shared" si="1713"/>
        <v>46019</v>
      </c>
      <c r="F12128" s="519"/>
      <c r="G12128" s="353" t="s">
        <v>1245</v>
      </c>
      <c r="H12128" s="354"/>
      <c r="I12128" s="354" t="s">
        <v>1253</v>
      </c>
      <c r="J12128" s="350" t="s">
        <v>153</v>
      </c>
      <c r="K12128" s="355"/>
      <c r="L12128" s="355">
        <f t="shared" ref="L12128" si="1714">K12127</f>
        <v>13406.593406593407</v>
      </c>
    </row>
    <row r="12129" spans="1:16" ht="11.25" customHeight="1" x14ac:dyDescent="0.2">
      <c r="A12129" s="344">
        <v>2025</v>
      </c>
      <c r="B12129" s="344">
        <v>12</v>
      </c>
      <c r="C12129" s="344">
        <v>28</v>
      </c>
      <c r="D12129" s="345">
        <f t="shared" si="1705"/>
        <v>46019</v>
      </c>
      <c r="E12129" s="346">
        <f t="shared" si="1713"/>
        <v>46019</v>
      </c>
      <c r="F12129" s="518" t="s">
        <v>1990</v>
      </c>
      <c r="G12129" s="347" t="s">
        <v>1245</v>
      </c>
      <c r="H12129" s="348"/>
      <c r="I12129" s="348" t="s">
        <v>1253</v>
      </c>
      <c r="J12129" s="344" t="s">
        <v>113</v>
      </c>
      <c r="K12129" s="349">
        <v>40219.782857142854</v>
      </c>
      <c r="L12129" s="349"/>
      <c r="M12129" s="455"/>
      <c r="N12129" s="251"/>
      <c r="O12129" s="251"/>
      <c r="P12129" s="251"/>
    </row>
    <row r="12130" spans="1:16" ht="11.25" customHeight="1" x14ac:dyDescent="0.2">
      <c r="A12130" s="350">
        <v>2025</v>
      </c>
      <c r="B12130" s="350">
        <v>12</v>
      </c>
      <c r="C12130" s="350">
        <v>28</v>
      </c>
      <c r="D12130" s="351">
        <f t="shared" si="1705"/>
        <v>46019</v>
      </c>
      <c r="E12130" s="352">
        <f t="shared" si="1713"/>
        <v>46019</v>
      </c>
      <c r="F12130" s="519"/>
      <c r="G12130" s="353" t="s">
        <v>1245</v>
      </c>
      <c r="H12130" s="354"/>
      <c r="I12130" s="354" t="s">
        <v>1253</v>
      </c>
      <c r="J12130" s="350" t="s">
        <v>153</v>
      </c>
      <c r="K12130" s="355"/>
      <c r="L12130" s="355">
        <f t="shared" ref="L12130" si="1715">K12129</f>
        <v>40219.782857142854</v>
      </c>
    </row>
    <row r="12131" spans="1:16" ht="11.25" customHeight="1" x14ac:dyDescent="0.2">
      <c r="A12131" s="344">
        <v>2025</v>
      </c>
      <c r="B12131" s="344">
        <v>12</v>
      </c>
      <c r="C12131" s="344">
        <v>28</v>
      </c>
      <c r="D12131" s="345">
        <f t="shared" si="1705"/>
        <v>46019</v>
      </c>
      <c r="E12131" s="346">
        <f t="shared" si="1713"/>
        <v>46019</v>
      </c>
      <c r="F12131" s="518" t="s">
        <v>2107</v>
      </c>
      <c r="G12131" s="347" t="s">
        <v>1245</v>
      </c>
      <c r="H12131" s="348"/>
      <c r="I12131" s="348" t="s">
        <v>1253</v>
      </c>
      <c r="J12131" s="344" t="s">
        <v>113</v>
      </c>
      <c r="K12131" s="349">
        <v>49483.516483516483</v>
      </c>
      <c r="L12131" s="349"/>
      <c r="M12131" s="455"/>
      <c r="N12131" s="251"/>
      <c r="O12131" s="251"/>
      <c r="P12131" s="251"/>
    </row>
    <row r="12132" spans="1:16" ht="11.25" customHeight="1" x14ac:dyDescent="0.2">
      <c r="A12132" s="350">
        <v>2025</v>
      </c>
      <c r="B12132" s="350">
        <v>12</v>
      </c>
      <c r="C12132" s="350">
        <v>28</v>
      </c>
      <c r="D12132" s="351">
        <f t="shared" si="1705"/>
        <v>46019</v>
      </c>
      <c r="E12132" s="352">
        <f t="shared" si="1713"/>
        <v>46019</v>
      </c>
      <c r="F12132" s="519"/>
      <c r="G12132" s="353" t="s">
        <v>1245</v>
      </c>
      <c r="H12132" s="354"/>
      <c r="I12132" s="354" t="s">
        <v>1253</v>
      </c>
      <c r="J12132" s="350" t="s">
        <v>153</v>
      </c>
      <c r="K12132" s="355"/>
      <c r="L12132" s="355">
        <f t="shared" ref="L12132" si="1716">K12131</f>
        <v>49483.516483516483</v>
      </c>
    </row>
    <row r="12133" spans="1:16" ht="11.25" customHeight="1" x14ac:dyDescent="0.2">
      <c r="A12133" s="210">
        <v>2025</v>
      </c>
      <c r="B12133" s="210">
        <v>12</v>
      </c>
      <c r="C12133" s="210">
        <v>28</v>
      </c>
      <c r="D12133" s="211">
        <f t="shared" si="1705"/>
        <v>46019</v>
      </c>
      <c r="E12133" s="238">
        <f t="shared" si="1713"/>
        <v>46019</v>
      </c>
      <c r="F12133" s="520" t="s">
        <v>1857</v>
      </c>
      <c r="G12133" s="213" t="s">
        <v>1245</v>
      </c>
      <c r="H12133" s="214"/>
      <c r="I12133" s="214" t="s">
        <v>1253</v>
      </c>
      <c r="J12133" s="210" t="s">
        <v>1284</v>
      </c>
      <c r="K12133" s="215">
        <v>1338.1779510811768</v>
      </c>
      <c r="L12133" s="215"/>
      <c r="M12133" s="455"/>
    </row>
    <row r="12134" spans="1:16" ht="11.25" customHeight="1" x14ac:dyDescent="0.2">
      <c r="A12134" s="242">
        <v>2025</v>
      </c>
      <c r="B12134" s="242">
        <v>12</v>
      </c>
      <c r="C12134" s="242">
        <v>28</v>
      </c>
      <c r="D12134" s="243">
        <f t="shared" si="1705"/>
        <v>46019</v>
      </c>
      <c r="E12134" s="244">
        <f>DATE(A12134,B12134,C12134)</f>
        <v>46019</v>
      </c>
      <c r="F12134" s="524"/>
      <c r="G12134" s="245" t="s">
        <v>1245</v>
      </c>
      <c r="H12134" s="246"/>
      <c r="I12134" s="246"/>
      <c r="J12134" s="242" t="s">
        <v>1582</v>
      </c>
      <c r="K12134" s="247"/>
      <c r="L12134" s="247">
        <f>K12133</f>
        <v>1338.1779510811768</v>
      </c>
    </row>
    <row r="12135" spans="1:16" ht="11.25" customHeight="1" x14ac:dyDescent="0.2">
      <c r="A12135" s="210">
        <v>2025</v>
      </c>
      <c r="B12135" s="210">
        <v>12</v>
      </c>
      <c r="C12135" s="210">
        <v>28</v>
      </c>
      <c r="D12135" s="211">
        <f t="shared" si="1705"/>
        <v>46019</v>
      </c>
      <c r="E12135" s="238">
        <f t="shared" ref="E12135:E12161" si="1717">DATE(A12135,B12135,C12135)</f>
        <v>46019</v>
      </c>
      <c r="F12135" s="520" t="s">
        <v>2055</v>
      </c>
      <c r="G12135" s="213" t="s">
        <v>1245</v>
      </c>
      <c r="H12135" s="214"/>
      <c r="I12135" s="214" t="s">
        <v>1253</v>
      </c>
      <c r="J12135" s="210" t="s">
        <v>58</v>
      </c>
      <c r="K12135" s="215">
        <v>1131.83</v>
      </c>
      <c r="L12135" s="215"/>
    </row>
    <row r="12136" spans="1:16" ht="11.25" customHeight="1" x14ac:dyDescent="0.2">
      <c r="A12136" s="216">
        <v>2025</v>
      </c>
      <c r="B12136" s="216">
        <v>12</v>
      </c>
      <c r="C12136" s="216">
        <v>28</v>
      </c>
      <c r="D12136" s="217">
        <f t="shared" si="1705"/>
        <v>46019</v>
      </c>
      <c r="E12136" s="239">
        <f t="shared" si="1717"/>
        <v>46019</v>
      </c>
      <c r="F12136" s="521"/>
      <c r="G12136" s="219" t="s">
        <v>1245</v>
      </c>
      <c r="H12136" s="220"/>
      <c r="I12136" s="220" t="s">
        <v>1253</v>
      </c>
      <c r="J12136" s="216" t="s">
        <v>153</v>
      </c>
      <c r="K12136" s="221"/>
      <c r="L12136" s="221">
        <f>K12135</f>
        <v>1131.83</v>
      </c>
    </row>
    <row r="12137" spans="1:16" ht="11.25" customHeight="1" x14ac:dyDescent="0.2">
      <c r="A12137" s="312">
        <v>2025</v>
      </c>
      <c r="B12137" s="312">
        <v>12</v>
      </c>
      <c r="C12137" s="312">
        <v>28</v>
      </c>
      <c r="D12137" s="313">
        <f t="shared" si="1705"/>
        <v>46019</v>
      </c>
      <c r="E12137" s="314">
        <f t="shared" si="1717"/>
        <v>46019</v>
      </c>
      <c r="F12137" s="522" t="s">
        <v>1595</v>
      </c>
      <c r="G12137" s="315" t="s">
        <v>1245</v>
      </c>
      <c r="H12137" s="316"/>
      <c r="I12137" s="316" t="s">
        <v>1253</v>
      </c>
      <c r="J12137" s="312" t="s">
        <v>1459</v>
      </c>
      <c r="K12137" s="317">
        <v>723412.40000009537</v>
      </c>
      <c r="L12137" s="317"/>
      <c r="M12137" s="328">
        <f>BS!$I$14</f>
        <v>0</v>
      </c>
    </row>
    <row r="12138" spans="1:16" ht="11.25" customHeight="1" x14ac:dyDescent="0.2">
      <c r="A12138" s="318">
        <v>2025</v>
      </c>
      <c r="B12138" s="318">
        <v>12</v>
      </c>
      <c r="C12138" s="318">
        <v>28</v>
      </c>
      <c r="D12138" s="319">
        <f t="shared" si="1705"/>
        <v>46019</v>
      </c>
      <c r="E12138" s="320">
        <f t="shared" si="1717"/>
        <v>46019</v>
      </c>
      <c r="F12138" s="523"/>
      <c r="G12138" s="321" t="s">
        <v>1245</v>
      </c>
      <c r="H12138" s="322"/>
      <c r="I12138" s="322" t="s">
        <v>1253</v>
      </c>
      <c r="J12138" s="318" t="s">
        <v>1461</v>
      </c>
      <c r="K12138" s="323"/>
      <c r="L12138" s="323">
        <f>K12137</f>
        <v>723412.40000009537</v>
      </c>
      <c r="M12138" s="328"/>
    </row>
    <row r="12139" spans="1:16" ht="11.25" customHeight="1" x14ac:dyDescent="0.2">
      <c r="A12139" s="222">
        <v>2025</v>
      </c>
      <c r="B12139" s="222">
        <v>12</v>
      </c>
      <c r="C12139" s="222">
        <v>28</v>
      </c>
      <c r="D12139" s="223">
        <f t="shared" si="1705"/>
        <v>46019</v>
      </c>
      <c r="E12139" s="240">
        <f t="shared" si="1717"/>
        <v>46019</v>
      </c>
      <c r="F12139" s="511" t="s">
        <v>1244</v>
      </c>
      <c r="G12139" s="225" t="s">
        <v>1245</v>
      </c>
      <c r="H12139" s="226"/>
      <c r="I12139" s="226" t="s">
        <v>1253</v>
      </c>
      <c r="J12139" s="222" t="s">
        <v>72</v>
      </c>
      <c r="K12139" s="227">
        <v>21.5</v>
      </c>
      <c r="L12139" s="227"/>
      <c r="M12139" s="328">
        <f>BS!$I$7</f>
        <v>0</v>
      </c>
    </row>
    <row r="12140" spans="1:16" ht="11.25" customHeight="1" x14ac:dyDescent="0.2">
      <c r="A12140" s="228">
        <v>2025</v>
      </c>
      <c r="B12140" s="228">
        <v>12</v>
      </c>
      <c r="C12140" s="228">
        <v>28</v>
      </c>
      <c r="D12140" s="229">
        <f t="shared" si="1705"/>
        <v>46019</v>
      </c>
      <c r="E12140" s="241">
        <f t="shared" si="1717"/>
        <v>46019</v>
      </c>
      <c r="F12140" s="512"/>
      <c r="G12140" s="231" t="s">
        <v>1245</v>
      </c>
      <c r="H12140" s="232"/>
      <c r="I12140" s="232" t="s">
        <v>1253</v>
      </c>
      <c r="J12140" s="228" t="s">
        <v>87</v>
      </c>
      <c r="K12140" s="233"/>
      <c r="L12140" s="233">
        <f>K12139</f>
        <v>21.5</v>
      </c>
    </row>
    <row r="12141" spans="1:16" ht="11.25" customHeight="1" x14ac:dyDescent="0.2">
      <c r="A12141" s="222">
        <v>2025</v>
      </c>
      <c r="B12141" s="222">
        <v>12</v>
      </c>
      <c r="C12141" s="222">
        <v>28</v>
      </c>
      <c r="D12141" s="223">
        <f t="shared" si="1705"/>
        <v>46019</v>
      </c>
      <c r="E12141" s="240">
        <f t="shared" si="1717"/>
        <v>46019</v>
      </c>
      <c r="F12141" s="511" t="s">
        <v>1246</v>
      </c>
      <c r="G12141" s="225" t="s">
        <v>1245</v>
      </c>
      <c r="H12141" s="226"/>
      <c r="I12141" s="226" t="s">
        <v>1253</v>
      </c>
      <c r="J12141" s="222" t="s">
        <v>75</v>
      </c>
      <c r="K12141" s="227">
        <v>2070.3564835164834</v>
      </c>
      <c r="L12141" s="227"/>
      <c r="M12141" s="455"/>
    </row>
    <row r="12142" spans="1:16" ht="11.25" customHeight="1" x14ac:dyDescent="0.2">
      <c r="A12142" s="228">
        <v>2025</v>
      </c>
      <c r="B12142" s="228">
        <v>12</v>
      </c>
      <c r="C12142" s="228">
        <v>28</v>
      </c>
      <c r="D12142" s="229">
        <f t="shared" si="1705"/>
        <v>46019</v>
      </c>
      <c r="E12142" s="241">
        <f t="shared" si="1717"/>
        <v>46019</v>
      </c>
      <c r="F12142" s="512"/>
      <c r="G12142" s="231" t="s">
        <v>1245</v>
      </c>
      <c r="H12142" s="232"/>
      <c r="I12142" s="232" t="s">
        <v>1253</v>
      </c>
      <c r="J12142" s="228" t="s">
        <v>55</v>
      </c>
      <c r="K12142" s="233"/>
      <c r="L12142" s="233">
        <f>K12141</f>
        <v>2070.3564835164834</v>
      </c>
    </row>
    <row r="12143" spans="1:16" ht="11.25" customHeight="1" x14ac:dyDescent="0.2">
      <c r="A12143" s="222">
        <v>2025</v>
      </c>
      <c r="B12143" s="222">
        <v>12</v>
      </c>
      <c r="C12143" s="222">
        <v>28</v>
      </c>
      <c r="D12143" s="223">
        <f t="shared" si="1705"/>
        <v>46019</v>
      </c>
      <c r="E12143" s="240">
        <f t="shared" si="1717"/>
        <v>46019</v>
      </c>
      <c r="F12143" s="511" t="s">
        <v>1247</v>
      </c>
      <c r="G12143" s="225" t="s">
        <v>1245</v>
      </c>
      <c r="H12143" s="226"/>
      <c r="I12143" s="226" t="s">
        <v>1253</v>
      </c>
      <c r="J12143" s="222" t="s">
        <v>77</v>
      </c>
      <c r="K12143" s="227">
        <f>M12143</f>
        <v>29427.382917133422</v>
      </c>
      <c r="L12143" s="227"/>
      <c r="M12143" s="478">
        <v>29427.382917133422</v>
      </c>
    </row>
    <row r="12144" spans="1:16" ht="11.25" customHeight="1" x14ac:dyDescent="0.2">
      <c r="A12144" s="228">
        <v>2025</v>
      </c>
      <c r="B12144" s="228">
        <v>12</v>
      </c>
      <c r="C12144" s="228">
        <v>28</v>
      </c>
      <c r="D12144" s="229">
        <f t="shared" ref="D12144:D12225" si="1718">DATE(A12144,B12144,C12144)</f>
        <v>46019</v>
      </c>
      <c r="E12144" s="241">
        <f t="shared" si="1717"/>
        <v>46019</v>
      </c>
      <c r="F12144" s="512"/>
      <c r="G12144" s="231" t="s">
        <v>1245</v>
      </c>
      <c r="H12144" s="232"/>
      <c r="I12144" s="232" t="s">
        <v>1253</v>
      </c>
      <c r="J12144" s="228" t="s">
        <v>41</v>
      </c>
      <c r="K12144" s="233"/>
      <c r="L12144" s="233">
        <f>K12143</f>
        <v>29427.382917133422</v>
      </c>
      <c r="M12144" s="478">
        <v>2942.7382917133423</v>
      </c>
      <c r="N12144" s="251"/>
    </row>
    <row r="12145" spans="1:15" ht="11.25" customHeight="1" x14ac:dyDescent="0.2">
      <c r="A12145" s="222">
        <v>2025</v>
      </c>
      <c r="B12145" s="222">
        <v>12</v>
      </c>
      <c r="C12145" s="222">
        <v>28</v>
      </c>
      <c r="D12145" s="223">
        <f t="shared" si="1718"/>
        <v>46019</v>
      </c>
      <c r="E12145" s="240">
        <f t="shared" si="1717"/>
        <v>46019</v>
      </c>
      <c r="F12145" s="511" t="s">
        <v>1248</v>
      </c>
      <c r="G12145" s="225" t="s">
        <v>1245</v>
      </c>
      <c r="H12145" s="226"/>
      <c r="I12145" s="226" t="s">
        <v>1253</v>
      </c>
      <c r="J12145" s="222" t="s">
        <v>80</v>
      </c>
      <c r="K12145" s="227">
        <f>M12144</f>
        <v>2942.7382917133423</v>
      </c>
      <c r="L12145" s="227"/>
      <c r="N12145" s="251"/>
      <c r="O12145" s="251"/>
    </row>
    <row r="12146" spans="1:15" ht="11.25" customHeight="1" x14ac:dyDescent="0.2">
      <c r="A12146" s="228">
        <v>2025</v>
      </c>
      <c r="B12146" s="228">
        <v>12</v>
      </c>
      <c r="C12146" s="228">
        <v>28</v>
      </c>
      <c r="D12146" s="229">
        <f t="shared" si="1718"/>
        <v>46019</v>
      </c>
      <c r="E12146" s="241">
        <f t="shared" si="1717"/>
        <v>46019</v>
      </c>
      <c r="F12146" s="512"/>
      <c r="G12146" s="231" t="s">
        <v>1245</v>
      </c>
      <c r="H12146" s="232"/>
      <c r="I12146" s="232" t="s">
        <v>1253</v>
      </c>
      <c r="J12146" s="228" t="s">
        <v>42</v>
      </c>
      <c r="K12146" s="233"/>
      <c r="L12146" s="233">
        <f>K12145</f>
        <v>2942.7382917133423</v>
      </c>
      <c r="N12146" s="251"/>
    </row>
    <row r="12147" spans="1:15" ht="11.25" customHeight="1" x14ac:dyDescent="0.2">
      <c r="A12147" s="197">
        <v>2025</v>
      </c>
      <c r="B12147" s="197">
        <v>12</v>
      </c>
      <c r="C12147" s="197">
        <v>29</v>
      </c>
      <c r="D12147" s="198">
        <f t="shared" si="1718"/>
        <v>46020</v>
      </c>
      <c r="E12147" s="290">
        <f t="shared" si="1717"/>
        <v>46020</v>
      </c>
      <c r="F12147" s="513" t="s">
        <v>2124</v>
      </c>
      <c r="G12147" s="200" t="s">
        <v>1209</v>
      </c>
      <c r="H12147" s="201"/>
      <c r="I12147" s="201" t="s">
        <v>1253</v>
      </c>
      <c r="J12147" s="197" t="s">
        <v>46</v>
      </c>
      <c r="K12147" s="202">
        <v>1118750</v>
      </c>
      <c r="L12147" s="202"/>
    </row>
    <row r="12148" spans="1:15" ht="11.25" customHeight="1" x14ac:dyDescent="0.2">
      <c r="A12148" s="191">
        <v>2025</v>
      </c>
      <c r="B12148" s="191">
        <v>12</v>
      </c>
      <c r="C12148" s="191">
        <v>29</v>
      </c>
      <c r="D12148" s="192">
        <f t="shared" si="1718"/>
        <v>46020</v>
      </c>
      <c r="E12148" s="291">
        <f t="shared" si="1717"/>
        <v>46020</v>
      </c>
      <c r="F12148" s="514"/>
      <c r="G12148" s="194" t="s">
        <v>1209</v>
      </c>
      <c r="H12148" s="195"/>
      <c r="I12148" s="195"/>
      <c r="J12148" s="191" t="s">
        <v>1845</v>
      </c>
      <c r="K12148" s="196"/>
      <c r="L12148" s="196">
        <f>K12147</f>
        <v>1118750</v>
      </c>
    </row>
    <row r="12149" spans="1:15" ht="11.25" customHeight="1" x14ac:dyDescent="0.2">
      <c r="A12149" s="197">
        <v>2025</v>
      </c>
      <c r="B12149" s="197">
        <v>12</v>
      </c>
      <c r="C12149" s="197">
        <v>29</v>
      </c>
      <c r="D12149" s="198">
        <f t="shared" si="1718"/>
        <v>46020</v>
      </c>
      <c r="E12149" s="290">
        <f t="shared" ref="E12149:E12150" si="1719">DATE(A12149,B12149,C12149)</f>
        <v>46020</v>
      </c>
      <c r="F12149" s="513" t="s">
        <v>2126</v>
      </c>
      <c r="G12149" s="200" t="s">
        <v>1209</v>
      </c>
      <c r="H12149" s="201"/>
      <c r="I12149" s="201" t="s">
        <v>1253</v>
      </c>
      <c r="J12149" s="197" t="s">
        <v>46</v>
      </c>
      <c r="K12149" s="202">
        <v>991800</v>
      </c>
      <c r="L12149" s="202"/>
    </row>
    <row r="12150" spans="1:15" ht="11.25" customHeight="1" x14ac:dyDescent="0.2">
      <c r="A12150" s="191">
        <v>2025</v>
      </c>
      <c r="B12150" s="191">
        <v>12</v>
      </c>
      <c r="C12150" s="191">
        <v>29</v>
      </c>
      <c r="D12150" s="192">
        <f t="shared" si="1718"/>
        <v>46020</v>
      </c>
      <c r="E12150" s="291">
        <f t="shared" si="1719"/>
        <v>46020</v>
      </c>
      <c r="F12150" s="514"/>
      <c r="G12150" s="194" t="s">
        <v>1209</v>
      </c>
      <c r="H12150" s="195"/>
      <c r="I12150" s="195"/>
      <c r="J12150" s="191" t="s">
        <v>1845</v>
      </c>
      <c r="K12150" s="196"/>
      <c r="L12150" s="196">
        <f>K12149</f>
        <v>991800</v>
      </c>
    </row>
    <row r="12151" spans="1:15" x14ac:dyDescent="0.2">
      <c r="A12151" s="197">
        <v>2025</v>
      </c>
      <c r="B12151" s="197">
        <v>12</v>
      </c>
      <c r="C12151" s="120">
        <v>29</v>
      </c>
      <c r="D12151" s="198">
        <f t="shared" si="1718"/>
        <v>46020</v>
      </c>
      <c r="E12151" s="209">
        <f t="shared" si="1717"/>
        <v>46020</v>
      </c>
      <c r="F12151" s="513" t="s">
        <v>1423</v>
      </c>
      <c r="G12151" s="200" t="s">
        <v>1209</v>
      </c>
      <c r="H12151" s="201"/>
      <c r="I12151" s="201"/>
      <c r="J12151" s="197" t="s">
        <v>16</v>
      </c>
      <c r="K12151" s="202">
        <v>7990</v>
      </c>
      <c r="L12151" s="202"/>
    </row>
    <row r="12152" spans="1:15" x14ac:dyDescent="0.2">
      <c r="A12152" s="120">
        <v>2025</v>
      </c>
      <c r="B12152" s="120">
        <v>12</v>
      </c>
      <c r="C12152" s="120">
        <v>29</v>
      </c>
      <c r="D12152" s="208">
        <f t="shared" si="1718"/>
        <v>46020</v>
      </c>
      <c r="E12152" s="209">
        <f t="shared" si="1717"/>
        <v>46020</v>
      </c>
      <c r="F12152" s="515"/>
      <c r="G12152" s="132" t="s">
        <v>1209</v>
      </c>
      <c r="J12152" s="120" t="s">
        <v>47</v>
      </c>
      <c r="K12152" s="207">
        <v>3010</v>
      </c>
      <c r="L12152" s="207"/>
    </row>
    <row r="12153" spans="1:15" x14ac:dyDescent="0.2">
      <c r="A12153" s="191">
        <v>2025</v>
      </c>
      <c r="B12153" s="191">
        <v>12</v>
      </c>
      <c r="C12153" s="191">
        <v>29</v>
      </c>
      <c r="D12153" s="192">
        <f t="shared" si="1718"/>
        <v>46020</v>
      </c>
      <c r="E12153" s="193">
        <f t="shared" si="1717"/>
        <v>46020</v>
      </c>
      <c r="F12153" s="514"/>
      <c r="G12153" s="194" t="s">
        <v>1209</v>
      </c>
      <c r="H12153" s="195"/>
      <c r="I12153" s="195"/>
      <c r="J12153" s="191" t="s">
        <v>46</v>
      </c>
      <c r="K12153" s="196"/>
      <c r="L12153" s="196">
        <v>11000</v>
      </c>
    </row>
    <row r="12154" spans="1:15" x14ac:dyDescent="0.2">
      <c r="A12154" s="197">
        <v>2025</v>
      </c>
      <c r="B12154" s="197">
        <v>12</v>
      </c>
      <c r="C12154" s="120">
        <v>29</v>
      </c>
      <c r="D12154" s="198">
        <f t="shared" si="1718"/>
        <v>46020</v>
      </c>
      <c r="E12154" s="209">
        <f t="shared" ref="E12154:E12156" si="1720">DATE(A12154,B12154,C12154)</f>
        <v>46020</v>
      </c>
      <c r="F12154" s="513" t="s">
        <v>2113</v>
      </c>
      <c r="G12154" s="200" t="s">
        <v>1209</v>
      </c>
      <c r="H12154" s="201"/>
      <c r="I12154" s="201"/>
      <c r="J12154" s="197" t="s">
        <v>46</v>
      </c>
      <c r="K12154" s="202">
        <v>50000</v>
      </c>
      <c r="L12154" s="202"/>
    </row>
    <row r="12155" spans="1:15" x14ac:dyDescent="0.2">
      <c r="A12155" s="120">
        <v>2025</v>
      </c>
      <c r="B12155" s="120">
        <v>12</v>
      </c>
      <c r="C12155" s="120">
        <v>29</v>
      </c>
      <c r="D12155" s="208">
        <f t="shared" si="1718"/>
        <v>46020</v>
      </c>
      <c r="E12155" s="209">
        <f t="shared" si="1720"/>
        <v>46020</v>
      </c>
      <c r="F12155" s="515"/>
      <c r="G12155" s="132" t="s">
        <v>1209</v>
      </c>
      <c r="J12155" s="120" t="s">
        <v>16</v>
      </c>
      <c r="K12155" s="207"/>
      <c r="L12155" s="207">
        <v>36320</v>
      </c>
    </row>
    <row r="12156" spans="1:15" x14ac:dyDescent="0.2">
      <c r="A12156" s="191">
        <v>2025</v>
      </c>
      <c r="B12156" s="191">
        <v>12</v>
      </c>
      <c r="C12156" s="191">
        <v>29</v>
      </c>
      <c r="D12156" s="192">
        <f t="shared" si="1718"/>
        <v>46020</v>
      </c>
      <c r="E12156" s="193">
        <f t="shared" si="1720"/>
        <v>46020</v>
      </c>
      <c r="F12156" s="514"/>
      <c r="G12156" s="194" t="s">
        <v>1209</v>
      </c>
      <c r="H12156" s="195"/>
      <c r="I12156" s="195"/>
      <c r="J12156" s="191" t="s">
        <v>47</v>
      </c>
      <c r="K12156" s="196"/>
      <c r="L12156" s="196">
        <v>13680</v>
      </c>
    </row>
    <row r="12157" spans="1:15" ht="11.25" customHeight="1" x14ac:dyDescent="0.2">
      <c r="A12157" s="197">
        <v>2025</v>
      </c>
      <c r="B12157" s="197">
        <v>12</v>
      </c>
      <c r="C12157" s="197">
        <v>29</v>
      </c>
      <c r="D12157" s="198">
        <f t="shared" si="1718"/>
        <v>46020</v>
      </c>
      <c r="E12157" s="290">
        <f>DATE(A12157,B12157,C12157)</f>
        <v>46020</v>
      </c>
      <c r="F12157" s="513" t="s">
        <v>1563</v>
      </c>
      <c r="G12157" s="200" t="s">
        <v>1209</v>
      </c>
      <c r="H12157" s="201"/>
      <c r="I12157" s="201"/>
      <c r="J12157" s="197" t="s">
        <v>54</v>
      </c>
      <c r="K12157" s="202">
        <v>805</v>
      </c>
      <c r="L12157" s="202"/>
      <c r="O12157" s="251"/>
    </row>
    <row r="12158" spans="1:15" ht="11.25" customHeight="1" x14ac:dyDescent="0.2">
      <c r="A12158" s="191">
        <v>2025</v>
      </c>
      <c r="B12158" s="191">
        <v>12</v>
      </c>
      <c r="C12158" s="191">
        <v>29</v>
      </c>
      <c r="D12158" s="192">
        <f t="shared" si="1718"/>
        <v>46020</v>
      </c>
      <c r="E12158" s="291">
        <f>DATE(A12158,B12158,C12158)</f>
        <v>46020</v>
      </c>
      <c r="F12158" s="514"/>
      <c r="G12158" s="194" t="s">
        <v>1209</v>
      </c>
      <c r="H12158" s="195"/>
      <c r="I12158" s="195"/>
      <c r="J12158" s="191" t="s">
        <v>46</v>
      </c>
      <c r="K12158" s="196"/>
      <c r="L12158" s="196">
        <f>K12157</f>
        <v>805</v>
      </c>
      <c r="O12158" s="251"/>
    </row>
    <row r="12159" spans="1:15" x14ac:dyDescent="0.2">
      <c r="A12159" s="197">
        <v>2025</v>
      </c>
      <c r="B12159" s="197">
        <v>12</v>
      </c>
      <c r="C12159" s="120">
        <v>30</v>
      </c>
      <c r="D12159" s="198">
        <f t="shared" si="1718"/>
        <v>46021</v>
      </c>
      <c r="E12159" s="209">
        <f t="shared" si="1717"/>
        <v>46021</v>
      </c>
      <c r="F12159" s="513" t="s">
        <v>1296</v>
      </c>
      <c r="G12159" s="200" t="s">
        <v>1209</v>
      </c>
      <c r="H12159" s="201"/>
      <c r="I12159" s="201"/>
      <c r="J12159" s="197" t="s">
        <v>46</v>
      </c>
      <c r="K12159" s="202">
        <v>5000</v>
      </c>
      <c r="L12159" s="202"/>
    </row>
    <row r="12160" spans="1:15" x14ac:dyDescent="0.2">
      <c r="A12160" s="120">
        <v>2025</v>
      </c>
      <c r="B12160" s="120">
        <v>12</v>
      </c>
      <c r="C12160" s="120">
        <v>30</v>
      </c>
      <c r="D12160" s="208">
        <f t="shared" si="1718"/>
        <v>46021</v>
      </c>
      <c r="E12160" s="209">
        <f t="shared" si="1717"/>
        <v>46021</v>
      </c>
      <c r="F12160" s="515"/>
      <c r="G12160" s="132" t="s">
        <v>1209</v>
      </c>
      <c r="J12160" s="120" t="s">
        <v>16</v>
      </c>
      <c r="K12160" s="207"/>
      <c r="L12160" s="207">
        <v>3640</v>
      </c>
    </row>
    <row r="12161" spans="1:15" x14ac:dyDescent="0.2">
      <c r="A12161" s="191">
        <v>2025</v>
      </c>
      <c r="B12161" s="191">
        <v>12</v>
      </c>
      <c r="C12161" s="191">
        <v>30</v>
      </c>
      <c r="D12161" s="192">
        <f t="shared" si="1718"/>
        <v>46021</v>
      </c>
      <c r="E12161" s="193">
        <f t="shared" si="1717"/>
        <v>46021</v>
      </c>
      <c r="F12161" s="514"/>
      <c r="G12161" s="194" t="s">
        <v>1209</v>
      </c>
      <c r="H12161" s="195"/>
      <c r="I12161" s="195"/>
      <c r="J12161" s="191" t="s">
        <v>47</v>
      </c>
      <c r="K12161" s="196"/>
      <c r="L12161" s="196">
        <v>1360</v>
      </c>
    </row>
    <row r="12162" spans="1:15" x14ac:dyDescent="0.2">
      <c r="A12162" s="197">
        <v>2025</v>
      </c>
      <c r="B12162" s="197">
        <v>12</v>
      </c>
      <c r="C12162" s="120">
        <v>30</v>
      </c>
      <c r="D12162" s="198">
        <f t="shared" si="1718"/>
        <v>46021</v>
      </c>
      <c r="E12162" s="209">
        <f t="shared" ref="E12162:E12171" si="1721">DATE(A12162,B12162,C12162)</f>
        <v>46021</v>
      </c>
      <c r="F12162" s="513" t="s">
        <v>2125</v>
      </c>
      <c r="G12162" s="200" t="s">
        <v>1209</v>
      </c>
      <c r="H12162" s="201"/>
      <c r="I12162" s="201"/>
      <c r="J12162" s="197" t="s">
        <v>16</v>
      </c>
      <c r="K12162" s="202">
        <v>254950</v>
      </c>
      <c r="L12162" s="202"/>
    </row>
    <row r="12163" spans="1:15" x14ac:dyDescent="0.2">
      <c r="A12163" s="120">
        <v>2025</v>
      </c>
      <c r="B12163" s="120">
        <v>12</v>
      </c>
      <c r="C12163" s="120">
        <v>30</v>
      </c>
      <c r="D12163" s="208">
        <f t="shared" si="1718"/>
        <v>46021</v>
      </c>
      <c r="E12163" s="209">
        <f t="shared" si="1721"/>
        <v>46021</v>
      </c>
      <c r="F12163" s="515"/>
      <c r="G12163" s="132" t="s">
        <v>1209</v>
      </c>
      <c r="J12163" s="120" t="s">
        <v>47</v>
      </c>
      <c r="K12163" s="207">
        <v>95050</v>
      </c>
      <c r="L12163" s="207"/>
    </row>
    <row r="12164" spans="1:15" x14ac:dyDescent="0.2">
      <c r="A12164" s="191">
        <v>2025</v>
      </c>
      <c r="B12164" s="191">
        <v>12</v>
      </c>
      <c r="C12164" s="191">
        <v>30</v>
      </c>
      <c r="D12164" s="192">
        <f t="shared" si="1718"/>
        <v>46021</v>
      </c>
      <c r="E12164" s="193">
        <f t="shared" si="1721"/>
        <v>46021</v>
      </c>
      <c r="F12164" s="514"/>
      <c r="G12164" s="194" t="s">
        <v>1209</v>
      </c>
      <c r="H12164" s="195"/>
      <c r="I12164" s="195"/>
      <c r="J12164" s="191" t="s">
        <v>46</v>
      </c>
      <c r="K12164" s="196"/>
      <c r="L12164" s="196">
        <v>350000</v>
      </c>
    </row>
    <row r="12165" spans="1:15" ht="11.25" customHeight="1" x14ac:dyDescent="0.2">
      <c r="A12165" s="197">
        <v>2025</v>
      </c>
      <c r="B12165" s="197">
        <v>12</v>
      </c>
      <c r="C12165" s="197">
        <v>30</v>
      </c>
      <c r="D12165" s="198">
        <f t="shared" si="1718"/>
        <v>46021</v>
      </c>
      <c r="E12165" s="199">
        <f t="shared" si="1721"/>
        <v>46021</v>
      </c>
      <c r="F12165" s="513" t="s">
        <v>2112</v>
      </c>
      <c r="G12165" s="200" t="s">
        <v>1209</v>
      </c>
      <c r="H12165" s="201"/>
      <c r="I12165" s="201"/>
      <c r="J12165" s="197" t="s">
        <v>1251</v>
      </c>
      <c r="K12165" s="202">
        <v>888245.02</v>
      </c>
      <c r="L12165" s="202"/>
    </row>
    <row r="12166" spans="1:15" ht="11.25" customHeight="1" x14ac:dyDescent="0.2">
      <c r="A12166" s="191">
        <v>2025</v>
      </c>
      <c r="B12166" s="191">
        <v>12</v>
      </c>
      <c r="C12166" s="191">
        <v>30</v>
      </c>
      <c r="D12166" s="192">
        <f t="shared" si="1718"/>
        <v>46021</v>
      </c>
      <c r="E12166" s="193">
        <f t="shared" si="1721"/>
        <v>46021</v>
      </c>
      <c r="F12166" s="514"/>
      <c r="G12166" s="194" t="s">
        <v>1209</v>
      </c>
      <c r="H12166" s="195"/>
      <c r="I12166" s="195"/>
      <c r="J12166" s="191" t="s">
        <v>46</v>
      </c>
      <c r="K12166" s="196"/>
      <c r="L12166" s="196">
        <f>K12165</f>
        <v>888245.02</v>
      </c>
    </row>
    <row r="12167" spans="1:15" ht="11.25" customHeight="1" x14ac:dyDescent="0.2">
      <c r="A12167" s="197">
        <v>2025</v>
      </c>
      <c r="B12167" s="197">
        <v>12</v>
      </c>
      <c r="C12167" s="197">
        <v>30</v>
      </c>
      <c r="D12167" s="198">
        <f t="shared" si="1718"/>
        <v>46021</v>
      </c>
      <c r="E12167" s="290">
        <f>DATE(A12167,B12167,C12167)</f>
        <v>46021</v>
      </c>
      <c r="F12167" s="513" t="s">
        <v>1514</v>
      </c>
      <c r="G12167" s="200" t="s">
        <v>1209</v>
      </c>
      <c r="H12167" s="201"/>
      <c r="I12167" s="201"/>
      <c r="J12167" s="197" t="s">
        <v>54</v>
      </c>
      <c r="K12167" s="202">
        <v>58</v>
      </c>
      <c r="L12167" s="202"/>
      <c r="O12167" s="251"/>
    </row>
    <row r="12168" spans="1:15" ht="11.25" customHeight="1" x14ac:dyDescent="0.2">
      <c r="A12168" s="191">
        <v>2025</v>
      </c>
      <c r="B12168" s="191">
        <v>12</v>
      </c>
      <c r="C12168" s="191">
        <v>30</v>
      </c>
      <c r="D12168" s="192">
        <f t="shared" si="1718"/>
        <v>46021</v>
      </c>
      <c r="E12168" s="291">
        <f>DATE(A12168,B12168,C12168)</f>
        <v>46021</v>
      </c>
      <c r="F12168" s="514"/>
      <c r="G12168" s="194" t="s">
        <v>1209</v>
      </c>
      <c r="H12168" s="195"/>
      <c r="I12168" s="195"/>
      <c r="J12168" s="191" t="s">
        <v>46</v>
      </c>
      <c r="K12168" s="196"/>
      <c r="L12168" s="196">
        <f>K12167</f>
        <v>58</v>
      </c>
      <c r="O12168" s="251"/>
    </row>
    <row r="12169" spans="1:15" ht="11.25" customHeight="1" x14ac:dyDescent="0.2">
      <c r="A12169" s="197">
        <v>2025</v>
      </c>
      <c r="B12169" s="197">
        <v>12</v>
      </c>
      <c r="C12169" s="197">
        <v>30</v>
      </c>
      <c r="D12169" s="198">
        <f t="shared" si="1718"/>
        <v>46021</v>
      </c>
      <c r="E12169" s="290">
        <f t="shared" si="1721"/>
        <v>46021</v>
      </c>
      <c r="F12169" s="513" t="s">
        <v>1212</v>
      </c>
      <c r="G12169" s="200" t="s">
        <v>1209</v>
      </c>
      <c r="H12169" s="201"/>
      <c r="I12169" s="201" t="s">
        <v>1253</v>
      </c>
      <c r="J12169" s="197" t="s">
        <v>46</v>
      </c>
      <c r="K12169" s="202">
        <v>210951</v>
      </c>
      <c r="L12169" s="202"/>
    </row>
    <row r="12170" spans="1:15" ht="11.25" customHeight="1" x14ac:dyDescent="0.2">
      <c r="A12170" s="120">
        <v>2025</v>
      </c>
      <c r="B12170" s="120">
        <v>12</v>
      </c>
      <c r="C12170" s="120">
        <v>30</v>
      </c>
      <c r="D12170" s="208">
        <f t="shared" si="1718"/>
        <v>46021</v>
      </c>
      <c r="E12170" s="293">
        <f t="shared" si="1721"/>
        <v>46021</v>
      </c>
      <c r="F12170" s="515"/>
      <c r="G12170" s="132" t="s">
        <v>1209</v>
      </c>
      <c r="I12170" s="128" t="s">
        <v>1253</v>
      </c>
      <c r="J12170" s="120" t="s">
        <v>153</v>
      </c>
      <c r="K12170" s="207"/>
      <c r="L12170" s="207">
        <v>76353.89</v>
      </c>
    </row>
    <row r="12171" spans="1:15" ht="11.25" customHeight="1" x14ac:dyDescent="0.2">
      <c r="A12171" s="191">
        <v>2025</v>
      </c>
      <c r="B12171" s="191">
        <v>12</v>
      </c>
      <c r="C12171" s="191">
        <v>30</v>
      </c>
      <c r="D12171" s="192">
        <f t="shared" si="1718"/>
        <v>46021</v>
      </c>
      <c r="E12171" s="291">
        <f t="shared" si="1721"/>
        <v>46021</v>
      </c>
      <c r="F12171" s="514"/>
      <c r="G12171" s="194" t="s">
        <v>1209</v>
      </c>
      <c r="H12171" s="195"/>
      <c r="I12171" s="195" t="s">
        <v>1253</v>
      </c>
      <c r="J12171" s="191" t="s">
        <v>58</v>
      </c>
      <c r="K12171" s="196"/>
      <c r="L12171" s="196">
        <v>134597.10751125007</v>
      </c>
    </row>
    <row r="12172" spans="1:15" ht="11.25" customHeight="1" x14ac:dyDescent="0.2">
      <c r="A12172" s="197">
        <v>2025</v>
      </c>
      <c r="B12172" s="197">
        <v>12</v>
      </c>
      <c r="C12172" s="197">
        <v>30</v>
      </c>
      <c r="D12172" s="198">
        <f t="shared" si="1718"/>
        <v>46021</v>
      </c>
      <c r="E12172" s="290">
        <f>DATE(A12172,B12172,C12172)</f>
        <v>46021</v>
      </c>
      <c r="F12172" s="513" t="s">
        <v>1514</v>
      </c>
      <c r="G12172" s="200" t="s">
        <v>1209</v>
      </c>
      <c r="H12172" s="201"/>
      <c r="I12172" s="201"/>
      <c r="J12172" s="197" t="s">
        <v>54</v>
      </c>
      <c r="K12172" s="202">
        <v>50345</v>
      </c>
      <c r="L12172" s="202"/>
      <c r="O12172" s="251"/>
    </row>
    <row r="12173" spans="1:15" ht="11.25" customHeight="1" x14ac:dyDescent="0.2">
      <c r="A12173" s="191">
        <v>2025</v>
      </c>
      <c r="B12173" s="191">
        <v>12</v>
      </c>
      <c r="C12173" s="191">
        <v>30</v>
      </c>
      <c r="D12173" s="192">
        <f t="shared" si="1718"/>
        <v>46021</v>
      </c>
      <c r="E12173" s="291">
        <f>DATE(A12173,B12173,C12173)</f>
        <v>46021</v>
      </c>
      <c r="F12173" s="514"/>
      <c r="G12173" s="194" t="s">
        <v>1209</v>
      </c>
      <c r="H12173" s="195"/>
      <c r="I12173" s="195"/>
      <c r="J12173" s="191" t="s">
        <v>46</v>
      </c>
      <c r="K12173" s="196"/>
      <c r="L12173" s="196">
        <f>K12172</f>
        <v>50345</v>
      </c>
      <c r="O12173" s="251"/>
    </row>
    <row r="12174" spans="1:15" ht="11.25" customHeight="1" x14ac:dyDescent="0.2">
      <c r="A12174" s="197">
        <v>2025</v>
      </c>
      <c r="B12174" s="197">
        <v>12</v>
      </c>
      <c r="C12174" s="197">
        <v>30</v>
      </c>
      <c r="D12174" s="198">
        <f t="shared" si="1718"/>
        <v>46021</v>
      </c>
      <c r="E12174" s="290">
        <f t="shared" ref="E12174:E12176" si="1722">DATE(A12174,B12174,C12174)</f>
        <v>46021</v>
      </c>
      <c r="F12174" s="513" t="s">
        <v>1212</v>
      </c>
      <c r="G12174" s="200" t="s">
        <v>1209</v>
      </c>
      <c r="H12174" s="201"/>
      <c r="I12174" s="201" t="s">
        <v>1253</v>
      </c>
      <c r="J12174" s="197" t="s">
        <v>46</v>
      </c>
      <c r="K12174" s="202">
        <v>191389</v>
      </c>
      <c r="L12174" s="202"/>
    </row>
    <row r="12175" spans="1:15" ht="11.25" customHeight="1" x14ac:dyDescent="0.2">
      <c r="A12175" s="120">
        <v>2025</v>
      </c>
      <c r="B12175" s="120">
        <v>12</v>
      </c>
      <c r="C12175" s="120">
        <v>30</v>
      </c>
      <c r="D12175" s="208">
        <f t="shared" si="1718"/>
        <v>46021</v>
      </c>
      <c r="E12175" s="293">
        <f t="shared" si="1722"/>
        <v>46021</v>
      </c>
      <c r="F12175" s="515"/>
      <c r="G12175" s="132" t="s">
        <v>1209</v>
      </c>
      <c r="I12175" s="128" t="s">
        <v>1253</v>
      </c>
      <c r="J12175" s="120" t="s">
        <v>153</v>
      </c>
      <c r="K12175" s="207">
        <v>4192.3</v>
      </c>
      <c r="L12175" s="207"/>
    </row>
    <row r="12176" spans="1:15" ht="11.25" customHeight="1" x14ac:dyDescent="0.2">
      <c r="A12176" s="191">
        <v>2025</v>
      </c>
      <c r="B12176" s="191">
        <v>12</v>
      </c>
      <c r="C12176" s="191">
        <v>30</v>
      </c>
      <c r="D12176" s="192">
        <f t="shared" si="1718"/>
        <v>46021</v>
      </c>
      <c r="E12176" s="291">
        <f t="shared" si="1722"/>
        <v>46021</v>
      </c>
      <c r="F12176" s="514"/>
      <c r="G12176" s="194" t="s">
        <v>1209</v>
      </c>
      <c r="H12176" s="195"/>
      <c r="I12176" s="195" t="s">
        <v>1253</v>
      </c>
      <c r="J12176" s="191" t="s">
        <v>58</v>
      </c>
      <c r="K12176" s="196"/>
      <c r="L12176" s="196">
        <v>195581.29593749996</v>
      </c>
    </row>
    <row r="12177" spans="1:15" ht="11.25" customHeight="1" x14ac:dyDescent="0.2">
      <c r="A12177" s="197">
        <v>2025</v>
      </c>
      <c r="B12177" s="197">
        <v>12</v>
      </c>
      <c r="C12177" s="197">
        <v>30</v>
      </c>
      <c r="D12177" s="198">
        <f t="shared" si="1718"/>
        <v>46021</v>
      </c>
      <c r="E12177" s="290">
        <f>DATE(A12177,B12177,C12177)</f>
        <v>46021</v>
      </c>
      <c r="F12177" s="513" t="s">
        <v>1514</v>
      </c>
      <c r="G12177" s="200" t="s">
        <v>1209</v>
      </c>
      <c r="H12177" s="201"/>
      <c r="I12177" s="201"/>
      <c r="J12177" s="197" t="s">
        <v>54</v>
      </c>
      <c r="K12177" s="202">
        <v>50575</v>
      </c>
      <c r="L12177" s="202"/>
      <c r="O12177" s="251"/>
    </row>
    <row r="12178" spans="1:15" ht="11.25" customHeight="1" x14ac:dyDescent="0.2">
      <c r="A12178" s="191">
        <v>2025</v>
      </c>
      <c r="B12178" s="191">
        <v>12</v>
      </c>
      <c r="C12178" s="191">
        <v>30</v>
      </c>
      <c r="D12178" s="192">
        <f t="shared" si="1718"/>
        <v>46021</v>
      </c>
      <c r="E12178" s="291">
        <f>DATE(A12178,B12178,C12178)</f>
        <v>46021</v>
      </c>
      <c r="F12178" s="514"/>
      <c r="G12178" s="194" t="s">
        <v>1209</v>
      </c>
      <c r="H12178" s="195"/>
      <c r="I12178" s="195"/>
      <c r="J12178" s="191" t="s">
        <v>46</v>
      </c>
      <c r="K12178" s="196"/>
      <c r="L12178" s="196">
        <f>K12177</f>
        <v>50575</v>
      </c>
      <c r="O12178" s="251"/>
    </row>
    <row r="12179" spans="1:15" ht="11.25" customHeight="1" x14ac:dyDescent="0.2">
      <c r="A12179" s="197">
        <v>2025</v>
      </c>
      <c r="B12179" s="197">
        <v>12</v>
      </c>
      <c r="C12179" s="197">
        <v>30</v>
      </c>
      <c r="D12179" s="198">
        <f t="shared" si="1718"/>
        <v>46021</v>
      </c>
      <c r="E12179" s="290">
        <f>DATE(A12179,B12179,C12179)</f>
        <v>46021</v>
      </c>
      <c r="F12179" s="513" t="s">
        <v>1517</v>
      </c>
      <c r="G12179" s="200" t="s">
        <v>1209</v>
      </c>
      <c r="H12179" s="201"/>
      <c r="I12179" s="201"/>
      <c r="J12179" s="197" t="s">
        <v>54</v>
      </c>
      <c r="K12179" s="202">
        <v>345</v>
      </c>
      <c r="L12179" s="202"/>
      <c r="O12179" s="251"/>
    </row>
    <row r="12180" spans="1:15" ht="11.25" customHeight="1" x14ac:dyDescent="0.2">
      <c r="A12180" s="191">
        <v>2025</v>
      </c>
      <c r="B12180" s="191">
        <v>12</v>
      </c>
      <c r="C12180" s="191">
        <v>30</v>
      </c>
      <c r="D12180" s="192">
        <f t="shared" si="1718"/>
        <v>46021</v>
      </c>
      <c r="E12180" s="291">
        <f>DATE(A12180,B12180,C12180)</f>
        <v>46021</v>
      </c>
      <c r="F12180" s="514"/>
      <c r="G12180" s="194" t="s">
        <v>1209</v>
      </c>
      <c r="H12180" s="195"/>
      <c r="I12180" s="195"/>
      <c r="J12180" s="191" t="s">
        <v>46</v>
      </c>
      <c r="K12180" s="196"/>
      <c r="L12180" s="196">
        <f>K12179</f>
        <v>345</v>
      </c>
      <c r="O12180" s="251"/>
    </row>
    <row r="12181" spans="1:15" ht="11.25" customHeight="1" x14ac:dyDescent="0.2">
      <c r="A12181" s="197">
        <v>2025</v>
      </c>
      <c r="B12181" s="197">
        <v>12</v>
      </c>
      <c r="C12181" s="197">
        <v>30</v>
      </c>
      <c r="D12181" s="198">
        <f t="shared" si="1718"/>
        <v>46021</v>
      </c>
      <c r="E12181" s="290">
        <f t="shared" ref="E12181:E12183" si="1723">DATE(A12181,B12181,C12181)</f>
        <v>46021</v>
      </c>
      <c r="F12181" s="513" t="s">
        <v>1955</v>
      </c>
      <c r="G12181" s="200" t="s">
        <v>1209</v>
      </c>
      <c r="H12181" s="201"/>
      <c r="I12181" s="201" t="s">
        <v>1253</v>
      </c>
      <c r="J12181" s="197" t="s">
        <v>46</v>
      </c>
      <c r="K12181" s="202">
        <v>262.83</v>
      </c>
      <c r="L12181" s="202"/>
    </row>
    <row r="12182" spans="1:15" ht="11.25" customHeight="1" x14ac:dyDescent="0.2">
      <c r="A12182" s="120">
        <v>2025</v>
      </c>
      <c r="B12182" s="120">
        <v>12</v>
      </c>
      <c r="C12182" s="120">
        <v>30</v>
      </c>
      <c r="D12182" s="208">
        <f t="shared" si="1718"/>
        <v>46021</v>
      </c>
      <c r="E12182" s="293">
        <f t="shared" si="1723"/>
        <v>46021</v>
      </c>
      <c r="F12182" s="515"/>
      <c r="G12182" s="132" t="s">
        <v>1209</v>
      </c>
      <c r="I12182" s="128" t="s">
        <v>1253</v>
      </c>
      <c r="J12182" s="120" t="s">
        <v>153</v>
      </c>
      <c r="K12182" s="207">
        <v>1165.05</v>
      </c>
      <c r="L12182" s="207"/>
    </row>
    <row r="12183" spans="1:15" ht="11.25" customHeight="1" x14ac:dyDescent="0.2">
      <c r="A12183" s="191">
        <v>2025</v>
      </c>
      <c r="B12183" s="191">
        <v>12</v>
      </c>
      <c r="C12183" s="191">
        <v>30</v>
      </c>
      <c r="D12183" s="192">
        <f t="shared" si="1718"/>
        <v>46021</v>
      </c>
      <c r="E12183" s="291">
        <f t="shared" si="1723"/>
        <v>46021</v>
      </c>
      <c r="F12183" s="514"/>
      <c r="G12183" s="194" t="s">
        <v>1209</v>
      </c>
      <c r="H12183" s="195"/>
      <c r="I12183" s="195" t="s">
        <v>1253</v>
      </c>
      <c r="J12183" s="191" t="s">
        <v>58</v>
      </c>
      <c r="K12183" s="196"/>
      <c r="L12183" s="196">
        <v>1427.8913295833336</v>
      </c>
    </row>
    <row r="12184" spans="1:15" ht="11.25" customHeight="1" x14ac:dyDescent="0.2">
      <c r="A12184" s="197">
        <v>2025</v>
      </c>
      <c r="B12184" s="197">
        <v>12</v>
      </c>
      <c r="C12184" s="197">
        <v>30</v>
      </c>
      <c r="D12184" s="198">
        <f t="shared" si="1718"/>
        <v>46021</v>
      </c>
      <c r="E12184" s="290">
        <f>DATE(A12184,B12184,C12184)</f>
        <v>46021</v>
      </c>
      <c r="F12184" s="513" t="s">
        <v>1563</v>
      </c>
      <c r="G12184" s="200" t="s">
        <v>1209</v>
      </c>
      <c r="H12184" s="201"/>
      <c r="I12184" s="201"/>
      <c r="J12184" s="197" t="s">
        <v>54</v>
      </c>
      <c r="K12184" s="202">
        <v>79</v>
      </c>
      <c r="L12184" s="202"/>
      <c r="O12184" s="251"/>
    </row>
    <row r="12185" spans="1:15" ht="11.25" customHeight="1" x14ac:dyDescent="0.2">
      <c r="A12185" s="191">
        <v>2025</v>
      </c>
      <c r="B12185" s="191">
        <v>12</v>
      </c>
      <c r="C12185" s="191">
        <v>30</v>
      </c>
      <c r="D12185" s="192">
        <f t="shared" si="1718"/>
        <v>46021</v>
      </c>
      <c r="E12185" s="291">
        <f>DATE(A12185,B12185,C12185)</f>
        <v>46021</v>
      </c>
      <c r="F12185" s="514"/>
      <c r="G12185" s="194" t="s">
        <v>1209</v>
      </c>
      <c r="H12185" s="195"/>
      <c r="I12185" s="195"/>
      <c r="J12185" s="191" t="s">
        <v>46</v>
      </c>
      <c r="K12185" s="196"/>
      <c r="L12185" s="196">
        <f>K12184</f>
        <v>79</v>
      </c>
      <c r="O12185" s="251"/>
    </row>
    <row r="12186" spans="1:15" ht="11.25" customHeight="1" x14ac:dyDescent="0.2">
      <c r="A12186" s="197">
        <v>2025</v>
      </c>
      <c r="B12186" s="197">
        <v>12</v>
      </c>
      <c r="C12186" s="197">
        <v>30</v>
      </c>
      <c r="D12186" s="198">
        <f t="shared" si="1718"/>
        <v>46021</v>
      </c>
      <c r="E12186" s="290">
        <f t="shared" ref="E12186:E12188" si="1724">DATE(A12186,B12186,C12186)</f>
        <v>46021</v>
      </c>
      <c r="F12186" s="513" t="s">
        <v>2134</v>
      </c>
      <c r="G12186" s="200" t="s">
        <v>1209</v>
      </c>
      <c r="H12186" s="201"/>
      <c r="I12186" s="201" t="s">
        <v>1253</v>
      </c>
      <c r="J12186" s="197" t="s">
        <v>46</v>
      </c>
      <c r="K12186" s="202">
        <v>13693.18</v>
      </c>
      <c r="L12186" s="202"/>
    </row>
    <row r="12187" spans="1:15" ht="11.25" customHeight="1" x14ac:dyDescent="0.2">
      <c r="A12187" s="120">
        <v>2025</v>
      </c>
      <c r="B12187" s="120">
        <v>12</v>
      </c>
      <c r="C12187" s="120">
        <v>30</v>
      </c>
      <c r="D12187" s="208">
        <f t="shared" si="1718"/>
        <v>46021</v>
      </c>
      <c r="E12187" s="293">
        <f t="shared" si="1724"/>
        <v>46021</v>
      </c>
      <c r="F12187" s="515"/>
      <c r="G12187" s="132" t="s">
        <v>1209</v>
      </c>
      <c r="I12187" s="128" t="s">
        <v>1253</v>
      </c>
      <c r="J12187" s="120" t="s">
        <v>153</v>
      </c>
      <c r="K12187" s="207"/>
      <c r="L12187" s="207">
        <v>397.66</v>
      </c>
    </row>
    <row r="12188" spans="1:15" ht="11.25" customHeight="1" x14ac:dyDescent="0.2">
      <c r="A12188" s="191">
        <v>2025</v>
      </c>
      <c r="B12188" s="191">
        <v>12</v>
      </c>
      <c r="C12188" s="191">
        <v>30</v>
      </c>
      <c r="D12188" s="192">
        <f t="shared" si="1718"/>
        <v>46021</v>
      </c>
      <c r="E12188" s="291">
        <f t="shared" si="1724"/>
        <v>46021</v>
      </c>
      <c r="F12188" s="514"/>
      <c r="G12188" s="194" t="s">
        <v>1209</v>
      </c>
      <c r="H12188" s="195"/>
      <c r="I12188" s="195" t="s">
        <v>1253</v>
      </c>
      <c r="J12188" s="191" t="s">
        <v>58</v>
      </c>
      <c r="K12188" s="196"/>
      <c r="L12188" s="196">
        <v>13295.516577777773</v>
      </c>
    </row>
    <row r="12189" spans="1:15" ht="11.25" customHeight="1" x14ac:dyDescent="0.2">
      <c r="A12189" s="197">
        <v>2025</v>
      </c>
      <c r="B12189" s="197">
        <v>12</v>
      </c>
      <c r="C12189" s="197">
        <v>30</v>
      </c>
      <c r="D12189" s="198">
        <f t="shared" si="1718"/>
        <v>46021</v>
      </c>
      <c r="E12189" s="290">
        <f>DATE(A12189,B12189,C12189)</f>
        <v>46021</v>
      </c>
      <c r="F12189" s="513" t="s">
        <v>2051</v>
      </c>
      <c r="G12189" s="200" t="s">
        <v>1209</v>
      </c>
      <c r="H12189" s="201"/>
      <c r="I12189" s="201"/>
      <c r="J12189" s="197" t="s">
        <v>54</v>
      </c>
      <c r="K12189" s="202">
        <v>5000</v>
      </c>
      <c r="L12189" s="202"/>
      <c r="O12189" s="251"/>
    </row>
    <row r="12190" spans="1:15" ht="11.25" customHeight="1" x14ac:dyDescent="0.2">
      <c r="A12190" s="191">
        <v>2025</v>
      </c>
      <c r="B12190" s="191">
        <v>12</v>
      </c>
      <c r="C12190" s="191">
        <v>30</v>
      </c>
      <c r="D12190" s="192">
        <f t="shared" si="1718"/>
        <v>46021</v>
      </c>
      <c r="E12190" s="291">
        <f>DATE(A12190,B12190,C12190)</f>
        <v>46021</v>
      </c>
      <c r="F12190" s="514"/>
      <c r="G12190" s="194" t="s">
        <v>1209</v>
      </c>
      <c r="H12190" s="195"/>
      <c r="I12190" s="195"/>
      <c r="J12190" s="191" t="s">
        <v>46</v>
      </c>
      <c r="K12190" s="196"/>
      <c r="L12190" s="196">
        <f>K12189</f>
        <v>5000</v>
      </c>
      <c r="O12190" s="251"/>
    </row>
    <row r="12191" spans="1:15" ht="11.25" customHeight="1" x14ac:dyDescent="0.2">
      <c r="A12191" s="197">
        <v>2025</v>
      </c>
      <c r="B12191" s="197">
        <v>12</v>
      </c>
      <c r="C12191" s="197">
        <v>30</v>
      </c>
      <c r="D12191" s="198">
        <f t="shared" si="1718"/>
        <v>46021</v>
      </c>
      <c r="E12191" s="290">
        <f t="shared" ref="E12191:E12192" si="1725">DATE(A12191,B12191,C12191)</f>
        <v>46021</v>
      </c>
      <c r="F12191" s="513" t="s">
        <v>1956</v>
      </c>
      <c r="G12191" s="200" t="s">
        <v>1209</v>
      </c>
      <c r="H12191" s="201"/>
      <c r="I12191" s="201" t="s">
        <v>1253</v>
      </c>
      <c r="J12191" s="197" t="s">
        <v>46</v>
      </c>
      <c r="K12191" s="202">
        <v>27</v>
      </c>
      <c r="L12191" s="202"/>
    </row>
    <row r="12192" spans="1:15" ht="11.25" customHeight="1" x14ac:dyDescent="0.2">
      <c r="A12192" s="120">
        <v>2025</v>
      </c>
      <c r="B12192" s="120">
        <v>12</v>
      </c>
      <c r="C12192" s="120">
        <v>30</v>
      </c>
      <c r="D12192" s="208">
        <f t="shared" si="1718"/>
        <v>46021</v>
      </c>
      <c r="E12192" s="293">
        <f t="shared" si="1725"/>
        <v>46021</v>
      </c>
      <c r="F12192" s="515"/>
      <c r="G12192" s="132" t="s">
        <v>1209</v>
      </c>
      <c r="I12192" s="128" t="s">
        <v>1253</v>
      </c>
      <c r="J12192" s="120" t="s">
        <v>153</v>
      </c>
      <c r="K12192" s="207"/>
      <c r="L12192" s="207">
        <v>27</v>
      </c>
    </row>
    <row r="12193" spans="1:15" ht="11.25" customHeight="1" x14ac:dyDescent="0.2">
      <c r="A12193" s="197">
        <v>2025</v>
      </c>
      <c r="B12193" s="197">
        <v>12</v>
      </c>
      <c r="C12193" s="197">
        <v>30</v>
      </c>
      <c r="D12193" s="198">
        <f t="shared" si="1718"/>
        <v>46021</v>
      </c>
      <c r="E12193" s="290">
        <f>DATE(A12193,B12193,C12193)</f>
        <v>46021</v>
      </c>
      <c r="F12193" s="513" t="s">
        <v>1524</v>
      </c>
      <c r="G12193" s="200" t="s">
        <v>1209</v>
      </c>
      <c r="H12193" s="201"/>
      <c r="I12193" s="201"/>
      <c r="J12193" s="197" t="s">
        <v>54</v>
      </c>
      <c r="K12193" s="202">
        <v>8.1</v>
      </c>
      <c r="L12193" s="202"/>
      <c r="O12193" s="251"/>
    </row>
    <row r="12194" spans="1:15" ht="11.25" customHeight="1" x14ac:dyDescent="0.2">
      <c r="A12194" s="191">
        <v>2025</v>
      </c>
      <c r="B12194" s="191">
        <v>12</v>
      </c>
      <c r="C12194" s="191">
        <v>30</v>
      </c>
      <c r="D12194" s="192">
        <f t="shared" si="1718"/>
        <v>46021</v>
      </c>
      <c r="E12194" s="291">
        <f>DATE(A12194,B12194,C12194)</f>
        <v>46021</v>
      </c>
      <c r="F12194" s="514"/>
      <c r="G12194" s="194" t="s">
        <v>1209</v>
      </c>
      <c r="H12194" s="195"/>
      <c r="I12194" s="195"/>
      <c r="J12194" s="191" t="s">
        <v>46</v>
      </c>
      <c r="K12194" s="196"/>
      <c r="L12194" s="196">
        <f>K12193</f>
        <v>8.1</v>
      </c>
      <c r="O12194" s="251"/>
    </row>
    <row r="12195" spans="1:15" x14ac:dyDescent="0.2">
      <c r="A12195" s="424">
        <v>2025</v>
      </c>
      <c r="B12195" s="424">
        <v>12</v>
      </c>
      <c r="C12195" s="424">
        <v>30</v>
      </c>
      <c r="D12195" s="425">
        <f t="shared" si="1718"/>
        <v>46021</v>
      </c>
      <c r="E12195" s="384">
        <f t="shared" ref="E12195:E12206" si="1726">DATE(A12195,B12195,C12195)</f>
        <v>46021</v>
      </c>
      <c r="F12195" s="516" t="s">
        <v>1850</v>
      </c>
      <c r="G12195" s="426" t="s">
        <v>1209</v>
      </c>
      <c r="H12195" s="427"/>
      <c r="I12195" s="427"/>
      <c r="J12195" s="428" t="s">
        <v>81</v>
      </c>
      <c r="K12195" s="429">
        <v>3191.6347252747255</v>
      </c>
      <c r="L12195" s="429"/>
      <c r="M12195" s="455"/>
    </row>
    <row r="12196" spans="1:15" x14ac:dyDescent="0.2">
      <c r="A12196" s="389">
        <v>2025</v>
      </c>
      <c r="B12196" s="389">
        <v>12</v>
      </c>
      <c r="C12196" s="389">
        <v>30</v>
      </c>
      <c r="D12196" s="390">
        <f t="shared" si="1718"/>
        <v>46021</v>
      </c>
      <c r="E12196" s="391">
        <f t="shared" si="1726"/>
        <v>46021</v>
      </c>
      <c r="F12196" s="517"/>
      <c r="G12196" s="392" t="s">
        <v>1209</v>
      </c>
      <c r="H12196" s="393"/>
      <c r="I12196" s="393"/>
      <c r="J12196" s="394" t="s">
        <v>1847</v>
      </c>
      <c r="K12196" s="423"/>
      <c r="L12196" s="423">
        <f>K12195</f>
        <v>3191.6347252747255</v>
      </c>
    </row>
    <row r="12197" spans="1:15" ht="11.25" customHeight="1" x14ac:dyDescent="0.2">
      <c r="A12197" s="382">
        <v>2025</v>
      </c>
      <c r="B12197" s="382">
        <v>12</v>
      </c>
      <c r="C12197" s="382">
        <v>30</v>
      </c>
      <c r="D12197" s="383">
        <f t="shared" si="1718"/>
        <v>46021</v>
      </c>
      <c r="E12197" s="384">
        <f t="shared" si="1726"/>
        <v>46021</v>
      </c>
      <c r="F12197" s="516" t="s">
        <v>1892</v>
      </c>
      <c r="G12197" s="385" t="s">
        <v>1209</v>
      </c>
      <c r="H12197" s="386"/>
      <c r="I12197" s="386"/>
      <c r="J12197" s="387" t="s">
        <v>173</v>
      </c>
      <c r="K12197" s="388">
        <v>1259.96</v>
      </c>
      <c r="L12197" s="388"/>
      <c r="M12197" s="455"/>
    </row>
    <row r="12198" spans="1:15" ht="11.25" customHeight="1" x14ac:dyDescent="0.2">
      <c r="A12198" s="389">
        <v>2025</v>
      </c>
      <c r="B12198" s="389">
        <v>12</v>
      </c>
      <c r="C12198" s="389">
        <v>30</v>
      </c>
      <c r="D12198" s="390">
        <f t="shared" si="1718"/>
        <v>46021</v>
      </c>
      <c r="E12198" s="391">
        <f t="shared" si="1726"/>
        <v>46021</v>
      </c>
      <c r="F12198" s="517"/>
      <c r="G12198" s="392" t="s">
        <v>1209</v>
      </c>
      <c r="H12198" s="393"/>
      <c r="I12198" s="393"/>
      <c r="J12198" s="394" t="s">
        <v>43</v>
      </c>
      <c r="K12198" s="388"/>
      <c r="L12198" s="423">
        <f>K12197</f>
        <v>1259.96</v>
      </c>
    </row>
    <row r="12199" spans="1:15" ht="11.25" customHeight="1" x14ac:dyDescent="0.2">
      <c r="A12199" s="344">
        <v>2025</v>
      </c>
      <c r="B12199" s="344">
        <v>12</v>
      </c>
      <c r="C12199" s="344">
        <v>30</v>
      </c>
      <c r="D12199" s="345">
        <f t="shared" si="1718"/>
        <v>46021</v>
      </c>
      <c r="E12199" s="346">
        <f t="shared" si="1726"/>
        <v>46021</v>
      </c>
      <c r="F12199" s="518" t="s">
        <v>1982</v>
      </c>
      <c r="G12199" s="347" t="s">
        <v>1245</v>
      </c>
      <c r="H12199" s="348"/>
      <c r="I12199" s="348" t="s">
        <v>1253</v>
      </c>
      <c r="J12199" s="344" t="s">
        <v>1978</v>
      </c>
      <c r="K12199" s="349">
        <v>42499.45054945055</v>
      </c>
      <c r="L12199" s="349"/>
      <c r="M12199" s="455"/>
    </row>
    <row r="12200" spans="1:15" ht="11.25" customHeight="1" x14ac:dyDescent="0.2">
      <c r="A12200" s="350">
        <v>2025</v>
      </c>
      <c r="B12200" s="350">
        <v>12</v>
      </c>
      <c r="C12200" s="350">
        <v>30</v>
      </c>
      <c r="D12200" s="351">
        <f t="shared" si="1718"/>
        <v>46021</v>
      </c>
      <c r="E12200" s="352">
        <f t="shared" si="1726"/>
        <v>46021</v>
      </c>
      <c r="F12200" s="519"/>
      <c r="G12200" s="353" t="s">
        <v>1245</v>
      </c>
      <c r="H12200" s="354"/>
      <c r="I12200" s="354" t="s">
        <v>1253</v>
      </c>
      <c r="J12200" s="350" t="s">
        <v>1979</v>
      </c>
      <c r="K12200" s="355"/>
      <c r="L12200" s="355">
        <f>K12199</f>
        <v>42499.45054945055</v>
      </c>
    </row>
    <row r="12201" spans="1:15" ht="11.25" customHeight="1" x14ac:dyDescent="0.2">
      <c r="A12201" s="344">
        <v>2025</v>
      </c>
      <c r="B12201" s="344">
        <v>12</v>
      </c>
      <c r="C12201" s="344">
        <v>30</v>
      </c>
      <c r="D12201" s="345">
        <f t="shared" si="1718"/>
        <v>46021</v>
      </c>
      <c r="E12201" s="346">
        <f t="shared" si="1726"/>
        <v>46021</v>
      </c>
      <c r="F12201" s="518" t="s">
        <v>2009</v>
      </c>
      <c r="G12201" s="347" t="s">
        <v>1245</v>
      </c>
      <c r="H12201" s="348"/>
      <c r="I12201" s="348" t="s">
        <v>1253</v>
      </c>
      <c r="J12201" s="344" t="s">
        <v>2004</v>
      </c>
      <c r="K12201" s="349">
        <v>14197.802857142857</v>
      </c>
      <c r="L12201" s="349"/>
      <c r="M12201" s="455"/>
    </row>
    <row r="12202" spans="1:15" ht="11.25" customHeight="1" x14ac:dyDescent="0.2">
      <c r="A12202" s="350">
        <v>2025</v>
      </c>
      <c r="B12202" s="350">
        <v>12</v>
      </c>
      <c r="C12202" s="350">
        <v>30</v>
      </c>
      <c r="D12202" s="351">
        <f t="shared" si="1718"/>
        <v>46021</v>
      </c>
      <c r="E12202" s="352">
        <f t="shared" si="1726"/>
        <v>46021</v>
      </c>
      <c r="F12202" s="519"/>
      <c r="G12202" s="353" t="s">
        <v>1245</v>
      </c>
      <c r="H12202" s="354"/>
      <c r="I12202" s="354" t="s">
        <v>1253</v>
      </c>
      <c r="J12202" s="350" t="s">
        <v>2008</v>
      </c>
      <c r="K12202" s="355"/>
      <c r="L12202" s="355">
        <f t="shared" ref="L12202" si="1727">K12201</f>
        <v>14197.802857142857</v>
      </c>
    </row>
    <row r="12203" spans="1:15" ht="11.25" customHeight="1" x14ac:dyDescent="0.2">
      <c r="A12203" s="344">
        <v>2025</v>
      </c>
      <c r="B12203" s="344">
        <v>12</v>
      </c>
      <c r="C12203" s="344">
        <v>30</v>
      </c>
      <c r="D12203" s="345">
        <f t="shared" si="1718"/>
        <v>46021</v>
      </c>
      <c r="E12203" s="346">
        <f t="shared" si="1726"/>
        <v>46021</v>
      </c>
      <c r="F12203" s="518" t="s">
        <v>2009</v>
      </c>
      <c r="G12203" s="347" t="s">
        <v>1245</v>
      </c>
      <c r="H12203" s="348"/>
      <c r="I12203" s="348" t="s">
        <v>1253</v>
      </c>
      <c r="J12203" s="344" t="s">
        <v>2004</v>
      </c>
      <c r="K12203" s="349">
        <v>14197.802857142857</v>
      </c>
      <c r="L12203" s="349"/>
      <c r="M12203" s="455"/>
    </row>
    <row r="12204" spans="1:15" ht="11.25" customHeight="1" x14ac:dyDescent="0.2">
      <c r="A12204" s="350">
        <v>2025</v>
      </c>
      <c r="B12204" s="350">
        <v>12</v>
      </c>
      <c r="C12204" s="350">
        <v>30</v>
      </c>
      <c r="D12204" s="351">
        <f t="shared" si="1718"/>
        <v>46021</v>
      </c>
      <c r="E12204" s="352">
        <f t="shared" si="1726"/>
        <v>46021</v>
      </c>
      <c r="F12204" s="519"/>
      <c r="G12204" s="353" t="s">
        <v>1245</v>
      </c>
      <c r="H12204" s="354"/>
      <c r="I12204" s="354" t="s">
        <v>1253</v>
      </c>
      <c r="J12204" s="350" t="s">
        <v>2008</v>
      </c>
      <c r="K12204" s="355"/>
      <c r="L12204" s="355">
        <f t="shared" ref="L12204" si="1728">K12203</f>
        <v>14197.802857142857</v>
      </c>
    </row>
    <row r="12205" spans="1:15" ht="11.25" customHeight="1" x14ac:dyDescent="0.2">
      <c r="A12205" s="344">
        <v>2025</v>
      </c>
      <c r="B12205" s="344">
        <v>12</v>
      </c>
      <c r="C12205" s="344">
        <v>30</v>
      </c>
      <c r="D12205" s="345">
        <f t="shared" si="1718"/>
        <v>46021</v>
      </c>
      <c r="E12205" s="346">
        <f t="shared" si="1726"/>
        <v>46021</v>
      </c>
      <c r="F12205" s="518" t="s">
        <v>2088</v>
      </c>
      <c r="G12205" s="347" t="s">
        <v>1245</v>
      </c>
      <c r="H12205" s="348"/>
      <c r="I12205" s="348" t="s">
        <v>1253</v>
      </c>
      <c r="J12205" s="344" t="s">
        <v>2086</v>
      </c>
      <c r="K12205" s="349">
        <v>3579.6703296703299</v>
      </c>
      <c r="L12205" s="349"/>
      <c r="M12205" s="455"/>
    </row>
    <row r="12206" spans="1:15" ht="11.25" customHeight="1" x14ac:dyDescent="0.2">
      <c r="A12206" s="350">
        <v>2025</v>
      </c>
      <c r="B12206" s="350">
        <v>12</v>
      </c>
      <c r="C12206" s="350">
        <v>30</v>
      </c>
      <c r="D12206" s="351">
        <f t="shared" si="1718"/>
        <v>46021</v>
      </c>
      <c r="E12206" s="352">
        <f t="shared" si="1726"/>
        <v>46021</v>
      </c>
      <c r="F12206" s="519"/>
      <c r="G12206" s="353" t="s">
        <v>1245</v>
      </c>
      <c r="H12206" s="354"/>
      <c r="I12206" s="354" t="s">
        <v>1253</v>
      </c>
      <c r="J12206" s="350" t="s">
        <v>2089</v>
      </c>
      <c r="K12206" s="355"/>
      <c r="L12206" s="355">
        <f>K12205</f>
        <v>3579.6703296703299</v>
      </c>
    </row>
    <row r="12207" spans="1:15" ht="11.25" customHeight="1" x14ac:dyDescent="0.2">
      <c r="A12207" s="344">
        <v>2025</v>
      </c>
      <c r="B12207" s="344">
        <v>12</v>
      </c>
      <c r="C12207" s="344">
        <v>30</v>
      </c>
      <c r="D12207" s="345">
        <f t="shared" si="1718"/>
        <v>46021</v>
      </c>
      <c r="E12207" s="346">
        <f>DATE(A12207,B12207,C12207)</f>
        <v>46021</v>
      </c>
      <c r="F12207" s="518" t="s">
        <v>1988</v>
      </c>
      <c r="G12207" s="347" t="s">
        <v>1245</v>
      </c>
      <c r="H12207" s="348"/>
      <c r="I12207" s="348" t="s">
        <v>1253</v>
      </c>
      <c r="J12207" s="344" t="s">
        <v>113</v>
      </c>
      <c r="K12207" s="349">
        <v>9384.6142857142859</v>
      </c>
      <c r="L12207" s="349"/>
      <c r="M12207" s="455"/>
    </row>
    <row r="12208" spans="1:15" ht="11.25" customHeight="1" x14ac:dyDescent="0.2">
      <c r="A12208" s="350">
        <v>2025</v>
      </c>
      <c r="B12208" s="350">
        <v>12</v>
      </c>
      <c r="C12208" s="350">
        <v>30</v>
      </c>
      <c r="D12208" s="351">
        <f t="shared" si="1718"/>
        <v>46021</v>
      </c>
      <c r="E12208" s="352">
        <f>DATE(A12208,B12208,C12208)</f>
        <v>46021</v>
      </c>
      <c r="F12208" s="519"/>
      <c r="G12208" s="353" t="s">
        <v>1245</v>
      </c>
      <c r="H12208" s="354"/>
      <c r="I12208" s="354" t="s">
        <v>1253</v>
      </c>
      <c r="J12208" s="350" t="s">
        <v>153</v>
      </c>
      <c r="K12208" s="355"/>
      <c r="L12208" s="355">
        <f t="shared" ref="L12208" si="1729">K12207</f>
        <v>9384.6142857142859</v>
      </c>
    </row>
    <row r="12209" spans="1:16" ht="11.25" customHeight="1" x14ac:dyDescent="0.2">
      <c r="A12209" s="344">
        <v>2025</v>
      </c>
      <c r="B12209" s="344">
        <v>12</v>
      </c>
      <c r="C12209" s="344">
        <v>30</v>
      </c>
      <c r="D12209" s="345">
        <f t="shared" si="1718"/>
        <v>46021</v>
      </c>
      <c r="E12209" s="346">
        <f t="shared" ref="E12209:E12215" si="1730">DATE(A12209,B12209,C12209)</f>
        <v>46021</v>
      </c>
      <c r="F12209" s="518" t="s">
        <v>1989</v>
      </c>
      <c r="G12209" s="347" t="s">
        <v>1245</v>
      </c>
      <c r="H12209" s="348"/>
      <c r="I12209" s="348" t="s">
        <v>1253</v>
      </c>
      <c r="J12209" s="344" t="s">
        <v>113</v>
      </c>
      <c r="K12209" s="349">
        <v>6703.2967032967035</v>
      </c>
      <c r="L12209" s="349"/>
      <c r="M12209" s="455"/>
    </row>
    <row r="12210" spans="1:16" ht="11.25" customHeight="1" x14ac:dyDescent="0.2">
      <c r="A12210" s="350">
        <v>2025</v>
      </c>
      <c r="B12210" s="350">
        <v>12</v>
      </c>
      <c r="C12210" s="350">
        <v>30</v>
      </c>
      <c r="D12210" s="351">
        <f t="shared" si="1718"/>
        <v>46021</v>
      </c>
      <c r="E12210" s="352">
        <f t="shared" si="1730"/>
        <v>46021</v>
      </c>
      <c r="F12210" s="519"/>
      <c r="G12210" s="353" t="s">
        <v>1245</v>
      </c>
      <c r="H12210" s="354"/>
      <c r="I12210" s="354" t="s">
        <v>1253</v>
      </c>
      <c r="J12210" s="350" t="s">
        <v>153</v>
      </c>
      <c r="K12210" s="355"/>
      <c r="L12210" s="355">
        <f t="shared" ref="L12210" si="1731">K12209</f>
        <v>6703.2967032967035</v>
      </c>
    </row>
    <row r="12211" spans="1:16" ht="11.25" customHeight="1" x14ac:dyDescent="0.2">
      <c r="A12211" s="344">
        <v>2025</v>
      </c>
      <c r="B12211" s="344">
        <v>12</v>
      </c>
      <c r="C12211" s="344">
        <v>30</v>
      </c>
      <c r="D12211" s="345">
        <f t="shared" si="1718"/>
        <v>46021</v>
      </c>
      <c r="E12211" s="346">
        <f t="shared" si="1730"/>
        <v>46021</v>
      </c>
      <c r="F12211" s="518" t="s">
        <v>1990</v>
      </c>
      <c r="G12211" s="347" t="s">
        <v>1245</v>
      </c>
      <c r="H12211" s="348"/>
      <c r="I12211" s="348" t="s">
        <v>1253</v>
      </c>
      <c r="J12211" s="344" t="s">
        <v>113</v>
      </c>
      <c r="K12211" s="349">
        <v>20109.891428571427</v>
      </c>
      <c r="L12211" s="349"/>
      <c r="M12211" s="455"/>
      <c r="N12211" s="251"/>
      <c r="O12211" s="251"/>
      <c r="P12211" s="251"/>
    </row>
    <row r="12212" spans="1:16" ht="11.25" customHeight="1" x14ac:dyDescent="0.2">
      <c r="A12212" s="350">
        <v>2025</v>
      </c>
      <c r="B12212" s="350">
        <v>12</v>
      </c>
      <c r="C12212" s="350">
        <v>30</v>
      </c>
      <c r="D12212" s="351">
        <f t="shared" si="1718"/>
        <v>46021</v>
      </c>
      <c r="E12212" s="352">
        <f t="shared" si="1730"/>
        <v>46021</v>
      </c>
      <c r="F12212" s="519"/>
      <c r="G12212" s="353" t="s">
        <v>1245</v>
      </c>
      <c r="H12212" s="354"/>
      <c r="I12212" s="354" t="s">
        <v>1253</v>
      </c>
      <c r="J12212" s="350" t="s">
        <v>153</v>
      </c>
      <c r="K12212" s="355"/>
      <c r="L12212" s="355">
        <f t="shared" ref="L12212" si="1732">K12211</f>
        <v>20109.891428571427</v>
      </c>
    </row>
    <row r="12213" spans="1:16" ht="11.25" customHeight="1" x14ac:dyDescent="0.2">
      <c r="A12213" s="344">
        <v>2025</v>
      </c>
      <c r="B12213" s="344">
        <v>12</v>
      </c>
      <c r="C12213" s="344">
        <v>30</v>
      </c>
      <c r="D12213" s="345">
        <f t="shared" si="1718"/>
        <v>46021</v>
      </c>
      <c r="E12213" s="346">
        <f t="shared" si="1730"/>
        <v>46021</v>
      </c>
      <c r="F12213" s="518" t="s">
        <v>2107</v>
      </c>
      <c r="G12213" s="347" t="s">
        <v>1245</v>
      </c>
      <c r="H12213" s="348"/>
      <c r="I12213" s="348" t="s">
        <v>1253</v>
      </c>
      <c r="J12213" s="344" t="s">
        <v>113</v>
      </c>
      <c r="K12213" s="349">
        <v>24741.758241758242</v>
      </c>
      <c r="L12213" s="349"/>
      <c r="M12213" s="455"/>
      <c r="N12213" s="251"/>
      <c r="O12213" s="251"/>
      <c r="P12213" s="251"/>
    </row>
    <row r="12214" spans="1:16" ht="11.25" customHeight="1" x14ac:dyDescent="0.2">
      <c r="A12214" s="350">
        <v>2025</v>
      </c>
      <c r="B12214" s="350">
        <v>12</v>
      </c>
      <c r="C12214" s="350">
        <v>30</v>
      </c>
      <c r="D12214" s="351">
        <f t="shared" si="1718"/>
        <v>46021</v>
      </c>
      <c r="E12214" s="352">
        <f t="shared" si="1730"/>
        <v>46021</v>
      </c>
      <c r="F12214" s="519"/>
      <c r="G12214" s="353" t="s">
        <v>1245</v>
      </c>
      <c r="H12214" s="354"/>
      <c r="I12214" s="354" t="s">
        <v>1253</v>
      </c>
      <c r="J12214" s="350" t="s">
        <v>153</v>
      </c>
      <c r="K12214" s="355"/>
      <c r="L12214" s="355">
        <f t="shared" ref="L12214" si="1733">K12213</f>
        <v>24741.758241758242</v>
      </c>
    </row>
    <row r="12215" spans="1:16" ht="11.25" customHeight="1" x14ac:dyDescent="0.2">
      <c r="A12215" s="210">
        <v>2025</v>
      </c>
      <c r="B12215" s="210">
        <v>12</v>
      </c>
      <c r="C12215" s="210">
        <v>30</v>
      </c>
      <c r="D12215" s="211">
        <f t="shared" si="1718"/>
        <v>46021</v>
      </c>
      <c r="E12215" s="238">
        <f t="shared" si="1730"/>
        <v>46021</v>
      </c>
      <c r="F12215" s="520" t="s">
        <v>1857</v>
      </c>
      <c r="G12215" s="213" t="s">
        <v>1245</v>
      </c>
      <c r="H12215" s="214"/>
      <c r="I12215" s="214" t="s">
        <v>1253</v>
      </c>
      <c r="J12215" s="210" t="s">
        <v>1284</v>
      </c>
      <c r="K12215" s="215">
        <v>669.08897554058842</v>
      </c>
      <c r="L12215" s="215"/>
      <c r="M12215" s="455"/>
    </row>
    <row r="12216" spans="1:16" ht="11.25" customHeight="1" x14ac:dyDescent="0.2">
      <c r="A12216" s="242">
        <v>2025</v>
      </c>
      <c r="B12216" s="242">
        <v>12</v>
      </c>
      <c r="C12216" s="242">
        <v>30</v>
      </c>
      <c r="D12216" s="243">
        <f t="shared" si="1718"/>
        <v>46021</v>
      </c>
      <c r="E12216" s="244">
        <f>DATE(A12216,B12216,C12216)</f>
        <v>46021</v>
      </c>
      <c r="F12216" s="524"/>
      <c r="G12216" s="245" t="s">
        <v>1245</v>
      </c>
      <c r="H12216" s="246"/>
      <c r="I12216" s="246"/>
      <c r="J12216" s="242" t="s">
        <v>1582</v>
      </c>
      <c r="K12216" s="247"/>
      <c r="L12216" s="247">
        <f>K12215</f>
        <v>669.08897554058842</v>
      </c>
    </row>
    <row r="12217" spans="1:16" ht="11.25" customHeight="1" x14ac:dyDescent="0.2">
      <c r="A12217" s="210">
        <v>2025</v>
      </c>
      <c r="B12217" s="210">
        <v>12</v>
      </c>
      <c r="C12217" s="210">
        <v>30</v>
      </c>
      <c r="D12217" s="211">
        <f t="shared" si="1718"/>
        <v>46021</v>
      </c>
      <c r="E12217" s="238">
        <f t="shared" ref="E12217:E12231" si="1734">DATE(A12217,B12217,C12217)</f>
        <v>46021</v>
      </c>
      <c r="F12217" s="520" t="s">
        <v>2055</v>
      </c>
      <c r="G12217" s="213" t="s">
        <v>1245</v>
      </c>
      <c r="H12217" s="214"/>
      <c r="I12217" s="214" t="s">
        <v>1253</v>
      </c>
      <c r="J12217" s="210" t="s">
        <v>58</v>
      </c>
      <c r="K12217" s="215">
        <v>826.92</v>
      </c>
      <c r="L12217" s="215"/>
    </row>
    <row r="12218" spans="1:16" ht="11.25" customHeight="1" x14ac:dyDescent="0.2">
      <c r="A12218" s="216">
        <v>2025</v>
      </c>
      <c r="B12218" s="216">
        <v>12</v>
      </c>
      <c r="C12218" s="216">
        <v>30</v>
      </c>
      <c r="D12218" s="217">
        <f t="shared" si="1718"/>
        <v>46021</v>
      </c>
      <c r="E12218" s="239">
        <f t="shared" si="1734"/>
        <v>46021</v>
      </c>
      <c r="F12218" s="521"/>
      <c r="G12218" s="219" t="s">
        <v>1245</v>
      </c>
      <c r="H12218" s="220"/>
      <c r="I12218" s="220" t="s">
        <v>1253</v>
      </c>
      <c r="J12218" s="216" t="s">
        <v>153</v>
      </c>
      <c r="K12218" s="221"/>
      <c r="L12218" s="221">
        <f>K12217</f>
        <v>826.92</v>
      </c>
    </row>
    <row r="12219" spans="1:16" ht="11.25" customHeight="1" x14ac:dyDescent="0.2">
      <c r="A12219" s="312">
        <v>2025</v>
      </c>
      <c r="B12219" s="312">
        <v>12</v>
      </c>
      <c r="C12219" s="312">
        <v>30</v>
      </c>
      <c r="D12219" s="313">
        <f t="shared" si="1718"/>
        <v>46021</v>
      </c>
      <c r="E12219" s="314">
        <f t="shared" si="1734"/>
        <v>46021</v>
      </c>
      <c r="F12219" s="522" t="s">
        <v>1595</v>
      </c>
      <c r="G12219" s="315" t="s">
        <v>1245</v>
      </c>
      <c r="H12219" s="316"/>
      <c r="I12219" s="316" t="s">
        <v>1253</v>
      </c>
      <c r="J12219" s="312" t="s">
        <v>1461</v>
      </c>
      <c r="K12219" s="317">
        <v>465395.85000026226</v>
      </c>
      <c r="L12219" s="317"/>
      <c r="M12219" s="328">
        <f>BS!$I$14</f>
        <v>0</v>
      </c>
    </row>
    <row r="12220" spans="1:16" ht="11.25" customHeight="1" x14ac:dyDescent="0.2">
      <c r="A12220" s="318">
        <v>2025</v>
      </c>
      <c r="B12220" s="318">
        <v>12</v>
      </c>
      <c r="C12220" s="318">
        <v>30</v>
      </c>
      <c r="D12220" s="319">
        <f t="shared" si="1718"/>
        <v>46021</v>
      </c>
      <c r="E12220" s="320">
        <f t="shared" si="1734"/>
        <v>46021</v>
      </c>
      <c r="F12220" s="523"/>
      <c r="G12220" s="321" t="s">
        <v>1245</v>
      </c>
      <c r="H12220" s="322"/>
      <c r="I12220" s="322" t="s">
        <v>1253</v>
      </c>
      <c r="J12220" s="318" t="s">
        <v>1459</v>
      </c>
      <c r="K12220" s="323"/>
      <c r="L12220" s="323">
        <f>K12219</f>
        <v>465395.85000026226</v>
      </c>
      <c r="M12220" s="328"/>
    </row>
    <row r="12221" spans="1:16" ht="11.25" customHeight="1" x14ac:dyDescent="0.2">
      <c r="A12221" s="222">
        <v>2025</v>
      </c>
      <c r="B12221" s="222">
        <v>12</v>
      </c>
      <c r="C12221" s="222">
        <v>30</v>
      </c>
      <c r="D12221" s="223">
        <f t="shared" si="1718"/>
        <v>46021</v>
      </c>
      <c r="E12221" s="240">
        <f t="shared" si="1734"/>
        <v>46021</v>
      </c>
      <c r="F12221" s="511" t="s">
        <v>1244</v>
      </c>
      <c r="G12221" s="225" t="s">
        <v>1245</v>
      </c>
      <c r="H12221" s="226"/>
      <c r="I12221" s="226" t="s">
        <v>1253</v>
      </c>
      <c r="J12221" s="222" t="s">
        <v>87</v>
      </c>
      <c r="K12221" s="227">
        <v>5238</v>
      </c>
      <c r="L12221" s="227"/>
      <c r="M12221" s="328">
        <f>BS!$I$7</f>
        <v>0</v>
      </c>
    </row>
    <row r="12222" spans="1:16" ht="11.25" customHeight="1" x14ac:dyDescent="0.2">
      <c r="A12222" s="228">
        <v>2025</v>
      </c>
      <c r="B12222" s="228">
        <v>12</v>
      </c>
      <c r="C12222" s="228">
        <v>30</v>
      </c>
      <c r="D12222" s="229">
        <f t="shared" si="1718"/>
        <v>46021</v>
      </c>
      <c r="E12222" s="241">
        <f t="shared" si="1734"/>
        <v>46021</v>
      </c>
      <c r="F12222" s="512"/>
      <c r="G12222" s="231" t="s">
        <v>1245</v>
      </c>
      <c r="H12222" s="232"/>
      <c r="I12222" s="232" t="s">
        <v>1253</v>
      </c>
      <c r="J12222" s="228" t="s">
        <v>72</v>
      </c>
      <c r="K12222" s="233"/>
      <c r="L12222" s="233">
        <f>K12221</f>
        <v>5238</v>
      </c>
    </row>
    <row r="12223" spans="1:16" ht="11.25" customHeight="1" x14ac:dyDescent="0.2">
      <c r="A12223" s="222">
        <v>2025</v>
      </c>
      <c r="B12223" s="222">
        <v>12</v>
      </c>
      <c r="C12223" s="222">
        <v>30</v>
      </c>
      <c r="D12223" s="223">
        <f t="shared" si="1718"/>
        <v>46021</v>
      </c>
      <c r="E12223" s="240">
        <f t="shared" si="1734"/>
        <v>46021</v>
      </c>
      <c r="F12223" s="511" t="s">
        <v>1246</v>
      </c>
      <c r="G12223" s="225" t="s">
        <v>1245</v>
      </c>
      <c r="H12223" s="226"/>
      <c r="I12223" s="226" t="s">
        <v>1253</v>
      </c>
      <c r="J12223" s="222" t="s">
        <v>75</v>
      </c>
      <c r="K12223" s="227">
        <v>1035.1782417582417</v>
      </c>
      <c r="L12223" s="227"/>
      <c r="M12223" s="455"/>
    </row>
    <row r="12224" spans="1:16" ht="11.25" customHeight="1" x14ac:dyDescent="0.2">
      <c r="A12224" s="228">
        <v>2025</v>
      </c>
      <c r="B12224" s="228">
        <v>12</v>
      </c>
      <c r="C12224" s="228">
        <v>30</v>
      </c>
      <c r="D12224" s="229">
        <f t="shared" si="1718"/>
        <v>46021</v>
      </c>
      <c r="E12224" s="241">
        <f t="shared" si="1734"/>
        <v>46021</v>
      </c>
      <c r="F12224" s="512"/>
      <c r="G12224" s="231" t="s">
        <v>1245</v>
      </c>
      <c r="H12224" s="232"/>
      <c r="I12224" s="232" t="s">
        <v>1253</v>
      </c>
      <c r="J12224" s="228" t="s">
        <v>55</v>
      </c>
      <c r="K12224" s="233"/>
      <c r="L12224" s="233">
        <f>K12223</f>
        <v>1035.1782417582417</v>
      </c>
    </row>
    <row r="12225" spans="1:15" ht="11.25" customHeight="1" x14ac:dyDescent="0.2">
      <c r="A12225" s="222">
        <v>2025</v>
      </c>
      <c r="B12225" s="222">
        <v>12</v>
      </c>
      <c r="C12225" s="222">
        <v>30</v>
      </c>
      <c r="D12225" s="223">
        <f t="shared" si="1718"/>
        <v>46021</v>
      </c>
      <c r="E12225" s="240">
        <f t="shared" si="1734"/>
        <v>46021</v>
      </c>
      <c r="F12225" s="511" t="s">
        <v>1247</v>
      </c>
      <c r="G12225" s="225" t="s">
        <v>1245</v>
      </c>
      <c r="H12225" s="226"/>
      <c r="I12225" s="226" t="s">
        <v>1253</v>
      </c>
      <c r="J12225" s="222" t="s">
        <v>77</v>
      </c>
      <c r="K12225" s="227">
        <f>M12225</f>
        <v>14712.782478815407</v>
      </c>
      <c r="L12225" s="227"/>
      <c r="M12225" s="478">
        <v>14712.782478815407</v>
      </c>
    </row>
    <row r="12226" spans="1:15" ht="11.25" customHeight="1" x14ac:dyDescent="0.2">
      <c r="A12226" s="228">
        <v>2025</v>
      </c>
      <c r="B12226" s="228">
        <v>12</v>
      </c>
      <c r="C12226" s="228">
        <v>30</v>
      </c>
      <c r="D12226" s="229">
        <f t="shared" ref="D12226:D12289" si="1735">DATE(A12226,B12226,C12226)</f>
        <v>46021</v>
      </c>
      <c r="E12226" s="241">
        <f t="shared" si="1734"/>
        <v>46021</v>
      </c>
      <c r="F12226" s="512"/>
      <c r="G12226" s="231" t="s">
        <v>1245</v>
      </c>
      <c r="H12226" s="232"/>
      <c r="I12226" s="232" t="s">
        <v>1253</v>
      </c>
      <c r="J12226" s="228" t="s">
        <v>41</v>
      </c>
      <c r="K12226" s="233"/>
      <c r="L12226" s="233">
        <f>K12225</f>
        <v>14712.782478815407</v>
      </c>
      <c r="M12226" s="478">
        <v>1471.2782478815407</v>
      </c>
    </row>
    <row r="12227" spans="1:15" ht="11.25" customHeight="1" x14ac:dyDescent="0.2">
      <c r="A12227" s="222">
        <v>2025</v>
      </c>
      <c r="B12227" s="222">
        <v>12</v>
      </c>
      <c r="C12227" s="222">
        <v>30</v>
      </c>
      <c r="D12227" s="223">
        <f t="shared" si="1735"/>
        <v>46021</v>
      </c>
      <c r="E12227" s="240">
        <f t="shared" si="1734"/>
        <v>46021</v>
      </c>
      <c r="F12227" s="511" t="s">
        <v>1248</v>
      </c>
      <c r="G12227" s="225" t="s">
        <v>1245</v>
      </c>
      <c r="H12227" s="226"/>
      <c r="I12227" s="226" t="s">
        <v>1253</v>
      </c>
      <c r="J12227" s="222" t="s">
        <v>80</v>
      </c>
      <c r="K12227" s="227">
        <f>M12226</f>
        <v>1471.2782478815407</v>
      </c>
      <c r="L12227" s="227"/>
      <c r="N12227" s="251"/>
      <c r="O12227" s="251"/>
    </row>
    <row r="12228" spans="1:15" ht="11.25" customHeight="1" x14ac:dyDescent="0.2">
      <c r="A12228" s="228">
        <v>2025</v>
      </c>
      <c r="B12228" s="228">
        <v>12</v>
      </c>
      <c r="C12228" s="228">
        <v>30</v>
      </c>
      <c r="D12228" s="229">
        <f t="shared" si="1735"/>
        <v>46021</v>
      </c>
      <c r="E12228" s="241">
        <f t="shared" si="1734"/>
        <v>46021</v>
      </c>
      <c r="F12228" s="512"/>
      <c r="G12228" s="231" t="s">
        <v>1245</v>
      </c>
      <c r="H12228" s="232"/>
      <c r="I12228" s="232" t="s">
        <v>1253</v>
      </c>
      <c r="J12228" s="228" t="s">
        <v>42</v>
      </c>
      <c r="K12228" s="233"/>
      <c r="L12228" s="233">
        <f>K12227</f>
        <v>1471.2782478815407</v>
      </c>
      <c r="N12228" s="251"/>
    </row>
    <row r="12229" spans="1:15" x14ac:dyDescent="0.2">
      <c r="A12229" s="197">
        <v>2026</v>
      </c>
      <c r="B12229" s="197">
        <v>1</v>
      </c>
      <c r="C12229" s="120">
        <v>1</v>
      </c>
      <c r="D12229" s="198">
        <f t="shared" si="1735"/>
        <v>46023</v>
      </c>
      <c r="E12229" s="209">
        <f t="shared" si="1734"/>
        <v>46023</v>
      </c>
      <c r="F12229" s="513" t="s">
        <v>1296</v>
      </c>
      <c r="G12229" s="200" t="s">
        <v>1209</v>
      </c>
      <c r="H12229" s="201"/>
      <c r="I12229" s="201"/>
      <c r="J12229" s="197" t="s">
        <v>46</v>
      </c>
      <c r="K12229" s="202">
        <v>10000</v>
      </c>
      <c r="L12229" s="202"/>
    </row>
    <row r="12230" spans="1:15" x14ac:dyDescent="0.2">
      <c r="A12230" s="120">
        <v>2026</v>
      </c>
      <c r="B12230" s="120">
        <v>1</v>
      </c>
      <c r="C12230" s="120">
        <v>1</v>
      </c>
      <c r="D12230" s="208">
        <f t="shared" si="1735"/>
        <v>46023</v>
      </c>
      <c r="E12230" s="209">
        <f t="shared" si="1734"/>
        <v>46023</v>
      </c>
      <c r="F12230" s="515"/>
      <c r="G12230" s="132" t="s">
        <v>1209</v>
      </c>
      <c r="J12230" s="120" t="s">
        <v>16</v>
      </c>
      <c r="K12230" s="207"/>
      <c r="L12230" s="207">
        <v>7260</v>
      </c>
    </row>
    <row r="12231" spans="1:15" x14ac:dyDescent="0.2">
      <c r="A12231" s="191">
        <v>2026</v>
      </c>
      <c r="B12231" s="191">
        <v>1</v>
      </c>
      <c r="C12231" s="191">
        <v>1</v>
      </c>
      <c r="D12231" s="192">
        <f t="shared" si="1735"/>
        <v>46023</v>
      </c>
      <c r="E12231" s="193">
        <f t="shared" si="1734"/>
        <v>46023</v>
      </c>
      <c r="F12231" s="514"/>
      <c r="G12231" s="194" t="s">
        <v>1209</v>
      </c>
      <c r="H12231" s="195"/>
      <c r="I12231" s="195"/>
      <c r="J12231" s="191" t="s">
        <v>47</v>
      </c>
      <c r="K12231" s="196"/>
      <c r="L12231" s="196">
        <v>2740</v>
      </c>
    </row>
    <row r="12232" spans="1:15" ht="11.25" customHeight="1" x14ac:dyDescent="0.2">
      <c r="A12232" s="197">
        <v>2026</v>
      </c>
      <c r="B12232" s="197">
        <v>1</v>
      </c>
      <c r="C12232" s="197">
        <v>1</v>
      </c>
      <c r="D12232" s="198">
        <f t="shared" si="1735"/>
        <v>46023</v>
      </c>
      <c r="E12232" s="290">
        <f>DATE(A12232,B12232,C12232)</f>
        <v>46023</v>
      </c>
      <c r="F12232" s="513" t="s">
        <v>1527</v>
      </c>
      <c r="G12232" s="200" t="s">
        <v>1209</v>
      </c>
      <c r="H12232" s="201"/>
      <c r="I12232" s="201"/>
      <c r="J12232" s="197" t="s">
        <v>54</v>
      </c>
      <c r="K12232" s="202">
        <v>20345</v>
      </c>
      <c r="L12232" s="202"/>
      <c r="O12232" s="251"/>
    </row>
    <row r="12233" spans="1:15" ht="11.25" customHeight="1" x14ac:dyDescent="0.2">
      <c r="A12233" s="191">
        <v>2026</v>
      </c>
      <c r="B12233" s="191">
        <v>1</v>
      </c>
      <c r="C12233" s="191">
        <v>1</v>
      </c>
      <c r="D12233" s="192">
        <f t="shared" si="1735"/>
        <v>46023</v>
      </c>
      <c r="E12233" s="291">
        <f>DATE(A12233,B12233,C12233)</f>
        <v>46023</v>
      </c>
      <c r="F12233" s="514"/>
      <c r="G12233" s="194" t="s">
        <v>1209</v>
      </c>
      <c r="H12233" s="195"/>
      <c r="I12233" s="195"/>
      <c r="J12233" s="191" t="s">
        <v>46</v>
      </c>
      <c r="K12233" s="196"/>
      <c r="L12233" s="196">
        <f>K12232</f>
        <v>20345</v>
      </c>
      <c r="O12233" s="251"/>
    </row>
    <row r="12234" spans="1:15" x14ac:dyDescent="0.2">
      <c r="A12234" s="424">
        <v>2026</v>
      </c>
      <c r="B12234" s="424">
        <v>1</v>
      </c>
      <c r="C12234" s="424">
        <v>1</v>
      </c>
      <c r="D12234" s="425">
        <f t="shared" si="1735"/>
        <v>46023</v>
      </c>
      <c r="E12234" s="384">
        <f t="shared" ref="E12234:E12245" si="1736">DATE(A12234,B12234,C12234)</f>
        <v>46023</v>
      </c>
      <c r="F12234" s="516" t="s">
        <v>1850</v>
      </c>
      <c r="G12234" s="426" t="s">
        <v>1209</v>
      </c>
      <c r="H12234" s="427"/>
      <c r="I12234" s="427"/>
      <c r="J12234" s="428" t="s">
        <v>81</v>
      </c>
      <c r="K12234" s="429">
        <v>3191.6347252747255</v>
      </c>
      <c r="L12234" s="429"/>
      <c r="M12234" s="455"/>
    </row>
    <row r="12235" spans="1:15" x14ac:dyDescent="0.2">
      <c r="A12235" s="389">
        <v>2026</v>
      </c>
      <c r="B12235" s="389">
        <v>1</v>
      </c>
      <c r="C12235" s="389">
        <v>1</v>
      </c>
      <c r="D12235" s="390">
        <f t="shared" si="1735"/>
        <v>46023</v>
      </c>
      <c r="E12235" s="391">
        <f t="shared" si="1736"/>
        <v>46023</v>
      </c>
      <c r="F12235" s="517"/>
      <c r="G12235" s="392" t="s">
        <v>1209</v>
      </c>
      <c r="H12235" s="393"/>
      <c r="I12235" s="393"/>
      <c r="J12235" s="394" t="s">
        <v>1847</v>
      </c>
      <c r="K12235" s="423"/>
      <c r="L12235" s="423">
        <f>K12234</f>
        <v>3191.6347252747255</v>
      </c>
    </row>
    <row r="12236" spans="1:15" ht="11.25" customHeight="1" x14ac:dyDescent="0.2">
      <c r="A12236" s="382">
        <v>2026</v>
      </c>
      <c r="B12236" s="382">
        <v>1</v>
      </c>
      <c r="C12236" s="382">
        <v>1</v>
      </c>
      <c r="D12236" s="383">
        <f t="shared" si="1735"/>
        <v>46023</v>
      </c>
      <c r="E12236" s="384">
        <f t="shared" si="1736"/>
        <v>46023</v>
      </c>
      <c r="F12236" s="516" t="s">
        <v>1892</v>
      </c>
      <c r="G12236" s="385" t="s">
        <v>1209</v>
      </c>
      <c r="H12236" s="386"/>
      <c r="I12236" s="386"/>
      <c r="J12236" s="387" t="s">
        <v>173</v>
      </c>
      <c r="K12236" s="388">
        <v>1259.96</v>
      </c>
      <c r="L12236" s="388"/>
      <c r="M12236" s="455"/>
    </row>
    <row r="12237" spans="1:15" ht="11.25" customHeight="1" x14ac:dyDescent="0.2">
      <c r="A12237" s="389">
        <v>2026</v>
      </c>
      <c r="B12237" s="389">
        <v>1</v>
      </c>
      <c r="C12237" s="389">
        <v>1</v>
      </c>
      <c r="D12237" s="390">
        <f t="shared" si="1735"/>
        <v>46023</v>
      </c>
      <c r="E12237" s="391">
        <f t="shared" si="1736"/>
        <v>46023</v>
      </c>
      <c r="F12237" s="517"/>
      <c r="G12237" s="392" t="s">
        <v>1209</v>
      </c>
      <c r="H12237" s="393"/>
      <c r="I12237" s="393"/>
      <c r="J12237" s="394" t="s">
        <v>43</v>
      </c>
      <c r="K12237" s="388"/>
      <c r="L12237" s="423">
        <f>K12236</f>
        <v>1259.96</v>
      </c>
    </row>
    <row r="12238" spans="1:15" ht="11.25" customHeight="1" x14ac:dyDescent="0.2">
      <c r="A12238" s="344">
        <v>2026</v>
      </c>
      <c r="B12238" s="344">
        <v>1</v>
      </c>
      <c r="C12238" s="344">
        <v>1</v>
      </c>
      <c r="D12238" s="345">
        <f t="shared" si="1735"/>
        <v>46023</v>
      </c>
      <c r="E12238" s="346">
        <f t="shared" si="1736"/>
        <v>46023</v>
      </c>
      <c r="F12238" s="518" t="s">
        <v>1982</v>
      </c>
      <c r="G12238" s="347" t="s">
        <v>1245</v>
      </c>
      <c r="H12238" s="348"/>
      <c r="I12238" s="348" t="s">
        <v>1253</v>
      </c>
      <c r="J12238" s="344" t="s">
        <v>1978</v>
      </c>
      <c r="K12238" s="349">
        <v>42499.45054945055</v>
      </c>
      <c r="L12238" s="349"/>
      <c r="M12238" s="455"/>
    </row>
    <row r="12239" spans="1:15" ht="11.25" customHeight="1" x14ac:dyDescent="0.2">
      <c r="A12239" s="350">
        <v>2026</v>
      </c>
      <c r="B12239" s="350">
        <v>1</v>
      </c>
      <c r="C12239" s="350">
        <v>1</v>
      </c>
      <c r="D12239" s="351">
        <f t="shared" si="1735"/>
        <v>46023</v>
      </c>
      <c r="E12239" s="352">
        <f t="shared" si="1736"/>
        <v>46023</v>
      </c>
      <c r="F12239" s="519"/>
      <c r="G12239" s="353" t="s">
        <v>1245</v>
      </c>
      <c r="H12239" s="354"/>
      <c r="I12239" s="354" t="s">
        <v>1253</v>
      </c>
      <c r="J12239" s="350" t="s">
        <v>1979</v>
      </c>
      <c r="K12239" s="355"/>
      <c r="L12239" s="355">
        <f>K12238</f>
        <v>42499.45054945055</v>
      </c>
    </row>
    <row r="12240" spans="1:15" ht="11.25" customHeight="1" x14ac:dyDescent="0.2">
      <c r="A12240" s="344">
        <v>2026</v>
      </c>
      <c r="B12240" s="344">
        <v>1</v>
      </c>
      <c r="C12240" s="344">
        <v>1</v>
      </c>
      <c r="D12240" s="345">
        <f t="shared" si="1735"/>
        <v>46023</v>
      </c>
      <c r="E12240" s="346">
        <f t="shared" si="1736"/>
        <v>46023</v>
      </c>
      <c r="F12240" s="518" t="s">
        <v>2009</v>
      </c>
      <c r="G12240" s="347" t="s">
        <v>1245</v>
      </c>
      <c r="H12240" s="348"/>
      <c r="I12240" s="348" t="s">
        <v>1253</v>
      </c>
      <c r="J12240" s="344" t="s">
        <v>2004</v>
      </c>
      <c r="K12240" s="349">
        <v>14197.802857142857</v>
      </c>
      <c r="L12240" s="349"/>
      <c r="M12240" s="455"/>
    </row>
    <row r="12241" spans="1:16" ht="11.25" customHeight="1" x14ac:dyDescent="0.2">
      <c r="A12241" s="350">
        <v>2026</v>
      </c>
      <c r="B12241" s="350">
        <v>1</v>
      </c>
      <c r="C12241" s="350">
        <v>1</v>
      </c>
      <c r="D12241" s="351">
        <f t="shared" si="1735"/>
        <v>46023</v>
      </c>
      <c r="E12241" s="352">
        <f t="shared" si="1736"/>
        <v>46023</v>
      </c>
      <c r="F12241" s="519"/>
      <c r="G12241" s="353" t="s">
        <v>1245</v>
      </c>
      <c r="H12241" s="354"/>
      <c r="I12241" s="354" t="s">
        <v>1253</v>
      </c>
      <c r="J12241" s="350" t="s">
        <v>2008</v>
      </c>
      <c r="K12241" s="355"/>
      <c r="L12241" s="355">
        <f t="shared" ref="L12241" si="1737">K12240</f>
        <v>14197.802857142857</v>
      </c>
    </row>
    <row r="12242" spans="1:16" ht="11.25" customHeight="1" x14ac:dyDescent="0.2">
      <c r="A12242" s="344">
        <v>2026</v>
      </c>
      <c r="B12242" s="344">
        <v>1</v>
      </c>
      <c r="C12242" s="344">
        <v>1</v>
      </c>
      <c r="D12242" s="345">
        <f t="shared" si="1735"/>
        <v>46023</v>
      </c>
      <c r="E12242" s="346">
        <f t="shared" si="1736"/>
        <v>46023</v>
      </c>
      <c r="F12242" s="518" t="s">
        <v>2009</v>
      </c>
      <c r="G12242" s="347" t="s">
        <v>1245</v>
      </c>
      <c r="H12242" s="348"/>
      <c r="I12242" s="348" t="s">
        <v>1253</v>
      </c>
      <c r="J12242" s="344" t="s">
        <v>2004</v>
      </c>
      <c r="K12242" s="349">
        <v>14197.802857142857</v>
      </c>
      <c r="L12242" s="349"/>
      <c r="M12242" s="455"/>
    </row>
    <row r="12243" spans="1:16" ht="11.25" customHeight="1" x14ac:dyDescent="0.2">
      <c r="A12243" s="350">
        <v>2026</v>
      </c>
      <c r="B12243" s="350">
        <v>1</v>
      </c>
      <c r="C12243" s="350">
        <v>1</v>
      </c>
      <c r="D12243" s="351">
        <f t="shared" si="1735"/>
        <v>46023</v>
      </c>
      <c r="E12243" s="352">
        <f t="shared" si="1736"/>
        <v>46023</v>
      </c>
      <c r="F12243" s="519"/>
      <c r="G12243" s="353" t="s">
        <v>1245</v>
      </c>
      <c r="H12243" s="354"/>
      <c r="I12243" s="354" t="s">
        <v>1253</v>
      </c>
      <c r="J12243" s="350" t="s">
        <v>2008</v>
      </c>
      <c r="K12243" s="355"/>
      <c r="L12243" s="355">
        <f t="shared" ref="L12243" si="1738">K12242</f>
        <v>14197.802857142857</v>
      </c>
    </row>
    <row r="12244" spans="1:16" ht="11.25" customHeight="1" x14ac:dyDescent="0.2">
      <c r="A12244" s="344">
        <v>2026</v>
      </c>
      <c r="B12244" s="344">
        <v>1</v>
      </c>
      <c r="C12244" s="344">
        <v>1</v>
      </c>
      <c r="D12244" s="345">
        <f t="shared" si="1735"/>
        <v>46023</v>
      </c>
      <c r="E12244" s="346">
        <f t="shared" si="1736"/>
        <v>46023</v>
      </c>
      <c r="F12244" s="518" t="s">
        <v>2088</v>
      </c>
      <c r="G12244" s="347" t="s">
        <v>1245</v>
      </c>
      <c r="H12244" s="348"/>
      <c r="I12244" s="348" t="s">
        <v>1253</v>
      </c>
      <c r="J12244" s="344" t="s">
        <v>2086</v>
      </c>
      <c r="K12244" s="349">
        <v>3579.6703296703299</v>
      </c>
      <c r="L12244" s="349"/>
      <c r="M12244" s="455"/>
    </row>
    <row r="12245" spans="1:16" ht="11.25" customHeight="1" x14ac:dyDescent="0.2">
      <c r="A12245" s="350">
        <v>2026</v>
      </c>
      <c r="B12245" s="350">
        <v>1</v>
      </c>
      <c r="C12245" s="350">
        <v>1</v>
      </c>
      <c r="D12245" s="351">
        <f t="shared" si="1735"/>
        <v>46023</v>
      </c>
      <c r="E12245" s="352">
        <f t="shared" si="1736"/>
        <v>46023</v>
      </c>
      <c r="F12245" s="519"/>
      <c r="G12245" s="353" t="s">
        <v>1245</v>
      </c>
      <c r="H12245" s="354"/>
      <c r="I12245" s="354" t="s">
        <v>1253</v>
      </c>
      <c r="J12245" s="350" t="s">
        <v>2089</v>
      </c>
      <c r="K12245" s="355"/>
      <c r="L12245" s="355">
        <f>K12244</f>
        <v>3579.6703296703299</v>
      </c>
    </row>
    <row r="12246" spans="1:16" ht="11.25" customHeight="1" x14ac:dyDescent="0.2">
      <c r="A12246" s="344">
        <v>2026</v>
      </c>
      <c r="B12246" s="344">
        <v>1</v>
      </c>
      <c r="C12246" s="344">
        <v>1</v>
      </c>
      <c r="D12246" s="345">
        <f t="shared" si="1735"/>
        <v>46023</v>
      </c>
      <c r="E12246" s="346">
        <f>DATE(A12246,B12246,C12246)</f>
        <v>46023</v>
      </c>
      <c r="F12246" s="518" t="s">
        <v>1988</v>
      </c>
      <c r="G12246" s="347" t="s">
        <v>1245</v>
      </c>
      <c r="H12246" s="348"/>
      <c r="I12246" s="348" t="s">
        <v>1253</v>
      </c>
      <c r="J12246" s="344" t="s">
        <v>113</v>
      </c>
      <c r="K12246" s="349">
        <v>9384.6142857142859</v>
      </c>
      <c r="L12246" s="349"/>
      <c r="M12246" s="455"/>
    </row>
    <row r="12247" spans="1:16" ht="11.25" customHeight="1" x14ac:dyDescent="0.2">
      <c r="A12247" s="350">
        <v>2026</v>
      </c>
      <c r="B12247" s="350">
        <v>1</v>
      </c>
      <c r="C12247" s="350">
        <v>1</v>
      </c>
      <c r="D12247" s="351">
        <f t="shared" si="1735"/>
        <v>46023</v>
      </c>
      <c r="E12247" s="352">
        <f>DATE(A12247,B12247,C12247)</f>
        <v>46023</v>
      </c>
      <c r="F12247" s="519"/>
      <c r="G12247" s="353" t="s">
        <v>1245</v>
      </c>
      <c r="H12247" s="354"/>
      <c r="I12247" s="354" t="s">
        <v>1253</v>
      </c>
      <c r="J12247" s="350" t="s">
        <v>153</v>
      </c>
      <c r="K12247" s="355"/>
      <c r="L12247" s="355">
        <f t="shared" ref="L12247" si="1739">K12246</f>
        <v>9384.6142857142859</v>
      </c>
    </row>
    <row r="12248" spans="1:16" ht="11.25" customHeight="1" x14ac:dyDescent="0.2">
      <c r="A12248" s="344">
        <v>2026</v>
      </c>
      <c r="B12248" s="344">
        <v>1</v>
      </c>
      <c r="C12248" s="344">
        <v>1</v>
      </c>
      <c r="D12248" s="345">
        <f t="shared" si="1735"/>
        <v>46023</v>
      </c>
      <c r="E12248" s="346">
        <f t="shared" ref="E12248:E12254" si="1740">DATE(A12248,B12248,C12248)</f>
        <v>46023</v>
      </c>
      <c r="F12248" s="518" t="s">
        <v>1989</v>
      </c>
      <c r="G12248" s="347" t="s">
        <v>1245</v>
      </c>
      <c r="H12248" s="348"/>
      <c r="I12248" s="348" t="s">
        <v>1253</v>
      </c>
      <c r="J12248" s="344" t="s">
        <v>113</v>
      </c>
      <c r="K12248" s="349">
        <v>6703.2967032967035</v>
      </c>
      <c r="L12248" s="349"/>
      <c r="M12248" s="455"/>
    </row>
    <row r="12249" spans="1:16" ht="11.25" customHeight="1" x14ac:dyDescent="0.2">
      <c r="A12249" s="350">
        <v>2026</v>
      </c>
      <c r="B12249" s="350">
        <v>1</v>
      </c>
      <c r="C12249" s="350">
        <v>1</v>
      </c>
      <c r="D12249" s="351">
        <f t="shared" si="1735"/>
        <v>46023</v>
      </c>
      <c r="E12249" s="352">
        <f t="shared" si="1740"/>
        <v>46023</v>
      </c>
      <c r="F12249" s="519"/>
      <c r="G12249" s="353" t="s">
        <v>1245</v>
      </c>
      <c r="H12249" s="354"/>
      <c r="I12249" s="354" t="s">
        <v>1253</v>
      </c>
      <c r="J12249" s="350" t="s">
        <v>153</v>
      </c>
      <c r="K12249" s="355"/>
      <c r="L12249" s="355">
        <f t="shared" ref="L12249" si="1741">K12248</f>
        <v>6703.2967032967035</v>
      </c>
    </row>
    <row r="12250" spans="1:16" ht="11.25" customHeight="1" x14ac:dyDescent="0.2">
      <c r="A12250" s="344">
        <v>2026</v>
      </c>
      <c r="B12250" s="344">
        <v>1</v>
      </c>
      <c r="C12250" s="344">
        <v>1</v>
      </c>
      <c r="D12250" s="345">
        <f t="shared" si="1735"/>
        <v>46023</v>
      </c>
      <c r="E12250" s="346">
        <f t="shared" si="1740"/>
        <v>46023</v>
      </c>
      <c r="F12250" s="518" t="s">
        <v>1990</v>
      </c>
      <c r="G12250" s="347" t="s">
        <v>1245</v>
      </c>
      <c r="H12250" s="348"/>
      <c r="I12250" s="348" t="s">
        <v>1253</v>
      </c>
      <c r="J12250" s="344" t="s">
        <v>113</v>
      </c>
      <c r="K12250" s="349">
        <v>20109.891428571427</v>
      </c>
      <c r="L12250" s="349"/>
      <c r="M12250" s="455"/>
      <c r="N12250" s="251"/>
      <c r="O12250" s="251"/>
      <c r="P12250" s="251"/>
    </row>
    <row r="12251" spans="1:16" ht="11.25" customHeight="1" x14ac:dyDescent="0.2">
      <c r="A12251" s="350">
        <v>2026</v>
      </c>
      <c r="B12251" s="350">
        <v>1</v>
      </c>
      <c r="C12251" s="350">
        <v>1</v>
      </c>
      <c r="D12251" s="351">
        <f t="shared" si="1735"/>
        <v>46023</v>
      </c>
      <c r="E12251" s="352">
        <f t="shared" si="1740"/>
        <v>46023</v>
      </c>
      <c r="F12251" s="519"/>
      <c r="G12251" s="353" t="s">
        <v>1245</v>
      </c>
      <c r="H12251" s="354"/>
      <c r="I12251" s="354" t="s">
        <v>1253</v>
      </c>
      <c r="J12251" s="350" t="s">
        <v>153</v>
      </c>
      <c r="K12251" s="355"/>
      <c r="L12251" s="355">
        <f t="shared" ref="L12251" si="1742">K12250</f>
        <v>20109.891428571427</v>
      </c>
    </row>
    <row r="12252" spans="1:16" ht="11.25" customHeight="1" x14ac:dyDescent="0.2">
      <c r="A12252" s="344">
        <v>2026</v>
      </c>
      <c r="B12252" s="344">
        <v>1</v>
      </c>
      <c r="C12252" s="344">
        <v>1</v>
      </c>
      <c r="D12252" s="345">
        <f t="shared" si="1735"/>
        <v>46023</v>
      </c>
      <c r="E12252" s="346">
        <f t="shared" si="1740"/>
        <v>46023</v>
      </c>
      <c r="F12252" s="518" t="s">
        <v>2107</v>
      </c>
      <c r="G12252" s="347" t="s">
        <v>1245</v>
      </c>
      <c r="H12252" s="348"/>
      <c r="I12252" s="348" t="s">
        <v>1253</v>
      </c>
      <c r="J12252" s="344" t="s">
        <v>113</v>
      </c>
      <c r="K12252" s="349">
        <v>24741.758241758242</v>
      </c>
      <c r="L12252" s="349"/>
      <c r="M12252" s="455"/>
      <c r="N12252" s="251"/>
      <c r="O12252" s="251"/>
      <c r="P12252" s="251"/>
    </row>
    <row r="12253" spans="1:16" ht="11.25" customHeight="1" x14ac:dyDescent="0.2">
      <c r="A12253" s="350">
        <v>2026</v>
      </c>
      <c r="B12253" s="350">
        <v>1</v>
      </c>
      <c r="C12253" s="350">
        <v>1</v>
      </c>
      <c r="D12253" s="351">
        <f t="shared" si="1735"/>
        <v>46023</v>
      </c>
      <c r="E12253" s="352">
        <f t="shared" si="1740"/>
        <v>46023</v>
      </c>
      <c r="F12253" s="519"/>
      <c r="G12253" s="353" t="s">
        <v>1245</v>
      </c>
      <c r="H12253" s="354"/>
      <c r="I12253" s="354" t="s">
        <v>1253</v>
      </c>
      <c r="J12253" s="350" t="s">
        <v>153</v>
      </c>
      <c r="K12253" s="355"/>
      <c r="L12253" s="355">
        <f t="shared" ref="L12253" si="1743">K12252</f>
        <v>24741.758241758242</v>
      </c>
    </row>
    <row r="12254" spans="1:16" ht="11.25" customHeight="1" x14ac:dyDescent="0.2">
      <c r="A12254" s="210">
        <v>2026</v>
      </c>
      <c r="B12254" s="210">
        <v>1</v>
      </c>
      <c r="C12254" s="210">
        <v>1</v>
      </c>
      <c r="D12254" s="211">
        <f t="shared" si="1735"/>
        <v>46023</v>
      </c>
      <c r="E12254" s="238">
        <f t="shared" si="1740"/>
        <v>46023</v>
      </c>
      <c r="F12254" s="520" t="s">
        <v>1857</v>
      </c>
      <c r="G12254" s="213" t="s">
        <v>1245</v>
      </c>
      <c r="H12254" s="214"/>
      <c r="I12254" s="214" t="s">
        <v>1253</v>
      </c>
      <c r="J12254" s="210" t="s">
        <v>1284</v>
      </c>
      <c r="K12254" s="215">
        <v>1257.6107340000001</v>
      </c>
      <c r="L12254" s="215"/>
      <c r="M12254" s="455"/>
    </row>
    <row r="12255" spans="1:16" ht="11.25" customHeight="1" x14ac:dyDescent="0.2">
      <c r="A12255" s="242">
        <v>2026</v>
      </c>
      <c r="B12255" s="242">
        <v>1</v>
      </c>
      <c r="C12255" s="242">
        <v>1</v>
      </c>
      <c r="D12255" s="243">
        <f t="shared" si="1735"/>
        <v>46023</v>
      </c>
      <c r="E12255" s="244">
        <f>DATE(A12255,B12255,C12255)</f>
        <v>46023</v>
      </c>
      <c r="F12255" s="524"/>
      <c r="G12255" s="245" t="s">
        <v>1245</v>
      </c>
      <c r="H12255" s="246"/>
      <c r="I12255" s="246"/>
      <c r="J12255" s="242" t="s">
        <v>1582</v>
      </c>
      <c r="K12255" s="247"/>
      <c r="L12255" s="247">
        <f>K12254</f>
        <v>1257.6107340000001</v>
      </c>
    </row>
    <row r="12256" spans="1:16" ht="11.25" customHeight="1" x14ac:dyDescent="0.2">
      <c r="A12256" s="210">
        <v>2026</v>
      </c>
      <c r="B12256" s="210">
        <v>1</v>
      </c>
      <c r="C12256" s="210">
        <v>1</v>
      </c>
      <c r="D12256" s="211">
        <f t="shared" si="1735"/>
        <v>46023</v>
      </c>
      <c r="E12256" s="238">
        <f t="shared" ref="E12256:E12293" si="1744">DATE(A12256,B12256,C12256)</f>
        <v>46023</v>
      </c>
      <c r="F12256" s="520" t="s">
        <v>2055</v>
      </c>
      <c r="G12256" s="213" t="s">
        <v>1245</v>
      </c>
      <c r="H12256" s="214"/>
      <c r="I12256" s="214" t="s">
        <v>1253</v>
      </c>
      <c r="J12256" s="210" t="s">
        <v>58</v>
      </c>
      <c r="K12256" s="215">
        <v>422.16</v>
      </c>
      <c r="L12256" s="215"/>
    </row>
    <row r="12257" spans="1:15" ht="11.25" customHeight="1" x14ac:dyDescent="0.2">
      <c r="A12257" s="216">
        <v>2026</v>
      </c>
      <c r="B12257" s="216">
        <v>1</v>
      </c>
      <c r="C12257" s="216">
        <v>1</v>
      </c>
      <c r="D12257" s="217">
        <f t="shared" si="1735"/>
        <v>46023</v>
      </c>
      <c r="E12257" s="239">
        <f t="shared" si="1744"/>
        <v>46023</v>
      </c>
      <c r="F12257" s="521"/>
      <c r="G12257" s="219" t="s">
        <v>1245</v>
      </c>
      <c r="H12257" s="220"/>
      <c r="I12257" s="220" t="s">
        <v>1253</v>
      </c>
      <c r="J12257" s="216" t="s">
        <v>153</v>
      </c>
      <c r="K12257" s="221"/>
      <c r="L12257" s="221">
        <f>K12256</f>
        <v>422.16</v>
      </c>
    </row>
    <row r="12258" spans="1:15" ht="11.25" customHeight="1" x14ac:dyDescent="0.2">
      <c r="A12258" s="312">
        <v>2026</v>
      </c>
      <c r="B12258" s="312">
        <v>1</v>
      </c>
      <c r="C12258" s="312">
        <v>1</v>
      </c>
      <c r="D12258" s="313">
        <f t="shared" si="1735"/>
        <v>46023</v>
      </c>
      <c r="E12258" s="314">
        <f t="shared" si="1744"/>
        <v>46023</v>
      </c>
      <c r="F12258" s="522" t="s">
        <v>1595</v>
      </c>
      <c r="G12258" s="315" t="s">
        <v>1245</v>
      </c>
      <c r="H12258" s="316"/>
      <c r="I12258" s="316" t="s">
        <v>1253</v>
      </c>
      <c r="J12258" s="312" t="s">
        <v>1461</v>
      </c>
      <c r="K12258" s="317">
        <v>197951.8560000062</v>
      </c>
      <c r="L12258" s="317"/>
      <c r="M12258" s="328">
        <f>BS!$I$14</f>
        <v>0</v>
      </c>
    </row>
    <row r="12259" spans="1:15" ht="11.25" customHeight="1" x14ac:dyDescent="0.2">
      <c r="A12259" s="318">
        <v>2026</v>
      </c>
      <c r="B12259" s="318">
        <v>1</v>
      </c>
      <c r="C12259" s="318">
        <v>1</v>
      </c>
      <c r="D12259" s="319">
        <f t="shared" si="1735"/>
        <v>46023</v>
      </c>
      <c r="E12259" s="320">
        <f t="shared" si="1744"/>
        <v>46023</v>
      </c>
      <c r="F12259" s="523"/>
      <c r="G12259" s="321" t="s">
        <v>1245</v>
      </c>
      <c r="H12259" s="322"/>
      <c r="I12259" s="322" t="s">
        <v>1253</v>
      </c>
      <c r="J12259" s="318" t="s">
        <v>1459</v>
      </c>
      <c r="K12259" s="323"/>
      <c r="L12259" s="323">
        <f>K12258</f>
        <v>197951.8560000062</v>
      </c>
      <c r="M12259" s="328"/>
    </row>
    <row r="12260" spans="1:15" ht="11.25" customHeight="1" x14ac:dyDescent="0.2">
      <c r="A12260" s="222">
        <v>2026</v>
      </c>
      <c r="B12260" s="222">
        <v>1</v>
      </c>
      <c r="C12260" s="222">
        <v>1</v>
      </c>
      <c r="D12260" s="223">
        <f t="shared" si="1735"/>
        <v>46023</v>
      </c>
      <c r="E12260" s="240">
        <f t="shared" si="1744"/>
        <v>46023</v>
      </c>
      <c r="F12260" s="511" t="s">
        <v>1244</v>
      </c>
      <c r="G12260" s="225" t="s">
        <v>1245</v>
      </c>
      <c r="H12260" s="226"/>
      <c r="I12260" s="226" t="s">
        <v>1253</v>
      </c>
      <c r="J12260" s="222" t="s">
        <v>87</v>
      </c>
      <c r="K12260" s="227">
        <v>3.5</v>
      </c>
      <c r="L12260" s="227"/>
      <c r="M12260" s="328">
        <f>BS!$I$7</f>
        <v>0</v>
      </c>
    </row>
    <row r="12261" spans="1:15" ht="11.25" customHeight="1" x14ac:dyDescent="0.2">
      <c r="A12261" s="228">
        <v>2026</v>
      </c>
      <c r="B12261" s="228">
        <v>1</v>
      </c>
      <c r="C12261" s="228">
        <v>1</v>
      </c>
      <c r="D12261" s="229">
        <f t="shared" si="1735"/>
        <v>46023</v>
      </c>
      <c r="E12261" s="241">
        <f t="shared" si="1744"/>
        <v>46023</v>
      </c>
      <c r="F12261" s="512"/>
      <c r="G12261" s="231" t="s">
        <v>1245</v>
      </c>
      <c r="H12261" s="232"/>
      <c r="I12261" s="232" t="s">
        <v>1253</v>
      </c>
      <c r="J12261" s="228" t="s">
        <v>72</v>
      </c>
      <c r="K12261" s="233"/>
      <c r="L12261" s="233">
        <f>K12260</f>
        <v>3.5</v>
      </c>
    </row>
    <row r="12262" spans="1:15" ht="11.25" customHeight="1" x14ac:dyDescent="0.2">
      <c r="A12262" s="222">
        <v>2026</v>
      </c>
      <c r="B12262" s="222">
        <v>1</v>
      </c>
      <c r="C12262" s="222">
        <v>1</v>
      </c>
      <c r="D12262" s="223">
        <f t="shared" si="1735"/>
        <v>46023</v>
      </c>
      <c r="E12262" s="240">
        <f t="shared" si="1744"/>
        <v>46023</v>
      </c>
      <c r="F12262" s="511" t="s">
        <v>1246</v>
      </c>
      <c r="G12262" s="225" t="s">
        <v>1245</v>
      </c>
      <c r="H12262" s="226"/>
      <c r="I12262" s="226" t="s">
        <v>1253</v>
      </c>
      <c r="J12262" s="222" t="s">
        <v>75</v>
      </c>
      <c r="K12262" s="227">
        <v>1035.1782417582417</v>
      </c>
      <c r="L12262" s="227"/>
      <c r="M12262" s="455"/>
    </row>
    <row r="12263" spans="1:15" ht="11.25" customHeight="1" x14ac:dyDescent="0.2">
      <c r="A12263" s="228">
        <v>2026</v>
      </c>
      <c r="B12263" s="228">
        <v>1</v>
      </c>
      <c r="C12263" s="228">
        <v>1</v>
      </c>
      <c r="D12263" s="229">
        <f t="shared" si="1735"/>
        <v>46023</v>
      </c>
      <c r="E12263" s="241">
        <f t="shared" si="1744"/>
        <v>46023</v>
      </c>
      <c r="F12263" s="512"/>
      <c r="G12263" s="231" t="s">
        <v>1245</v>
      </c>
      <c r="H12263" s="232"/>
      <c r="I12263" s="232" t="s">
        <v>1253</v>
      </c>
      <c r="J12263" s="228" t="s">
        <v>55</v>
      </c>
      <c r="K12263" s="233"/>
      <c r="L12263" s="233">
        <f>K12262</f>
        <v>1035.1782417582417</v>
      </c>
    </row>
    <row r="12264" spans="1:15" ht="11.25" customHeight="1" x14ac:dyDescent="0.2">
      <c r="A12264" s="222">
        <v>2026</v>
      </c>
      <c r="B12264" s="222">
        <v>1</v>
      </c>
      <c r="C12264" s="222">
        <v>1</v>
      </c>
      <c r="D12264" s="223">
        <f t="shared" si="1735"/>
        <v>46023</v>
      </c>
      <c r="E12264" s="240">
        <f t="shared" si="1744"/>
        <v>46023</v>
      </c>
      <c r="F12264" s="511" t="s">
        <v>1247</v>
      </c>
      <c r="G12264" s="225" t="s">
        <v>1245</v>
      </c>
      <c r="H12264" s="226"/>
      <c r="I12264" s="226" t="s">
        <v>1253</v>
      </c>
      <c r="J12264" s="222" t="s">
        <v>77</v>
      </c>
      <c r="K12264" s="227">
        <f>M12264</f>
        <v>14721.107577175102</v>
      </c>
      <c r="L12264" s="227"/>
      <c r="M12264" s="478">
        <v>14721.107577175102</v>
      </c>
    </row>
    <row r="12265" spans="1:15" ht="11.25" customHeight="1" x14ac:dyDescent="0.2">
      <c r="A12265" s="228">
        <v>2026</v>
      </c>
      <c r="B12265" s="228">
        <v>1</v>
      </c>
      <c r="C12265" s="228">
        <v>1</v>
      </c>
      <c r="D12265" s="229">
        <f t="shared" si="1735"/>
        <v>46023</v>
      </c>
      <c r="E12265" s="241">
        <f t="shared" si="1744"/>
        <v>46023</v>
      </c>
      <c r="F12265" s="512"/>
      <c r="G12265" s="231" t="s">
        <v>1245</v>
      </c>
      <c r="H12265" s="232"/>
      <c r="I12265" s="232" t="s">
        <v>1253</v>
      </c>
      <c r="J12265" s="228" t="s">
        <v>41</v>
      </c>
      <c r="K12265" s="233"/>
      <c r="L12265" s="233">
        <f>K12264</f>
        <v>14721.107577175102</v>
      </c>
      <c r="M12265" s="478">
        <v>1472.1107577175103</v>
      </c>
      <c r="N12265" s="251"/>
    </row>
    <row r="12266" spans="1:15" ht="11.25" customHeight="1" x14ac:dyDescent="0.2">
      <c r="A12266" s="222">
        <v>2026</v>
      </c>
      <c r="B12266" s="222">
        <v>1</v>
      </c>
      <c r="C12266" s="222">
        <v>1</v>
      </c>
      <c r="D12266" s="223">
        <f t="shared" si="1735"/>
        <v>46023</v>
      </c>
      <c r="E12266" s="240">
        <f t="shared" si="1744"/>
        <v>46023</v>
      </c>
      <c r="F12266" s="511" t="s">
        <v>1248</v>
      </c>
      <c r="G12266" s="225" t="s">
        <v>1245</v>
      </c>
      <c r="H12266" s="226"/>
      <c r="I12266" s="226" t="s">
        <v>1253</v>
      </c>
      <c r="J12266" s="222" t="s">
        <v>80</v>
      </c>
      <c r="K12266" s="227">
        <f>M12265</f>
        <v>1472.1107577175103</v>
      </c>
      <c r="L12266" s="227"/>
      <c r="N12266" s="251"/>
      <c r="O12266" s="251"/>
    </row>
    <row r="12267" spans="1:15" ht="11.25" customHeight="1" x14ac:dyDescent="0.2">
      <c r="A12267" s="228">
        <v>2026</v>
      </c>
      <c r="B12267" s="228">
        <v>1</v>
      </c>
      <c r="C12267" s="228">
        <v>1</v>
      </c>
      <c r="D12267" s="229">
        <f t="shared" si="1735"/>
        <v>46023</v>
      </c>
      <c r="E12267" s="241">
        <f t="shared" si="1744"/>
        <v>46023</v>
      </c>
      <c r="F12267" s="512"/>
      <c r="G12267" s="231" t="s">
        <v>1245</v>
      </c>
      <c r="H12267" s="232"/>
      <c r="I12267" s="232" t="s">
        <v>1253</v>
      </c>
      <c r="J12267" s="228" t="s">
        <v>42</v>
      </c>
      <c r="K12267" s="233"/>
      <c r="L12267" s="233">
        <f>K12266</f>
        <v>1472.1107577175103</v>
      </c>
      <c r="N12267" s="251"/>
    </row>
    <row r="12268" spans="1:15" x14ac:dyDescent="0.2">
      <c r="A12268" s="197">
        <v>2026</v>
      </c>
      <c r="B12268" s="197">
        <v>1</v>
      </c>
      <c r="C12268" s="120">
        <v>4</v>
      </c>
      <c r="D12268" s="198">
        <f t="shared" si="1735"/>
        <v>46026</v>
      </c>
      <c r="E12268" s="209">
        <f t="shared" si="1744"/>
        <v>46026</v>
      </c>
      <c r="F12268" s="513" t="s">
        <v>2125</v>
      </c>
      <c r="G12268" s="200" t="s">
        <v>1209</v>
      </c>
      <c r="H12268" s="201"/>
      <c r="I12268" s="201"/>
      <c r="J12268" s="197" t="s">
        <v>16</v>
      </c>
      <c r="K12268" s="202">
        <v>1452430</v>
      </c>
      <c r="L12268" s="202"/>
    </row>
    <row r="12269" spans="1:15" x14ac:dyDescent="0.2">
      <c r="A12269" s="120">
        <v>2026</v>
      </c>
      <c r="B12269" s="120">
        <v>1</v>
      </c>
      <c r="C12269" s="120">
        <v>4</v>
      </c>
      <c r="D12269" s="208">
        <f t="shared" si="1735"/>
        <v>46026</v>
      </c>
      <c r="E12269" s="209">
        <f t="shared" si="1744"/>
        <v>46026</v>
      </c>
      <c r="F12269" s="515"/>
      <c r="G12269" s="132" t="s">
        <v>1209</v>
      </c>
      <c r="J12269" s="120" t="s">
        <v>47</v>
      </c>
      <c r="K12269" s="207">
        <v>547570</v>
      </c>
      <c r="L12269" s="207"/>
    </row>
    <row r="12270" spans="1:15" x14ac:dyDescent="0.2">
      <c r="A12270" s="191">
        <v>2026</v>
      </c>
      <c r="B12270" s="191">
        <v>1</v>
      </c>
      <c r="C12270" s="191">
        <v>4</v>
      </c>
      <c r="D12270" s="192">
        <f t="shared" si="1735"/>
        <v>46026</v>
      </c>
      <c r="E12270" s="193">
        <f t="shared" si="1744"/>
        <v>46026</v>
      </c>
      <c r="F12270" s="514"/>
      <c r="G12270" s="194" t="s">
        <v>1209</v>
      </c>
      <c r="H12270" s="195"/>
      <c r="I12270" s="195"/>
      <c r="J12270" s="191" t="s">
        <v>46</v>
      </c>
      <c r="K12270" s="196"/>
      <c r="L12270" s="196">
        <v>2000000</v>
      </c>
    </row>
    <row r="12271" spans="1:15" ht="11.25" customHeight="1" x14ac:dyDescent="0.2">
      <c r="A12271" s="197">
        <v>2026</v>
      </c>
      <c r="B12271" s="197">
        <v>1</v>
      </c>
      <c r="C12271" s="197">
        <v>4</v>
      </c>
      <c r="D12271" s="198">
        <f t="shared" si="1735"/>
        <v>46026</v>
      </c>
      <c r="E12271" s="199">
        <f t="shared" si="1744"/>
        <v>46026</v>
      </c>
      <c r="F12271" s="513" t="s">
        <v>1971</v>
      </c>
      <c r="G12271" s="200" t="s">
        <v>1209</v>
      </c>
      <c r="H12271" s="201"/>
      <c r="I12271" s="201" t="s">
        <v>1253</v>
      </c>
      <c r="J12271" s="197" t="s">
        <v>46</v>
      </c>
      <c r="K12271" s="202">
        <v>500000</v>
      </c>
      <c r="L12271" s="202"/>
    </row>
    <row r="12272" spans="1:15" ht="11.25" customHeight="1" x14ac:dyDescent="0.2">
      <c r="A12272" s="120">
        <v>2026</v>
      </c>
      <c r="B12272" s="120">
        <v>1</v>
      </c>
      <c r="C12272" s="120">
        <v>4</v>
      </c>
      <c r="D12272" s="208">
        <f t="shared" si="1735"/>
        <v>46026</v>
      </c>
      <c r="E12272" s="209">
        <f t="shared" si="1744"/>
        <v>46026</v>
      </c>
      <c r="F12272" s="515"/>
      <c r="G12272" s="132" t="s">
        <v>1209</v>
      </c>
      <c r="J12272" s="120" t="s">
        <v>1463</v>
      </c>
      <c r="K12272" s="328">
        <v>5436.52</v>
      </c>
      <c r="L12272" s="207"/>
    </row>
    <row r="12273" spans="1:15" ht="11.25" customHeight="1" x14ac:dyDescent="0.2">
      <c r="A12273" s="191">
        <v>2026</v>
      </c>
      <c r="B12273" s="191">
        <v>1</v>
      </c>
      <c r="C12273" s="191">
        <v>4</v>
      </c>
      <c r="D12273" s="192">
        <f t="shared" si="1735"/>
        <v>46026</v>
      </c>
      <c r="E12273" s="193">
        <f t="shared" si="1744"/>
        <v>46026</v>
      </c>
      <c r="F12273" s="514"/>
      <c r="G12273" s="194" t="s">
        <v>1209</v>
      </c>
      <c r="H12273" s="195"/>
      <c r="I12273" s="195" t="s">
        <v>1253</v>
      </c>
      <c r="J12273" s="191" t="s">
        <v>1837</v>
      </c>
      <c r="K12273" s="196"/>
      <c r="L12273" s="196">
        <v>505436.52</v>
      </c>
      <c r="N12273" s="130"/>
    </row>
    <row r="12274" spans="1:15" ht="11.25" customHeight="1" x14ac:dyDescent="0.2">
      <c r="A12274" s="197">
        <v>2026</v>
      </c>
      <c r="B12274" s="197">
        <v>1</v>
      </c>
      <c r="C12274" s="197">
        <v>4</v>
      </c>
      <c r="D12274" s="198">
        <f t="shared" si="1735"/>
        <v>46026</v>
      </c>
      <c r="E12274" s="290">
        <f t="shared" si="1744"/>
        <v>46026</v>
      </c>
      <c r="F12274" s="513" t="s">
        <v>2127</v>
      </c>
      <c r="G12274" s="200" t="s">
        <v>1209</v>
      </c>
      <c r="H12274" s="201"/>
      <c r="I12274" s="201" t="s">
        <v>1253</v>
      </c>
      <c r="J12274" s="197" t="s">
        <v>46</v>
      </c>
      <c r="K12274" s="202">
        <v>29000</v>
      </c>
      <c r="L12274" s="202"/>
    </row>
    <row r="12275" spans="1:15" ht="11.25" customHeight="1" x14ac:dyDescent="0.2">
      <c r="A12275" s="191">
        <v>2026</v>
      </c>
      <c r="B12275" s="191">
        <v>1</v>
      </c>
      <c r="C12275" s="191">
        <v>4</v>
      </c>
      <c r="D12275" s="192">
        <f t="shared" si="1735"/>
        <v>46026</v>
      </c>
      <c r="E12275" s="291">
        <f t="shared" si="1744"/>
        <v>46026</v>
      </c>
      <c r="F12275" s="514"/>
      <c r="G12275" s="194" t="s">
        <v>1209</v>
      </c>
      <c r="H12275" s="195"/>
      <c r="I12275" s="195"/>
      <c r="J12275" s="191" t="s">
        <v>1845</v>
      </c>
      <c r="K12275" s="196"/>
      <c r="L12275" s="196">
        <f>K12274</f>
        <v>29000</v>
      </c>
    </row>
    <row r="12276" spans="1:15" ht="11.25" customHeight="1" x14ac:dyDescent="0.2">
      <c r="A12276" s="197">
        <v>2026</v>
      </c>
      <c r="B12276" s="197">
        <v>1</v>
      </c>
      <c r="C12276" s="197">
        <v>4</v>
      </c>
      <c r="D12276" s="198">
        <f t="shared" si="1735"/>
        <v>46026</v>
      </c>
      <c r="E12276" s="290">
        <f t="shared" si="1744"/>
        <v>46026</v>
      </c>
      <c r="F12276" s="513" t="s">
        <v>2035</v>
      </c>
      <c r="G12276" s="200" t="s">
        <v>1209</v>
      </c>
      <c r="H12276" s="201"/>
      <c r="I12276" s="201" t="s">
        <v>1253</v>
      </c>
      <c r="J12276" s="197" t="s">
        <v>46</v>
      </c>
      <c r="K12276" s="202">
        <v>142333.24</v>
      </c>
      <c r="L12276" s="202"/>
      <c r="M12276" s="130"/>
    </row>
    <row r="12277" spans="1:15" ht="11.25" customHeight="1" x14ac:dyDescent="0.2">
      <c r="A12277" s="191">
        <v>2026</v>
      </c>
      <c r="B12277" s="191">
        <v>1</v>
      </c>
      <c r="C12277" s="191">
        <v>4</v>
      </c>
      <c r="D12277" s="192">
        <f t="shared" si="1735"/>
        <v>46026</v>
      </c>
      <c r="E12277" s="291">
        <f t="shared" si="1744"/>
        <v>46026</v>
      </c>
      <c r="F12277" s="527"/>
      <c r="G12277" s="194" t="s">
        <v>1209</v>
      </c>
      <c r="H12277" s="195"/>
      <c r="I12277" s="195" t="s">
        <v>1253</v>
      </c>
      <c r="J12277" s="191" t="s">
        <v>113</v>
      </c>
      <c r="K12277" s="196"/>
      <c r="L12277" s="196">
        <v>142333.24</v>
      </c>
    </row>
    <row r="12278" spans="1:15" ht="11.25" customHeight="1" x14ac:dyDescent="0.2">
      <c r="A12278" s="197">
        <v>2026</v>
      </c>
      <c r="B12278" s="197">
        <v>1</v>
      </c>
      <c r="C12278" s="197">
        <v>4</v>
      </c>
      <c r="D12278" s="198">
        <f t="shared" si="1735"/>
        <v>46026</v>
      </c>
      <c r="E12278" s="290">
        <f>DATE(A12278,B12278,C12278)</f>
        <v>46026</v>
      </c>
      <c r="F12278" s="513" t="s">
        <v>1514</v>
      </c>
      <c r="G12278" s="200" t="s">
        <v>1209</v>
      </c>
      <c r="H12278" s="201"/>
      <c r="I12278" s="201"/>
      <c r="J12278" s="197" t="s">
        <v>54</v>
      </c>
      <c r="K12278" s="202">
        <v>100</v>
      </c>
      <c r="L12278" s="202"/>
      <c r="O12278" s="251"/>
    </row>
    <row r="12279" spans="1:15" ht="11.25" customHeight="1" x14ac:dyDescent="0.2">
      <c r="A12279" s="191">
        <v>2026</v>
      </c>
      <c r="B12279" s="191">
        <v>1</v>
      </c>
      <c r="C12279" s="191">
        <v>4</v>
      </c>
      <c r="D12279" s="192">
        <f t="shared" si="1735"/>
        <v>46026</v>
      </c>
      <c r="E12279" s="291">
        <f>DATE(A12279,B12279,C12279)</f>
        <v>46026</v>
      </c>
      <c r="F12279" s="514"/>
      <c r="G12279" s="194" t="s">
        <v>1209</v>
      </c>
      <c r="H12279" s="195"/>
      <c r="I12279" s="195"/>
      <c r="J12279" s="191" t="s">
        <v>46</v>
      </c>
      <c r="K12279" s="196"/>
      <c r="L12279" s="196">
        <f>K12278</f>
        <v>100</v>
      </c>
      <c r="O12279" s="251"/>
    </row>
    <row r="12280" spans="1:15" ht="11.25" customHeight="1" x14ac:dyDescent="0.2">
      <c r="A12280" s="210">
        <v>2026</v>
      </c>
      <c r="B12280" s="210">
        <v>1</v>
      </c>
      <c r="C12280" s="210">
        <v>4</v>
      </c>
      <c r="D12280" s="211">
        <f t="shared" si="1735"/>
        <v>46026</v>
      </c>
      <c r="E12280" s="238">
        <f t="shared" ref="E12280" si="1745">DATE(A12280,B12280,C12280)</f>
        <v>46026</v>
      </c>
      <c r="F12280" s="520" t="s">
        <v>1857</v>
      </c>
      <c r="G12280" s="213" t="s">
        <v>1245</v>
      </c>
      <c r="H12280" s="214"/>
      <c r="I12280" s="214" t="s">
        <v>1253</v>
      </c>
      <c r="J12280" s="210" t="s">
        <v>1284</v>
      </c>
      <c r="K12280" s="215">
        <v>117752.68</v>
      </c>
      <c r="L12280" s="215"/>
    </row>
    <row r="12281" spans="1:15" ht="11.25" customHeight="1" x14ac:dyDescent="0.2">
      <c r="A12281" s="242">
        <v>2026</v>
      </c>
      <c r="B12281" s="242">
        <v>1</v>
      </c>
      <c r="C12281" s="242">
        <v>4</v>
      </c>
      <c r="D12281" s="243">
        <f t="shared" si="1735"/>
        <v>46026</v>
      </c>
      <c r="E12281" s="244">
        <f>DATE(A12281,B12281,C12281)</f>
        <v>46026</v>
      </c>
      <c r="F12281" s="524"/>
      <c r="G12281" s="245" t="s">
        <v>1245</v>
      </c>
      <c r="H12281" s="246"/>
      <c r="I12281" s="246"/>
      <c r="J12281" s="242" t="s">
        <v>1582</v>
      </c>
      <c r="K12281" s="247"/>
      <c r="L12281" s="247">
        <f>K12280</f>
        <v>117752.68</v>
      </c>
    </row>
    <row r="12282" spans="1:15" x14ac:dyDescent="0.2">
      <c r="A12282" s="424">
        <v>2026</v>
      </c>
      <c r="B12282" s="424">
        <v>1</v>
      </c>
      <c r="C12282" s="424">
        <v>4</v>
      </c>
      <c r="D12282" s="425">
        <f t="shared" si="1735"/>
        <v>46026</v>
      </c>
      <c r="E12282" s="384">
        <f t="shared" si="1744"/>
        <v>46026</v>
      </c>
      <c r="F12282" s="516" t="s">
        <v>1850</v>
      </c>
      <c r="G12282" s="426" t="s">
        <v>1209</v>
      </c>
      <c r="H12282" s="427"/>
      <c r="I12282" s="427"/>
      <c r="J12282" s="428" t="s">
        <v>81</v>
      </c>
      <c r="K12282" s="429">
        <v>4787.4520879120882</v>
      </c>
      <c r="L12282" s="429"/>
      <c r="M12282" s="455"/>
    </row>
    <row r="12283" spans="1:15" x14ac:dyDescent="0.2">
      <c r="A12283" s="389">
        <v>2026</v>
      </c>
      <c r="B12283" s="389">
        <v>1</v>
      </c>
      <c r="C12283" s="389">
        <v>4</v>
      </c>
      <c r="D12283" s="390">
        <f t="shared" si="1735"/>
        <v>46026</v>
      </c>
      <c r="E12283" s="391">
        <f t="shared" si="1744"/>
        <v>46026</v>
      </c>
      <c r="F12283" s="517"/>
      <c r="G12283" s="392" t="s">
        <v>1209</v>
      </c>
      <c r="H12283" s="393"/>
      <c r="I12283" s="393"/>
      <c r="J12283" s="394" t="s">
        <v>1847</v>
      </c>
      <c r="K12283" s="423"/>
      <c r="L12283" s="423">
        <f>K12282</f>
        <v>4787.4520879120882</v>
      </c>
    </row>
    <row r="12284" spans="1:15" ht="11.25" customHeight="1" x14ac:dyDescent="0.2">
      <c r="A12284" s="382">
        <v>2026</v>
      </c>
      <c r="B12284" s="382">
        <v>1</v>
      </c>
      <c r="C12284" s="382">
        <v>4</v>
      </c>
      <c r="D12284" s="383">
        <f t="shared" si="1735"/>
        <v>46026</v>
      </c>
      <c r="E12284" s="384">
        <f t="shared" si="1744"/>
        <v>46026</v>
      </c>
      <c r="F12284" s="516" t="s">
        <v>1892</v>
      </c>
      <c r="G12284" s="385" t="s">
        <v>1209</v>
      </c>
      <c r="H12284" s="386"/>
      <c r="I12284" s="386"/>
      <c r="J12284" s="387" t="s">
        <v>173</v>
      </c>
      <c r="K12284" s="388">
        <v>1886.8235097098213</v>
      </c>
      <c r="L12284" s="388"/>
      <c r="M12284" s="455"/>
    </row>
    <row r="12285" spans="1:15" ht="11.25" customHeight="1" x14ac:dyDescent="0.2">
      <c r="A12285" s="389">
        <v>2026</v>
      </c>
      <c r="B12285" s="389">
        <v>1</v>
      </c>
      <c r="C12285" s="389">
        <v>4</v>
      </c>
      <c r="D12285" s="390">
        <f t="shared" si="1735"/>
        <v>46026</v>
      </c>
      <c r="E12285" s="391">
        <f t="shared" si="1744"/>
        <v>46026</v>
      </c>
      <c r="F12285" s="517"/>
      <c r="G12285" s="392" t="s">
        <v>1209</v>
      </c>
      <c r="H12285" s="393"/>
      <c r="I12285" s="393"/>
      <c r="J12285" s="394" t="s">
        <v>43</v>
      </c>
      <c r="K12285" s="388"/>
      <c r="L12285" s="423">
        <f>K12284</f>
        <v>1886.8235097098213</v>
      </c>
    </row>
    <row r="12286" spans="1:15" ht="11.25" customHeight="1" x14ac:dyDescent="0.2">
      <c r="A12286" s="344">
        <v>2026</v>
      </c>
      <c r="B12286" s="344">
        <v>1</v>
      </c>
      <c r="C12286" s="344">
        <v>4</v>
      </c>
      <c r="D12286" s="345">
        <f t="shared" si="1735"/>
        <v>46026</v>
      </c>
      <c r="E12286" s="346">
        <f t="shared" si="1744"/>
        <v>46026</v>
      </c>
      <c r="F12286" s="518" t="s">
        <v>1982</v>
      </c>
      <c r="G12286" s="347" t="s">
        <v>1245</v>
      </c>
      <c r="H12286" s="348"/>
      <c r="I12286" s="348" t="s">
        <v>1253</v>
      </c>
      <c r="J12286" s="344" t="s">
        <v>1978</v>
      </c>
      <c r="K12286" s="349">
        <v>63749.175824175822</v>
      </c>
      <c r="L12286" s="349"/>
      <c r="M12286" s="455"/>
    </row>
    <row r="12287" spans="1:15" ht="11.25" customHeight="1" x14ac:dyDescent="0.2">
      <c r="A12287" s="350">
        <v>2026</v>
      </c>
      <c r="B12287" s="350">
        <v>1</v>
      </c>
      <c r="C12287" s="350">
        <v>4</v>
      </c>
      <c r="D12287" s="351">
        <f t="shared" si="1735"/>
        <v>46026</v>
      </c>
      <c r="E12287" s="352">
        <f t="shared" si="1744"/>
        <v>46026</v>
      </c>
      <c r="F12287" s="519"/>
      <c r="G12287" s="353" t="s">
        <v>1245</v>
      </c>
      <c r="H12287" s="354"/>
      <c r="I12287" s="354" t="s">
        <v>1253</v>
      </c>
      <c r="J12287" s="350" t="s">
        <v>1979</v>
      </c>
      <c r="K12287" s="355"/>
      <c r="L12287" s="355">
        <f>K12286</f>
        <v>63749.175824175822</v>
      </c>
    </row>
    <row r="12288" spans="1:15" ht="11.25" customHeight="1" x14ac:dyDescent="0.2">
      <c r="A12288" s="344">
        <v>2026</v>
      </c>
      <c r="B12288" s="344">
        <v>1</v>
      </c>
      <c r="C12288" s="344">
        <v>4</v>
      </c>
      <c r="D12288" s="345">
        <f t="shared" si="1735"/>
        <v>46026</v>
      </c>
      <c r="E12288" s="346">
        <f t="shared" si="1744"/>
        <v>46026</v>
      </c>
      <c r="F12288" s="518" t="s">
        <v>2009</v>
      </c>
      <c r="G12288" s="347" t="s">
        <v>1245</v>
      </c>
      <c r="H12288" s="348"/>
      <c r="I12288" s="348" t="s">
        <v>1253</v>
      </c>
      <c r="J12288" s="344" t="s">
        <v>2004</v>
      </c>
      <c r="K12288" s="349">
        <v>21296.704285714284</v>
      </c>
      <c r="L12288" s="349"/>
      <c r="M12288" s="455"/>
    </row>
    <row r="12289" spans="1:16" ht="11.25" customHeight="1" x14ac:dyDescent="0.2">
      <c r="A12289" s="350">
        <v>2026</v>
      </c>
      <c r="B12289" s="350">
        <v>1</v>
      </c>
      <c r="C12289" s="350">
        <v>4</v>
      </c>
      <c r="D12289" s="351">
        <f t="shared" si="1735"/>
        <v>46026</v>
      </c>
      <c r="E12289" s="352">
        <f t="shared" si="1744"/>
        <v>46026</v>
      </c>
      <c r="F12289" s="519"/>
      <c r="G12289" s="353" t="s">
        <v>1245</v>
      </c>
      <c r="H12289" s="354"/>
      <c r="I12289" s="354" t="s">
        <v>1253</v>
      </c>
      <c r="J12289" s="350" t="s">
        <v>2008</v>
      </c>
      <c r="K12289" s="355"/>
      <c r="L12289" s="355">
        <f t="shared" ref="L12289" si="1746">K12288</f>
        <v>21296.704285714284</v>
      </c>
    </row>
    <row r="12290" spans="1:16" ht="11.25" customHeight="1" x14ac:dyDescent="0.2">
      <c r="A12290" s="344">
        <v>2026</v>
      </c>
      <c r="B12290" s="344">
        <v>1</v>
      </c>
      <c r="C12290" s="344">
        <v>4</v>
      </c>
      <c r="D12290" s="345">
        <f t="shared" ref="D12290:D12353" si="1747">DATE(A12290,B12290,C12290)</f>
        <v>46026</v>
      </c>
      <c r="E12290" s="346">
        <f t="shared" si="1744"/>
        <v>46026</v>
      </c>
      <c r="F12290" s="518" t="s">
        <v>2009</v>
      </c>
      <c r="G12290" s="347" t="s">
        <v>1245</v>
      </c>
      <c r="H12290" s="348"/>
      <c r="I12290" s="348" t="s">
        <v>1253</v>
      </c>
      <c r="J12290" s="344" t="s">
        <v>2004</v>
      </c>
      <c r="K12290" s="349">
        <v>21296.704285714284</v>
      </c>
      <c r="L12290" s="349"/>
      <c r="M12290" s="455"/>
    </row>
    <row r="12291" spans="1:16" ht="11.25" customHeight="1" x14ac:dyDescent="0.2">
      <c r="A12291" s="350">
        <v>2026</v>
      </c>
      <c r="B12291" s="350">
        <v>1</v>
      </c>
      <c r="C12291" s="350">
        <v>4</v>
      </c>
      <c r="D12291" s="351">
        <f t="shared" si="1747"/>
        <v>46026</v>
      </c>
      <c r="E12291" s="352">
        <f t="shared" si="1744"/>
        <v>46026</v>
      </c>
      <c r="F12291" s="519"/>
      <c r="G12291" s="353" t="s">
        <v>1245</v>
      </c>
      <c r="H12291" s="354"/>
      <c r="I12291" s="354" t="s">
        <v>1253</v>
      </c>
      <c r="J12291" s="350" t="s">
        <v>2008</v>
      </c>
      <c r="K12291" s="355"/>
      <c r="L12291" s="355">
        <f t="shared" ref="L12291" si="1748">K12290</f>
        <v>21296.704285714284</v>
      </c>
    </row>
    <row r="12292" spans="1:16" ht="11.25" customHeight="1" x14ac:dyDescent="0.2">
      <c r="A12292" s="344">
        <v>2026</v>
      </c>
      <c r="B12292" s="344">
        <v>1</v>
      </c>
      <c r="C12292" s="344">
        <v>4</v>
      </c>
      <c r="D12292" s="345">
        <f t="shared" si="1747"/>
        <v>46026</v>
      </c>
      <c r="E12292" s="346">
        <f t="shared" si="1744"/>
        <v>46026</v>
      </c>
      <c r="F12292" s="518" t="s">
        <v>2088</v>
      </c>
      <c r="G12292" s="347" t="s">
        <v>1245</v>
      </c>
      <c r="H12292" s="348"/>
      <c r="I12292" s="348" t="s">
        <v>1253</v>
      </c>
      <c r="J12292" s="344" t="s">
        <v>2086</v>
      </c>
      <c r="K12292" s="349">
        <v>5369.5054945054944</v>
      </c>
      <c r="L12292" s="349"/>
      <c r="M12292" s="455"/>
    </row>
    <row r="12293" spans="1:16" ht="11.25" customHeight="1" x14ac:dyDescent="0.2">
      <c r="A12293" s="350">
        <v>2026</v>
      </c>
      <c r="B12293" s="350">
        <v>1</v>
      </c>
      <c r="C12293" s="350">
        <v>4</v>
      </c>
      <c r="D12293" s="351">
        <f t="shared" si="1747"/>
        <v>46026</v>
      </c>
      <c r="E12293" s="352">
        <f t="shared" si="1744"/>
        <v>46026</v>
      </c>
      <c r="F12293" s="519"/>
      <c r="G12293" s="353" t="s">
        <v>1245</v>
      </c>
      <c r="H12293" s="354"/>
      <c r="I12293" s="354" t="s">
        <v>1253</v>
      </c>
      <c r="J12293" s="350" t="s">
        <v>2089</v>
      </c>
      <c r="K12293" s="355"/>
      <c r="L12293" s="355">
        <f>K12292</f>
        <v>5369.5054945054944</v>
      </c>
    </row>
    <row r="12294" spans="1:16" ht="11.25" customHeight="1" x14ac:dyDescent="0.2">
      <c r="A12294" s="344">
        <v>2026</v>
      </c>
      <c r="B12294" s="344">
        <v>1</v>
      </c>
      <c r="C12294" s="344">
        <v>4</v>
      </c>
      <c r="D12294" s="345">
        <f t="shared" si="1747"/>
        <v>46026</v>
      </c>
      <c r="E12294" s="346">
        <f>DATE(A12294,B12294,C12294)</f>
        <v>46026</v>
      </c>
      <c r="F12294" s="518" t="s">
        <v>1988</v>
      </c>
      <c r="G12294" s="347" t="s">
        <v>1245</v>
      </c>
      <c r="H12294" s="348"/>
      <c r="I12294" s="348" t="s">
        <v>1253</v>
      </c>
      <c r="J12294" s="344" t="s">
        <v>113</v>
      </c>
      <c r="K12294" s="349">
        <v>14076.92142857143</v>
      </c>
      <c r="L12294" s="349"/>
      <c r="M12294" s="455"/>
    </row>
    <row r="12295" spans="1:16" ht="11.25" customHeight="1" x14ac:dyDescent="0.2">
      <c r="A12295" s="350">
        <v>2026</v>
      </c>
      <c r="B12295" s="350">
        <v>1</v>
      </c>
      <c r="C12295" s="350">
        <v>4</v>
      </c>
      <c r="D12295" s="351">
        <f t="shared" si="1747"/>
        <v>46026</v>
      </c>
      <c r="E12295" s="352">
        <f>DATE(A12295,B12295,C12295)</f>
        <v>46026</v>
      </c>
      <c r="F12295" s="519"/>
      <c r="G12295" s="353" t="s">
        <v>1245</v>
      </c>
      <c r="H12295" s="354"/>
      <c r="I12295" s="354" t="s">
        <v>1253</v>
      </c>
      <c r="J12295" s="350" t="s">
        <v>153</v>
      </c>
      <c r="K12295" s="355"/>
      <c r="L12295" s="355">
        <f t="shared" ref="L12295" si="1749">K12294</f>
        <v>14076.92142857143</v>
      </c>
    </row>
    <row r="12296" spans="1:16" ht="11.25" customHeight="1" x14ac:dyDescent="0.2">
      <c r="A12296" s="344">
        <v>2026</v>
      </c>
      <c r="B12296" s="344">
        <v>1</v>
      </c>
      <c r="C12296" s="344">
        <v>4</v>
      </c>
      <c r="D12296" s="345">
        <f t="shared" si="1747"/>
        <v>46026</v>
      </c>
      <c r="E12296" s="346">
        <f t="shared" ref="E12296:E12302" si="1750">DATE(A12296,B12296,C12296)</f>
        <v>46026</v>
      </c>
      <c r="F12296" s="518" t="s">
        <v>1989</v>
      </c>
      <c r="G12296" s="347" t="s">
        <v>1245</v>
      </c>
      <c r="H12296" s="348"/>
      <c r="I12296" s="348" t="s">
        <v>1253</v>
      </c>
      <c r="J12296" s="344" t="s">
        <v>113</v>
      </c>
      <c r="K12296" s="349">
        <v>10054.945054945056</v>
      </c>
      <c r="L12296" s="349"/>
      <c r="M12296" s="455"/>
    </row>
    <row r="12297" spans="1:16" ht="11.25" customHeight="1" x14ac:dyDescent="0.2">
      <c r="A12297" s="350">
        <v>2026</v>
      </c>
      <c r="B12297" s="350">
        <v>1</v>
      </c>
      <c r="C12297" s="350">
        <v>4</v>
      </c>
      <c r="D12297" s="351">
        <f t="shared" si="1747"/>
        <v>46026</v>
      </c>
      <c r="E12297" s="352">
        <f t="shared" si="1750"/>
        <v>46026</v>
      </c>
      <c r="F12297" s="519"/>
      <c r="G12297" s="353" t="s">
        <v>1245</v>
      </c>
      <c r="H12297" s="354"/>
      <c r="I12297" s="354" t="s">
        <v>1253</v>
      </c>
      <c r="J12297" s="350" t="s">
        <v>153</v>
      </c>
      <c r="K12297" s="355"/>
      <c r="L12297" s="355">
        <f t="shared" ref="L12297" si="1751">K12296</f>
        <v>10054.945054945056</v>
      </c>
    </row>
    <row r="12298" spans="1:16" ht="11.25" customHeight="1" x14ac:dyDescent="0.2">
      <c r="A12298" s="344">
        <v>2026</v>
      </c>
      <c r="B12298" s="344">
        <v>1</v>
      </c>
      <c r="C12298" s="344">
        <v>4</v>
      </c>
      <c r="D12298" s="345">
        <f t="shared" si="1747"/>
        <v>46026</v>
      </c>
      <c r="E12298" s="346">
        <f t="shared" si="1750"/>
        <v>46026</v>
      </c>
      <c r="F12298" s="518" t="s">
        <v>1990</v>
      </c>
      <c r="G12298" s="347" t="s">
        <v>1245</v>
      </c>
      <c r="H12298" s="348"/>
      <c r="I12298" s="348" t="s">
        <v>1253</v>
      </c>
      <c r="J12298" s="344" t="s">
        <v>113</v>
      </c>
      <c r="K12298" s="349">
        <v>30164.837142857141</v>
      </c>
      <c r="L12298" s="349"/>
      <c r="M12298" s="455"/>
      <c r="N12298" s="251"/>
      <c r="O12298" s="251"/>
      <c r="P12298" s="251"/>
    </row>
    <row r="12299" spans="1:16" ht="11.25" customHeight="1" x14ac:dyDescent="0.2">
      <c r="A12299" s="350">
        <v>2026</v>
      </c>
      <c r="B12299" s="350">
        <v>1</v>
      </c>
      <c r="C12299" s="350">
        <v>4</v>
      </c>
      <c r="D12299" s="351">
        <f t="shared" si="1747"/>
        <v>46026</v>
      </c>
      <c r="E12299" s="352">
        <f t="shared" si="1750"/>
        <v>46026</v>
      </c>
      <c r="F12299" s="519"/>
      <c r="G12299" s="353" t="s">
        <v>1245</v>
      </c>
      <c r="H12299" s="354"/>
      <c r="I12299" s="354" t="s">
        <v>1253</v>
      </c>
      <c r="J12299" s="350" t="s">
        <v>153</v>
      </c>
      <c r="K12299" s="355"/>
      <c r="L12299" s="355">
        <f t="shared" ref="L12299" si="1752">K12298</f>
        <v>30164.837142857141</v>
      </c>
    </row>
    <row r="12300" spans="1:16" ht="11.25" customHeight="1" x14ac:dyDescent="0.2">
      <c r="A12300" s="344">
        <v>2026</v>
      </c>
      <c r="B12300" s="344">
        <v>1</v>
      </c>
      <c r="C12300" s="344">
        <v>4</v>
      </c>
      <c r="D12300" s="345">
        <f t="shared" si="1747"/>
        <v>46026</v>
      </c>
      <c r="E12300" s="346">
        <f t="shared" si="1750"/>
        <v>46026</v>
      </c>
      <c r="F12300" s="518" t="s">
        <v>2107</v>
      </c>
      <c r="G12300" s="347" t="s">
        <v>1245</v>
      </c>
      <c r="H12300" s="348"/>
      <c r="I12300" s="348" t="s">
        <v>1253</v>
      </c>
      <c r="J12300" s="344" t="s">
        <v>113</v>
      </c>
      <c r="K12300" s="349">
        <v>37112.637362637361</v>
      </c>
      <c r="L12300" s="349"/>
      <c r="M12300" s="455"/>
      <c r="N12300" s="251"/>
      <c r="O12300" s="251"/>
      <c r="P12300" s="251"/>
    </row>
    <row r="12301" spans="1:16" ht="11.25" customHeight="1" x14ac:dyDescent="0.2">
      <c r="A12301" s="350">
        <v>2026</v>
      </c>
      <c r="B12301" s="350">
        <v>1</v>
      </c>
      <c r="C12301" s="350">
        <v>4</v>
      </c>
      <c r="D12301" s="351">
        <f t="shared" si="1747"/>
        <v>46026</v>
      </c>
      <c r="E12301" s="352">
        <f t="shared" si="1750"/>
        <v>46026</v>
      </c>
      <c r="F12301" s="519"/>
      <c r="G12301" s="353" t="s">
        <v>1245</v>
      </c>
      <c r="H12301" s="354"/>
      <c r="I12301" s="354" t="s">
        <v>1253</v>
      </c>
      <c r="J12301" s="350" t="s">
        <v>153</v>
      </c>
      <c r="K12301" s="355"/>
      <c r="L12301" s="355">
        <f t="shared" ref="L12301" si="1753">K12300</f>
        <v>37112.637362637361</v>
      </c>
    </row>
    <row r="12302" spans="1:16" ht="11.25" customHeight="1" x14ac:dyDescent="0.2">
      <c r="A12302" s="210">
        <v>2026</v>
      </c>
      <c r="B12302" s="210">
        <v>1</v>
      </c>
      <c r="C12302" s="210">
        <v>4</v>
      </c>
      <c r="D12302" s="211">
        <f t="shared" si="1747"/>
        <v>46026</v>
      </c>
      <c r="E12302" s="238">
        <f t="shared" si="1750"/>
        <v>46026</v>
      </c>
      <c r="F12302" s="520" t="s">
        <v>1857</v>
      </c>
      <c r="G12302" s="213" t="s">
        <v>1245</v>
      </c>
      <c r="H12302" s="214"/>
      <c r="I12302" s="214" t="s">
        <v>1253</v>
      </c>
      <c r="J12302" s="210" t="s">
        <v>1284</v>
      </c>
      <c r="K12302" s="215">
        <v>1003.6334633108827</v>
      </c>
      <c r="L12302" s="215"/>
      <c r="M12302" s="455"/>
      <c r="O12302" s="455"/>
    </row>
    <row r="12303" spans="1:16" ht="11.25" customHeight="1" x14ac:dyDescent="0.2">
      <c r="A12303" s="242">
        <v>2026</v>
      </c>
      <c r="B12303" s="242">
        <v>1</v>
      </c>
      <c r="C12303" s="242">
        <v>4</v>
      </c>
      <c r="D12303" s="243">
        <f t="shared" si="1747"/>
        <v>46026</v>
      </c>
      <c r="E12303" s="244">
        <f>DATE(A12303,B12303,C12303)</f>
        <v>46026</v>
      </c>
      <c r="F12303" s="524"/>
      <c r="G12303" s="245" t="s">
        <v>1245</v>
      </c>
      <c r="H12303" s="246"/>
      <c r="I12303" s="246"/>
      <c r="J12303" s="242" t="s">
        <v>1582</v>
      </c>
      <c r="K12303" s="247"/>
      <c r="L12303" s="247">
        <f>K12302</f>
        <v>1003.6334633108827</v>
      </c>
    </row>
    <row r="12304" spans="1:16" ht="11.25" customHeight="1" x14ac:dyDescent="0.2">
      <c r="A12304" s="210">
        <v>2026</v>
      </c>
      <c r="B12304" s="210">
        <v>1</v>
      </c>
      <c r="C12304" s="210">
        <v>4</v>
      </c>
      <c r="D12304" s="211">
        <f t="shared" si="1747"/>
        <v>46026</v>
      </c>
      <c r="E12304" s="238">
        <f t="shared" ref="E12304:E12318" si="1754">DATE(A12304,B12304,C12304)</f>
        <v>46026</v>
      </c>
      <c r="F12304" s="520" t="s">
        <v>2055</v>
      </c>
      <c r="G12304" s="213" t="s">
        <v>1245</v>
      </c>
      <c r="H12304" s="214"/>
      <c r="I12304" s="214" t="s">
        <v>1253</v>
      </c>
      <c r="J12304" s="210" t="s">
        <v>58</v>
      </c>
      <c r="K12304" s="215">
        <v>1285.32</v>
      </c>
      <c r="L12304" s="215"/>
    </row>
    <row r="12305" spans="1:15" ht="11.25" customHeight="1" x14ac:dyDescent="0.2">
      <c r="A12305" s="216">
        <v>2026</v>
      </c>
      <c r="B12305" s="216">
        <v>1</v>
      </c>
      <c r="C12305" s="216">
        <v>4</v>
      </c>
      <c r="D12305" s="217">
        <f t="shared" si="1747"/>
        <v>46026</v>
      </c>
      <c r="E12305" s="239">
        <f t="shared" si="1754"/>
        <v>46026</v>
      </c>
      <c r="F12305" s="521"/>
      <c r="G12305" s="219" t="s">
        <v>1245</v>
      </c>
      <c r="H12305" s="220"/>
      <c r="I12305" s="220" t="s">
        <v>1253</v>
      </c>
      <c r="J12305" s="216" t="s">
        <v>153</v>
      </c>
      <c r="K12305" s="221"/>
      <c r="L12305" s="221">
        <f>K12304</f>
        <v>1285.32</v>
      </c>
    </row>
    <row r="12306" spans="1:15" ht="11.25" customHeight="1" x14ac:dyDescent="0.2">
      <c r="A12306" s="312">
        <v>2026</v>
      </c>
      <c r="B12306" s="312">
        <v>1</v>
      </c>
      <c r="C12306" s="312">
        <v>4</v>
      </c>
      <c r="D12306" s="313">
        <f t="shared" si="1747"/>
        <v>46026</v>
      </c>
      <c r="E12306" s="314">
        <f t="shared" si="1754"/>
        <v>46026</v>
      </c>
      <c r="F12306" s="522" t="s">
        <v>1595</v>
      </c>
      <c r="G12306" s="315" t="s">
        <v>1245</v>
      </c>
      <c r="H12306" s="316"/>
      <c r="I12306" s="316" t="s">
        <v>1253</v>
      </c>
      <c r="J12306" s="312" t="s">
        <v>1461</v>
      </c>
      <c r="K12306" s="317">
        <v>272765.98300004005</v>
      </c>
      <c r="L12306" s="317"/>
      <c r="M12306" s="328">
        <f>BS!$I$14</f>
        <v>0</v>
      </c>
    </row>
    <row r="12307" spans="1:15" ht="11.25" customHeight="1" x14ac:dyDescent="0.2">
      <c r="A12307" s="318">
        <v>2026</v>
      </c>
      <c r="B12307" s="318">
        <v>1</v>
      </c>
      <c r="C12307" s="318">
        <v>4</v>
      </c>
      <c r="D12307" s="319">
        <f t="shared" si="1747"/>
        <v>46026</v>
      </c>
      <c r="E12307" s="320">
        <f t="shared" si="1754"/>
        <v>46026</v>
      </c>
      <c r="F12307" s="523"/>
      <c r="G12307" s="321" t="s">
        <v>1245</v>
      </c>
      <c r="H12307" s="322"/>
      <c r="I12307" s="322" t="s">
        <v>1253</v>
      </c>
      <c r="J12307" s="318" t="s">
        <v>1459</v>
      </c>
      <c r="K12307" s="323"/>
      <c r="L12307" s="323">
        <f>K12306</f>
        <v>272765.98300004005</v>
      </c>
      <c r="M12307" s="328"/>
    </row>
    <row r="12308" spans="1:15" ht="11.25" customHeight="1" x14ac:dyDescent="0.2">
      <c r="A12308" s="222">
        <v>2026</v>
      </c>
      <c r="B12308" s="222">
        <v>1</v>
      </c>
      <c r="C12308" s="222">
        <v>4</v>
      </c>
      <c r="D12308" s="223">
        <f t="shared" si="1747"/>
        <v>46026</v>
      </c>
      <c r="E12308" s="240">
        <f t="shared" si="1754"/>
        <v>46026</v>
      </c>
      <c r="F12308" s="511" t="s">
        <v>1244</v>
      </c>
      <c r="G12308" s="225" t="s">
        <v>1245</v>
      </c>
      <c r="H12308" s="226"/>
      <c r="I12308" s="226" t="s">
        <v>1253</v>
      </c>
      <c r="J12308" s="222" t="s">
        <v>72</v>
      </c>
      <c r="K12308" s="227"/>
      <c r="L12308" s="227"/>
      <c r="M12308" s="328">
        <f>BS!$I$7</f>
        <v>0</v>
      </c>
    </row>
    <row r="12309" spans="1:15" ht="11.25" customHeight="1" x14ac:dyDescent="0.2">
      <c r="A12309" s="228">
        <v>2026</v>
      </c>
      <c r="B12309" s="228">
        <v>1</v>
      </c>
      <c r="C12309" s="228">
        <v>4</v>
      </c>
      <c r="D12309" s="229">
        <f t="shared" si="1747"/>
        <v>46026</v>
      </c>
      <c r="E12309" s="241">
        <f t="shared" si="1754"/>
        <v>46026</v>
      </c>
      <c r="F12309" s="512"/>
      <c r="G12309" s="231" t="s">
        <v>1245</v>
      </c>
      <c r="H12309" s="232"/>
      <c r="I12309" s="232" t="s">
        <v>1253</v>
      </c>
      <c r="J12309" s="228" t="s">
        <v>87</v>
      </c>
      <c r="K12309" s="233"/>
      <c r="L12309" s="233">
        <f>K12308</f>
        <v>0</v>
      </c>
    </row>
    <row r="12310" spans="1:15" ht="11.25" customHeight="1" x14ac:dyDescent="0.2">
      <c r="A12310" s="222">
        <v>2026</v>
      </c>
      <c r="B12310" s="222">
        <v>1</v>
      </c>
      <c r="C12310" s="222">
        <v>4</v>
      </c>
      <c r="D12310" s="223">
        <f t="shared" si="1747"/>
        <v>46026</v>
      </c>
      <c r="E12310" s="240">
        <f t="shared" si="1754"/>
        <v>46026</v>
      </c>
      <c r="F12310" s="511" t="s">
        <v>1246</v>
      </c>
      <c r="G12310" s="225" t="s">
        <v>1245</v>
      </c>
      <c r="H12310" s="226"/>
      <c r="I12310" s="226" t="s">
        <v>1253</v>
      </c>
      <c r="J12310" s="222" t="s">
        <v>75</v>
      </c>
      <c r="K12310" s="227">
        <v>1552.7673626373626</v>
      </c>
      <c r="L12310" s="227"/>
      <c r="M12310" s="455"/>
    </row>
    <row r="12311" spans="1:15" ht="11.25" customHeight="1" x14ac:dyDescent="0.2">
      <c r="A12311" s="228">
        <v>2026</v>
      </c>
      <c r="B12311" s="228">
        <v>1</v>
      </c>
      <c r="C12311" s="228">
        <v>4</v>
      </c>
      <c r="D12311" s="229">
        <f t="shared" si="1747"/>
        <v>46026</v>
      </c>
      <c r="E12311" s="241">
        <f t="shared" si="1754"/>
        <v>46026</v>
      </c>
      <c r="F12311" s="512"/>
      <c r="G12311" s="231" t="s">
        <v>1245</v>
      </c>
      <c r="H12311" s="232"/>
      <c r="I12311" s="232" t="s">
        <v>1253</v>
      </c>
      <c r="J12311" s="228" t="s">
        <v>55</v>
      </c>
      <c r="K12311" s="233"/>
      <c r="L12311" s="233">
        <f>K12310</f>
        <v>1552.7673626373626</v>
      </c>
    </row>
    <row r="12312" spans="1:15" ht="11.25" customHeight="1" x14ac:dyDescent="0.2">
      <c r="A12312" s="222">
        <v>2026</v>
      </c>
      <c r="B12312" s="222">
        <v>1</v>
      </c>
      <c r="C12312" s="222">
        <v>4</v>
      </c>
      <c r="D12312" s="223">
        <f t="shared" si="1747"/>
        <v>46026</v>
      </c>
      <c r="E12312" s="240">
        <f t="shared" si="1754"/>
        <v>46026</v>
      </c>
      <c r="F12312" s="511" t="s">
        <v>1247</v>
      </c>
      <c r="G12312" s="225" t="s">
        <v>1245</v>
      </c>
      <c r="H12312" s="226"/>
      <c r="I12312" s="226" t="s">
        <v>1253</v>
      </c>
      <c r="J12312" s="222" t="s">
        <v>77</v>
      </c>
      <c r="K12312" s="227">
        <f>M12312</f>
        <v>22183.748711341526</v>
      </c>
      <c r="L12312" s="227"/>
      <c r="M12312" s="478">
        <v>22183.748711341526</v>
      </c>
    </row>
    <row r="12313" spans="1:15" ht="11.25" customHeight="1" x14ac:dyDescent="0.2">
      <c r="A12313" s="228">
        <v>2026</v>
      </c>
      <c r="B12313" s="228">
        <v>1</v>
      </c>
      <c r="C12313" s="228">
        <v>4</v>
      </c>
      <c r="D12313" s="229">
        <f t="shared" si="1747"/>
        <v>46026</v>
      </c>
      <c r="E12313" s="241">
        <f t="shared" si="1754"/>
        <v>46026</v>
      </c>
      <c r="F12313" s="512"/>
      <c r="G12313" s="231" t="s">
        <v>1245</v>
      </c>
      <c r="H12313" s="232"/>
      <c r="I12313" s="232" t="s">
        <v>1253</v>
      </c>
      <c r="J12313" s="228" t="s">
        <v>41</v>
      </c>
      <c r="K12313" s="233"/>
      <c r="L12313" s="233">
        <f>K12312</f>
        <v>22183.748711341526</v>
      </c>
      <c r="M12313" s="478">
        <v>2218.3748711341527</v>
      </c>
      <c r="N12313" s="251"/>
    </row>
    <row r="12314" spans="1:15" ht="11.25" customHeight="1" x14ac:dyDescent="0.2">
      <c r="A12314" s="222">
        <v>2026</v>
      </c>
      <c r="B12314" s="222">
        <v>1</v>
      </c>
      <c r="C12314" s="222">
        <v>4</v>
      </c>
      <c r="D12314" s="223">
        <f t="shared" si="1747"/>
        <v>46026</v>
      </c>
      <c r="E12314" s="240">
        <f t="shared" si="1754"/>
        <v>46026</v>
      </c>
      <c r="F12314" s="511" t="s">
        <v>1248</v>
      </c>
      <c r="G12314" s="225" t="s">
        <v>1245</v>
      </c>
      <c r="H12314" s="226"/>
      <c r="I12314" s="226" t="s">
        <v>1253</v>
      </c>
      <c r="J12314" s="222" t="s">
        <v>80</v>
      </c>
      <c r="K12314" s="227">
        <f>M12313</f>
        <v>2218.3748711341527</v>
      </c>
      <c r="L12314" s="227"/>
      <c r="N12314" s="251"/>
      <c r="O12314" s="251"/>
    </row>
    <row r="12315" spans="1:15" ht="11.25" customHeight="1" x14ac:dyDescent="0.2">
      <c r="A12315" s="228">
        <v>2026</v>
      </c>
      <c r="B12315" s="228">
        <v>1</v>
      </c>
      <c r="C12315" s="228">
        <v>4</v>
      </c>
      <c r="D12315" s="229">
        <f t="shared" si="1747"/>
        <v>46026</v>
      </c>
      <c r="E12315" s="241">
        <f t="shared" si="1754"/>
        <v>46026</v>
      </c>
      <c r="F12315" s="512"/>
      <c r="G12315" s="231" t="s">
        <v>1245</v>
      </c>
      <c r="H12315" s="232"/>
      <c r="I12315" s="232" t="s">
        <v>1253</v>
      </c>
      <c r="J12315" s="228" t="s">
        <v>42</v>
      </c>
      <c r="K12315" s="233"/>
      <c r="L12315" s="233">
        <f>K12314</f>
        <v>2218.3748711341527</v>
      </c>
      <c r="N12315" s="251"/>
    </row>
    <row r="12316" spans="1:15" x14ac:dyDescent="0.2">
      <c r="A12316" s="197">
        <v>2026</v>
      </c>
      <c r="B12316" s="197">
        <v>1</v>
      </c>
      <c r="C12316" s="197">
        <v>5</v>
      </c>
      <c r="D12316" s="198">
        <f t="shared" si="1747"/>
        <v>46027</v>
      </c>
      <c r="E12316" s="209">
        <f t="shared" si="1754"/>
        <v>46027</v>
      </c>
      <c r="F12316" s="513" t="s">
        <v>2113</v>
      </c>
      <c r="G12316" s="200" t="s">
        <v>1209</v>
      </c>
      <c r="H12316" s="201"/>
      <c r="I12316" s="201"/>
      <c r="J12316" s="197" t="s">
        <v>46</v>
      </c>
      <c r="K12316" s="202">
        <v>3000000</v>
      </c>
      <c r="L12316" s="202"/>
    </row>
    <row r="12317" spans="1:15" x14ac:dyDescent="0.2">
      <c r="A12317" s="120">
        <v>2026</v>
      </c>
      <c r="B12317" s="120">
        <v>1</v>
      </c>
      <c r="C12317" s="120">
        <v>5</v>
      </c>
      <c r="D12317" s="208">
        <f t="shared" si="1747"/>
        <v>46027</v>
      </c>
      <c r="E12317" s="209">
        <f t="shared" si="1754"/>
        <v>46027</v>
      </c>
      <c r="F12317" s="515"/>
      <c r="G12317" s="132" t="s">
        <v>1209</v>
      </c>
      <c r="J12317" s="120" t="s">
        <v>16</v>
      </c>
      <c r="K12317" s="207"/>
      <c r="L12317" s="207">
        <v>2181030</v>
      </c>
    </row>
    <row r="12318" spans="1:15" x14ac:dyDescent="0.2">
      <c r="A12318" s="191">
        <v>2026</v>
      </c>
      <c r="B12318" s="191">
        <v>1</v>
      </c>
      <c r="C12318" s="191">
        <v>5</v>
      </c>
      <c r="D12318" s="192">
        <f t="shared" si="1747"/>
        <v>46027</v>
      </c>
      <c r="E12318" s="193">
        <f t="shared" si="1754"/>
        <v>46027</v>
      </c>
      <c r="F12318" s="514"/>
      <c r="G12318" s="194" t="s">
        <v>1209</v>
      </c>
      <c r="H12318" s="195"/>
      <c r="I12318" s="195"/>
      <c r="J12318" s="191" t="s">
        <v>47</v>
      </c>
      <c r="K12318" s="196"/>
      <c r="L12318" s="196">
        <v>818970</v>
      </c>
    </row>
    <row r="12319" spans="1:15" ht="11.25" customHeight="1" x14ac:dyDescent="0.2">
      <c r="A12319" s="197">
        <v>2026</v>
      </c>
      <c r="B12319" s="197">
        <v>1</v>
      </c>
      <c r="C12319" s="197">
        <v>5</v>
      </c>
      <c r="D12319" s="198">
        <f t="shared" si="1747"/>
        <v>46027</v>
      </c>
      <c r="E12319" s="290">
        <f>DATE(A12319,B12319,C12319)</f>
        <v>46027</v>
      </c>
      <c r="F12319" s="513" t="s">
        <v>1514</v>
      </c>
      <c r="G12319" s="200" t="s">
        <v>1209</v>
      </c>
      <c r="H12319" s="201"/>
      <c r="I12319" s="201"/>
      <c r="J12319" s="197" t="s">
        <v>54</v>
      </c>
      <c r="K12319" s="202">
        <v>25</v>
      </c>
      <c r="L12319" s="202"/>
      <c r="O12319" s="251"/>
    </row>
    <row r="12320" spans="1:15" ht="11.25" customHeight="1" x14ac:dyDescent="0.2">
      <c r="A12320" s="191">
        <v>2026</v>
      </c>
      <c r="B12320" s="191">
        <v>1</v>
      </c>
      <c r="C12320" s="191">
        <v>5</v>
      </c>
      <c r="D12320" s="192">
        <f t="shared" si="1747"/>
        <v>46027</v>
      </c>
      <c r="E12320" s="291">
        <f>DATE(A12320,B12320,C12320)</f>
        <v>46027</v>
      </c>
      <c r="F12320" s="514"/>
      <c r="G12320" s="194" t="s">
        <v>1209</v>
      </c>
      <c r="H12320" s="195"/>
      <c r="I12320" s="195"/>
      <c r="J12320" s="191" t="s">
        <v>46</v>
      </c>
      <c r="K12320" s="196"/>
      <c r="L12320" s="196">
        <f>K12319</f>
        <v>25</v>
      </c>
      <c r="O12320" s="251"/>
    </row>
    <row r="12321" spans="1:13" x14ac:dyDescent="0.2">
      <c r="A12321" s="197">
        <v>2026</v>
      </c>
      <c r="B12321" s="197">
        <v>1</v>
      </c>
      <c r="C12321" s="120">
        <v>5</v>
      </c>
      <c r="D12321" s="198">
        <f t="shared" si="1747"/>
        <v>46027</v>
      </c>
      <c r="E12321" s="209">
        <f t="shared" ref="E12321:E12335" si="1755">DATE(A12321,B12321,C12321)</f>
        <v>46027</v>
      </c>
      <c r="F12321" s="513" t="s">
        <v>1296</v>
      </c>
      <c r="G12321" s="200" t="s">
        <v>1209</v>
      </c>
      <c r="H12321" s="201"/>
      <c r="I12321" s="201"/>
      <c r="J12321" s="197" t="s">
        <v>46</v>
      </c>
      <c r="K12321" s="202">
        <v>138000</v>
      </c>
      <c r="L12321" s="202"/>
    </row>
    <row r="12322" spans="1:13" x14ac:dyDescent="0.2">
      <c r="A12322" s="120">
        <v>2026</v>
      </c>
      <c r="B12322" s="120">
        <v>1</v>
      </c>
      <c r="C12322" s="120">
        <v>5</v>
      </c>
      <c r="D12322" s="208">
        <f t="shared" si="1747"/>
        <v>46027</v>
      </c>
      <c r="E12322" s="209">
        <f t="shared" si="1755"/>
        <v>46027</v>
      </c>
      <c r="F12322" s="515"/>
      <c r="G12322" s="132" t="s">
        <v>1209</v>
      </c>
      <c r="J12322" s="120" t="s">
        <v>16</v>
      </c>
      <c r="K12322" s="207"/>
      <c r="L12322" s="207">
        <v>100190</v>
      </c>
    </row>
    <row r="12323" spans="1:13" x14ac:dyDescent="0.2">
      <c r="A12323" s="191">
        <v>2026</v>
      </c>
      <c r="B12323" s="191">
        <v>1</v>
      </c>
      <c r="C12323" s="191">
        <v>5</v>
      </c>
      <c r="D12323" s="192">
        <f t="shared" si="1747"/>
        <v>46027</v>
      </c>
      <c r="E12323" s="193">
        <f t="shared" si="1755"/>
        <v>46027</v>
      </c>
      <c r="F12323" s="514"/>
      <c r="G12323" s="194" t="s">
        <v>1209</v>
      </c>
      <c r="H12323" s="195"/>
      <c r="I12323" s="195"/>
      <c r="J12323" s="191" t="s">
        <v>47</v>
      </c>
      <c r="K12323" s="196"/>
      <c r="L12323" s="196">
        <v>37810</v>
      </c>
    </row>
    <row r="12324" spans="1:13" x14ac:dyDescent="0.2">
      <c r="A12324" s="424">
        <v>2026</v>
      </c>
      <c r="B12324" s="424">
        <v>1</v>
      </c>
      <c r="C12324" s="424">
        <v>5</v>
      </c>
      <c r="D12324" s="425">
        <f t="shared" si="1747"/>
        <v>46027</v>
      </c>
      <c r="E12324" s="384">
        <f t="shared" si="1755"/>
        <v>46027</v>
      </c>
      <c r="F12324" s="516" t="s">
        <v>1850</v>
      </c>
      <c r="G12324" s="426" t="s">
        <v>1209</v>
      </c>
      <c r="H12324" s="427"/>
      <c r="I12324" s="427"/>
      <c r="J12324" s="428" t="s">
        <v>81</v>
      </c>
      <c r="K12324" s="429">
        <v>1595.8173626373627</v>
      </c>
      <c r="L12324" s="429"/>
      <c r="M12324" s="455"/>
    </row>
    <row r="12325" spans="1:13" x14ac:dyDescent="0.2">
      <c r="A12325" s="389">
        <v>2026</v>
      </c>
      <c r="B12325" s="389">
        <v>1</v>
      </c>
      <c r="C12325" s="389">
        <v>5</v>
      </c>
      <c r="D12325" s="390">
        <f t="shared" si="1747"/>
        <v>46027</v>
      </c>
      <c r="E12325" s="391">
        <f t="shared" si="1755"/>
        <v>46027</v>
      </c>
      <c r="F12325" s="517"/>
      <c r="G12325" s="392" t="s">
        <v>1209</v>
      </c>
      <c r="H12325" s="393"/>
      <c r="I12325" s="393"/>
      <c r="J12325" s="394" t="s">
        <v>1847</v>
      </c>
      <c r="K12325" s="423"/>
      <c r="L12325" s="423">
        <f>K12324</f>
        <v>1595.8173626373627</v>
      </c>
    </row>
    <row r="12326" spans="1:13" ht="11.25" customHeight="1" x14ac:dyDescent="0.2">
      <c r="A12326" s="382">
        <v>2026</v>
      </c>
      <c r="B12326" s="382">
        <v>1</v>
      </c>
      <c r="C12326" s="382">
        <v>5</v>
      </c>
      <c r="D12326" s="383">
        <f t="shared" si="1747"/>
        <v>46027</v>
      </c>
      <c r="E12326" s="384">
        <f t="shared" si="1755"/>
        <v>46027</v>
      </c>
      <c r="F12326" s="516" t="s">
        <v>1892</v>
      </c>
      <c r="G12326" s="385" t="s">
        <v>1209</v>
      </c>
      <c r="H12326" s="386"/>
      <c r="I12326" s="386"/>
      <c r="J12326" s="387" t="s">
        <v>173</v>
      </c>
      <c r="K12326" s="388">
        <v>628.75179914136902</v>
      </c>
      <c r="L12326" s="388"/>
      <c r="M12326" s="455"/>
    </row>
    <row r="12327" spans="1:13" ht="11.25" customHeight="1" x14ac:dyDescent="0.2">
      <c r="A12327" s="389">
        <v>2026</v>
      </c>
      <c r="B12327" s="389">
        <v>1</v>
      </c>
      <c r="C12327" s="389">
        <v>5</v>
      </c>
      <c r="D12327" s="390">
        <f t="shared" si="1747"/>
        <v>46027</v>
      </c>
      <c r="E12327" s="391">
        <f t="shared" si="1755"/>
        <v>46027</v>
      </c>
      <c r="F12327" s="517"/>
      <c r="G12327" s="392" t="s">
        <v>1209</v>
      </c>
      <c r="H12327" s="393"/>
      <c r="I12327" s="393"/>
      <c r="J12327" s="394" t="s">
        <v>43</v>
      </c>
      <c r="K12327" s="388"/>
      <c r="L12327" s="423">
        <f>K12326</f>
        <v>628.75179914136902</v>
      </c>
    </row>
    <row r="12328" spans="1:13" ht="11.25" customHeight="1" x14ac:dyDescent="0.2">
      <c r="A12328" s="344">
        <v>2026</v>
      </c>
      <c r="B12328" s="344">
        <v>1</v>
      </c>
      <c r="C12328" s="344">
        <v>5</v>
      </c>
      <c r="D12328" s="345">
        <f t="shared" si="1747"/>
        <v>46027</v>
      </c>
      <c r="E12328" s="346">
        <f t="shared" si="1755"/>
        <v>46027</v>
      </c>
      <c r="F12328" s="518" t="s">
        <v>1982</v>
      </c>
      <c r="G12328" s="347" t="s">
        <v>1245</v>
      </c>
      <c r="H12328" s="348"/>
      <c r="I12328" s="348" t="s">
        <v>1253</v>
      </c>
      <c r="J12328" s="344" t="s">
        <v>1978</v>
      </c>
      <c r="K12328" s="349">
        <v>21249.725274725275</v>
      </c>
      <c r="L12328" s="349"/>
      <c r="M12328" s="455"/>
    </row>
    <row r="12329" spans="1:13" ht="11.25" customHeight="1" x14ac:dyDescent="0.2">
      <c r="A12329" s="350">
        <v>2026</v>
      </c>
      <c r="B12329" s="350">
        <v>1</v>
      </c>
      <c r="C12329" s="350">
        <v>5</v>
      </c>
      <c r="D12329" s="351">
        <f t="shared" si="1747"/>
        <v>46027</v>
      </c>
      <c r="E12329" s="352">
        <f t="shared" si="1755"/>
        <v>46027</v>
      </c>
      <c r="F12329" s="519"/>
      <c r="G12329" s="353" t="s">
        <v>1245</v>
      </c>
      <c r="H12329" s="354"/>
      <c r="I12329" s="354" t="s">
        <v>1253</v>
      </c>
      <c r="J12329" s="350" t="s">
        <v>1979</v>
      </c>
      <c r="K12329" s="355"/>
      <c r="L12329" s="355">
        <f>K12328</f>
        <v>21249.725274725275</v>
      </c>
    </row>
    <row r="12330" spans="1:13" ht="11.25" customHeight="1" x14ac:dyDescent="0.2">
      <c r="A12330" s="344">
        <v>2026</v>
      </c>
      <c r="B12330" s="344">
        <v>1</v>
      </c>
      <c r="C12330" s="344">
        <v>5</v>
      </c>
      <c r="D12330" s="345">
        <f t="shared" si="1747"/>
        <v>46027</v>
      </c>
      <c r="E12330" s="346">
        <f t="shared" si="1755"/>
        <v>46027</v>
      </c>
      <c r="F12330" s="518" t="s">
        <v>2009</v>
      </c>
      <c r="G12330" s="347" t="s">
        <v>1245</v>
      </c>
      <c r="H12330" s="348"/>
      <c r="I12330" s="348" t="s">
        <v>1253</v>
      </c>
      <c r="J12330" s="344" t="s">
        <v>2004</v>
      </c>
      <c r="K12330" s="349">
        <v>7098.9014285714284</v>
      </c>
      <c r="L12330" s="349"/>
      <c r="M12330" s="455"/>
    </row>
    <row r="12331" spans="1:13" ht="11.25" customHeight="1" x14ac:dyDescent="0.2">
      <c r="A12331" s="350">
        <v>2026</v>
      </c>
      <c r="B12331" s="350">
        <v>1</v>
      </c>
      <c r="C12331" s="350">
        <v>5</v>
      </c>
      <c r="D12331" s="351">
        <f t="shared" si="1747"/>
        <v>46027</v>
      </c>
      <c r="E12331" s="352">
        <f t="shared" si="1755"/>
        <v>46027</v>
      </c>
      <c r="F12331" s="519"/>
      <c r="G12331" s="353" t="s">
        <v>1245</v>
      </c>
      <c r="H12331" s="354"/>
      <c r="I12331" s="354" t="s">
        <v>1253</v>
      </c>
      <c r="J12331" s="350" t="s">
        <v>2008</v>
      </c>
      <c r="K12331" s="355"/>
      <c r="L12331" s="355">
        <f t="shared" ref="L12331" si="1756">K12330</f>
        <v>7098.9014285714284</v>
      </c>
    </row>
    <row r="12332" spans="1:13" ht="11.25" customHeight="1" x14ac:dyDescent="0.2">
      <c r="A12332" s="344">
        <v>2026</v>
      </c>
      <c r="B12332" s="344">
        <v>1</v>
      </c>
      <c r="C12332" s="344">
        <v>5</v>
      </c>
      <c r="D12332" s="345">
        <f t="shared" si="1747"/>
        <v>46027</v>
      </c>
      <c r="E12332" s="346">
        <f t="shared" si="1755"/>
        <v>46027</v>
      </c>
      <c r="F12332" s="518" t="s">
        <v>2009</v>
      </c>
      <c r="G12332" s="347" t="s">
        <v>1245</v>
      </c>
      <c r="H12332" s="348"/>
      <c r="I12332" s="348" t="s">
        <v>1253</v>
      </c>
      <c r="J12332" s="344" t="s">
        <v>2004</v>
      </c>
      <c r="K12332" s="349">
        <v>7098.9014285714284</v>
      </c>
      <c r="L12332" s="349"/>
      <c r="M12332" s="455"/>
    </row>
    <row r="12333" spans="1:13" ht="11.25" customHeight="1" x14ac:dyDescent="0.2">
      <c r="A12333" s="350">
        <v>2026</v>
      </c>
      <c r="B12333" s="350">
        <v>1</v>
      </c>
      <c r="C12333" s="350">
        <v>5</v>
      </c>
      <c r="D12333" s="351">
        <f t="shared" si="1747"/>
        <v>46027</v>
      </c>
      <c r="E12333" s="352">
        <f t="shared" si="1755"/>
        <v>46027</v>
      </c>
      <c r="F12333" s="519"/>
      <c r="G12333" s="353" t="s">
        <v>1245</v>
      </c>
      <c r="H12333" s="354"/>
      <c r="I12333" s="354" t="s">
        <v>1253</v>
      </c>
      <c r="J12333" s="350" t="s">
        <v>2008</v>
      </c>
      <c r="K12333" s="355"/>
      <c r="L12333" s="355">
        <f t="shared" ref="L12333" si="1757">K12332</f>
        <v>7098.9014285714284</v>
      </c>
    </row>
    <row r="12334" spans="1:13" ht="11.25" customHeight="1" x14ac:dyDescent="0.2">
      <c r="A12334" s="344">
        <v>2026</v>
      </c>
      <c r="B12334" s="344">
        <v>1</v>
      </c>
      <c r="C12334" s="344">
        <v>5</v>
      </c>
      <c r="D12334" s="345">
        <f t="shared" si="1747"/>
        <v>46027</v>
      </c>
      <c r="E12334" s="346">
        <f t="shared" si="1755"/>
        <v>46027</v>
      </c>
      <c r="F12334" s="518" t="s">
        <v>2088</v>
      </c>
      <c r="G12334" s="347" t="s">
        <v>1245</v>
      </c>
      <c r="H12334" s="348"/>
      <c r="I12334" s="348" t="s">
        <v>1253</v>
      </c>
      <c r="J12334" s="344" t="s">
        <v>2086</v>
      </c>
      <c r="K12334" s="349">
        <v>1789.835164835165</v>
      </c>
      <c r="L12334" s="349"/>
      <c r="M12334" s="455"/>
    </row>
    <row r="12335" spans="1:13" ht="11.25" customHeight="1" x14ac:dyDescent="0.2">
      <c r="A12335" s="350">
        <v>2026</v>
      </c>
      <c r="B12335" s="350">
        <v>1</v>
      </c>
      <c r="C12335" s="350">
        <v>5</v>
      </c>
      <c r="D12335" s="351">
        <f t="shared" si="1747"/>
        <v>46027</v>
      </c>
      <c r="E12335" s="352">
        <f t="shared" si="1755"/>
        <v>46027</v>
      </c>
      <c r="F12335" s="519"/>
      <c r="G12335" s="353" t="s">
        <v>1245</v>
      </c>
      <c r="H12335" s="354"/>
      <c r="I12335" s="354" t="s">
        <v>1253</v>
      </c>
      <c r="J12335" s="350" t="s">
        <v>2089</v>
      </c>
      <c r="K12335" s="355"/>
      <c r="L12335" s="355">
        <f>K12334</f>
        <v>1789.835164835165</v>
      </c>
    </row>
    <row r="12336" spans="1:13" ht="11.25" customHeight="1" x14ac:dyDescent="0.2">
      <c r="A12336" s="344">
        <v>2026</v>
      </c>
      <c r="B12336" s="344">
        <v>1</v>
      </c>
      <c r="C12336" s="344">
        <v>5</v>
      </c>
      <c r="D12336" s="345">
        <f t="shared" si="1747"/>
        <v>46027</v>
      </c>
      <c r="E12336" s="346">
        <f>DATE(A12336,B12336,C12336)</f>
        <v>46027</v>
      </c>
      <c r="F12336" s="518" t="s">
        <v>1988</v>
      </c>
      <c r="G12336" s="347" t="s">
        <v>1245</v>
      </c>
      <c r="H12336" s="348"/>
      <c r="I12336" s="348" t="s">
        <v>1253</v>
      </c>
      <c r="J12336" s="344" t="s">
        <v>113</v>
      </c>
      <c r="K12336" s="349">
        <v>4692.3071428571429</v>
      </c>
      <c r="L12336" s="349"/>
      <c r="M12336" s="455"/>
    </row>
    <row r="12337" spans="1:16" ht="11.25" customHeight="1" x14ac:dyDescent="0.2">
      <c r="A12337" s="350">
        <v>2026</v>
      </c>
      <c r="B12337" s="350">
        <v>1</v>
      </c>
      <c r="C12337" s="350">
        <v>5</v>
      </c>
      <c r="D12337" s="351">
        <f t="shared" si="1747"/>
        <v>46027</v>
      </c>
      <c r="E12337" s="352">
        <f>DATE(A12337,B12337,C12337)</f>
        <v>46027</v>
      </c>
      <c r="F12337" s="519"/>
      <c r="G12337" s="353" t="s">
        <v>1245</v>
      </c>
      <c r="H12337" s="354"/>
      <c r="I12337" s="354" t="s">
        <v>1253</v>
      </c>
      <c r="J12337" s="350" t="s">
        <v>153</v>
      </c>
      <c r="K12337" s="355"/>
      <c r="L12337" s="355">
        <f t="shared" ref="L12337" si="1758">K12336</f>
        <v>4692.3071428571429</v>
      </c>
    </row>
    <row r="12338" spans="1:16" ht="11.25" customHeight="1" x14ac:dyDescent="0.2">
      <c r="A12338" s="344">
        <v>2026</v>
      </c>
      <c r="B12338" s="344">
        <v>1</v>
      </c>
      <c r="C12338" s="344">
        <v>5</v>
      </c>
      <c r="D12338" s="345">
        <f t="shared" si="1747"/>
        <v>46027</v>
      </c>
      <c r="E12338" s="346">
        <f t="shared" ref="E12338:E12344" si="1759">DATE(A12338,B12338,C12338)</f>
        <v>46027</v>
      </c>
      <c r="F12338" s="518" t="s">
        <v>1989</v>
      </c>
      <c r="G12338" s="347" t="s">
        <v>1245</v>
      </c>
      <c r="H12338" s="348"/>
      <c r="I12338" s="348" t="s">
        <v>1253</v>
      </c>
      <c r="J12338" s="344" t="s">
        <v>113</v>
      </c>
      <c r="K12338" s="349">
        <v>3351.6483516483518</v>
      </c>
      <c r="L12338" s="349"/>
      <c r="M12338" s="455"/>
    </row>
    <row r="12339" spans="1:16" ht="11.25" customHeight="1" x14ac:dyDescent="0.2">
      <c r="A12339" s="350">
        <v>2026</v>
      </c>
      <c r="B12339" s="350">
        <v>1</v>
      </c>
      <c r="C12339" s="350">
        <v>5</v>
      </c>
      <c r="D12339" s="351">
        <f t="shared" si="1747"/>
        <v>46027</v>
      </c>
      <c r="E12339" s="352">
        <f t="shared" si="1759"/>
        <v>46027</v>
      </c>
      <c r="F12339" s="519"/>
      <c r="G12339" s="353" t="s">
        <v>1245</v>
      </c>
      <c r="H12339" s="354"/>
      <c r="I12339" s="354" t="s">
        <v>1253</v>
      </c>
      <c r="J12339" s="350" t="s">
        <v>153</v>
      </c>
      <c r="K12339" s="355"/>
      <c r="L12339" s="355">
        <f t="shared" ref="L12339" si="1760">K12338</f>
        <v>3351.6483516483518</v>
      </c>
    </row>
    <row r="12340" spans="1:16" ht="11.25" customHeight="1" x14ac:dyDescent="0.2">
      <c r="A12340" s="344">
        <v>2026</v>
      </c>
      <c r="B12340" s="344">
        <v>1</v>
      </c>
      <c r="C12340" s="344">
        <v>5</v>
      </c>
      <c r="D12340" s="345">
        <f t="shared" si="1747"/>
        <v>46027</v>
      </c>
      <c r="E12340" s="346">
        <f t="shared" si="1759"/>
        <v>46027</v>
      </c>
      <c r="F12340" s="518" t="s">
        <v>1990</v>
      </c>
      <c r="G12340" s="347" t="s">
        <v>1245</v>
      </c>
      <c r="H12340" s="348"/>
      <c r="I12340" s="348" t="s">
        <v>1253</v>
      </c>
      <c r="J12340" s="344" t="s">
        <v>113</v>
      </c>
      <c r="K12340" s="349">
        <v>10054.945714285714</v>
      </c>
      <c r="L12340" s="349"/>
      <c r="M12340" s="455"/>
      <c r="N12340" s="251"/>
      <c r="O12340" s="251"/>
      <c r="P12340" s="251"/>
    </row>
    <row r="12341" spans="1:16" ht="11.25" customHeight="1" x14ac:dyDescent="0.2">
      <c r="A12341" s="350">
        <v>2026</v>
      </c>
      <c r="B12341" s="350">
        <v>1</v>
      </c>
      <c r="C12341" s="350">
        <v>5</v>
      </c>
      <c r="D12341" s="351">
        <f t="shared" si="1747"/>
        <v>46027</v>
      </c>
      <c r="E12341" s="352">
        <f t="shared" si="1759"/>
        <v>46027</v>
      </c>
      <c r="F12341" s="519"/>
      <c r="G12341" s="353" t="s">
        <v>1245</v>
      </c>
      <c r="H12341" s="354"/>
      <c r="I12341" s="354" t="s">
        <v>1253</v>
      </c>
      <c r="J12341" s="350" t="s">
        <v>153</v>
      </c>
      <c r="K12341" s="355"/>
      <c r="L12341" s="355">
        <f t="shared" ref="L12341" si="1761">K12340</f>
        <v>10054.945714285714</v>
      </c>
    </row>
    <row r="12342" spans="1:16" ht="11.25" customHeight="1" x14ac:dyDescent="0.2">
      <c r="A12342" s="344">
        <v>2026</v>
      </c>
      <c r="B12342" s="344">
        <v>1</v>
      </c>
      <c r="C12342" s="344">
        <v>5</v>
      </c>
      <c r="D12342" s="345">
        <f t="shared" si="1747"/>
        <v>46027</v>
      </c>
      <c r="E12342" s="346">
        <f t="shared" si="1759"/>
        <v>46027</v>
      </c>
      <c r="F12342" s="518" t="s">
        <v>2107</v>
      </c>
      <c r="G12342" s="347" t="s">
        <v>1245</v>
      </c>
      <c r="H12342" s="348"/>
      <c r="I12342" s="348" t="s">
        <v>1253</v>
      </c>
      <c r="J12342" s="344" t="s">
        <v>113</v>
      </c>
      <c r="K12342" s="349">
        <v>12370.879120879121</v>
      </c>
      <c r="L12342" s="349"/>
      <c r="M12342" s="455"/>
      <c r="N12342" s="251"/>
      <c r="O12342" s="251"/>
      <c r="P12342" s="251"/>
    </row>
    <row r="12343" spans="1:16" ht="11.25" customHeight="1" x14ac:dyDescent="0.2">
      <c r="A12343" s="350">
        <v>2026</v>
      </c>
      <c r="B12343" s="350">
        <v>1</v>
      </c>
      <c r="C12343" s="350">
        <v>5</v>
      </c>
      <c r="D12343" s="351">
        <f t="shared" si="1747"/>
        <v>46027</v>
      </c>
      <c r="E12343" s="352">
        <f t="shared" si="1759"/>
        <v>46027</v>
      </c>
      <c r="F12343" s="519"/>
      <c r="G12343" s="353" t="s">
        <v>1245</v>
      </c>
      <c r="H12343" s="354"/>
      <c r="I12343" s="354" t="s">
        <v>1253</v>
      </c>
      <c r="J12343" s="350" t="s">
        <v>153</v>
      </c>
      <c r="K12343" s="355"/>
      <c r="L12343" s="355">
        <f t="shared" ref="L12343" si="1762">K12342</f>
        <v>12370.879120879121</v>
      </c>
    </row>
    <row r="12344" spans="1:16" ht="11.25" customHeight="1" x14ac:dyDescent="0.2">
      <c r="A12344" s="210">
        <v>2026</v>
      </c>
      <c r="B12344" s="210">
        <v>1</v>
      </c>
      <c r="C12344" s="210">
        <v>5</v>
      </c>
      <c r="D12344" s="211">
        <f t="shared" si="1747"/>
        <v>46027</v>
      </c>
      <c r="E12344" s="238">
        <f t="shared" si="1759"/>
        <v>46027</v>
      </c>
      <c r="F12344" s="520" t="s">
        <v>1857</v>
      </c>
      <c r="G12344" s="213" t="s">
        <v>1245</v>
      </c>
      <c r="H12344" s="214"/>
      <c r="I12344" s="214" t="s">
        <v>1253</v>
      </c>
      <c r="J12344" s="210" t="s">
        <v>1284</v>
      </c>
      <c r="K12344" s="215">
        <v>334.54448777029421</v>
      </c>
      <c r="L12344" s="215"/>
      <c r="M12344" s="455"/>
    </row>
    <row r="12345" spans="1:16" ht="11.25" customHeight="1" x14ac:dyDescent="0.2">
      <c r="A12345" s="242">
        <v>2026</v>
      </c>
      <c r="B12345" s="242">
        <v>1</v>
      </c>
      <c r="C12345" s="242">
        <v>5</v>
      </c>
      <c r="D12345" s="243">
        <f t="shared" si="1747"/>
        <v>46027</v>
      </c>
      <c r="E12345" s="244">
        <f>DATE(A12345,B12345,C12345)</f>
        <v>46027</v>
      </c>
      <c r="F12345" s="524"/>
      <c r="G12345" s="245" t="s">
        <v>1245</v>
      </c>
      <c r="H12345" s="246"/>
      <c r="I12345" s="246"/>
      <c r="J12345" s="242" t="s">
        <v>1582</v>
      </c>
      <c r="K12345" s="247"/>
      <c r="L12345" s="247">
        <f>K12344</f>
        <v>334.54448777029421</v>
      </c>
    </row>
    <row r="12346" spans="1:16" ht="11.25" customHeight="1" x14ac:dyDescent="0.2">
      <c r="A12346" s="210">
        <v>2026</v>
      </c>
      <c r="B12346" s="210">
        <v>1</v>
      </c>
      <c r="C12346" s="210">
        <v>5</v>
      </c>
      <c r="D12346" s="211">
        <f t="shared" si="1747"/>
        <v>46027</v>
      </c>
      <c r="E12346" s="238">
        <f t="shared" ref="E12346:E12369" si="1763">DATE(A12346,B12346,C12346)</f>
        <v>46027</v>
      </c>
      <c r="F12346" s="520" t="s">
        <v>2055</v>
      </c>
      <c r="G12346" s="213" t="s">
        <v>1245</v>
      </c>
      <c r="H12346" s="214"/>
      <c r="I12346" s="214" t="s">
        <v>1253</v>
      </c>
      <c r="J12346" s="210" t="s">
        <v>58</v>
      </c>
      <c r="K12346" s="215">
        <v>981.89</v>
      </c>
      <c r="L12346" s="215"/>
    </row>
    <row r="12347" spans="1:16" ht="11.25" customHeight="1" x14ac:dyDescent="0.2">
      <c r="A12347" s="216">
        <v>2026</v>
      </c>
      <c r="B12347" s="216">
        <v>1</v>
      </c>
      <c r="C12347" s="216">
        <v>5</v>
      </c>
      <c r="D12347" s="217">
        <f t="shared" si="1747"/>
        <v>46027</v>
      </c>
      <c r="E12347" s="239">
        <f t="shared" si="1763"/>
        <v>46027</v>
      </c>
      <c r="F12347" s="521"/>
      <c r="G12347" s="219" t="s">
        <v>1245</v>
      </c>
      <c r="H12347" s="220"/>
      <c r="I12347" s="220" t="s">
        <v>1253</v>
      </c>
      <c r="J12347" s="216" t="s">
        <v>153</v>
      </c>
      <c r="K12347" s="221"/>
      <c r="L12347" s="221">
        <f>K12346</f>
        <v>981.89</v>
      </c>
    </row>
    <row r="12348" spans="1:16" ht="11.25" customHeight="1" x14ac:dyDescent="0.2">
      <c r="A12348" s="312">
        <v>2026</v>
      </c>
      <c r="B12348" s="312">
        <v>1</v>
      </c>
      <c r="C12348" s="312">
        <v>5</v>
      </c>
      <c r="D12348" s="313">
        <f t="shared" si="1747"/>
        <v>46027</v>
      </c>
      <c r="E12348" s="314">
        <f t="shared" si="1763"/>
        <v>46027</v>
      </c>
      <c r="F12348" s="522" t="s">
        <v>1595</v>
      </c>
      <c r="G12348" s="315" t="s">
        <v>1245</v>
      </c>
      <c r="H12348" s="316"/>
      <c r="I12348" s="316" t="s">
        <v>1253</v>
      </c>
      <c r="J12348" s="312" t="s">
        <v>1461</v>
      </c>
      <c r="K12348" s="317">
        <v>98532.321999967098</v>
      </c>
      <c r="L12348" s="317"/>
      <c r="M12348" s="328">
        <f>BS!$I$14</f>
        <v>0</v>
      </c>
    </row>
    <row r="12349" spans="1:16" ht="11.25" customHeight="1" x14ac:dyDescent="0.2">
      <c r="A12349" s="318">
        <v>2026</v>
      </c>
      <c r="B12349" s="318">
        <v>1</v>
      </c>
      <c r="C12349" s="318">
        <v>5</v>
      </c>
      <c r="D12349" s="319">
        <f t="shared" si="1747"/>
        <v>46027</v>
      </c>
      <c r="E12349" s="320">
        <f t="shared" si="1763"/>
        <v>46027</v>
      </c>
      <c r="F12349" s="523"/>
      <c r="G12349" s="321" t="s">
        <v>1245</v>
      </c>
      <c r="H12349" s="322"/>
      <c r="I12349" s="322" t="s">
        <v>1253</v>
      </c>
      <c r="J12349" s="318" t="s">
        <v>1459</v>
      </c>
      <c r="K12349" s="323"/>
      <c r="L12349" s="323">
        <f>K12348</f>
        <v>98532.321999967098</v>
      </c>
      <c r="M12349" s="328"/>
    </row>
    <row r="12350" spans="1:16" ht="11.25" customHeight="1" x14ac:dyDescent="0.2">
      <c r="A12350" s="222">
        <v>2026</v>
      </c>
      <c r="B12350" s="222">
        <v>1</v>
      </c>
      <c r="C12350" s="222">
        <v>5</v>
      </c>
      <c r="D12350" s="223">
        <f t="shared" si="1747"/>
        <v>46027</v>
      </c>
      <c r="E12350" s="240">
        <f t="shared" si="1763"/>
        <v>46027</v>
      </c>
      <c r="F12350" s="511" t="s">
        <v>1244</v>
      </c>
      <c r="G12350" s="225" t="s">
        <v>1245</v>
      </c>
      <c r="H12350" s="226"/>
      <c r="I12350" s="226" t="s">
        <v>1253</v>
      </c>
      <c r="J12350" s="222" t="s">
        <v>72</v>
      </c>
      <c r="K12350" s="227"/>
      <c r="L12350" s="227"/>
      <c r="M12350" s="328">
        <f>BS!$I$7</f>
        <v>0</v>
      </c>
    </row>
    <row r="12351" spans="1:16" ht="11.25" customHeight="1" x14ac:dyDescent="0.2">
      <c r="A12351" s="228">
        <v>2026</v>
      </c>
      <c r="B12351" s="228">
        <v>1</v>
      </c>
      <c r="C12351" s="228">
        <v>5</v>
      </c>
      <c r="D12351" s="229">
        <f t="shared" si="1747"/>
        <v>46027</v>
      </c>
      <c r="E12351" s="241">
        <f t="shared" si="1763"/>
        <v>46027</v>
      </c>
      <c r="F12351" s="512"/>
      <c r="G12351" s="231" t="s">
        <v>1245</v>
      </c>
      <c r="H12351" s="232"/>
      <c r="I12351" s="232" t="s">
        <v>1253</v>
      </c>
      <c r="J12351" s="228" t="s">
        <v>87</v>
      </c>
      <c r="K12351" s="233"/>
      <c r="L12351" s="233">
        <f>K12350</f>
        <v>0</v>
      </c>
    </row>
    <row r="12352" spans="1:16" ht="11.25" customHeight="1" x14ac:dyDescent="0.2">
      <c r="A12352" s="222">
        <v>2026</v>
      </c>
      <c r="B12352" s="222">
        <v>1</v>
      </c>
      <c r="C12352" s="222">
        <v>5</v>
      </c>
      <c r="D12352" s="223">
        <f t="shared" si="1747"/>
        <v>46027</v>
      </c>
      <c r="E12352" s="240">
        <f t="shared" si="1763"/>
        <v>46027</v>
      </c>
      <c r="F12352" s="511" t="s">
        <v>1246</v>
      </c>
      <c r="G12352" s="225" t="s">
        <v>1245</v>
      </c>
      <c r="H12352" s="226"/>
      <c r="I12352" s="226" t="s">
        <v>1253</v>
      </c>
      <c r="J12352" s="222" t="s">
        <v>75</v>
      </c>
      <c r="K12352" s="227">
        <v>517.58912087912086</v>
      </c>
      <c r="L12352" s="227"/>
      <c r="M12352" s="455"/>
    </row>
    <row r="12353" spans="1:15" ht="11.25" customHeight="1" x14ac:dyDescent="0.2">
      <c r="A12353" s="228">
        <v>2026</v>
      </c>
      <c r="B12353" s="228">
        <v>1</v>
      </c>
      <c r="C12353" s="228">
        <v>5</v>
      </c>
      <c r="D12353" s="229">
        <f t="shared" si="1747"/>
        <v>46027</v>
      </c>
      <c r="E12353" s="241">
        <f t="shared" si="1763"/>
        <v>46027</v>
      </c>
      <c r="F12353" s="512"/>
      <c r="G12353" s="231" t="s">
        <v>1245</v>
      </c>
      <c r="H12353" s="232"/>
      <c r="I12353" s="232" t="s">
        <v>1253</v>
      </c>
      <c r="J12353" s="228" t="s">
        <v>55</v>
      </c>
      <c r="K12353" s="233"/>
      <c r="L12353" s="233">
        <f>K12352</f>
        <v>517.58912087912086</v>
      </c>
    </row>
    <row r="12354" spans="1:15" ht="11.25" customHeight="1" x14ac:dyDescent="0.2">
      <c r="A12354" s="222">
        <v>2026</v>
      </c>
      <c r="B12354" s="222">
        <v>1</v>
      </c>
      <c r="C12354" s="222">
        <v>5</v>
      </c>
      <c r="D12354" s="223">
        <f t="shared" ref="D12354:D12417" si="1764">DATE(A12354,B12354,C12354)</f>
        <v>46027</v>
      </c>
      <c r="E12354" s="240">
        <f t="shared" si="1763"/>
        <v>46027</v>
      </c>
      <c r="F12354" s="511" t="s">
        <v>1247</v>
      </c>
      <c r="G12354" s="225" t="s">
        <v>1245</v>
      </c>
      <c r="H12354" s="226"/>
      <c r="I12354" s="226" t="s">
        <v>1253</v>
      </c>
      <c r="J12354" s="222" t="s">
        <v>77</v>
      </c>
      <c r="K12354" s="227">
        <f>M12354</f>
        <v>7386.9331834519426</v>
      </c>
      <c r="L12354" s="227"/>
      <c r="M12354" s="478">
        <v>7386.9331834519426</v>
      </c>
    </row>
    <row r="12355" spans="1:15" ht="11.25" customHeight="1" x14ac:dyDescent="0.2">
      <c r="A12355" s="228">
        <v>2026</v>
      </c>
      <c r="B12355" s="228">
        <v>1</v>
      </c>
      <c r="C12355" s="228">
        <v>5</v>
      </c>
      <c r="D12355" s="229">
        <f t="shared" si="1764"/>
        <v>46027</v>
      </c>
      <c r="E12355" s="241">
        <f t="shared" si="1763"/>
        <v>46027</v>
      </c>
      <c r="F12355" s="512"/>
      <c r="G12355" s="231" t="s">
        <v>1245</v>
      </c>
      <c r="H12355" s="232"/>
      <c r="I12355" s="232" t="s">
        <v>1253</v>
      </c>
      <c r="J12355" s="228" t="s">
        <v>41</v>
      </c>
      <c r="K12355" s="233"/>
      <c r="L12355" s="233">
        <f>K12354</f>
        <v>7386.9331834519426</v>
      </c>
      <c r="M12355" s="478">
        <v>738.69331834519437</v>
      </c>
      <c r="N12355" s="251"/>
    </row>
    <row r="12356" spans="1:15" ht="11.25" customHeight="1" x14ac:dyDescent="0.2">
      <c r="A12356" s="222">
        <v>2026</v>
      </c>
      <c r="B12356" s="222">
        <v>1</v>
      </c>
      <c r="C12356" s="222">
        <v>5</v>
      </c>
      <c r="D12356" s="223">
        <f t="shared" si="1764"/>
        <v>46027</v>
      </c>
      <c r="E12356" s="240">
        <f t="shared" si="1763"/>
        <v>46027</v>
      </c>
      <c r="F12356" s="511" t="s">
        <v>1248</v>
      </c>
      <c r="G12356" s="225" t="s">
        <v>1245</v>
      </c>
      <c r="H12356" s="226"/>
      <c r="I12356" s="226" t="s">
        <v>1253</v>
      </c>
      <c r="J12356" s="222" t="s">
        <v>80</v>
      </c>
      <c r="K12356" s="227">
        <f>M12355</f>
        <v>738.69331834519437</v>
      </c>
      <c r="L12356" s="227"/>
      <c r="N12356" s="251"/>
      <c r="O12356" s="251"/>
    </row>
    <row r="12357" spans="1:15" ht="11.25" customHeight="1" x14ac:dyDescent="0.2">
      <c r="A12357" s="228">
        <v>2026</v>
      </c>
      <c r="B12357" s="228">
        <v>1</v>
      </c>
      <c r="C12357" s="228">
        <v>5</v>
      </c>
      <c r="D12357" s="229">
        <f t="shared" si="1764"/>
        <v>46027</v>
      </c>
      <c r="E12357" s="241">
        <f t="shared" si="1763"/>
        <v>46027</v>
      </c>
      <c r="F12357" s="512"/>
      <c r="G12357" s="231" t="s">
        <v>1245</v>
      </c>
      <c r="H12357" s="232"/>
      <c r="I12357" s="232" t="s">
        <v>1253</v>
      </c>
      <c r="J12357" s="228" t="s">
        <v>42</v>
      </c>
      <c r="K12357" s="233"/>
      <c r="L12357" s="233">
        <f>K12356</f>
        <v>738.69331834519437</v>
      </c>
      <c r="N12357" s="251"/>
    </row>
    <row r="12358" spans="1:15" x14ac:dyDescent="0.2">
      <c r="A12358" s="424">
        <v>2026</v>
      </c>
      <c r="B12358" s="424">
        <v>1</v>
      </c>
      <c r="C12358" s="424">
        <v>6</v>
      </c>
      <c r="D12358" s="425">
        <f t="shared" si="1764"/>
        <v>46028</v>
      </c>
      <c r="E12358" s="384">
        <f t="shared" si="1763"/>
        <v>46028</v>
      </c>
      <c r="F12358" s="516" t="s">
        <v>1850</v>
      </c>
      <c r="G12358" s="426" t="s">
        <v>1209</v>
      </c>
      <c r="H12358" s="427"/>
      <c r="I12358" s="427"/>
      <c r="J12358" s="428" t="s">
        <v>81</v>
      </c>
      <c r="K12358" s="429">
        <v>1595.8173626373627</v>
      </c>
      <c r="L12358" s="429"/>
      <c r="M12358" s="455"/>
    </row>
    <row r="12359" spans="1:15" x14ac:dyDescent="0.2">
      <c r="A12359" s="389">
        <v>2026</v>
      </c>
      <c r="B12359" s="389">
        <v>1</v>
      </c>
      <c r="C12359" s="389">
        <v>6</v>
      </c>
      <c r="D12359" s="390">
        <f t="shared" si="1764"/>
        <v>46028</v>
      </c>
      <c r="E12359" s="391">
        <f t="shared" si="1763"/>
        <v>46028</v>
      </c>
      <c r="F12359" s="517"/>
      <c r="G12359" s="392" t="s">
        <v>1209</v>
      </c>
      <c r="H12359" s="393"/>
      <c r="I12359" s="393"/>
      <c r="J12359" s="394" t="s">
        <v>1847</v>
      </c>
      <c r="K12359" s="423"/>
      <c r="L12359" s="423">
        <f>K12358</f>
        <v>1595.8173626373627</v>
      </c>
    </row>
    <row r="12360" spans="1:15" ht="11.25" customHeight="1" x14ac:dyDescent="0.2">
      <c r="A12360" s="382">
        <v>2026</v>
      </c>
      <c r="B12360" s="382">
        <v>1</v>
      </c>
      <c r="C12360" s="382">
        <v>6</v>
      </c>
      <c r="D12360" s="383">
        <f t="shared" si="1764"/>
        <v>46028</v>
      </c>
      <c r="E12360" s="384">
        <f t="shared" si="1763"/>
        <v>46028</v>
      </c>
      <c r="F12360" s="516" t="s">
        <v>1892</v>
      </c>
      <c r="G12360" s="385" t="s">
        <v>1209</v>
      </c>
      <c r="H12360" s="386"/>
      <c r="I12360" s="386"/>
      <c r="J12360" s="387" t="s">
        <v>173</v>
      </c>
      <c r="K12360" s="388">
        <v>628.75179914136902</v>
      </c>
      <c r="L12360" s="388"/>
      <c r="M12360" s="455"/>
    </row>
    <row r="12361" spans="1:15" ht="11.25" customHeight="1" x14ac:dyDescent="0.2">
      <c r="A12361" s="389">
        <v>2026</v>
      </c>
      <c r="B12361" s="389">
        <v>1</v>
      </c>
      <c r="C12361" s="389">
        <v>6</v>
      </c>
      <c r="D12361" s="390">
        <f t="shared" si="1764"/>
        <v>46028</v>
      </c>
      <c r="E12361" s="391">
        <f t="shared" si="1763"/>
        <v>46028</v>
      </c>
      <c r="F12361" s="517"/>
      <c r="G12361" s="392" t="s">
        <v>1209</v>
      </c>
      <c r="H12361" s="393"/>
      <c r="I12361" s="393"/>
      <c r="J12361" s="394" t="s">
        <v>43</v>
      </c>
      <c r="K12361" s="388"/>
      <c r="L12361" s="423">
        <f>K12360</f>
        <v>628.75179914136902</v>
      </c>
    </row>
    <row r="12362" spans="1:15" ht="11.25" customHeight="1" x14ac:dyDescent="0.2">
      <c r="A12362" s="344">
        <v>2026</v>
      </c>
      <c r="B12362" s="344">
        <v>1</v>
      </c>
      <c r="C12362" s="344">
        <v>6</v>
      </c>
      <c r="D12362" s="345">
        <f t="shared" si="1764"/>
        <v>46028</v>
      </c>
      <c r="E12362" s="346">
        <f t="shared" si="1763"/>
        <v>46028</v>
      </c>
      <c r="F12362" s="518" t="s">
        <v>1982</v>
      </c>
      <c r="G12362" s="347" t="s">
        <v>1245</v>
      </c>
      <c r="H12362" s="348"/>
      <c r="I12362" s="348" t="s">
        <v>1253</v>
      </c>
      <c r="J12362" s="344" t="s">
        <v>1978</v>
      </c>
      <c r="K12362" s="349">
        <v>21249.725274725275</v>
      </c>
      <c r="L12362" s="349"/>
      <c r="M12362" s="455"/>
    </row>
    <row r="12363" spans="1:15" ht="11.25" customHeight="1" x14ac:dyDescent="0.2">
      <c r="A12363" s="350">
        <v>2026</v>
      </c>
      <c r="B12363" s="350">
        <v>1</v>
      </c>
      <c r="C12363" s="350">
        <v>6</v>
      </c>
      <c r="D12363" s="351">
        <f t="shared" si="1764"/>
        <v>46028</v>
      </c>
      <c r="E12363" s="352">
        <f t="shared" si="1763"/>
        <v>46028</v>
      </c>
      <c r="F12363" s="519"/>
      <c r="G12363" s="353" t="s">
        <v>1245</v>
      </c>
      <c r="H12363" s="354"/>
      <c r="I12363" s="354" t="s">
        <v>1253</v>
      </c>
      <c r="J12363" s="350" t="s">
        <v>1979</v>
      </c>
      <c r="K12363" s="355"/>
      <c r="L12363" s="355">
        <f>K12362</f>
        <v>21249.725274725275</v>
      </c>
    </row>
    <row r="12364" spans="1:15" ht="11.25" customHeight="1" x14ac:dyDescent="0.2">
      <c r="A12364" s="344">
        <v>2026</v>
      </c>
      <c r="B12364" s="344">
        <v>1</v>
      </c>
      <c r="C12364" s="344">
        <v>6</v>
      </c>
      <c r="D12364" s="345">
        <f t="shared" si="1764"/>
        <v>46028</v>
      </c>
      <c r="E12364" s="346">
        <f t="shared" si="1763"/>
        <v>46028</v>
      </c>
      <c r="F12364" s="518" t="s">
        <v>2009</v>
      </c>
      <c r="G12364" s="347" t="s">
        <v>1245</v>
      </c>
      <c r="H12364" s="348"/>
      <c r="I12364" s="348" t="s">
        <v>1253</v>
      </c>
      <c r="J12364" s="344" t="s">
        <v>2004</v>
      </c>
      <c r="K12364" s="349">
        <v>7098.9014285714284</v>
      </c>
      <c r="L12364" s="349"/>
      <c r="M12364" s="455"/>
    </row>
    <row r="12365" spans="1:15" ht="11.25" customHeight="1" x14ac:dyDescent="0.2">
      <c r="A12365" s="350">
        <v>2026</v>
      </c>
      <c r="B12365" s="350">
        <v>1</v>
      </c>
      <c r="C12365" s="350">
        <v>6</v>
      </c>
      <c r="D12365" s="351">
        <f t="shared" si="1764"/>
        <v>46028</v>
      </c>
      <c r="E12365" s="352">
        <f t="shared" si="1763"/>
        <v>46028</v>
      </c>
      <c r="F12365" s="519"/>
      <c r="G12365" s="353" t="s">
        <v>1245</v>
      </c>
      <c r="H12365" s="354"/>
      <c r="I12365" s="354" t="s">
        <v>1253</v>
      </c>
      <c r="J12365" s="350" t="s">
        <v>2008</v>
      </c>
      <c r="K12365" s="355"/>
      <c r="L12365" s="355">
        <f t="shared" ref="L12365" si="1765">K12364</f>
        <v>7098.9014285714284</v>
      </c>
    </row>
    <row r="12366" spans="1:15" ht="11.25" customHeight="1" x14ac:dyDescent="0.2">
      <c r="A12366" s="344">
        <v>2026</v>
      </c>
      <c r="B12366" s="344">
        <v>1</v>
      </c>
      <c r="C12366" s="344">
        <v>6</v>
      </c>
      <c r="D12366" s="345">
        <f t="shared" si="1764"/>
        <v>46028</v>
      </c>
      <c r="E12366" s="346">
        <f t="shared" si="1763"/>
        <v>46028</v>
      </c>
      <c r="F12366" s="518" t="s">
        <v>2009</v>
      </c>
      <c r="G12366" s="347" t="s">
        <v>1245</v>
      </c>
      <c r="H12366" s="348"/>
      <c r="I12366" s="348" t="s">
        <v>1253</v>
      </c>
      <c r="J12366" s="344" t="s">
        <v>2004</v>
      </c>
      <c r="K12366" s="349">
        <v>7098.9014285714284</v>
      </c>
      <c r="L12366" s="349"/>
      <c r="M12366" s="455"/>
    </row>
    <row r="12367" spans="1:15" ht="11.25" customHeight="1" x14ac:dyDescent="0.2">
      <c r="A12367" s="350">
        <v>2026</v>
      </c>
      <c r="B12367" s="350">
        <v>1</v>
      </c>
      <c r="C12367" s="350">
        <v>6</v>
      </c>
      <c r="D12367" s="351">
        <f t="shared" si="1764"/>
        <v>46028</v>
      </c>
      <c r="E12367" s="352">
        <f t="shared" si="1763"/>
        <v>46028</v>
      </c>
      <c r="F12367" s="519"/>
      <c r="G12367" s="353" t="s">
        <v>1245</v>
      </c>
      <c r="H12367" s="354"/>
      <c r="I12367" s="354" t="s">
        <v>1253</v>
      </c>
      <c r="J12367" s="350" t="s">
        <v>2008</v>
      </c>
      <c r="K12367" s="355"/>
      <c r="L12367" s="355">
        <f t="shared" ref="L12367" si="1766">K12366</f>
        <v>7098.9014285714284</v>
      </c>
    </row>
    <row r="12368" spans="1:15" ht="11.25" customHeight="1" x14ac:dyDescent="0.2">
      <c r="A12368" s="344">
        <v>2026</v>
      </c>
      <c r="B12368" s="344">
        <v>1</v>
      </c>
      <c r="C12368" s="344">
        <v>6</v>
      </c>
      <c r="D12368" s="345">
        <f t="shared" si="1764"/>
        <v>46028</v>
      </c>
      <c r="E12368" s="346">
        <f t="shared" si="1763"/>
        <v>46028</v>
      </c>
      <c r="F12368" s="518" t="s">
        <v>2088</v>
      </c>
      <c r="G12368" s="347" t="s">
        <v>1245</v>
      </c>
      <c r="H12368" s="348"/>
      <c r="I12368" s="348" t="s">
        <v>1253</v>
      </c>
      <c r="J12368" s="344" t="s">
        <v>2086</v>
      </c>
      <c r="K12368" s="349">
        <v>1789.835164835165</v>
      </c>
      <c r="L12368" s="349"/>
      <c r="M12368" s="455"/>
    </row>
    <row r="12369" spans="1:16" ht="11.25" customHeight="1" x14ac:dyDescent="0.2">
      <c r="A12369" s="350">
        <v>2026</v>
      </c>
      <c r="B12369" s="350">
        <v>1</v>
      </c>
      <c r="C12369" s="350">
        <v>6</v>
      </c>
      <c r="D12369" s="351">
        <f t="shared" si="1764"/>
        <v>46028</v>
      </c>
      <c r="E12369" s="352">
        <f t="shared" si="1763"/>
        <v>46028</v>
      </c>
      <c r="F12369" s="519"/>
      <c r="G12369" s="353" t="s">
        <v>1245</v>
      </c>
      <c r="H12369" s="354"/>
      <c r="I12369" s="354" t="s">
        <v>1253</v>
      </c>
      <c r="J12369" s="350" t="s">
        <v>2089</v>
      </c>
      <c r="K12369" s="355"/>
      <c r="L12369" s="355">
        <f>K12368</f>
        <v>1789.835164835165</v>
      </c>
    </row>
    <row r="12370" spans="1:16" ht="11.25" customHeight="1" x14ac:dyDescent="0.2">
      <c r="A12370" s="344">
        <v>2026</v>
      </c>
      <c r="B12370" s="344">
        <v>1</v>
      </c>
      <c r="C12370" s="344">
        <v>6</v>
      </c>
      <c r="D12370" s="345">
        <f t="shared" si="1764"/>
        <v>46028</v>
      </c>
      <c r="E12370" s="346">
        <f>DATE(A12370,B12370,C12370)</f>
        <v>46028</v>
      </c>
      <c r="F12370" s="518" t="s">
        <v>1988</v>
      </c>
      <c r="G12370" s="347" t="s">
        <v>1245</v>
      </c>
      <c r="H12370" s="348"/>
      <c r="I12370" s="348" t="s">
        <v>1253</v>
      </c>
      <c r="J12370" s="344" t="s">
        <v>113</v>
      </c>
      <c r="K12370" s="349">
        <v>4692.3071428571429</v>
      </c>
      <c r="L12370" s="349"/>
      <c r="M12370" s="455"/>
    </row>
    <row r="12371" spans="1:16" ht="11.25" customHeight="1" x14ac:dyDescent="0.2">
      <c r="A12371" s="350">
        <v>2026</v>
      </c>
      <c r="B12371" s="350">
        <v>1</v>
      </c>
      <c r="C12371" s="350">
        <v>6</v>
      </c>
      <c r="D12371" s="351">
        <f t="shared" si="1764"/>
        <v>46028</v>
      </c>
      <c r="E12371" s="352">
        <f>DATE(A12371,B12371,C12371)</f>
        <v>46028</v>
      </c>
      <c r="F12371" s="519"/>
      <c r="G12371" s="353" t="s">
        <v>1245</v>
      </c>
      <c r="H12371" s="354"/>
      <c r="I12371" s="354" t="s">
        <v>1253</v>
      </c>
      <c r="J12371" s="350" t="s">
        <v>153</v>
      </c>
      <c r="K12371" s="355"/>
      <c r="L12371" s="355">
        <f t="shared" ref="L12371" si="1767">K12370</f>
        <v>4692.3071428571429</v>
      </c>
    </row>
    <row r="12372" spans="1:16" ht="11.25" customHeight="1" x14ac:dyDescent="0.2">
      <c r="A12372" s="344">
        <v>2026</v>
      </c>
      <c r="B12372" s="344">
        <v>1</v>
      </c>
      <c r="C12372" s="344">
        <v>6</v>
      </c>
      <c r="D12372" s="345">
        <f t="shared" si="1764"/>
        <v>46028</v>
      </c>
      <c r="E12372" s="346">
        <f t="shared" ref="E12372:E12378" si="1768">DATE(A12372,B12372,C12372)</f>
        <v>46028</v>
      </c>
      <c r="F12372" s="518" t="s">
        <v>1989</v>
      </c>
      <c r="G12372" s="347" t="s">
        <v>1245</v>
      </c>
      <c r="H12372" s="348"/>
      <c r="I12372" s="348" t="s">
        <v>1253</v>
      </c>
      <c r="J12372" s="344" t="s">
        <v>113</v>
      </c>
      <c r="K12372" s="349">
        <v>3351.6483516483518</v>
      </c>
      <c r="L12372" s="349"/>
      <c r="M12372" s="455"/>
    </row>
    <row r="12373" spans="1:16" ht="11.25" customHeight="1" x14ac:dyDescent="0.2">
      <c r="A12373" s="350">
        <v>2026</v>
      </c>
      <c r="B12373" s="350">
        <v>1</v>
      </c>
      <c r="C12373" s="350">
        <v>6</v>
      </c>
      <c r="D12373" s="351">
        <f t="shared" si="1764"/>
        <v>46028</v>
      </c>
      <c r="E12373" s="352">
        <f t="shared" si="1768"/>
        <v>46028</v>
      </c>
      <c r="F12373" s="519"/>
      <c r="G12373" s="353" t="s">
        <v>1245</v>
      </c>
      <c r="H12373" s="354"/>
      <c r="I12373" s="354" t="s">
        <v>1253</v>
      </c>
      <c r="J12373" s="350" t="s">
        <v>153</v>
      </c>
      <c r="K12373" s="355"/>
      <c r="L12373" s="355">
        <f t="shared" ref="L12373" si="1769">K12372</f>
        <v>3351.6483516483518</v>
      </c>
    </row>
    <row r="12374" spans="1:16" ht="11.25" customHeight="1" x14ac:dyDescent="0.2">
      <c r="A12374" s="344">
        <v>2026</v>
      </c>
      <c r="B12374" s="344">
        <v>1</v>
      </c>
      <c r="C12374" s="344">
        <v>6</v>
      </c>
      <c r="D12374" s="345">
        <f t="shared" si="1764"/>
        <v>46028</v>
      </c>
      <c r="E12374" s="346">
        <f t="shared" si="1768"/>
        <v>46028</v>
      </c>
      <c r="F12374" s="518" t="s">
        <v>1990</v>
      </c>
      <c r="G12374" s="347" t="s">
        <v>1245</v>
      </c>
      <c r="H12374" s="348"/>
      <c r="I12374" s="348" t="s">
        <v>1253</v>
      </c>
      <c r="J12374" s="344" t="s">
        <v>113</v>
      </c>
      <c r="K12374" s="349">
        <v>10054.945714285714</v>
      </c>
      <c r="L12374" s="349"/>
      <c r="M12374" s="455"/>
      <c r="N12374" s="251"/>
      <c r="O12374" s="251"/>
      <c r="P12374" s="251"/>
    </row>
    <row r="12375" spans="1:16" ht="11.25" customHeight="1" x14ac:dyDescent="0.2">
      <c r="A12375" s="350">
        <v>2026</v>
      </c>
      <c r="B12375" s="350">
        <v>1</v>
      </c>
      <c r="C12375" s="350">
        <v>6</v>
      </c>
      <c r="D12375" s="351">
        <f t="shared" si="1764"/>
        <v>46028</v>
      </c>
      <c r="E12375" s="352">
        <f t="shared" si="1768"/>
        <v>46028</v>
      </c>
      <c r="F12375" s="519"/>
      <c r="G12375" s="353" t="s">
        <v>1245</v>
      </c>
      <c r="H12375" s="354"/>
      <c r="I12375" s="354" t="s">
        <v>1253</v>
      </c>
      <c r="J12375" s="350" t="s">
        <v>153</v>
      </c>
      <c r="K12375" s="355"/>
      <c r="L12375" s="355">
        <f t="shared" ref="L12375" si="1770">K12374</f>
        <v>10054.945714285714</v>
      </c>
    </row>
    <row r="12376" spans="1:16" ht="11.25" customHeight="1" x14ac:dyDescent="0.2">
      <c r="A12376" s="344">
        <v>2026</v>
      </c>
      <c r="B12376" s="344">
        <v>1</v>
      </c>
      <c r="C12376" s="344">
        <v>6</v>
      </c>
      <c r="D12376" s="345">
        <f t="shared" si="1764"/>
        <v>46028</v>
      </c>
      <c r="E12376" s="346">
        <f t="shared" si="1768"/>
        <v>46028</v>
      </c>
      <c r="F12376" s="518" t="s">
        <v>2107</v>
      </c>
      <c r="G12376" s="347" t="s">
        <v>1245</v>
      </c>
      <c r="H12376" s="348"/>
      <c r="I12376" s="348" t="s">
        <v>1253</v>
      </c>
      <c r="J12376" s="344" t="s">
        <v>113</v>
      </c>
      <c r="K12376" s="349">
        <v>12370.879120879121</v>
      </c>
      <c r="L12376" s="349"/>
      <c r="M12376" s="455"/>
      <c r="N12376" s="251"/>
      <c r="O12376" s="251"/>
      <c r="P12376" s="251"/>
    </row>
    <row r="12377" spans="1:16" ht="11.25" customHeight="1" x14ac:dyDescent="0.2">
      <c r="A12377" s="350">
        <v>2026</v>
      </c>
      <c r="B12377" s="350">
        <v>1</v>
      </c>
      <c r="C12377" s="350">
        <v>6</v>
      </c>
      <c r="D12377" s="351">
        <f t="shared" si="1764"/>
        <v>46028</v>
      </c>
      <c r="E12377" s="352">
        <f t="shared" si="1768"/>
        <v>46028</v>
      </c>
      <c r="F12377" s="519"/>
      <c r="G12377" s="353" t="s">
        <v>1245</v>
      </c>
      <c r="H12377" s="354"/>
      <c r="I12377" s="354" t="s">
        <v>1253</v>
      </c>
      <c r="J12377" s="350" t="s">
        <v>153</v>
      </c>
      <c r="K12377" s="355"/>
      <c r="L12377" s="355">
        <f t="shared" ref="L12377" si="1771">K12376</f>
        <v>12370.879120879121</v>
      </c>
    </row>
    <row r="12378" spans="1:16" ht="11.25" customHeight="1" x14ac:dyDescent="0.2">
      <c r="A12378" s="210">
        <v>2026</v>
      </c>
      <c r="B12378" s="210">
        <v>1</v>
      </c>
      <c r="C12378" s="210">
        <v>6</v>
      </c>
      <c r="D12378" s="211">
        <f t="shared" si="1764"/>
        <v>46028</v>
      </c>
      <c r="E12378" s="238">
        <f t="shared" si="1768"/>
        <v>46028</v>
      </c>
      <c r="F12378" s="520" t="s">
        <v>1857</v>
      </c>
      <c r="G12378" s="213" t="s">
        <v>1245</v>
      </c>
      <c r="H12378" s="214"/>
      <c r="I12378" s="214" t="s">
        <v>1253</v>
      </c>
      <c r="J12378" s="210" t="s">
        <v>1284</v>
      </c>
      <c r="K12378" s="215">
        <v>334.54448777029421</v>
      </c>
      <c r="L12378" s="215"/>
      <c r="M12378" s="455"/>
    </row>
    <row r="12379" spans="1:16" ht="11.25" customHeight="1" x14ac:dyDescent="0.2">
      <c r="A12379" s="242">
        <v>2026</v>
      </c>
      <c r="B12379" s="242">
        <v>1</v>
      </c>
      <c r="C12379" s="242">
        <v>6</v>
      </c>
      <c r="D12379" s="243">
        <f t="shared" si="1764"/>
        <v>46028</v>
      </c>
      <c r="E12379" s="244">
        <f>DATE(A12379,B12379,C12379)</f>
        <v>46028</v>
      </c>
      <c r="F12379" s="524"/>
      <c r="G12379" s="245" t="s">
        <v>1245</v>
      </c>
      <c r="H12379" s="246"/>
      <c r="I12379" s="246"/>
      <c r="J12379" s="242" t="s">
        <v>1582</v>
      </c>
      <c r="K12379" s="247"/>
      <c r="L12379" s="247">
        <f>K12378</f>
        <v>334.54448777029421</v>
      </c>
    </row>
    <row r="12380" spans="1:16" ht="11.25" customHeight="1" x14ac:dyDescent="0.2">
      <c r="A12380" s="210">
        <v>2026</v>
      </c>
      <c r="B12380" s="210">
        <v>1</v>
      </c>
      <c r="C12380" s="210">
        <v>6</v>
      </c>
      <c r="D12380" s="211">
        <f t="shared" si="1764"/>
        <v>46028</v>
      </c>
      <c r="E12380" s="238">
        <f t="shared" ref="E12380:E12431" si="1772">DATE(A12380,B12380,C12380)</f>
        <v>46028</v>
      </c>
      <c r="F12380" s="520" t="s">
        <v>2055</v>
      </c>
      <c r="G12380" s="213" t="s">
        <v>1245</v>
      </c>
      <c r="H12380" s="214"/>
      <c r="I12380" s="214" t="s">
        <v>1253</v>
      </c>
      <c r="J12380" s="210" t="s">
        <v>58</v>
      </c>
      <c r="K12380" s="215">
        <v>981.89</v>
      </c>
      <c r="L12380" s="215"/>
    </row>
    <row r="12381" spans="1:16" ht="11.25" customHeight="1" x14ac:dyDescent="0.2">
      <c r="A12381" s="216">
        <v>2026</v>
      </c>
      <c r="B12381" s="216">
        <v>1</v>
      </c>
      <c r="C12381" s="216">
        <v>6</v>
      </c>
      <c r="D12381" s="217">
        <f t="shared" si="1764"/>
        <v>46028</v>
      </c>
      <c r="E12381" s="239">
        <f t="shared" si="1772"/>
        <v>46028</v>
      </c>
      <c r="F12381" s="521"/>
      <c r="G12381" s="219" t="s">
        <v>1245</v>
      </c>
      <c r="H12381" s="220"/>
      <c r="I12381" s="220" t="s">
        <v>1253</v>
      </c>
      <c r="J12381" s="216" t="s">
        <v>153</v>
      </c>
      <c r="K12381" s="221"/>
      <c r="L12381" s="221">
        <f>K12380</f>
        <v>981.89</v>
      </c>
    </row>
    <row r="12382" spans="1:16" ht="11.25" customHeight="1" x14ac:dyDescent="0.2">
      <c r="A12382" s="312">
        <v>2026</v>
      </c>
      <c r="B12382" s="312">
        <v>1</v>
      </c>
      <c r="C12382" s="312">
        <v>6</v>
      </c>
      <c r="D12382" s="313">
        <f t="shared" si="1764"/>
        <v>46028</v>
      </c>
      <c r="E12382" s="314">
        <f t="shared" si="1772"/>
        <v>46028</v>
      </c>
      <c r="F12382" s="522" t="s">
        <v>1595</v>
      </c>
      <c r="G12382" s="315" t="s">
        <v>1245</v>
      </c>
      <c r="H12382" s="316"/>
      <c r="I12382" s="316" t="s">
        <v>1253</v>
      </c>
      <c r="J12382" s="312" t="s">
        <v>1461</v>
      </c>
      <c r="K12382" s="317">
        <v>296008.90899986029</v>
      </c>
      <c r="L12382" s="317"/>
      <c r="M12382" s="328">
        <f>BS!$I$14</f>
        <v>0</v>
      </c>
    </row>
    <row r="12383" spans="1:16" ht="11.25" customHeight="1" x14ac:dyDescent="0.2">
      <c r="A12383" s="318">
        <v>2026</v>
      </c>
      <c r="B12383" s="318">
        <v>1</v>
      </c>
      <c r="C12383" s="318">
        <v>6</v>
      </c>
      <c r="D12383" s="319">
        <f t="shared" si="1764"/>
        <v>46028</v>
      </c>
      <c r="E12383" s="320">
        <f t="shared" si="1772"/>
        <v>46028</v>
      </c>
      <c r="F12383" s="523"/>
      <c r="G12383" s="321" t="s">
        <v>1245</v>
      </c>
      <c r="H12383" s="322"/>
      <c r="I12383" s="322" t="s">
        <v>1253</v>
      </c>
      <c r="J12383" s="318" t="s">
        <v>1459</v>
      </c>
      <c r="K12383" s="323"/>
      <c r="L12383" s="323">
        <f>K12382</f>
        <v>296008.90899986029</v>
      </c>
      <c r="M12383" s="328"/>
    </row>
    <row r="12384" spans="1:16" ht="11.25" customHeight="1" x14ac:dyDescent="0.2">
      <c r="A12384" s="222">
        <v>2026</v>
      </c>
      <c r="B12384" s="222">
        <v>1</v>
      </c>
      <c r="C12384" s="222">
        <v>6</v>
      </c>
      <c r="D12384" s="223">
        <f t="shared" si="1764"/>
        <v>46028</v>
      </c>
      <c r="E12384" s="240">
        <f t="shared" si="1772"/>
        <v>46028</v>
      </c>
      <c r="F12384" s="511" t="s">
        <v>1244</v>
      </c>
      <c r="G12384" s="225" t="s">
        <v>1245</v>
      </c>
      <c r="H12384" s="226"/>
      <c r="I12384" s="226" t="s">
        <v>1253</v>
      </c>
      <c r="J12384" s="222" t="s">
        <v>87</v>
      </c>
      <c r="K12384" s="227">
        <v>2587.5</v>
      </c>
      <c r="L12384" s="227"/>
      <c r="M12384" s="328">
        <f>BS!$I$7</f>
        <v>0</v>
      </c>
    </row>
    <row r="12385" spans="1:15" ht="11.25" customHeight="1" x14ac:dyDescent="0.2">
      <c r="A12385" s="228">
        <v>2026</v>
      </c>
      <c r="B12385" s="228">
        <v>1</v>
      </c>
      <c r="C12385" s="228">
        <v>6</v>
      </c>
      <c r="D12385" s="229">
        <f t="shared" si="1764"/>
        <v>46028</v>
      </c>
      <c r="E12385" s="241">
        <f t="shared" si="1772"/>
        <v>46028</v>
      </c>
      <c r="F12385" s="512"/>
      <c r="G12385" s="231" t="s">
        <v>1245</v>
      </c>
      <c r="H12385" s="232"/>
      <c r="I12385" s="232" t="s">
        <v>1253</v>
      </c>
      <c r="J12385" s="228" t="s">
        <v>72</v>
      </c>
      <c r="K12385" s="233"/>
      <c r="L12385" s="233">
        <f>K12384</f>
        <v>2587.5</v>
      </c>
    </row>
    <row r="12386" spans="1:15" ht="11.25" customHeight="1" x14ac:dyDescent="0.2">
      <c r="A12386" s="222">
        <v>2026</v>
      </c>
      <c r="B12386" s="222">
        <v>1</v>
      </c>
      <c r="C12386" s="222">
        <v>6</v>
      </c>
      <c r="D12386" s="223">
        <f t="shared" si="1764"/>
        <v>46028</v>
      </c>
      <c r="E12386" s="240">
        <f t="shared" si="1772"/>
        <v>46028</v>
      </c>
      <c r="F12386" s="511" t="s">
        <v>1246</v>
      </c>
      <c r="G12386" s="225" t="s">
        <v>1245</v>
      </c>
      <c r="H12386" s="226"/>
      <c r="I12386" s="226" t="s">
        <v>1253</v>
      </c>
      <c r="J12386" s="222" t="s">
        <v>75</v>
      </c>
      <c r="K12386" s="227">
        <v>517.58912087912086</v>
      </c>
      <c r="L12386" s="227"/>
      <c r="M12386" s="455"/>
    </row>
    <row r="12387" spans="1:15" ht="11.25" customHeight="1" x14ac:dyDescent="0.2">
      <c r="A12387" s="228">
        <v>2026</v>
      </c>
      <c r="B12387" s="228">
        <v>1</v>
      </c>
      <c r="C12387" s="228">
        <v>6</v>
      </c>
      <c r="D12387" s="229">
        <f t="shared" si="1764"/>
        <v>46028</v>
      </c>
      <c r="E12387" s="241">
        <f t="shared" si="1772"/>
        <v>46028</v>
      </c>
      <c r="F12387" s="512"/>
      <c r="G12387" s="231" t="s">
        <v>1245</v>
      </c>
      <c r="H12387" s="232"/>
      <c r="I12387" s="232" t="s">
        <v>1253</v>
      </c>
      <c r="J12387" s="228" t="s">
        <v>55</v>
      </c>
      <c r="K12387" s="233"/>
      <c r="L12387" s="233">
        <f>K12386</f>
        <v>517.58912087912086</v>
      </c>
    </row>
    <row r="12388" spans="1:15" ht="11.25" customHeight="1" x14ac:dyDescent="0.2">
      <c r="A12388" s="222">
        <v>2026</v>
      </c>
      <c r="B12388" s="222">
        <v>1</v>
      </c>
      <c r="C12388" s="222">
        <v>6</v>
      </c>
      <c r="D12388" s="223">
        <f t="shared" si="1764"/>
        <v>46028</v>
      </c>
      <c r="E12388" s="240">
        <f t="shared" si="1772"/>
        <v>46028</v>
      </c>
      <c r="F12388" s="511" t="s">
        <v>1247</v>
      </c>
      <c r="G12388" s="225" t="s">
        <v>1245</v>
      </c>
      <c r="H12388" s="226"/>
      <c r="I12388" s="226" t="s">
        <v>1253</v>
      </c>
      <c r="J12388" s="222" t="s">
        <v>77</v>
      </c>
      <c r="K12388" s="227">
        <f>M12388</f>
        <v>7389.5697007664776</v>
      </c>
      <c r="L12388" s="227"/>
      <c r="M12388" s="478">
        <v>7389.5697007664776</v>
      </c>
    </row>
    <row r="12389" spans="1:15" ht="11.25" customHeight="1" x14ac:dyDescent="0.2">
      <c r="A12389" s="228">
        <v>2026</v>
      </c>
      <c r="B12389" s="228">
        <v>1</v>
      </c>
      <c r="C12389" s="228">
        <v>6</v>
      </c>
      <c r="D12389" s="229">
        <f t="shared" si="1764"/>
        <v>46028</v>
      </c>
      <c r="E12389" s="241">
        <f t="shared" si="1772"/>
        <v>46028</v>
      </c>
      <c r="F12389" s="512"/>
      <c r="G12389" s="231" t="s">
        <v>1245</v>
      </c>
      <c r="H12389" s="232"/>
      <c r="I12389" s="232" t="s">
        <v>1253</v>
      </c>
      <c r="J12389" s="228" t="s">
        <v>41</v>
      </c>
      <c r="K12389" s="233"/>
      <c r="L12389" s="233">
        <f>K12388</f>
        <v>7389.5697007664776</v>
      </c>
      <c r="M12389" s="478">
        <v>738.95697007664774</v>
      </c>
      <c r="N12389" s="251"/>
    </row>
    <row r="12390" spans="1:15" ht="11.25" customHeight="1" x14ac:dyDescent="0.2">
      <c r="A12390" s="222">
        <v>2026</v>
      </c>
      <c r="B12390" s="222">
        <v>1</v>
      </c>
      <c r="C12390" s="222">
        <v>6</v>
      </c>
      <c r="D12390" s="223">
        <f t="shared" si="1764"/>
        <v>46028</v>
      </c>
      <c r="E12390" s="240">
        <f t="shared" si="1772"/>
        <v>46028</v>
      </c>
      <c r="F12390" s="511" t="s">
        <v>1248</v>
      </c>
      <c r="G12390" s="225" t="s">
        <v>1245</v>
      </c>
      <c r="H12390" s="226"/>
      <c r="I12390" s="226" t="s">
        <v>1253</v>
      </c>
      <c r="J12390" s="222" t="s">
        <v>80</v>
      </c>
      <c r="K12390" s="227">
        <f>M12389</f>
        <v>738.95697007664774</v>
      </c>
      <c r="L12390" s="227"/>
      <c r="N12390" s="251"/>
      <c r="O12390" s="251"/>
    </row>
    <row r="12391" spans="1:15" ht="11.25" customHeight="1" x14ac:dyDescent="0.2">
      <c r="A12391" s="228">
        <v>2026</v>
      </c>
      <c r="B12391" s="228">
        <v>1</v>
      </c>
      <c r="C12391" s="228">
        <v>6</v>
      </c>
      <c r="D12391" s="229">
        <f t="shared" si="1764"/>
        <v>46028</v>
      </c>
      <c r="E12391" s="241">
        <f t="shared" si="1772"/>
        <v>46028</v>
      </c>
      <c r="F12391" s="512"/>
      <c r="G12391" s="231" t="s">
        <v>1245</v>
      </c>
      <c r="H12391" s="232"/>
      <c r="I12391" s="232" t="s">
        <v>1253</v>
      </c>
      <c r="J12391" s="228" t="s">
        <v>42</v>
      </c>
      <c r="K12391" s="233"/>
      <c r="L12391" s="233">
        <f>K12390</f>
        <v>738.95697007664774</v>
      </c>
      <c r="N12391" s="251"/>
    </row>
    <row r="12392" spans="1:15" x14ac:dyDescent="0.2">
      <c r="A12392" s="424">
        <v>2026</v>
      </c>
      <c r="B12392" s="424">
        <v>1</v>
      </c>
      <c r="C12392" s="424">
        <v>7</v>
      </c>
      <c r="D12392" s="425">
        <f t="shared" si="1764"/>
        <v>46029</v>
      </c>
      <c r="E12392" s="384">
        <f t="shared" si="1772"/>
        <v>46029</v>
      </c>
      <c r="F12392" s="516" t="s">
        <v>1850</v>
      </c>
      <c r="G12392" s="426" t="s">
        <v>1209</v>
      </c>
      <c r="H12392" s="427"/>
      <c r="I12392" s="427"/>
      <c r="J12392" s="428" t="s">
        <v>81</v>
      </c>
      <c r="K12392" s="429">
        <v>1595.8173626373627</v>
      </c>
      <c r="L12392" s="429"/>
      <c r="M12392" s="455"/>
    </row>
    <row r="12393" spans="1:15" x14ac:dyDescent="0.2">
      <c r="A12393" s="389">
        <v>2026</v>
      </c>
      <c r="B12393" s="389">
        <v>1</v>
      </c>
      <c r="C12393" s="389">
        <v>7</v>
      </c>
      <c r="D12393" s="390">
        <f t="shared" si="1764"/>
        <v>46029</v>
      </c>
      <c r="E12393" s="391">
        <f t="shared" si="1772"/>
        <v>46029</v>
      </c>
      <c r="F12393" s="517"/>
      <c r="G12393" s="392" t="s">
        <v>1209</v>
      </c>
      <c r="H12393" s="393"/>
      <c r="I12393" s="393"/>
      <c r="J12393" s="394" t="s">
        <v>1847</v>
      </c>
      <c r="K12393" s="423"/>
      <c r="L12393" s="423">
        <f>K12392</f>
        <v>1595.8173626373627</v>
      </c>
    </row>
    <row r="12394" spans="1:15" ht="11.25" customHeight="1" x14ac:dyDescent="0.2">
      <c r="A12394" s="382">
        <v>2026</v>
      </c>
      <c r="B12394" s="382">
        <v>1</v>
      </c>
      <c r="C12394" s="382">
        <v>7</v>
      </c>
      <c r="D12394" s="383">
        <f t="shared" si="1764"/>
        <v>46029</v>
      </c>
      <c r="E12394" s="384">
        <f t="shared" si="1772"/>
        <v>46029</v>
      </c>
      <c r="F12394" s="516" t="s">
        <v>1892</v>
      </c>
      <c r="G12394" s="385" t="s">
        <v>1209</v>
      </c>
      <c r="H12394" s="386"/>
      <c r="I12394" s="386"/>
      <c r="J12394" s="387" t="s">
        <v>173</v>
      </c>
      <c r="K12394" s="388">
        <v>628.75179914136902</v>
      </c>
      <c r="L12394" s="388"/>
      <c r="M12394" s="455"/>
    </row>
    <row r="12395" spans="1:15" ht="11.25" customHeight="1" x14ac:dyDescent="0.2">
      <c r="A12395" s="389">
        <v>2026</v>
      </c>
      <c r="B12395" s="389">
        <v>1</v>
      </c>
      <c r="C12395" s="389">
        <v>7</v>
      </c>
      <c r="D12395" s="390">
        <f t="shared" si="1764"/>
        <v>46029</v>
      </c>
      <c r="E12395" s="391">
        <f t="shared" si="1772"/>
        <v>46029</v>
      </c>
      <c r="F12395" s="517"/>
      <c r="G12395" s="392" t="s">
        <v>1209</v>
      </c>
      <c r="H12395" s="393"/>
      <c r="I12395" s="393"/>
      <c r="J12395" s="394" t="s">
        <v>43</v>
      </c>
      <c r="K12395" s="388"/>
      <c r="L12395" s="423">
        <f>K12394</f>
        <v>628.75179914136902</v>
      </c>
    </row>
    <row r="12396" spans="1:15" ht="11.25" customHeight="1" x14ac:dyDescent="0.2">
      <c r="A12396" s="344">
        <v>2026</v>
      </c>
      <c r="B12396" s="344">
        <v>1</v>
      </c>
      <c r="C12396" s="344">
        <v>7</v>
      </c>
      <c r="D12396" s="345">
        <f t="shared" si="1764"/>
        <v>46029</v>
      </c>
      <c r="E12396" s="346">
        <f t="shared" si="1772"/>
        <v>46029</v>
      </c>
      <c r="F12396" s="518" t="s">
        <v>1982</v>
      </c>
      <c r="G12396" s="347" t="s">
        <v>1245</v>
      </c>
      <c r="H12396" s="348"/>
      <c r="I12396" s="348" t="s">
        <v>1253</v>
      </c>
      <c r="J12396" s="344" t="s">
        <v>1978</v>
      </c>
      <c r="K12396" s="349">
        <v>21249.725274725275</v>
      </c>
      <c r="L12396" s="349"/>
      <c r="M12396" s="455"/>
    </row>
    <row r="12397" spans="1:15" ht="11.25" customHeight="1" x14ac:dyDescent="0.2">
      <c r="A12397" s="350">
        <v>2026</v>
      </c>
      <c r="B12397" s="350">
        <v>1</v>
      </c>
      <c r="C12397" s="350">
        <v>7</v>
      </c>
      <c r="D12397" s="351">
        <f t="shared" si="1764"/>
        <v>46029</v>
      </c>
      <c r="E12397" s="352">
        <f t="shared" si="1772"/>
        <v>46029</v>
      </c>
      <c r="F12397" s="519"/>
      <c r="G12397" s="353" t="s">
        <v>1245</v>
      </c>
      <c r="H12397" s="354"/>
      <c r="I12397" s="354" t="s">
        <v>1253</v>
      </c>
      <c r="J12397" s="350" t="s">
        <v>1979</v>
      </c>
      <c r="K12397" s="355"/>
      <c r="L12397" s="355">
        <f>K12396</f>
        <v>21249.725274725275</v>
      </c>
    </row>
    <row r="12398" spans="1:15" ht="11.25" customHeight="1" x14ac:dyDescent="0.2">
      <c r="A12398" s="344">
        <v>2026</v>
      </c>
      <c r="B12398" s="344">
        <v>1</v>
      </c>
      <c r="C12398" s="344">
        <v>7</v>
      </c>
      <c r="D12398" s="345">
        <f t="shared" si="1764"/>
        <v>46029</v>
      </c>
      <c r="E12398" s="346">
        <f t="shared" si="1772"/>
        <v>46029</v>
      </c>
      <c r="F12398" s="518" t="s">
        <v>2009</v>
      </c>
      <c r="G12398" s="347" t="s">
        <v>1245</v>
      </c>
      <c r="H12398" s="348"/>
      <c r="I12398" s="348" t="s">
        <v>1253</v>
      </c>
      <c r="J12398" s="344" t="s">
        <v>2004</v>
      </c>
      <c r="K12398" s="349">
        <v>7098.9014285714284</v>
      </c>
      <c r="L12398" s="349"/>
      <c r="M12398" s="455"/>
    </row>
    <row r="12399" spans="1:15" ht="11.25" customHeight="1" x14ac:dyDescent="0.2">
      <c r="A12399" s="350">
        <v>2026</v>
      </c>
      <c r="B12399" s="350">
        <v>1</v>
      </c>
      <c r="C12399" s="350">
        <v>7</v>
      </c>
      <c r="D12399" s="351">
        <f t="shared" si="1764"/>
        <v>46029</v>
      </c>
      <c r="E12399" s="352">
        <f t="shared" si="1772"/>
        <v>46029</v>
      </c>
      <c r="F12399" s="519"/>
      <c r="G12399" s="353" t="s">
        <v>1245</v>
      </c>
      <c r="H12399" s="354"/>
      <c r="I12399" s="354" t="s">
        <v>1253</v>
      </c>
      <c r="J12399" s="350" t="s">
        <v>2008</v>
      </c>
      <c r="K12399" s="355"/>
      <c r="L12399" s="355">
        <f t="shared" ref="L12399" si="1773">K12398</f>
        <v>7098.9014285714284</v>
      </c>
    </row>
    <row r="12400" spans="1:15" ht="11.25" customHeight="1" x14ac:dyDescent="0.2">
      <c r="A12400" s="344">
        <v>2026</v>
      </c>
      <c r="B12400" s="344">
        <v>1</v>
      </c>
      <c r="C12400" s="344">
        <v>7</v>
      </c>
      <c r="D12400" s="345">
        <f t="shared" si="1764"/>
        <v>46029</v>
      </c>
      <c r="E12400" s="346">
        <f t="shared" si="1772"/>
        <v>46029</v>
      </c>
      <c r="F12400" s="518" t="s">
        <v>2009</v>
      </c>
      <c r="G12400" s="347" t="s">
        <v>1245</v>
      </c>
      <c r="H12400" s="348"/>
      <c r="I12400" s="348" t="s">
        <v>1253</v>
      </c>
      <c r="J12400" s="344" t="s">
        <v>2004</v>
      </c>
      <c r="K12400" s="349">
        <v>7098.9014285714284</v>
      </c>
      <c r="L12400" s="349"/>
      <c r="M12400" s="455"/>
    </row>
    <row r="12401" spans="1:16" ht="11.25" customHeight="1" x14ac:dyDescent="0.2">
      <c r="A12401" s="350">
        <v>2026</v>
      </c>
      <c r="B12401" s="350">
        <v>1</v>
      </c>
      <c r="C12401" s="350">
        <v>7</v>
      </c>
      <c r="D12401" s="351">
        <f t="shared" si="1764"/>
        <v>46029</v>
      </c>
      <c r="E12401" s="352">
        <f t="shared" si="1772"/>
        <v>46029</v>
      </c>
      <c r="F12401" s="519"/>
      <c r="G12401" s="353" t="s">
        <v>1245</v>
      </c>
      <c r="H12401" s="354"/>
      <c r="I12401" s="354" t="s">
        <v>1253</v>
      </c>
      <c r="J12401" s="350" t="s">
        <v>2008</v>
      </c>
      <c r="K12401" s="355"/>
      <c r="L12401" s="355">
        <f t="shared" ref="L12401" si="1774">K12400</f>
        <v>7098.9014285714284</v>
      </c>
    </row>
    <row r="12402" spans="1:16" ht="11.25" customHeight="1" x14ac:dyDescent="0.2">
      <c r="A12402" s="344">
        <v>2026</v>
      </c>
      <c r="B12402" s="344">
        <v>1</v>
      </c>
      <c r="C12402" s="344">
        <v>7</v>
      </c>
      <c r="D12402" s="345">
        <f t="shared" si="1764"/>
        <v>46029</v>
      </c>
      <c r="E12402" s="346">
        <f t="shared" si="1772"/>
        <v>46029</v>
      </c>
      <c r="F12402" s="518" t="s">
        <v>2088</v>
      </c>
      <c r="G12402" s="347" t="s">
        <v>1245</v>
      </c>
      <c r="H12402" s="348"/>
      <c r="I12402" s="348" t="s">
        <v>1253</v>
      </c>
      <c r="J12402" s="344" t="s">
        <v>2086</v>
      </c>
      <c r="K12402" s="349">
        <v>1789.835164835165</v>
      </c>
      <c r="L12402" s="349"/>
      <c r="M12402" s="455"/>
    </row>
    <row r="12403" spans="1:16" ht="11.25" customHeight="1" x14ac:dyDescent="0.2">
      <c r="A12403" s="350">
        <v>2026</v>
      </c>
      <c r="B12403" s="350">
        <v>1</v>
      </c>
      <c r="C12403" s="350">
        <v>7</v>
      </c>
      <c r="D12403" s="351">
        <f t="shared" si="1764"/>
        <v>46029</v>
      </c>
      <c r="E12403" s="352">
        <f t="shared" si="1772"/>
        <v>46029</v>
      </c>
      <c r="F12403" s="519"/>
      <c r="G12403" s="353" t="s">
        <v>1245</v>
      </c>
      <c r="H12403" s="354"/>
      <c r="I12403" s="354" t="s">
        <v>1253</v>
      </c>
      <c r="J12403" s="350" t="s">
        <v>2089</v>
      </c>
      <c r="K12403" s="355"/>
      <c r="L12403" s="355">
        <f>K12402</f>
        <v>1789.835164835165</v>
      </c>
    </row>
    <row r="12404" spans="1:16" ht="11.25" customHeight="1" x14ac:dyDescent="0.2">
      <c r="A12404" s="344">
        <v>2026</v>
      </c>
      <c r="B12404" s="344">
        <v>1</v>
      </c>
      <c r="C12404" s="344">
        <v>7</v>
      </c>
      <c r="D12404" s="345">
        <f t="shared" si="1764"/>
        <v>46029</v>
      </c>
      <c r="E12404" s="346">
        <f>DATE(A12404,B12404,C12404)</f>
        <v>46029</v>
      </c>
      <c r="F12404" s="518" t="s">
        <v>1988</v>
      </c>
      <c r="G12404" s="347" t="s">
        <v>1245</v>
      </c>
      <c r="H12404" s="348"/>
      <c r="I12404" s="348" t="s">
        <v>1253</v>
      </c>
      <c r="J12404" s="344" t="s">
        <v>113</v>
      </c>
      <c r="K12404" s="349">
        <v>4692.3071428571429</v>
      </c>
      <c r="L12404" s="349"/>
      <c r="M12404" s="455"/>
    </row>
    <row r="12405" spans="1:16" ht="11.25" customHeight="1" x14ac:dyDescent="0.2">
      <c r="A12405" s="350">
        <v>2026</v>
      </c>
      <c r="B12405" s="350">
        <v>1</v>
      </c>
      <c r="C12405" s="350">
        <v>7</v>
      </c>
      <c r="D12405" s="351">
        <f t="shared" si="1764"/>
        <v>46029</v>
      </c>
      <c r="E12405" s="352">
        <f>DATE(A12405,B12405,C12405)</f>
        <v>46029</v>
      </c>
      <c r="F12405" s="519"/>
      <c r="G12405" s="353" t="s">
        <v>1245</v>
      </c>
      <c r="H12405" s="354"/>
      <c r="I12405" s="354" t="s">
        <v>1253</v>
      </c>
      <c r="J12405" s="350" t="s">
        <v>153</v>
      </c>
      <c r="K12405" s="355"/>
      <c r="L12405" s="355">
        <f t="shared" ref="L12405" si="1775">K12404</f>
        <v>4692.3071428571429</v>
      </c>
    </row>
    <row r="12406" spans="1:16" ht="11.25" customHeight="1" x14ac:dyDescent="0.2">
      <c r="A12406" s="344">
        <v>2026</v>
      </c>
      <c r="B12406" s="344">
        <v>1</v>
      </c>
      <c r="C12406" s="344">
        <v>7</v>
      </c>
      <c r="D12406" s="345">
        <f t="shared" si="1764"/>
        <v>46029</v>
      </c>
      <c r="E12406" s="346">
        <f t="shared" ref="E12406:E12412" si="1776">DATE(A12406,B12406,C12406)</f>
        <v>46029</v>
      </c>
      <c r="F12406" s="518" t="s">
        <v>1989</v>
      </c>
      <c r="G12406" s="347" t="s">
        <v>1245</v>
      </c>
      <c r="H12406" s="348"/>
      <c r="I12406" s="348" t="s">
        <v>1253</v>
      </c>
      <c r="J12406" s="344" t="s">
        <v>113</v>
      </c>
      <c r="K12406" s="349">
        <v>3351.6483516483518</v>
      </c>
      <c r="L12406" s="349"/>
      <c r="M12406" s="455"/>
    </row>
    <row r="12407" spans="1:16" ht="11.25" customHeight="1" x14ac:dyDescent="0.2">
      <c r="A12407" s="350">
        <v>2026</v>
      </c>
      <c r="B12407" s="350">
        <v>1</v>
      </c>
      <c r="C12407" s="350">
        <v>7</v>
      </c>
      <c r="D12407" s="351">
        <f t="shared" si="1764"/>
        <v>46029</v>
      </c>
      <c r="E12407" s="352">
        <f t="shared" si="1776"/>
        <v>46029</v>
      </c>
      <c r="F12407" s="519"/>
      <c r="G12407" s="353" t="s">
        <v>1245</v>
      </c>
      <c r="H12407" s="354"/>
      <c r="I12407" s="354" t="s">
        <v>1253</v>
      </c>
      <c r="J12407" s="350" t="s">
        <v>153</v>
      </c>
      <c r="K12407" s="355"/>
      <c r="L12407" s="355">
        <f t="shared" ref="L12407" si="1777">K12406</f>
        <v>3351.6483516483518</v>
      </c>
    </row>
    <row r="12408" spans="1:16" ht="11.25" customHeight="1" x14ac:dyDescent="0.2">
      <c r="A12408" s="344">
        <v>2026</v>
      </c>
      <c r="B12408" s="344">
        <v>1</v>
      </c>
      <c r="C12408" s="344">
        <v>7</v>
      </c>
      <c r="D12408" s="345">
        <f t="shared" si="1764"/>
        <v>46029</v>
      </c>
      <c r="E12408" s="346">
        <f t="shared" si="1776"/>
        <v>46029</v>
      </c>
      <c r="F12408" s="518" t="s">
        <v>1990</v>
      </c>
      <c r="G12408" s="347" t="s">
        <v>1245</v>
      </c>
      <c r="H12408" s="348"/>
      <c r="I12408" s="348" t="s">
        <v>1253</v>
      </c>
      <c r="J12408" s="344" t="s">
        <v>113</v>
      </c>
      <c r="K12408" s="349">
        <v>10054.945714285714</v>
      </c>
      <c r="L12408" s="349"/>
      <c r="M12408" s="455"/>
      <c r="N12408" s="251"/>
      <c r="O12408" s="251"/>
      <c r="P12408" s="251"/>
    </row>
    <row r="12409" spans="1:16" ht="11.25" customHeight="1" x14ac:dyDescent="0.2">
      <c r="A12409" s="350">
        <v>2026</v>
      </c>
      <c r="B12409" s="350">
        <v>1</v>
      </c>
      <c r="C12409" s="350">
        <v>7</v>
      </c>
      <c r="D12409" s="351">
        <f t="shared" si="1764"/>
        <v>46029</v>
      </c>
      <c r="E12409" s="352">
        <f t="shared" si="1776"/>
        <v>46029</v>
      </c>
      <c r="F12409" s="519"/>
      <c r="G12409" s="353" t="s">
        <v>1245</v>
      </c>
      <c r="H12409" s="354"/>
      <c r="I12409" s="354" t="s">
        <v>1253</v>
      </c>
      <c r="J12409" s="350" t="s">
        <v>153</v>
      </c>
      <c r="K12409" s="355"/>
      <c r="L12409" s="355">
        <f t="shared" ref="L12409" si="1778">K12408</f>
        <v>10054.945714285714</v>
      </c>
    </row>
    <row r="12410" spans="1:16" ht="11.25" customHeight="1" x14ac:dyDescent="0.2">
      <c r="A12410" s="344">
        <v>2026</v>
      </c>
      <c r="B12410" s="344">
        <v>1</v>
      </c>
      <c r="C12410" s="344">
        <v>7</v>
      </c>
      <c r="D12410" s="345">
        <f t="shared" si="1764"/>
        <v>46029</v>
      </c>
      <c r="E12410" s="346">
        <f t="shared" si="1776"/>
        <v>46029</v>
      </c>
      <c r="F12410" s="518" t="s">
        <v>2107</v>
      </c>
      <c r="G12410" s="347" t="s">
        <v>1245</v>
      </c>
      <c r="H12410" s="348"/>
      <c r="I12410" s="348" t="s">
        <v>1253</v>
      </c>
      <c r="J12410" s="344" t="s">
        <v>113</v>
      </c>
      <c r="K12410" s="349">
        <v>12370.879120879121</v>
      </c>
      <c r="L12410" s="349"/>
      <c r="M12410" s="455"/>
      <c r="N12410" s="251"/>
      <c r="O12410" s="251"/>
      <c r="P12410" s="251"/>
    </row>
    <row r="12411" spans="1:16" ht="11.25" customHeight="1" x14ac:dyDescent="0.2">
      <c r="A12411" s="350">
        <v>2026</v>
      </c>
      <c r="B12411" s="350">
        <v>1</v>
      </c>
      <c r="C12411" s="350">
        <v>7</v>
      </c>
      <c r="D12411" s="351">
        <f t="shared" si="1764"/>
        <v>46029</v>
      </c>
      <c r="E12411" s="352">
        <f t="shared" si="1776"/>
        <v>46029</v>
      </c>
      <c r="F12411" s="519"/>
      <c r="G12411" s="353" t="s">
        <v>1245</v>
      </c>
      <c r="H12411" s="354"/>
      <c r="I12411" s="354" t="s">
        <v>1253</v>
      </c>
      <c r="J12411" s="350" t="s">
        <v>153</v>
      </c>
      <c r="K12411" s="355"/>
      <c r="L12411" s="355">
        <f t="shared" ref="L12411" si="1779">K12410</f>
        <v>12370.879120879121</v>
      </c>
    </row>
    <row r="12412" spans="1:16" ht="11.25" customHeight="1" x14ac:dyDescent="0.2">
      <c r="A12412" s="210">
        <v>2026</v>
      </c>
      <c r="B12412" s="210">
        <v>1</v>
      </c>
      <c r="C12412" s="210">
        <v>7</v>
      </c>
      <c r="D12412" s="211">
        <f t="shared" si="1764"/>
        <v>46029</v>
      </c>
      <c r="E12412" s="238">
        <f t="shared" si="1776"/>
        <v>46029</v>
      </c>
      <c r="F12412" s="520" t="s">
        <v>1857</v>
      </c>
      <c r="G12412" s="213" t="s">
        <v>1245</v>
      </c>
      <c r="H12412" s="214"/>
      <c r="I12412" s="214" t="s">
        <v>1253</v>
      </c>
      <c r="J12412" s="210" t="s">
        <v>1284</v>
      </c>
      <c r="K12412" s="215">
        <v>334.54448777029421</v>
      </c>
      <c r="L12412" s="215"/>
      <c r="M12412" s="455"/>
    </row>
    <row r="12413" spans="1:16" ht="11.25" customHeight="1" x14ac:dyDescent="0.2">
      <c r="A12413" s="242">
        <v>2026</v>
      </c>
      <c r="B12413" s="242">
        <v>1</v>
      </c>
      <c r="C12413" s="242">
        <v>7</v>
      </c>
      <c r="D12413" s="243">
        <f t="shared" si="1764"/>
        <v>46029</v>
      </c>
      <c r="E12413" s="244">
        <f>DATE(A12413,B12413,C12413)</f>
        <v>46029</v>
      </c>
      <c r="F12413" s="524"/>
      <c r="G12413" s="245" t="s">
        <v>1245</v>
      </c>
      <c r="H12413" s="246"/>
      <c r="I12413" s="246"/>
      <c r="J12413" s="242" t="s">
        <v>1582</v>
      </c>
      <c r="K12413" s="247"/>
      <c r="L12413" s="247">
        <f>K12412</f>
        <v>334.54448777029421</v>
      </c>
    </row>
    <row r="12414" spans="1:16" ht="11.25" customHeight="1" x14ac:dyDescent="0.2">
      <c r="A12414" s="210">
        <v>2026</v>
      </c>
      <c r="B12414" s="210">
        <v>1</v>
      </c>
      <c r="C12414" s="210">
        <v>7</v>
      </c>
      <c r="D12414" s="211">
        <f t="shared" si="1764"/>
        <v>46029</v>
      </c>
      <c r="E12414" s="238">
        <f t="shared" ref="E12414:E12425" si="1780">DATE(A12414,B12414,C12414)</f>
        <v>46029</v>
      </c>
      <c r="F12414" s="520" t="s">
        <v>2055</v>
      </c>
      <c r="G12414" s="213" t="s">
        <v>1245</v>
      </c>
      <c r="H12414" s="214"/>
      <c r="I12414" s="214" t="s">
        <v>1253</v>
      </c>
      <c r="J12414" s="210" t="s">
        <v>58</v>
      </c>
      <c r="K12414" s="215">
        <v>981.89</v>
      </c>
      <c r="L12414" s="215"/>
    </row>
    <row r="12415" spans="1:16" ht="11.25" customHeight="1" x14ac:dyDescent="0.2">
      <c r="A12415" s="216">
        <v>2026</v>
      </c>
      <c r="B12415" s="216">
        <v>1</v>
      </c>
      <c r="C12415" s="216">
        <v>7</v>
      </c>
      <c r="D12415" s="217">
        <f t="shared" si="1764"/>
        <v>46029</v>
      </c>
      <c r="E12415" s="239">
        <f t="shared" si="1780"/>
        <v>46029</v>
      </c>
      <c r="F12415" s="521"/>
      <c r="G12415" s="219" t="s">
        <v>1245</v>
      </c>
      <c r="H12415" s="220"/>
      <c r="I12415" s="220" t="s">
        <v>1253</v>
      </c>
      <c r="J12415" s="216" t="s">
        <v>153</v>
      </c>
      <c r="K12415" s="221"/>
      <c r="L12415" s="221">
        <f>K12414</f>
        <v>981.89</v>
      </c>
    </row>
    <row r="12416" spans="1:16" ht="11.25" customHeight="1" x14ac:dyDescent="0.2">
      <c r="A12416" s="312">
        <v>2026</v>
      </c>
      <c r="B12416" s="312">
        <v>1</v>
      </c>
      <c r="C12416" s="312">
        <v>7</v>
      </c>
      <c r="D12416" s="313">
        <f t="shared" si="1764"/>
        <v>46029</v>
      </c>
      <c r="E12416" s="314">
        <f t="shared" si="1780"/>
        <v>46029</v>
      </c>
      <c r="F12416" s="522" t="s">
        <v>1595</v>
      </c>
      <c r="G12416" s="315" t="s">
        <v>1245</v>
      </c>
      <c r="H12416" s="316"/>
      <c r="I12416" s="316" t="s">
        <v>1253</v>
      </c>
      <c r="J12416" s="312" t="s">
        <v>1461</v>
      </c>
      <c r="K12416" s="317">
        <v>99316.560000061989</v>
      </c>
      <c r="L12416" s="317"/>
      <c r="M12416" s="328">
        <f>BS!$I$14</f>
        <v>0</v>
      </c>
    </row>
    <row r="12417" spans="1:15" ht="11.25" customHeight="1" x14ac:dyDescent="0.2">
      <c r="A12417" s="318">
        <v>2026</v>
      </c>
      <c r="B12417" s="318">
        <v>1</v>
      </c>
      <c r="C12417" s="318">
        <v>7</v>
      </c>
      <c r="D12417" s="319">
        <f t="shared" si="1764"/>
        <v>46029</v>
      </c>
      <c r="E12417" s="320">
        <f t="shared" si="1780"/>
        <v>46029</v>
      </c>
      <c r="F12417" s="523"/>
      <c r="G12417" s="321" t="s">
        <v>1245</v>
      </c>
      <c r="H12417" s="322"/>
      <c r="I12417" s="322" t="s">
        <v>1253</v>
      </c>
      <c r="J12417" s="318" t="s">
        <v>1459</v>
      </c>
      <c r="K12417" s="323"/>
      <c r="L12417" s="323">
        <f>K12416</f>
        <v>99316.560000061989</v>
      </c>
      <c r="M12417" s="328"/>
    </row>
    <row r="12418" spans="1:15" ht="11.25" customHeight="1" x14ac:dyDescent="0.2">
      <c r="A12418" s="222">
        <v>2026</v>
      </c>
      <c r="B12418" s="222">
        <v>1</v>
      </c>
      <c r="C12418" s="222">
        <v>7</v>
      </c>
      <c r="D12418" s="223">
        <f t="shared" ref="D12418:D12481" si="1781">DATE(A12418,B12418,C12418)</f>
        <v>46029</v>
      </c>
      <c r="E12418" s="240">
        <f t="shared" si="1780"/>
        <v>46029</v>
      </c>
      <c r="F12418" s="511" t="s">
        <v>1244</v>
      </c>
      <c r="G12418" s="225" t="s">
        <v>1245</v>
      </c>
      <c r="H12418" s="226"/>
      <c r="I12418" s="226" t="s">
        <v>1253</v>
      </c>
      <c r="J12418" s="222" t="s">
        <v>87</v>
      </c>
      <c r="K12418" s="227"/>
      <c r="L12418" s="227"/>
      <c r="M12418" s="328">
        <f>BS!$I$7</f>
        <v>0</v>
      </c>
    </row>
    <row r="12419" spans="1:15" ht="11.25" customHeight="1" x14ac:dyDescent="0.2">
      <c r="A12419" s="228">
        <v>2026</v>
      </c>
      <c r="B12419" s="228">
        <v>1</v>
      </c>
      <c r="C12419" s="228">
        <v>7</v>
      </c>
      <c r="D12419" s="229">
        <f t="shared" si="1781"/>
        <v>46029</v>
      </c>
      <c r="E12419" s="241">
        <f t="shared" si="1780"/>
        <v>46029</v>
      </c>
      <c r="F12419" s="512"/>
      <c r="G12419" s="231" t="s">
        <v>1245</v>
      </c>
      <c r="H12419" s="232"/>
      <c r="I12419" s="232" t="s">
        <v>1253</v>
      </c>
      <c r="J12419" s="228" t="s">
        <v>72</v>
      </c>
      <c r="K12419" s="233"/>
      <c r="L12419" s="233">
        <f>K12418</f>
        <v>0</v>
      </c>
    </row>
    <row r="12420" spans="1:15" ht="11.25" customHeight="1" x14ac:dyDescent="0.2">
      <c r="A12420" s="222">
        <v>2026</v>
      </c>
      <c r="B12420" s="222">
        <v>1</v>
      </c>
      <c r="C12420" s="222">
        <v>7</v>
      </c>
      <c r="D12420" s="223">
        <f t="shared" si="1781"/>
        <v>46029</v>
      </c>
      <c r="E12420" s="240">
        <f t="shared" si="1780"/>
        <v>46029</v>
      </c>
      <c r="F12420" s="511" t="s">
        <v>1246</v>
      </c>
      <c r="G12420" s="225" t="s">
        <v>1245</v>
      </c>
      <c r="H12420" s="226"/>
      <c r="I12420" s="226" t="s">
        <v>1253</v>
      </c>
      <c r="J12420" s="222" t="s">
        <v>75</v>
      </c>
      <c r="K12420" s="227">
        <v>517.58912087912086</v>
      </c>
      <c r="L12420" s="227"/>
      <c r="M12420" s="455"/>
    </row>
    <row r="12421" spans="1:15" ht="11.25" customHeight="1" x14ac:dyDescent="0.2">
      <c r="A12421" s="228">
        <v>2026</v>
      </c>
      <c r="B12421" s="228">
        <v>1</v>
      </c>
      <c r="C12421" s="228">
        <v>7</v>
      </c>
      <c r="D12421" s="229">
        <f t="shared" si="1781"/>
        <v>46029</v>
      </c>
      <c r="E12421" s="241">
        <f t="shared" si="1780"/>
        <v>46029</v>
      </c>
      <c r="F12421" s="512"/>
      <c r="G12421" s="231" t="s">
        <v>1245</v>
      </c>
      <c r="H12421" s="232"/>
      <c r="I12421" s="232" t="s">
        <v>1253</v>
      </c>
      <c r="J12421" s="228" t="s">
        <v>55</v>
      </c>
      <c r="K12421" s="233"/>
      <c r="L12421" s="233">
        <f>K12420</f>
        <v>517.58912087912086</v>
      </c>
    </row>
    <row r="12422" spans="1:15" ht="11.25" customHeight="1" x14ac:dyDescent="0.2">
      <c r="A12422" s="222">
        <v>2026</v>
      </c>
      <c r="B12422" s="222">
        <v>1</v>
      </c>
      <c r="C12422" s="222">
        <v>7</v>
      </c>
      <c r="D12422" s="223">
        <f t="shared" si="1781"/>
        <v>46029</v>
      </c>
      <c r="E12422" s="240">
        <f t="shared" si="1780"/>
        <v>46029</v>
      </c>
      <c r="F12422" s="511" t="s">
        <v>1247</v>
      </c>
      <c r="G12422" s="225" t="s">
        <v>1245</v>
      </c>
      <c r="H12422" s="226"/>
      <c r="I12422" s="226" t="s">
        <v>1253</v>
      </c>
      <c r="J12422" s="222" t="s">
        <v>77</v>
      </c>
      <c r="K12422" s="227">
        <f>M12422</f>
        <v>7354.5378663318706</v>
      </c>
      <c r="L12422" s="227"/>
      <c r="M12422" s="478">
        <v>7354.5378663318706</v>
      </c>
    </row>
    <row r="12423" spans="1:15" ht="11.25" customHeight="1" x14ac:dyDescent="0.2">
      <c r="A12423" s="228">
        <v>2026</v>
      </c>
      <c r="B12423" s="228">
        <v>1</v>
      </c>
      <c r="C12423" s="228">
        <v>7</v>
      </c>
      <c r="D12423" s="229">
        <f t="shared" si="1781"/>
        <v>46029</v>
      </c>
      <c r="E12423" s="241">
        <f t="shared" si="1780"/>
        <v>46029</v>
      </c>
      <c r="F12423" s="512"/>
      <c r="G12423" s="231" t="s">
        <v>1245</v>
      </c>
      <c r="H12423" s="232"/>
      <c r="I12423" s="232" t="s">
        <v>1253</v>
      </c>
      <c r="J12423" s="228" t="s">
        <v>41</v>
      </c>
      <c r="K12423" s="233"/>
      <c r="L12423" s="233">
        <f>K12422</f>
        <v>7354.5378663318706</v>
      </c>
      <c r="M12423" s="478">
        <v>735.45378663318718</v>
      </c>
      <c r="N12423" s="251"/>
    </row>
    <row r="12424" spans="1:15" ht="11.25" customHeight="1" x14ac:dyDescent="0.2">
      <c r="A12424" s="222">
        <v>2026</v>
      </c>
      <c r="B12424" s="222">
        <v>1</v>
      </c>
      <c r="C12424" s="222">
        <v>7</v>
      </c>
      <c r="D12424" s="223">
        <f t="shared" si="1781"/>
        <v>46029</v>
      </c>
      <c r="E12424" s="240">
        <f t="shared" si="1780"/>
        <v>46029</v>
      </c>
      <c r="F12424" s="511" t="s">
        <v>1248</v>
      </c>
      <c r="G12424" s="225" t="s">
        <v>1245</v>
      </c>
      <c r="H12424" s="226"/>
      <c r="I12424" s="226" t="s">
        <v>1253</v>
      </c>
      <c r="J12424" s="222" t="s">
        <v>80</v>
      </c>
      <c r="K12424" s="227">
        <f>M12423</f>
        <v>735.45378663318718</v>
      </c>
      <c r="L12424" s="227"/>
      <c r="N12424" s="251"/>
      <c r="O12424" s="251"/>
    </row>
    <row r="12425" spans="1:15" ht="11.25" customHeight="1" x14ac:dyDescent="0.2">
      <c r="A12425" s="228">
        <v>2026</v>
      </c>
      <c r="B12425" s="228">
        <v>1</v>
      </c>
      <c r="C12425" s="228">
        <v>7</v>
      </c>
      <c r="D12425" s="229">
        <f t="shared" si="1781"/>
        <v>46029</v>
      </c>
      <c r="E12425" s="241">
        <f t="shared" si="1780"/>
        <v>46029</v>
      </c>
      <c r="F12425" s="512"/>
      <c r="G12425" s="231" t="s">
        <v>1245</v>
      </c>
      <c r="H12425" s="232"/>
      <c r="I12425" s="232" t="s">
        <v>1253</v>
      </c>
      <c r="J12425" s="228" t="s">
        <v>42</v>
      </c>
      <c r="K12425" s="233"/>
      <c r="L12425" s="233">
        <f>K12424</f>
        <v>735.45378663318718</v>
      </c>
      <c r="N12425" s="251"/>
    </row>
    <row r="12426" spans="1:15" x14ac:dyDescent="0.2">
      <c r="A12426" s="197">
        <v>2026</v>
      </c>
      <c r="B12426" s="197">
        <v>1</v>
      </c>
      <c r="C12426" s="197">
        <v>8</v>
      </c>
      <c r="D12426" s="198">
        <f t="shared" si="1781"/>
        <v>46030</v>
      </c>
      <c r="E12426" s="209">
        <f t="shared" si="1772"/>
        <v>46030</v>
      </c>
      <c r="F12426" s="513" t="s">
        <v>2113</v>
      </c>
      <c r="G12426" s="200" t="s">
        <v>1209</v>
      </c>
      <c r="H12426" s="201"/>
      <c r="I12426" s="201"/>
      <c r="J12426" s="197" t="s">
        <v>46</v>
      </c>
      <c r="K12426" s="202">
        <v>20000</v>
      </c>
      <c r="L12426" s="202"/>
    </row>
    <row r="12427" spans="1:15" x14ac:dyDescent="0.2">
      <c r="A12427" s="120">
        <v>2026</v>
      </c>
      <c r="B12427" s="120">
        <v>1</v>
      </c>
      <c r="C12427" s="120">
        <v>8</v>
      </c>
      <c r="D12427" s="208">
        <f t="shared" si="1781"/>
        <v>46030</v>
      </c>
      <c r="E12427" s="209">
        <f t="shared" si="1772"/>
        <v>46030</v>
      </c>
      <c r="F12427" s="515"/>
      <c r="G12427" s="132" t="s">
        <v>1209</v>
      </c>
      <c r="J12427" s="120" t="s">
        <v>16</v>
      </c>
      <c r="K12427" s="207"/>
      <c r="L12427" s="207">
        <v>14520</v>
      </c>
    </row>
    <row r="12428" spans="1:15" x14ac:dyDescent="0.2">
      <c r="A12428" s="191">
        <v>2026</v>
      </c>
      <c r="B12428" s="191">
        <v>1</v>
      </c>
      <c r="C12428" s="191">
        <v>8</v>
      </c>
      <c r="D12428" s="192">
        <f t="shared" si="1781"/>
        <v>46030</v>
      </c>
      <c r="E12428" s="193">
        <f t="shared" si="1772"/>
        <v>46030</v>
      </c>
      <c r="F12428" s="514"/>
      <c r="G12428" s="194" t="s">
        <v>1209</v>
      </c>
      <c r="H12428" s="195"/>
      <c r="I12428" s="195"/>
      <c r="J12428" s="191" t="s">
        <v>47</v>
      </c>
      <c r="K12428" s="196"/>
      <c r="L12428" s="196">
        <v>5480</v>
      </c>
    </row>
    <row r="12429" spans="1:15" x14ac:dyDescent="0.2">
      <c r="A12429" s="197">
        <v>2026</v>
      </c>
      <c r="B12429" s="197">
        <v>1</v>
      </c>
      <c r="C12429" s="197">
        <v>8</v>
      </c>
      <c r="D12429" s="198">
        <f t="shared" si="1781"/>
        <v>46030</v>
      </c>
      <c r="E12429" s="209">
        <f t="shared" si="1772"/>
        <v>46030</v>
      </c>
      <c r="F12429" s="513" t="s">
        <v>2125</v>
      </c>
      <c r="G12429" s="200" t="s">
        <v>1209</v>
      </c>
      <c r="H12429" s="201"/>
      <c r="I12429" s="201"/>
      <c r="J12429" s="197" t="s">
        <v>16</v>
      </c>
      <c r="K12429" s="202">
        <v>1985000</v>
      </c>
      <c r="L12429" s="202"/>
    </row>
    <row r="12430" spans="1:15" x14ac:dyDescent="0.2">
      <c r="A12430" s="120">
        <v>2026</v>
      </c>
      <c r="B12430" s="120">
        <v>1</v>
      </c>
      <c r="C12430" s="120">
        <v>8</v>
      </c>
      <c r="D12430" s="208">
        <f t="shared" si="1781"/>
        <v>46030</v>
      </c>
      <c r="E12430" s="209">
        <f t="shared" si="1772"/>
        <v>46030</v>
      </c>
      <c r="F12430" s="515"/>
      <c r="G12430" s="132" t="s">
        <v>1209</v>
      </c>
      <c r="J12430" s="120" t="s">
        <v>47</v>
      </c>
      <c r="K12430" s="207">
        <v>742787</v>
      </c>
      <c r="L12430" s="207"/>
    </row>
    <row r="12431" spans="1:15" x14ac:dyDescent="0.2">
      <c r="A12431" s="191">
        <v>2026</v>
      </c>
      <c r="B12431" s="191">
        <v>1</v>
      </c>
      <c r="C12431" s="191">
        <v>8</v>
      </c>
      <c r="D12431" s="192">
        <f t="shared" si="1781"/>
        <v>46030</v>
      </c>
      <c r="E12431" s="193">
        <f t="shared" si="1772"/>
        <v>46030</v>
      </c>
      <c r="F12431" s="514"/>
      <c r="G12431" s="194" t="s">
        <v>1209</v>
      </c>
      <c r="H12431" s="195"/>
      <c r="I12431" s="195"/>
      <c r="J12431" s="191" t="s">
        <v>46</v>
      </c>
      <c r="K12431" s="196"/>
      <c r="L12431" s="196">
        <v>2727787</v>
      </c>
    </row>
    <row r="12432" spans="1:15" x14ac:dyDescent="0.2">
      <c r="A12432" s="424">
        <v>2026</v>
      </c>
      <c r="B12432" s="424">
        <v>1</v>
      </c>
      <c r="C12432" s="424">
        <v>8</v>
      </c>
      <c r="D12432" s="425">
        <f t="shared" si="1781"/>
        <v>46030</v>
      </c>
      <c r="E12432" s="384">
        <f t="shared" ref="E12432:E12443" si="1782">DATE(A12432,B12432,C12432)</f>
        <v>46030</v>
      </c>
      <c r="F12432" s="516" t="s">
        <v>1850</v>
      </c>
      <c r="G12432" s="426" t="s">
        <v>1209</v>
      </c>
      <c r="H12432" s="427"/>
      <c r="I12432" s="427"/>
      <c r="J12432" s="428" t="s">
        <v>81</v>
      </c>
      <c r="K12432" s="429">
        <v>1595.8173626373627</v>
      </c>
      <c r="L12432" s="429"/>
      <c r="M12432" s="455"/>
    </row>
    <row r="12433" spans="1:16" x14ac:dyDescent="0.2">
      <c r="A12433" s="389">
        <v>2026</v>
      </c>
      <c r="B12433" s="389">
        <v>1</v>
      </c>
      <c r="C12433" s="389">
        <v>8</v>
      </c>
      <c r="D12433" s="390">
        <f t="shared" si="1781"/>
        <v>46030</v>
      </c>
      <c r="E12433" s="391">
        <f t="shared" si="1782"/>
        <v>46030</v>
      </c>
      <c r="F12433" s="517"/>
      <c r="G12433" s="392" t="s">
        <v>1209</v>
      </c>
      <c r="H12433" s="393"/>
      <c r="I12433" s="393"/>
      <c r="J12433" s="394" t="s">
        <v>1847</v>
      </c>
      <c r="K12433" s="423"/>
      <c r="L12433" s="423">
        <f>K12432</f>
        <v>1595.8173626373627</v>
      </c>
    </row>
    <row r="12434" spans="1:16" ht="11.25" customHeight="1" x14ac:dyDescent="0.2">
      <c r="A12434" s="382">
        <v>2026</v>
      </c>
      <c r="B12434" s="382">
        <v>1</v>
      </c>
      <c r="C12434" s="382">
        <v>8</v>
      </c>
      <c r="D12434" s="383">
        <f t="shared" si="1781"/>
        <v>46030</v>
      </c>
      <c r="E12434" s="384">
        <f t="shared" si="1782"/>
        <v>46030</v>
      </c>
      <c r="F12434" s="516" t="s">
        <v>1892</v>
      </c>
      <c r="G12434" s="385" t="s">
        <v>1209</v>
      </c>
      <c r="H12434" s="386"/>
      <c r="I12434" s="386"/>
      <c r="J12434" s="387" t="s">
        <v>173</v>
      </c>
      <c r="K12434" s="388">
        <v>628.75179914136902</v>
      </c>
      <c r="L12434" s="388"/>
      <c r="M12434" s="455"/>
    </row>
    <row r="12435" spans="1:16" ht="11.25" customHeight="1" x14ac:dyDescent="0.2">
      <c r="A12435" s="389">
        <v>2026</v>
      </c>
      <c r="B12435" s="389">
        <v>1</v>
      </c>
      <c r="C12435" s="389">
        <v>8</v>
      </c>
      <c r="D12435" s="390">
        <f t="shared" si="1781"/>
        <v>46030</v>
      </c>
      <c r="E12435" s="391">
        <f t="shared" si="1782"/>
        <v>46030</v>
      </c>
      <c r="F12435" s="517"/>
      <c r="G12435" s="392" t="s">
        <v>1209</v>
      </c>
      <c r="H12435" s="393"/>
      <c r="I12435" s="393"/>
      <c r="J12435" s="394" t="s">
        <v>43</v>
      </c>
      <c r="K12435" s="388"/>
      <c r="L12435" s="423">
        <f>K12434</f>
        <v>628.75179914136902</v>
      </c>
    </row>
    <row r="12436" spans="1:16" ht="11.25" customHeight="1" x14ac:dyDescent="0.2">
      <c r="A12436" s="344">
        <v>2026</v>
      </c>
      <c r="B12436" s="344">
        <v>1</v>
      </c>
      <c r="C12436" s="344">
        <v>8</v>
      </c>
      <c r="D12436" s="345">
        <f t="shared" si="1781"/>
        <v>46030</v>
      </c>
      <c r="E12436" s="346">
        <f t="shared" si="1782"/>
        <v>46030</v>
      </c>
      <c r="F12436" s="518" t="s">
        <v>1982</v>
      </c>
      <c r="G12436" s="347" t="s">
        <v>1245</v>
      </c>
      <c r="H12436" s="348"/>
      <c r="I12436" s="348" t="s">
        <v>1253</v>
      </c>
      <c r="J12436" s="344" t="s">
        <v>1978</v>
      </c>
      <c r="K12436" s="349">
        <v>21249.725274725275</v>
      </c>
      <c r="L12436" s="349"/>
      <c r="M12436" s="455"/>
    </row>
    <row r="12437" spans="1:16" ht="11.25" customHeight="1" x14ac:dyDescent="0.2">
      <c r="A12437" s="350">
        <v>2026</v>
      </c>
      <c r="B12437" s="350">
        <v>1</v>
      </c>
      <c r="C12437" s="350">
        <v>8</v>
      </c>
      <c r="D12437" s="351">
        <f t="shared" si="1781"/>
        <v>46030</v>
      </c>
      <c r="E12437" s="352">
        <f t="shared" si="1782"/>
        <v>46030</v>
      </c>
      <c r="F12437" s="519"/>
      <c r="G12437" s="353" t="s">
        <v>1245</v>
      </c>
      <c r="H12437" s="354"/>
      <c r="I12437" s="354" t="s">
        <v>1253</v>
      </c>
      <c r="J12437" s="350" t="s">
        <v>1979</v>
      </c>
      <c r="K12437" s="355"/>
      <c r="L12437" s="355">
        <f>K12436</f>
        <v>21249.725274725275</v>
      </c>
    </row>
    <row r="12438" spans="1:16" ht="11.25" customHeight="1" x14ac:dyDescent="0.2">
      <c r="A12438" s="344">
        <v>2026</v>
      </c>
      <c r="B12438" s="344">
        <v>1</v>
      </c>
      <c r="C12438" s="344">
        <v>8</v>
      </c>
      <c r="D12438" s="345">
        <f t="shared" si="1781"/>
        <v>46030</v>
      </c>
      <c r="E12438" s="346">
        <f t="shared" si="1782"/>
        <v>46030</v>
      </c>
      <c r="F12438" s="518" t="s">
        <v>2009</v>
      </c>
      <c r="G12438" s="347" t="s">
        <v>1245</v>
      </c>
      <c r="H12438" s="348"/>
      <c r="I12438" s="348" t="s">
        <v>1253</v>
      </c>
      <c r="J12438" s="344" t="s">
        <v>2004</v>
      </c>
      <c r="K12438" s="349">
        <v>7098.9014285714284</v>
      </c>
      <c r="L12438" s="349"/>
      <c r="M12438" s="455"/>
    </row>
    <row r="12439" spans="1:16" ht="11.25" customHeight="1" x14ac:dyDescent="0.2">
      <c r="A12439" s="350">
        <v>2026</v>
      </c>
      <c r="B12439" s="350">
        <v>1</v>
      </c>
      <c r="C12439" s="350">
        <v>8</v>
      </c>
      <c r="D12439" s="351">
        <f t="shared" si="1781"/>
        <v>46030</v>
      </c>
      <c r="E12439" s="352">
        <f t="shared" si="1782"/>
        <v>46030</v>
      </c>
      <c r="F12439" s="519"/>
      <c r="G12439" s="353" t="s">
        <v>1245</v>
      </c>
      <c r="H12439" s="354"/>
      <c r="I12439" s="354" t="s">
        <v>1253</v>
      </c>
      <c r="J12439" s="350" t="s">
        <v>2008</v>
      </c>
      <c r="K12439" s="355"/>
      <c r="L12439" s="355">
        <f t="shared" ref="L12439" si="1783">K12438</f>
        <v>7098.9014285714284</v>
      </c>
    </row>
    <row r="12440" spans="1:16" ht="11.25" customHeight="1" x14ac:dyDescent="0.2">
      <c r="A12440" s="344">
        <v>2026</v>
      </c>
      <c r="B12440" s="344">
        <v>1</v>
      </c>
      <c r="C12440" s="344">
        <v>8</v>
      </c>
      <c r="D12440" s="345">
        <f t="shared" si="1781"/>
        <v>46030</v>
      </c>
      <c r="E12440" s="346">
        <f t="shared" si="1782"/>
        <v>46030</v>
      </c>
      <c r="F12440" s="518" t="s">
        <v>2009</v>
      </c>
      <c r="G12440" s="347" t="s">
        <v>1245</v>
      </c>
      <c r="H12440" s="348"/>
      <c r="I12440" s="348" t="s">
        <v>1253</v>
      </c>
      <c r="J12440" s="344" t="s">
        <v>2004</v>
      </c>
      <c r="K12440" s="349">
        <v>7098.9014285714284</v>
      </c>
      <c r="L12440" s="349"/>
      <c r="M12440" s="455"/>
    </row>
    <row r="12441" spans="1:16" ht="11.25" customHeight="1" x14ac:dyDescent="0.2">
      <c r="A12441" s="350">
        <v>2026</v>
      </c>
      <c r="B12441" s="350">
        <v>1</v>
      </c>
      <c r="C12441" s="350">
        <v>8</v>
      </c>
      <c r="D12441" s="351">
        <f t="shared" si="1781"/>
        <v>46030</v>
      </c>
      <c r="E12441" s="352">
        <f t="shared" si="1782"/>
        <v>46030</v>
      </c>
      <c r="F12441" s="519"/>
      <c r="G12441" s="353" t="s">
        <v>1245</v>
      </c>
      <c r="H12441" s="354"/>
      <c r="I12441" s="354" t="s">
        <v>1253</v>
      </c>
      <c r="J12441" s="350" t="s">
        <v>2008</v>
      </c>
      <c r="K12441" s="355"/>
      <c r="L12441" s="355">
        <f t="shared" ref="L12441" si="1784">K12440</f>
        <v>7098.9014285714284</v>
      </c>
    </row>
    <row r="12442" spans="1:16" ht="11.25" customHeight="1" x14ac:dyDescent="0.2">
      <c r="A12442" s="344">
        <v>2026</v>
      </c>
      <c r="B12442" s="344">
        <v>1</v>
      </c>
      <c r="C12442" s="344">
        <v>8</v>
      </c>
      <c r="D12442" s="345">
        <f t="shared" si="1781"/>
        <v>46030</v>
      </c>
      <c r="E12442" s="346">
        <f t="shared" si="1782"/>
        <v>46030</v>
      </c>
      <c r="F12442" s="518" t="s">
        <v>2088</v>
      </c>
      <c r="G12442" s="347" t="s">
        <v>1245</v>
      </c>
      <c r="H12442" s="348"/>
      <c r="I12442" s="348" t="s">
        <v>1253</v>
      </c>
      <c r="J12442" s="344" t="s">
        <v>2086</v>
      </c>
      <c r="K12442" s="349">
        <v>1789.835164835165</v>
      </c>
      <c r="L12442" s="349"/>
      <c r="M12442" s="455"/>
    </row>
    <row r="12443" spans="1:16" ht="11.25" customHeight="1" x14ac:dyDescent="0.2">
      <c r="A12443" s="350">
        <v>2026</v>
      </c>
      <c r="B12443" s="350">
        <v>1</v>
      </c>
      <c r="C12443" s="350">
        <v>8</v>
      </c>
      <c r="D12443" s="351">
        <f t="shared" si="1781"/>
        <v>46030</v>
      </c>
      <c r="E12443" s="352">
        <f t="shared" si="1782"/>
        <v>46030</v>
      </c>
      <c r="F12443" s="519"/>
      <c r="G12443" s="353" t="s">
        <v>1245</v>
      </c>
      <c r="H12443" s="354"/>
      <c r="I12443" s="354" t="s">
        <v>1253</v>
      </c>
      <c r="J12443" s="350" t="s">
        <v>2089</v>
      </c>
      <c r="K12443" s="355"/>
      <c r="L12443" s="355">
        <f>K12442</f>
        <v>1789.835164835165</v>
      </c>
    </row>
    <row r="12444" spans="1:16" ht="11.25" customHeight="1" x14ac:dyDescent="0.2">
      <c r="A12444" s="344">
        <v>2026</v>
      </c>
      <c r="B12444" s="344">
        <v>1</v>
      </c>
      <c r="C12444" s="344">
        <v>8</v>
      </c>
      <c r="D12444" s="345">
        <f t="shared" si="1781"/>
        <v>46030</v>
      </c>
      <c r="E12444" s="346">
        <f>DATE(A12444,B12444,C12444)</f>
        <v>46030</v>
      </c>
      <c r="F12444" s="518" t="s">
        <v>1988</v>
      </c>
      <c r="G12444" s="347" t="s">
        <v>1245</v>
      </c>
      <c r="H12444" s="348"/>
      <c r="I12444" s="348" t="s">
        <v>1253</v>
      </c>
      <c r="J12444" s="344" t="s">
        <v>113</v>
      </c>
      <c r="K12444" s="349">
        <v>4692.3071428571429</v>
      </c>
      <c r="L12444" s="349"/>
      <c r="M12444" s="455"/>
    </row>
    <row r="12445" spans="1:16" ht="11.25" customHeight="1" x14ac:dyDescent="0.2">
      <c r="A12445" s="350">
        <v>2026</v>
      </c>
      <c r="B12445" s="350">
        <v>1</v>
      </c>
      <c r="C12445" s="350">
        <v>8</v>
      </c>
      <c r="D12445" s="351">
        <f t="shared" si="1781"/>
        <v>46030</v>
      </c>
      <c r="E12445" s="352">
        <f>DATE(A12445,B12445,C12445)</f>
        <v>46030</v>
      </c>
      <c r="F12445" s="519"/>
      <c r="G12445" s="353" t="s">
        <v>1245</v>
      </c>
      <c r="H12445" s="354"/>
      <c r="I12445" s="354" t="s">
        <v>1253</v>
      </c>
      <c r="J12445" s="350" t="s">
        <v>153</v>
      </c>
      <c r="K12445" s="355"/>
      <c r="L12445" s="355">
        <f t="shared" ref="L12445" si="1785">K12444</f>
        <v>4692.3071428571429</v>
      </c>
    </row>
    <row r="12446" spans="1:16" ht="11.25" customHeight="1" x14ac:dyDescent="0.2">
      <c r="A12446" s="344">
        <v>2026</v>
      </c>
      <c r="B12446" s="344">
        <v>1</v>
      </c>
      <c r="C12446" s="344">
        <v>8</v>
      </c>
      <c r="D12446" s="345">
        <f t="shared" si="1781"/>
        <v>46030</v>
      </c>
      <c r="E12446" s="346">
        <f t="shared" ref="E12446:E12452" si="1786">DATE(A12446,B12446,C12446)</f>
        <v>46030</v>
      </c>
      <c r="F12446" s="518" t="s">
        <v>1989</v>
      </c>
      <c r="G12446" s="347" t="s">
        <v>1245</v>
      </c>
      <c r="H12446" s="348"/>
      <c r="I12446" s="348" t="s">
        <v>1253</v>
      </c>
      <c r="J12446" s="344" t="s">
        <v>113</v>
      </c>
      <c r="K12446" s="349">
        <v>3351.6483516483518</v>
      </c>
      <c r="L12446" s="349"/>
      <c r="M12446" s="455"/>
    </row>
    <row r="12447" spans="1:16" ht="11.25" customHeight="1" x14ac:dyDescent="0.2">
      <c r="A12447" s="350">
        <v>2026</v>
      </c>
      <c r="B12447" s="350">
        <v>1</v>
      </c>
      <c r="C12447" s="350">
        <v>8</v>
      </c>
      <c r="D12447" s="351">
        <f t="shared" si="1781"/>
        <v>46030</v>
      </c>
      <c r="E12447" s="352">
        <f t="shared" si="1786"/>
        <v>46030</v>
      </c>
      <c r="F12447" s="519"/>
      <c r="G12447" s="353" t="s">
        <v>1245</v>
      </c>
      <c r="H12447" s="354"/>
      <c r="I12447" s="354" t="s">
        <v>1253</v>
      </c>
      <c r="J12447" s="350" t="s">
        <v>153</v>
      </c>
      <c r="K12447" s="355"/>
      <c r="L12447" s="355">
        <f t="shared" ref="L12447" si="1787">K12446</f>
        <v>3351.6483516483518</v>
      </c>
    </row>
    <row r="12448" spans="1:16" ht="11.25" customHeight="1" x14ac:dyDescent="0.2">
      <c r="A12448" s="344">
        <v>2026</v>
      </c>
      <c r="B12448" s="344">
        <v>1</v>
      </c>
      <c r="C12448" s="344">
        <v>8</v>
      </c>
      <c r="D12448" s="345">
        <f t="shared" si="1781"/>
        <v>46030</v>
      </c>
      <c r="E12448" s="346">
        <f t="shared" si="1786"/>
        <v>46030</v>
      </c>
      <c r="F12448" s="518" t="s">
        <v>1990</v>
      </c>
      <c r="G12448" s="347" t="s">
        <v>1245</v>
      </c>
      <c r="H12448" s="348"/>
      <c r="I12448" s="348" t="s">
        <v>1253</v>
      </c>
      <c r="J12448" s="344" t="s">
        <v>113</v>
      </c>
      <c r="K12448" s="349">
        <v>10054.945714285714</v>
      </c>
      <c r="L12448" s="349"/>
      <c r="M12448" s="455"/>
      <c r="N12448" s="251"/>
      <c r="O12448" s="251"/>
      <c r="P12448" s="251"/>
    </row>
    <row r="12449" spans="1:16" ht="11.25" customHeight="1" x14ac:dyDescent="0.2">
      <c r="A12449" s="350">
        <v>2026</v>
      </c>
      <c r="B12449" s="350">
        <v>1</v>
      </c>
      <c r="C12449" s="350">
        <v>8</v>
      </c>
      <c r="D12449" s="351">
        <f t="shared" si="1781"/>
        <v>46030</v>
      </c>
      <c r="E12449" s="352">
        <f t="shared" si="1786"/>
        <v>46030</v>
      </c>
      <c r="F12449" s="519"/>
      <c r="G12449" s="353" t="s">
        <v>1245</v>
      </c>
      <c r="H12449" s="354"/>
      <c r="I12449" s="354" t="s">
        <v>1253</v>
      </c>
      <c r="J12449" s="350" t="s">
        <v>153</v>
      </c>
      <c r="K12449" s="355"/>
      <c r="L12449" s="355">
        <f t="shared" ref="L12449" si="1788">K12448</f>
        <v>10054.945714285714</v>
      </c>
    </row>
    <row r="12450" spans="1:16" ht="11.25" customHeight="1" x14ac:dyDescent="0.2">
      <c r="A12450" s="344">
        <v>2026</v>
      </c>
      <c r="B12450" s="344">
        <v>1</v>
      </c>
      <c r="C12450" s="344">
        <v>8</v>
      </c>
      <c r="D12450" s="345">
        <f t="shared" si="1781"/>
        <v>46030</v>
      </c>
      <c r="E12450" s="346">
        <f t="shared" si="1786"/>
        <v>46030</v>
      </c>
      <c r="F12450" s="518" t="s">
        <v>2107</v>
      </c>
      <c r="G12450" s="347" t="s">
        <v>1245</v>
      </c>
      <c r="H12450" s="348"/>
      <c r="I12450" s="348" t="s">
        <v>1253</v>
      </c>
      <c r="J12450" s="344" t="s">
        <v>113</v>
      </c>
      <c r="K12450" s="349">
        <v>12370.879120879121</v>
      </c>
      <c r="L12450" s="349"/>
      <c r="M12450" s="455"/>
      <c r="N12450" s="251"/>
      <c r="O12450" s="251"/>
      <c r="P12450" s="251"/>
    </row>
    <row r="12451" spans="1:16" ht="11.25" customHeight="1" x14ac:dyDescent="0.2">
      <c r="A12451" s="350">
        <v>2026</v>
      </c>
      <c r="B12451" s="350">
        <v>1</v>
      </c>
      <c r="C12451" s="350">
        <v>8</v>
      </c>
      <c r="D12451" s="351">
        <f t="shared" si="1781"/>
        <v>46030</v>
      </c>
      <c r="E12451" s="352">
        <f t="shared" si="1786"/>
        <v>46030</v>
      </c>
      <c r="F12451" s="519"/>
      <c r="G12451" s="353" t="s">
        <v>1245</v>
      </c>
      <c r="H12451" s="354"/>
      <c r="I12451" s="354" t="s">
        <v>1253</v>
      </c>
      <c r="J12451" s="350" t="s">
        <v>153</v>
      </c>
      <c r="K12451" s="355"/>
      <c r="L12451" s="355">
        <f t="shared" ref="L12451" si="1789">K12450</f>
        <v>12370.879120879121</v>
      </c>
    </row>
    <row r="12452" spans="1:16" ht="11.25" customHeight="1" x14ac:dyDescent="0.2">
      <c r="A12452" s="210">
        <v>2026</v>
      </c>
      <c r="B12452" s="210">
        <v>1</v>
      </c>
      <c r="C12452" s="210">
        <v>8</v>
      </c>
      <c r="D12452" s="211">
        <f t="shared" si="1781"/>
        <v>46030</v>
      </c>
      <c r="E12452" s="238">
        <f t="shared" si="1786"/>
        <v>46030</v>
      </c>
      <c r="F12452" s="520" t="s">
        <v>1857</v>
      </c>
      <c r="G12452" s="213" t="s">
        <v>1245</v>
      </c>
      <c r="H12452" s="214"/>
      <c r="I12452" s="214" t="s">
        <v>1253</v>
      </c>
      <c r="J12452" s="210" t="s">
        <v>1284</v>
      </c>
      <c r="K12452" s="215">
        <v>334.54448777029421</v>
      </c>
      <c r="L12452" s="215"/>
      <c r="M12452" s="455"/>
    </row>
    <row r="12453" spans="1:16" ht="11.25" customHeight="1" x14ac:dyDescent="0.2">
      <c r="A12453" s="242">
        <v>2026</v>
      </c>
      <c r="B12453" s="242">
        <v>1</v>
      </c>
      <c r="C12453" s="242">
        <v>8</v>
      </c>
      <c r="D12453" s="243">
        <f t="shared" si="1781"/>
        <v>46030</v>
      </c>
      <c r="E12453" s="244">
        <f>DATE(A12453,B12453,C12453)</f>
        <v>46030</v>
      </c>
      <c r="F12453" s="524"/>
      <c r="G12453" s="245" t="s">
        <v>1245</v>
      </c>
      <c r="H12453" s="246"/>
      <c r="I12453" s="246"/>
      <c r="J12453" s="242" t="s">
        <v>1582</v>
      </c>
      <c r="K12453" s="247"/>
      <c r="L12453" s="247">
        <f>K12452</f>
        <v>334.54448777029421</v>
      </c>
    </row>
    <row r="12454" spans="1:16" ht="11.25" customHeight="1" x14ac:dyDescent="0.2">
      <c r="A12454" s="210">
        <v>2026</v>
      </c>
      <c r="B12454" s="210">
        <v>1</v>
      </c>
      <c r="C12454" s="210">
        <v>8</v>
      </c>
      <c r="D12454" s="211">
        <f t="shared" si="1781"/>
        <v>46030</v>
      </c>
      <c r="E12454" s="238">
        <f t="shared" ref="E12454:E12482" si="1790">DATE(A12454,B12454,C12454)</f>
        <v>46030</v>
      </c>
      <c r="F12454" s="520" t="s">
        <v>2055</v>
      </c>
      <c r="G12454" s="213" t="s">
        <v>1245</v>
      </c>
      <c r="H12454" s="214"/>
      <c r="I12454" s="214" t="s">
        <v>1253</v>
      </c>
      <c r="J12454" s="210" t="s">
        <v>58</v>
      </c>
      <c r="K12454" s="215">
        <v>413.61</v>
      </c>
      <c r="L12454" s="215"/>
    </row>
    <row r="12455" spans="1:16" ht="11.25" customHeight="1" x14ac:dyDescent="0.2">
      <c r="A12455" s="216">
        <v>2026</v>
      </c>
      <c r="B12455" s="216">
        <v>1</v>
      </c>
      <c r="C12455" s="216">
        <v>8</v>
      </c>
      <c r="D12455" s="217">
        <f t="shared" si="1781"/>
        <v>46030</v>
      </c>
      <c r="E12455" s="239">
        <f t="shared" si="1790"/>
        <v>46030</v>
      </c>
      <c r="F12455" s="521"/>
      <c r="G12455" s="219" t="s">
        <v>1245</v>
      </c>
      <c r="H12455" s="220"/>
      <c r="I12455" s="220" t="s">
        <v>1253</v>
      </c>
      <c r="J12455" s="216" t="s">
        <v>153</v>
      </c>
      <c r="K12455" s="221"/>
      <c r="L12455" s="221">
        <f>K12454</f>
        <v>413.61</v>
      </c>
    </row>
    <row r="12456" spans="1:16" ht="11.25" customHeight="1" x14ac:dyDescent="0.2">
      <c r="A12456" s="312">
        <v>2026</v>
      </c>
      <c r="B12456" s="312">
        <v>1</v>
      </c>
      <c r="C12456" s="312">
        <v>8</v>
      </c>
      <c r="D12456" s="313">
        <f t="shared" si="1781"/>
        <v>46030</v>
      </c>
      <c r="E12456" s="314">
        <f t="shared" si="1790"/>
        <v>46030</v>
      </c>
      <c r="F12456" s="522" t="s">
        <v>1595</v>
      </c>
      <c r="G12456" s="315" t="s">
        <v>1245</v>
      </c>
      <c r="H12456" s="316"/>
      <c r="I12456" s="316" t="s">
        <v>1253</v>
      </c>
      <c r="J12456" s="312" t="s">
        <v>1461</v>
      </c>
      <c r="K12456" s="317">
        <v>98907.512000203133</v>
      </c>
      <c r="L12456" s="317"/>
      <c r="M12456" s="328">
        <f>BS!$I$14</f>
        <v>0</v>
      </c>
    </row>
    <row r="12457" spans="1:16" ht="11.25" customHeight="1" x14ac:dyDescent="0.2">
      <c r="A12457" s="318">
        <v>2026</v>
      </c>
      <c r="B12457" s="318">
        <v>1</v>
      </c>
      <c r="C12457" s="318">
        <v>8</v>
      </c>
      <c r="D12457" s="319">
        <f t="shared" si="1781"/>
        <v>46030</v>
      </c>
      <c r="E12457" s="320">
        <f t="shared" si="1790"/>
        <v>46030</v>
      </c>
      <c r="F12457" s="523"/>
      <c r="G12457" s="321" t="s">
        <v>1245</v>
      </c>
      <c r="H12457" s="322"/>
      <c r="I12457" s="322" t="s">
        <v>1253</v>
      </c>
      <c r="J12457" s="318" t="s">
        <v>1459</v>
      </c>
      <c r="K12457" s="323"/>
      <c r="L12457" s="323">
        <f>K12456</f>
        <v>98907.512000203133</v>
      </c>
      <c r="M12457" s="328"/>
    </row>
    <row r="12458" spans="1:16" ht="11.25" customHeight="1" x14ac:dyDescent="0.2">
      <c r="A12458" s="222">
        <v>2026</v>
      </c>
      <c r="B12458" s="222">
        <v>1</v>
      </c>
      <c r="C12458" s="222">
        <v>8</v>
      </c>
      <c r="D12458" s="223">
        <f t="shared" si="1781"/>
        <v>46030</v>
      </c>
      <c r="E12458" s="240">
        <f t="shared" si="1790"/>
        <v>46030</v>
      </c>
      <c r="F12458" s="511" t="s">
        <v>1244</v>
      </c>
      <c r="G12458" s="225" t="s">
        <v>1245</v>
      </c>
      <c r="H12458" s="226"/>
      <c r="I12458" s="226" t="s">
        <v>1253</v>
      </c>
      <c r="J12458" s="222" t="s">
        <v>87</v>
      </c>
      <c r="K12458" s="227">
        <v>5213.5</v>
      </c>
      <c r="L12458" s="227"/>
      <c r="M12458" s="328">
        <f>BS!$I$7</f>
        <v>0</v>
      </c>
    </row>
    <row r="12459" spans="1:16" ht="11.25" customHeight="1" x14ac:dyDescent="0.2">
      <c r="A12459" s="228">
        <v>2026</v>
      </c>
      <c r="B12459" s="228">
        <v>1</v>
      </c>
      <c r="C12459" s="228">
        <v>8</v>
      </c>
      <c r="D12459" s="229">
        <f t="shared" si="1781"/>
        <v>46030</v>
      </c>
      <c r="E12459" s="241">
        <f t="shared" si="1790"/>
        <v>46030</v>
      </c>
      <c r="F12459" s="512"/>
      <c r="G12459" s="231" t="s">
        <v>1245</v>
      </c>
      <c r="H12459" s="232"/>
      <c r="I12459" s="232" t="s">
        <v>1253</v>
      </c>
      <c r="J12459" s="228" t="s">
        <v>72</v>
      </c>
      <c r="K12459" s="233"/>
      <c r="L12459" s="233">
        <f>K12458</f>
        <v>5213.5</v>
      </c>
    </row>
    <row r="12460" spans="1:16" ht="11.25" customHeight="1" x14ac:dyDescent="0.2">
      <c r="A12460" s="222">
        <v>2026</v>
      </c>
      <c r="B12460" s="222">
        <v>1</v>
      </c>
      <c r="C12460" s="222">
        <v>8</v>
      </c>
      <c r="D12460" s="223">
        <f t="shared" si="1781"/>
        <v>46030</v>
      </c>
      <c r="E12460" s="240">
        <f t="shared" si="1790"/>
        <v>46030</v>
      </c>
      <c r="F12460" s="511" t="s">
        <v>1246</v>
      </c>
      <c r="G12460" s="225" t="s">
        <v>1245</v>
      </c>
      <c r="H12460" s="226"/>
      <c r="I12460" s="226" t="s">
        <v>1253</v>
      </c>
      <c r="J12460" s="222" t="s">
        <v>75</v>
      </c>
      <c r="K12460" s="227">
        <v>517.58912087912086</v>
      </c>
      <c r="L12460" s="227"/>
      <c r="M12460" s="455"/>
    </row>
    <row r="12461" spans="1:16" ht="11.25" customHeight="1" x14ac:dyDescent="0.2">
      <c r="A12461" s="228">
        <v>2026</v>
      </c>
      <c r="B12461" s="228">
        <v>1</v>
      </c>
      <c r="C12461" s="228">
        <v>8</v>
      </c>
      <c r="D12461" s="229">
        <f t="shared" si="1781"/>
        <v>46030</v>
      </c>
      <c r="E12461" s="241">
        <f t="shared" si="1790"/>
        <v>46030</v>
      </c>
      <c r="F12461" s="512"/>
      <c r="G12461" s="231" t="s">
        <v>1245</v>
      </c>
      <c r="H12461" s="232"/>
      <c r="I12461" s="232" t="s">
        <v>1253</v>
      </c>
      <c r="J12461" s="228" t="s">
        <v>55</v>
      </c>
      <c r="K12461" s="233"/>
      <c r="L12461" s="233">
        <f>K12460</f>
        <v>517.58912087912086</v>
      </c>
    </row>
    <row r="12462" spans="1:16" ht="11.25" customHeight="1" x14ac:dyDescent="0.2">
      <c r="A12462" s="222">
        <v>2026</v>
      </c>
      <c r="B12462" s="222">
        <v>1</v>
      </c>
      <c r="C12462" s="222">
        <v>8</v>
      </c>
      <c r="D12462" s="223">
        <f t="shared" si="1781"/>
        <v>46030</v>
      </c>
      <c r="E12462" s="240">
        <f t="shared" si="1790"/>
        <v>46030</v>
      </c>
      <c r="F12462" s="511" t="s">
        <v>1247</v>
      </c>
      <c r="G12462" s="225" t="s">
        <v>1245</v>
      </c>
      <c r="H12462" s="226"/>
      <c r="I12462" s="226" t="s">
        <v>1253</v>
      </c>
      <c r="J12462" s="222" t="s">
        <v>77</v>
      </c>
      <c r="K12462" s="227">
        <f>M12462</f>
        <v>7356.7596267738863</v>
      </c>
      <c r="L12462" s="227"/>
      <c r="M12462" s="478">
        <v>7356.7596267738863</v>
      </c>
    </row>
    <row r="12463" spans="1:16" ht="11.25" customHeight="1" x14ac:dyDescent="0.2">
      <c r="A12463" s="228">
        <v>2026</v>
      </c>
      <c r="B12463" s="228">
        <v>1</v>
      </c>
      <c r="C12463" s="228">
        <v>8</v>
      </c>
      <c r="D12463" s="229">
        <f t="shared" si="1781"/>
        <v>46030</v>
      </c>
      <c r="E12463" s="241">
        <f t="shared" si="1790"/>
        <v>46030</v>
      </c>
      <c r="F12463" s="512"/>
      <c r="G12463" s="231" t="s">
        <v>1245</v>
      </c>
      <c r="H12463" s="232"/>
      <c r="I12463" s="232" t="s">
        <v>1253</v>
      </c>
      <c r="J12463" s="228" t="s">
        <v>41</v>
      </c>
      <c r="K12463" s="233"/>
      <c r="L12463" s="233">
        <f>K12462</f>
        <v>7356.7596267738863</v>
      </c>
      <c r="M12463" s="478">
        <v>735.67596267738884</v>
      </c>
      <c r="N12463" s="251"/>
    </row>
    <row r="12464" spans="1:16" ht="11.25" customHeight="1" x14ac:dyDescent="0.2">
      <c r="A12464" s="222">
        <v>2026</v>
      </c>
      <c r="B12464" s="222">
        <v>1</v>
      </c>
      <c r="C12464" s="222">
        <v>8</v>
      </c>
      <c r="D12464" s="223">
        <f t="shared" si="1781"/>
        <v>46030</v>
      </c>
      <c r="E12464" s="240">
        <f t="shared" si="1790"/>
        <v>46030</v>
      </c>
      <c r="F12464" s="511" t="s">
        <v>1248</v>
      </c>
      <c r="G12464" s="225" t="s">
        <v>1245</v>
      </c>
      <c r="H12464" s="226"/>
      <c r="I12464" s="226" t="s">
        <v>1253</v>
      </c>
      <c r="J12464" s="222" t="s">
        <v>80</v>
      </c>
      <c r="K12464" s="227">
        <f>M12463</f>
        <v>735.67596267738884</v>
      </c>
      <c r="L12464" s="227"/>
      <c r="N12464" s="251"/>
      <c r="O12464" s="251"/>
    </row>
    <row r="12465" spans="1:14" ht="11.25" customHeight="1" x14ac:dyDescent="0.2">
      <c r="A12465" s="228">
        <v>2026</v>
      </c>
      <c r="B12465" s="228">
        <v>1</v>
      </c>
      <c r="C12465" s="228">
        <v>8</v>
      </c>
      <c r="D12465" s="229">
        <f t="shared" si="1781"/>
        <v>46030</v>
      </c>
      <c r="E12465" s="241">
        <f t="shared" si="1790"/>
        <v>46030</v>
      </c>
      <c r="F12465" s="512"/>
      <c r="G12465" s="231" t="s">
        <v>1245</v>
      </c>
      <c r="H12465" s="232"/>
      <c r="I12465" s="232" t="s">
        <v>1253</v>
      </c>
      <c r="J12465" s="228" t="s">
        <v>42</v>
      </c>
      <c r="K12465" s="233"/>
      <c r="L12465" s="233">
        <f>K12464</f>
        <v>735.67596267738884</v>
      </c>
      <c r="N12465" s="251"/>
    </row>
    <row r="12466" spans="1:14" x14ac:dyDescent="0.2">
      <c r="A12466" s="197">
        <v>2026</v>
      </c>
      <c r="B12466" s="197">
        <v>1</v>
      </c>
      <c r="C12466" s="197">
        <v>11</v>
      </c>
      <c r="D12466" s="198">
        <f t="shared" si="1781"/>
        <v>46033</v>
      </c>
      <c r="E12466" s="209">
        <f t="shared" si="1790"/>
        <v>46033</v>
      </c>
      <c r="F12466" s="513" t="s">
        <v>2113</v>
      </c>
      <c r="G12466" s="200" t="s">
        <v>1209</v>
      </c>
      <c r="H12466" s="201"/>
      <c r="I12466" s="201"/>
      <c r="J12466" s="197" t="s">
        <v>46</v>
      </c>
      <c r="K12466" s="202">
        <v>5000</v>
      </c>
      <c r="L12466" s="202"/>
    </row>
    <row r="12467" spans="1:14" x14ac:dyDescent="0.2">
      <c r="A12467" s="120">
        <v>2026</v>
      </c>
      <c r="B12467" s="120">
        <v>1</v>
      </c>
      <c r="C12467" s="120">
        <v>11</v>
      </c>
      <c r="D12467" s="208">
        <f t="shared" si="1781"/>
        <v>46033</v>
      </c>
      <c r="E12467" s="209">
        <f t="shared" si="1790"/>
        <v>46033</v>
      </c>
      <c r="F12467" s="515"/>
      <c r="G12467" s="132" t="s">
        <v>1209</v>
      </c>
      <c r="J12467" s="120" t="s">
        <v>16</v>
      </c>
      <c r="K12467" s="207"/>
      <c r="L12467" s="207">
        <v>3620</v>
      </c>
    </row>
    <row r="12468" spans="1:14" x14ac:dyDescent="0.2">
      <c r="A12468" s="191">
        <v>2026</v>
      </c>
      <c r="B12468" s="191">
        <v>1</v>
      </c>
      <c r="C12468" s="191">
        <v>11</v>
      </c>
      <c r="D12468" s="192">
        <f t="shared" si="1781"/>
        <v>46033</v>
      </c>
      <c r="E12468" s="193">
        <f t="shared" si="1790"/>
        <v>46033</v>
      </c>
      <c r="F12468" s="514"/>
      <c r="G12468" s="194" t="s">
        <v>1209</v>
      </c>
      <c r="H12468" s="195"/>
      <c r="I12468" s="195"/>
      <c r="J12468" s="191" t="s">
        <v>47</v>
      </c>
      <c r="K12468" s="196"/>
      <c r="L12468" s="196">
        <v>1380</v>
      </c>
    </row>
    <row r="12469" spans="1:14" ht="11.25" customHeight="1" x14ac:dyDescent="0.2">
      <c r="A12469" s="197">
        <v>2026</v>
      </c>
      <c r="B12469" s="197">
        <v>1</v>
      </c>
      <c r="C12469" s="197">
        <v>11</v>
      </c>
      <c r="D12469" s="198">
        <f t="shared" si="1781"/>
        <v>46033</v>
      </c>
      <c r="E12469" s="290">
        <f t="shared" si="1790"/>
        <v>46033</v>
      </c>
      <c r="F12469" s="513" t="s">
        <v>2128</v>
      </c>
      <c r="G12469" s="200" t="s">
        <v>1209</v>
      </c>
      <c r="H12469" s="201"/>
      <c r="I12469" s="201" t="s">
        <v>1253</v>
      </c>
      <c r="J12469" s="197" t="s">
        <v>46</v>
      </c>
      <c r="K12469" s="202">
        <v>58000</v>
      </c>
      <c r="L12469" s="202"/>
    </row>
    <row r="12470" spans="1:14" ht="11.25" customHeight="1" x14ac:dyDescent="0.2">
      <c r="A12470" s="191">
        <v>2026</v>
      </c>
      <c r="B12470" s="191">
        <v>1</v>
      </c>
      <c r="C12470" s="191">
        <v>11</v>
      </c>
      <c r="D12470" s="192">
        <f t="shared" si="1781"/>
        <v>46033</v>
      </c>
      <c r="E12470" s="291">
        <f t="shared" si="1790"/>
        <v>46033</v>
      </c>
      <c r="F12470" s="514"/>
      <c r="G12470" s="194" t="s">
        <v>1209</v>
      </c>
      <c r="H12470" s="195"/>
      <c r="I12470" s="195"/>
      <c r="J12470" s="191" t="s">
        <v>1845</v>
      </c>
      <c r="K12470" s="196"/>
      <c r="L12470" s="196">
        <f>K12469</f>
        <v>58000</v>
      </c>
    </row>
    <row r="12471" spans="1:14" x14ac:dyDescent="0.2">
      <c r="A12471" s="424">
        <v>2026</v>
      </c>
      <c r="B12471" s="424">
        <v>1</v>
      </c>
      <c r="C12471" s="424">
        <v>11</v>
      </c>
      <c r="D12471" s="425">
        <f t="shared" si="1781"/>
        <v>46033</v>
      </c>
      <c r="E12471" s="384">
        <f t="shared" si="1790"/>
        <v>46033</v>
      </c>
      <c r="F12471" s="516" t="s">
        <v>1850</v>
      </c>
      <c r="G12471" s="426" t="s">
        <v>1209</v>
      </c>
      <c r="H12471" s="427"/>
      <c r="I12471" s="427"/>
      <c r="J12471" s="428" t="s">
        <v>81</v>
      </c>
      <c r="K12471" s="429">
        <v>4787.4520879120882</v>
      </c>
      <c r="L12471" s="429"/>
      <c r="M12471" s="455"/>
    </row>
    <row r="12472" spans="1:14" x14ac:dyDescent="0.2">
      <c r="A12472" s="389">
        <v>2026</v>
      </c>
      <c r="B12472" s="389">
        <v>1</v>
      </c>
      <c r="C12472" s="389">
        <v>11</v>
      </c>
      <c r="D12472" s="390">
        <f t="shared" si="1781"/>
        <v>46033</v>
      </c>
      <c r="E12472" s="391">
        <f t="shared" si="1790"/>
        <v>46033</v>
      </c>
      <c r="F12472" s="517"/>
      <c r="G12472" s="392" t="s">
        <v>1209</v>
      </c>
      <c r="H12472" s="393"/>
      <c r="I12472" s="393"/>
      <c r="J12472" s="394" t="s">
        <v>1847</v>
      </c>
      <c r="K12472" s="423"/>
      <c r="L12472" s="423">
        <f>K12471</f>
        <v>4787.4520879120882</v>
      </c>
    </row>
    <row r="12473" spans="1:14" ht="11.25" customHeight="1" x14ac:dyDescent="0.2">
      <c r="A12473" s="382">
        <v>2026</v>
      </c>
      <c r="B12473" s="382">
        <v>1</v>
      </c>
      <c r="C12473" s="382">
        <v>11</v>
      </c>
      <c r="D12473" s="383">
        <f t="shared" si="1781"/>
        <v>46033</v>
      </c>
      <c r="E12473" s="384">
        <f t="shared" si="1790"/>
        <v>46033</v>
      </c>
      <c r="F12473" s="516" t="s">
        <v>1892</v>
      </c>
      <c r="G12473" s="385" t="s">
        <v>1209</v>
      </c>
      <c r="H12473" s="386"/>
      <c r="I12473" s="386"/>
      <c r="J12473" s="387" t="s">
        <v>173</v>
      </c>
      <c r="K12473" s="388">
        <v>1890.01</v>
      </c>
      <c r="L12473" s="388"/>
      <c r="M12473" s="455"/>
    </row>
    <row r="12474" spans="1:14" ht="11.25" customHeight="1" x14ac:dyDescent="0.2">
      <c r="A12474" s="389">
        <v>2026</v>
      </c>
      <c r="B12474" s="389">
        <v>1</v>
      </c>
      <c r="C12474" s="389">
        <v>11</v>
      </c>
      <c r="D12474" s="390">
        <f t="shared" si="1781"/>
        <v>46033</v>
      </c>
      <c r="E12474" s="391">
        <f t="shared" si="1790"/>
        <v>46033</v>
      </c>
      <c r="F12474" s="517"/>
      <c r="G12474" s="392" t="s">
        <v>1209</v>
      </c>
      <c r="H12474" s="393"/>
      <c r="I12474" s="393"/>
      <c r="J12474" s="394" t="s">
        <v>43</v>
      </c>
      <c r="K12474" s="388"/>
      <c r="L12474" s="423">
        <f>K12473</f>
        <v>1890.01</v>
      </c>
    </row>
    <row r="12475" spans="1:14" ht="11.25" customHeight="1" x14ac:dyDescent="0.2">
      <c r="A12475" s="344">
        <v>2026</v>
      </c>
      <c r="B12475" s="344">
        <v>1</v>
      </c>
      <c r="C12475" s="344">
        <v>11</v>
      </c>
      <c r="D12475" s="345">
        <f t="shared" si="1781"/>
        <v>46033</v>
      </c>
      <c r="E12475" s="346">
        <f t="shared" si="1790"/>
        <v>46033</v>
      </c>
      <c r="F12475" s="518" t="s">
        <v>1982</v>
      </c>
      <c r="G12475" s="347" t="s">
        <v>1245</v>
      </c>
      <c r="H12475" s="348"/>
      <c r="I12475" s="348" t="s">
        <v>1253</v>
      </c>
      <c r="J12475" s="344" t="s">
        <v>1978</v>
      </c>
      <c r="K12475" s="349">
        <v>63749.175824175822</v>
      </c>
      <c r="L12475" s="349"/>
      <c r="M12475" s="455"/>
    </row>
    <row r="12476" spans="1:14" ht="11.25" customHeight="1" x14ac:dyDescent="0.2">
      <c r="A12476" s="350">
        <v>2026</v>
      </c>
      <c r="B12476" s="350">
        <v>1</v>
      </c>
      <c r="C12476" s="350">
        <v>11</v>
      </c>
      <c r="D12476" s="351">
        <f t="shared" si="1781"/>
        <v>46033</v>
      </c>
      <c r="E12476" s="352">
        <f t="shared" si="1790"/>
        <v>46033</v>
      </c>
      <c r="F12476" s="519"/>
      <c r="G12476" s="353" t="s">
        <v>1245</v>
      </c>
      <c r="H12476" s="354"/>
      <c r="I12476" s="354" t="s">
        <v>1253</v>
      </c>
      <c r="J12476" s="350" t="s">
        <v>1979</v>
      </c>
      <c r="K12476" s="355"/>
      <c r="L12476" s="355">
        <f>K12475</f>
        <v>63749.175824175822</v>
      </c>
    </row>
    <row r="12477" spans="1:14" ht="11.25" customHeight="1" x14ac:dyDescent="0.2">
      <c r="A12477" s="344">
        <v>2026</v>
      </c>
      <c r="B12477" s="344">
        <v>1</v>
      </c>
      <c r="C12477" s="344">
        <v>11</v>
      </c>
      <c r="D12477" s="345">
        <f t="shared" si="1781"/>
        <v>46033</v>
      </c>
      <c r="E12477" s="346">
        <f t="shared" si="1790"/>
        <v>46033</v>
      </c>
      <c r="F12477" s="518" t="s">
        <v>2009</v>
      </c>
      <c r="G12477" s="347" t="s">
        <v>1245</v>
      </c>
      <c r="H12477" s="348"/>
      <c r="I12477" s="348" t="s">
        <v>1253</v>
      </c>
      <c r="J12477" s="344" t="s">
        <v>2004</v>
      </c>
      <c r="K12477" s="349">
        <v>21296.704285714284</v>
      </c>
      <c r="L12477" s="349"/>
      <c r="M12477" s="455"/>
    </row>
    <row r="12478" spans="1:14" ht="11.25" customHeight="1" x14ac:dyDescent="0.2">
      <c r="A12478" s="350">
        <v>2026</v>
      </c>
      <c r="B12478" s="350">
        <v>1</v>
      </c>
      <c r="C12478" s="350">
        <v>11</v>
      </c>
      <c r="D12478" s="351">
        <f t="shared" si="1781"/>
        <v>46033</v>
      </c>
      <c r="E12478" s="352">
        <f t="shared" si="1790"/>
        <v>46033</v>
      </c>
      <c r="F12478" s="519"/>
      <c r="G12478" s="353" t="s">
        <v>1245</v>
      </c>
      <c r="H12478" s="354"/>
      <c r="I12478" s="354" t="s">
        <v>1253</v>
      </c>
      <c r="J12478" s="350" t="s">
        <v>2008</v>
      </c>
      <c r="K12478" s="355"/>
      <c r="L12478" s="355">
        <f t="shared" ref="L12478" si="1791">K12477</f>
        <v>21296.704285714284</v>
      </c>
    </row>
    <row r="12479" spans="1:14" ht="11.25" customHeight="1" x14ac:dyDescent="0.2">
      <c r="A12479" s="344">
        <v>2026</v>
      </c>
      <c r="B12479" s="344">
        <v>1</v>
      </c>
      <c r="C12479" s="344">
        <v>11</v>
      </c>
      <c r="D12479" s="345">
        <f t="shared" si="1781"/>
        <v>46033</v>
      </c>
      <c r="E12479" s="346">
        <f t="shared" si="1790"/>
        <v>46033</v>
      </c>
      <c r="F12479" s="518" t="s">
        <v>2009</v>
      </c>
      <c r="G12479" s="347" t="s">
        <v>1245</v>
      </c>
      <c r="H12479" s="348"/>
      <c r="I12479" s="348" t="s">
        <v>1253</v>
      </c>
      <c r="J12479" s="344" t="s">
        <v>2004</v>
      </c>
      <c r="K12479" s="349">
        <v>21296.704285714284</v>
      </c>
      <c r="L12479" s="349"/>
      <c r="M12479" s="455"/>
    </row>
    <row r="12480" spans="1:14" ht="11.25" customHeight="1" x14ac:dyDescent="0.2">
      <c r="A12480" s="350">
        <v>2026</v>
      </c>
      <c r="B12480" s="350">
        <v>1</v>
      </c>
      <c r="C12480" s="350">
        <v>11</v>
      </c>
      <c r="D12480" s="351">
        <f t="shared" si="1781"/>
        <v>46033</v>
      </c>
      <c r="E12480" s="352">
        <f t="shared" si="1790"/>
        <v>46033</v>
      </c>
      <c r="F12480" s="519"/>
      <c r="G12480" s="353" t="s">
        <v>1245</v>
      </c>
      <c r="H12480" s="354"/>
      <c r="I12480" s="354" t="s">
        <v>1253</v>
      </c>
      <c r="J12480" s="350" t="s">
        <v>2008</v>
      </c>
      <c r="K12480" s="355"/>
      <c r="L12480" s="355">
        <f t="shared" ref="L12480" si="1792">K12479</f>
        <v>21296.704285714284</v>
      </c>
    </row>
    <row r="12481" spans="1:16" ht="11.25" customHeight="1" x14ac:dyDescent="0.2">
      <c r="A12481" s="344">
        <v>2026</v>
      </c>
      <c r="B12481" s="344">
        <v>1</v>
      </c>
      <c r="C12481" s="344">
        <v>11</v>
      </c>
      <c r="D12481" s="345">
        <f t="shared" si="1781"/>
        <v>46033</v>
      </c>
      <c r="E12481" s="346">
        <f t="shared" si="1790"/>
        <v>46033</v>
      </c>
      <c r="F12481" s="518" t="s">
        <v>2088</v>
      </c>
      <c r="G12481" s="347" t="s">
        <v>1245</v>
      </c>
      <c r="H12481" s="348"/>
      <c r="I12481" s="348" t="s">
        <v>1253</v>
      </c>
      <c r="J12481" s="344" t="s">
        <v>2086</v>
      </c>
      <c r="K12481" s="349">
        <v>5369.5054945054944</v>
      </c>
      <c r="L12481" s="349"/>
      <c r="M12481" s="455"/>
    </row>
    <row r="12482" spans="1:16" ht="11.25" customHeight="1" x14ac:dyDescent="0.2">
      <c r="A12482" s="350">
        <v>2026</v>
      </c>
      <c r="B12482" s="350">
        <v>1</v>
      </c>
      <c r="C12482" s="350">
        <v>11</v>
      </c>
      <c r="D12482" s="351">
        <f t="shared" ref="D12482:D12545" si="1793">DATE(A12482,B12482,C12482)</f>
        <v>46033</v>
      </c>
      <c r="E12482" s="352">
        <f t="shared" si="1790"/>
        <v>46033</v>
      </c>
      <c r="F12482" s="519"/>
      <c r="G12482" s="353" t="s">
        <v>1245</v>
      </c>
      <c r="H12482" s="354"/>
      <c r="I12482" s="354" t="s">
        <v>1253</v>
      </c>
      <c r="J12482" s="350" t="s">
        <v>2089</v>
      </c>
      <c r="K12482" s="355"/>
      <c r="L12482" s="355">
        <f>K12481</f>
        <v>5369.5054945054944</v>
      </c>
    </row>
    <row r="12483" spans="1:16" ht="11.25" customHeight="1" x14ac:dyDescent="0.2">
      <c r="A12483" s="344">
        <v>2026</v>
      </c>
      <c r="B12483" s="344">
        <v>1</v>
      </c>
      <c r="C12483" s="344">
        <v>11</v>
      </c>
      <c r="D12483" s="345">
        <f t="shared" si="1793"/>
        <v>46033</v>
      </c>
      <c r="E12483" s="346">
        <f>DATE(A12483,B12483,C12483)</f>
        <v>46033</v>
      </c>
      <c r="F12483" s="518" t="s">
        <v>1988</v>
      </c>
      <c r="G12483" s="347" t="s">
        <v>1245</v>
      </c>
      <c r="H12483" s="348"/>
      <c r="I12483" s="348" t="s">
        <v>1253</v>
      </c>
      <c r="J12483" s="344" t="s">
        <v>113</v>
      </c>
      <c r="K12483" s="349">
        <v>14076.92142857143</v>
      </c>
      <c r="L12483" s="349"/>
      <c r="M12483" s="455"/>
    </row>
    <row r="12484" spans="1:16" ht="11.25" customHeight="1" x14ac:dyDescent="0.2">
      <c r="A12484" s="350">
        <v>2026</v>
      </c>
      <c r="B12484" s="350">
        <v>1</v>
      </c>
      <c r="C12484" s="350">
        <v>11</v>
      </c>
      <c r="D12484" s="351">
        <f t="shared" si="1793"/>
        <v>46033</v>
      </c>
      <c r="E12484" s="352">
        <f>DATE(A12484,B12484,C12484)</f>
        <v>46033</v>
      </c>
      <c r="F12484" s="519"/>
      <c r="G12484" s="353" t="s">
        <v>1245</v>
      </c>
      <c r="H12484" s="354"/>
      <c r="I12484" s="354" t="s">
        <v>1253</v>
      </c>
      <c r="J12484" s="350" t="s">
        <v>153</v>
      </c>
      <c r="K12484" s="355"/>
      <c r="L12484" s="355">
        <f t="shared" ref="L12484" si="1794">K12483</f>
        <v>14076.92142857143</v>
      </c>
    </row>
    <row r="12485" spans="1:16" ht="11.25" customHeight="1" x14ac:dyDescent="0.2">
      <c r="A12485" s="344">
        <v>2026</v>
      </c>
      <c r="B12485" s="344">
        <v>1</v>
      </c>
      <c r="C12485" s="344">
        <v>11</v>
      </c>
      <c r="D12485" s="345">
        <f t="shared" si="1793"/>
        <v>46033</v>
      </c>
      <c r="E12485" s="346">
        <f t="shared" ref="E12485:E12491" si="1795">DATE(A12485,B12485,C12485)</f>
        <v>46033</v>
      </c>
      <c r="F12485" s="518" t="s">
        <v>1989</v>
      </c>
      <c r="G12485" s="347" t="s">
        <v>1245</v>
      </c>
      <c r="H12485" s="348"/>
      <c r="I12485" s="348" t="s">
        <v>1253</v>
      </c>
      <c r="J12485" s="344" t="s">
        <v>113</v>
      </c>
      <c r="K12485" s="349">
        <v>10054.945054945056</v>
      </c>
      <c r="L12485" s="349"/>
      <c r="M12485" s="455"/>
    </row>
    <row r="12486" spans="1:16" ht="11.25" customHeight="1" x14ac:dyDescent="0.2">
      <c r="A12486" s="350">
        <v>2026</v>
      </c>
      <c r="B12486" s="350">
        <v>1</v>
      </c>
      <c r="C12486" s="350">
        <v>11</v>
      </c>
      <c r="D12486" s="351">
        <f t="shared" si="1793"/>
        <v>46033</v>
      </c>
      <c r="E12486" s="352">
        <f t="shared" si="1795"/>
        <v>46033</v>
      </c>
      <c r="F12486" s="519"/>
      <c r="G12486" s="353" t="s">
        <v>1245</v>
      </c>
      <c r="H12486" s="354"/>
      <c r="I12486" s="354" t="s">
        <v>1253</v>
      </c>
      <c r="J12486" s="350" t="s">
        <v>153</v>
      </c>
      <c r="K12486" s="355"/>
      <c r="L12486" s="355">
        <f t="shared" ref="L12486" si="1796">K12485</f>
        <v>10054.945054945056</v>
      </c>
    </row>
    <row r="12487" spans="1:16" ht="11.25" customHeight="1" x14ac:dyDescent="0.2">
      <c r="A12487" s="344">
        <v>2026</v>
      </c>
      <c r="B12487" s="344">
        <v>1</v>
      </c>
      <c r="C12487" s="344">
        <v>11</v>
      </c>
      <c r="D12487" s="345">
        <f t="shared" si="1793"/>
        <v>46033</v>
      </c>
      <c r="E12487" s="346">
        <f t="shared" si="1795"/>
        <v>46033</v>
      </c>
      <c r="F12487" s="518" t="s">
        <v>1990</v>
      </c>
      <c r="G12487" s="347" t="s">
        <v>1245</v>
      </c>
      <c r="H12487" s="348"/>
      <c r="I12487" s="348" t="s">
        <v>1253</v>
      </c>
      <c r="J12487" s="344" t="s">
        <v>113</v>
      </c>
      <c r="K12487" s="349">
        <v>30164.837142857141</v>
      </c>
      <c r="L12487" s="349"/>
      <c r="M12487" s="455"/>
      <c r="N12487" s="251"/>
      <c r="O12487" s="251"/>
      <c r="P12487" s="251"/>
    </row>
    <row r="12488" spans="1:16" ht="11.25" customHeight="1" x14ac:dyDescent="0.2">
      <c r="A12488" s="350">
        <v>2026</v>
      </c>
      <c r="B12488" s="350">
        <v>1</v>
      </c>
      <c r="C12488" s="350">
        <v>11</v>
      </c>
      <c r="D12488" s="351">
        <f t="shared" si="1793"/>
        <v>46033</v>
      </c>
      <c r="E12488" s="352">
        <f t="shared" si="1795"/>
        <v>46033</v>
      </c>
      <c r="F12488" s="519"/>
      <c r="G12488" s="353" t="s">
        <v>1245</v>
      </c>
      <c r="H12488" s="354"/>
      <c r="I12488" s="354" t="s">
        <v>1253</v>
      </c>
      <c r="J12488" s="350" t="s">
        <v>153</v>
      </c>
      <c r="K12488" s="355"/>
      <c r="L12488" s="355">
        <f t="shared" ref="L12488" si="1797">K12487</f>
        <v>30164.837142857141</v>
      </c>
    </row>
    <row r="12489" spans="1:16" ht="11.25" customHeight="1" x14ac:dyDescent="0.2">
      <c r="A12489" s="344">
        <v>2026</v>
      </c>
      <c r="B12489" s="344">
        <v>1</v>
      </c>
      <c r="C12489" s="344">
        <v>11</v>
      </c>
      <c r="D12489" s="345">
        <f t="shared" si="1793"/>
        <v>46033</v>
      </c>
      <c r="E12489" s="346">
        <f t="shared" si="1795"/>
        <v>46033</v>
      </c>
      <c r="F12489" s="518" t="s">
        <v>2107</v>
      </c>
      <c r="G12489" s="347" t="s">
        <v>1245</v>
      </c>
      <c r="H12489" s="348"/>
      <c r="I12489" s="348" t="s">
        <v>1253</v>
      </c>
      <c r="J12489" s="344" t="s">
        <v>113</v>
      </c>
      <c r="K12489" s="349">
        <v>37112.637362637361</v>
      </c>
      <c r="L12489" s="349"/>
      <c r="M12489" s="455"/>
      <c r="N12489" s="251"/>
      <c r="O12489" s="251"/>
      <c r="P12489" s="251"/>
    </row>
    <row r="12490" spans="1:16" ht="11.25" customHeight="1" x14ac:dyDescent="0.2">
      <c r="A12490" s="350">
        <v>2026</v>
      </c>
      <c r="B12490" s="350">
        <v>1</v>
      </c>
      <c r="C12490" s="350">
        <v>11</v>
      </c>
      <c r="D12490" s="351">
        <f t="shared" si="1793"/>
        <v>46033</v>
      </c>
      <c r="E12490" s="352">
        <f t="shared" si="1795"/>
        <v>46033</v>
      </c>
      <c r="F12490" s="519"/>
      <c r="G12490" s="353" t="s">
        <v>1245</v>
      </c>
      <c r="H12490" s="354"/>
      <c r="I12490" s="354" t="s">
        <v>1253</v>
      </c>
      <c r="J12490" s="350" t="s">
        <v>153</v>
      </c>
      <c r="K12490" s="355"/>
      <c r="L12490" s="355">
        <f t="shared" ref="L12490" si="1798">K12489</f>
        <v>37112.637362637361</v>
      </c>
    </row>
    <row r="12491" spans="1:16" ht="11.25" customHeight="1" x14ac:dyDescent="0.2">
      <c r="A12491" s="210">
        <v>2026</v>
      </c>
      <c r="B12491" s="210">
        <v>1</v>
      </c>
      <c r="C12491" s="210">
        <v>11</v>
      </c>
      <c r="D12491" s="211">
        <f t="shared" si="1793"/>
        <v>46033</v>
      </c>
      <c r="E12491" s="238">
        <f t="shared" si="1795"/>
        <v>46033</v>
      </c>
      <c r="F12491" s="520" t="s">
        <v>1857</v>
      </c>
      <c r="G12491" s="213" t="s">
        <v>1245</v>
      </c>
      <c r="H12491" s="214"/>
      <c r="I12491" s="214" t="s">
        <v>1253</v>
      </c>
      <c r="J12491" s="210" t="s">
        <v>1284</v>
      </c>
      <c r="K12491" s="215">
        <v>1003.6334633108827</v>
      </c>
      <c r="L12491" s="215"/>
      <c r="M12491" s="455"/>
    </row>
    <row r="12492" spans="1:16" ht="11.25" customHeight="1" x14ac:dyDescent="0.2">
      <c r="A12492" s="242">
        <v>2026</v>
      </c>
      <c r="B12492" s="242">
        <v>1</v>
      </c>
      <c r="C12492" s="242">
        <v>11</v>
      </c>
      <c r="D12492" s="243">
        <f t="shared" si="1793"/>
        <v>46033</v>
      </c>
      <c r="E12492" s="244">
        <f>DATE(A12492,B12492,C12492)</f>
        <v>46033</v>
      </c>
      <c r="F12492" s="524"/>
      <c r="G12492" s="245" t="s">
        <v>1245</v>
      </c>
      <c r="H12492" s="246"/>
      <c r="I12492" s="246"/>
      <c r="J12492" s="242" t="s">
        <v>1582</v>
      </c>
      <c r="K12492" s="247"/>
      <c r="L12492" s="247">
        <f>K12491</f>
        <v>1003.6334633108827</v>
      </c>
    </row>
    <row r="12493" spans="1:16" ht="11.25" customHeight="1" x14ac:dyDescent="0.2">
      <c r="A12493" s="210">
        <v>2026</v>
      </c>
      <c r="B12493" s="210">
        <v>1</v>
      </c>
      <c r="C12493" s="210">
        <v>11</v>
      </c>
      <c r="D12493" s="211">
        <f t="shared" si="1793"/>
        <v>46033</v>
      </c>
      <c r="E12493" s="238">
        <f t="shared" ref="E12493:E12548" si="1799">DATE(A12493,B12493,C12493)</f>
        <v>46033</v>
      </c>
      <c r="F12493" s="520" t="s">
        <v>2055</v>
      </c>
      <c r="G12493" s="213" t="s">
        <v>1245</v>
      </c>
      <c r="H12493" s="214"/>
      <c r="I12493" s="214" t="s">
        <v>1253</v>
      </c>
      <c r="J12493" s="210" t="s">
        <v>58</v>
      </c>
      <c r="K12493" s="215">
        <v>1240.82</v>
      </c>
      <c r="L12493" s="215"/>
    </row>
    <row r="12494" spans="1:16" ht="11.25" customHeight="1" x14ac:dyDescent="0.2">
      <c r="A12494" s="216">
        <v>2026</v>
      </c>
      <c r="B12494" s="216">
        <v>1</v>
      </c>
      <c r="C12494" s="216">
        <v>11</v>
      </c>
      <c r="D12494" s="217">
        <f t="shared" si="1793"/>
        <v>46033</v>
      </c>
      <c r="E12494" s="239">
        <f t="shared" si="1799"/>
        <v>46033</v>
      </c>
      <c r="F12494" s="521"/>
      <c r="G12494" s="219" t="s">
        <v>1245</v>
      </c>
      <c r="H12494" s="220"/>
      <c r="I12494" s="220" t="s">
        <v>1253</v>
      </c>
      <c r="J12494" s="216" t="s">
        <v>153</v>
      </c>
      <c r="K12494" s="221"/>
      <c r="L12494" s="221">
        <f>K12493</f>
        <v>1240.82</v>
      </c>
    </row>
    <row r="12495" spans="1:16" ht="11.25" customHeight="1" x14ac:dyDescent="0.2">
      <c r="A12495" s="312">
        <v>2026</v>
      </c>
      <c r="B12495" s="312">
        <v>1</v>
      </c>
      <c r="C12495" s="312">
        <v>11</v>
      </c>
      <c r="D12495" s="313">
        <f t="shared" si="1793"/>
        <v>46033</v>
      </c>
      <c r="E12495" s="314">
        <f t="shared" si="1799"/>
        <v>46033</v>
      </c>
      <c r="F12495" s="522" t="s">
        <v>1595</v>
      </c>
      <c r="G12495" s="315" t="s">
        <v>1245</v>
      </c>
      <c r="H12495" s="316"/>
      <c r="I12495" s="316" t="s">
        <v>1253</v>
      </c>
      <c r="J12495" s="312" t="s">
        <v>1461</v>
      </c>
      <c r="K12495" s="317">
        <v>239111.34799975157</v>
      </c>
      <c r="L12495" s="317"/>
      <c r="M12495" s="328">
        <f>BS!$I$14</f>
        <v>0</v>
      </c>
    </row>
    <row r="12496" spans="1:16" ht="11.25" customHeight="1" x14ac:dyDescent="0.2">
      <c r="A12496" s="318">
        <v>2026</v>
      </c>
      <c r="B12496" s="318">
        <v>1</v>
      </c>
      <c r="C12496" s="318">
        <v>11</v>
      </c>
      <c r="D12496" s="319">
        <f t="shared" si="1793"/>
        <v>46033</v>
      </c>
      <c r="E12496" s="320">
        <f t="shared" si="1799"/>
        <v>46033</v>
      </c>
      <c r="F12496" s="523"/>
      <c r="G12496" s="321" t="s">
        <v>1245</v>
      </c>
      <c r="H12496" s="322"/>
      <c r="I12496" s="322" t="s">
        <v>1253</v>
      </c>
      <c r="J12496" s="318" t="s">
        <v>1459</v>
      </c>
      <c r="K12496" s="323"/>
      <c r="L12496" s="323">
        <f>K12495</f>
        <v>239111.34799975157</v>
      </c>
      <c r="M12496" s="328"/>
    </row>
    <row r="12497" spans="1:15" ht="11.25" customHeight="1" x14ac:dyDescent="0.2">
      <c r="A12497" s="222">
        <v>2026</v>
      </c>
      <c r="B12497" s="222">
        <v>1</v>
      </c>
      <c r="C12497" s="222">
        <v>11</v>
      </c>
      <c r="D12497" s="223">
        <f t="shared" si="1793"/>
        <v>46033</v>
      </c>
      <c r="E12497" s="240">
        <f t="shared" si="1799"/>
        <v>46033</v>
      </c>
      <c r="F12497" s="511" t="s">
        <v>1244</v>
      </c>
      <c r="G12497" s="225" t="s">
        <v>1245</v>
      </c>
      <c r="H12497" s="226"/>
      <c r="I12497" s="226" t="s">
        <v>1253</v>
      </c>
      <c r="J12497" s="222" t="s">
        <v>72</v>
      </c>
      <c r="K12497" s="227">
        <v>2</v>
      </c>
      <c r="L12497" s="227"/>
      <c r="M12497" s="328">
        <f>BS!$I$7</f>
        <v>0</v>
      </c>
    </row>
    <row r="12498" spans="1:15" ht="11.25" customHeight="1" x14ac:dyDescent="0.2">
      <c r="A12498" s="228">
        <v>2026</v>
      </c>
      <c r="B12498" s="228">
        <v>1</v>
      </c>
      <c r="C12498" s="228">
        <v>11</v>
      </c>
      <c r="D12498" s="229">
        <f t="shared" si="1793"/>
        <v>46033</v>
      </c>
      <c r="E12498" s="241">
        <f t="shared" si="1799"/>
        <v>46033</v>
      </c>
      <c r="F12498" s="512"/>
      <c r="G12498" s="231" t="s">
        <v>1245</v>
      </c>
      <c r="H12498" s="232"/>
      <c r="I12498" s="232" t="s">
        <v>1253</v>
      </c>
      <c r="J12498" s="228" t="s">
        <v>87</v>
      </c>
      <c r="K12498" s="233"/>
      <c r="L12498" s="233">
        <f>K12497</f>
        <v>2</v>
      </c>
    </row>
    <row r="12499" spans="1:15" ht="11.25" customHeight="1" x14ac:dyDescent="0.2">
      <c r="A12499" s="222">
        <v>2026</v>
      </c>
      <c r="B12499" s="222">
        <v>1</v>
      </c>
      <c r="C12499" s="222">
        <v>11</v>
      </c>
      <c r="D12499" s="223">
        <f t="shared" si="1793"/>
        <v>46033</v>
      </c>
      <c r="E12499" s="240">
        <f t="shared" si="1799"/>
        <v>46033</v>
      </c>
      <c r="F12499" s="511" t="s">
        <v>1246</v>
      </c>
      <c r="G12499" s="225" t="s">
        <v>1245</v>
      </c>
      <c r="H12499" s="226"/>
      <c r="I12499" s="226" t="s">
        <v>1253</v>
      </c>
      <c r="J12499" s="222" t="s">
        <v>75</v>
      </c>
      <c r="K12499" s="227">
        <v>1552.7673626373626</v>
      </c>
      <c r="L12499" s="227"/>
      <c r="M12499" s="455"/>
    </row>
    <row r="12500" spans="1:15" ht="11.25" customHeight="1" x14ac:dyDescent="0.2">
      <c r="A12500" s="228">
        <v>2026</v>
      </c>
      <c r="B12500" s="228">
        <v>1</v>
      </c>
      <c r="C12500" s="228">
        <v>11</v>
      </c>
      <c r="D12500" s="229">
        <f t="shared" si="1793"/>
        <v>46033</v>
      </c>
      <c r="E12500" s="241">
        <f t="shared" si="1799"/>
        <v>46033</v>
      </c>
      <c r="F12500" s="512"/>
      <c r="G12500" s="231" t="s">
        <v>1245</v>
      </c>
      <c r="H12500" s="232"/>
      <c r="I12500" s="232" t="s">
        <v>1253</v>
      </c>
      <c r="J12500" s="228" t="s">
        <v>55</v>
      </c>
      <c r="K12500" s="233"/>
      <c r="L12500" s="233">
        <f>K12499</f>
        <v>1552.7673626373626</v>
      </c>
    </row>
    <row r="12501" spans="1:15" ht="11.25" customHeight="1" x14ac:dyDescent="0.2">
      <c r="A12501" s="222">
        <v>2026</v>
      </c>
      <c r="B12501" s="222">
        <v>1</v>
      </c>
      <c r="C12501" s="222">
        <v>11</v>
      </c>
      <c r="D12501" s="223">
        <f t="shared" si="1793"/>
        <v>46033</v>
      </c>
      <c r="E12501" s="240">
        <f t="shared" si="1799"/>
        <v>46033</v>
      </c>
      <c r="F12501" s="511" t="s">
        <v>1247</v>
      </c>
      <c r="G12501" s="225" t="s">
        <v>1245</v>
      </c>
      <c r="H12501" s="226"/>
      <c r="I12501" s="226" t="s">
        <v>1253</v>
      </c>
      <c r="J12501" s="222" t="s">
        <v>77</v>
      </c>
      <c r="K12501" s="227">
        <f>M12501</f>
        <v>22087.922530073127</v>
      </c>
      <c r="L12501" s="227"/>
      <c r="M12501" s="478">
        <v>22087.922530073127</v>
      </c>
    </row>
    <row r="12502" spans="1:15" ht="11.25" customHeight="1" x14ac:dyDescent="0.2">
      <c r="A12502" s="228">
        <v>2026</v>
      </c>
      <c r="B12502" s="228">
        <v>1</v>
      </c>
      <c r="C12502" s="228">
        <v>11</v>
      </c>
      <c r="D12502" s="229">
        <f t="shared" si="1793"/>
        <v>46033</v>
      </c>
      <c r="E12502" s="241">
        <f t="shared" si="1799"/>
        <v>46033</v>
      </c>
      <c r="F12502" s="512"/>
      <c r="G12502" s="231" t="s">
        <v>1245</v>
      </c>
      <c r="H12502" s="232"/>
      <c r="I12502" s="232" t="s">
        <v>1253</v>
      </c>
      <c r="J12502" s="228" t="s">
        <v>41</v>
      </c>
      <c r="K12502" s="233"/>
      <c r="L12502" s="233">
        <f>K12501</f>
        <v>22087.922530073127</v>
      </c>
      <c r="M12502" s="478">
        <v>2208.7922530073129</v>
      </c>
      <c r="N12502" s="251"/>
    </row>
    <row r="12503" spans="1:15" ht="11.25" customHeight="1" x14ac:dyDescent="0.2">
      <c r="A12503" s="222">
        <v>2026</v>
      </c>
      <c r="B12503" s="222">
        <v>1</v>
      </c>
      <c r="C12503" s="222">
        <v>11</v>
      </c>
      <c r="D12503" s="223">
        <f t="shared" si="1793"/>
        <v>46033</v>
      </c>
      <c r="E12503" s="240">
        <f t="shared" si="1799"/>
        <v>46033</v>
      </c>
      <c r="F12503" s="511" t="s">
        <v>1248</v>
      </c>
      <c r="G12503" s="225" t="s">
        <v>1245</v>
      </c>
      <c r="H12503" s="226"/>
      <c r="I12503" s="226" t="s">
        <v>1253</v>
      </c>
      <c r="J12503" s="222" t="s">
        <v>80</v>
      </c>
      <c r="K12503" s="227">
        <f>M12502</f>
        <v>2208.7922530073129</v>
      </c>
      <c r="L12503" s="227"/>
      <c r="N12503" s="251"/>
      <c r="O12503" s="251"/>
    </row>
    <row r="12504" spans="1:15" ht="11.25" customHeight="1" x14ac:dyDescent="0.2">
      <c r="A12504" s="228">
        <v>2026</v>
      </c>
      <c r="B12504" s="228">
        <v>1</v>
      </c>
      <c r="C12504" s="228">
        <v>11</v>
      </c>
      <c r="D12504" s="229">
        <f t="shared" si="1793"/>
        <v>46033</v>
      </c>
      <c r="E12504" s="241">
        <f t="shared" si="1799"/>
        <v>46033</v>
      </c>
      <c r="F12504" s="512"/>
      <c r="G12504" s="231" t="s">
        <v>1245</v>
      </c>
      <c r="H12504" s="232"/>
      <c r="I12504" s="232" t="s">
        <v>1253</v>
      </c>
      <c r="J12504" s="228" t="s">
        <v>42</v>
      </c>
      <c r="K12504" s="233"/>
      <c r="L12504" s="233">
        <f>K12503</f>
        <v>2208.7922530073129</v>
      </c>
      <c r="N12504" s="251"/>
    </row>
    <row r="12505" spans="1:15" ht="11.25" customHeight="1" x14ac:dyDescent="0.2">
      <c r="A12505" s="197">
        <v>2026</v>
      </c>
      <c r="B12505" s="197">
        <v>1</v>
      </c>
      <c r="C12505" s="197">
        <v>12</v>
      </c>
      <c r="D12505" s="198">
        <f t="shared" si="1793"/>
        <v>46034</v>
      </c>
      <c r="E12505" s="290">
        <f t="shared" si="1799"/>
        <v>46034</v>
      </c>
      <c r="F12505" s="513" t="s">
        <v>2034</v>
      </c>
      <c r="G12505" s="200" t="s">
        <v>1245</v>
      </c>
      <c r="H12505" s="201"/>
      <c r="I12505" s="201" t="s">
        <v>1253</v>
      </c>
      <c r="J12505" s="197" t="s">
        <v>46</v>
      </c>
      <c r="K12505" s="202">
        <v>305000</v>
      </c>
      <c r="L12505" s="202"/>
      <c r="M12505" s="130"/>
    </row>
    <row r="12506" spans="1:15" ht="11.25" customHeight="1" x14ac:dyDescent="0.2">
      <c r="A12506" s="191">
        <v>2026</v>
      </c>
      <c r="B12506" s="191">
        <v>1</v>
      </c>
      <c r="C12506" s="191">
        <v>12</v>
      </c>
      <c r="D12506" s="192">
        <f t="shared" si="1793"/>
        <v>46034</v>
      </c>
      <c r="E12506" s="291">
        <f t="shared" si="1799"/>
        <v>46034</v>
      </c>
      <c r="F12506" s="527"/>
      <c r="G12506" s="194" t="s">
        <v>1245</v>
      </c>
      <c r="H12506" s="195"/>
      <c r="I12506" s="195" t="s">
        <v>1253</v>
      </c>
      <c r="J12506" s="191" t="s">
        <v>113</v>
      </c>
      <c r="K12506" s="196"/>
      <c r="L12506" s="196">
        <v>305000</v>
      </c>
      <c r="N12506" s="251"/>
    </row>
    <row r="12507" spans="1:15" ht="11.25" customHeight="1" x14ac:dyDescent="0.2">
      <c r="A12507" s="197">
        <v>2026</v>
      </c>
      <c r="B12507" s="197">
        <v>1</v>
      </c>
      <c r="C12507" s="197">
        <v>12</v>
      </c>
      <c r="D12507" s="198">
        <f t="shared" si="1793"/>
        <v>46034</v>
      </c>
      <c r="E12507" s="290">
        <f t="shared" si="1799"/>
        <v>46034</v>
      </c>
      <c r="F12507" s="513" t="s">
        <v>2033</v>
      </c>
      <c r="G12507" s="200" t="s">
        <v>1245</v>
      </c>
      <c r="H12507" s="201"/>
      <c r="I12507" s="201" t="s">
        <v>1253</v>
      </c>
      <c r="J12507" s="197" t="s">
        <v>46</v>
      </c>
      <c r="K12507" s="202">
        <v>101666.67</v>
      </c>
      <c r="L12507" s="202"/>
      <c r="M12507" s="130"/>
      <c r="N12507" s="251"/>
    </row>
    <row r="12508" spans="1:15" ht="11.25" customHeight="1" x14ac:dyDescent="0.2">
      <c r="A12508" s="191">
        <v>2026</v>
      </c>
      <c r="B12508" s="191">
        <v>1</v>
      </c>
      <c r="C12508" s="191">
        <v>12</v>
      </c>
      <c r="D12508" s="192">
        <f t="shared" si="1793"/>
        <v>46034</v>
      </c>
      <c r="E12508" s="291">
        <f t="shared" si="1799"/>
        <v>46034</v>
      </c>
      <c r="F12508" s="527"/>
      <c r="G12508" s="194" t="s">
        <v>1245</v>
      </c>
      <c r="H12508" s="195"/>
      <c r="I12508" s="195" t="s">
        <v>1253</v>
      </c>
      <c r="J12508" s="191" t="s">
        <v>113</v>
      </c>
      <c r="K12508" s="196"/>
      <c r="L12508" s="196">
        <v>101666.67</v>
      </c>
      <c r="N12508" s="251"/>
    </row>
    <row r="12509" spans="1:15" x14ac:dyDescent="0.2">
      <c r="A12509" s="197">
        <v>2026</v>
      </c>
      <c r="B12509" s="197">
        <v>1</v>
      </c>
      <c r="C12509" s="197">
        <v>12</v>
      </c>
      <c r="D12509" s="198">
        <f t="shared" si="1793"/>
        <v>46034</v>
      </c>
      <c r="E12509" s="209">
        <f t="shared" si="1799"/>
        <v>46034</v>
      </c>
      <c r="F12509" s="513" t="s">
        <v>2125</v>
      </c>
      <c r="G12509" s="200" t="s">
        <v>1209</v>
      </c>
      <c r="H12509" s="201"/>
      <c r="I12509" s="201"/>
      <c r="J12509" s="197" t="s">
        <v>16</v>
      </c>
      <c r="K12509" s="202">
        <v>64140</v>
      </c>
      <c r="L12509" s="202"/>
    </row>
    <row r="12510" spans="1:15" x14ac:dyDescent="0.2">
      <c r="A12510" s="120">
        <v>2026</v>
      </c>
      <c r="B12510" s="120">
        <v>1</v>
      </c>
      <c r="C12510" s="120">
        <v>12</v>
      </c>
      <c r="D12510" s="208">
        <f t="shared" si="1793"/>
        <v>46034</v>
      </c>
      <c r="E12510" s="209">
        <f t="shared" si="1799"/>
        <v>46034</v>
      </c>
      <c r="F12510" s="515"/>
      <c r="G12510" s="132" t="s">
        <v>1209</v>
      </c>
      <c r="J12510" s="120" t="s">
        <v>47</v>
      </c>
      <c r="K12510" s="207">
        <v>24345.21</v>
      </c>
      <c r="L12510" s="207"/>
    </row>
    <row r="12511" spans="1:15" x14ac:dyDescent="0.2">
      <c r="A12511" s="191">
        <v>2026</v>
      </c>
      <c r="B12511" s="191">
        <v>1</v>
      </c>
      <c r="C12511" s="191">
        <v>12</v>
      </c>
      <c r="D12511" s="192">
        <f t="shared" si="1793"/>
        <v>46034</v>
      </c>
      <c r="E12511" s="193">
        <f t="shared" si="1799"/>
        <v>46034</v>
      </c>
      <c r="F12511" s="514"/>
      <c r="G12511" s="194" t="s">
        <v>1209</v>
      </c>
      <c r="H12511" s="195"/>
      <c r="I12511" s="195"/>
      <c r="J12511" s="191" t="s">
        <v>46</v>
      </c>
      <c r="K12511" s="196"/>
      <c r="L12511" s="196">
        <v>88485.21</v>
      </c>
    </row>
    <row r="12512" spans="1:15" x14ac:dyDescent="0.2">
      <c r="A12512" s="424">
        <v>2026</v>
      </c>
      <c r="B12512" s="424">
        <v>1</v>
      </c>
      <c r="C12512" s="424">
        <v>12</v>
      </c>
      <c r="D12512" s="425">
        <f t="shared" si="1793"/>
        <v>46034</v>
      </c>
      <c r="E12512" s="384">
        <f t="shared" si="1799"/>
        <v>46034</v>
      </c>
      <c r="F12512" s="516" t="s">
        <v>1850</v>
      </c>
      <c r="G12512" s="426" t="s">
        <v>1209</v>
      </c>
      <c r="H12512" s="427"/>
      <c r="I12512" s="427"/>
      <c r="J12512" s="428" t="s">
        <v>81</v>
      </c>
      <c r="K12512" s="429">
        <v>1595.8173626373627</v>
      </c>
      <c r="L12512" s="429"/>
      <c r="M12512" s="455"/>
    </row>
    <row r="12513" spans="1:16" x14ac:dyDescent="0.2">
      <c r="A12513" s="389">
        <v>2026</v>
      </c>
      <c r="B12513" s="389">
        <v>1</v>
      </c>
      <c r="C12513" s="389">
        <v>12</v>
      </c>
      <c r="D12513" s="390">
        <f t="shared" si="1793"/>
        <v>46034</v>
      </c>
      <c r="E12513" s="391">
        <f t="shared" si="1799"/>
        <v>46034</v>
      </c>
      <c r="F12513" s="517"/>
      <c r="G12513" s="392" t="s">
        <v>1209</v>
      </c>
      <c r="H12513" s="393"/>
      <c r="I12513" s="393"/>
      <c r="J12513" s="394" t="s">
        <v>1847</v>
      </c>
      <c r="K12513" s="423"/>
      <c r="L12513" s="423">
        <f>K12512</f>
        <v>1595.8173626373627</v>
      </c>
    </row>
    <row r="12514" spans="1:16" ht="11.25" customHeight="1" x14ac:dyDescent="0.2">
      <c r="A12514" s="382">
        <v>2026</v>
      </c>
      <c r="B12514" s="382">
        <v>1</v>
      </c>
      <c r="C12514" s="382">
        <v>12</v>
      </c>
      <c r="D12514" s="383">
        <f t="shared" si="1793"/>
        <v>46034</v>
      </c>
      <c r="E12514" s="384">
        <f t="shared" si="1799"/>
        <v>46034</v>
      </c>
      <c r="F12514" s="516" t="s">
        <v>1892</v>
      </c>
      <c r="G12514" s="385" t="s">
        <v>1209</v>
      </c>
      <c r="H12514" s="386"/>
      <c r="I12514" s="386"/>
      <c r="J12514" s="387" t="s">
        <v>173</v>
      </c>
      <c r="K12514" s="388">
        <v>588.14061836944461</v>
      </c>
      <c r="L12514" s="388"/>
      <c r="M12514" s="455"/>
    </row>
    <row r="12515" spans="1:16" ht="11.25" customHeight="1" x14ac:dyDescent="0.2">
      <c r="A12515" s="389">
        <v>2026</v>
      </c>
      <c r="B12515" s="389">
        <v>1</v>
      </c>
      <c r="C12515" s="389">
        <v>12</v>
      </c>
      <c r="D12515" s="390">
        <f t="shared" si="1793"/>
        <v>46034</v>
      </c>
      <c r="E12515" s="391">
        <f t="shared" si="1799"/>
        <v>46034</v>
      </c>
      <c r="F12515" s="517"/>
      <c r="G12515" s="392" t="s">
        <v>1209</v>
      </c>
      <c r="H12515" s="393"/>
      <c r="I12515" s="393"/>
      <c r="J12515" s="394" t="s">
        <v>43</v>
      </c>
      <c r="K12515" s="388"/>
      <c r="L12515" s="423">
        <f>K12514</f>
        <v>588.14061836944461</v>
      </c>
    </row>
    <row r="12516" spans="1:16" ht="11.25" customHeight="1" x14ac:dyDescent="0.2">
      <c r="A12516" s="344">
        <v>2026</v>
      </c>
      <c r="B12516" s="344">
        <v>1</v>
      </c>
      <c r="C12516" s="344">
        <v>12</v>
      </c>
      <c r="D12516" s="345">
        <f t="shared" si="1793"/>
        <v>46034</v>
      </c>
      <c r="E12516" s="346">
        <f t="shared" si="1799"/>
        <v>46034</v>
      </c>
      <c r="F12516" s="518" t="s">
        <v>1982</v>
      </c>
      <c r="G12516" s="347" t="s">
        <v>1245</v>
      </c>
      <c r="H12516" s="348"/>
      <c r="I12516" s="348" t="s">
        <v>1253</v>
      </c>
      <c r="J12516" s="344" t="s">
        <v>1978</v>
      </c>
      <c r="K12516" s="349">
        <v>21249.725274725275</v>
      </c>
      <c r="L12516" s="349"/>
      <c r="M12516" s="455"/>
    </row>
    <row r="12517" spans="1:16" ht="11.25" customHeight="1" x14ac:dyDescent="0.2">
      <c r="A12517" s="350">
        <v>2026</v>
      </c>
      <c r="B12517" s="350">
        <v>1</v>
      </c>
      <c r="C12517" s="350">
        <v>12</v>
      </c>
      <c r="D12517" s="351">
        <f t="shared" si="1793"/>
        <v>46034</v>
      </c>
      <c r="E12517" s="352">
        <f t="shared" si="1799"/>
        <v>46034</v>
      </c>
      <c r="F12517" s="519"/>
      <c r="G12517" s="353" t="s">
        <v>1245</v>
      </c>
      <c r="H12517" s="354"/>
      <c r="I12517" s="354" t="s">
        <v>1253</v>
      </c>
      <c r="J12517" s="350" t="s">
        <v>1979</v>
      </c>
      <c r="K12517" s="355"/>
      <c r="L12517" s="355">
        <f>K12516</f>
        <v>21249.725274725275</v>
      </c>
    </row>
    <row r="12518" spans="1:16" ht="11.25" customHeight="1" x14ac:dyDescent="0.2">
      <c r="A12518" s="344">
        <v>2026</v>
      </c>
      <c r="B12518" s="344">
        <v>1</v>
      </c>
      <c r="C12518" s="344">
        <v>12</v>
      </c>
      <c r="D12518" s="345">
        <f t="shared" si="1793"/>
        <v>46034</v>
      </c>
      <c r="E12518" s="346">
        <f t="shared" si="1799"/>
        <v>46034</v>
      </c>
      <c r="F12518" s="518" t="s">
        <v>2009</v>
      </c>
      <c r="G12518" s="347" t="s">
        <v>1245</v>
      </c>
      <c r="H12518" s="348"/>
      <c r="I12518" s="348" t="s">
        <v>1253</v>
      </c>
      <c r="J12518" s="344" t="s">
        <v>2004</v>
      </c>
      <c r="K12518" s="349">
        <v>7098.9014285714284</v>
      </c>
      <c r="L12518" s="349"/>
      <c r="M12518" s="455"/>
    </row>
    <row r="12519" spans="1:16" ht="11.25" customHeight="1" x14ac:dyDescent="0.2">
      <c r="A12519" s="350">
        <v>2026</v>
      </c>
      <c r="B12519" s="350">
        <v>1</v>
      </c>
      <c r="C12519" s="350">
        <v>12</v>
      </c>
      <c r="D12519" s="351">
        <f t="shared" si="1793"/>
        <v>46034</v>
      </c>
      <c r="E12519" s="352">
        <f t="shared" si="1799"/>
        <v>46034</v>
      </c>
      <c r="F12519" s="519"/>
      <c r="G12519" s="353" t="s">
        <v>1245</v>
      </c>
      <c r="H12519" s="354"/>
      <c r="I12519" s="354" t="s">
        <v>1253</v>
      </c>
      <c r="J12519" s="350" t="s">
        <v>2008</v>
      </c>
      <c r="K12519" s="355"/>
      <c r="L12519" s="355">
        <f t="shared" ref="L12519" si="1800">K12518</f>
        <v>7098.9014285714284</v>
      </c>
    </row>
    <row r="12520" spans="1:16" ht="11.25" customHeight="1" x14ac:dyDescent="0.2">
      <c r="A12520" s="344">
        <v>2026</v>
      </c>
      <c r="B12520" s="344">
        <v>1</v>
      </c>
      <c r="C12520" s="344">
        <v>12</v>
      </c>
      <c r="D12520" s="345">
        <f t="shared" si="1793"/>
        <v>46034</v>
      </c>
      <c r="E12520" s="346">
        <f t="shared" si="1799"/>
        <v>46034</v>
      </c>
      <c r="F12520" s="518" t="s">
        <v>2009</v>
      </c>
      <c r="G12520" s="347" t="s">
        <v>1245</v>
      </c>
      <c r="H12520" s="348"/>
      <c r="I12520" s="348" t="s">
        <v>1253</v>
      </c>
      <c r="J12520" s="344" t="s">
        <v>2004</v>
      </c>
      <c r="K12520" s="349">
        <v>7098.9014285714284</v>
      </c>
      <c r="L12520" s="349"/>
      <c r="M12520" s="455"/>
    </row>
    <row r="12521" spans="1:16" ht="11.25" customHeight="1" x14ac:dyDescent="0.2">
      <c r="A12521" s="350">
        <v>2026</v>
      </c>
      <c r="B12521" s="350">
        <v>1</v>
      </c>
      <c r="C12521" s="350">
        <v>12</v>
      </c>
      <c r="D12521" s="351">
        <f t="shared" si="1793"/>
        <v>46034</v>
      </c>
      <c r="E12521" s="352">
        <f t="shared" si="1799"/>
        <v>46034</v>
      </c>
      <c r="F12521" s="519"/>
      <c r="G12521" s="353" t="s">
        <v>1245</v>
      </c>
      <c r="H12521" s="354"/>
      <c r="I12521" s="354" t="s">
        <v>1253</v>
      </c>
      <c r="J12521" s="350" t="s">
        <v>2008</v>
      </c>
      <c r="K12521" s="355"/>
      <c r="L12521" s="355">
        <f t="shared" ref="L12521" si="1801">K12520</f>
        <v>7098.9014285714284</v>
      </c>
    </row>
    <row r="12522" spans="1:16" ht="11.25" customHeight="1" x14ac:dyDescent="0.2">
      <c r="A12522" s="344">
        <v>2026</v>
      </c>
      <c r="B12522" s="344">
        <v>1</v>
      </c>
      <c r="C12522" s="344">
        <v>12</v>
      </c>
      <c r="D12522" s="345">
        <f t="shared" si="1793"/>
        <v>46034</v>
      </c>
      <c r="E12522" s="346">
        <f t="shared" si="1799"/>
        <v>46034</v>
      </c>
      <c r="F12522" s="518" t="s">
        <v>2088</v>
      </c>
      <c r="G12522" s="347" t="s">
        <v>1245</v>
      </c>
      <c r="H12522" s="348"/>
      <c r="I12522" s="348" t="s">
        <v>1253</v>
      </c>
      <c r="J12522" s="344" t="s">
        <v>2086</v>
      </c>
      <c r="K12522" s="349">
        <v>1789.835164835165</v>
      </c>
      <c r="L12522" s="349"/>
      <c r="M12522" s="455"/>
    </row>
    <row r="12523" spans="1:16" ht="11.25" customHeight="1" x14ac:dyDescent="0.2">
      <c r="A12523" s="350">
        <v>2026</v>
      </c>
      <c r="B12523" s="350">
        <v>1</v>
      </c>
      <c r="C12523" s="350">
        <v>12</v>
      </c>
      <c r="D12523" s="351">
        <f t="shared" si="1793"/>
        <v>46034</v>
      </c>
      <c r="E12523" s="352">
        <f t="shared" si="1799"/>
        <v>46034</v>
      </c>
      <c r="F12523" s="519"/>
      <c r="G12523" s="353" t="s">
        <v>1245</v>
      </c>
      <c r="H12523" s="354"/>
      <c r="I12523" s="354" t="s">
        <v>1253</v>
      </c>
      <c r="J12523" s="350" t="s">
        <v>2089</v>
      </c>
      <c r="K12523" s="355"/>
      <c r="L12523" s="355">
        <f>K12522</f>
        <v>1789.835164835165</v>
      </c>
    </row>
    <row r="12524" spans="1:16" ht="11.25" customHeight="1" x14ac:dyDescent="0.2">
      <c r="A12524" s="344">
        <v>2026</v>
      </c>
      <c r="B12524" s="344">
        <v>1</v>
      </c>
      <c r="C12524" s="344">
        <v>12</v>
      </c>
      <c r="D12524" s="345">
        <f t="shared" si="1793"/>
        <v>46034</v>
      </c>
      <c r="E12524" s="346">
        <f>DATE(A12524,B12524,C12524)</f>
        <v>46034</v>
      </c>
      <c r="F12524" s="518" t="s">
        <v>1988</v>
      </c>
      <c r="G12524" s="347" t="s">
        <v>1245</v>
      </c>
      <c r="H12524" s="348"/>
      <c r="I12524" s="348" t="s">
        <v>1253</v>
      </c>
      <c r="J12524" s="344" t="s">
        <v>113</v>
      </c>
      <c r="K12524" s="349">
        <v>4692.3071428571429</v>
      </c>
      <c r="L12524" s="349"/>
      <c r="M12524" s="455"/>
    </row>
    <row r="12525" spans="1:16" ht="11.25" customHeight="1" x14ac:dyDescent="0.2">
      <c r="A12525" s="350">
        <v>2026</v>
      </c>
      <c r="B12525" s="350">
        <v>1</v>
      </c>
      <c r="C12525" s="350">
        <v>12</v>
      </c>
      <c r="D12525" s="351">
        <f t="shared" si="1793"/>
        <v>46034</v>
      </c>
      <c r="E12525" s="352">
        <f>DATE(A12525,B12525,C12525)</f>
        <v>46034</v>
      </c>
      <c r="F12525" s="519"/>
      <c r="G12525" s="353" t="s">
        <v>1245</v>
      </c>
      <c r="H12525" s="354"/>
      <c r="I12525" s="354" t="s">
        <v>1253</v>
      </c>
      <c r="J12525" s="350" t="s">
        <v>153</v>
      </c>
      <c r="K12525" s="355"/>
      <c r="L12525" s="355">
        <f t="shared" ref="L12525" si="1802">K12524</f>
        <v>4692.3071428571429</v>
      </c>
    </row>
    <row r="12526" spans="1:16" ht="11.25" customHeight="1" x14ac:dyDescent="0.2">
      <c r="A12526" s="344">
        <v>2026</v>
      </c>
      <c r="B12526" s="344">
        <v>1</v>
      </c>
      <c r="C12526" s="344">
        <v>12</v>
      </c>
      <c r="D12526" s="345">
        <f t="shared" si="1793"/>
        <v>46034</v>
      </c>
      <c r="E12526" s="346">
        <f t="shared" ref="E12526:E12532" si="1803">DATE(A12526,B12526,C12526)</f>
        <v>46034</v>
      </c>
      <c r="F12526" s="518" t="s">
        <v>1989</v>
      </c>
      <c r="G12526" s="347" t="s">
        <v>1245</v>
      </c>
      <c r="H12526" s="348"/>
      <c r="I12526" s="348" t="s">
        <v>1253</v>
      </c>
      <c r="J12526" s="344" t="s">
        <v>113</v>
      </c>
      <c r="K12526" s="349">
        <v>3351.6483516483518</v>
      </c>
      <c r="L12526" s="349"/>
      <c r="M12526" s="455"/>
    </row>
    <row r="12527" spans="1:16" ht="11.25" customHeight="1" x14ac:dyDescent="0.2">
      <c r="A12527" s="350">
        <v>2026</v>
      </c>
      <c r="B12527" s="350">
        <v>1</v>
      </c>
      <c r="C12527" s="350">
        <v>12</v>
      </c>
      <c r="D12527" s="351">
        <f t="shared" si="1793"/>
        <v>46034</v>
      </c>
      <c r="E12527" s="352">
        <f t="shared" si="1803"/>
        <v>46034</v>
      </c>
      <c r="F12527" s="519"/>
      <c r="G12527" s="353" t="s">
        <v>1245</v>
      </c>
      <c r="H12527" s="354"/>
      <c r="I12527" s="354" t="s">
        <v>1253</v>
      </c>
      <c r="J12527" s="350" t="s">
        <v>153</v>
      </c>
      <c r="K12527" s="355"/>
      <c r="L12527" s="355">
        <f t="shared" ref="L12527" si="1804">K12526</f>
        <v>3351.6483516483518</v>
      </c>
    </row>
    <row r="12528" spans="1:16" ht="11.25" customHeight="1" x14ac:dyDescent="0.2">
      <c r="A12528" s="344">
        <v>2026</v>
      </c>
      <c r="B12528" s="344">
        <v>1</v>
      </c>
      <c r="C12528" s="344">
        <v>12</v>
      </c>
      <c r="D12528" s="345">
        <f t="shared" si="1793"/>
        <v>46034</v>
      </c>
      <c r="E12528" s="346">
        <f t="shared" si="1803"/>
        <v>46034</v>
      </c>
      <c r="F12528" s="518" t="s">
        <v>1990</v>
      </c>
      <c r="G12528" s="347" t="s">
        <v>1245</v>
      </c>
      <c r="H12528" s="348"/>
      <c r="I12528" s="348" t="s">
        <v>1253</v>
      </c>
      <c r="J12528" s="344" t="s">
        <v>113</v>
      </c>
      <c r="K12528" s="349">
        <v>10054.945714285714</v>
      </c>
      <c r="L12528" s="349"/>
      <c r="M12528" s="455"/>
      <c r="N12528" s="251"/>
      <c r="O12528" s="251"/>
      <c r="P12528" s="251"/>
    </row>
    <row r="12529" spans="1:16" ht="11.25" customHeight="1" x14ac:dyDescent="0.2">
      <c r="A12529" s="350">
        <v>2026</v>
      </c>
      <c r="B12529" s="350">
        <v>1</v>
      </c>
      <c r="C12529" s="350">
        <v>12</v>
      </c>
      <c r="D12529" s="351">
        <f t="shared" si="1793"/>
        <v>46034</v>
      </c>
      <c r="E12529" s="352">
        <f t="shared" si="1803"/>
        <v>46034</v>
      </c>
      <c r="F12529" s="519"/>
      <c r="G12529" s="353" t="s">
        <v>1245</v>
      </c>
      <c r="H12529" s="354"/>
      <c r="I12529" s="354" t="s">
        <v>1253</v>
      </c>
      <c r="J12529" s="350" t="s">
        <v>153</v>
      </c>
      <c r="K12529" s="355"/>
      <c r="L12529" s="355">
        <f t="shared" ref="L12529" si="1805">K12528</f>
        <v>10054.945714285714</v>
      </c>
    </row>
    <row r="12530" spans="1:16" ht="11.25" customHeight="1" x14ac:dyDescent="0.2">
      <c r="A12530" s="344">
        <v>2026</v>
      </c>
      <c r="B12530" s="344">
        <v>1</v>
      </c>
      <c r="C12530" s="344">
        <v>12</v>
      </c>
      <c r="D12530" s="345">
        <f t="shared" si="1793"/>
        <v>46034</v>
      </c>
      <c r="E12530" s="346">
        <f t="shared" si="1803"/>
        <v>46034</v>
      </c>
      <c r="F12530" s="518" t="s">
        <v>2107</v>
      </c>
      <c r="G12530" s="347" t="s">
        <v>1245</v>
      </c>
      <c r="H12530" s="348"/>
      <c r="I12530" s="348" t="s">
        <v>1253</v>
      </c>
      <c r="J12530" s="344" t="s">
        <v>113</v>
      </c>
      <c r="K12530" s="349">
        <v>12370.879120879121</v>
      </c>
      <c r="L12530" s="349"/>
      <c r="M12530" s="455"/>
      <c r="N12530" s="251"/>
      <c r="O12530" s="251"/>
      <c r="P12530" s="251"/>
    </row>
    <row r="12531" spans="1:16" ht="11.25" customHeight="1" x14ac:dyDescent="0.2">
      <c r="A12531" s="350">
        <v>2026</v>
      </c>
      <c r="B12531" s="350">
        <v>1</v>
      </c>
      <c r="C12531" s="350">
        <v>12</v>
      </c>
      <c r="D12531" s="351">
        <f t="shared" si="1793"/>
        <v>46034</v>
      </c>
      <c r="E12531" s="352">
        <f t="shared" si="1803"/>
        <v>46034</v>
      </c>
      <c r="F12531" s="519"/>
      <c r="G12531" s="353" t="s">
        <v>1245</v>
      </c>
      <c r="H12531" s="354"/>
      <c r="I12531" s="354" t="s">
        <v>1253</v>
      </c>
      <c r="J12531" s="350" t="s">
        <v>153</v>
      </c>
      <c r="K12531" s="355"/>
      <c r="L12531" s="355">
        <f t="shared" ref="L12531" si="1806">K12530</f>
        <v>12370.879120879121</v>
      </c>
    </row>
    <row r="12532" spans="1:16" ht="11.25" customHeight="1" x14ac:dyDescent="0.2">
      <c r="A12532" s="210">
        <v>2026</v>
      </c>
      <c r="B12532" s="210">
        <v>1</v>
      </c>
      <c r="C12532" s="210">
        <v>12</v>
      </c>
      <c r="D12532" s="211">
        <f t="shared" si="1793"/>
        <v>46034</v>
      </c>
      <c r="E12532" s="238">
        <f t="shared" si="1803"/>
        <v>46034</v>
      </c>
      <c r="F12532" s="520" t="s">
        <v>1857</v>
      </c>
      <c r="G12532" s="213" t="s">
        <v>1245</v>
      </c>
      <c r="H12532" s="214"/>
      <c r="I12532" s="214" t="s">
        <v>1253</v>
      </c>
      <c r="J12532" s="210" t="s">
        <v>1284</v>
      </c>
      <c r="K12532" s="215">
        <v>334.54448777029421</v>
      </c>
      <c r="L12532" s="215"/>
      <c r="M12532" s="455"/>
    </row>
    <row r="12533" spans="1:16" ht="11.25" customHeight="1" x14ac:dyDescent="0.2">
      <c r="A12533" s="242">
        <v>2026</v>
      </c>
      <c r="B12533" s="242">
        <v>1</v>
      </c>
      <c r="C12533" s="242">
        <v>12</v>
      </c>
      <c r="D12533" s="243">
        <f t="shared" si="1793"/>
        <v>46034</v>
      </c>
      <c r="E12533" s="244">
        <f>DATE(A12533,B12533,C12533)</f>
        <v>46034</v>
      </c>
      <c r="F12533" s="524"/>
      <c r="G12533" s="245" t="s">
        <v>1245</v>
      </c>
      <c r="H12533" s="246"/>
      <c r="I12533" s="246"/>
      <c r="J12533" s="242" t="s">
        <v>1582</v>
      </c>
      <c r="K12533" s="247"/>
      <c r="L12533" s="247">
        <f>K12532</f>
        <v>334.54448777029421</v>
      </c>
    </row>
    <row r="12534" spans="1:16" ht="11.25" customHeight="1" x14ac:dyDescent="0.2">
      <c r="A12534" s="210">
        <v>2026</v>
      </c>
      <c r="B12534" s="210">
        <v>1</v>
      </c>
      <c r="C12534" s="210">
        <v>12</v>
      </c>
      <c r="D12534" s="211">
        <f t="shared" si="1793"/>
        <v>46034</v>
      </c>
      <c r="E12534" s="238">
        <f t="shared" ref="E12534:E12545" si="1807">DATE(A12534,B12534,C12534)</f>
        <v>46034</v>
      </c>
      <c r="F12534" s="520" t="s">
        <v>2055</v>
      </c>
      <c r="G12534" s="213" t="s">
        <v>1245</v>
      </c>
      <c r="H12534" s="214"/>
      <c r="I12534" s="214" t="s">
        <v>1253</v>
      </c>
      <c r="J12534" s="210" t="s">
        <v>58</v>
      </c>
      <c r="K12534" s="215">
        <v>453.6</v>
      </c>
      <c r="L12534" s="215"/>
    </row>
    <row r="12535" spans="1:16" ht="11.25" customHeight="1" x14ac:dyDescent="0.2">
      <c r="A12535" s="216">
        <v>2026</v>
      </c>
      <c r="B12535" s="216">
        <v>1</v>
      </c>
      <c r="C12535" s="216">
        <v>12</v>
      </c>
      <c r="D12535" s="217">
        <f t="shared" si="1793"/>
        <v>46034</v>
      </c>
      <c r="E12535" s="239">
        <f t="shared" si="1807"/>
        <v>46034</v>
      </c>
      <c r="F12535" s="521"/>
      <c r="G12535" s="219" t="s">
        <v>1245</v>
      </c>
      <c r="H12535" s="220"/>
      <c r="I12535" s="220" t="s">
        <v>1253</v>
      </c>
      <c r="J12535" s="216" t="s">
        <v>153</v>
      </c>
      <c r="K12535" s="221"/>
      <c r="L12535" s="221">
        <f>K12534</f>
        <v>453.6</v>
      </c>
    </row>
    <row r="12536" spans="1:16" ht="11.25" customHeight="1" x14ac:dyDescent="0.2">
      <c r="A12536" s="312">
        <v>2026</v>
      </c>
      <c r="B12536" s="312">
        <v>1</v>
      </c>
      <c r="C12536" s="312">
        <v>12</v>
      </c>
      <c r="D12536" s="313">
        <f t="shared" si="1793"/>
        <v>46034</v>
      </c>
      <c r="E12536" s="314">
        <f t="shared" si="1807"/>
        <v>46034</v>
      </c>
      <c r="F12536" s="522" t="s">
        <v>1595</v>
      </c>
      <c r="G12536" s="315" t="s">
        <v>1245</v>
      </c>
      <c r="H12536" s="316"/>
      <c r="I12536" s="316" t="s">
        <v>1253</v>
      </c>
      <c r="J12536" s="312" t="s">
        <v>1461</v>
      </c>
      <c r="K12536" s="317">
        <v>99078.108000218868</v>
      </c>
      <c r="L12536" s="317"/>
      <c r="M12536" s="328"/>
    </row>
    <row r="12537" spans="1:16" ht="11.25" customHeight="1" x14ac:dyDescent="0.2">
      <c r="A12537" s="318">
        <v>2026</v>
      </c>
      <c r="B12537" s="318">
        <v>1</v>
      </c>
      <c r="C12537" s="318">
        <v>12</v>
      </c>
      <c r="D12537" s="319">
        <f t="shared" si="1793"/>
        <v>46034</v>
      </c>
      <c r="E12537" s="320">
        <f t="shared" si="1807"/>
        <v>46034</v>
      </c>
      <c r="F12537" s="523"/>
      <c r="G12537" s="321" t="s">
        <v>1245</v>
      </c>
      <c r="H12537" s="322"/>
      <c r="I12537" s="322" t="s">
        <v>1253</v>
      </c>
      <c r="J12537" s="318" t="s">
        <v>1459</v>
      </c>
      <c r="K12537" s="323"/>
      <c r="L12537" s="323">
        <f>K12536</f>
        <v>99078.108000218868</v>
      </c>
      <c r="M12537" s="328"/>
    </row>
    <row r="12538" spans="1:16" ht="11.25" customHeight="1" x14ac:dyDescent="0.2">
      <c r="A12538" s="222">
        <v>2026</v>
      </c>
      <c r="B12538" s="222">
        <v>1</v>
      </c>
      <c r="C12538" s="222">
        <v>12</v>
      </c>
      <c r="D12538" s="223">
        <f t="shared" si="1793"/>
        <v>46034</v>
      </c>
      <c r="E12538" s="240">
        <f t="shared" si="1807"/>
        <v>46034</v>
      </c>
      <c r="F12538" s="511" t="s">
        <v>1244</v>
      </c>
      <c r="G12538" s="225" t="s">
        <v>1245</v>
      </c>
      <c r="H12538" s="226"/>
      <c r="I12538" s="226" t="s">
        <v>1253</v>
      </c>
      <c r="J12538" s="222" t="s">
        <v>87</v>
      </c>
      <c r="K12538" s="227"/>
      <c r="L12538" s="227"/>
      <c r="M12538" s="328"/>
    </row>
    <row r="12539" spans="1:16" ht="11.25" customHeight="1" x14ac:dyDescent="0.2">
      <c r="A12539" s="228">
        <v>2026</v>
      </c>
      <c r="B12539" s="228">
        <v>1</v>
      </c>
      <c r="C12539" s="228">
        <v>12</v>
      </c>
      <c r="D12539" s="229">
        <f t="shared" si="1793"/>
        <v>46034</v>
      </c>
      <c r="E12539" s="241">
        <f t="shared" si="1807"/>
        <v>46034</v>
      </c>
      <c r="F12539" s="512"/>
      <c r="G12539" s="231" t="s">
        <v>1245</v>
      </c>
      <c r="H12539" s="232"/>
      <c r="I12539" s="232" t="s">
        <v>1253</v>
      </c>
      <c r="J12539" s="228" t="s">
        <v>72</v>
      </c>
      <c r="K12539" s="233"/>
      <c r="L12539" s="233">
        <f>K12538</f>
        <v>0</v>
      </c>
    </row>
    <row r="12540" spans="1:16" ht="11.25" customHeight="1" x14ac:dyDescent="0.2">
      <c r="A12540" s="222">
        <v>2026</v>
      </c>
      <c r="B12540" s="222">
        <v>1</v>
      </c>
      <c r="C12540" s="222">
        <v>12</v>
      </c>
      <c r="D12540" s="223">
        <f t="shared" si="1793"/>
        <v>46034</v>
      </c>
      <c r="E12540" s="240">
        <f t="shared" si="1807"/>
        <v>46034</v>
      </c>
      <c r="F12540" s="511" t="s">
        <v>1246</v>
      </c>
      <c r="G12540" s="225" t="s">
        <v>1245</v>
      </c>
      <c r="H12540" s="226"/>
      <c r="I12540" s="226" t="s">
        <v>1253</v>
      </c>
      <c r="J12540" s="222" t="s">
        <v>75</v>
      </c>
      <c r="K12540" s="227">
        <v>517.58912087912086</v>
      </c>
      <c r="L12540" s="227"/>
      <c r="M12540" s="455"/>
    </row>
    <row r="12541" spans="1:16" ht="11.25" customHeight="1" x14ac:dyDescent="0.2">
      <c r="A12541" s="228">
        <v>2026</v>
      </c>
      <c r="B12541" s="228">
        <v>1</v>
      </c>
      <c r="C12541" s="228">
        <v>12</v>
      </c>
      <c r="D12541" s="229">
        <f t="shared" si="1793"/>
        <v>46034</v>
      </c>
      <c r="E12541" s="241">
        <f t="shared" si="1807"/>
        <v>46034</v>
      </c>
      <c r="F12541" s="512"/>
      <c r="G12541" s="231" t="s">
        <v>1245</v>
      </c>
      <c r="H12541" s="232"/>
      <c r="I12541" s="232" t="s">
        <v>1253</v>
      </c>
      <c r="J12541" s="228" t="s">
        <v>55</v>
      </c>
      <c r="K12541" s="233"/>
      <c r="L12541" s="233">
        <f>K12540</f>
        <v>517.58912087912086</v>
      </c>
    </row>
    <row r="12542" spans="1:16" ht="11.25" customHeight="1" x14ac:dyDescent="0.2">
      <c r="A12542" s="222">
        <v>2026</v>
      </c>
      <c r="B12542" s="222">
        <v>1</v>
      </c>
      <c r="C12542" s="222">
        <v>12</v>
      </c>
      <c r="D12542" s="223">
        <f t="shared" si="1793"/>
        <v>46034</v>
      </c>
      <c r="E12542" s="240">
        <f t="shared" si="1807"/>
        <v>46034</v>
      </c>
      <c r="F12542" s="511" t="s">
        <v>1247</v>
      </c>
      <c r="G12542" s="225" t="s">
        <v>1245</v>
      </c>
      <c r="H12542" s="226"/>
      <c r="I12542" s="226" t="s">
        <v>1253</v>
      </c>
      <c r="J12542" s="222" t="s">
        <v>77</v>
      </c>
      <c r="K12542" s="227">
        <f>M12542</f>
        <v>7351.8571800754098</v>
      </c>
      <c r="L12542" s="227"/>
      <c r="M12542" s="478">
        <v>7351.8571800754098</v>
      </c>
    </row>
    <row r="12543" spans="1:16" ht="11.25" customHeight="1" x14ac:dyDescent="0.2">
      <c r="A12543" s="228">
        <v>2026</v>
      </c>
      <c r="B12543" s="228">
        <v>1</v>
      </c>
      <c r="C12543" s="228">
        <v>12</v>
      </c>
      <c r="D12543" s="229">
        <f t="shared" si="1793"/>
        <v>46034</v>
      </c>
      <c r="E12543" s="241">
        <f t="shared" si="1807"/>
        <v>46034</v>
      </c>
      <c r="F12543" s="512"/>
      <c r="G12543" s="231" t="s">
        <v>1245</v>
      </c>
      <c r="H12543" s="232"/>
      <c r="I12543" s="232" t="s">
        <v>1253</v>
      </c>
      <c r="J12543" s="228" t="s">
        <v>41</v>
      </c>
      <c r="K12543" s="233"/>
      <c r="L12543" s="233">
        <f>K12542</f>
        <v>7351.8571800754098</v>
      </c>
      <c r="M12543" s="478">
        <v>735.18571800754103</v>
      </c>
      <c r="N12543" s="251"/>
    </row>
    <row r="12544" spans="1:16" ht="11.25" customHeight="1" x14ac:dyDescent="0.2">
      <c r="A12544" s="222">
        <v>2026</v>
      </c>
      <c r="B12544" s="222">
        <v>1</v>
      </c>
      <c r="C12544" s="222">
        <v>12</v>
      </c>
      <c r="D12544" s="223">
        <f t="shared" si="1793"/>
        <v>46034</v>
      </c>
      <c r="E12544" s="240">
        <f t="shared" si="1807"/>
        <v>46034</v>
      </c>
      <c r="F12544" s="511" t="s">
        <v>1248</v>
      </c>
      <c r="G12544" s="225" t="s">
        <v>1245</v>
      </c>
      <c r="H12544" s="226"/>
      <c r="I12544" s="226" t="s">
        <v>1253</v>
      </c>
      <c r="J12544" s="222" t="s">
        <v>80</v>
      </c>
      <c r="K12544" s="227">
        <f>M12543</f>
        <v>735.18571800754103</v>
      </c>
      <c r="L12544" s="227"/>
      <c r="N12544" s="251"/>
      <c r="O12544" s="251"/>
    </row>
    <row r="12545" spans="1:15" ht="11.25" customHeight="1" x14ac:dyDescent="0.2">
      <c r="A12545" s="228">
        <v>2026</v>
      </c>
      <c r="B12545" s="228">
        <v>1</v>
      </c>
      <c r="C12545" s="228">
        <v>12</v>
      </c>
      <c r="D12545" s="229">
        <f t="shared" si="1793"/>
        <v>46034</v>
      </c>
      <c r="E12545" s="241">
        <f t="shared" si="1807"/>
        <v>46034</v>
      </c>
      <c r="F12545" s="512"/>
      <c r="G12545" s="231" t="s">
        <v>1245</v>
      </c>
      <c r="H12545" s="232"/>
      <c r="I12545" s="232" t="s">
        <v>1253</v>
      </c>
      <c r="J12545" s="228" t="s">
        <v>42</v>
      </c>
      <c r="K12545" s="233"/>
      <c r="L12545" s="233">
        <f>K12544</f>
        <v>735.18571800754103</v>
      </c>
      <c r="N12545" s="251"/>
    </row>
    <row r="12546" spans="1:15" x14ac:dyDescent="0.2">
      <c r="A12546" s="197">
        <v>2026</v>
      </c>
      <c r="B12546" s="197">
        <v>1</v>
      </c>
      <c r="C12546" s="197">
        <v>13</v>
      </c>
      <c r="D12546" s="198">
        <f t="shared" ref="D12546:D12609" si="1808">DATE(A12546,B12546,C12546)</f>
        <v>46035</v>
      </c>
      <c r="E12546" s="209">
        <f t="shared" si="1799"/>
        <v>46035</v>
      </c>
      <c r="F12546" s="513" t="s">
        <v>2125</v>
      </c>
      <c r="G12546" s="200" t="s">
        <v>1209</v>
      </c>
      <c r="H12546" s="201"/>
      <c r="I12546" s="201"/>
      <c r="J12546" s="197" t="s">
        <v>16</v>
      </c>
      <c r="K12546" s="202">
        <v>652360</v>
      </c>
      <c r="L12546" s="202"/>
    </row>
    <row r="12547" spans="1:15" x14ac:dyDescent="0.2">
      <c r="A12547" s="120">
        <v>2026</v>
      </c>
      <c r="B12547" s="120">
        <v>1</v>
      </c>
      <c r="C12547" s="120">
        <v>13</v>
      </c>
      <c r="D12547" s="208">
        <f t="shared" si="1808"/>
        <v>46035</v>
      </c>
      <c r="E12547" s="209">
        <f t="shared" si="1799"/>
        <v>46035</v>
      </c>
      <c r="F12547" s="515"/>
      <c r="G12547" s="132" t="s">
        <v>1209</v>
      </c>
      <c r="J12547" s="120" t="s">
        <v>47</v>
      </c>
      <c r="K12547" s="207">
        <v>247640</v>
      </c>
      <c r="L12547" s="207"/>
    </row>
    <row r="12548" spans="1:15" x14ac:dyDescent="0.2">
      <c r="A12548" s="191">
        <v>2026</v>
      </c>
      <c r="B12548" s="191">
        <v>1</v>
      </c>
      <c r="C12548" s="191">
        <v>13</v>
      </c>
      <c r="D12548" s="192">
        <f t="shared" si="1808"/>
        <v>46035</v>
      </c>
      <c r="E12548" s="193">
        <f t="shared" si="1799"/>
        <v>46035</v>
      </c>
      <c r="F12548" s="514"/>
      <c r="G12548" s="194" t="s">
        <v>1209</v>
      </c>
      <c r="H12548" s="195"/>
      <c r="I12548" s="195"/>
      <c r="J12548" s="191" t="s">
        <v>46</v>
      </c>
      <c r="K12548" s="196"/>
      <c r="L12548" s="196">
        <v>900000</v>
      </c>
    </row>
    <row r="12549" spans="1:15" ht="11.25" customHeight="1" x14ac:dyDescent="0.2">
      <c r="A12549" s="197">
        <v>2026</v>
      </c>
      <c r="B12549" s="197">
        <v>1</v>
      </c>
      <c r="C12549" s="197">
        <v>13</v>
      </c>
      <c r="D12549" s="198">
        <f t="shared" si="1808"/>
        <v>46035</v>
      </c>
      <c r="E12549" s="290">
        <f>DATE(A12549,B12549,C12549)</f>
        <v>46035</v>
      </c>
      <c r="F12549" s="513" t="s">
        <v>1514</v>
      </c>
      <c r="G12549" s="200" t="s">
        <v>1209</v>
      </c>
      <c r="H12549" s="201"/>
      <c r="I12549" s="201"/>
      <c r="J12549" s="197" t="s">
        <v>54</v>
      </c>
      <c r="K12549" s="202">
        <v>100</v>
      </c>
      <c r="L12549" s="202"/>
      <c r="O12549" s="251"/>
    </row>
    <row r="12550" spans="1:15" ht="11.25" customHeight="1" x14ac:dyDescent="0.2">
      <c r="A12550" s="191">
        <v>2026</v>
      </c>
      <c r="B12550" s="191">
        <v>1</v>
      </c>
      <c r="C12550" s="191">
        <v>13</v>
      </c>
      <c r="D12550" s="192">
        <f t="shared" si="1808"/>
        <v>46035</v>
      </c>
      <c r="E12550" s="291">
        <f>DATE(A12550,B12550,C12550)</f>
        <v>46035</v>
      </c>
      <c r="F12550" s="514"/>
      <c r="G12550" s="194" t="s">
        <v>1209</v>
      </c>
      <c r="H12550" s="195"/>
      <c r="I12550" s="195"/>
      <c r="J12550" s="191" t="s">
        <v>46</v>
      </c>
      <c r="K12550" s="196"/>
      <c r="L12550" s="196">
        <f>K12549</f>
        <v>100</v>
      </c>
      <c r="O12550" s="251"/>
    </row>
    <row r="12551" spans="1:15" x14ac:dyDescent="0.2">
      <c r="A12551" s="424">
        <v>2026</v>
      </c>
      <c r="B12551" s="424">
        <v>1</v>
      </c>
      <c r="C12551" s="424">
        <v>13</v>
      </c>
      <c r="D12551" s="425">
        <f t="shared" si="1808"/>
        <v>46035</v>
      </c>
      <c r="E12551" s="384">
        <f t="shared" ref="E12551:E12562" si="1809">DATE(A12551,B12551,C12551)</f>
        <v>46035</v>
      </c>
      <c r="F12551" s="516" t="s">
        <v>1850</v>
      </c>
      <c r="G12551" s="426" t="s">
        <v>1209</v>
      </c>
      <c r="H12551" s="427"/>
      <c r="I12551" s="427"/>
      <c r="J12551" s="428" t="s">
        <v>81</v>
      </c>
      <c r="K12551" s="429">
        <v>1595.8173626373627</v>
      </c>
      <c r="L12551" s="429"/>
      <c r="M12551" s="455"/>
    </row>
    <row r="12552" spans="1:15" x14ac:dyDescent="0.2">
      <c r="A12552" s="389">
        <v>2026</v>
      </c>
      <c r="B12552" s="389">
        <v>1</v>
      </c>
      <c r="C12552" s="389">
        <v>13</v>
      </c>
      <c r="D12552" s="390">
        <f t="shared" si="1808"/>
        <v>46035</v>
      </c>
      <c r="E12552" s="391">
        <f t="shared" si="1809"/>
        <v>46035</v>
      </c>
      <c r="F12552" s="517"/>
      <c r="G12552" s="392" t="s">
        <v>1209</v>
      </c>
      <c r="H12552" s="393"/>
      <c r="I12552" s="393"/>
      <c r="J12552" s="394" t="s">
        <v>1847</v>
      </c>
      <c r="K12552" s="423"/>
      <c r="L12552" s="423">
        <f>K12551</f>
        <v>1595.8173626373627</v>
      </c>
    </row>
    <row r="12553" spans="1:15" ht="11.25" customHeight="1" x14ac:dyDescent="0.2">
      <c r="A12553" s="382">
        <v>2026</v>
      </c>
      <c r="B12553" s="382">
        <v>1</v>
      </c>
      <c r="C12553" s="382">
        <v>13</v>
      </c>
      <c r="D12553" s="383">
        <f t="shared" si="1808"/>
        <v>46035</v>
      </c>
      <c r="E12553" s="384">
        <f t="shared" si="1809"/>
        <v>46035</v>
      </c>
      <c r="F12553" s="516" t="s">
        <v>1892</v>
      </c>
      <c r="G12553" s="385" t="s">
        <v>1209</v>
      </c>
      <c r="H12553" s="386"/>
      <c r="I12553" s="386"/>
      <c r="J12553" s="387" t="s">
        <v>173</v>
      </c>
      <c r="K12553" s="388">
        <v>589.59052811527783</v>
      </c>
      <c r="L12553" s="388"/>
      <c r="M12553" s="455"/>
    </row>
    <row r="12554" spans="1:15" ht="11.25" customHeight="1" x14ac:dyDescent="0.2">
      <c r="A12554" s="389">
        <v>2026</v>
      </c>
      <c r="B12554" s="389">
        <v>1</v>
      </c>
      <c r="C12554" s="389">
        <v>13</v>
      </c>
      <c r="D12554" s="390">
        <f t="shared" si="1808"/>
        <v>46035</v>
      </c>
      <c r="E12554" s="391">
        <f t="shared" si="1809"/>
        <v>46035</v>
      </c>
      <c r="F12554" s="517"/>
      <c r="G12554" s="392" t="s">
        <v>1209</v>
      </c>
      <c r="H12554" s="393"/>
      <c r="I12554" s="393"/>
      <c r="J12554" s="394" t="s">
        <v>43</v>
      </c>
      <c r="K12554" s="388"/>
      <c r="L12554" s="423">
        <f>K12553</f>
        <v>589.59052811527783</v>
      </c>
    </row>
    <row r="12555" spans="1:15" ht="11.25" customHeight="1" x14ac:dyDescent="0.2">
      <c r="A12555" s="344">
        <v>2026</v>
      </c>
      <c r="B12555" s="344">
        <v>1</v>
      </c>
      <c r="C12555" s="344">
        <v>13</v>
      </c>
      <c r="D12555" s="345">
        <f t="shared" si="1808"/>
        <v>46035</v>
      </c>
      <c r="E12555" s="346">
        <f t="shared" si="1809"/>
        <v>46035</v>
      </c>
      <c r="F12555" s="518" t="s">
        <v>1982</v>
      </c>
      <c r="G12555" s="347" t="s">
        <v>1245</v>
      </c>
      <c r="H12555" s="348"/>
      <c r="I12555" s="348" t="s">
        <v>1253</v>
      </c>
      <c r="J12555" s="344" t="s">
        <v>1978</v>
      </c>
      <c r="K12555" s="349">
        <v>21249.725274725275</v>
      </c>
      <c r="L12555" s="349"/>
      <c r="M12555" s="455"/>
    </row>
    <row r="12556" spans="1:15" ht="11.25" customHeight="1" x14ac:dyDescent="0.2">
      <c r="A12556" s="350">
        <v>2026</v>
      </c>
      <c r="B12556" s="350">
        <v>1</v>
      </c>
      <c r="C12556" s="350">
        <v>13</v>
      </c>
      <c r="D12556" s="351">
        <f t="shared" si="1808"/>
        <v>46035</v>
      </c>
      <c r="E12556" s="352">
        <f t="shared" si="1809"/>
        <v>46035</v>
      </c>
      <c r="F12556" s="519"/>
      <c r="G12556" s="353" t="s">
        <v>1245</v>
      </c>
      <c r="H12556" s="354"/>
      <c r="I12556" s="354" t="s">
        <v>1253</v>
      </c>
      <c r="J12556" s="350" t="s">
        <v>1979</v>
      </c>
      <c r="K12556" s="355"/>
      <c r="L12556" s="355">
        <f>K12555</f>
        <v>21249.725274725275</v>
      </c>
    </row>
    <row r="12557" spans="1:15" ht="11.25" customHeight="1" x14ac:dyDescent="0.2">
      <c r="A12557" s="344">
        <v>2026</v>
      </c>
      <c r="B12557" s="344">
        <v>1</v>
      </c>
      <c r="C12557" s="344">
        <v>13</v>
      </c>
      <c r="D12557" s="345">
        <f t="shared" si="1808"/>
        <v>46035</v>
      </c>
      <c r="E12557" s="346">
        <f t="shared" si="1809"/>
        <v>46035</v>
      </c>
      <c r="F12557" s="518" t="s">
        <v>2009</v>
      </c>
      <c r="G12557" s="347" t="s">
        <v>1245</v>
      </c>
      <c r="H12557" s="348"/>
      <c r="I12557" s="348" t="s">
        <v>1253</v>
      </c>
      <c r="J12557" s="344" t="s">
        <v>2004</v>
      </c>
      <c r="K12557" s="349">
        <v>7098.9014285714284</v>
      </c>
      <c r="L12557" s="349"/>
      <c r="M12557" s="455"/>
    </row>
    <row r="12558" spans="1:15" ht="11.25" customHeight="1" x14ac:dyDescent="0.2">
      <c r="A12558" s="350">
        <v>2026</v>
      </c>
      <c r="B12558" s="350">
        <v>1</v>
      </c>
      <c r="C12558" s="350">
        <v>13</v>
      </c>
      <c r="D12558" s="351">
        <f t="shared" si="1808"/>
        <v>46035</v>
      </c>
      <c r="E12558" s="352">
        <f t="shared" si="1809"/>
        <v>46035</v>
      </c>
      <c r="F12558" s="519"/>
      <c r="G12558" s="353" t="s">
        <v>1245</v>
      </c>
      <c r="H12558" s="354"/>
      <c r="I12558" s="354" t="s">
        <v>1253</v>
      </c>
      <c r="J12558" s="350" t="s">
        <v>2008</v>
      </c>
      <c r="K12558" s="355"/>
      <c r="L12558" s="355">
        <f t="shared" ref="L12558" si="1810">K12557</f>
        <v>7098.9014285714284</v>
      </c>
    </row>
    <row r="12559" spans="1:15" ht="11.25" customHeight="1" x14ac:dyDescent="0.2">
      <c r="A12559" s="344">
        <v>2026</v>
      </c>
      <c r="B12559" s="344">
        <v>1</v>
      </c>
      <c r="C12559" s="344">
        <v>13</v>
      </c>
      <c r="D12559" s="345">
        <f t="shared" si="1808"/>
        <v>46035</v>
      </c>
      <c r="E12559" s="346">
        <f t="shared" si="1809"/>
        <v>46035</v>
      </c>
      <c r="F12559" s="518" t="s">
        <v>2009</v>
      </c>
      <c r="G12559" s="347" t="s">
        <v>1245</v>
      </c>
      <c r="H12559" s="348"/>
      <c r="I12559" s="348" t="s">
        <v>1253</v>
      </c>
      <c r="J12559" s="344" t="s">
        <v>2004</v>
      </c>
      <c r="K12559" s="349">
        <v>7098.9014285714284</v>
      </c>
      <c r="L12559" s="349"/>
      <c r="M12559" s="455"/>
    </row>
    <row r="12560" spans="1:15" ht="11.25" customHeight="1" x14ac:dyDescent="0.2">
      <c r="A12560" s="350">
        <v>2026</v>
      </c>
      <c r="B12560" s="350">
        <v>1</v>
      </c>
      <c r="C12560" s="350">
        <v>13</v>
      </c>
      <c r="D12560" s="351">
        <f t="shared" si="1808"/>
        <v>46035</v>
      </c>
      <c r="E12560" s="352">
        <f t="shared" si="1809"/>
        <v>46035</v>
      </c>
      <c r="F12560" s="519"/>
      <c r="G12560" s="353" t="s">
        <v>1245</v>
      </c>
      <c r="H12560" s="354"/>
      <c r="I12560" s="354" t="s">
        <v>1253</v>
      </c>
      <c r="J12560" s="350" t="s">
        <v>2008</v>
      </c>
      <c r="K12560" s="355"/>
      <c r="L12560" s="355">
        <f t="shared" ref="L12560" si="1811">K12559</f>
        <v>7098.9014285714284</v>
      </c>
    </row>
    <row r="12561" spans="1:16" ht="11.25" customHeight="1" x14ac:dyDescent="0.2">
      <c r="A12561" s="344">
        <v>2026</v>
      </c>
      <c r="B12561" s="344">
        <v>1</v>
      </c>
      <c r="C12561" s="344">
        <v>13</v>
      </c>
      <c r="D12561" s="345">
        <f t="shared" si="1808"/>
        <v>46035</v>
      </c>
      <c r="E12561" s="346">
        <f t="shared" si="1809"/>
        <v>46035</v>
      </c>
      <c r="F12561" s="518" t="s">
        <v>2088</v>
      </c>
      <c r="G12561" s="347" t="s">
        <v>1245</v>
      </c>
      <c r="H12561" s="348"/>
      <c r="I12561" s="348" t="s">
        <v>1253</v>
      </c>
      <c r="J12561" s="344" t="s">
        <v>2086</v>
      </c>
      <c r="K12561" s="349">
        <v>1789.835164835165</v>
      </c>
      <c r="L12561" s="349"/>
      <c r="M12561" s="455"/>
    </row>
    <row r="12562" spans="1:16" ht="11.25" customHeight="1" x14ac:dyDescent="0.2">
      <c r="A12562" s="350">
        <v>2026</v>
      </c>
      <c r="B12562" s="350">
        <v>1</v>
      </c>
      <c r="C12562" s="350">
        <v>13</v>
      </c>
      <c r="D12562" s="351">
        <f t="shared" si="1808"/>
        <v>46035</v>
      </c>
      <c r="E12562" s="352">
        <f t="shared" si="1809"/>
        <v>46035</v>
      </c>
      <c r="F12562" s="519"/>
      <c r="G12562" s="353" t="s">
        <v>1245</v>
      </c>
      <c r="H12562" s="354"/>
      <c r="I12562" s="354" t="s">
        <v>1253</v>
      </c>
      <c r="J12562" s="350" t="s">
        <v>2089</v>
      </c>
      <c r="K12562" s="355"/>
      <c r="L12562" s="355">
        <f>K12561</f>
        <v>1789.835164835165</v>
      </c>
    </row>
    <row r="12563" spans="1:16" ht="11.25" customHeight="1" x14ac:dyDescent="0.2">
      <c r="A12563" s="344">
        <v>2026</v>
      </c>
      <c r="B12563" s="344">
        <v>1</v>
      </c>
      <c r="C12563" s="344">
        <v>13</v>
      </c>
      <c r="D12563" s="345">
        <f t="shared" si="1808"/>
        <v>46035</v>
      </c>
      <c r="E12563" s="346">
        <f>DATE(A12563,B12563,C12563)</f>
        <v>46035</v>
      </c>
      <c r="F12563" s="518" t="s">
        <v>1988</v>
      </c>
      <c r="G12563" s="347" t="s">
        <v>1245</v>
      </c>
      <c r="H12563" s="348"/>
      <c r="I12563" s="348" t="s">
        <v>1253</v>
      </c>
      <c r="J12563" s="344" t="s">
        <v>113</v>
      </c>
      <c r="K12563" s="349">
        <v>4692.3071428571429</v>
      </c>
      <c r="L12563" s="349"/>
      <c r="M12563" s="455"/>
    </row>
    <row r="12564" spans="1:16" ht="11.25" customHeight="1" x14ac:dyDescent="0.2">
      <c r="A12564" s="350">
        <v>2026</v>
      </c>
      <c r="B12564" s="350">
        <v>1</v>
      </c>
      <c r="C12564" s="350">
        <v>13</v>
      </c>
      <c r="D12564" s="351">
        <f t="shared" si="1808"/>
        <v>46035</v>
      </c>
      <c r="E12564" s="352">
        <f>DATE(A12564,B12564,C12564)</f>
        <v>46035</v>
      </c>
      <c r="F12564" s="519"/>
      <c r="G12564" s="353" t="s">
        <v>1245</v>
      </c>
      <c r="H12564" s="354"/>
      <c r="I12564" s="354" t="s">
        <v>1253</v>
      </c>
      <c r="J12564" s="350" t="s">
        <v>153</v>
      </c>
      <c r="K12564" s="355"/>
      <c r="L12564" s="355">
        <f t="shared" ref="L12564" si="1812">K12563</f>
        <v>4692.3071428571429</v>
      </c>
    </row>
    <row r="12565" spans="1:16" ht="11.25" customHeight="1" x14ac:dyDescent="0.2">
      <c r="A12565" s="344">
        <v>2026</v>
      </c>
      <c r="B12565" s="344">
        <v>1</v>
      </c>
      <c r="C12565" s="344">
        <v>13</v>
      </c>
      <c r="D12565" s="345">
        <f t="shared" si="1808"/>
        <v>46035</v>
      </c>
      <c r="E12565" s="346">
        <f t="shared" ref="E12565:E12571" si="1813">DATE(A12565,B12565,C12565)</f>
        <v>46035</v>
      </c>
      <c r="F12565" s="518" t="s">
        <v>1989</v>
      </c>
      <c r="G12565" s="347" t="s">
        <v>1245</v>
      </c>
      <c r="H12565" s="348"/>
      <c r="I12565" s="348" t="s">
        <v>1253</v>
      </c>
      <c r="J12565" s="344" t="s">
        <v>113</v>
      </c>
      <c r="K12565" s="349">
        <v>3351.6483516483518</v>
      </c>
      <c r="L12565" s="349"/>
      <c r="M12565" s="455"/>
    </row>
    <row r="12566" spans="1:16" ht="11.25" customHeight="1" x14ac:dyDescent="0.2">
      <c r="A12566" s="350">
        <v>2026</v>
      </c>
      <c r="B12566" s="350">
        <v>1</v>
      </c>
      <c r="C12566" s="350">
        <v>13</v>
      </c>
      <c r="D12566" s="351">
        <f t="shared" si="1808"/>
        <v>46035</v>
      </c>
      <c r="E12566" s="352">
        <f t="shared" si="1813"/>
        <v>46035</v>
      </c>
      <c r="F12566" s="519"/>
      <c r="G12566" s="353" t="s">
        <v>1245</v>
      </c>
      <c r="H12566" s="354"/>
      <c r="I12566" s="354" t="s">
        <v>1253</v>
      </c>
      <c r="J12566" s="350" t="s">
        <v>153</v>
      </c>
      <c r="K12566" s="355"/>
      <c r="L12566" s="355">
        <f t="shared" ref="L12566" si="1814">K12565</f>
        <v>3351.6483516483518</v>
      </c>
    </row>
    <row r="12567" spans="1:16" ht="11.25" customHeight="1" x14ac:dyDescent="0.2">
      <c r="A12567" s="344">
        <v>2026</v>
      </c>
      <c r="B12567" s="344">
        <v>1</v>
      </c>
      <c r="C12567" s="344">
        <v>13</v>
      </c>
      <c r="D12567" s="345">
        <f t="shared" si="1808"/>
        <v>46035</v>
      </c>
      <c r="E12567" s="346">
        <f t="shared" si="1813"/>
        <v>46035</v>
      </c>
      <c r="F12567" s="518" t="s">
        <v>1990</v>
      </c>
      <c r="G12567" s="347" t="s">
        <v>1245</v>
      </c>
      <c r="H12567" s="348"/>
      <c r="I12567" s="348" t="s">
        <v>1253</v>
      </c>
      <c r="J12567" s="344" t="s">
        <v>113</v>
      </c>
      <c r="K12567" s="349">
        <v>10054.945714285714</v>
      </c>
      <c r="L12567" s="349"/>
      <c r="M12567" s="455"/>
      <c r="N12567" s="251"/>
      <c r="O12567" s="251"/>
      <c r="P12567" s="251"/>
    </row>
    <row r="12568" spans="1:16" ht="11.25" customHeight="1" x14ac:dyDescent="0.2">
      <c r="A12568" s="350">
        <v>2026</v>
      </c>
      <c r="B12568" s="350">
        <v>1</v>
      </c>
      <c r="C12568" s="350">
        <v>13</v>
      </c>
      <c r="D12568" s="351">
        <f t="shared" si="1808"/>
        <v>46035</v>
      </c>
      <c r="E12568" s="352">
        <f t="shared" si="1813"/>
        <v>46035</v>
      </c>
      <c r="F12568" s="519"/>
      <c r="G12568" s="353" t="s">
        <v>1245</v>
      </c>
      <c r="H12568" s="354"/>
      <c r="I12568" s="354" t="s">
        <v>1253</v>
      </c>
      <c r="J12568" s="350" t="s">
        <v>153</v>
      </c>
      <c r="K12568" s="355"/>
      <c r="L12568" s="355">
        <f t="shared" ref="L12568" si="1815">K12567</f>
        <v>10054.945714285714</v>
      </c>
    </row>
    <row r="12569" spans="1:16" ht="11.25" customHeight="1" x14ac:dyDescent="0.2">
      <c r="A12569" s="344">
        <v>2026</v>
      </c>
      <c r="B12569" s="344">
        <v>1</v>
      </c>
      <c r="C12569" s="344">
        <v>13</v>
      </c>
      <c r="D12569" s="345">
        <f t="shared" si="1808"/>
        <v>46035</v>
      </c>
      <c r="E12569" s="346">
        <f t="shared" si="1813"/>
        <v>46035</v>
      </c>
      <c r="F12569" s="518" t="s">
        <v>2107</v>
      </c>
      <c r="G12569" s="347" t="s">
        <v>1245</v>
      </c>
      <c r="H12569" s="348"/>
      <c r="I12569" s="348" t="s">
        <v>1253</v>
      </c>
      <c r="J12569" s="344" t="s">
        <v>113</v>
      </c>
      <c r="K12569" s="349">
        <v>12370.879120879121</v>
      </c>
      <c r="L12569" s="349"/>
      <c r="M12569" s="455"/>
      <c r="N12569" s="251"/>
      <c r="O12569" s="251"/>
      <c r="P12569" s="251"/>
    </row>
    <row r="12570" spans="1:16" ht="11.25" customHeight="1" x14ac:dyDescent="0.2">
      <c r="A12570" s="350">
        <v>2026</v>
      </c>
      <c r="B12570" s="350">
        <v>1</v>
      </c>
      <c r="C12570" s="350">
        <v>13</v>
      </c>
      <c r="D12570" s="351">
        <f t="shared" si="1808"/>
        <v>46035</v>
      </c>
      <c r="E12570" s="352">
        <f t="shared" si="1813"/>
        <v>46035</v>
      </c>
      <c r="F12570" s="519"/>
      <c r="G12570" s="353" t="s">
        <v>1245</v>
      </c>
      <c r="H12570" s="354"/>
      <c r="I12570" s="354" t="s">
        <v>1253</v>
      </c>
      <c r="J12570" s="350" t="s">
        <v>153</v>
      </c>
      <c r="K12570" s="355"/>
      <c r="L12570" s="355">
        <f t="shared" ref="L12570" si="1816">K12569</f>
        <v>12370.879120879121</v>
      </c>
    </row>
    <row r="12571" spans="1:16" ht="11.25" customHeight="1" x14ac:dyDescent="0.2">
      <c r="A12571" s="210">
        <v>2026</v>
      </c>
      <c r="B12571" s="210">
        <v>1</v>
      </c>
      <c r="C12571" s="210">
        <v>13</v>
      </c>
      <c r="D12571" s="211">
        <f t="shared" si="1808"/>
        <v>46035</v>
      </c>
      <c r="E12571" s="238">
        <f t="shared" si="1813"/>
        <v>46035</v>
      </c>
      <c r="F12571" s="520" t="s">
        <v>1857</v>
      </c>
      <c r="G12571" s="213" t="s">
        <v>1245</v>
      </c>
      <c r="H12571" s="214"/>
      <c r="I12571" s="214" t="s">
        <v>1253</v>
      </c>
      <c r="J12571" s="210" t="s">
        <v>1284</v>
      </c>
      <c r="K12571" s="215">
        <v>334.54448777029421</v>
      </c>
      <c r="L12571" s="215"/>
      <c r="M12571" s="455"/>
    </row>
    <row r="12572" spans="1:16" ht="11.25" customHeight="1" x14ac:dyDescent="0.2">
      <c r="A12572" s="242">
        <v>2026</v>
      </c>
      <c r="B12572" s="242">
        <v>1</v>
      </c>
      <c r="C12572" s="242">
        <v>13</v>
      </c>
      <c r="D12572" s="243">
        <f t="shared" si="1808"/>
        <v>46035</v>
      </c>
      <c r="E12572" s="244">
        <f>DATE(A12572,B12572,C12572)</f>
        <v>46035</v>
      </c>
      <c r="F12572" s="524"/>
      <c r="G12572" s="245" t="s">
        <v>1245</v>
      </c>
      <c r="H12572" s="246"/>
      <c r="I12572" s="246"/>
      <c r="J12572" s="242" t="s">
        <v>1582</v>
      </c>
      <c r="K12572" s="247"/>
      <c r="L12572" s="247">
        <f>K12571</f>
        <v>334.54448777029421</v>
      </c>
    </row>
    <row r="12573" spans="1:16" ht="11.25" customHeight="1" x14ac:dyDescent="0.2">
      <c r="A12573" s="210">
        <v>2026</v>
      </c>
      <c r="B12573" s="210">
        <v>1</v>
      </c>
      <c r="C12573" s="210">
        <v>13</v>
      </c>
      <c r="D12573" s="211">
        <f t="shared" si="1808"/>
        <v>46035</v>
      </c>
      <c r="E12573" s="238">
        <f t="shared" ref="E12573:E12587" si="1817">DATE(A12573,B12573,C12573)</f>
        <v>46035</v>
      </c>
      <c r="F12573" s="520" t="s">
        <v>2055</v>
      </c>
      <c r="G12573" s="213" t="s">
        <v>1245</v>
      </c>
      <c r="H12573" s="214"/>
      <c r="I12573" s="214" t="s">
        <v>1253</v>
      </c>
      <c r="J12573" s="210" t="s">
        <v>58</v>
      </c>
      <c r="K12573" s="215">
        <v>310.8</v>
      </c>
      <c r="L12573" s="215"/>
    </row>
    <row r="12574" spans="1:16" ht="11.25" customHeight="1" x14ac:dyDescent="0.2">
      <c r="A12574" s="216">
        <v>2026</v>
      </c>
      <c r="B12574" s="216">
        <v>1</v>
      </c>
      <c r="C12574" s="216">
        <v>13</v>
      </c>
      <c r="D12574" s="217">
        <f t="shared" si="1808"/>
        <v>46035</v>
      </c>
      <c r="E12574" s="239">
        <f t="shared" si="1817"/>
        <v>46035</v>
      </c>
      <c r="F12574" s="521"/>
      <c r="G12574" s="219" t="s">
        <v>1245</v>
      </c>
      <c r="H12574" s="220"/>
      <c r="I12574" s="220" t="s">
        <v>1253</v>
      </c>
      <c r="J12574" s="216" t="s">
        <v>153</v>
      </c>
      <c r="K12574" s="221"/>
      <c r="L12574" s="221">
        <f>K12573</f>
        <v>310.8</v>
      </c>
    </row>
    <row r="12575" spans="1:16" ht="11.25" customHeight="1" x14ac:dyDescent="0.2">
      <c r="A12575" s="312">
        <v>2026</v>
      </c>
      <c r="B12575" s="312">
        <v>1</v>
      </c>
      <c r="C12575" s="312">
        <v>13</v>
      </c>
      <c r="D12575" s="313">
        <f t="shared" si="1808"/>
        <v>46035</v>
      </c>
      <c r="E12575" s="314">
        <f t="shared" si="1817"/>
        <v>46035</v>
      </c>
      <c r="F12575" s="522" t="s">
        <v>1595</v>
      </c>
      <c r="G12575" s="315" t="s">
        <v>1245</v>
      </c>
      <c r="H12575" s="316"/>
      <c r="I12575" s="316" t="s">
        <v>1253</v>
      </c>
      <c r="J12575" s="312" t="s">
        <v>1461</v>
      </c>
      <c r="K12575" s="317">
        <v>1043935.0169999003</v>
      </c>
      <c r="L12575" s="317"/>
      <c r="M12575" s="328"/>
    </row>
    <row r="12576" spans="1:16" ht="11.25" customHeight="1" x14ac:dyDescent="0.2">
      <c r="A12576" s="318">
        <v>2026</v>
      </c>
      <c r="B12576" s="318">
        <v>1</v>
      </c>
      <c r="C12576" s="318">
        <v>13</v>
      </c>
      <c r="D12576" s="319">
        <f t="shared" si="1808"/>
        <v>46035</v>
      </c>
      <c r="E12576" s="320">
        <f t="shared" si="1817"/>
        <v>46035</v>
      </c>
      <c r="F12576" s="523"/>
      <c r="G12576" s="321" t="s">
        <v>1245</v>
      </c>
      <c r="H12576" s="322"/>
      <c r="I12576" s="322" t="s">
        <v>1253</v>
      </c>
      <c r="J12576" s="318" t="s">
        <v>1459</v>
      </c>
      <c r="K12576" s="323"/>
      <c r="L12576" s="323">
        <f>K12575</f>
        <v>1043935.0169999003</v>
      </c>
      <c r="M12576" s="328"/>
    </row>
    <row r="12577" spans="1:15" ht="11.25" customHeight="1" x14ac:dyDescent="0.2">
      <c r="A12577" s="222">
        <v>2026</v>
      </c>
      <c r="B12577" s="222">
        <v>1</v>
      </c>
      <c r="C12577" s="222">
        <v>13</v>
      </c>
      <c r="D12577" s="223">
        <f t="shared" si="1808"/>
        <v>46035</v>
      </c>
      <c r="E12577" s="240">
        <f t="shared" si="1817"/>
        <v>46035</v>
      </c>
      <c r="F12577" s="511" t="s">
        <v>1244</v>
      </c>
      <c r="G12577" s="225" t="s">
        <v>1245</v>
      </c>
      <c r="H12577" s="226"/>
      <c r="I12577" s="226" t="s">
        <v>1253</v>
      </c>
      <c r="J12577" s="222" t="s">
        <v>87</v>
      </c>
      <c r="K12577" s="227">
        <v>5231.5</v>
      </c>
      <c r="L12577" s="227"/>
      <c r="M12577" s="328"/>
    </row>
    <row r="12578" spans="1:15" ht="11.25" customHeight="1" x14ac:dyDescent="0.2">
      <c r="A12578" s="228">
        <v>2026</v>
      </c>
      <c r="B12578" s="228">
        <v>1</v>
      </c>
      <c r="C12578" s="228">
        <v>13</v>
      </c>
      <c r="D12578" s="229">
        <f t="shared" si="1808"/>
        <v>46035</v>
      </c>
      <c r="E12578" s="241">
        <f t="shared" si="1817"/>
        <v>46035</v>
      </c>
      <c r="F12578" s="512"/>
      <c r="G12578" s="231" t="s">
        <v>1245</v>
      </c>
      <c r="H12578" s="232"/>
      <c r="I12578" s="232" t="s">
        <v>1253</v>
      </c>
      <c r="J12578" s="228" t="s">
        <v>72</v>
      </c>
      <c r="K12578" s="233"/>
      <c r="L12578" s="233">
        <f>K12577</f>
        <v>5231.5</v>
      </c>
    </row>
    <row r="12579" spans="1:15" ht="11.25" customHeight="1" x14ac:dyDescent="0.2">
      <c r="A12579" s="222">
        <v>2026</v>
      </c>
      <c r="B12579" s="222">
        <v>1</v>
      </c>
      <c r="C12579" s="222">
        <v>13</v>
      </c>
      <c r="D12579" s="223">
        <f t="shared" si="1808"/>
        <v>46035</v>
      </c>
      <c r="E12579" s="240">
        <f t="shared" si="1817"/>
        <v>46035</v>
      </c>
      <c r="F12579" s="511" t="s">
        <v>1246</v>
      </c>
      <c r="G12579" s="225" t="s">
        <v>1245</v>
      </c>
      <c r="H12579" s="226"/>
      <c r="I12579" s="226" t="s">
        <v>1253</v>
      </c>
      <c r="J12579" s="222" t="s">
        <v>75</v>
      </c>
      <c r="K12579" s="227">
        <v>517.58912087912086</v>
      </c>
      <c r="L12579" s="227"/>
      <c r="M12579" s="455"/>
    </row>
    <row r="12580" spans="1:15" ht="11.25" customHeight="1" x14ac:dyDescent="0.2">
      <c r="A12580" s="228">
        <v>2026</v>
      </c>
      <c r="B12580" s="228">
        <v>1</v>
      </c>
      <c r="C12580" s="228">
        <v>13</v>
      </c>
      <c r="D12580" s="229">
        <f t="shared" si="1808"/>
        <v>46035</v>
      </c>
      <c r="E12580" s="241">
        <f t="shared" si="1817"/>
        <v>46035</v>
      </c>
      <c r="F12580" s="512"/>
      <c r="G12580" s="231" t="s">
        <v>1245</v>
      </c>
      <c r="H12580" s="232"/>
      <c r="I12580" s="232" t="s">
        <v>1253</v>
      </c>
      <c r="J12580" s="228" t="s">
        <v>55</v>
      </c>
      <c r="K12580" s="233"/>
      <c r="L12580" s="233">
        <f>K12579</f>
        <v>517.58912087912086</v>
      </c>
    </row>
    <row r="12581" spans="1:15" ht="11.25" customHeight="1" x14ac:dyDescent="0.2">
      <c r="A12581" s="222">
        <v>2026</v>
      </c>
      <c r="B12581" s="222">
        <v>1</v>
      </c>
      <c r="C12581" s="222">
        <v>13</v>
      </c>
      <c r="D12581" s="223">
        <f t="shared" si="1808"/>
        <v>46035</v>
      </c>
      <c r="E12581" s="240">
        <f t="shared" si="1817"/>
        <v>46035</v>
      </c>
      <c r="F12581" s="511" t="s">
        <v>1247</v>
      </c>
      <c r="G12581" s="225" t="s">
        <v>1245</v>
      </c>
      <c r="H12581" s="226"/>
      <c r="I12581" s="226" t="s">
        <v>1253</v>
      </c>
      <c r="J12581" s="222" t="s">
        <v>77</v>
      </c>
      <c r="K12581" s="227">
        <f>M12581</f>
        <v>7367.060058871909</v>
      </c>
      <c r="L12581" s="227"/>
      <c r="M12581" s="478">
        <v>7367.060058871909</v>
      </c>
    </row>
    <row r="12582" spans="1:15" ht="11.25" customHeight="1" x14ac:dyDescent="0.2">
      <c r="A12582" s="228">
        <v>2026</v>
      </c>
      <c r="B12582" s="228">
        <v>1</v>
      </c>
      <c r="C12582" s="228">
        <v>13</v>
      </c>
      <c r="D12582" s="229">
        <f t="shared" si="1808"/>
        <v>46035</v>
      </c>
      <c r="E12582" s="241">
        <f t="shared" si="1817"/>
        <v>46035</v>
      </c>
      <c r="F12582" s="512"/>
      <c r="G12582" s="231" t="s">
        <v>1245</v>
      </c>
      <c r="H12582" s="232"/>
      <c r="I12582" s="232" t="s">
        <v>1253</v>
      </c>
      <c r="J12582" s="228" t="s">
        <v>41</v>
      </c>
      <c r="K12582" s="233"/>
      <c r="L12582" s="233">
        <f>K12581</f>
        <v>7367.060058871909</v>
      </c>
      <c r="M12582" s="478">
        <v>736.70600588719083</v>
      </c>
      <c r="N12582" s="251"/>
    </row>
    <row r="12583" spans="1:15" ht="11.25" customHeight="1" x14ac:dyDescent="0.2">
      <c r="A12583" s="222">
        <v>2026</v>
      </c>
      <c r="B12583" s="222">
        <v>1</v>
      </c>
      <c r="C12583" s="222">
        <v>13</v>
      </c>
      <c r="D12583" s="223">
        <f t="shared" si="1808"/>
        <v>46035</v>
      </c>
      <c r="E12583" s="240">
        <f t="shared" si="1817"/>
        <v>46035</v>
      </c>
      <c r="F12583" s="511" t="s">
        <v>1248</v>
      </c>
      <c r="G12583" s="225" t="s">
        <v>1245</v>
      </c>
      <c r="H12583" s="226"/>
      <c r="I12583" s="226" t="s">
        <v>1253</v>
      </c>
      <c r="J12583" s="222" t="s">
        <v>80</v>
      </c>
      <c r="K12583" s="227">
        <f>M12582</f>
        <v>736.70600588719083</v>
      </c>
      <c r="L12583" s="227"/>
      <c r="N12583" s="251"/>
      <c r="O12583" s="251"/>
    </row>
    <row r="12584" spans="1:15" ht="11.25" customHeight="1" x14ac:dyDescent="0.2">
      <c r="A12584" s="228">
        <v>2026</v>
      </c>
      <c r="B12584" s="228">
        <v>1</v>
      </c>
      <c r="C12584" s="228">
        <v>13</v>
      </c>
      <c r="D12584" s="229">
        <f t="shared" si="1808"/>
        <v>46035</v>
      </c>
      <c r="E12584" s="241">
        <f t="shared" si="1817"/>
        <v>46035</v>
      </c>
      <c r="F12584" s="512"/>
      <c r="G12584" s="231" t="s">
        <v>1245</v>
      </c>
      <c r="H12584" s="232"/>
      <c r="I12584" s="232" t="s">
        <v>1253</v>
      </c>
      <c r="J12584" s="228" t="s">
        <v>42</v>
      </c>
      <c r="K12584" s="233"/>
      <c r="L12584" s="233">
        <f>K12583</f>
        <v>736.70600588719083</v>
      </c>
      <c r="N12584" s="251"/>
    </row>
    <row r="12585" spans="1:15" x14ac:dyDescent="0.2">
      <c r="A12585" s="197">
        <v>2026</v>
      </c>
      <c r="B12585" s="197">
        <v>1</v>
      </c>
      <c r="C12585" s="197">
        <v>14</v>
      </c>
      <c r="D12585" s="198">
        <f t="shared" si="1808"/>
        <v>46036</v>
      </c>
      <c r="E12585" s="209">
        <f t="shared" si="1817"/>
        <v>46036</v>
      </c>
      <c r="F12585" s="513" t="s">
        <v>1296</v>
      </c>
      <c r="G12585" s="200" t="s">
        <v>1209</v>
      </c>
      <c r="H12585" s="201"/>
      <c r="I12585" s="201"/>
      <c r="J12585" s="197" t="s">
        <v>46</v>
      </c>
      <c r="K12585" s="202">
        <v>5000</v>
      </c>
      <c r="L12585" s="202"/>
    </row>
    <row r="12586" spans="1:15" x14ac:dyDescent="0.2">
      <c r="A12586" s="120">
        <v>2026</v>
      </c>
      <c r="B12586" s="120">
        <v>1</v>
      </c>
      <c r="C12586" s="120">
        <v>14</v>
      </c>
      <c r="D12586" s="208">
        <f t="shared" si="1808"/>
        <v>46036</v>
      </c>
      <c r="E12586" s="209">
        <f t="shared" si="1817"/>
        <v>46036</v>
      </c>
      <c r="F12586" s="515"/>
      <c r="G12586" s="132" t="s">
        <v>1209</v>
      </c>
      <c r="J12586" s="120" t="s">
        <v>16</v>
      </c>
      <c r="K12586" s="207"/>
      <c r="L12586" s="207">
        <v>3620</v>
      </c>
    </row>
    <row r="12587" spans="1:15" x14ac:dyDescent="0.2">
      <c r="A12587" s="191">
        <v>2026</v>
      </c>
      <c r="B12587" s="191">
        <v>1</v>
      </c>
      <c r="C12587" s="191">
        <v>14</v>
      </c>
      <c r="D12587" s="192">
        <f t="shared" si="1808"/>
        <v>46036</v>
      </c>
      <c r="E12587" s="193">
        <f t="shared" si="1817"/>
        <v>46036</v>
      </c>
      <c r="F12587" s="514"/>
      <c r="G12587" s="194" t="s">
        <v>1209</v>
      </c>
      <c r="H12587" s="195"/>
      <c r="I12587" s="195"/>
      <c r="J12587" s="191" t="s">
        <v>47</v>
      </c>
      <c r="K12587" s="196"/>
      <c r="L12587" s="196">
        <v>1380</v>
      </c>
    </row>
    <row r="12588" spans="1:15" x14ac:dyDescent="0.2">
      <c r="A12588" s="197">
        <v>2026</v>
      </c>
      <c r="B12588" s="197">
        <v>1</v>
      </c>
      <c r="C12588" s="197">
        <v>14</v>
      </c>
      <c r="D12588" s="198">
        <f t="shared" si="1808"/>
        <v>46036</v>
      </c>
      <c r="E12588" s="209">
        <f t="shared" ref="E12588:E12590" si="1818">DATE(A12588,B12588,C12588)</f>
        <v>46036</v>
      </c>
      <c r="F12588" s="513" t="s">
        <v>2113</v>
      </c>
      <c r="G12588" s="200" t="s">
        <v>1209</v>
      </c>
      <c r="H12588" s="201"/>
      <c r="I12588" s="201"/>
      <c r="J12588" s="197" t="s">
        <v>46</v>
      </c>
      <c r="K12588" s="202">
        <v>2000000</v>
      </c>
      <c r="L12588" s="202"/>
    </row>
    <row r="12589" spans="1:15" x14ac:dyDescent="0.2">
      <c r="A12589" s="120">
        <v>2026</v>
      </c>
      <c r="B12589" s="120">
        <v>1</v>
      </c>
      <c r="C12589" s="120">
        <v>14</v>
      </c>
      <c r="D12589" s="208">
        <f t="shared" si="1808"/>
        <v>46036</v>
      </c>
      <c r="E12589" s="209">
        <f t="shared" si="1818"/>
        <v>46036</v>
      </c>
      <c r="F12589" s="515"/>
      <c r="G12589" s="132" t="s">
        <v>1209</v>
      </c>
      <c r="J12589" s="120" t="s">
        <v>16</v>
      </c>
      <c r="K12589" s="207"/>
      <c r="L12589" s="207">
        <v>1449690</v>
      </c>
    </row>
    <row r="12590" spans="1:15" x14ac:dyDescent="0.2">
      <c r="A12590" s="191">
        <v>2026</v>
      </c>
      <c r="B12590" s="191">
        <v>1</v>
      </c>
      <c r="C12590" s="191">
        <v>14</v>
      </c>
      <c r="D12590" s="192">
        <f t="shared" si="1808"/>
        <v>46036</v>
      </c>
      <c r="E12590" s="193">
        <f t="shared" si="1818"/>
        <v>46036</v>
      </c>
      <c r="F12590" s="514"/>
      <c r="G12590" s="194" t="s">
        <v>1209</v>
      </c>
      <c r="H12590" s="195"/>
      <c r="I12590" s="195"/>
      <c r="J12590" s="191" t="s">
        <v>47</v>
      </c>
      <c r="K12590" s="196"/>
      <c r="L12590" s="196">
        <v>550310</v>
      </c>
    </row>
    <row r="12591" spans="1:15" ht="11.25" customHeight="1" x14ac:dyDescent="0.2">
      <c r="A12591" s="197">
        <v>2026</v>
      </c>
      <c r="B12591" s="197">
        <v>1</v>
      </c>
      <c r="C12591" s="197">
        <v>14</v>
      </c>
      <c r="D12591" s="198">
        <f t="shared" si="1808"/>
        <v>46036</v>
      </c>
      <c r="E12591" s="290">
        <f>DATE(A12591,B12591,C12591)</f>
        <v>46036</v>
      </c>
      <c r="F12591" s="513" t="s">
        <v>1527</v>
      </c>
      <c r="G12591" s="200" t="s">
        <v>1209</v>
      </c>
      <c r="H12591" s="201"/>
      <c r="I12591" s="201"/>
      <c r="J12591" s="197" t="s">
        <v>54</v>
      </c>
      <c r="K12591" s="202">
        <v>60</v>
      </c>
      <c r="L12591" s="202"/>
      <c r="O12591" s="251"/>
    </row>
    <row r="12592" spans="1:15" ht="11.25" customHeight="1" x14ac:dyDescent="0.2">
      <c r="A12592" s="191">
        <v>2026</v>
      </c>
      <c r="B12592" s="191">
        <v>1</v>
      </c>
      <c r="C12592" s="191">
        <v>14</v>
      </c>
      <c r="D12592" s="192">
        <f t="shared" si="1808"/>
        <v>46036</v>
      </c>
      <c r="E12592" s="291">
        <f>DATE(A12592,B12592,C12592)</f>
        <v>46036</v>
      </c>
      <c r="F12592" s="514"/>
      <c r="G12592" s="194" t="s">
        <v>1209</v>
      </c>
      <c r="H12592" s="195"/>
      <c r="I12592" s="195"/>
      <c r="J12592" s="191" t="s">
        <v>46</v>
      </c>
      <c r="K12592" s="196"/>
      <c r="L12592" s="196">
        <f>K12591</f>
        <v>60</v>
      </c>
      <c r="O12592" s="251"/>
    </row>
    <row r="12593" spans="1:13" x14ac:dyDescent="0.2">
      <c r="A12593" s="424">
        <v>2026</v>
      </c>
      <c r="B12593" s="424">
        <v>1</v>
      </c>
      <c r="C12593" s="424">
        <v>14</v>
      </c>
      <c r="D12593" s="425">
        <f t="shared" si="1808"/>
        <v>46036</v>
      </c>
      <c r="E12593" s="384">
        <f t="shared" ref="E12593:E12604" si="1819">DATE(A12593,B12593,C12593)</f>
        <v>46036</v>
      </c>
      <c r="F12593" s="516" t="s">
        <v>1850</v>
      </c>
      <c r="G12593" s="426" t="s">
        <v>1209</v>
      </c>
      <c r="H12593" s="427"/>
      <c r="I12593" s="427"/>
      <c r="J12593" s="428" t="s">
        <v>81</v>
      </c>
      <c r="K12593" s="429">
        <v>1595.8173626373627</v>
      </c>
      <c r="L12593" s="429"/>
      <c r="M12593" s="455"/>
    </row>
    <row r="12594" spans="1:13" x14ac:dyDescent="0.2">
      <c r="A12594" s="389">
        <v>2026</v>
      </c>
      <c r="B12594" s="389">
        <v>1</v>
      </c>
      <c r="C12594" s="389">
        <v>14</v>
      </c>
      <c r="D12594" s="390">
        <f t="shared" si="1808"/>
        <v>46036</v>
      </c>
      <c r="E12594" s="391">
        <f t="shared" si="1819"/>
        <v>46036</v>
      </c>
      <c r="F12594" s="517"/>
      <c r="G12594" s="392" t="s">
        <v>1209</v>
      </c>
      <c r="H12594" s="393"/>
      <c r="I12594" s="393"/>
      <c r="J12594" s="394" t="s">
        <v>1847</v>
      </c>
      <c r="K12594" s="423"/>
      <c r="L12594" s="423">
        <f>K12593</f>
        <v>1595.8173626373627</v>
      </c>
    </row>
    <row r="12595" spans="1:13" ht="11.25" customHeight="1" x14ac:dyDescent="0.2">
      <c r="A12595" s="382">
        <v>2026</v>
      </c>
      <c r="B12595" s="382">
        <v>1</v>
      </c>
      <c r="C12595" s="382">
        <v>14</v>
      </c>
      <c r="D12595" s="383">
        <f t="shared" si="1808"/>
        <v>46036</v>
      </c>
      <c r="E12595" s="384">
        <f t="shared" si="1819"/>
        <v>46036</v>
      </c>
      <c r="F12595" s="516" t="s">
        <v>1892</v>
      </c>
      <c r="G12595" s="385" t="s">
        <v>1209</v>
      </c>
      <c r="H12595" s="386"/>
      <c r="I12595" s="386"/>
      <c r="J12595" s="387" t="s">
        <v>173</v>
      </c>
      <c r="K12595" s="388">
        <v>590.55153665277783</v>
      </c>
      <c r="L12595" s="388"/>
      <c r="M12595" s="455"/>
    </row>
    <row r="12596" spans="1:13" ht="11.25" customHeight="1" x14ac:dyDescent="0.2">
      <c r="A12596" s="389">
        <v>2026</v>
      </c>
      <c r="B12596" s="389">
        <v>1</v>
      </c>
      <c r="C12596" s="389">
        <v>14</v>
      </c>
      <c r="D12596" s="390">
        <f t="shared" si="1808"/>
        <v>46036</v>
      </c>
      <c r="E12596" s="391">
        <f t="shared" si="1819"/>
        <v>46036</v>
      </c>
      <c r="F12596" s="517"/>
      <c r="G12596" s="392" t="s">
        <v>1209</v>
      </c>
      <c r="H12596" s="393"/>
      <c r="I12596" s="393"/>
      <c r="J12596" s="394" t="s">
        <v>43</v>
      </c>
      <c r="K12596" s="388"/>
      <c r="L12596" s="423">
        <f>K12595</f>
        <v>590.55153665277783</v>
      </c>
    </row>
    <row r="12597" spans="1:13" ht="11.25" customHeight="1" x14ac:dyDescent="0.2">
      <c r="A12597" s="344">
        <v>2026</v>
      </c>
      <c r="B12597" s="344">
        <v>1</v>
      </c>
      <c r="C12597" s="344">
        <v>14</v>
      </c>
      <c r="D12597" s="345">
        <f t="shared" si="1808"/>
        <v>46036</v>
      </c>
      <c r="E12597" s="346">
        <f t="shared" si="1819"/>
        <v>46036</v>
      </c>
      <c r="F12597" s="518" t="s">
        <v>1982</v>
      </c>
      <c r="G12597" s="347" t="s">
        <v>1245</v>
      </c>
      <c r="H12597" s="348"/>
      <c r="I12597" s="348" t="s">
        <v>1253</v>
      </c>
      <c r="J12597" s="344" t="s">
        <v>1978</v>
      </c>
      <c r="K12597" s="349">
        <v>21249.725274725275</v>
      </c>
      <c r="L12597" s="349"/>
      <c r="M12597" s="455"/>
    </row>
    <row r="12598" spans="1:13" ht="11.25" customHeight="1" x14ac:dyDescent="0.2">
      <c r="A12598" s="350">
        <v>2026</v>
      </c>
      <c r="B12598" s="350">
        <v>1</v>
      </c>
      <c r="C12598" s="350">
        <v>14</v>
      </c>
      <c r="D12598" s="351">
        <f t="shared" si="1808"/>
        <v>46036</v>
      </c>
      <c r="E12598" s="352">
        <f t="shared" si="1819"/>
        <v>46036</v>
      </c>
      <c r="F12598" s="519"/>
      <c r="G12598" s="353" t="s">
        <v>1245</v>
      </c>
      <c r="H12598" s="354"/>
      <c r="I12598" s="354" t="s">
        <v>1253</v>
      </c>
      <c r="J12598" s="350" t="s">
        <v>1979</v>
      </c>
      <c r="K12598" s="355"/>
      <c r="L12598" s="355">
        <f>K12597</f>
        <v>21249.725274725275</v>
      </c>
    </row>
    <row r="12599" spans="1:13" ht="11.25" customHeight="1" x14ac:dyDescent="0.2">
      <c r="A12599" s="344">
        <v>2026</v>
      </c>
      <c r="B12599" s="344">
        <v>1</v>
      </c>
      <c r="C12599" s="344">
        <v>14</v>
      </c>
      <c r="D12599" s="345">
        <f t="shared" si="1808"/>
        <v>46036</v>
      </c>
      <c r="E12599" s="346">
        <f t="shared" si="1819"/>
        <v>46036</v>
      </c>
      <c r="F12599" s="518" t="s">
        <v>2009</v>
      </c>
      <c r="G12599" s="347" t="s">
        <v>1245</v>
      </c>
      <c r="H12599" s="348"/>
      <c r="I12599" s="348" t="s">
        <v>1253</v>
      </c>
      <c r="J12599" s="344" t="s">
        <v>2004</v>
      </c>
      <c r="K12599" s="349">
        <v>7098.9014285714284</v>
      </c>
      <c r="L12599" s="349"/>
      <c r="M12599" s="455"/>
    </row>
    <row r="12600" spans="1:13" ht="11.25" customHeight="1" x14ac:dyDescent="0.2">
      <c r="A12600" s="350">
        <v>2026</v>
      </c>
      <c r="B12600" s="350">
        <v>1</v>
      </c>
      <c r="C12600" s="350">
        <v>14</v>
      </c>
      <c r="D12600" s="351">
        <f t="shared" si="1808"/>
        <v>46036</v>
      </c>
      <c r="E12600" s="352">
        <f t="shared" si="1819"/>
        <v>46036</v>
      </c>
      <c r="F12600" s="519"/>
      <c r="G12600" s="353" t="s">
        <v>1245</v>
      </c>
      <c r="H12600" s="354"/>
      <c r="I12600" s="354" t="s">
        <v>1253</v>
      </c>
      <c r="J12600" s="350" t="s">
        <v>2008</v>
      </c>
      <c r="K12600" s="355"/>
      <c r="L12600" s="355">
        <f t="shared" ref="L12600" si="1820">K12599</f>
        <v>7098.9014285714284</v>
      </c>
    </row>
    <row r="12601" spans="1:13" ht="11.25" customHeight="1" x14ac:dyDescent="0.2">
      <c r="A12601" s="344">
        <v>2026</v>
      </c>
      <c r="B12601" s="344">
        <v>1</v>
      </c>
      <c r="C12601" s="344">
        <v>14</v>
      </c>
      <c r="D12601" s="345">
        <f t="shared" si="1808"/>
        <v>46036</v>
      </c>
      <c r="E12601" s="346">
        <f t="shared" si="1819"/>
        <v>46036</v>
      </c>
      <c r="F12601" s="518" t="s">
        <v>2009</v>
      </c>
      <c r="G12601" s="347" t="s">
        <v>1245</v>
      </c>
      <c r="H12601" s="348"/>
      <c r="I12601" s="348" t="s">
        <v>1253</v>
      </c>
      <c r="J12601" s="344" t="s">
        <v>2004</v>
      </c>
      <c r="K12601" s="349">
        <v>7098.9014285714284</v>
      </c>
      <c r="L12601" s="349"/>
      <c r="M12601" s="455"/>
    </row>
    <row r="12602" spans="1:13" ht="11.25" customHeight="1" x14ac:dyDescent="0.2">
      <c r="A12602" s="350">
        <v>2026</v>
      </c>
      <c r="B12602" s="350">
        <v>1</v>
      </c>
      <c r="C12602" s="350">
        <v>14</v>
      </c>
      <c r="D12602" s="351">
        <f t="shared" si="1808"/>
        <v>46036</v>
      </c>
      <c r="E12602" s="352">
        <f t="shared" si="1819"/>
        <v>46036</v>
      </c>
      <c r="F12602" s="519"/>
      <c r="G12602" s="353" t="s">
        <v>1245</v>
      </c>
      <c r="H12602" s="354"/>
      <c r="I12602" s="354" t="s">
        <v>1253</v>
      </c>
      <c r="J12602" s="350" t="s">
        <v>2008</v>
      </c>
      <c r="K12602" s="355"/>
      <c r="L12602" s="355">
        <f t="shared" ref="L12602" si="1821">K12601</f>
        <v>7098.9014285714284</v>
      </c>
    </row>
    <row r="12603" spans="1:13" ht="11.25" customHeight="1" x14ac:dyDescent="0.2">
      <c r="A12603" s="344">
        <v>2026</v>
      </c>
      <c r="B12603" s="344">
        <v>1</v>
      </c>
      <c r="C12603" s="344">
        <v>14</v>
      </c>
      <c r="D12603" s="345">
        <f t="shared" si="1808"/>
        <v>46036</v>
      </c>
      <c r="E12603" s="346">
        <f t="shared" si="1819"/>
        <v>46036</v>
      </c>
      <c r="F12603" s="518" t="s">
        <v>2088</v>
      </c>
      <c r="G12603" s="347" t="s">
        <v>1245</v>
      </c>
      <c r="H12603" s="348"/>
      <c r="I12603" s="348" t="s">
        <v>1253</v>
      </c>
      <c r="J12603" s="344" t="s">
        <v>2086</v>
      </c>
      <c r="K12603" s="349">
        <v>1789.835164835165</v>
      </c>
      <c r="L12603" s="349"/>
      <c r="M12603" s="455"/>
    </row>
    <row r="12604" spans="1:13" ht="11.25" customHeight="1" x14ac:dyDescent="0.2">
      <c r="A12604" s="350">
        <v>2026</v>
      </c>
      <c r="B12604" s="350">
        <v>1</v>
      </c>
      <c r="C12604" s="350">
        <v>14</v>
      </c>
      <c r="D12604" s="351">
        <f t="shared" si="1808"/>
        <v>46036</v>
      </c>
      <c r="E12604" s="352">
        <f t="shared" si="1819"/>
        <v>46036</v>
      </c>
      <c r="F12604" s="519"/>
      <c r="G12604" s="353" t="s">
        <v>1245</v>
      </c>
      <c r="H12604" s="354"/>
      <c r="I12604" s="354" t="s">
        <v>1253</v>
      </c>
      <c r="J12604" s="350" t="s">
        <v>2089</v>
      </c>
      <c r="K12604" s="355"/>
      <c r="L12604" s="355">
        <f>K12603</f>
        <v>1789.835164835165</v>
      </c>
    </row>
    <row r="12605" spans="1:13" ht="11.25" customHeight="1" x14ac:dyDescent="0.2">
      <c r="A12605" s="344">
        <v>2026</v>
      </c>
      <c r="B12605" s="344">
        <v>1</v>
      </c>
      <c r="C12605" s="344">
        <v>14</v>
      </c>
      <c r="D12605" s="345">
        <f t="shared" si="1808"/>
        <v>46036</v>
      </c>
      <c r="E12605" s="346">
        <f>DATE(A12605,B12605,C12605)</f>
        <v>46036</v>
      </c>
      <c r="F12605" s="518" t="s">
        <v>1988</v>
      </c>
      <c r="G12605" s="347" t="s">
        <v>1245</v>
      </c>
      <c r="H12605" s="348"/>
      <c r="I12605" s="348" t="s">
        <v>1253</v>
      </c>
      <c r="J12605" s="344" t="s">
        <v>113</v>
      </c>
      <c r="K12605" s="349">
        <v>4692.3071428571429</v>
      </c>
      <c r="L12605" s="349"/>
      <c r="M12605" s="455"/>
    </row>
    <row r="12606" spans="1:13" ht="11.25" customHeight="1" x14ac:dyDescent="0.2">
      <c r="A12606" s="350">
        <v>2026</v>
      </c>
      <c r="B12606" s="350">
        <v>1</v>
      </c>
      <c r="C12606" s="350">
        <v>14</v>
      </c>
      <c r="D12606" s="351">
        <f t="shared" si="1808"/>
        <v>46036</v>
      </c>
      <c r="E12606" s="352">
        <f>DATE(A12606,B12606,C12606)</f>
        <v>46036</v>
      </c>
      <c r="F12606" s="519"/>
      <c r="G12606" s="353" t="s">
        <v>1245</v>
      </c>
      <c r="H12606" s="354"/>
      <c r="I12606" s="354" t="s">
        <v>1253</v>
      </c>
      <c r="J12606" s="350" t="s">
        <v>153</v>
      </c>
      <c r="K12606" s="355"/>
      <c r="L12606" s="355">
        <f t="shared" ref="L12606" si="1822">K12605</f>
        <v>4692.3071428571429</v>
      </c>
    </row>
    <row r="12607" spans="1:13" ht="11.25" customHeight="1" x14ac:dyDescent="0.2">
      <c r="A12607" s="344">
        <v>2026</v>
      </c>
      <c r="B12607" s="344">
        <v>1</v>
      </c>
      <c r="C12607" s="344">
        <v>14</v>
      </c>
      <c r="D12607" s="345">
        <f t="shared" si="1808"/>
        <v>46036</v>
      </c>
      <c r="E12607" s="346">
        <f t="shared" ref="E12607:E12613" si="1823">DATE(A12607,B12607,C12607)</f>
        <v>46036</v>
      </c>
      <c r="F12607" s="518" t="s">
        <v>1989</v>
      </c>
      <c r="G12607" s="347" t="s">
        <v>1245</v>
      </c>
      <c r="H12607" s="348"/>
      <c r="I12607" s="348" t="s">
        <v>1253</v>
      </c>
      <c r="J12607" s="344" t="s">
        <v>113</v>
      </c>
      <c r="K12607" s="349">
        <v>3351.6483516483518</v>
      </c>
      <c r="L12607" s="349"/>
      <c r="M12607" s="455"/>
    </row>
    <row r="12608" spans="1:13" ht="11.25" customHeight="1" x14ac:dyDescent="0.2">
      <c r="A12608" s="350">
        <v>2026</v>
      </c>
      <c r="B12608" s="350">
        <v>1</v>
      </c>
      <c r="C12608" s="350">
        <v>14</v>
      </c>
      <c r="D12608" s="351">
        <f t="shared" si="1808"/>
        <v>46036</v>
      </c>
      <c r="E12608" s="352">
        <f t="shared" si="1823"/>
        <v>46036</v>
      </c>
      <c r="F12608" s="519"/>
      <c r="G12608" s="353" t="s">
        <v>1245</v>
      </c>
      <c r="H12608" s="354"/>
      <c r="I12608" s="354" t="s">
        <v>1253</v>
      </c>
      <c r="J12608" s="350" t="s">
        <v>153</v>
      </c>
      <c r="K12608" s="355"/>
      <c r="L12608" s="355">
        <f t="shared" ref="L12608" si="1824">K12607</f>
        <v>3351.6483516483518</v>
      </c>
    </row>
    <row r="12609" spans="1:16" ht="11.25" customHeight="1" x14ac:dyDescent="0.2">
      <c r="A12609" s="344">
        <v>2026</v>
      </c>
      <c r="B12609" s="344">
        <v>1</v>
      </c>
      <c r="C12609" s="344">
        <v>14</v>
      </c>
      <c r="D12609" s="345">
        <f t="shared" si="1808"/>
        <v>46036</v>
      </c>
      <c r="E12609" s="346">
        <f t="shared" si="1823"/>
        <v>46036</v>
      </c>
      <c r="F12609" s="518" t="s">
        <v>1990</v>
      </c>
      <c r="G12609" s="347" t="s">
        <v>1245</v>
      </c>
      <c r="H12609" s="348"/>
      <c r="I12609" s="348" t="s">
        <v>1253</v>
      </c>
      <c r="J12609" s="344" t="s">
        <v>113</v>
      </c>
      <c r="K12609" s="349">
        <v>10054.945714285714</v>
      </c>
      <c r="L12609" s="349"/>
      <c r="M12609" s="455"/>
      <c r="N12609" s="251"/>
      <c r="O12609" s="251"/>
      <c r="P12609" s="251"/>
    </row>
    <row r="12610" spans="1:16" ht="11.25" customHeight="1" x14ac:dyDescent="0.2">
      <c r="A12610" s="350">
        <v>2026</v>
      </c>
      <c r="B12610" s="350">
        <v>1</v>
      </c>
      <c r="C12610" s="350">
        <v>14</v>
      </c>
      <c r="D12610" s="351">
        <f t="shared" ref="D12610:D12673" si="1825">DATE(A12610,B12610,C12610)</f>
        <v>46036</v>
      </c>
      <c r="E12610" s="352">
        <f t="shared" si="1823"/>
        <v>46036</v>
      </c>
      <c r="F12610" s="519"/>
      <c r="G12610" s="353" t="s">
        <v>1245</v>
      </c>
      <c r="H12610" s="354"/>
      <c r="I12610" s="354" t="s">
        <v>1253</v>
      </c>
      <c r="J12610" s="350" t="s">
        <v>153</v>
      </c>
      <c r="K12610" s="355"/>
      <c r="L12610" s="355">
        <f t="shared" ref="L12610" si="1826">K12609</f>
        <v>10054.945714285714</v>
      </c>
    </row>
    <row r="12611" spans="1:16" ht="11.25" customHeight="1" x14ac:dyDescent="0.2">
      <c r="A12611" s="344">
        <v>2026</v>
      </c>
      <c r="B12611" s="344">
        <v>1</v>
      </c>
      <c r="C12611" s="344">
        <v>14</v>
      </c>
      <c r="D12611" s="345">
        <f t="shared" si="1825"/>
        <v>46036</v>
      </c>
      <c r="E12611" s="346">
        <f t="shared" si="1823"/>
        <v>46036</v>
      </c>
      <c r="F12611" s="518" t="s">
        <v>2107</v>
      </c>
      <c r="G12611" s="347" t="s">
        <v>1245</v>
      </c>
      <c r="H12611" s="348"/>
      <c r="I12611" s="348" t="s">
        <v>1253</v>
      </c>
      <c r="J12611" s="344" t="s">
        <v>113</v>
      </c>
      <c r="K12611" s="349">
        <v>12370.879120879121</v>
      </c>
      <c r="L12611" s="349"/>
      <c r="M12611" s="455"/>
      <c r="N12611" s="251"/>
      <c r="O12611" s="251"/>
      <c r="P12611" s="251"/>
    </row>
    <row r="12612" spans="1:16" ht="11.25" customHeight="1" x14ac:dyDescent="0.2">
      <c r="A12612" s="350">
        <v>2026</v>
      </c>
      <c r="B12612" s="350">
        <v>1</v>
      </c>
      <c r="C12612" s="350">
        <v>14</v>
      </c>
      <c r="D12612" s="351">
        <f t="shared" si="1825"/>
        <v>46036</v>
      </c>
      <c r="E12612" s="352">
        <f t="shared" si="1823"/>
        <v>46036</v>
      </c>
      <c r="F12612" s="519"/>
      <c r="G12612" s="353" t="s">
        <v>1245</v>
      </c>
      <c r="H12612" s="354"/>
      <c r="I12612" s="354" t="s">
        <v>1253</v>
      </c>
      <c r="J12612" s="350" t="s">
        <v>153</v>
      </c>
      <c r="K12612" s="355"/>
      <c r="L12612" s="355">
        <f t="shared" ref="L12612" si="1827">K12611</f>
        <v>12370.879120879121</v>
      </c>
    </row>
    <row r="12613" spans="1:16" ht="11.25" customHeight="1" x14ac:dyDescent="0.2">
      <c r="A12613" s="210">
        <v>2026</v>
      </c>
      <c r="B12613" s="210">
        <v>1</v>
      </c>
      <c r="C12613" s="210">
        <v>14</v>
      </c>
      <c r="D12613" s="211">
        <f t="shared" si="1825"/>
        <v>46036</v>
      </c>
      <c r="E12613" s="238">
        <f t="shared" si="1823"/>
        <v>46036</v>
      </c>
      <c r="F12613" s="520" t="s">
        <v>1857</v>
      </c>
      <c r="G12613" s="213" t="s">
        <v>1245</v>
      </c>
      <c r="H12613" s="214"/>
      <c r="I12613" s="214" t="s">
        <v>1253</v>
      </c>
      <c r="J12613" s="210" t="s">
        <v>1284</v>
      </c>
      <c r="K12613" s="215">
        <v>334.54448777029421</v>
      </c>
      <c r="L12613" s="215"/>
      <c r="M12613" s="455"/>
    </row>
    <row r="12614" spans="1:16" ht="11.25" customHeight="1" x14ac:dyDescent="0.2">
      <c r="A12614" s="242">
        <v>2026</v>
      </c>
      <c r="B12614" s="242">
        <v>1</v>
      </c>
      <c r="C12614" s="242">
        <v>14</v>
      </c>
      <c r="D12614" s="243">
        <f t="shared" si="1825"/>
        <v>46036</v>
      </c>
      <c r="E12614" s="244">
        <f>DATE(A12614,B12614,C12614)</f>
        <v>46036</v>
      </c>
      <c r="F12614" s="524"/>
      <c r="G12614" s="245" t="s">
        <v>1245</v>
      </c>
      <c r="H12614" s="246"/>
      <c r="I12614" s="246"/>
      <c r="J12614" s="242" t="s">
        <v>1582</v>
      </c>
      <c r="K12614" s="247"/>
      <c r="L12614" s="247">
        <f>K12613</f>
        <v>334.54448777029421</v>
      </c>
    </row>
    <row r="12615" spans="1:16" ht="11.25" customHeight="1" x14ac:dyDescent="0.2">
      <c r="A12615" s="210">
        <v>2026</v>
      </c>
      <c r="B12615" s="210">
        <v>1</v>
      </c>
      <c r="C12615" s="210">
        <v>14</v>
      </c>
      <c r="D12615" s="211">
        <f t="shared" si="1825"/>
        <v>46036</v>
      </c>
      <c r="E12615" s="238">
        <f t="shared" ref="E12615:E12628" si="1828">DATE(A12615,B12615,C12615)</f>
        <v>46036</v>
      </c>
      <c r="F12615" s="520" t="s">
        <v>2055</v>
      </c>
      <c r="G12615" s="213" t="s">
        <v>1245</v>
      </c>
      <c r="H12615" s="214"/>
      <c r="I12615" s="214" t="s">
        <v>1253</v>
      </c>
      <c r="J12615" s="210" t="s">
        <v>58</v>
      </c>
      <c r="K12615" s="215">
        <v>352.54</v>
      </c>
      <c r="L12615" s="215"/>
    </row>
    <row r="12616" spans="1:16" ht="11.25" customHeight="1" x14ac:dyDescent="0.2">
      <c r="A12616" s="216">
        <v>2026</v>
      </c>
      <c r="B12616" s="216">
        <v>1</v>
      </c>
      <c r="C12616" s="216">
        <v>14</v>
      </c>
      <c r="D12616" s="217">
        <f t="shared" si="1825"/>
        <v>46036</v>
      </c>
      <c r="E12616" s="239">
        <f t="shared" si="1828"/>
        <v>46036</v>
      </c>
      <c r="F12616" s="521"/>
      <c r="G12616" s="219" t="s">
        <v>1245</v>
      </c>
      <c r="H12616" s="220"/>
      <c r="I12616" s="220" t="s">
        <v>1253</v>
      </c>
      <c r="J12616" s="216" t="s">
        <v>153</v>
      </c>
      <c r="K12616" s="221"/>
      <c r="L12616" s="221">
        <f>K12615</f>
        <v>352.54</v>
      </c>
    </row>
    <row r="12617" spans="1:16" ht="11.25" customHeight="1" x14ac:dyDescent="0.2">
      <c r="A12617" s="312">
        <v>2026</v>
      </c>
      <c r="B12617" s="312">
        <v>1</v>
      </c>
      <c r="C12617" s="312">
        <v>14</v>
      </c>
      <c r="D12617" s="313">
        <f t="shared" si="1825"/>
        <v>46036</v>
      </c>
      <c r="E12617" s="314">
        <f t="shared" si="1828"/>
        <v>46036</v>
      </c>
      <c r="F12617" s="522" t="s">
        <v>1595</v>
      </c>
      <c r="G12617" s="315" t="s">
        <v>1245</v>
      </c>
      <c r="H12617" s="316"/>
      <c r="I12617" s="316" t="s">
        <v>1253</v>
      </c>
      <c r="J12617" s="312" t="s">
        <v>1461</v>
      </c>
      <c r="K12617" s="317">
        <v>676207.14700001478</v>
      </c>
      <c r="L12617" s="317"/>
      <c r="M12617" s="328"/>
    </row>
    <row r="12618" spans="1:16" ht="11.25" customHeight="1" x14ac:dyDescent="0.2">
      <c r="A12618" s="318">
        <v>2026</v>
      </c>
      <c r="B12618" s="318">
        <v>1</v>
      </c>
      <c r="C12618" s="318">
        <v>14</v>
      </c>
      <c r="D12618" s="319">
        <f t="shared" si="1825"/>
        <v>46036</v>
      </c>
      <c r="E12618" s="320">
        <f t="shared" si="1828"/>
        <v>46036</v>
      </c>
      <c r="F12618" s="523"/>
      <c r="G12618" s="321" t="s">
        <v>1245</v>
      </c>
      <c r="H12618" s="322"/>
      <c r="I12618" s="322" t="s">
        <v>1253</v>
      </c>
      <c r="J12618" s="318" t="s">
        <v>1459</v>
      </c>
      <c r="K12618" s="323"/>
      <c r="L12618" s="323">
        <f>K12617</f>
        <v>676207.14700001478</v>
      </c>
      <c r="M12618" s="328"/>
    </row>
    <row r="12619" spans="1:16" ht="11.25" customHeight="1" x14ac:dyDescent="0.2">
      <c r="A12619" s="222">
        <v>2026</v>
      </c>
      <c r="B12619" s="222">
        <v>1</v>
      </c>
      <c r="C12619" s="222">
        <v>14</v>
      </c>
      <c r="D12619" s="223">
        <f t="shared" si="1825"/>
        <v>46036</v>
      </c>
      <c r="E12619" s="240">
        <f t="shared" si="1828"/>
        <v>46036</v>
      </c>
      <c r="F12619" s="511" t="s">
        <v>1244</v>
      </c>
      <c r="G12619" s="225" t="s">
        <v>1245</v>
      </c>
      <c r="H12619" s="226"/>
      <c r="I12619" s="226" t="s">
        <v>1253</v>
      </c>
      <c r="J12619" s="222" t="s">
        <v>87</v>
      </c>
      <c r="K12619" s="227">
        <v>10487.5</v>
      </c>
      <c r="L12619" s="227"/>
      <c r="M12619" s="328"/>
    </row>
    <row r="12620" spans="1:16" ht="11.25" customHeight="1" x14ac:dyDescent="0.2">
      <c r="A12620" s="228">
        <v>2026</v>
      </c>
      <c r="B12620" s="228">
        <v>1</v>
      </c>
      <c r="C12620" s="228">
        <v>14</v>
      </c>
      <c r="D12620" s="229">
        <f t="shared" si="1825"/>
        <v>46036</v>
      </c>
      <c r="E12620" s="241">
        <f t="shared" si="1828"/>
        <v>46036</v>
      </c>
      <c r="F12620" s="512"/>
      <c r="G12620" s="231" t="s">
        <v>1245</v>
      </c>
      <c r="H12620" s="232"/>
      <c r="I12620" s="232" t="s">
        <v>1253</v>
      </c>
      <c r="J12620" s="228" t="s">
        <v>72</v>
      </c>
      <c r="K12620" s="233"/>
      <c r="L12620" s="233">
        <f>K12619</f>
        <v>10487.5</v>
      </c>
    </row>
    <row r="12621" spans="1:16" ht="11.25" customHeight="1" x14ac:dyDescent="0.2">
      <c r="A12621" s="222">
        <v>2026</v>
      </c>
      <c r="B12621" s="222">
        <v>1</v>
      </c>
      <c r="C12621" s="222">
        <v>14</v>
      </c>
      <c r="D12621" s="223">
        <f t="shared" si="1825"/>
        <v>46036</v>
      </c>
      <c r="E12621" s="240">
        <f t="shared" si="1828"/>
        <v>46036</v>
      </c>
      <c r="F12621" s="511" t="s">
        <v>1246</v>
      </c>
      <c r="G12621" s="225" t="s">
        <v>1245</v>
      </c>
      <c r="H12621" s="226"/>
      <c r="I12621" s="226" t="s">
        <v>1253</v>
      </c>
      <c r="J12621" s="222" t="s">
        <v>75</v>
      </c>
      <c r="K12621" s="227">
        <v>517.58912087912086</v>
      </c>
      <c r="L12621" s="227"/>
      <c r="M12621" s="455"/>
    </row>
    <row r="12622" spans="1:16" ht="11.25" customHeight="1" x14ac:dyDescent="0.2">
      <c r="A12622" s="228">
        <v>2026</v>
      </c>
      <c r="B12622" s="228">
        <v>1</v>
      </c>
      <c r="C12622" s="228">
        <v>14</v>
      </c>
      <c r="D12622" s="229">
        <f t="shared" si="1825"/>
        <v>46036</v>
      </c>
      <c r="E12622" s="241">
        <f t="shared" si="1828"/>
        <v>46036</v>
      </c>
      <c r="F12622" s="512"/>
      <c r="G12622" s="231" t="s">
        <v>1245</v>
      </c>
      <c r="H12622" s="232"/>
      <c r="I12622" s="232" t="s">
        <v>1253</v>
      </c>
      <c r="J12622" s="228" t="s">
        <v>55</v>
      </c>
      <c r="K12622" s="233"/>
      <c r="L12622" s="233">
        <f>K12621</f>
        <v>517.58912087912086</v>
      </c>
    </row>
    <row r="12623" spans="1:16" ht="11.25" customHeight="1" x14ac:dyDescent="0.2">
      <c r="A12623" s="222">
        <v>2026</v>
      </c>
      <c r="B12623" s="222">
        <v>1</v>
      </c>
      <c r="C12623" s="222">
        <v>14</v>
      </c>
      <c r="D12623" s="223">
        <f t="shared" si="1825"/>
        <v>46036</v>
      </c>
      <c r="E12623" s="240">
        <f t="shared" si="1828"/>
        <v>46036</v>
      </c>
      <c r="F12623" s="511" t="s">
        <v>1247</v>
      </c>
      <c r="G12623" s="225" t="s">
        <v>1245</v>
      </c>
      <c r="H12623" s="226"/>
      <c r="I12623" s="226" t="s">
        <v>1253</v>
      </c>
      <c r="J12623" s="222" t="s">
        <v>77</v>
      </c>
      <c r="K12623" s="227">
        <f>M12623</f>
        <v>7399.3295801772547</v>
      </c>
      <c r="L12623" s="227"/>
      <c r="M12623" s="478">
        <v>7399.3295801772547</v>
      </c>
    </row>
    <row r="12624" spans="1:16" ht="11.25" customHeight="1" x14ac:dyDescent="0.2">
      <c r="A12624" s="228">
        <v>2026</v>
      </c>
      <c r="B12624" s="228">
        <v>1</v>
      </c>
      <c r="C12624" s="228">
        <v>14</v>
      </c>
      <c r="D12624" s="229">
        <f t="shared" si="1825"/>
        <v>46036</v>
      </c>
      <c r="E12624" s="241">
        <f t="shared" si="1828"/>
        <v>46036</v>
      </c>
      <c r="F12624" s="512"/>
      <c r="G12624" s="231" t="s">
        <v>1245</v>
      </c>
      <c r="H12624" s="232"/>
      <c r="I12624" s="232" t="s">
        <v>1253</v>
      </c>
      <c r="J12624" s="228" t="s">
        <v>41</v>
      </c>
      <c r="K12624" s="233"/>
      <c r="L12624" s="233">
        <f>K12623</f>
        <v>7399.3295801772547</v>
      </c>
      <c r="M12624" s="478">
        <v>739.93295801772558</v>
      </c>
      <c r="N12624" s="251"/>
    </row>
    <row r="12625" spans="1:15" ht="11.25" customHeight="1" x14ac:dyDescent="0.2">
      <c r="A12625" s="222">
        <v>2026</v>
      </c>
      <c r="B12625" s="222">
        <v>1</v>
      </c>
      <c r="C12625" s="222">
        <v>14</v>
      </c>
      <c r="D12625" s="223">
        <f t="shared" si="1825"/>
        <v>46036</v>
      </c>
      <c r="E12625" s="240">
        <f t="shared" si="1828"/>
        <v>46036</v>
      </c>
      <c r="F12625" s="511" t="s">
        <v>1248</v>
      </c>
      <c r="G12625" s="225" t="s">
        <v>1245</v>
      </c>
      <c r="H12625" s="226"/>
      <c r="I12625" s="226" t="s">
        <v>1253</v>
      </c>
      <c r="J12625" s="222" t="s">
        <v>80</v>
      </c>
      <c r="K12625" s="227">
        <f>M12624</f>
        <v>739.93295801772558</v>
      </c>
      <c r="L12625" s="227"/>
      <c r="N12625" s="251"/>
      <c r="O12625" s="251"/>
    </row>
    <row r="12626" spans="1:15" ht="11.25" customHeight="1" x14ac:dyDescent="0.2">
      <c r="A12626" s="228">
        <v>2026</v>
      </c>
      <c r="B12626" s="228">
        <v>1</v>
      </c>
      <c r="C12626" s="228">
        <v>14</v>
      </c>
      <c r="D12626" s="229">
        <f t="shared" si="1825"/>
        <v>46036</v>
      </c>
      <c r="E12626" s="241">
        <f t="shared" si="1828"/>
        <v>46036</v>
      </c>
      <c r="F12626" s="512"/>
      <c r="G12626" s="231" t="s">
        <v>1245</v>
      </c>
      <c r="H12626" s="232"/>
      <c r="I12626" s="232" t="s">
        <v>1253</v>
      </c>
      <c r="J12626" s="228" t="s">
        <v>42</v>
      </c>
      <c r="K12626" s="233"/>
      <c r="L12626" s="233">
        <f>K12625</f>
        <v>739.93295801772558</v>
      </c>
      <c r="N12626" s="251"/>
    </row>
    <row r="12627" spans="1:15" ht="11.25" customHeight="1" x14ac:dyDescent="0.2">
      <c r="A12627" s="197">
        <v>2026</v>
      </c>
      <c r="B12627" s="197">
        <v>1</v>
      </c>
      <c r="C12627" s="197">
        <v>15</v>
      </c>
      <c r="D12627" s="198">
        <f t="shared" si="1825"/>
        <v>46037</v>
      </c>
      <c r="E12627" s="199">
        <f t="shared" si="1828"/>
        <v>46037</v>
      </c>
      <c r="F12627" s="513" t="s">
        <v>2129</v>
      </c>
      <c r="G12627" s="200" t="s">
        <v>1209</v>
      </c>
      <c r="H12627" s="201"/>
      <c r="I12627" s="201"/>
      <c r="J12627" s="197" t="s">
        <v>46</v>
      </c>
      <c r="K12627" s="202">
        <v>27.5</v>
      </c>
      <c r="L12627" s="202"/>
    </row>
    <row r="12628" spans="1:15" ht="11.25" customHeight="1" x14ac:dyDescent="0.2">
      <c r="A12628" s="191">
        <v>2026</v>
      </c>
      <c r="B12628" s="191">
        <v>1</v>
      </c>
      <c r="C12628" s="191">
        <v>15</v>
      </c>
      <c r="D12628" s="192">
        <f t="shared" si="1825"/>
        <v>46037</v>
      </c>
      <c r="E12628" s="193">
        <f t="shared" si="1828"/>
        <v>46037</v>
      </c>
      <c r="F12628" s="514"/>
      <c r="G12628" s="194" t="s">
        <v>1209</v>
      </c>
      <c r="H12628" s="195"/>
      <c r="I12628" s="195"/>
      <c r="J12628" s="191" t="s">
        <v>171</v>
      </c>
      <c r="K12628" s="196"/>
      <c r="L12628" s="196">
        <v>27.5</v>
      </c>
    </row>
    <row r="12629" spans="1:15" x14ac:dyDescent="0.2">
      <c r="A12629" s="197">
        <v>2026</v>
      </c>
      <c r="B12629" s="197">
        <v>1</v>
      </c>
      <c r="C12629" s="197">
        <v>15</v>
      </c>
      <c r="D12629" s="198">
        <f t="shared" si="1825"/>
        <v>46037</v>
      </c>
      <c r="E12629" s="209">
        <f t="shared" ref="E12629:E12645" si="1829">DATE(A12629,B12629,C12629)</f>
        <v>46037</v>
      </c>
      <c r="F12629" s="513" t="s">
        <v>2130</v>
      </c>
      <c r="G12629" s="200" t="s">
        <v>1209</v>
      </c>
      <c r="H12629" s="201"/>
      <c r="I12629" s="201"/>
      <c r="J12629" s="197" t="s">
        <v>46</v>
      </c>
      <c r="K12629" s="202">
        <v>128000</v>
      </c>
      <c r="L12629" s="202"/>
    </row>
    <row r="12630" spans="1:15" x14ac:dyDescent="0.2">
      <c r="A12630" s="120">
        <v>2026</v>
      </c>
      <c r="B12630" s="120">
        <v>1</v>
      </c>
      <c r="C12630" s="120">
        <v>15</v>
      </c>
      <c r="D12630" s="208">
        <f t="shared" si="1825"/>
        <v>46037</v>
      </c>
      <c r="E12630" s="209">
        <f t="shared" si="1829"/>
        <v>46037</v>
      </c>
      <c r="F12630" s="515"/>
      <c r="G12630" s="132" t="s">
        <v>1209</v>
      </c>
      <c r="J12630" s="120" t="s">
        <v>16</v>
      </c>
      <c r="K12630" s="207"/>
      <c r="L12630" s="207">
        <v>92530</v>
      </c>
    </row>
    <row r="12631" spans="1:15" x14ac:dyDescent="0.2">
      <c r="A12631" s="191">
        <v>2026</v>
      </c>
      <c r="B12631" s="191">
        <v>1</v>
      </c>
      <c r="C12631" s="191">
        <v>15</v>
      </c>
      <c r="D12631" s="192">
        <f t="shared" si="1825"/>
        <v>46037</v>
      </c>
      <c r="E12631" s="193">
        <f t="shared" si="1829"/>
        <v>46037</v>
      </c>
      <c r="F12631" s="514"/>
      <c r="G12631" s="194" t="s">
        <v>1209</v>
      </c>
      <c r="H12631" s="195"/>
      <c r="I12631" s="195"/>
      <c r="J12631" s="191" t="s">
        <v>47</v>
      </c>
      <c r="K12631" s="196"/>
      <c r="L12631" s="196">
        <v>35470</v>
      </c>
    </row>
    <row r="12632" spans="1:15" ht="11.25" customHeight="1" x14ac:dyDescent="0.2">
      <c r="A12632" s="197">
        <v>2026</v>
      </c>
      <c r="B12632" s="197">
        <v>1</v>
      </c>
      <c r="C12632" s="197">
        <v>15</v>
      </c>
      <c r="D12632" s="198">
        <f t="shared" si="1825"/>
        <v>46037</v>
      </c>
      <c r="E12632" s="290">
        <f>DATE(A12632,B12632,C12632)</f>
        <v>46037</v>
      </c>
      <c r="F12632" s="513" t="s">
        <v>1527</v>
      </c>
      <c r="G12632" s="200" t="s">
        <v>1209</v>
      </c>
      <c r="H12632" s="201"/>
      <c r="I12632" s="201"/>
      <c r="J12632" s="197" t="s">
        <v>54</v>
      </c>
      <c r="K12632" s="202">
        <v>60</v>
      </c>
      <c r="L12632" s="202"/>
      <c r="O12632" s="251"/>
    </row>
    <row r="12633" spans="1:15" ht="11.25" customHeight="1" x14ac:dyDescent="0.2">
      <c r="A12633" s="191">
        <v>2026</v>
      </c>
      <c r="B12633" s="191">
        <v>1</v>
      </c>
      <c r="C12633" s="191">
        <v>15</v>
      </c>
      <c r="D12633" s="192">
        <f t="shared" si="1825"/>
        <v>46037</v>
      </c>
      <c r="E12633" s="291">
        <f>DATE(A12633,B12633,C12633)</f>
        <v>46037</v>
      </c>
      <c r="F12633" s="514"/>
      <c r="G12633" s="194" t="s">
        <v>1209</v>
      </c>
      <c r="H12633" s="195"/>
      <c r="I12633" s="195"/>
      <c r="J12633" s="191" t="s">
        <v>46</v>
      </c>
      <c r="K12633" s="196"/>
      <c r="L12633" s="196">
        <f>K12632</f>
        <v>60</v>
      </c>
      <c r="O12633" s="251"/>
    </row>
    <row r="12634" spans="1:15" x14ac:dyDescent="0.2">
      <c r="A12634" s="424">
        <v>2026</v>
      </c>
      <c r="B12634" s="424">
        <v>1</v>
      </c>
      <c r="C12634" s="424">
        <v>15</v>
      </c>
      <c r="D12634" s="425">
        <f t="shared" si="1825"/>
        <v>46037</v>
      </c>
      <c r="E12634" s="384">
        <f t="shared" si="1829"/>
        <v>46037</v>
      </c>
      <c r="F12634" s="516" t="s">
        <v>1850</v>
      </c>
      <c r="G12634" s="426" t="s">
        <v>1209</v>
      </c>
      <c r="H12634" s="427"/>
      <c r="I12634" s="427"/>
      <c r="J12634" s="428" t="s">
        <v>81</v>
      </c>
      <c r="K12634" s="429">
        <v>1595.8173626373627</v>
      </c>
      <c r="L12634" s="429"/>
      <c r="M12634" s="455"/>
    </row>
    <row r="12635" spans="1:15" x14ac:dyDescent="0.2">
      <c r="A12635" s="389">
        <v>2026</v>
      </c>
      <c r="B12635" s="389">
        <v>1</v>
      </c>
      <c r="C12635" s="389">
        <v>15</v>
      </c>
      <c r="D12635" s="390">
        <f t="shared" si="1825"/>
        <v>46037</v>
      </c>
      <c r="E12635" s="391">
        <f t="shared" si="1829"/>
        <v>46037</v>
      </c>
      <c r="F12635" s="517"/>
      <c r="G12635" s="392" t="s">
        <v>1209</v>
      </c>
      <c r="H12635" s="393"/>
      <c r="I12635" s="393"/>
      <c r="J12635" s="394" t="s">
        <v>1847</v>
      </c>
      <c r="K12635" s="423"/>
      <c r="L12635" s="423">
        <f>K12634</f>
        <v>1595.8173626373627</v>
      </c>
    </row>
    <row r="12636" spans="1:15" ht="11.25" customHeight="1" x14ac:dyDescent="0.2">
      <c r="A12636" s="382">
        <v>2026</v>
      </c>
      <c r="B12636" s="382">
        <v>1</v>
      </c>
      <c r="C12636" s="382">
        <v>15</v>
      </c>
      <c r="D12636" s="383">
        <f t="shared" si="1825"/>
        <v>46037</v>
      </c>
      <c r="E12636" s="384">
        <f t="shared" si="1829"/>
        <v>46037</v>
      </c>
      <c r="F12636" s="516" t="s">
        <v>1892</v>
      </c>
      <c r="G12636" s="385" t="s">
        <v>1209</v>
      </c>
      <c r="H12636" s="386"/>
      <c r="I12636" s="386"/>
      <c r="J12636" s="387" t="s">
        <v>173</v>
      </c>
      <c r="K12636" s="388">
        <v>590.69387867638875</v>
      </c>
      <c r="L12636" s="388"/>
      <c r="M12636" s="455"/>
    </row>
    <row r="12637" spans="1:15" ht="11.25" customHeight="1" x14ac:dyDescent="0.2">
      <c r="A12637" s="389">
        <v>2026</v>
      </c>
      <c r="B12637" s="389">
        <v>1</v>
      </c>
      <c r="C12637" s="389">
        <v>15</v>
      </c>
      <c r="D12637" s="390">
        <f t="shared" si="1825"/>
        <v>46037</v>
      </c>
      <c r="E12637" s="391">
        <f t="shared" si="1829"/>
        <v>46037</v>
      </c>
      <c r="F12637" s="517"/>
      <c r="G12637" s="392" t="s">
        <v>1209</v>
      </c>
      <c r="H12637" s="393"/>
      <c r="I12637" s="393"/>
      <c r="J12637" s="394" t="s">
        <v>43</v>
      </c>
      <c r="K12637" s="388"/>
      <c r="L12637" s="423">
        <f>K12636</f>
        <v>590.69387867638875</v>
      </c>
    </row>
    <row r="12638" spans="1:15" ht="11.25" customHeight="1" x14ac:dyDescent="0.2">
      <c r="A12638" s="344">
        <v>2026</v>
      </c>
      <c r="B12638" s="344">
        <v>1</v>
      </c>
      <c r="C12638" s="344">
        <v>15</v>
      </c>
      <c r="D12638" s="345">
        <f t="shared" si="1825"/>
        <v>46037</v>
      </c>
      <c r="E12638" s="346">
        <f t="shared" si="1829"/>
        <v>46037</v>
      </c>
      <c r="F12638" s="518" t="s">
        <v>1982</v>
      </c>
      <c r="G12638" s="347" t="s">
        <v>1245</v>
      </c>
      <c r="H12638" s="348"/>
      <c r="I12638" s="348" t="s">
        <v>1253</v>
      </c>
      <c r="J12638" s="344" t="s">
        <v>1978</v>
      </c>
      <c r="K12638" s="349">
        <v>21249.725274725275</v>
      </c>
      <c r="L12638" s="349"/>
      <c r="M12638" s="455"/>
    </row>
    <row r="12639" spans="1:15" ht="11.25" customHeight="1" x14ac:dyDescent="0.2">
      <c r="A12639" s="350">
        <v>2026</v>
      </c>
      <c r="B12639" s="350">
        <v>1</v>
      </c>
      <c r="C12639" s="350">
        <v>15</v>
      </c>
      <c r="D12639" s="351">
        <f t="shared" si="1825"/>
        <v>46037</v>
      </c>
      <c r="E12639" s="352">
        <f t="shared" si="1829"/>
        <v>46037</v>
      </c>
      <c r="F12639" s="519"/>
      <c r="G12639" s="353" t="s">
        <v>1245</v>
      </c>
      <c r="H12639" s="354"/>
      <c r="I12639" s="354" t="s">
        <v>1253</v>
      </c>
      <c r="J12639" s="350" t="s">
        <v>1979</v>
      </c>
      <c r="K12639" s="355"/>
      <c r="L12639" s="355">
        <f>K12638</f>
        <v>21249.725274725275</v>
      </c>
    </row>
    <row r="12640" spans="1:15" ht="11.25" customHeight="1" x14ac:dyDescent="0.2">
      <c r="A12640" s="344">
        <v>2026</v>
      </c>
      <c r="B12640" s="344">
        <v>1</v>
      </c>
      <c r="C12640" s="344">
        <v>15</v>
      </c>
      <c r="D12640" s="345">
        <f t="shared" si="1825"/>
        <v>46037</v>
      </c>
      <c r="E12640" s="346">
        <f t="shared" si="1829"/>
        <v>46037</v>
      </c>
      <c r="F12640" s="518" t="s">
        <v>2009</v>
      </c>
      <c r="G12640" s="347" t="s">
        <v>1245</v>
      </c>
      <c r="H12640" s="348"/>
      <c r="I12640" s="348" t="s">
        <v>1253</v>
      </c>
      <c r="J12640" s="344" t="s">
        <v>2004</v>
      </c>
      <c r="K12640" s="349">
        <v>7098.9014285714284</v>
      </c>
      <c r="L12640" s="349"/>
      <c r="M12640" s="455"/>
    </row>
    <row r="12641" spans="1:16" ht="11.25" customHeight="1" x14ac:dyDescent="0.2">
      <c r="A12641" s="350">
        <v>2026</v>
      </c>
      <c r="B12641" s="350">
        <v>1</v>
      </c>
      <c r="C12641" s="350">
        <v>15</v>
      </c>
      <c r="D12641" s="351">
        <f t="shared" si="1825"/>
        <v>46037</v>
      </c>
      <c r="E12641" s="352">
        <f t="shared" si="1829"/>
        <v>46037</v>
      </c>
      <c r="F12641" s="519"/>
      <c r="G12641" s="353" t="s">
        <v>1245</v>
      </c>
      <c r="H12641" s="354"/>
      <c r="I12641" s="354" t="s">
        <v>1253</v>
      </c>
      <c r="J12641" s="350" t="s">
        <v>2008</v>
      </c>
      <c r="K12641" s="355"/>
      <c r="L12641" s="355">
        <f t="shared" ref="L12641" si="1830">K12640</f>
        <v>7098.9014285714284</v>
      </c>
    </row>
    <row r="12642" spans="1:16" ht="11.25" customHeight="1" x14ac:dyDescent="0.2">
      <c r="A12642" s="344">
        <v>2026</v>
      </c>
      <c r="B12642" s="344">
        <v>1</v>
      </c>
      <c r="C12642" s="344">
        <v>15</v>
      </c>
      <c r="D12642" s="345">
        <f t="shared" si="1825"/>
        <v>46037</v>
      </c>
      <c r="E12642" s="346">
        <f t="shared" si="1829"/>
        <v>46037</v>
      </c>
      <c r="F12642" s="518" t="s">
        <v>2009</v>
      </c>
      <c r="G12642" s="347" t="s">
        <v>1245</v>
      </c>
      <c r="H12642" s="348"/>
      <c r="I12642" s="348" t="s">
        <v>1253</v>
      </c>
      <c r="J12642" s="344" t="s">
        <v>2004</v>
      </c>
      <c r="K12642" s="349">
        <v>7098.9014285714284</v>
      </c>
      <c r="L12642" s="349"/>
      <c r="M12642" s="455"/>
    </row>
    <row r="12643" spans="1:16" ht="11.25" customHeight="1" x14ac:dyDescent="0.2">
      <c r="A12643" s="350">
        <v>2026</v>
      </c>
      <c r="B12643" s="350">
        <v>1</v>
      </c>
      <c r="C12643" s="350">
        <v>15</v>
      </c>
      <c r="D12643" s="351">
        <f t="shared" si="1825"/>
        <v>46037</v>
      </c>
      <c r="E12643" s="352">
        <f t="shared" si="1829"/>
        <v>46037</v>
      </c>
      <c r="F12643" s="519"/>
      <c r="G12643" s="353" t="s">
        <v>1245</v>
      </c>
      <c r="H12643" s="354"/>
      <c r="I12643" s="354" t="s">
        <v>1253</v>
      </c>
      <c r="J12643" s="350" t="s">
        <v>2008</v>
      </c>
      <c r="K12643" s="355"/>
      <c r="L12643" s="355">
        <f t="shared" ref="L12643" si="1831">K12642</f>
        <v>7098.9014285714284</v>
      </c>
    </row>
    <row r="12644" spans="1:16" ht="11.25" customHeight="1" x14ac:dyDescent="0.2">
      <c r="A12644" s="344">
        <v>2026</v>
      </c>
      <c r="B12644" s="344">
        <v>1</v>
      </c>
      <c r="C12644" s="344">
        <v>15</v>
      </c>
      <c r="D12644" s="345">
        <f t="shared" si="1825"/>
        <v>46037</v>
      </c>
      <c r="E12644" s="346">
        <f t="shared" si="1829"/>
        <v>46037</v>
      </c>
      <c r="F12644" s="518" t="s">
        <v>2088</v>
      </c>
      <c r="G12644" s="347" t="s">
        <v>1245</v>
      </c>
      <c r="H12644" s="348"/>
      <c r="I12644" s="348" t="s">
        <v>1253</v>
      </c>
      <c r="J12644" s="344" t="s">
        <v>2086</v>
      </c>
      <c r="K12644" s="349">
        <v>1789.835164835165</v>
      </c>
      <c r="L12644" s="349"/>
      <c r="M12644" s="455"/>
    </row>
    <row r="12645" spans="1:16" ht="11.25" customHeight="1" x14ac:dyDescent="0.2">
      <c r="A12645" s="350">
        <v>2026</v>
      </c>
      <c r="B12645" s="350">
        <v>1</v>
      </c>
      <c r="C12645" s="350">
        <v>15</v>
      </c>
      <c r="D12645" s="351">
        <f t="shared" si="1825"/>
        <v>46037</v>
      </c>
      <c r="E12645" s="352">
        <f t="shared" si="1829"/>
        <v>46037</v>
      </c>
      <c r="F12645" s="519"/>
      <c r="G12645" s="353" t="s">
        <v>1245</v>
      </c>
      <c r="H12645" s="354"/>
      <c r="I12645" s="354" t="s">
        <v>1253</v>
      </c>
      <c r="J12645" s="350" t="s">
        <v>2089</v>
      </c>
      <c r="K12645" s="355"/>
      <c r="L12645" s="355">
        <f>K12644</f>
        <v>1789.835164835165</v>
      </c>
    </row>
    <row r="12646" spans="1:16" ht="11.25" customHeight="1" x14ac:dyDescent="0.2">
      <c r="A12646" s="344">
        <v>2026</v>
      </c>
      <c r="B12646" s="344">
        <v>1</v>
      </c>
      <c r="C12646" s="344">
        <v>15</v>
      </c>
      <c r="D12646" s="345">
        <f t="shared" si="1825"/>
        <v>46037</v>
      </c>
      <c r="E12646" s="346">
        <f>DATE(A12646,B12646,C12646)</f>
        <v>46037</v>
      </c>
      <c r="F12646" s="518" t="s">
        <v>1988</v>
      </c>
      <c r="G12646" s="347" t="s">
        <v>1245</v>
      </c>
      <c r="H12646" s="348"/>
      <c r="I12646" s="348" t="s">
        <v>1253</v>
      </c>
      <c r="J12646" s="344" t="s">
        <v>113</v>
      </c>
      <c r="K12646" s="349">
        <v>4692.3071428571429</v>
      </c>
      <c r="L12646" s="349"/>
      <c r="M12646" s="455"/>
    </row>
    <row r="12647" spans="1:16" ht="11.25" customHeight="1" x14ac:dyDescent="0.2">
      <c r="A12647" s="350">
        <v>2026</v>
      </c>
      <c r="B12647" s="350">
        <v>1</v>
      </c>
      <c r="C12647" s="350">
        <v>15</v>
      </c>
      <c r="D12647" s="351">
        <f t="shared" si="1825"/>
        <v>46037</v>
      </c>
      <c r="E12647" s="352">
        <f>DATE(A12647,B12647,C12647)</f>
        <v>46037</v>
      </c>
      <c r="F12647" s="519"/>
      <c r="G12647" s="353" t="s">
        <v>1245</v>
      </c>
      <c r="H12647" s="354"/>
      <c r="I12647" s="354" t="s">
        <v>1253</v>
      </c>
      <c r="J12647" s="350" t="s">
        <v>153</v>
      </c>
      <c r="K12647" s="355"/>
      <c r="L12647" s="355">
        <f t="shared" ref="L12647" si="1832">K12646</f>
        <v>4692.3071428571429</v>
      </c>
    </row>
    <row r="12648" spans="1:16" ht="11.25" customHeight="1" x14ac:dyDescent="0.2">
      <c r="A12648" s="344">
        <v>2026</v>
      </c>
      <c r="B12648" s="344">
        <v>1</v>
      </c>
      <c r="C12648" s="344">
        <v>15</v>
      </c>
      <c r="D12648" s="345">
        <f t="shared" si="1825"/>
        <v>46037</v>
      </c>
      <c r="E12648" s="346">
        <f t="shared" ref="E12648:E12654" si="1833">DATE(A12648,B12648,C12648)</f>
        <v>46037</v>
      </c>
      <c r="F12648" s="518" t="s">
        <v>1989</v>
      </c>
      <c r="G12648" s="347" t="s">
        <v>1245</v>
      </c>
      <c r="H12648" s="348"/>
      <c r="I12648" s="348" t="s">
        <v>1253</v>
      </c>
      <c r="J12648" s="344" t="s">
        <v>113</v>
      </c>
      <c r="K12648" s="349">
        <v>3351.6483516483518</v>
      </c>
      <c r="L12648" s="349"/>
      <c r="M12648" s="455"/>
    </row>
    <row r="12649" spans="1:16" ht="11.25" customHeight="1" x14ac:dyDescent="0.2">
      <c r="A12649" s="350">
        <v>2026</v>
      </c>
      <c r="B12649" s="350">
        <v>1</v>
      </c>
      <c r="C12649" s="350">
        <v>15</v>
      </c>
      <c r="D12649" s="351">
        <f t="shared" si="1825"/>
        <v>46037</v>
      </c>
      <c r="E12649" s="352">
        <f t="shared" si="1833"/>
        <v>46037</v>
      </c>
      <c r="F12649" s="519"/>
      <c r="G12649" s="353" t="s">
        <v>1245</v>
      </c>
      <c r="H12649" s="354"/>
      <c r="I12649" s="354" t="s">
        <v>1253</v>
      </c>
      <c r="J12649" s="350" t="s">
        <v>153</v>
      </c>
      <c r="K12649" s="355"/>
      <c r="L12649" s="355">
        <f t="shared" ref="L12649" si="1834">K12648</f>
        <v>3351.6483516483518</v>
      </c>
    </row>
    <row r="12650" spans="1:16" ht="11.25" customHeight="1" x14ac:dyDescent="0.2">
      <c r="A12650" s="344">
        <v>2026</v>
      </c>
      <c r="B12650" s="344">
        <v>1</v>
      </c>
      <c r="C12650" s="344">
        <v>15</v>
      </c>
      <c r="D12650" s="345">
        <f t="shared" si="1825"/>
        <v>46037</v>
      </c>
      <c r="E12650" s="346">
        <f t="shared" si="1833"/>
        <v>46037</v>
      </c>
      <c r="F12650" s="518" t="s">
        <v>1990</v>
      </c>
      <c r="G12650" s="347" t="s">
        <v>1245</v>
      </c>
      <c r="H12650" s="348"/>
      <c r="I12650" s="348" t="s">
        <v>1253</v>
      </c>
      <c r="J12650" s="344" t="s">
        <v>113</v>
      </c>
      <c r="K12650" s="349">
        <v>10054.945714285714</v>
      </c>
      <c r="L12650" s="349"/>
      <c r="M12650" s="455"/>
      <c r="N12650" s="251"/>
      <c r="O12650" s="251"/>
      <c r="P12650" s="251"/>
    </row>
    <row r="12651" spans="1:16" ht="11.25" customHeight="1" x14ac:dyDescent="0.2">
      <c r="A12651" s="350">
        <v>2026</v>
      </c>
      <c r="B12651" s="350">
        <v>1</v>
      </c>
      <c r="C12651" s="350">
        <v>15</v>
      </c>
      <c r="D12651" s="351">
        <f t="shared" si="1825"/>
        <v>46037</v>
      </c>
      <c r="E12651" s="352">
        <f t="shared" si="1833"/>
        <v>46037</v>
      </c>
      <c r="F12651" s="519"/>
      <c r="G12651" s="353" t="s">
        <v>1245</v>
      </c>
      <c r="H12651" s="354"/>
      <c r="I12651" s="354" t="s">
        <v>1253</v>
      </c>
      <c r="J12651" s="350" t="s">
        <v>153</v>
      </c>
      <c r="K12651" s="355"/>
      <c r="L12651" s="355">
        <f t="shared" ref="L12651" si="1835">K12650</f>
        <v>10054.945714285714</v>
      </c>
    </row>
    <row r="12652" spans="1:16" ht="11.25" customHeight="1" x14ac:dyDescent="0.2">
      <c r="A12652" s="344">
        <v>2026</v>
      </c>
      <c r="B12652" s="344">
        <v>1</v>
      </c>
      <c r="C12652" s="344">
        <v>15</v>
      </c>
      <c r="D12652" s="345">
        <f t="shared" si="1825"/>
        <v>46037</v>
      </c>
      <c r="E12652" s="346">
        <f t="shared" si="1833"/>
        <v>46037</v>
      </c>
      <c r="F12652" s="518" t="s">
        <v>2107</v>
      </c>
      <c r="G12652" s="347" t="s">
        <v>1245</v>
      </c>
      <c r="H12652" s="348"/>
      <c r="I12652" s="348" t="s">
        <v>1253</v>
      </c>
      <c r="J12652" s="344" t="s">
        <v>113</v>
      </c>
      <c r="K12652" s="349">
        <v>12370.879120879121</v>
      </c>
      <c r="L12652" s="349"/>
      <c r="M12652" s="455"/>
      <c r="N12652" s="251"/>
      <c r="O12652" s="251"/>
      <c r="P12652" s="251"/>
    </row>
    <row r="12653" spans="1:16" ht="11.25" customHeight="1" x14ac:dyDescent="0.2">
      <c r="A12653" s="350">
        <v>2026</v>
      </c>
      <c r="B12653" s="350">
        <v>1</v>
      </c>
      <c r="C12653" s="350">
        <v>15</v>
      </c>
      <c r="D12653" s="351">
        <f t="shared" si="1825"/>
        <v>46037</v>
      </c>
      <c r="E12653" s="352">
        <f t="shared" si="1833"/>
        <v>46037</v>
      </c>
      <c r="F12653" s="519"/>
      <c r="G12653" s="353" t="s">
        <v>1245</v>
      </c>
      <c r="H12653" s="354"/>
      <c r="I12653" s="354" t="s">
        <v>1253</v>
      </c>
      <c r="J12653" s="350" t="s">
        <v>153</v>
      </c>
      <c r="K12653" s="355"/>
      <c r="L12653" s="355">
        <f t="shared" ref="L12653" si="1836">K12652</f>
        <v>12370.879120879121</v>
      </c>
    </row>
    <row r="12654" spans="1:16" ht="11.25" customHeight="1" x14ac:dyDescent="0.2">
      <c r="A12654" s="210">
        <v>2026</v>
      </c>
      <c r="B12654" s="210">
        <v>1</v>
      </c>
      <c r="C12654" s="210">
        <v>15</v>
      </c>
      <c r="D12654" s="211">
        <f t="shared" si="1825"/>
        <v>46037</v>
      </c>
      <c r="E12654" s="238">
        <f t="shared" si="1833"/>
        <v>46037</v>
      </c>
      <c r="F12654" s="520" t="s">
        <v>1857</v>
      </c>
      <c r="G12654" s="213" t="s">
        <v>1245</v>
      </c>
      <c r="H12654" s="214"/>
      <c r="I12654" s="214" t="s">
        <v>1253</v>
      </c>
      <c r="J12654" s="210" t="s">
        <v>1284</v>
      </c>
      <c r="K12654" s="215">
        <v>334.54448777029421</v>
      </c>
      <c r="L12654" s="215"/>
      <c r="M12654" s="455"/>
    </row>
    <row r="12655" spans="1:16" ht="11.25" customHeight="1" x14ac:dyDescent="0.2">
      <c r="A12655" s="242">
        <v>2026</v>
      </c>
      <c r="B12655" s="242">
        <v>1</v>
      </c>
      <c r="C12655" s="242">
        <v>15</v>
      </c>
      <c r="D12655" s="243">
        <f t="shared" si="1825"/>
        <v>46037</v>
      </c>
      <c r="E12655" s="244">
        <f>DATE(A12655,B12655,C12655)</f>
        <v>46037</v>
      </c>
      <c r="F12655" s="524"/>
      <c r="G12655" s="245" t="s">
        <v>1245</v>
      </c>
      <c r="H12655" s="246"/>
      <c r="I12655" s="246"/>
      <c r="J12655" s="242" t="s">
        <v>1582</v>
      </c>
      <c r="K12655" s="247"/>
      <c r="L12655" s="247">
        <f>K12654</f>
        <v>334.54448777029421</v>
      </c>
    </row>
    <row r="12656" spans="1:16" ht="11.25" customHeight="1" x14ac:dyDescent="0.2">
      <c r="A12656" s="210">
        <v>2026</v>
      </c>
      <c r="B12656" s="210">
        <v>1</v>
      </c>
      <c r="C12656" s="210">
        <v>15</v>
      </c>
      <c r="D12656" s="211">
        <f t="shared" si="1825"/>
        <v>46037</v>
      </c>
      <c r="E12656" s="238">
        <f t="shared" ref="E12656:E12677" si="1837">DATE(A12656,B12656,C12656)</f>
        <v>46037</v>
      </c>
      <c r="F12656" s="520" t="s">
        <v>2055</v>
      </c>
      <c r="G12656" s="213" t="s">
        <v>1245</v>
      </c>
      <c r="H12656" s="214"/>
      <c r="I12656" s="214" t="s">
        <v>1253</v>
      </c>
      <c r="J12656" s="210" t="s">
        <v>58</v>
      </c>
      <c r="K12656" s="215">
        <v>472.38</v>
      </c>
      <c r="L12656" s="215"/>
    </row>
    <row r="12657" spans="1:15" ht="11.25" customHeight="1" x14ac:dyDescent="0.2">
      <c r="A12657" s="216">
        <v>2026</v>
      </c>
      <c r="B12657" s="216">
        <v>1</v>
      </c>
      <c r="C12657" s="216">
        <v>15</v>
      </c>
      <c r="D12657" s="217">
        <f t="shared" si="1825"/>
        <v>46037</v>
      </c>
      <c r="E12657" s="239">
        <f t="shared" si="1837"/>
        <v>46037</v>
      </c>
      <c r="F12657" s="521"/>
      <c r="G12657" s="219" t="s">
        <v>1245</v>
      </c>
      <c r="H12657" s="220"/>
      <c r="I12657" s="220" t="s">
        <v>1253</v>
      </c>
      <c r="J12657" s="216" t="s">
        <v>153</v>
      </c>
      <c r="K12657" s="221"/>
      <c r="L12657" s="221">
        <f>K12656</f>
        <v>472.38</v>
      </c>
    </row>
    <row r="12658" spans="1:15" ht="11.25" customHeight="1" x14ac:dyDescent="0.2">
      <c r="A12658" s="312">
        <v>2026</v>
      </c>
      <c r="B12658" s="312">
        <v>1</v>
      </c>
      <c r="C12658" s="312">
        <v>15</v>
      </c>
      <c r="D12658" s="313">
        <f t="shared" si="1825"/>
        <v>46037</v>
      </c>
      <c r="E12658" s="314">
        <f t="shared" si="1837"/>
        <v>46037</v>
      </c>
      <c r="F12658" s="522" t="s">
        <v>1595</v>
      </c>
      <c r="G12658" s="315" t="s">
        <v>1245</v>
      </c>
      <c r="H12658" s="316"/>
      <c r="I12658" s="316" t="s">
        <v>1253</v>
      </c>
      <c r="J12658" s="312" t="s">
        <v>1461</v>
      </c>
      <c r="K12658" s="317">
        <v>99868.756999850273</v>
      </c>
      <c r="L12658" s="317"/>
      <c r="M12658" s="328"/>
    </row>
    <row r="12659" spans="1:15" ht="11.25" customHeight="1" x14ac:dyDescent="0.2">
      <c r="A12659" s="318">
        <v>2026</v>
      </c>
      <c r="B12659" s="318">
        <v>1</v>
      </c>
      <c r="C12659" s="318">
        <v>15</v>
      </c>
      <c r="D12659" s="319">
        <f t="shared" si="1825"/>
        <v>46037</v>
      </c>
      <c r="E12659" s="320">
        <f t="shared" si="1837"/>
        <v>46037</v>
      </c>
      <c r="F12659" s="523"/>
      <c r="G12659" s="321" t="s">
        <v>1245</v>
      </c>
      <c r="H12659" s="322"/>
      <c r="I12659" s="322" t="s">
        <v>1253</v>
      </c>
      <c r="J12659" s="318" t="s">
        <v>1459</v>
      </c>
      <c r="K12659" s="323"/>
      <c r="L12659" s="323">
        <f>K12658</f>
        <v>99868.756999850273</v>
      </c>
      <c r="M12659" s="328"/>
    </row>
    <row r="12660" spans="1:15" ht="11.25" customHeight="1" x14ac:dyDescent="0.2">
      <c r="A12660" s="222">
        <v>2026</v>
      </c>
      <c r="B12660" s="222">
        <v>1</v>
      </c>
      <c r="C12660" s="222">
        <v>15</v>
      </c>
      <c r="D12660" s="223">
        <f t="shared" si="1825"/>
        <v>46037</v>
      </c>
      <c r="E12660" s="240">
        <f t="shared" si="1837"/>
        <v>46037</v>
      </c>
      <c r="F12660" s="511" t="s">
        <v>1244</v>
      </c>
      <c r="G12660" s="225" t="s">
        <v>1245</v>
      </c>
      <c r="H12660" s="226"/>
      <c r="I12660" s="226" t="s">
        <v>1253</v>
      </c>
      <c r="J12660" s="222" t="s">
        <v>87</v>
      </c>
      <c r="K12660" s="227">
        <v>2617.5</v>
      </c>
      <c r="L12660" s="227"/>
      <c r="M12660" s="328"/>
    </row>
    <row r="12661" spans="1:15" ht="11.25" customHeight="1" x14ac:dyDescent="0.2">
      <c r="A12661" s="228">
        <v>2026</v>
      </c>
      <c r="B12661" s="228">
        <v>1</v>
      </c>
      <c r="C12661" s="228">
        <v>15</v>
      </c>
      <c r="D12661" s="229">
        <f t="shared" si="1825"/>
        <v>46037</v>
      </c>
      <c r="E12661" s="241">
        <f t="shared" si="1837"/>
        <v>46037</v>
      </c>
      <c r="F12661" s="512"/>
      <c r="G12661" s="231" t="s">
        <v>1245</v>
      </c>
      <c r="H12661" s="232"/>
      <c r="I12661" s="232" t="s">
        <v>1253</v>
      </c>
      <c r="J12661" s="228" t="s">
        <v>72</v>
      </c>
      <c r="K12661" s="233"/>
      <c r="L12661" s="233">
        <f>K12660</f>
        <v>2617.5</v>
      </c>
    </row>
    <row r="12662" spans="1:15" ht="11.25" customHeight="1" x14ac:dyDescent="0.2">
      <c r="A12662" s="222">
        <v>2026</v>
      </c>
      <c r="B12662" s="222">
        <v>1</v>
      </c>
      <c r="C12662" s="222">
        <v>15</v>
      </c>
      <c r="D12662" s="223">
        <f t="shared" si="1825"/>
        <v>46037</v>
      </c>
      <c r="E12662" s="240">
        <f t="shared" si="1837"/>
        <v>46037</v>
      </c>
      <c r="F12662" s="511" t="s">
        <v>1246</v>
      </c>
      <c r="G12662" s="225" t="s">
        <v>1245</v>
      </c>
      <c r="H12662" s="226"/>
      <c r="I12662" s="226" t="s">
        <v>1253</v>
      </c>
      <c r="J12662" s="222" t="s">
        <v>75</v>
      </c>
      <c r="K12662" s="227">
        <v>517.58912087912086</v>
      </c>
      <c r="L12662" s="227"/>
      <c r="M12662" s="455"/>
    </row>
    <row r="12663" spans="1:15" ht="11.25" customHeight="1" x14ac:dyDescent="0.2">
      <c r="A12663" s="228">
        <v>2026</v>
      </c>
      <c r="B12663" s="228">
        <v>1</v>
      </c>
      <c r="C12663" s="228">
        <v>15</v>
      </c>
      <c r="D12663" s="229">
        <f t="shared" si="1825"/>
        <v>46037</v>
      </c>
      <c r="E12663" s="241">
        <f t="shared" si="1837"/>
        <v>46037</v>
      </c>
      <c r="F12663" s="512"/>
      <c r="G12663" s="231" t="s">
        <v>1245</v>
      </c>
      <c r="H12663" s="232"/>
      <c r="I12663" s="232" t="s">
        <v>1253</v>
      </c>
      <c r="J12663" s="228" t="s">
        <v>55</v>
      </c>
      <c r="K12663" s="233"/>
      <c r="L12663" s="233">
        <f>K12662</f>
        <v>517.58912087912086</v>
      </c>
    </row>
    <row r="12664" spans="1:15" ht="11.25" customHeight="1" x14ac:dyDescent="0.2">
      <c r="A12664" s="222">
        <v>2026</v>
      </c>
      <c r="B12664" s="222">
        <v>1</v>
      </c>
      <c r="C12664" s="222">
        <v>15</v>
      </c>
      <c r="D12664" s="223">
        <f t="shared" si="1825"/>
        <v>46037</v>
      </c>
      <c r="E12664" s="240">
        <f t="shared" si="1837"/>
        <v>46037</v>
      </c>
      <c r="F12664" s="511" t="s">
        <v>1247</v>
      </c>
      <c r="G12664" s="225" t="s">
        <v>1245</v>
      </c>
      <c r="H12664" s="226"/>
      <c r="I12664" s="226" t="s">
        <v>1253</v>
      </c>
      <c r="J12664" s="222" t="s">
        <v>77</v>
      </c>
      <c r="K12664" s="227">
        <f>M12664</f>
        <v>7443.1212988889811</v>
      </c>
      <c r="L12664" s="227"/>
      <c r="M12664" s="478">
        <v>7443.1212988889811</v>
      </c>
    </row>
    <row r="12665" spans="1:15" ht="11.25" customHeight="1" x14ac:dyDescent="0.2">
      <c r="A12665" s="228">
        <v>2026</v>
      </c>
      <c r="B12665" s="228">
        <v>1</v>
      </c>
      <c r="C12665" s="228">
        <v>15</v>
      </c>
      <c r="D12665" s="229">
        <f t="shared" si="1825"/>
        <v>46037</v>
      </c>
      <c r="E12665" s="241">
        <f t="shared" si="1837"/>
        <v>46037</v>
      </c>
      <c r="F12665" s="512"/>
      <c r="G12665" s="231" t="s">
        <v>1245</v>
      </c>
      <c r="H12665" s="232"/>
      <c r="I12665" s="232" t="s">
        <v>1253</v>
      </c>
      <c r="J12665" s="228" t="s">
        <v>41</v>
      </c>
      <c r="K12665" s="233"/>
      <c r="L12665" s="233">
        <f>K12664</f>
        <v>7443.1212988889811</v>
      </c>
      <c r="M12665" s="478">
        <v>744.3121298888982</v>
      </c>
      <c r="N12665" s="251"/>
    </row>
    <row r="12666" spans="1:15" ht="11.25" customHeight="1" x14ac:dyDescent="0.2">
      <c r="A12666" s="222">
        <v>2026</v>
      </c>
      <c r="B12666" s="222">
        <v>1</v>
      </c>
      <c r="C12666" s="222">
        <v>15</v>
      </c>
      <c r="D12666" s="223">
        <f t="shared" si="1825"/>
        <v>46037</v>
      </c>
      <c r="E12666" s="240">
        <f t="shared" si="1837"/>
        <v>46037</v>
      </c>
      <c r="F12666" s="511" t="s">
        <v>1248</v>
      </c>
      <c r="G12666" s="225" t="s">
        <v>1245</v>
      </c>
      <c r="H12666" s="226"/>
      <c r="I12666" s="226" t="s">
        <v>1253</v>
      </c>
      <c r="J12666" s="222" t="s">
        <v>80</v>
      </c>
      <c r="K12666" s="227">
        <f>M12665</f>
        <v>744.3121298888982</v>
      </c>
      <c r="L12666" s="227"/>
      <c r="N12666" s="251"/>
      <c r="O12666" s="251"/>
    </row>
    <row r="12667" spans="1:15" ht="11.25" customHeight="1" x14ac:dyDescent="0.2">
      <c r="A12667" s="228">
        <v>2026</v>
      </c>
      <c r="B12667" s="228">
        <v>1</v>
      </c>
      <c r="C12667" s="228">
        <v>15</v>
      </c>
      <c r="D12667" s="229">
        <f t="shared" si="1825"/>
        <v>46037</v>
      </c>
      <c r="E12667" s="241">
        <f t="shared" si="1837"/>
        <v>46037</v>
      </c>
      <c r="F12667" s="512"/>
      <c r="G12667" s="231" t="s">
        <v>1245</v>
      </c>
      <c r="H12667" s="232"/>
      <c r="I12667" s="232" t="s">
        <v>1253</v>
      </c>
      <c r="J12667" s="228" t="s">
        <v>42</v>
      </c>
      <c r="K12667" s="233"/>
      <c r="L12667" s="233">
        <f>K12666</f>
        <v>744.3121298888982</v>
      </c>
      <c r="N12667" s="251"/>
    </row>
    <row r="12668" spans="1:15" ht="11.25" customHeight="1" x14ac:dyDescent="0.2">
      <c r="A12668" s="197">
        <v>2026</v>
      </c>
      <c r="B12668" s="197">
        <v>1</v>
      </c>
      <c r="C12668" s="197">
        <v>18</v>
      </c>
      <c r="D12668" s="198">
        <f t="shared" si="1825"/>
        <v>46040</v>
      </c>
      <c r="E12668" s="199">
        <f t="shared" si="1837"/>
        <v>46040</v>
      </c>
      <c r="F12668" s="513" t="s">
        <v>1963</v>
      </c>
      <c r="G12668" s="200" t="s">
        <v>1245</v>
      </c>
      <c r="H12668" s="201"/>
      <c r="I12668" s="201"/>
      <c r="J12668" s="197" t="s">
        <v>46</v>
      </c>
      <c r="K12668" s="202">
        <v>1882643.75</v>
      </c>
      <c r="L12668" s="202"/>
    </row>
    <row r="12669" spans="1:15" ht="11.25" customHeight="1" x14ac:dyDescent="0.2">
      <c r="A12669" s="120">
        <v>2026</v>
      </c>
      <c r="B12669" s="120">
        <v>1</v>
      </c>
      <c r="C12669" s="120">
        <v>18</v>
      </c>
      <c r="D12669" s="208">
        <f t="shared" si="1825"/>
        <v>46040</v>
      </c>
      <c r="E12669" s="209">
        <f t="shared" si="1837"/>
        <v>46040</v>
      </c>
      <c r="F12669" s="515"/>
      <c r="G12669" s="132" t="s">
        <v>1245</v>
      </c>
      <c r="J12669" s="120" t="s">
        <v>179</v>
      </c>
      <c r="K12669" s="207">
        <v>136300</v>
      </c>
      <c r="L12669" s="207"/>
    </row>
    <row r="12670" spans="1:15" ht="11.25" customHeight="1" x14ac:dyDescent="0.2">
      <c r="A12670" s="120">
        <v>2026</v>
      </c>
      <c r="B12670" s="120">
        <v>1</v>
      </c>
      <c r="C12670" s="120">
        <v>18</v>
      </c>
      <c r="D12670" s="208">
        <f t="shared" si="1825"/>
        <v>46040</v>
      </c>
      <c r="E12670" s="209">
        <f t="shared" si="1837"/>
        <v>46040</v>
      </c>
      <c r="F12670" s="515"/>
      <c r="G12670" s="132" t="s">
        <v>1245</v>
      </c>
      <c r="J12670" s="120" t="s">
        <v>1579</v>
      </c>
      <c r="K12670" s="207"/>
      <c r="L12670" s="207">
        <v>1840050</v>
      </c>
    </row>
    <row r="12671" spans="1:15" ht="11.25" customHeight="1" x14ac:dyDescent="0.2">
      <c r="A12671" s="191">
        <v>2026</v>
      </c>
      <c r="B12671" s="191">
        <v>1</v>
      </c>
      <c r="C12671" s="191">
        <v>18</v>
      </c>
      <c r="D12671" s="192">
        <f t="shared" si="1825"/>
        <v>46040</v>
      </c>
      <c r="E12671" s="193">
        <f t="shared" si="1837"/>
        <v>46040</v>
      </c>
      <c r="F12671" s="514"/>
      <c r="G12671" s="194" t="s">
        <v>1245</v>
      </c>
      <c r="H12671" s="195"/>
      <c r="I12671" s="195"/>
      <c r="J12671" s="191" t="s">
        <v>1284</v>
      </c>
      <c r="K12671" s="196"/>
      <c r="L12671" s="196">
        <v>178893.75</v>
      </c>
    </row>
    <row r="12672" spans="1:15" x14ac:dyDescent="0.2">
      <c r="A12672" s="197">
        <v>2026</v>
      </c>
      <c r="B12672" s="197">
        <v>1</v>
      </c>
      <c r="C12672" s="197">
        <v>18</v>
      </c>
      <c r="D12672" s="198">
        <f t="shared" si="1825"/>
        <v>46040</v>
      </c>
      <c r="E12672" s="209">
        <f t="shared" si="1837"/>
        <v>46040</v>
      </c>
      <c r="F12672" s="513" t="s">
        <v>2130</v>
      </c>
      <c r="G12672" s="200" t="s">
        <v>1209</v>
      </c>
      <c r="H12672" s="201"/>
      <c r="I12672" s="201"/>
      <c r="J12672" s="197" t="s">
        <v>46</v>
      </c>
      <c r="K12672" s="202">
        <v>3000</v>
      </c>
      <c r="L12672" s="202"/>
    </row>
    <row r="12673" spans="1:15" x14ac:dyDescent="0.2">
      <c r="A12673" s="120">
        <v>2026</v>
      </c>
      <c r="B12673" s="120">
        <v>1</v>
      </c>
      <c r="C12673" s="120">
        <v>18</v>
      </c>
      <c r="D12673" s="208">
        <f t="shared" si="1825"/>
        <v>46040</v>
      </c>
      <c r="E12673" s="209">
        <f t="shared" si="1837"/>
        <v>46040</v>
      </c>
      <c r="F12673" s="515"/>
      <c r="G12673" s="132" t="s">
        <v>1209</v>
      </c>
      <c r="J12673" s="120" t="s">
        <v>16</v>
      </c>
      <c r="K12673" s="207"/>
      <c r="L12673" s="207">
        <v>2170</v>
      </c>
    </row>
    <row r="12674" spans="1:15" x14ac:dyDescent="0.2">
      <c r="A12674" s="191">
        <v>2026</v>
      </c>
      <c r="B12674" s="191">
        <v>1</v>
      </c>
      <c r="C12674" s="191">
        <v>18</v>
      </c>
      <c r="D12674" s="192">
        <f t="shared" ref="D12674:D12737" si="1838">DATE(A12674,B12674,C12674)</f>
        <v>46040</v>
      </c>
      <c r="E12674" s="193">
        <f t="shared" si="1837"/>
        <v>46040</v>
      </c>
      <c r="F12674" s="514"/>
      <c r="G12674" s="194" t="s">
        <v>1209</v>
      </c>
      <c r="H12674" s="195"/>
      <c r="I12674" s="195"/>
      <c r="J12674" s="191" t="s">
        <v>47</v>
      </c>
      <c r="K12674" s="196"/>
      <c r="L12674" s="196">
        <v>830</v>
      </c>
    </row>
    <row r="12675" spans="1:15" x14ac:dyDescent="0.2">
      <c r="A12675" s="197">
        <v>2026</v>
      </c>
      <c r="B12675" s="197">
        <v>1</v>
      </c>
      <c r="C12675" s="197">
        <v>18</v>
      </c>
      <c r="D12675" s="198">
        <f t="shared" si="1838"/>
        <v>46040</v>
      </c>
      <c r="E12675" s="209">
        <f t="shared" si="1837"/>
        <v>46040</v>
      </c>
      <c r="F12675" s="513" t="s">
        <v>1423</v>
      </c>
      <c r="G12675" s="200" t="s">
        <v>1209</v>
      </c>
      <c r="H12675" s="201"/>
      <c r="I12675" s="201"/>
      <c r="J12675" s="197" t="s">
        <v>16</v>
      </c>
      <c r="K12675" s="202">
        <v>3610</v>
      </c>
      <c r="L12675" s="202"/>
    </row>
    <row r="12676" spans="1:15" x14ac:dyDescent="0.2">
      <c r="A12676" s="120">
        <v>2026</v>
      </c>
      <c r="B12676" s="120">
        <v>1</v>
      </c>
      <c r="C12676" s="120">
        <v>18</v>
      </c>
      <c r="D12676" s="208">
        <f t="shared" si="1838"/>
        <v>46040</v>
      </c>
      <c r="E12676" s="209">
        <f t="shared" si="1837"/>
        <v>46040</v>
      </c>
      <c r="F12676" s="515"/>
      <c r="G12676" s="132" t="s">
        <v>1209</v>
      </c>
      <c r="J12676" s="120" t="s">
        <v>47</v>
      </c>
      <c r="K12676" s="207">
        <v>1390</v>
      </c>
      <c r="L12676" s="207"/>
    </row>
    <row r="12677" spans="1:15" x14ac:dyDescent="0.2">
      <c r="A12677" s="191">
        <v>2026</v>
      </c>
      <c r="B12677" s="191">
        <v>1</v>
      </c>
      <c r="C12677" s="191">
        <v>18</v>
      </c>
      <c r="D12677" s="192">
        <f t="shared" si="1838"/>
        <v>46040</v>
      </c>
      <c r="E12677" s="193">
        <f t="shared" si="1837"/>
        <v>46040</v>
      </c>
      <c r="F12677" s="514"/>
      <c r="G12677" s="194" t="s">
        <v>1209</v>
      </c>
      <c r="H12677" s="195"/>
      <c r="I12677" s="195"/>
      <c r="J12677" s="191" t="s">
        <v>46</v>
      </c>
      <c r="K12677" s="196"/>
      <c r="L12677" s="196">
        <v>5000</v>
      </c>
    </row>
    <row r="12678" spans="1:15" x14ac:dyDescent="0.2">
      <c r="A12678" s="197">
        <v>2026</v>
      </c>
      <c r="B12678" s="197">
        <v>1</v>
      </c>
      <c r="C12678" s="197">
        <v>18</v>
      </c>
      <c r="D12678" s="198">
        <f t="shared" si="1838"/>
        <v>46040</v>
      </c>
      <c r="E12678" s="209">
        <f t="shared" ref="E12678:E12683" si="1839">DATE(A12678,B12678,C12678)</f>
        <v>46040</v>
      </c>
      <c r="F12678" s="513" t="s">
        <v>2113</v>
      </c>
      <c r="G12678" s="200" t="s">
        <v>1209</v>
      </c>
      <c r="H12678" s="201"/>
      <c r="I12678" s="201"/>
      <c r="J12678" s="197" t="s">
        <v>46</v>
      </c>
      <c r="K12678" s="202">
        <v>3000000</v>
      </c>
      <c r="L12678" s="202"/>
    </row>
    <row r="12679" spans="1:15" x14ac:dyDescent="0.2">
      <c r="A12679" s="120">
        <v>2026</v>
      </c>
      <c r="B12679" s="120">
        <v>1</v>
      </c>
      <c r="C12679" s="120">
        <v>18</v>
      </c>
      <c r="D12679" s="208">
        <f t="shared" si="1838"/>
        <v>46040</v>
      </c>
      <c r="E12679" s="209">
        <f t="shared" si="1839"/>
        <v>46040</v>
      </c>
      <c r="F12679" s="515"/>
      <c r="G12679" s="132" t="s">
        <v>1209</v>
      </c>
      <c r="J12679" s="120" t="s">
        <v>16</v>
      </c>
      <c r="K12679" s="207"/>
      <c r="L12679" s="207">
        <v>2174620</v>
      </c>
    </row>
    <row r="12680" spans="1:15" x14ac:dyDescent="0.2">
      <c r="A12680" s="191">
        <v>2026</v>
      </c>
      <c r="B12680" s="191">
        <v>1</v>
      </c>
      <c r="C12680" s="191">
        <v>18</v>
      </c>
      <c r="D12680" s="192">
        <f t="shared" si="1838"/>
        <v>46040</v>
      </c>
      <c r="E12680" s="193">
        <f t="shared" si="1839"/>
        <v>46040</v>
      </c>
      <c r="F12680" s="514"/>
      <c r="G12680" s="194" t="s">
        <v>1209</v>
      </c>
      <c r="H12680" s="195"/>
      <c r="I12680" s="195"/>
      <c r="J12680" s="191" t="s">
        <v>47</v>
      </c>
      <c r="K12680" s="196"/>
      <c r="L12680" s="196">
        <v>825380</v>
      </c>
    </row>
    <row r="12681" spans="1:15" x14ac:dyDescent="0.2">
      <c r="A12681" s="197">
        <v>2026</v>
      </c>
      <c r="B12681" s="197">
        <v>1</v>
      </c>
      <c r="C12681" s="197">
        <v>18</v>
      </c>
      <c r="D12681" s="198">
        <f t="shared" si="1838"/>
        <v>46040</v>
      </c>
      <c r="E12681" s="209">
        <f t="shared" si="1839"/>
        <v>46040</v>
      </c>
      <c r="F12681" s="513" t="s">
        <v>2131</v>
      </c>
      <c r="G12681" s="200" t="s">
        <v>1209</v>
      </c>
      <c r="H12681" s="201"/>
      <c r="I12681" s="201"/>
      <c r="J12681" s="197" t="s">
        <v>16</v>
      </c>
      <c r="K12681" s="202">
        <v>339610</v>
      </c>
      <c r="L12681" s="202"/>
    </row>
    <row r="12682" spans="1:15" x14ac:dyDescent="0.2">
      <c r="A12682" s="120">
        <v>2026</v>
      </c>
      <c r="B12682" s="120">
        <v>1</v>
      </c>
      <c r="C12682" s="120">
        <v>18</v>
      </c>
      <c r="D12682" s="208">
        <f t="shared" si="1838"/>
        <v>46040</v>
      </c>
      <c r="E12682" s="209">
        <f t="shared" si="1839"/>
        <v>46040</v>
      </c>
      <c r="F12682" s="515"/>
      <c r="G12682" s="132" t="s">
        <v>1209</v>
      </c>
      <c r="J12682" s="120" t="s">
        <v>47</v>
      </c>
      <c r="K12682" s="207">
        <v>130274.4</v>
      </c>
      <c r="L12682" s="207"/>
    </row>
    <row r="12683" spans="1:15" x14ac:dyDescent="0.2">
      <c r="A12683" s="191">
        <v>2026</v>
      </c>
      <c r="B12683" s="191">
        <v>1</v>
      </c>
      <c r="C12683" s="191">
        <v>18</v>
      </c>
      <c r="D12683" s="192">
        <f t="shared" si="1838"/>
        <v>46040</v>
      </c>
      <c r="E12683" s="193">
        <f t="shared" si="1839"/>
        <v>46040</v>
      </c>
      <c r="F12683" s="514"/>
      <c r="G12683" s="194" t="s">
        <v>1209</v>
      </c>
      <c r="H12683" s="195"/>
      <c r="I12683" s="195"/>
      <c r="J12683" s="191" t="s">
        <v>46</v>
      </c>
      <c r="K12683" s="196"/>
      <c r="L12683" s="196">
        <v>469884.4</v>
      </c>
    </row>
    <row r="12684" spans="1:15" ht="11.25" customHeight="1" x14ac:dyDescent="0.2">
      <c r="A12684" s="197">
        <v>2026</v>
      </c>
      <c r="B12684" s="197">
        <v>1</v>
      </c>
      <c r="C12684" s="197">
        <v>18</v>
      </c>
      <c r="D12684" s="198">
        <f t="shared" si="1838"/>
        <v>46040</v>
      </c>
      <c r="E12684" s="290">
        <f>DATE(A12684,B12684,C12684)</f>
        <v>46040</v>
      </c>
      <c r="F12684" s="513" t="s">
        <v>1527</v>
      </c>
      <c r="G12684" s="200" t="s">
        <v>1209</v>
      </c>
      <c r="H12684" s="201"/>
      <c r="I12684" s="201"/>
      <c r="J12684" s="197" t="s">
        <v>54</v>
      </c>
      <c r="K12684" s="202">
        <v>120</v>
      </c>
      <c r="L12684" s="202"/>
      <c r="O12684" s="251"/>
    </row>
    <row r="12685" spans="1:15" ht="11.25" customHeight="1" x14ac:dyDescent="0.2">
      <c r="A12685" s="191">
        <v>2026</v>
      </c>
      <c r="B12685" s="191">
        <v>1</v>
      </c>
      <c r="C12685" s="191">
        <v>18</v>
      </c>
      <c r="D12685" s="192">
        <f t="shared" si="1838"/>
        <v>46040</v>
      </c>
      <c r="E12685" s="291">
        <f>DATE(A12685,B12685,C12685)</f>
        <v>46040</v>
      </c>
      <c r="F12685" s="514"/>
      <c r="G12685" s="194" t="s">
        <v>1209</v>
      </c>
      <c r="H12685" s="195"/>
      <c r="I12685" s="195"/>
      <c r="J12685" s="191" t="s">
        <v>46</v>
      </c>
      <c r="K12685" s="196"/>
      <c r="L12685" s="196">
        <f>K12684</f>
        <v>120</v>
      </c>
      <c r="O12685" s="251"/>
    </row>
    <row r="12686" spans="1:15" ht="11.25" customHeight="1" x14ac:dyDescent="0.2">
      <c r="A12686" s="197">
        <v>2026</v>
      </c>
      <c r="B12686" s="197">
        <v>1</v>
      </c>
      <c r="C12686" s="197">
        <v>18</v>
      </c>
      <c r="D12686" s="198">
        <f t="shared" si="1838"/>
        <v>46040</v>
      </c>
      <c r="E12686" s="290">
        <f>DATE(A12686,B12686,C12686)</f>
        <v>46040</v>
      </c>
      <c r="F12686" s="513" t="s">
        <v>1514</v>
      </c>
      <c r="G12686" s="200" t="s">
        <v>1209</v>
      </c>
      <c r="H12686" s="201"/>
      <c r="I12686" s="201"/>
      <c r="J12686" s="197" t="s">
        <v>54</v>
      </c>
      <c r="K12686" s="202">
        <v>58</v>
      </c>
      <c r="L12686" s="202"/>
      <c r="O12686" s="251"/>
    </row>
    <row r="12687" spans="1:15" ht="11.25" customHeight="1" x14ac:dyDescent="0.2">
      <c r="A12687" s="191">
        <v>2026</v>
      </c>
      <c r="B12687" s="191">
        <v>1</v>
      </c>
      <c r="C12687" s="191">
        <v>18</v>
      </c>
      <c r="D12687" s="192">
        <f t="shared" si="1838"/>
        <v>46040</v>
      </c>
      <c r="E12687" s="291">
        <f>DATE(A12687,B12687,C12687)</f>
        <v>46040</v>
      </c>
      <c r="F12687" s="514"/>
      <c r="G12687" s="194" t="s">
        <v>1209</v>
      </c>
      <c r="H12687" s="195"/>
      <c r="I12687" s="195"/>
      <c r="J12687" s="191" t="s">
        <v>46</v>
      </c>
      <c r="K12687" s="196"/>
      <c r="L12687" s="196">
        <f>K12686</f>
        <v>58</v>
      </c>
      <c r="O12687" s="251"/>
    </row>
    <row r="12688" spans="1:15" x14ac:dyDescent="0.2">
      <c r="A12688" s="424">
        <v>2026</v>
      </c>
      <c r="B12688" s="424">
        <v>1</v>
      </c>
      <c r="C12688" s="424">
        <v>18</v>
      </c>
      <c r="D12688" s="425">
        <f t="shared" si="1838"/>
        <v>46040</v>
      </c>
      <c r="E12688" s="384">
        <f t="shared" ref="E12688:E12699" si="1840">DATE(A12688,B12688,C12688)</f>
        <v>46040</v>
      </c>
      <c r="F12688" s="516" t="s">
        <v>1850</v>
      </c>
      <c r="G12688" s="426" t="s">
        <v>1209</v>
      </c>
      <c r="H12688" s="427"/>
      <c r="I12688" s="427"/>
      <c r="J12688" s="428" t="s">
        <v>81</v>
      </c>
      <c r="K12688" s="429">
        <v>14362.356263736265</v>
      </c>
      <c r="L12688" s="429"/>
      <c r="M12688" s="455"/>
    </row>
    <row r="12689" spans="1:16" x14ac:dyDescent="0.2">
      <c r="A12689" s="389">
        <v>2026</v>
      </c>
      <c r="B12689" s="389">
        <v>1</v>
      </c>
      <c r="C12689" s="389">
        <v>18</v>
      </c>
      <c r="D12689" s="390">
        <f t="shared" si="1838"/>
        <v>46040</v>
      </c>
      <c r="E12689" s="391">
        <f t="shared" si="1840"/>
        <v>46040</v>
      </c>
      <c r="F12689" s="517"/>
      <c r="G12689" s="392" t="s">
        <v>1209</v>
      </c>
      <c r="H12689" s="393"/>
      <c r="I12689" s="393"/>
      <c r="J12689" s="394" t="s">
        <v>1847</v>
      </c>
      <c r="K12689" s="423"/>
      <c r="L12689" s="423">
        <f>K12688</f>
        <v>14362.356263736265</v>
      </c>
    </row>
    <row r="12690" spans="1:16" ht="11.25" customHeight="1" x14ac:dyDescent="0.2">
      <c r="A12690" s="382">
        <v>2026</v>
      </c>
      <c r="B12690" s="382">
        <v>1</v>
      </c>
      <c r="C12690" s="382">
        <v>18</v>
      </c>
      <c r="D12690" s="383">
        <f t="shared" si="1838"/>
        <v>46040</v>
      </c>
      <c r="E12690" s="384">
        <f t="shared" si="1840"/>
        <v>46040</v>
      </c>
      <c r="F12690" s="516" t="s">
        <v>1892</v>
      </c>
      <c r="G12690" s="385" t="s">
        <v>1209</v>
      </c>
      <c r="H12690" s="386"/>
      <c r="I12690" s="386"/>
      <c r="J12690" s="387" t="s">
        <v>173</v>
      </c>
      <c r="K12690" s="388">
        <v>1766.23</v>
      </c>
      <c r="L12690" s="388"/>
      <c r="M12690" s="455"/>
    </row>
    <row r="12691" spans="1:16" ht="11.25" customHeight="1" x14ac:dyDescent="0.2">
      <c r="A12691" s="389">
        <v>2026</v>
      </c>
      <c r="B12691" s="389">
        <v>1</v>
      </c>
      <c r="C12691" s="389">
        <v>18</v>
      </c>
      <c r="D12691" s="390">
        <f t="shared" si="1838"/>
        <v>46040</v>
      </c>
      <c r="E12691" s="391">
        <f t="shared" si="1840"/>
        <v>46040</v>
      </c>
      <c r="F12691" s="517"/>
      <c r="G12691" s="392" t="s">
        <v>1209</v>
      </c>
      <c r="H12691" s="393"/>
      <c r="I12691" s="393"/>
      <c r="J12691" s="394" t="s">
        <v>43</v>
      </c>
      <c r="K12691" s="388"/>
      <c r="L12691" s="423">
        <f>K12690</f>
        <v>1766.23</v>
      </c>
    </row>
    <row r="12692" spans="1:16" ht="11.25" customHeight="1" x14ac:dyDescent="0.2">
      <c r="A12692" s="344">
        <v>2026</v>
      </c>
      <c r="B12692" s="344">
        <v>1</v>
      </c>
      <c r="C12692" s="344">
        <v>18</v>
      </c>
      <c r="D12692" s="345">
        <f t="shared" si="1838"/>
        <v>46040</v>
      </c>
      <c r="E12692" s="346">
        <f t="shared" si="1840"/>
        <v>46040</v>
      </c>
      <c r="F12692" s="518" t="s">
        <v>1982</v>
      </c>
      <c r="G12692" s="347" t="s">
        <v>1245</v>
      </c>
      <c r="H12692" s="348"/>
      <c r="I12692" s="348" t="s">
        <v>1253</v>
      </c>
      <c r="J12692" s="344" t="s">
        <v>1978</v>
      </c>
      <c r="K12692" s="349">
        <v>63749.175824175822</v>
      </c>
      <c r="L12692" s="349"/>
      <c r="M12692" s="455"/>
    </row>
    <row r="12693" spans="1:16" ht="11.25" customHeight="1" x14ac:dyDescent="0.2">
      <c r="A12693" s="350">
        <v>2026</v>
      </c>
      <c r="B12693" s="350">
        <v>1</v>
      </c>
      <c r="C12693" s="350">
        <v>18</v>
      </c>
      <c r="D12693" s="351">
        <f t="shared" si="1838"/>
        <v>46040</v>
      </c>
      <c r="E12693" s="352">
        <f t="shared" si="1840"/>
        <v>46040</v>
      </c>
      <c r="F12693" s="519"/>
      <c r="G12693" s="353" t="s">
        <v>1245</v>
      </c>
      <c r="H12693" s="354"/>
      <c r="I12693" s="354" t="s">
        <v>1253</v>
      </c>
      <c r="J12693" s="350" t="s">
        <v>1979</v>
      </c>
      <c r="K12693" s="355"/>
      <c r="L12693" s="355">
        <f>K12692</f>
        <v>63749.175824175822</v>
      </c>
    </row>
    <row r="12694" spans="1:16" ht="11.25" customHeight="1" x14ac:dyDescent="0.2">
      <c r="A12694" s="344">
        <v>2026</v>
      </c>
      <c r="B12694" s="344">
        <v>1</v>
      </c>
      <c r="C12694" s="344">
        <v>18</v>
      </c>
      <c r="D12694" s="345">
        <f t="shared" si="1838"/>
        <v>46040</v>
      </c>
      <c r="E12694" s="346">
        <f t="shared" si="1840"/>
        <v>46040</v>
      </c>
      <c r="F12694" s="518" t="s">
        <v>2009</v>
      </c>
      <c r="G12694" s="347" t="s">
        <v>1245</v>
      </c>
      <c r="H12694" s="348"/>
      <c r="I12694" s="348" t="s">
        <v>1253</v>
      </c>
      <c r="J12694" s="344" t="s">
        <v>2004</v>
      </c>
      <c r="K12694" s="349">
        <v>21296.704285714284</v>
      </c>
      <c r="L12694" s="349"/>
      <c r="M12694" s="455"/>
    </row>
    <row r="12695" spans="1:16" ht="11.25" customHeight="1" x14ac:dyDescent="0.2">
      <c r="A12695" s="350">
        <v>2026</v>
      </c>
      <c r="B12695" s="350">
        <v>1</v>
      </c>
      <c r="C12695" s="350">
        <v>18</v>
      </c>
      <c r="D12695" s="351">
        <f t="shared" si="1838"/>
        <v>46040</v>
      </c>
      <c r="E12695" s="352">
        <f t="shared" si="1840"/>
        <v>46040</v>
      </c>
      <c r="F12695" s="519"/>
      <c r="G12695" s="353" t="s">
        <v>1245</v>
      </c>
      <c r="H12695" s="354"/>
      <c r="I12695" s="354" t="s">
        <v>1253</v>
      </c>
      <c r="J12695" s="350" t="s">
        <v>2008</v>
      </c>
      <c r="K12695" s="355"/>
      <c r="L12695" s="355">
        <f t="shared" ref="L12695" si="1841">K12694</f>
        <v>21296.704285714284</v>
      </c>
    </row>
    <row r="12696" spans="1:16" ht="11.25" customHeight="1" x14ac:dyDescent="0.2">
      <c r="A12696" s="344">
        <v>2026</v>
      </c>
      <c r="B12696" s="344">
        <v>1</v>
      </c>
      <c r="C12696" s="344">
        <v>18</v>
      </c>
      <c r="D12696" s="345">
        <f t="shared" si="1838"/>
        <v>46040</v>
      </c>
      <c r="E12696" s="346">
        <f t="shared" si="1840"/>
        <v>46040</v>
      </c>
      <c r="F12696" s="518" t="s">
        <v>2009</v>
      </c>
      <c r="G12696" s="347" t="s">
        <v>1245</v>
      </c>
      <c r="H12696" s="348"/>
      <c r="I12696" s="348" t="s">
        <v>1253</v>
      </c>
      <c r="J12696" s="344" t="s">
        <v>2004</v>
      </c>
      <c r="K12696" s="349">
        <v>21296.704285714284</v>
      </c>
      <c r="L12696" s="349"/>
      <c r="M12696" s="455"/>
    </row>
    <row r="12697" spans="1:16" ht="11.25" customHeight="1" x14ac:dyDescent="0.2">
      <c r="A12697" s="350">
        <v>2026</v>
      </c>
      <c r="B12697" s="350">
        <v>1</v>
      </c>
      <c r="C12697" s="350">
        <v>18</v>
      </c>
      <c r="D12697" s="351">
        <f t="shared" si="1838"/>
        <v>46040</v>
      </c>
      <c r="E12697" s="352">
        <f t="shared" si="1840"/>
        <v>46040</v>
      </c>
      <c r="F12697" s="519"/>
      <c r="G12697" s="353" t="s">
        <v>1245</v>
      </c>
      <c r="H12697" s="354"/>
      <c r="I12697" s="354" t="s">
        <v>1253</v>
      </c>
      <c r="J12697" s="350" t="s">
        <v>2008</v>
      </c>
      <c r="K12697" s="355"/>
      <c r="L12697" s="355">
        <f t="shared" ref="L12697" si="1842">K12696</f>
        <v>21296.704285714284</v>
      </c>
    </row>
    <row r="12698" spans="1:16" ht="11.25" customHeight="1" x14ac:dyDescent="0.2">
      <c r="A12698" s="344">
        <v>2026</v>
      </c>
      <c r="B12698" s="344">
        <v>1</v>
      </c>
      <c r="C12698" s="344">
        <v>18</v>
      </c>
      <c r="D12698" s="345">
        <f t="shared" si="1838"/>
        <v>46040</v>
      </c>
      <c r="E12698" s="346">
        <f t="shared" si="1840"/>
        <v>46040</v>
      </c>
      <c r="F12698" s="518" t="s">
        <v>2088</v>
      </c>
      <c r="G12698" s="347" t="s">
        <v>1245</v>
      </c>
      <c r="H12698" s="348"/>
      <c r="I12698" s="348" t="s">
        <v>1253</v>
      </c>
      <c r="J12698" s="344" t="s">
        <v>2086</v>
      </c>
      <c r="K12698" s="349">
        <v>5369.5054945054944</v>
      </c>
      <c r="L12698" s="349"/>
      <c r="M12698" s="455"/>
    </row>
    <row r="12699" spans="1:16" ht="11.25" customHeight="1" x14ac:dyDescent="0.2">
      <c r="A12699" s="350">
        <v>2026</v>
      </c>
      <c r="B12699" s="350">
        <v>1</v>
      </c>
      <c r="C12699" s="350">
        <v>18</v>
      </c>
      <c r="D12699" s="351">
        <f t="shared" si="1838"/>
        <v>46040</v>
      </c>
      <c r="E12699" s="352">
        <f t="shared" si="1840"/>
        <v>46040</v>
      </c>
      <c r="F12699" s="519"/>
      <c r="G12699" s="353" t="s">
        <v>1245</v>
      </c>
      <c r="H12699" s="354"/>
      <c r="I12699" s="354" t="s">
        <v>1253</v>
      </c>
      <c r="J12699" s="350" t="s">
        <v>2089</v>
      </c>
      <c r="K12699" s="355"/>
      <c r="L12699" s="355">
        <f>K12698</f>
        <v>5369.5054945054944</v>
      </c>
    </row>
    <row r="12700" spans="1:16" ht="11.25" customHeight="1" x14ac:dyDescent="0.2">
      <c r="A12700" s="344">
        <v>2026</v>
      </c>
      <c r="B12700" s="344">
        <v>1</v>
      </c>
      <c r="C12700" s="344">
        <v>18</v>
      </c>
      <c r="D12700" s="345">
        <f t="shared" si="1838"/>
        <v>46040</v>
      </c>
      <c r="E12700" s="346">
        <f>DATE(A12700,B12700,C12700)</f>
        <v>46040</v>
      </c>
      <c r="F12700" s="518" t="s">
        <v>1988</v>
      </c>
      <c r="G12700" s="347" t="s">
        <v>1245</v>
      </c>
      <c r="H12700" s="348"/>
      <c r="I12700" s="348" t="s">
        <v>1253</v>
      </c>
      <c r="J12700" s="344" t="s">
        <v>113</v>
      </c>
      <c r="K12700" s="349">
        <v>14076.92142857143</v>
      </c>
      <c r="L12700" s="349"/>
      <c r="M12700" s="455"/>
    </row>
    <row r="12701" spans="1:16" ht="11.25" customHeight="1" x14ac:dyDescent="0.2">
      <c r="A12701" s="350">
        <v>2026</v>
      </c>
      <c r="B12701" s="350">
        <v>1</v>
      </c>
      <c r="C12701" s="350">
        <v>18</v>
      </c>
      <c r="D12701" s="351">
        <f t="shared" si="1838"/>
        <v>46040</v>
      </c>
      <c r="E12701" s="352">
        <f>DATE(A12701,B12701,C12701)</f>
        <v>46040</v>
      </c>
      <c r="F12701" s="519"/>
      <c r="G12701" s="353" t="s">
        <v>1245</v>
      </c>
      <c r="H12701" s="354"/>
      <c r="I12701" s="354" t="s">
        <v>1253</v>
      </c>
      <c r="J12701" s="350" t="s">
        <v>153</v>
      </c>
      <c r="K12701" s="355"/>
      <c r="L12701" s="355">
        <f t="shared" ref="L12701" si="1843">K12700</f>
        <v>14076.92142857143</v>
      </c>
    </row>
    <row r="12702" spans="1:16" ht="11.25" customHeight="1" x14ac:dyDescent="0.2">
      <c r="A12702" s="344">
        <v>2026</v>
      </c>
      <c r="B12702" s="344">
        <v>1</v>
      </c>
      <c r="C12702" s="344">
        <v>18</v>
      </c>
      <c r="D12702" s="345">
        <f t="shared" si="1838"/>
        <v>46040</v>
      </c>
      <c r="E12702" s="346">
        <f t="shared" ref="E12702:E12708" si="1844">DATE(A12702,B12702,C12702)</f>
        <v>46040</v>
      </c>
      <c r="F12702" s="518" t="s">
        <v>1989</v>
      </c>
      <c r="G12702" s="347" t="s">
        <v>1245</v>
      </c>
      <c r="H12702" s="348"/>
      <c r="I12702" s="348" t="s">
        <v>1253</v>
      </c>
      <c r="J12702" s="344" t="s">
        <v>113</v>
      </c>
      <c r="K12702" s="349">
        <v>10054.945054945056</v>
      </c>
      <c r="L12702" s="349"/>
      <c r="M12702" s="455"/>
    </row>
    <row r="12703" spans="1:16" ht="11.25" customHeight="1" x14ac:dyDescent="0.2">
      <c r="A12703" s="350">
        <v>2026</v>
      </c>
      <c r="B12703" s="350">
        <v>1</v>
      </c>
      <c r="C12703" s="350">
        <v>18</v>
      </c>
      <c r="D12703" s="351">
        <f t="shared" si="1838"/>
        <v>46040</v>
      </c>
      <c r="E12703" s="352">
        <f t="shared" si="1844"/>
        <v>46040</v>
      </c>
      <c r="F12703" s="519"/>
      <c r="G12703" s="353" t="s">
        <v>1245</v>
      </c>
      <c r="H12703" s="354"/>
      <c r="I12703" s="354" t="s">
        <v>1253</v>
      </c>
      <c r="J12703" s="350" t="s">
        <v>153</v>
      </c>
      <c r="K12703" s="355"/>
      <c r="L12703" s="355">
        <f t="shared" ref="L12703" si="1845">K12702</f>
        <v>10054.945054945056</v>
      </c>
    </row>
    <row r="12704" spans="1:16" ht="11.25" customHeight="1" x14ac:dyDescent="0.2">
      <c r="A12704" s="344">
        <v>2026</v>
      </c>
      <c r="B12704" s="344">
        <v>1</v>
      </c>
      <c r="C12704" s="344">
        <v>18</v>
      </c>
      <c r="D12704" s="345">
        <f t="shared" si="1838"/>
        <v>46040</v>
      </c>
      <c r="E12704" s="346">
        <f t="shared" si="1844"/>
        <v>46040</v>
      </c>
      <c r="F12704" s="518" t="s">
        <v>1990</v>
      </c>
      <c r="G12704" s="347" t="s">
        <v>1245</v>
      </c>
      <c r="H12704" s="348"/>
      <c r="I12704" s="348" t="s">
        <v>1253</v>
      </c>
      <c r="J12704" s="344" t="s">
        <v>113</v>
      </c>
      <c r="K12704" s="349">
        <v>30164.837142857141</v>
      </c>
      <c r="L12704" s="349"/>
      <c r="M12704" s="455"/>
      <c r="N12704" s="251"/>
      <c r="O12704" s="251"/>
      <c r="P12704" s="251"/>
    </row>
    <row r="12705" spans="1:16" ht="11.25" customHeight="1" x14ac:dyDescent="0.2">
      <c r="A12705" s="350">
        <v>2026</v>
      </c>
      <c r="B12705" s="350">
        <v>1</v>
      </c>
      <c r="C12705" s="350">
        <v>18</v>
      </c>
      <c r="D12705" s="351">
        <f t="shared" si="1838"/>
        <v>46040</v>
      </c>
      <c r="E12705" s="352">
        <f t="shared" si="1844"/>
        <v>46040</v>
      </c>
      <c r="F12705" s="519"/>
      <c r="G12705" s="353" t="s">
        <v>1245</v>
      </c>
      <c r="H12705" s="354"/>
      <c r="I12705" s="354" t="s">
        <v>1253</v>
      </c>
      <c r="J12705" s="350" t="s">
        <v>153</v>
      </c>
      <c r="K12705" s="355"/>
      <c r="L12705" s="355">
        <f t="shared" ref="L12705" si="1846">K12704</f>
        <v>30164.837142857141</v>
      </c>
      <c r="M12705" s="455"/>
    </row>
    <row r="12706" spans="1:16" ht="11.25" customHeight="1" x14ac:dyDescent="0.2">
      <c r="A12706" s="344">
        <v>2026</v>
      </c>
      <c r="B12706" s="344">
        <v>1</v>
      </c>
      <c r="C12706" s="344">
        <v>18</v>
      </c>
      <c r="D12706" s="345">
        <f t="shared" si="1838"/>
        <v>46040</v>
      </c>
      <c r="E12706" s="346">
        <f t="shared" si="1844"/>
        <v>46040</v>
      </c>
      <c r="F12706" s="518" t="s">
        <v>2107</v>
      </c>
      <c r="G12706" s="347" t="s">
        <v>1245</v>
      </c>
      <c r="H12706" s="348"/>
      <c r="I12706" s="348" t="s">
        <v>1253</v>
      </c>
      <c r="J12706" s="344" t="s">
        <v>113</v>
      </c>
      <c r="K12706" s="349">
        <v>37112.637362637361</v>
      </c>
      <c r="L12706" s="349"/>
      <c r="M12706" s="455"/>
      <c r="N12706" s="251"/>
      <c r="O12706" s="251"/>
      <c r="P12706" s="251"/>
    </row>
    <row r="12707" spans="1:16" ht="11.25" customHeight="1" x14ac:dyDescent="0.2">
      <c r="A12707" s="350">
        <v>2026</v>
      </c>
      <c r="B12707" s="350">
        <v>1</v>
      </c>
      <c r="C12707" s="350">
        <v>18</v>
      </c>
      <c r="D12707" s="351">
        <f t="shared" si="1838"/>
        <v>46040</v>
      </c>
      <c r="E12707" s="352">
        <f t="shared" si="1844"/>
        <v>46040</v>
      </c>
      <c r="F12707" s="519"/>
      <c r="G12707" s="353" t="s">
        <v>1245</v>
      </c>
      <c r="H12707" s="354"/>
      <c r="I12707" s="354" t="s">
        <v>1253</v>
      </c>
      <c r="J12707" s="350" t="s">
        <v>153</v>
      </c>
      <c r="K12707" s="355"/>
      <c r="L12707" s="355">
        <f t="shared" ref="L12707" si="1847">K12706</f>
        <v>37112.637362637361</v>
      </c>
    </row>
    <row r="12708" spans="1:16" ht="11.25" customHeight="1" x14ac:dyDescent="0.2">
      <c r="A12708" s="210">
        <v>2026</v>
      </c>
      <c r="B12708" s="210">
        <v>1</v>
      </c>
      <c r="C12708" s="210">
        <v>18</v>
      </c>
      <c r="D12708" s="211">
        <f t="shared" si="1838"/>
        <v>46040</v>
      </c>
      <c r="E12708" s="238">
        <f t="shared" si="1844"/>
        <v>46040</v>
      </c>
      <c r="F12708" s="520" t="s">
        <v>1857</v>
      </c>
      <c r="G12708" s="213" t="s">
        <v>1245</v>
      </c>
      <c r="H12708" s="214"/>
      <c r="I12708" s="214" t="s">
        <v>1253</v>
      </c>
      <c r="J12708" s="210" t="s">
        <v>1284</v>
      </c>
      <c r="K12708" s="215">
        <v>1003.6334633108827</v>
      </c>
      <c r="L12708" s="215"/>
      <c r="M12708" s="455"/>
    </row>
    <row r="12709" spans="1:16" ht="11.25" customHeight="1" x14ac:dyDescent="0.2">
      <c r="A12709" s="242">
        <v>2026</v>
      </c>
      <c r="B12709" s="242">
        <v>1</v>
      </c>
      <c r="C12709" s="242">
        <v>18</v>
      </c>
      <c r="D12709" s="243">
        <f t="shared" si="1838"/>
        <v>46040</v>
      </c>
      <c r="E12709" s="244">
        <f>DATE(A12709,B12709,C12709)</f>
        <v>46040</v>
      </c>
      <c r="F12709" s="524"/>
      <c r="G12709" s="245" t="s">
        <v>1245</v>
      </c>
      <c r="H12709" s="246"/>
      <c r="I12709" s="246"/>
      <c r="J12709" s="242" t="s">
        <v>1582</v>
      </c>
      <c r="K12709" s="247"/>
      <c r="L12709" s="247">
        <f>K12708</f>
        <v>1003.6334633108827</v>
      </c>
    </row>
    <row r="12710" spans="1:16" ht="11.25" customHeight="1" x14ac:dyDescent="0.2">
      <c r="A12710" s="210">
        <v>2026</v>
      </c>
      <c r="B12710" s="210">
        <v>1</v>
      </c>
      <c r="C12710" s="210">
        <v>18</v>
      </c>
      <c r="D12710" s="211">
        <f t="shared" si="1838"/>
        <v>46040</v>
      </c>
      <c r="E12710" s="238">
        <f t="shared" ref="E12710:E12733" si="1848">DATE(A12710,B12710,C12710)</f>
        <v>46040</v>
      </c>
      <c r="F12710" s="520" t="s">
        <v>2055</v>
      </c>
      <c r="G12710" s="213" t="s">
        <v>1245</v>
      </c>
      <c r="H12710" s="214"/>
      <c r="I12710" s="214" t="s">
        <v>1253</v>
      </c>
      <c r="J12710" s="210" t="s">
        <v>58</v>
      </c>
      <c r="K12710" s="215">
        <v>1492.02</v>
      </c>
      <c r="L12710" s="215"/>
    </row>
    <row r="12711" spans="1:16" ht="11.25" customHeight="1" x14ac:dyDescent="0.2">
      <c r="A12711" s="216">
        <v>2026</v>
      </c>
      <c r="B12711" s="216">
        <v>1</v>
      </c>
      <c r="C12711" s="216">
        <v>18</v>
      </c>
      <c r="D12711" s="217">
        <f t="shared" si="1838"/>
        <v>46040</v>
      </c>
      <c r="E12711" s="239">
        <f t="shared" si="1848"/>
        <v>46040</v>
      </c>
      <c r="F12711" s="521"/>
      <c r="G12711" s="219" t="s">
        <v>1245</v>
      </c>
      <c r="H12711" s="220"/>
      <c r="I12711" s="220" t="s">
        <v>1253</v>
      </c>
      <c r="J12711" s="216" t="s">
        <v>153</v>
      </c>
      <c r="K12711" s="221"/>
      <c r="L12711" s="221">
        <f>K12710</f>
        <v>1492.02</v>
      </c>
    </row>
    <row r="12712" spans="1:16" ht="11.25" customHeight="1" x14ac:dyDescent="0.2">
      <c r="A12712" s="312">
        <v>2026</v>
      </c>
      <c r="B12712" s="312">
        <v>1</v>
      </c>
      <c r="C12712" s="312">
        <v>18</v>
      </c>
      <c r="D12712" s="313">
        <f t="shared" si="1838"/>
        <v>46040</v>
      </c>
      <c r="E12712" s="314">
        <f t="shared" si="1848"/>
        <v>46040</v>
      </c>
      <c r="F12712" s="522" t="s">
        <v>1595</v>
      </c>
      <c r="G12712" s="315" t="s">
        <v>1245</v>
      </c>
      <c r="H12712" s="316"/>
      <c r="I12712" s="316" t="s">
        <v>1253</v>
      </c>
      <c r="J12712" s="312" t="s">
        <v>1461</v>
      </c>
      <c r="K12712" s="317">
        <v>299824.76200008392</v>
      </c>
      <c r="L12712" s="317"/>
      <c r="M12712" s="328"/>
    </row>
    <row r="12713" spans="1:16" ht="11.25" customHeight="1" x14ac:dyDescent="0.2">
      <c r="A12713" s="318">
        <v>2026</v>
      </c>
      <c r="B12713" s="318">
        <v>1</v>
      </c>
      <c r="C12713" s="318">
        <v>18</v>
      </c>
      <c r="D12713" s="319">
        <f t="shared" si="1838"/>
        <v>46040</v>
      </c>
      <c r="E12713" s="320">
        <f t="shared" si="1848"/>
        <v>46040</v>
      </c>
      <c r="F12713" s="523"/>
      <c r="G12713" s="321" t="s">
        <v>1245</v>
      </c>
      <c r="H12713" s="322"/>
      <c r="I12713" s="322" t="s">
        <v>1253</v>
      </c>
      <c r="J12713" s="318" t="s">
        <v>1459</v>
      </c>
      <c r="K12713" s="323"/>
      <c r="L12713" s="323">
        <f>K12712</f>
        <v>299824.76200008392</v>
      </c>
      <c r="M12713" s="328"/>
    </row>
    <row r="12714" spans="1:16" ht="11.25" customHeight="1" x14ac:dyDescent="0.2">
      <c r="A12714" s="222">
        <v>2026</v>
      </c>
      <c r="B12714" s="222">
        <v>1</v>
      </c>
      <c r="C12714" s="222">
        <v>18</v>
      </c>
      <c r="D12714" s="223">
        <f t="shared" si="1838"/>
        <v>46040</v>
      </c>
      <c r="E12714" s="240">
        <f t="shared" si="1848"/>
        <v>46040</v>
      </c>
      <c r="F12714" s="511" t="s">
        <v>1244</v>
      </c>
      <c r="G12714" s="225" t="s">
        <v>1245</v>
      </c>
      <c r="H12714" s="226"/>
      <c r="I12714" s="226" t="s">
        <v>1253</v>
      </c>
      <c r="J12714" s="222" t="s">
        <v>87</v>
      </c>
      <c r="K12714" s="227">
        <v>97656.75</v>
      </c>
      <c r="L12714" s="227"/>
      <c r="M12714" s="328"/>
    </row>
    <row r="12715" spans="1:16" ht="11.25" customHeight="1" x14ac:dyDescent="0.2">
      <c r="A12715" s="228">
        <v>2026</v>
      </c>
      <c r="B12715" s="228">
        <v>1</v>
      </c>
      <c r="C12715" s="228">
        <v>18</v>
      </c>
      <c r="D12715" s="229">
        <f t="shared" si="1838"/>
        <v>46040</v>
      </c>
      <c r="E12715" s="241">
        <f t="shared" si="1848"/>
        <v>46040</v>
      </c>
      <c r="F12715" s="512"/>
      <c r="G12715" s="231" t="s">
        <v>1245</v>
      </c>
      <c r="H12715" s="232"/>
      <c r="I12715" s="232" t="s">
        <v>1253</v>
      </c>
      <c r="J12715" s="228" t="s">
        <v>72</v>
      </c>
      <c r="K12715" s="233"/>
      <c r="L12715" s="233">
        <f>K12714</f>
        <v>97656.75</v>
      </c>
    </row>
    <row r="12716" spans="1:16" ht="11.25" customHeight="1" x14ac:dyDescent="0.2">
      <c r="A12716" s="222">
        <v>2026</v>
      </c>
      <c r="B12716" s="222">
        <v>1</v>
      </c>
      <c r="C12716" s="222">
        <v>18</v>
      </c>
      <c r="D12716" s="223">
        <f t="shared" si="1838"/>
        <v>46040</v>
      </c>
      <c r="E12716" s="240">
        <f t="shared" si="1848"/>
        <v>46040</v>
      </c>
      <c r="F12716" s="511" t="s">
        <v>1246</v>
      </c>
      <c r="G12716" s="225" t="s">
        <v>1245</v>
      </c>
      <c r="H12716" s="226"/>
      <c r="I12716" s="226" t="s">
        <v>1253</v>
      </c>
      <c r="J12716" s="222" t="s">
        <v>75</v>
      </c>
      <c r="K12716" s="227">
        <v>1552.7673626373626</v>
      </c>
      <c r="L12716" s="227"/>
      <c r="M12716" s="455"/>
    </row>
    <row r="12717" spans="1:16" ht="11.25" customHeight="1" x14ac:dyDescent="0.2">
      <c r="A12717" s="228">
        <v>2026</v>
      </c>
      <c r="B12717" s="228">
        <v>1</v>
      </c>
      <c r="C12717" s="228">
        <v>18</v>
      </c>
      <c r="D12717" s="229">
        <f t="shared" si="1838"/>
        <v>46040</v>
      </c>
      <c r="E12717" s="241">
        <f t="shared" si="1848"/>
        <v>46040</v>
      </c>
      <c r="F12717" s="512"/>
      <c r="G12717" s="231" t="s">
        <v>1245</v>
      </c>
      <c r="H12717" s="232"/>
      <c r="I12717" s="232" t="s">
        <v>1253</v>
      </c>
      <c r="J12717" s="228" t="s">
        <v>55</v>
      </c>
      <c r="K12717" s="233"/>
      <c r="L12717" s="233">
        <f>K12716</f>
        <v>1552.7673626373626</v>
      </c>
    </row>
    <row r="12718" spans="1:16" ht="11.25" customHeight="1" x14ac:dyDescent="0.2">
      <c r="A12718" s="222">
        <v>2026</v>
      </c>
      <c r="B12718" s="222">
        <v>1</v>
      </c>
      <c r="C12718" s="222">
        <v>18</v>
      </c>
      <c r="D12718" s="223">
        <f t="shared" si="1838"/>
        <v>46040</v>
      </c>
      <c r="E12718" s="240">
        <f t="shared" si="1848"/>
        <v>46040</v>
      </c>
      <c r="F12718" s="511" t="s">
        <v>1247</v>
      </c>
      <c r="G12718" s="225" t="s">
        <v>1245</v>
      </c>
      <c r="H12718" s="226"/>
      <c r="I12718" s="226" t="s">
        <v>1253</v>
      </c>
      <c r="J12718" s="222" t="s">
        <v>77</v>
      </c>
      <c r="K12718" s="227">
        <f>M12718</f>
        <v>22355.132709206264</v>
      </c>
      <c r="L12718" s="227"/>
      <c r="M12718" s="478">
        <v>22355.132709206264</v>
      </c>
    </row>
    <row r="12719" spans="1:16" ht="11.25" customHeight="1" x14ac:dyDescent="0.2">
      <c r="A12719" s="228">
        <v>2026</v>
      </c>
      <c r="B12719" s="228">
        <v>1</v>
      </c>
      <c r="C12719" s="228">
        <v>18</v>
      </c>
      <c r="D12719" s="229">
        <f t="shared" si="1838"/>
        <v>46040</v>
      </c>
      <c r="E12719" s="241">
        <f t="shared" si="1848"/>
        <v>46040</v>
      </c>
      <c r="F12719" s="512"/>
      <c r="G12719" s="231" t="s">
        <v>1245</v>
      </c>
      <c r="H12719" s="232"/>
      <c r="I12719" s="232" t="s">
        <v>1253</v>
      </c>
      <c r="J12719" s="228" t="s">
        <v>41</v>
      </c>
      <c r="K12719" s="233"/>
      <c r="L12719" s="233">
        <f>K12718</f>
        <v>22355.132709206264</v>
      </c>
      <c r="M12719" s="478">
        <v>2235.5132709206264</v>
      </c>
      <c r="N12719" s="251"/>
    </row>
    <row r="12720" spans="1:16" ht="11.25" customHeight="1" x14ac:dyDescent="0.2">
      <c r="A12720" s="222">
        <v>2026</v>
      </c>
      <c r="B12720" s="222">
        <v>1</v>
      </c>
      <c r="C12720" s="222">
        <v>18</v>
      </c>
      <c r="D12720" s="223">
        <f t="shared" si="1838"/>
        <v>46040</v>
      </c>
      <c r="E12720" s="240">
        <f t="shared" si="1848"/>
        <v>46040</v>
      </c>
      <c r="F12720" s="511" t="s">
        <v>1248</v>
      </c>
      <c r="G12720" s="225" t="s">
        <v>1245</v>
      </c>
      <c r="H12720" s="226"/>
      <c r="I12720" s="226" t="s">
        <v>1253</v>
      </c>
      <c r="J12720" s="222" t="s">
        <v>80</v>
      </c>
      <c r="K12720" s="227">
        <f>M12719</f>
        <v>2235.5132709206264</v>
      </c>
      <c r="L12720" s="227"/>
      <c r="N12720" s="251"/>
      <c r="O12720" s="251"/>
    </row>
    <row r="12721" spans="1:14" ht="11.25" customHeight="1" x14ac:dyDescent="0.2">
      <c r="A12721" s="228">
        <v>2026</v>
      </c>
      <c r="B12721" s="228">
        <v>1</v>
      </c>
      <c r="C12721" s="228">
        <v>18</v>
      </c>
      <c r="D12721" s="229">
        <f t="shared" si="1838"/>
        <v>46040</v>
      </c>
      <c r="E12721" s="241">
        <f t="shared" si="1848"/>
        <v>46040</v>
      </c>
      <c r="F12721" s="512"/>
      <c r="G12721" s="231" t="s">
        <v>1245</v>
      </c>
      <c r="H12721" s="232"/>
      <c r="I12721" s="232" t="s">
        <v>1253</v>
      </c>
      <c r="J12721" s="228" t="s">
        <v>42</v>
      </c>
      <c r="K12721" s="233"/>
      <c r="L12721" s="233">
        <f>K12720</f>
        <v>2235.5132709206264</v>
      </c>
      <c r="N12721" s="251"/>
    </row>
    <row r="12722" spans="1:14" x14ac:dyDescent="0.2">
      <c r="A12722" s="424">
        <v>2026</v>
      </c>
      <c r="B12722" s="424">
        <v>1</v>
      </c>
      <c r="C12722" s="424">
        <v>19</v>
      </c>
      <c r="D12722" s="425">
        <f t="shared" si="1838"/>
        <v>46041</v>
      </c>
      <c r="E12722" s="384">
        <f t="shared" si="1848"/>
        <v>46041</v>
      </c>
      <c r="F12722" s="516" t="s">
        <v>1850</v>
      </c>
      <c r="G12722" s="426" t="s">
        <v>1209</v>
      </c>
      <c r="H12722" s="427"/>
      <c r="I12722" s="427"/>
      <c r="J12722" s="428" t="s">
        <v>81</v>
      </c>
      <c r="K12722" s="429">
        <v>1595.8173626373627</v>
      </c>
      <c r="L12722" s="429"/>
      <c r="M12722" s="455"/>
    </row>
    <row r="12723" spans="1:14" x14ac:dyDescent="0.2">
      <c r="A12723" s="389">
        <v>2026</v>
      </c>
      <c r="B12723" s="389">
        <v>1</v>
      </c>
      <c r="C12723" s="389">
        <v>19</v>
      </c>
      <c r="D12723" s="390">
        <f t="shared" si="1838"/>
        <v>46041</v>
      </c>
      <c r="E12723" s="391">
        <f t="shared" si="1848"/>
        <v>46041</v>
      </c>
      <c r="F12723" s="517"/>
      <c r="G12723" s="392" t="s">
        <v>1209</v>
      </c>
      <c r="H12723" s="393"/>
      <c r="I12723" s="393"/>
      <c r="J12723" s="394" t="s">
        <v>1847</v>
      </c>
      <c r="K12723" s="423"/>
      <c r="L12723" s="423">
        <f>K12722</f>
        <v>1595.8173626373627</v>
      </c>
    </row>
    <row r="12724" spans="1:14" ht="11.25" customHeight="1" x14ac:dyDescent="0.2">
      <c r="A12724" s="382">
        <v>2026</v>
      </c>
      <c r="B12724" s="382">
        <v>1</v>
      </c>
      <c r="C12724" s="382">
        <v>19</v>
      </c>
      <c r="D12724" s="383">
        <f t="shared" si="1838"/>
        <v>46041</v>
      </c>
      <c r="E12724" s="384">
        <f t="shared" si="1848"/>
        <v>46041</v>
      </c>
      <c r="F12724" s="516" t="s">
        <v>1892</v>
      </c>
      <c r="G12724" s="385" t="s">
        <v>1209</v>
      </c>
      <c r="H12724" s="386"/>
      <c r="I12724" s="386"/>
      <c r="J12724" s="387" t="s">
        <v>173</v>
      </c>
      <c r="K12724" s="388">
        <v>588.88997582361105</v>
      </c>
      <c r="L12724" s="388"/>
      <c r="M12724" s="455"/>
    </row>
    <row r="12725" spans="1:14" ht="11.25" customHeight="1" x14ac:dyDescent="0.2">
      <c r="A12725" s="389">
        <v>2026</v>
      </c>
      <c r="B12725" s="389">
        <v>1</v>
      </c>
      <c r="C12725" s="389">
        <v>19</v>
      </c>
      <c r="D12725" s="390">
        <f t="shared" si="1838"/>
        <v>46041</v>
      </c>
      <c r="E12725" s="391">
        <f t="shared" si="1848"/>
        <v>46041</v>
      </c>
      <c r="F12725" s="517"/>
      <c r="G12725" s="392" t="s">
        <v>1209</v>
      </c>
      <c r="H12725" s="393"/>
      <c r="I12725" s="393"/>
      <c r="J12725" s="394" t="s">
        <v>43</v>
      </c>
      <c r="K12725" s="388"/>
      <c r="L12725" s="423">
        <f>K12724</f>
        <v>588.88997582361105</v>
      </c>
    </row>
    <row r="12726" spans="1:14" ht="11.25" customHeight="1" x14ac:dyDescent="0.2">
      <c r="A12726" s="344">
        <v>2026</v>
      </c>
      <c r="B12726" s="344">
        <v>1</v>
      </c>
      <c r="C12726" s="344">
        <v>19</v>
      </c>
      <c r="D12726" s="345">
        <f t="shared" si="1838"/>
        <v>46041</v>
      </c>
      <c r="E12726" s="346">
        <f t="shared" si="1848"/>
        <v>46041</v>
      </c>
      <c r="F12726" s="518" t="s">
        <v>1982</v>
      </c>
      <c r="G12726" s="347" t="s">
        <v>1245</v>
      </c>
      <c r="H12726" s="348"/>
      <c r="I12726" s="348" t="s">
        <v>1253</v>
      </c>
      <c r="J12726" s="344" t="s">
        <v>1978</v>
      </c>
      <c r="K12726" s="349">
        <v>21249.725274725275</v>
      </c>
      <c r="L12726" s="349"/>
      <c r="M12726" s="455"/>
    </row>
    <row r="12727" spans="1:14" ht="11.25" customHeight="1" x14ac:dyDescent="0.2">
      <c r="A12727" s="350">
        <v>2026</v>
      </c>
      <c r="B12727" s="350">
        <v>1</v>
      </c>
      <c r="C12727" s="350">
        <v>19</v>
      </c>
      <c r="D12727" s="351">
        <f t="shared" si="1838"/>
        <v>46041</v>
      </c>
      <c r="E12727" s="352">
        <f t="shared" si="1848"/>
        <v>46041</v>
      </c>
      <c r="F12727" s="519"/>
      <c r="G12727" s="353" t="s">
        <v>1245</v>
      </c>
      <c r="H12727" s="354"/>
      <c r="I12727" s="354" t="s">
        <v>1253</v>
      </c>
      <c r="J12727" s="350" t="s">
        <v>1979</v>
      </c>
      <c r="K12727" s="355"/>
      <c r="L12727" s="355">
        <f>K12726</f>
        <v>21249.725274725275</v>
      </c>
    </row>
    <row r="12728" spans="1:14" ht="11.25" customHeight="1" x14ac:dyDescent="0.2">
      <c r="A12728" s="344">
        <v>2026</v>
      </c>
      <c r="B12728" s="344">
        <v>1</v>
      </c>
      <c r="C12728" s="344">
        <v>19</v>
      </c>
      <c r="D12728" s="345">
        <f t="shared" si="1838"/>
        <v>46041</v>
      </c>
      <c r="E12728" s="346">
        <f t="shared" si="1848"/>
        <v>46041</v>
      </c>
      <c r="F12728" s="518" t="s">
        <v>2009</v>
      </c>
      <c r="G12728" s="347" t="s">
        <v>1245</v>
      </c>
      <c r="H12728" s="348"/>
      <c r="I12728" s="348" t="s">
        <v>1253</v>
      </c>
      <c r="J12728" s="344" t="s">
        <v>2004</v>
      </c>
      <c r="K12728" s="349">
        <v>7098.9014285714284</v>
      </c>
      <c r="L12728" s="349"/>
      <c r="M12728" s="455"/>
    </row>
    <row r="12729" spans="1:14" ht="11.25" customHeight="1" x14ac:dyDescent="0.2">
      <c r="A12729" s="350">
        <v>2026</v>
      </c>
      <c r="B12729" s="350">
        <v>1</v>
      </c>
      <c r="C12729" s="350">
        <v>19</v>
      </c>
      <c r="D12729" s="351">
        <f t="shared" si="1838"/>
        <v>46041</v>
      </c>
      <c r="E12729" s="352">
        <f t="shared" si="1848"/>
        <v>46041</v>
      </c>
      <c r="F12729" s="519"/>
      <c r="G12729" s="353" t="s">
        <v>1245</v>
      </c>
      <c r="H12729" s="354"/>
      <c r="I12729" s="354" t="s">
        <v>1253</v>
      </c>
      <c r="J12729" s="350" t="s">
        <v>2008</v>
      </c>
      <c r="K12729" s="355"/>
      <c r="L12729" s="355">
        <f t="shared" ref="L12729" si="1849">K12728</f>
        <v>7098.9014285714284</v>
      </c>
    </row>
    <row r="12730" spans="1:14" ht="11.25" customHeight="1" x14ac:dyDescent="0.2">
      <c r="A12730" s="344">
        <v>2026</v>
      </c>
      <c r="B12730" s="344">
        <v>1</v>
      </c>
      <c r="C12730" s="344">
        <v>19</v>
      </c>
      <c r="D12730" s="345">
        <f t="shared" si="1838"/>
        <v>46041</v>
      </c>
      <c r="E12730" s="346">
        <f t="shared" si="1848"/>
        <v>46041</v>
      </c>
      <c r="F12730" s="518" t="s">
        <v>2009</v>
      </c>
      <c r="G12730" s="347" t="s">
        <v>1245</v>
      </c>
      <c r="H12730" s="348"/>
      <c r="I12730" s="348" t="s">
        <v>1253</v>
      </c>
      <c r="J12730" s="344" t="s">
        <v>2004</v>
      </c>
      <c r="K12730" s="349">
        <v>7098.9014285714284</v>
      </c>
      <c r="L12730" s="349"/>
      <c r="M12730" s="455"/>
    </row>
    <row r="12731" spans="1:14" ht="11.25" customHeight="1" x14ac:dyDescent="0.2">
      <c r="A12731" s="350">
        <v>2026</v>
      </c>
      <c r="B12731" s="350">
        <v>1</v>
      </c>
      <c r="C12731" s="350">
        <v>19</v>
      </c>
      <c r="D12731" s="351">
        <f t="shared" si="1838"/>
        <v>46041</v>
      </c>
      <c r="E12731" s="352">
        <f t="shared" si="1848"/>
        <v>46041</v>
      </c>
      <c r="F12731" s="519"/>
      <c r="G12731" s="353" t="s">
        <v>1245</v>
      </c>
      <c r="H12731" s="354"/>
      <c r="I12731" s="354" t="s">
        <v>1253</v>
      </c>
      <c r="J12731" s="350" t="s">
        <v>2008</v>
      </c>
      <c r="K12731" s="355"/>
      <c r="L12731" s="355">
        <f t="shared" ref="L12731" si="1850">K12730</f>
        <v>7098.9014285714284</v>
      </c>
    </row>
    <row r="12732" spans="1:14" ht="11.25" customHeight="1" x14ac:dyDescent="0.2">
      <c r="A12732" s="344">
        <v>2026</v>
      </c>
      <c r="B12732" s="344">
        <v>1</v>
      </c>
      <c r="C12732" s="344">
        <v>19</v>
      </c>
      <c r="D12732" s="345">
        <f t="shared" si="1838"/>
        <v>46041</v>
      </c>
      <c r="E12732" s="346">
        <f t="shared" si="1848"/>
        <v>46041</v>
      </c>
      <c r="F12732" s="518" t="s">
        <v>2088</v>
      </c>
      <c r="G12732" s="347" t="s">
        <v>1245</v>
      </c>
      <c r="H12732" s="348"/>
      <c r="I12732" s="348" t="s">
        <v>1253</v>
      </c>
      <c r="J12732" s="344" t="s">
        <v>2086</v>
      </c>
      <c r="K12732" s="349">
        <v>1789.835164835165</v>
      </c>
      <c r="L12732" s="349"/>
      <c r="M12732" s="455"/>
    </row>
    <row r="12733" spans="1:14" ht="11.25" customHeight="1" x14ac:dyDescent="0.2">
      <c r="A12733" s="350">
        <v>2026</v>
      </c>
      <c r="B12733" s="350">
        <v>1</v>
      </c>
      <c r="C12733" s="350">
        <v>19</v>
      </c>
      <c r="D12733" s="351">
        <f t="shared" si="1838"/>
        <v>46041</v>
      </c>
      <c r="E12733" s="352">
        <f t="shared" si="1848"/>
        <v>46041</v>
      </c>
      <c r="F12733" s="519"/>
      <c r="G12733" s="353" t="s">
        <v>1245</v>
      </c>
      <c r="H12733" s="354"/>
      <c r="I12733" s="354" t="s">
        <v>1253</v>
      </c>
      <c r="J12733" s="350" t="s">
        <v>2089</v>
      </c>
      <c r="K12733" s="355"/>
      <c r="L12733" s="355">
        <f>K12732</f>
        <v>1789.835164835165</v>
      </c>
    </row>
    <row r="12734" spans="1:14" ht="11.25" customHeight="1" x14ac:dyDescent="0.2">
      <c r="A12734" s="344">
        <v>2026</v>
      </c>
      <c r="B12734" s="344">
        <v>1</v>
      </c>
      <c r="C12734" s="344">
        <v>19</v>
      </c>
      <c r="D12734" s="345">
        <f t="shared" si="1838"/>
        <v>46041</v>
      </c>
      <c r="E12734" s="346">
        <f>DATE(A12734,B12734,C12734)</f>
        <v>46041</v>
      </c>
      <c r="F12734" s="518" t="s">
        <v>1988</v>
      </c>
      <c r="G12734" s="347" t="s">
        <v>1245</v>
      </c>
      <c r="H12734" s="348"/>
      <c r="I12734" s="348" t="s">
        <v>1253</v>
      </c>
      <c r="J12734" s="344" t="s">
        <v>113</v>
      </c>
      <c r="K12734" s="349">
        <v>4692.3071428571429</v>
      </c>
      <c r="L12734" s="349"/>
      <c r="M12734" s="455"/>
    </row>
    <row r="12735" spans="1:14" ht="11.25" customHeight="1" x14ac:dyDescent="0.2">
      <c r="A12735" s="350">
        <v>2026</v>
      </c>
      <c r="B12735" s="350">
        <v>1</v>
      </c>
      <c r="C12735" s="350">
        <v>19</v>
      </c>
      <c r="D12735" s="351">
        <f t="shared" si="1838"/>
        <v>46041</v>
      </c>
      <c r="E12735" s="352">
        <f>DATE(A12735,B12735,C12735)</f>
        <v>46041</v>
      </c>
      <c r="F12735" s="519"/>
      <c r="G12735" s="353" t="s">
        <v>1245</v>
      </c>
      <c r="H12735" s="354"/>
      <c r="I12735" s="354" t="s">
        <v>1253</v>
      </c>
      <c r="J12735" s="350" t="s">
        <v>153</v>
      </c>
      <c r="K12735" s="355"/>
      <c r="L12735" s="355">
        <f t="shared" ref="L12735" si="1851">K12734</f>
        <v>4692.3071428571429</v>
      </c>
    </row>
    <row r="12736" spans="1:14" ht="11.25" customHeight="1" x14ac:dyDescent="0.2">
      <c r="A12736" s="344">
        <v>2026</v>
      </c>
      <c r="B12736" s="344">
        <v>1</v>
      </c>
      <c r="C12736" s="344">
        <v>19</v>
      </c>
      <c r="D12736" s="345">
        <f t="shared" si="1838"/>
        <v>46041</v>
      </c>
      <c r="E12736" s="346">
        <f t="shared" ref="E12736:E12742" si="1852">DATE(A12736,B12736,C12736)</f>
        <v>46041</v>
      </c>
      <c r="F12736" s="518" t="s">
        <v>1989</v>
      </c>
      <c r="G12736" s="347" t="s">
        <v>1245</v>
      </c>
      <c r="H12736" s="348"/>
      <c r="I12736" s="348" t="s">
        <v>1253</v>
      </c>
      <c r="J12736" s="344" t="s">
        <v>113</v>
      </c>
      <c r="K12736" s="349">
        <v>3351.6483516483518</v>
      </c>
      <c r="L12736" s="349"/>
      <c r="M12736" s="455"/>
    </row>
    <row r="12737" spans="1:16" ht="11.25" customHeight="1" x14ac:dyDescent="0.2">
      <c r="A12737" s="350">
        <v>2026</v>
      </c>
      <c r="B12737" s="350">
        <v>1</v>
      </c>
      <c r="C12737" s="350">
        <v>19</v>
      </c>
      <c r="D12737" s="351">
        <f t="shared" si="1838"/>
        <v>46041</v>
      </c>
      <c r="E12737" s="352">
        <f t="shared" si="1852"/>
        <v>46041</v>
      </c>
      <c r="F12737" s="519"/>
      <c r="G12737" s="353" t="s">
        <v>1245</v>
      </c>
      <c r="H12737" s="354"/>
      <c r="I12737" s="354" t="s">
        <v>1253</v>
      </c>
      <c r="J12737" s="350" t="s">
        <v>153</v>
      </c>
      <c r="K12737" s="355"/>
      <c r="L12737" s="355">
        <f t="shared" ref="L12737" si="1853">K12736</f>
        <v>3351.6483516483518</v>
      </c>
    </row>
    <row r="12738" spans="1:16" ht="11.25" customHeight="1" x14ac:dyDescent="0.2">
      <c r="A12738" s="344">
        <v>2026</v>
      </c>
      <c r="B12738" s="344">
        <v>1</v>
      </c>
      <c r="C12738" s="344">
        <v>19</v>
      </c>
      <c r="D12738" s="345">
        <f t="shared" ref="D12738:D12801" si="1854">DATE(A12738,B12738,C12738)</f>
        <v>46041</v>
      </c>
      <c r="E12738" s="346">
        <f t="shared" si="1852"/>
        <v>46041</v>
      </c>
      <c r="F12738" s="518" t="s">
        <v>1990</v>
      </c>
      <c r="G12738" s="347" t="s">
        <v>1245</v>
      </c>
      <c r="H12738" s="348"/>
      <c r="I12738" s="348" t="s">
        <v>1253</v>
      </c>
      <c r="J12738" s="344" t="s">
        <v>113</v>
      </c>
      <c r="K12738" s="349">
        <v>10054.945714285714</v>
      </c>
      <c r="L12738" s="349"/>
      <c r="M12738" s="455"/>
      <c r="N12738" s="251"/>
      <c r="O12738" s="251"/>
      <c r="P12738" s="251"/>
    </row>
    <row r="12739" spans="1:16" ht="11.25" customHeight="1" x14ac:dyDescent="0.2">
      <c r="A12739" s="350">
        <v>2026</v>
      </c>
      <c r="B12739" s="350">
        <v>1</v>
      </c>
      <c r="C12739" s="350">
        <v>19</v>
      </c>
      <c r="D12739" s="351">
        <f t="shared" si="1854"/>
        <v>46041</v>
      </c>
      <c r="E12739" s="352">
        <f t="shared" si="1852"/>
        <v>46041</v>
      </c>
      <c r="F12739" s="519"/>
      <c r="G12739" s="353" t="s">
        <v>1245</v>
      </c>
      <c r="H12739" s="354"/>
      <c r="I12739" s="354" t="s">
        <v>1253</v>
      </c>
      <c r="J12739" s="350" t="s">
        <v>153</v>
      </c>
      <c r="K12739" s="355"/>
      <c r="L12739" s="355">
        <f t="shared" ref="L12739" si="1855">K12738</f>
        <v>10054.945714285714</v>
      </c>
    </row>
    <row r="12740" spans="1:16" ht="11.25" customHeight="1" x14ac:dyDescent="0.2">
      <c r="A12740" s="344">
        <v>2026</v>
      </c>
      <c r="B12740" s="344">
        <v>1</v>
      </c>
      <c r="C12740" s="344">
        <v>19</v>
      </c>
      <c r="D12740" s="345">
        <f t="shared" si="1854"/>
        <v>46041</v>
      </c>
      <c r="E12740" s="346">
        <f t="shared" si="1852"/>
        <v>46041</v>
      </c>
      <c r="F12740" s="518" t="s">
        <v>2107</v>
      </c>
      <c r="G12740" s="347" t="s">
        <v>1245</v>
      </c>
      <c r="H12740" s="348"/>
      <c r="I12740" s="348" t="s">
        <v>1253</v>
      </c>
      <c r="J12740" s="344" t="s">
        <v>113</v>
      </c>
      <c r="K12740" s="349">
        <v>12370.879120879121</v>
      </c>
      <c r="L12740" s="349"/>
      <c r="M12740" s="455"/>
      <c r="N12740" s="251"/>
      <c r="O12740" s="251"/>
      <c r="P12740" s="251"/>
    </row>
    <row r="12741" spans="1:16" ht="11.25" customHeight="1" x14ac:dyDescent="0.2">
      <c r="A12741" s="350">
        <v>2026</v>
      </c>
      <c r="B12741" s="350">
        <v>1</v>
      </c>
      <c r="C12741" s="350">
        <v>19</v>
      </c>
      <c r="D12741" s="351">
        <f t="shared" si="1854"/>
        <v>46041</v>
      </c>
      <c r="E12741" s="352">
        <f t="shared" si="1852"/>
        <v>46041</v>
      </c>
      <c r="F12741" s="519"/>
      <c r="G12741" s="353" t="s">
        <v>1245</v>
      </c>
      <c r="H12741" s="354"/>
      <c r="I12741" s="354" t="s">
        <v>1253</v>
      </c>
      <c r="J12741" s="350" t="s">
        <v>153</v>
      </c>
      <c r="K12741" s="355"/>
      <c r="L12741" s="355">
        <f t="shared" ref="L12741" si="1856">K12740</f>
        <v>12370.879120879121</v>
      </c>
    </row>
    <row r="12742" spans="1:16" ht="11.25" customHeight="1" x14ac:dyDescent="0.2">
      <c r="A12742" s="210">
        <v>2026</v>
      </c>
      <c r="B12742" s="210">
        <v>1</v>
      </c>
      <c r="C12742" s="210">
        <v>19</v>
      </c>
      <c r="D12742" s="211">
        <f t="shared" si="1854"/>
        <v>46041</v>
      </c>
      <c r="E12742" s="238">
        <f t="shared" si="1852"/>
        <v>46041</v>
      </c>
      <c r="F12742" s="520" t="s">
        <v>1857</v>
      </c>
      <c r="G12742" s="213" t="s">
        <v>1245</v>
      </c>
      <c r="H12742" s="214"/>
      <c r="I12742" s="214" t="s">
        <v>1253</v>
      </c>
      <c r="J12742" s="210" t="s">
        <v>1284</v>
      </c>
      <c r="K12742" s="215">
        <v>334.54448777029421</v>
      </c>
      <c r="L12742" s="215"/>
      <c r="M12742" s="455"/>
    </row>
    <row r="12743" spans="1:16" ht="11.25" customHeight="1" x14ac:dyDescent="0.2">
      <c r="A12743" s="242">
        <v>2026</v>
      </c>
      <c r="B12743" s="242">
        <v>1</v>
      </c>
      <c r="C12743" s="242">
        <v>19</v>
      </c>
      <c r="D12743" s="243">
        <f t="shared" si="1854"/>
        <v>46041</v>
      </c>
      <c r="E12743" s="244">
        <f>DATE(A12743,B12743,C12743)</f>
        <v>46041</v>
      </c>
      <c r="F12743" s="524"/>
      <c r="G12743" s="245" t="s">
        <v>1245</v>
      </c>
      <c r="H12743" s="246"/>
      <c r="I12743" s="246"/>
      <c r="J12743" s="242" t="s">
        <v>1582</v>
      </c>
      <c r="K12743" s="247"/>
      <c r="L12743" s="247">
        <f>K12742</f>
        <v>334.54448777029421</v>
      </c>
    </row>
    <row r="12744" spans="1:16" ht="11.25" customHeight="1" x14ac:dyDescent="0.2">
      <c r="A12744" s="210">
        <v>2026</v>
      </c>
      <c r="B12744" s="210">
        <v>1</v>
      </c>
      <c r="C12744" s="210">
        <v>19</v>
      </c>
      <c r="D12744" s="211">
        <f t="shared" si="1854"/>
        <v>46041</v>
      </c>
      <c r="E12744" s="238">
        <f t="shared" ref="E12744:E12776" si="1857">DATE(A12744,B12744,C12744)</f>
        <v>46041</v>
      </c>
      <c r="F12744" s="520" t="s">
        <v>2055</v>
      </c>
      <c r="G12744" s="213" t="s">
        <v>1245</v>
      </c>
      <c r="H12744" s="214"/>
      <c r="I12744" s="214" t="s">
        <v>1253</v>
      </c>
      <c r="J12744" s="210" t="s">
        <v>58</v>
      </c>
      <c r="K12744" s="215">
        <v>1093.48</v>
      </c>
      <c r="L12744" s="215"/>
    </row>
    <row r="12745" spans="1:16" ht="11.25" customHeight="1" x14ac:dyDescent="0.2">
      <c r="A12745" s="216">
        <v>2026</v>
      </c>
      <c r="B12745" s="216">
        <v>1</v>
      </c>
      <c r="C12745" s="216">
        <v>19</v>
      </c>
      <c r="D12745" s="217">
        <f t="shared" si="1854"/>
        <v>46041</v>
      </c>
      <c r="E12745" s="239">
        <f t="shared" si="1857"/>
        <v>46041</v>
      </c>
      <c r="F12745" s="521"/>
      <c r="G12745" s="219" t="s">
        <v>1245</v>
      </c>
      <c r="H12745" s="220"/>
      <c r="I12745" s="220" t="s">
        <v>1253</v>
      </c>
      <c r="J12745" s="216" t="s">
        <v>153</v>
      </c>
      <c r="K12745" s="221"/>
      <c r="L12745" s="221">
        <f>K12744</f>
        <v>1093.48</v>
      </c>
    </row>
    <row r="12746" spans="1:16" ht="11.25" customHeight="1" x14ac:dyDescent="0.2">
      <c r="A12746" s="312">
        <v>2026</v>
      </c>
      <c r="B12746" s="312">
        <v>1</v>
      </c>
      <c r="C12746" s="312">
        <v>19</v>
      </c>
      <c r="D12746" s="313">
        <f t="shared" si="1854"/>
        <v>46041</v>
      </c>
      <c r="E12746" s="314">
        <f t="shared" si="1857"/>
        <v>46041</v>
      </c>
      <c r="F12746" s="522" t="s">
        <v>1595</v>
      </c>
      <c r="G12746" s="315" t="s">
        <v>1245</v>
      </c>
      <c r="H12746" s="316"/>
      <c r="I12746" s="316" t="s">
        <v>1253</v>
      </c>
      <c r="J12746" s="312" t="s">
        <v>1461</v>
      </c>
      <c r="K12746" s="317">
        <v>99820.684000015259</v>
      </c>
      <c r="L12746" s="317"/>
      <c r="M12746" s="328"/>
    </row>
    <row r="12747" spans="1:16" ht="11.25" customHeight="1" x14ac:dyDescent="0.2">
      <c r="A12747" s="318">
        <v>2026</v>
      </c>
      <c r="B12747" s="318">
        <v>1</v>
      </c>
      <c r="C12747" s="318">
        <v>19</v>
      </c>
      <c r="D12747" s="319">
        <f t="shared" si="1854"/>
        <v>46041</v>
      </c>
      <c r="E12747" s="320">
        <f t="shared" si="1857"/>
        <v>46041</v>
      </c>
      <c r="F12747" s="523"/>
      <c r="G12747" s="321" t="s">
        <v>1245</v>
      </c>
      <c r="H12747" s="322"/>
      <c r="I12747" s="322" t="s">
        <v>1253</v>
      </c>
      <c r="J12747" s="318" t="s">
        <v>1459</v>
      </c>
      <c r="K12747" s="323"/>
      <c r="L12747" s="323">
        <f>K12746</f>
        <v>99820.684000015259</v>
      </c>
      <c r="M12747" s="328"/>
    </row>
    <row r="12748" spans="1:16" ht="11.25" customHeight="1" x14ac:dyDescent="0.2">
      <c r="A12748" s="222">
        <v>2026</v>
      </c>
      <c r="B12748" s="222">
        <v>1</v>
      </c>
      <c r="C12748" s="222">
        <v>19</v>
      </c>
      <c r="D12748" s="223">
        <f t="shared" si="1854"/>
        <v>46041</v>
      </c>
      <c r="E12748" s="240">
        <f t="shared" si="1857"/>
        <v>46041</v>
      </c>
      <c r="F12748" s="511" t="s">
        <v>1244</v>
      </c>
      <c r="G12748" s="225" t="s">
        <v>1245</v>
      </c>
      <c r="H12748" s="226"/>
      <c r="I12748" s="226" t="s">
        <v>1253</v>
      </c>
      <c r="J12748" s="222" t="s">
        <v>87</v>
      </c>
      <c r="K12748" s="227">
        <v>5294.5</v>
      </c>
      <c r="L12748" s="227"/>
      <c r="M12748" s="328"/>
    </row>
    <row r="12749" spans="1:16" ht="11.25" customHeight="1" x14ac:dyDescent="0.2">
      <c r="A12749" s="228">
        <v>2026</v>
      </c>
      <c r="B12749" s="228">
        <v>1</v>
      </c>
      <c r="C12749" s="228">
        <v>19</v>
      </c>
      <c r="D12749" s="229">
        <f t="shared" si="1854"/>
        <v>46041</v>
      </c>
      <c r="E12749" s="241">
        <f t="shared" si="1857"/>
        <v>46041</v>
      </c>
      <c r="F12749" s="512"/>
      <c r="G12749" s="231" t="s">
        <v>1245</v>
      </c>
      <c r="H12749" s="232"/>
      <c r="I12749" s="232" t="s">
        <v>1253</v>
      </c>
      <c r="J12749" s="228" t="s">
        <v>72</v>
      </c>
      <c r="K12749" s="233"/>
      <c r="L12749" s="233">
        <f>K12748</f>
        <v>5294.5</v>
      </c>
    </row>
    <row r="12750" spans="1:16" ht="11.25" customHeight="1" x14ac:dyDescent="0.2">
      <c r="A12750" s="222">
        <v>2026</v>
      </c>
      <c r="B12750" s="222">
        <v>1</v>
      </c>
      <c r="C12750" s="222">
        <v>19</v>
      </c>
      <c r="D12750" s="223">
        <f t="shared" si="1854"/>
        <v>46041</v>
      </c>
      <c r="E12750" s="240">
        <f t="shared" si="1857"/>
        <v>46041</v>
      </c>
      <c r="F12750" s="511" t="s">
        <v>1246</v>
      </c>
      <c r="G12750" s="225" t="s">
        <v>1245</v>
      </c>
      <c r="H12750" s="226"/>
      <c r="I12750" s="226" t="s">
        <v>1253</v>
      </c>
      <c r="J12750" s="222" t="s">
        <v>75</v>
      </c>
      <c r="K12750" s="227">
        <v>517.58912087912086</v>
      </c>
      <c r="L12750" s="227"/>
      <c r="M12750" s="455"/>
    </row>
    <row r="12751" spans="1:16" ht="11.25" customHeight="1" x14ac:dyDescent="0.2">
      <c r="A12751" s="228">
        <v>2026</v>
      </c>
      <c r="B12751" s="228">
        <v>1</v>
      </c>
      <c r="C12751" s="228">
        <v>19</v>
      </c>
      <c r="D12751" s="229">
        <f t="shared" si="1854"/>
        <v>46041</v>
      </c>
      <c r="E12751" s="241">
        <f t="shared" si="1857"/>
        <v>46041</v>
      </c>
      <c r="F12751" s="512"/>
      <c r="G12751" s="231" t="s">
        <v>1245</v>
      </c>
      <c r="H12751" s="232"/>
      <c r="I12751" s="232" t="s">
        <v>1253</v>
      </c>
      <c r="J12751" s="228" t="s">
        <v>55</v>
      </c>
      <c r="K12751" s="233"/>
      <c r="L12751" s="233">
        <f>K12750</f>
        <v>517.58912087912086</v>
      </c>
    </row>
    <row r="12752" spans="1:16" ht="11.25" customHeight="1" x14ac:dyDescent="0.2">
      <c r="A12752" s="222">
        <v>2026</v>
      </c>
      <c r="B12752" s="222">
        <v>1</v>
      </c>
      <c r="C12752" s="222">
        <v>19</v>
      </c>
      <c r="D12752" s="223">
        <f t="shared" si="1854"/>
        <v>46041</v>
      </c>
      <c r="E12752" s="240">
        <f t="shared" si="1857"/>
        <v>46041</v>
      </c>
      <c r="F12752" s="511" t="s">
        <v>1247</v>
      </c>
      <c r="G12752" s="225" t="s">
        <v>1245</v>
      </c>
      <c r="H12752" s="226"/>
      <c r="I12752" s="226" t="s">
        <v>1253</v>
      </c>
      <c r="J12752" s="222" t="s">
        <v>77</v>
      </c>
      <c r="K12752" s="227">
        <f>M12752</f>
        <v>7453.7295488060417</v>
      </c>
      <c r="L12752" s="227"/>
      <c r="M12752" s="478">
        <v>7453.7295488060417</v>
      </c>
    </row>
    <row r="12753" spans="1:15" ht="11.25" customHeight="1" x14ac:dyDescent="0.2">
      <c r="A12753" s="228">
        <v>2026</v>
      </c>
      <c r="B12753" s="228">
        <v>1</v>
      </c>
      <c r="C12753" s="228">
        <v>19</v>
      </c>
      <c r="D12753" s="229">
        <f t="shared" si="1854"/>
        <v>46041</v>
      </c>
      <c r="E12753" s="241">
        <f t="shared" si="1857"/>
        <v>46041</v>
      </c>
      <c r="F12753" s="512"/>
      <c r="G12753" s="231" t="s">
        <v>1245</v>
      </c>
      <c r="H12753" s="232"/>
      <c r="I12753" s="232" t="s">
        <v>1253</v>
      </c>
      <c r="J12753" s="228" t="s">
        <v>41</v>
      </c>
      <c r="K12753" s="233"/>
      <c r="L12753" s="233">
        <f>K12752</f>
        <v>7453.7295488060417</v>
      </c>
      <c r="M12753" s="478">
        <v>745.37295488060431</v>
      </c>
      <c r="N12753" s="251"/>
    </row>
    <row r="12754" spans="1:15" ht="11.25" customHeight="1" x14ac:dyDescent="0.2">
      <c r="A12754" s="222">
        <v>2026</v>
      </c>
      <c r="B12754" s="222">
        <v>1</v>
      </c>
      <c r="C12754" s="222">
        <v>19</v>
      </c>
      <c r="D12754" s="223">
        <f t="shared" si="1854"/>
        <v>46041</v>
      </c>
      <c r="E12754" s="240">
        <f t="shared" si="1857"/>
        <v>46041</v>
      </c>
      <c r="F12754" s="511" t="s">
        <v>1248</v>
      </c>
      <c r="G12754" s="225" t="s">
        <v>1245</v>
      </c>
      <c r="H12754" s="226"/>
      <c r="I12754" s="226" t="s">
        <v>1253</v>
      </c>
      <c r="J12754" s="222" t="s">
        <v>80</v>
      </c>
      <c r="K12754" s="227">
        <f>M12753</f>
        <v>745.37295488060431</v>
      </c>
      <c r="L12754" s="227"/>
      <c r="N12754" s="251"/>
      <c r="O12754" s="251"/>
    </row>
    <row r="12755" spans="1:15" ht="11.25" customHeight="1" x14ac:dyDescent="0.2">
      <c r="A12755" s="228">
        <v>2026</v>
      </c>
      <c r="B12755" s="228">
        <v>1</v>
      </c>
      <c r="C12755" s="228">
        <v>19</v>
      </c>
      <c r="D12755" s="229">
        <f t="shared" si="1854"/>
        <v>46041</v>
      </c>
      <c r="E12755" s="241">
        <f t="shared" si="1857"/>
        <v>46041</v>
      </c>
      <c r="F12755" s="512"/>
      <c r="G12755" s="231" t="s">
        <v>1245</v>
      </c>
      <c r="H12755" s="232"/>
      <c r="I12755" s="232" t="s">
        <v>1253</v>
      </c>
      <c r="J12755" s="228" t="s">
        <v>42</v>
      </c>
      <c r="K12755" s="233"/>
      <c r="L12755" s="233">
        <f>K12754</f>
        <v>745.37295488060431</v>
      </c>
      <c r="N12755" s="251"/>
    </row>
    <row r="12756" spans="1:15" x14ac:dyDescent="0.2">
      <c r="A12756" s="197">
        <v>2026</v>
      </c>
      <c r="B12756" s="197">
        <v>1</v>
      </c>
      <c r="C12756" s="197">
        <v>20</v>
      </c>
      <c r="D12756" s="198">
        <f t="shared" si="1854"/>
        <v>46042</v>
      </c>
      <c r="E12756" s="209">
        <f t="shared" si="1857"/>
        <v>46042</v>
      </c>
      <c r="F12756" s="513" t="s">
        <v>1423</v>
      </c>
      <c r="G12756" s="200" t="s">
        <v>1209</v>
      </c>
      <c r="H12756" s="201"/>
      <c r="I12756" s="201"/>
      <c r="J12756" s="197" t="s">
        <v>16</v>
      </c>
      <c r="K12756" s="202">
        <v>14430</v>
      </c>
      <c r="L12756" s="202"/>
    </row>
    <row r="12757" spans="1:15" x14ac:dyDescent="0.2">
      <c r="A12757" s="120">
        <v>2026</v>
      </c>
      <c r="B12757" s="120">
        <v>1</v>
      </c>
      <c r="C12757" s="120">
        <v>20</v>
      </c>
      <c r="D12757" s="208">
        <f t="shared" si="1854"/>
        <v>46042</v>
      </c>
      <c r="E12757" s="209">
        <f t="shared" si="1857"/>
        <v>46042</v>
      </c>
      <c r="F12757" s="515"/>
      <c r="G12757" s="132" t="s">
        <v>1209</v>
      </c>
      <c r="J12757" s="120" t="s">
        <v>47</v>
      </c>
      <c r="K12757" s="207">
        <v>5570</v>
      </c>
      <c r="L12757" s="207"/>
    </row>
    <row r="12758" spans="1:15" x14ac:dyDescent="0.2">
      <c r="A12758" s="191">
        <v>2026</v>
      </c>
      <c r="B12758" s="191">
        <v>1</v>
      </c>
      <c r="C12758" s="191">
        <v>20</v>
      </c>
      <c r="D12758" s="192">
        <f t="shared" si="1854"/>
        <v>46042</v>
      </c>
      <c r="E12758" s="193">
        <f t="shared" si="1857"/>
        <v>46042</v>
      </c>
      <c r="F12758" s="514"/>
      <c r="G12758" s="194" t="s">
        <v>1209</v>
      </c>
      <c r="H12758" s="195"/>
      <c r="I12758" s="195"/>
      <c r="J12758" s="191" t="s">
        <v>46</v>
      </c>
      <c r="K12758" s="196"/>
      <c r="L12758" s="196">
        <v>20000</v>
      </c>
    </row>
    <row r="12759" spans="1:15" x14ac:dyDescent="0.2">
      <c r="A12759" s="197">
        <v>2026</v>
      </c>
      <c r="B12759" s="197">
        <v>1</v>
      </c>
      <c r="C12759" s="197">
        <v>20</v>
      </c>
      <c r="D12759" s="198">
        <f t="shared" si="1854"/>
        <v>46042</v>
      </c>
      <c r="E12759" s="209">
        <f t="shared" si="1857"/>
        <v>46042</v>
      </c>
      <c r="F12759" s="513" t="s">
        <v>2113</v>
      </c>
      <c r="G12759" s="200" t="s">
        <v>1209</v>
      </c>
      <c r="H12759" s="201"/>
      <c r="I12759" s="201"/>
      <c r="J12759" s="197" t="s">
        <v>46</v>
      </c>
      <c r="K12759" s="202">
        <v>100000</v>
      </c>
      <c r="L12759" s="202"/>
    </row>
    <row r="12760" spans="1:15" x14ac:dyDescent="0.2">
      <c r="A12760" s="120">
        <v>2026</v>
      </c>
      <c r="B12760" s="120">
        <v>1</v>
      </c>
      <c r="C12760" s="120">
        <v>20</v>
      </c>
      <c r="D12760" s="208">
        <f t="shared" si="1854"/>
        <v>46042</v>
      </c>
      <c r="E12760" s="209">
        <f t="shared" si="1857"/>
        <v>46042</v>
      </c>
      <c r="F12760" s="515"/>
      <c r="G12760" s="132" t="s">
        <v>1209</v>
      </c>
      <c r="J12760" s="120" t="s">
        <v>16</v>
      </c>
      <c r="K12760" s="207"/>
      <c r="L12760" s="207">
        <v>72280</v>
      </c>
    </row>
    <row r="12761" spans="1:15" x14ac:dyDescent="0.2">
      <c r="A12761" s="191">
        <v>2026</v>
      </c>
      <c r="B12761" s="191">
        <v>1</v>
      </c>
      <c r="C12761" s="191">
        <v>20</v>
      </c>
      <c r="D12761" s="192">
        <f t="shared" si="1854"/>
        <v>46042</v>
      </c>
      <c r="E12761" s="193">
        <f t="shared" si="1857"/>
        <v>46042</v>
      </c>
      <c r="F12761" s="514"/>
      <c r="G12761" s="194" t="s">
        <v>1209</v>
      </c>
      <c r="H12761" s="195"/>
      <c r="I12761" s="195"/>
      <c r="J12761" s="191" t="s">
        <v>47</v>
      </c>
      <c r="K12761" s="196"/>
      <c r="L12761" s="196">
        <v>27720</v>
      </c>
    </row>
    <row r="12762" spans="1:15" x14ac:dyDescent="0.2">
      <c r="A12762" s="197">
        <v>2026</v>
      </c>
      <c r="B12762" s="197">
        <v>1</v>
      </c>
      <c r="C12762" s="197">
        <v>20</v>
      </c>
      <c r="D12762" s="198">
        <f t="shared" si="1854"/>
        <v>46042</v>
      </c>
      <c r="E12762" s="209">
        <f t="shared" si="1857"/>
        <v>46042</v>
      </c>
      <c r="F12762" s="513" t="s">
        <v>2113</v>
      </c>
      <c r="G12762" s="200" t="s">
        <v>1209</v>
      </c>
      <c r="H12762" s="201"/>
      <c r="I12762" s="201"/>
      <c r="J12762" s="197" t="s">
        <v>46</v>
      </c>
      <c r="K12762" s="202">
        <v>20000</v>
      </c>
      <c r="L12762" s="202"/>
    </row>
    <row r="12763" spans="1:15" x14ac:dyDescent="0.2">
      <c r="A12763" s="120">
        <v>2026</v>
      </c>
      <c r="B12763" s="120">
        <v>1</v>
      </c>
      <c r="C12763" s="120">
        <v>20</v>
      </c>
      <c r="D12763" s="208">
        <f t="shared" si="1854"/>
        <v>46042</v>
      </c>
      <c r="E12763" s="209">
        <f t="shared" si="1857"/>
        <v>46042</v>
      </c>
      <c r="F12763" s="515"/>
      <c r="G12763" s="132" t="s">
        <v>1209</v>
      </c>
      <c r="J12763" s="120" t="s">
        <v>16</v>
      </c>
      <c r="K12763" s="207"/>
      <c r="L12763" s="207">
        <v>14430</v>
      </c>
    </row>
    <row r="12764" spans="1:15" x14ac:dyDescent="0.2">
      <c r="A12764" s="191">
        <v>2026</v>
      </c>
      <c r="B12764" s="191">
        <v>1</v>
      </c>
      <c r="C12764" s="191">
        <v>20</v>
      </c>
      <c r="D12764" s="192">
        <f t="shared" si="1854"/>
        <v>46042</v>
      </c>
      <c r="E12764" s="193">
        <f t="shared" si="1857"/>
        <v>46042</v>
      </c>
      <c r="F12764" s="514"/>
      <c r="G12764" s="194" t="s">
        <v>1209</v>
      </c>
      <c r="H12764" s="195"/>
      <c r="I12764" s="195"/>
      <c r="J12764" s="191" t="s">
        <v>47</v>
      </c>
      <c r="K12764" s="196"/>
      <c r="L12764" s="196">
        <v>5570</v>
      </c>
    </row>
    <row r="12765" spans="1:15" x14ac:dyDescent="0.2">
      <c r="A12765" s="424">
        <v>2026</v>
      </c>
      <c r="B12765" s="424">
        <v>1</v>
      </c>
      <c r="C12765" s="424">
        <v>20</v>
      </c>
      <c r="D12765" s="425">
        <f t="shared" si="1854"/>
        <v>46042</v>
      </c>
      <c r="E12765" s="384">
        <f t="shared" si="1857"/>
        <v>46042</v>
      </c>
      <c r="F12765" s="516" t="s">
        <v>1850</v>
      </c>
      <c r="G12765" s="426" t="s">
        <v>1209</v>
      </c>
      <c r="H12765" s="427"/>
      <c r="I12765" s="427"/>
      <c r="J12765" s="428" t="s">
        <v>81</v>
      </c>
      <c r="K12765" s="429">
        <v>1595.8173626373627</v>
      </c>
      <c r="L12765" s="429"/>
      <c r="M12765" s="455"/>
    </row>
    <row r="12766" spans="1:15" x14ac:dyDescent="0.2">
      <c r="A12766" s="389">
        <v>2026</v>
      </c>
      <c r="B12766" s="389">
        <v>1</v>
      </c>
      <c r="C12766" s="389">
        <v>20</v>
      </c>
      <c r="D12766" s="390">
        <f t="shared" si="1854"/>
        <v>46042</v>
      </c>
      <c r="E12766" s="391">
        <f t="shared" si="1857"/>
        <v>46042</v>
      </c>
      <c r="F12766" s="517"/>
      <c r="G12766" s="392" t="s">
        <v>1209</v>
      </c>
      <c r="H12766" s="393"/>
      <c r="I12766" s="393"/>
      <c r="J12766" s="394" t="s">
        <v>1847</v>
      </c>
      <c r="K12766" s="423"/>
      <c r="L12766" s="423">
        <f>K12765</f>
        <v>1595.8173626373627</v>
      </c>
    </row>
    <row r="12767" spans="1:15" ht="11.25" customHeight="1" x14ac:dyDescent="0.2">
      <c r="A12767" s="382">
        <v>2026</v>
      </c>
      <c r="B12767" s="382">
        <v>1</v>
      </c>
      <c r="C12767" s="382">
        <v>20</v>
      </c>
      <c r="D12767" s="383">
        <f t="shared" si="1854"/>
        <v>46042</v>
      </c>
      <c r="E12767" s="384">
        <f t="shared" si="1857"/>
        <v>46042</v>
      </c>
      <c r="F12767" s="516" t="s">
        <v>1892</v>
      </c>
      <c r="G12767" s="385" t="s">
        <v>1209</v>
      </c>
      <c r="H12767" s="386"/>
      <c r="I12767" s="386"/>
      <c r="J12767" s="387" t="s">
        <v>173</v>
      </c>
      <c r="K12767" s="388">
        <v>592.23996594444441</v>
      </c>
      <c r="L12767" s="388"/>
      <c r="M12767" s="455"/>
    </row>
    <row r="12768" spans="1:15" ht="11.25" customHeight="1" x14ac:dyDescent="0.2">
      <c r="A12768" s="389">
        <v>2026</v>
      </c>
      <c r="B12768" s="389">
        <v>1</v>
      </c>
      <c r="C12768" s="389">
        <v>20</v>
      </c>
      <c r="D12768" s="390">
        <f t="shared" si="1854"/>
        <v>46042</v>
      </c>
      <c r="E12768" s="391">
        <f t="shared" si="1857"/>
        <v>46042</v>
      </c>
      <c r="F12768" s="517"/>
      <c r="G12768" s="392" t="s">
        <v>1209</v>
      </c>
      <c r="H12768" s="393"/>
      <c r="I12768" s="393"/>
      <c r="J12768" s="394" t="s">
        <v>43</v>
      </c>
      <c r="K12768" s="388"/>
      <c r="L12768" s="423">
        <f>K12767</f>
        <v>592.23996594444441</v>
      </c>
    </row>
    <row r="12769" spans="1:16" ht="11.25" customHeight="1" x14ac:dyDescent="0.2">
      <c r="A12769" s="344">
        <v>2026</v>
      </c>
      <c r="B12769" s="344">
        <v>1</v>
      </c>
      <c r="C12769" s="344">
        <v>20</v>
      </c>
      <c r="D12769" s="345">
        <f t="shared" si="1854"/>
        <v>46042</v>
      </c>
      <c r="E12769" s="346">
        <f t="shared" si="1857"/>
        <v>46042</v>
      </c>
      <c r="F12769" s="518" t="s">
        <v>1982</v>
      </c>
      <c r="G12769" s="347" t="s">
        <v>1245</v>
      </c>
      <c r="H12769" s="348"/>
      <c r="I12769" s="348" t="s">
        <v>1253</v>
      </c>
      <c r="J12769" s="344" t="s">
        <v>1978</v>
      </c>
      <c r="K12769" s="349">
        <v>21249.725274725275</v>
      </c>
      <c r="L12769" s="349"/>
      <c r="M12769" s="455"/>
    </row>
    <row r="12770" spans="1:16" ht="11.25" customHeight="1" x14ac:dyDescent="0.2">
      <c r="A12770" s="350">
        <v>2026</v>
      </c>
      <c r="B12770" s="350">
        <v>1</v>
      </c>
      <c r="C12770" s="350">
        <v>20</v>
      </c>
      <c r="D12770" s="351">
        <f t="shared" si="1854"/>
        <v>46042</v>
      </c>
      <c r="E12770" s="352">
        <f t="shared" si="1857"/>
        <v>46042</v>
      </c>
      <c r="F12770" s="519"/>
      <c r="G12770" s="353" t="s">
        <v>1245</v>
      </c>
      <c r="H12770" s="354"/>
      <c r="I12770" s="354" t="s">
        <v>1253</v>
      </c>
      <c r="J12770" s="350" t="s">
        <v>1979</v>
      </c>
      <c r="K12770" s="355"/>
      <c r="L12770" s="355">
        <f>K12769</f>
        <v>21249.725274725275</v>
      </c>
    </row>
    <row r="12771" spans="1:16" ht="11.25" customHeight="1" x14ac:dyDescent="0.2">
      <c r="A12771" s="344">
        <v>2026</v>
      </c>
      <c r="B12771" s="344">
        <v>1</v>
      </c>
      <c r="C12771" s="344">
        <v>20</v>
      </c>
      <c r="D12771" s="345">
        <f t="shared" si="1854"/>
        <v>46042</v>
      </c>
      <c r="E12771" s="346">
        <f t="shared" si="1857"/>
        <v>46042</v>
      </c>
      <c r="F12771" s="518" t="s">
        <v>2009</v>
      </c>
      <c r="G12771" s="347" t="s">
        <v>1245</v>
      </c>
      <c r="H12771" s="348"/>
      <c r="I12771" s="348" t="s">
        <v>1253</v>
      </c>
      <c r="J12771" s="344" t="s">
        <v>2004</v>
      </c>
      <c r="K12771" s="349">
        <v>7098.9014285714284</v>
      </c>
      <c r="L12771" s="349"/>
      <c r="M12771" s="455"/>
    </row>
    <row r="12772" spans="1:16" ht="11.25" customHeight="1" x14ac:dyDescent="0.2">
      <c r="A12772" s="350">
        <v>2026</v>
      </c>
      <c r="B12772" s="350">
        <v>1</v>
      </c>
      <c r="C12772" s="350">
        <v>20</v>
      </c>
      <c r="D12772" s="351">
        <f t="shared" si="1854"/>
        <v>46042</v>
      </c>
      <c r="E12772" s="352">
        <f t="shared" si="1857"/>
        <v>46042</v>
      </c>
      <c r="F12772" s="519"/>
      <c r="G12772" s="353" t="s">
        <v>1245</v>
      </c>
      <c r="H12772" s="354"/>
      <c r="I12772" s="354" t="s">
        <v>1253</v>
      </c>
      <c r="J12772" s="350" t="s">
        <v>2008</v>
      </c>
      <c r="K12772" s="355"/>
      <c r="L12772" s="355">
        <f t="shared" ref="L12772" si="1858">K12771</f>
        <v>7098.9014285714284</v>
      </c>
    </row>
    <row r="12773" spans="1:16" ht="11.25" customHeight="1" x14ac:dyDescent="0.2">
      <c r="A12773" s="344">
        <v>2026</v>
      </c>
      <c r="B12773" s="344">
        <v>1</v>
      </c>
      <c r="C12773" s="344">
        <v>20</v>
      </c>
      <c r="D12773" s="345">
        <f t="shared" si="1854"/>
        <v>46042</v>
      </c>
      <c r="E12773" s="346">
        <f t="shared" si="1857"/>
        <v>46042</v>
      </c>
      <c r="F12773" s="518" t="s">
        <v>2009</v>
      </c>
      <c r="G12773" s="347" t="s">
        <v>1245</v>
      </c>
      <c r="H12773" s="348"/>
      <c r="I12773" s="348" t="s">
        <v>1253</v>
      </c>
      <c r="J12773" s="344" t="s">
        <v>2004</v>
      </c>
      <c r="K12773" s="349">
        <v>7098.9014285714284</v>
      </c>
      <c r="L12773" s="349"/>
      <c r="M12773" s="455"/>
    </row>
    <row r="12774" spans="1:16" ht="11.25" customHeight="1" x14ac:dyDescent="0.2">
      <c r="A12774" s="350">
        <v>2026</v>
      </c>
      <c r="B12774" s="350">
        <v>1</v>
      </c>
      <c r="C12774" s="350">
        <v>20</v>
      </c>
      <c r="D12774" s="351">
        <f t="shared" si="1854"/>
        <v>46042</v>
      </c>
      <c r="E12774" s="352">
        <f t="shared" si="1857"/>
        <v>46042</v>
      </c>
      <c r="F12774" s="519"/>
      <c r="G12774" s="353" t="s">
        <v>1245</v>
      </c>
      <c r="H12774" s="354"/>
      <c r="I12774" s="354" t="s">
        <v>1253</v>
      </c>
      <c r="J12774" s="350" t="s">
        <v>2008</v>
      </c>
      <c r="K12774" s="355"/>
      <c r="L12774" s="355">
        <f t="shared" ref="L12774" si="1859">K12773</f>
        <v>7098.9014285714284</v>
      </c>
    </row>
    <row r="12775" spans="1:16" ht="11.25" customHeight="1" x14ac:dyDescent="0.2">
      <c r="A12775" s="344">
        <v>2026</v>
      </c>
      <c r="B12775" s="344">
        <v>1</v>
      </c>
      <c r="C12775" s="344">
        <v>20</v>
      </c>
      <c r="D12775" s="345">
        <f t="shared" si="1854"/>
        <v>46042</v>
      </c>
      <c r="E12775" s="346">
        <f t="shared" si="1857"/>
        <v>46042</v>
      </c>
      <c r="F12775" s="518" t="s">
        <v>2088</v>
      </c>
      <c r="G12775" s="347" t="s">
        <v>1245</v>
      </c>
      <c r="H12775" s="348"/>
      <c r="I12775" s="348" t="s">
        <v>1253</v>
      </c>
      <c r="J12775" s="344" t="s">
        <v>2086</v>
      </c>
      <c r="K12775" s="349">
        <v>1789.835164835165</v>
      </c>
      <c r="L12775" s="349"/>
      <c r="M12775" s="455"/>
    </row>
    <row r="12776" spans="1:16" ht="11.25" customHeight="1" x14ac:dyDescent="0.2">
      <c r="A12776" s="350">
        <v>2026</v>
      </c>
      <c r="B12776" s="350">
        <v>1</v>
      </c>
      <c r="C12776" s="350">
        <v>20</v>
      </c>
      <c r="D12776" s="351">
        <f t="shared" si="1854"/>
        <v>46042</v>
      </c>
      <c r="E12776" s="352">
        <f t="shared" si="1857"/>
        <v>46042</v>
      </c>
      <c r="F12776" s="519"/>
      <c r="G12776" s="353" t="s">
        <v>1245</v>
      </c>
      <c r="H12776" s="354"/>
      <c r="I12776" s="354" t="s">
        <v>1253</v>
      </c>
      <c r="J12776" s="350" t="s">
        <v>2089</v>
      </c>
      <c r="K12776" s="355"/>
      <c r="L12776" s="355">
        <f>K12775</f>
        <v>1789.835164835165</v>
      </c>
    </row>
    <row r="12777" spans="1:16" ht="11.25" customHeight="1" x14ac:dyDescent="0.2">
      <c r="A12777" s="344">
        <v>2026</v>
      </c>
      <c r="B12777" s="344">
        <v>1</v>
      </c>
      <c r="C12777" s="344">
        <v>20</v>
      </c>
      <c r="D12777" s="345">
        <f t="shared" si="1854"/>
        <v>46042</v>
      </c>
      <c r="E12777" s="346">
        <f>DATE(A12777,B12777,C12777)</f>
        <v>46042</v>
      </c>
      <c r="F12777" s="518" t="s">
        <v>1988</v>
      </c>
      <c r="G12777" s="347" t="s">
        <v>1245</v>
      </c>
      <c r="H12777" s="348"/>
      <c r="I12777" s="348" t="s">
        <v>1253</v>
      </c>
      <c r="J12777" s="344" t="s">
        <v>113</v>
      </c>
      <c r="K12777" s="349">
        <v>4692.3071428571429</v>
      </c>
      <c r="L12777" s="349"/>
      <c r="M12777" s="455"/>
    </row>
    <row r="12778" spans="1:16" ht="11.25" customHeight="1" x14ac:dyDescent="0.2">
      <c r="A12778" s="350">
        <v>2026</v>
      </c>
      <c r="B12778" s="350">
        <v>1</v>
      </c>
      <c r="C12778" s="350">
        <v>20</v>
      </c>
      <c r="D12778" s="351">
        <f t="shared" si="1854"/>
        <v>46042</v>
      </c>
      <c r="E12778" s="352">
        <f>DATE(A12778,B12778,C12778)</f>
        <v>46042</v>
      </c>
      <c r="F12778" s="519"/>
      <c r="G12778" s="353" t="s">
        <v>1245</v>
      </c>
      <c r="H12778" s="354"/>
      <c r="I12778" s="354" t="s">
        <v>1253</v>
      </c>
      <c r="J12778" s="350" t="s">
        <v>153</v>
      </c>
      <c r="K12778" s="355"/>
      <c r="L12778" s="355">
        <f t="shared" ref="L12778" si="1860">K12777</f>
        <v>4692.3071428571429</v>
      </c>
    </row>
    <row r="12779" spans="1:16" ht="11.25" customHeight="1" x14ac:dyDescent="0.2">
      <c r="A12779" s="344">
        <v>2026</v>
      </c>
      <c r="B12779" s="344">
        <v>1</v>
      </c>
      <c r="C12779" s="344">
        <v>20</v>
      </c>
      <c r="D12779" s="345">
        <f t="shared" si="1854"/>
        <v>46042</v>
      </c>
      <c r="E12779" s="346">
        <f t="shared" ref="E12779:E12785" si="1861">DATE(A12779,B12779,C12779)</f>
        <v>46042</v>
      </c>
      <c r="F12779" s="518" t="s">
        <v>1989</v>
      </c>
      <c r="G12779" s="347" t="s">
        <v>1245</v>
      </c>
      <c r="H12779" s="348"/>
      <c r="I12779" s="348" t="s">
        <v>1253</v>
      </c>
      <c r="J12779" s="344" t="s">
        <v>113</v>
      </c>
      <c r="K12779" s="349">
        <v>3351.6483516483518</v>
      </c>
      <c r="L12779" s="349"/>
      <c r="M12779" s="455"/>
    </row>
    <row r="12780" spans="1:16" ht="11.25" customHeight="1" x14ac:dyDescent="0.2">
      <c r="A12780" s="350">
        <v>2026</v>
      </c>
      <c r="B12780" s="350">
        <v>1</v>
      </c>
      <c r="C12780" s="350">
        <v>20</v>
      </c>
      <c r="D12780" s="351">
        <f t="shared" si="1854"/>
        <v>46042</v>
      </c>
      <c r="E12780" s="352">
        <f t="shared" si="1861"/>
        <v>46042</v>
      </c>
      <c r="F12780" s="519"/>
      <c r="G12780" s="353" t="s">
        <v>1245</v>
      </c>
      <c r="H12780" s="354"/>
      <c r="I12780" s="354" t="s">
        <v>1253</v>
      </c>
      <c r="J12780" s="350" t="s">
        <v>153</v>
      </c>
      <c r="K12780" s="355"/>
      <c r="L12780" s="355">
        <f t="shared" ref="L12780" si="1862">K12779</f>
        <v>3351.6483516483518</v>
      </c>
    </row>
    <row r="12781" spans="1:16" ht="11.25" customHeight="1" x14ac:dyDescent="0.2">
      <c r="A12781" s="344">
        <v>2026</v>
      </c>
      <c r="B12781" s="344">
        <v>1</v>
      </c>
      <c r="C12781" s="344">
        <v>20</v>
      </c>
      <c r="D12781" s="345">
        <f t="shared" si="1854"/>
        <v>46042</v>
      </c>
      <c r="E12781" s="346">
        <f t="shared" si="1861"/>
        <v>46042</v>
      </c>
      <c r="F12781" s="518" t="s">
        <v>1990</v>
      </c>
      <c r="G12781" s="347" t="s">
        <v>1245</v>
      </c>
      <c r="H12781" s="348"/>
      <c r="I12781" s="348" t="s">
        <v>1253</v>
      </c>
      <c r="J12781" s="344" t="s">
        <v>113</v>
      </c>
      <c r="K12781" s="349">
        <v>10054.945714285714</v>
      </c>
      <c r="L12781" s="349"/>
      <c r="M12781" s="455"/>
      <c r="N12781" s="251"/>
      <c r="O12781" s="251"/>
      <c r="P12781" s="251"/>
    </row>
    <row r="12782" spans="1:16" ht="11.25" customHeight="1" x14ac:dyDescent="0.2">
      <c r="A12782" s="350">
        <v>2026</v>
      </c>
      <c r="B12782" s="350">
        <v>1</v>
      </c>
      <c r="C12782" s="350">
        <v>20</v>
      </c>
      <c r="D12782" s="351">
        <f t="shared" si="1854"/>
        <v>46042</v>
      </c>
      <c r="E12782" s="352">
        <f t="shared" si="1861"/>
        <v>46042</v>
      </c>
      <c r="F12782" s="519"/>
      <c r="G12782" s="353" t="s">
        <v>1245</v>
      </c>
      <c r="H12782" s="354"/>
      <c r="I12782" s="354" t="s">
        <v>1253</v>
      </c>
      <c r="J12782" s="350" t="s">
        <v>153</v>
      </c>
      <c r="K12782" s="355"/>
      <c r="L12782" s="355">
        <f t="shared" ref="L12782" si="1863">K12781</f>
        <v>10054.945714285714</v>
      </c>
    </row>
    <row r="12783" spans="1:16" ht="11.25" customHeight="1" x14ac:dyDescent="0.2">
      <c r="A12783" s="344">
        <v>2026</v>
      </c>
      <c r="B12783" s="344">
        <v>1</v>
      </c>
      <c r="C12783" s="344">
        <v>20</v>
      </c>
      <c r="D12783" s="345">
        <f t="shared" si="1854"/>
        <v>46042</v>
      </c>
      <c r="E12783" s="346">
        <f t="shared" si="1861"/>
        <v>46042</v>
      </c>
      <c r="F12783" s="518" t="s">
        <v>2107</v>
      </c>
      <c r="G12783" s="347" t="s">
        <v>1245</v>
      </c>
      <c r="H12783" s="348"/>
      <c r="I12783" s="348" t="s">
        <v>1253</v>
      </c>
      <c r="J12783" s="344" t="s">
        <v>113</v>
      </c>
      <c r="K12783" s="349">
        <v>12370.879120879121</v>
      </c>
      <c r="L12783" s="349"/>
      <c r="M12783" s="455"/>
      <c r="N12783" s="251"/>
      <c r="O12783" s="251"/>
      <c r="P12783" s="251"/>
    </row>
    <row r="12784" spans="1:16" ht="11.25" customHeight="1" x14ac:dyDescent="0.2">
      <c r="A12784" s="350">
        <v>2026</v>
      </c>
      <c r="B12784" s="350">
        <v>1</v>
      </c>
      <c r="C12784" s="350">
        <v>20</v>
      </c>
      <c r="D12784" s="351">
        <f t="shared" si="1854"/>
        <v>46042</v>
      </c>
      <c r="E12784" s="352">
        <f t="shared" si="1861"/>
        <v>46042</v>
      </c>
      <c r="F12784" s="519"/>
      <c r="G12784" s="353" t="s">
        <v>1245</v>
      </c>
      <c r="H12784" s="354"/>
      <c r="I12784" s="354" t="s">
        <v>1253</v>
      </c>
      <c r="J12784" s="350" t="s">
        <v>153</v>
      </c>
      <c r="K12784" s="355"/>
      <c r="L12784" s="355">
        <f t="shared" ref="L12784" si="1864">K12783</f>
        <v>12370.879120879121</v>
      </c>
    </row>
    <row r="12785" spans="1:15" ht="11.25" customHeight="1" x14ac:dyDescent="0.2">
      <c r="A12785" s="210">
        <v>2026</v>
      </c>
      <c r="B12785" s="210">
        <v>1</v>
      </c>
      <c r="C12785" s="210">
        <v>20</v>
      </c>
      <c r="D12785" s="211">
        <f t="shared" si="1854"/>
        <v>46042</v>
      </c>
      <c r="E12785" s="238">
        <f t="shared" si="1861"/>
        <v>46042</v>
      </c>
      <c r="F12785" s="520" t="s">
        <v>1857</v>
      </c>
      <c r="G12785" s="213" t="s">
        <v>1245</v>
      </c>
      <c r="H12785" s="214"/>
      <c r="I12785" s="214" t="s">
        <v>1253</v>
      </c>
      <c r="J12785" s="210" t="s">
        <v>1284</v>
      </c>
      <c r="K12785" s="215">
        <v>334.54448777029421</v>
      </c>
      <c r="L12785" s="215"/>
      <c r="M12785" s="455"/>
    </row>
    <row r="12786" spans="1:15" ht="11.25" customHeight="1" x14ac:dyDescent="0.2">
      <c r="A12786" s="242">
        <v>2026</v>
      </c>
      <c r="B12786" s="242">
        <v>1</v>
      </c>
      <c r="C12786" s="242">
        <v>20</v>
      </c>
      <c r="D12786" s="243">
        <f t="shared" si="1854"/>
        <v>46042</v>
      </c>
      <c r="E12786" s="244">
        <f>DATE(A12786,B12786,C12786)</f>
        <v>46042</v>
      </c>
      <c r="F12786" s="524"/>
      <c r="G12786" s="245" t="s">
        <v>1245</v>
      </c>
      <c r="H12786" s="246"/>
      <c r="I12786" s="246"/>
      <c r="J12786" s="242" t="s">
        <v>1582</v>
      </c>
      <c r="K12786" s="247"/>
      <c r="L12786" s="247">
        <f>K12785</f>
        <v>334.54448777029421</v>
      </c>
    </row>
    <row r="12787" spans="1:15" ht="11.25" customHeight="1" x14ac:dyDescent="0.2">
      <c r="A12787" s="210">
        <v>2026</v>
      </c>
      <c r="B12787" s="210">
        <v>1</v>
      </c>
      <c r="C12787" s="210">
        <v>20</v>
      </c>
      <c r="D12787" s="211">
        <f t="shared" si="1854"/>
        <v>46042</v>
      </c>
      <c r="E12787" s="238">
        <f t="shared" ref="E12787:E12804" si="1865">DATE(A12787,B12787,C12787)</f>
        <v>46042</v>
      </c>
      <c r="F12787" s="520" t="s">
        <v>2055</v>
      </c>
      <c r="G12787" s="213" t="s">
        <v>1245</v>
      </c>
      <c r="H12787" s="214"/>
      <c r="I12787" s="214" t="s">
        <v>1253</v>
      </c>
      <c r="J12787" s="210" t="s">
        <v>58</v>
      </c>
      <c r="K12787" s="215">
        <v>1093.2</v>
      </c>
      <c r="L12787" s="215"/>
    </row>
    <row r="12788" spans="1:15" ht="11.25" customHeight="1" x14ac:dyDescent="0.2">
      <c r="A12788" s="216">
        <v>2026</v>
      </c>
      <c r="B12788" s="216">
        <v>1</v>
      </c>
      <c r="C12788" s="216">
        <v>20</v>
      </c>
      <c r="D12788" s="217">
        <f t="shared" si="1854"/>
        <v>46042</v>
      </c>
      <c r="E12788" s="239">
        <f t="shared" si="1865"/>
        <v>46042</v>
      </c>
      <c r="F12788" s="521"/>
      <c r="G12788" s="219" t="s">
        <v>1245</v>
      </c>
      <c r="H12788" s="220"/>
      <c r="I12788" s="220" t="s">
        <v>1253</v>
      </c>
      <c r="J12788" s="216" t="s">
        <v>153</v>
      </c>
      <c r="K12788" s="221"/>
      <c r="L12788" s="221">
        <f>K12787</f>
        <v>1093.2</v>
      </c>
    </row>
    <row r="12789" spans="1:15" ht="11.25" customHeight="1" x14ac:dyDescent="0.2">
      <c r="A12789" s="312">
        <v>2026</v>
      </c>
      <c r="B12789" s="312">
        <v>1</v>
      </c>
      <c r="C12789" s="312">
        <v>20</v>
      </c>
      <c r="D12789" s="313">
        <f t="shared" si="1854"/>
        <v>46042</v>
      </c>
      <c r="E12789" s="314">
        <f t="shared" si="1865"/>
        <v>46042</v>
      </c>
      <c r="F12789" s="522" t="s">
        <v>1595</v>
      </c>
      <c r="G12789" s="315" t="s">
        <v>1245</v>
      </c>
      <c r="H12789" s="316"/>
      <c r="I12789" s="316" t="s">
        <v>1253</v>
      </c>
      <c r="J12789" s="312" t="s">
        <v>1461</v>
      </c>
      <c r="K12789" s="317">
        <v>2411992.8869999647</v>
      </c>
      <c r="L12789" s="317"/>
      <c r="M12789" s="328"/>
    </row>
    <row r="12790" spans="1:15" ht="11.25" customHeight="1" x14ac:dyDescent="0.2">
      <c r="A12790" s="318">
        <v>2026</v>
      </c>
      <c r="B12790" s="318">
        <v>1</v>
      </c>
      <c r="C12790" s="318">
        <v>20</v>
      </c>
      <c r="D12790" s="319">
        <f t="shared" si="1854"/>
        <v>46042</v>
      </c>
      <c r="E12790" s="320">
        <f t="shared" si="1865"/>
        <v>46042</v>
      </c>
      <c r="F12790" s="523"/>
      <c r="G12790" s="321" t="s">
        <v>1245</v>
      </c>
      <c r="H12790" s="322"/>
      <c r="I12790" s="322" t="s">
        <v>1253</v>
      </c>
      <c r="J12790" s="318" t="s">
        <v>1459</v>
      </c>
      <c r="K12790" s="323"/>
      <c r="L12790" s="323">
        <f>K12789</f>
        <v>2411992.8869999647</v>
      </c>
      <c r="M12790" s="328"/>
    </row>
    <row r="12791" spans="1:15" ht="11.25" customHeight="1" x14ac:dyDescent="0.2">
      <c r="A12791" s="222">
        <v>2026</v>
      </c>
      <c r="B12791" s="222">
        <v>1</v>
      </c>
      <c r="C12791" s="222">
        <v>20</v>
      </c>
      <c r="D12791" s="223">
        <f t="shared" si="1854"/>
        <v>46042</v>
      </c>
      <c r="E12791" s="240">
        <f t="shared" si="1865"/>
        <v>46042</v>
      </c>
      <c r="F12791" s="511" t="s">
        <v>1244</v>
      </c>
      <c r="G12791" s="225" t="s">
        <v>1245</v>
      </c>
      <c r="H12791" s="226"/>
      <c r="I12791" s="226" t="s">
        <v>1253</v>
      </c>
      <c r="J12791" s="222" t="s">
        <v>87</v>
      </c>
      <c r="K12791" s="227">
        <v>0</v>
      </c>
      <c r="L12791" s="227"/>
      <c r="M12791" s="328"/>
    </row>
    <row r="12792" spans="1:15" ht="11.25" customHeight="1" x14ac:dyDescent="0.2">
      <c r="A12792" s="228">
        <v>2026</v>
      </c>
      <c r="B12792" s="228">
        <v>1</v>
      </c>
      <c r="C12792" s="228">
        <v>20</v>
      </c>
      <c r="D12792" s="229">
        <f t="shared" si="1854"/>
        <v>46042</v>
      </c>
      <c r="E12792" s="241">
        <f t="shared" si="1865"/>
        <v>46042</v>
      </c>
      <c r="F12792" s="512"/>
      <c r="G12792" s="231" t="s">
        <v>1245</v>
      </c>
      <c r="H12792" s="232"/>
      <c r="I12792" s="232" t="s">
        <v>1253</v>
      </c>
      <c r="J12792" s="228" t="s">
        <v>72</v>
      </c>
      <c r="K12792" s="233"/>
      <c r="L12792" s="233">
        <f>K12791</f>
        <v>0</v>
      </c>
    </row>
    <row r="12793" spans="1:15" ht="11.25" customHeight="1" x14ac:dyDescent="0.2">
      <c r="A12793" s="222">
        <v>2026</v>
      </c>
      <c r="B12793" s="222">
        <v>1</v>
      </c>
      <c r="C12793" s="222">
        <v>20</v>
      </c>
      <c r="D12793" s="223">
        <f t="shared" si="1854"/>
        <v>46042</v>
      </c>
      <c r="E12793" s="240">
        <f t="shared" si="1865"/>
        <v>46042</v>
      </c>
      <c r="F12793" s="511" t="s">
        <v>1246</v>
      </c>
      <c r="G12793" s="225" t="s">
        <v>1245</v>
      </c>
      <c r="H12793" s="226"/>
      <c r="I12793" s="226" t="s">
        <v>1253</v>
      </c>
      <c r="J12793" s="222" t="s">
        <v>75</v>
      </c>
      <c r="K12793" s="227">
        <v>517.58912087912086</v>
      </c>
      <c r="L12793" s="227"/>
      <c r="M12793" s="455"/>
    </row>
    <row r="12794" spans="1:15" ht="11.25" customHeight="1" x14ac:dyDescent="0.2">
      <c r="A12794" s="228">
        <v>2026</v>
      </c>
      <c r="B12794" s="228">
        <v>1</v>
      </c>
      <c r="C12794" s="228">
        <v>20</v>
      </c>
      <c r="D12794" s="229">
        <f t="shared" si="1854"/>
        <v>46042</v>
      </c>
      <c r="E12794" s="241">
        <f t="shared" si="1865"/>
        <v>46042</v>
      </c>
      <c r="F12794" s="512"/>
      <c r="G12794" s="231" t="s">
        <v>1245</v>
      </c>
      <c r="H12794" s="232"/>
      <c r="I12794" s="232" t="s">
        <v>1253</v>
      </c>
      <c r="J12794" s="228" t="s">
        <v>55</v>
      </c>
      <c r="K12794" s="233"/>
      <c r="L12794" s="233">
        <f>K12793</f>
        <v>517.58912087912086</v>
      </c>
    </row>
    <row r="12795" spans="1:15" ht="11.25" customHeight="1" x14ac:dyDescent="0.2">
      <c r="A12795" s="222">
        <v>2026</v>
      </c>
      <c r="B12795" s="222">
        <v>1</v>
      </c>
      <c r="C12795" s="222">
        <v>20</v>
      </c>
      <c r="D12795" s="223">
        <f t="shared" si="1854"/>
        <v>46042</v>
      </c>
      <c r="E12795" s="240">
        <f t="shared" si="1865"/>
        <v>46042</v>
      </c>
      <c r="F12795" s="511" t="s">
        <v>1247</v>
      </c>
      <c r="G12795" s="225" t="s">
        <v>1245</v>
      </c>
      <c r="H12795" s="226"/>
      <c r="I12795" s="226" t="s">
        <v>1253</v>
      </c>
      <c r="J12795" s="222" t="s">
        <v>77</v>
      </c>
      <c r="K12795" s="227">
        <v>7487.3864585060555</v>
      </c>
      <c r="L12795" s="227"/>
      <c r="M12795" s="478">
        <v>7487.3864585060555</v>
      </c>
    </row>
    <row r="12796" spans="1:15" ht="11.25" customHeight="1" x14ac:dyDescent="0.2">
      <c r="A12796" s="228">
        <v>2026</v>
      </c>
      <c r="B12796" s="228">
        <v>1</v>
      </c>
      <c r="C12796" s="228">
        <v>20</v>
      </c>
      <c r="D12796" s="229">
        <f t="shared" si="1854"/>
        <v>46042</v>
      </c>
      <c r="E12796" s="241">
        <f t="shared" si="1865"/>
        <v>46042</v>
      </c>
      <c r="F12796" s="512"/>
      <c r="G12796" s="231" t="s">
        <v>1245</v>
      </c>
      <c r="H12796" s="232"/>
      <c r="I12796" s="232" t="s">
        <v>1253</v>
      </c>
      <c r="J12796" s="228" t="s">
        <v>41</v>
      </c>
      <c r="K12796" s="233"/>
      <c r="L12796" s="233">
        <f>K12795</f>
        <v>7487.3864585060555</v>
      </c>
      <c r="M12796" s="478">
        <v>748.73864585060562</v>
      </c>
      <c r="N12796" s="251"/>
    </row>
    <row r="12797" spans="1:15" ht="11.25" customHeight="1" x14ac:dyDescent="0.2">
      <c r="A12797" s="222">
        <v>2026</v>
      </c>
      <c r="B12797" s="222">
        <v>1</v>
      </c>
      <c r="C12797" s="222">
        <v>20</v>
      </c>
      <c r="D12797" s="223">
        <f t="shared" si="1854"/>
        <v>46042</v>
      </c>
      <c r="E12797" s="240">
        <f t="shared" si="1865"/>
        <v>46042</v>
      </c>
      <c r="F12797" s="511" t="s">
        <v>1248</v>
      </c>
      <c r="G12797" s="225" t="s">
        <v>1245</v>
      </c>
      <c r="H12797" s="226"/>
      <c r="I12797" s="226" t="s">
        <v>1253</v>
      </c>
      <c r="J12797" s="222" t="s">
        <v>80</v>
      </c>
      <c r="K12797" s="227">
        <v>748.73864585060562</v>
      </c>
      <c r="L12797" s="227"/>
      <c r="N12797" s="251"/>
      <c r="O12797" s="251"/>
    </row>
    <row r="12798" spans="1:15" ht="11.25" customHeight="1" x14ac:dyDescent="0.2">
      <c r="A12798" s="228">
        <v>2026</v>
      </c>
      <c r="B12798" s="228">
        <v>1</v>
      </c>
      <c r="C12798" s="228">
        <v>20</v>
      </c>
      <c r="D12798" s="229">
        <f t="shared" si="1854"/>
        <v>46042</v>
      </c>
      <c r="E12798" s="241">
        <f t="shared" si="1865"/>
        <v>46042</v>
      </c>
      <c r="F12798" s="512"/>
      <c r="G12798" s="231" t="s">
        <v>1245</v>
      </c>
      <c r="H12798" s="232"/>
      <c r="I12798" s="232" t="s">
        <v>1253</v>
      </c>
      <c r="J12798" s="228" t="s">
        <v>42</v>
      </c>
      <c r="K12798" s="233"/>
      <c r="L12798" s="233">
        <f>K12797</f>
        <v>748.73864585060562</v>
      </c>
      <c r="N12798" s="251"/>
    </row>
    <row r="12799" spans="1:15" x14ac:dyDescent="0.2">
      <c r="A12799" s="197">
        <v>2026</v>
      </c>
      <c r="B12799" s="197">
        <v>1</v>
      </c>
      <c r="C12799" s="197">
        <v>21</v>
      </c>
      <c r="D12799" s="198">
        <f t="shared" si="1854"/>
        <v>46043</v>
      </c>
      <c r="E12799" s="209">
        <f t="shared" si="1865"/>
        <v>46043</v>
      </c>
      <c r="F12799" s="513" t="s">
        <v>2113</v>
      </c>
      <c r="G12799" s="200" t="s">
        <v>1209</v>
      </c>
      <c r="H12799" s="201"/>
      <c r="I12799" s="201"/>
      <c r="J12799" s="197" t="s">
        <v>46</v>
      </c>
      <c r="K12799" s="202">
        <v>7500000</v>
      </c>
      <c r="L12799" s="202"/>
    </row>
    <row r="12800" spans="1:15" x14ac:dyDescent="0.2">
      <c r="A12800" s="120">
        <v>2026</v>
      </c>
      <c r="B12800" s="120">
        <v>1</v>
      </c>
      <c r="C12800" s="120">
        <v>21</v>
      </c>
      <c r="D12800" s="208">
        <f t="shared" si="1854"/>
        <v>46043</v>
      </c>
      <c r="E12800" s="209">
        <f t="shared" si="1865"/>
        <v>46043</v>
      </c>
      <c r="F12800" s="515"/>
      <c r="G12800" s="132" t="s">
        <v>1209</v>
      </c>
      <c r="J12800" s="120" t="s">
        <v>16</v>
      </c>
      <c r="K12800" s="207"/>
      <c r="L12800" s="207">
        <v>5393360</v>
      </c>
    </row>
    <row r="12801" spans="1:15" x14ac:dyDescent="0.2">
      <c r="A12801" s="191">
        <v>2026</v>
      </c>
      <c r="B12801" s="191">
        <v>1</v>
      </c>
      <c r="C12801" s="191">
        <v>21</v>
      </c>
      <c r="D12801" s="192">
        <f t="shared" si="1854"/>
        <v>46043</v>
      </c>
      <c r="E12801" s="193">
        <f t="shared" si="1865"/>
        <v>46043</v>
      </c>
      <c r="F12801" s="514"/>
      <c r="G12801" s="194" t="s">
        <v>1209</v>
      </c>
      <c r="H12801" s="195"/>
      <c r="I12801" s="195"/>
      <c r="J12801" s="191" t="s">
        <v>47</v>
      </c>
      <c r="K12801" s="196"/>
      <c r="L12801" s="196">
        <v>2106640</v>
      </c>
    </row>
    <row r="12802" spans="1:15" x14ac:dyDescent="0.2">
      <c r="A12802" s="197">
        <v>2026</v>
      </c>
      <c r="B12802" s="197">
        <v>1</v>
      </c>
      <c r="C12802" s="197">
        <v>21</v>
      </c>
      <c r="D12802" s="198">
        <f t="shared" ref="D12802:D12865" si="1866">DATE(A12802,B12802,C12802)</f>
        <v>46043</v>
      </c>
      <c r="E12802" s="209">
        <f t="shared" si="1865"/>
        <v>46043</v>
      </c>
      <c r="F12802" s="513" t="s">
        <v>2131</v>
      </c>
      <c r="G12802" s="200" t="s">
        <v>1209</v>
      </c>
      <c r="H12802" s="201"/>
      <c r="I12802" s="201"/>
      <c r="J12802" s="197" t="s">
        <v>16</v>
      </c>
      <c r="K12802" s="202">
        <v>5448080</v>
      </c>
      <c r="L12802" s="202"/>
    </row>
    <row r="12803" spans="1:15" x14ac:dyDescent="0.2">
      <c r="A12803" s="120">
        <v>2026</v>
      </c>
      <c r="B12803" s="120">
        <v>1</v>
      </c>
      <c r="C12803" s="120">
        <v>21</v>
      </c>
      <c r="D12803" s="208">
        <f t="shared" si="1866"/>
        <v>46043</v>
      </c>
      <c r="E12803" s="209">
        <f t="shared" si="1865"/>
        <v>46043</v>
      </c>
      <c r="F12803" s="515"/>
      <c r="G12803" s="132" t="s">
        <v>1209</v>
      </c>
      <c r="J12803" s="120" t="s">
        <v>47</v>
      </c>
      <c r="K12803" s="207">
        <v>2128018</v>
      </c>
      <c r="L12803" s="207"/>
    </row>
    <row r="12804" spans="1:15" x14ac:dyDescent="0.2">
      <c r="A12804" s="191">
        <v>2026</v>
      </c>
      <c r="B12804" s="191">
        <v>1</v>
      </c>
      <c r="C12804" s="191">
        <v>21</v>
      </c>
      <c r="D12804" s="192">
        <f t="shared" si="1866"/>
        <v>46043</v>
      </c>
      <c r="E12804" s="193">
        <f t="shared" si="1865"/>
        <v>46043</v>
      </c>
      <c r="F12804" s="514"/>
      <c r="G12804" s="194" t="s">
        <v>1209</v>
      </c>
      <c r="H12804" s="195"/>
      <c r="I12804" s="195"/>
      <c r="J12804" s="191" t="s">
        <v>46</v>
      </c>
      <c r="K12804" s="196"/>
      <c r="L12804" s="196">
        <v>7576098</v>
      </c>
    </row>
    <row r="12805" spans="1:15" x14ac:dyDescent="0.2">
      <c r="A12805" s="197">
        <v>2026</v>
      </c>
      <c r="B12805" s="197">
        <v>1</v>
      </c>
      <c r="C12805" s="197">
        <v>21</v>
      </c>
      <c r="D12805" s="198">
        <f t="shared" si="1866"/>
        <v>46043</v>
      </c>
      <c r="E12805" s="209">
        <f t="shared" ref="E12805:E12807" si="1867">DATE(A12805,B12805,C12805)</f>
        <v>46043</v>
      </c>
      <c r="F12805" s="513" t="s">
        <v>1423</v>
      </c>
      <c r="G12805" s="200" t="s">
        <v>1209</v>
      </c>
      <c r="H12805" s="201"/>
      <c r="I12805" s="201"/>
      <c r="J12805" s="197" t="s">
        <v>16</v>
      </c>
      <c r="K12805" s="202">
        <v>7190</v>
      </c>
      <c r="L12805" s="202"/>
    </row>
    <row r="12806" spans="1:15" x14ac:dyDescent="0.2">
      <c r="A12806" s="120">
        <v>2026</v>
      </c>
      <c r="B12806" s="120">
        <v>1</v>
      </c>
      <c r="C12806" s="120">
        <v>21</v>
      </c>
      <c r="D12806" s="208">
        <f t="shared" si="1866"/>
        <v>46043</v>
      </c>
      <c r="E12806" s="209">
        <f t="shared" si="1867"/>
        <v>46043</v>
      </c>
      <c r="F12806" s="515"/>
      <c r="G12806" s="132" t="s">
        <v>1209</v>
      </c>
      <c r="J12806" s="120" t="s">
        <v>47</v>
      </c>
      <c r="K12806" s="207">
        <v>2810</v>
      </c>
      <c r="L12806" s="207"/>
    </row>
    <row r="12807" spans="1:15" x14ac:dyDescent="0.2">
      <c r="A12807" s="191">
        <v>2026</v>
      </c>
      <c r="B12807" s="191">
        <v>1</v>
      </c>
      <c r="C12807" s="191">
        <v>21</v>
      </c>
      <c r="D12807" s="192">
        <f t="shared" si="1866"/>
        <v>46043</v>
      </c>
      <c r="E12807" s="193">
        <f t="shared" si="1867"/>
        <v>46043</v>
      </c>
      <c r="F12807" s="514"/>
      <c r="G12807" s="194" t="s">
        <v>1209</v>
      </c>
      <c r="H12807" s="195"/>
      <c r="I12807" s="195"/>
      <c r="J12807" s="191" t="s">
        <v>46</v>
      </c>
      <c r="K12807" s="196"/>
      <c r="L12807" s="196">
        <v>10000</v>
      </c>
    </row>
    <row r="12808" spans="1:15" ht="11.25" customHeight="1" x14ac:dyDescent="0.2">
      <c r="A12808" s="197">
        <v>2026</v>
      </c>
      <c r="B12808" s="197">
        <v>1</v>
      </c>
      <c r="C12808" s="197">
        <v>21</v>
      </c>
      <c r="D12808" s="198">
        <f t="shared" si="1866"/>
        <v>46043</v>
      </c>
      <c r="E12808" s="290">
        <f>DATE(A12808,B12808,C12808)</f>
        <v>46043</v>
      </c>
      <c r="F12808" s="513" t="s">
        <v>1514</v>
      </c>
      <c r="G12808" s="200" t="s">
        <v>1209</v>
      </c>
      <c r="H12808" s="201"/>
      <c r="I12808" s="201"/>
      <c r="J12808" s="197" t="s">
        <v>54</v>
      </c>
      <c r="K12808" s="202">
        <v>160</v>
      </c>
      <c r="L12808" s="202"/>
      <c r="O12808" s="251"/>
    </row>
    <row r="12809" spans="1:15" ht="11.25" customHeight="1" x14ac:dyDescent="0.2">
      <c r="A12809" s="191">
        <v>2026</v>
      </c>
      <c r="B12809" s="191">
        <v>1</v>
      </c>
      <c r="C12809" s="191">
        <v>21</v>
      </c>
      <c r="D12809" s="192">
        <f t="shared" si="1866"/>
        <v>46043</v>
      </c>
      <c r="E12809" s="291">
        <f>DATE(A12809,B12809,C12809)</f>
        <v>46043</v>
      </c>
      <c r="F12809" s="514"/>
      <c r="G12809" s="194" t="s">
        <v>1209</v>
      </c>
      <c r="H12809" s="195"/>
      <c r="I12809" s="195"/>
      <c r="J12809" s="191" t="s">
        <v>46</v>
      </c>
      <c r="K12809" s="196"/>
      <c r="L12809" s="196">
        <f>K12808</f>
        <v>160</v>
      </c>
      <c r="O12809" s="251"/>
    </row>
    <row r="12810" spans="1:15" x14ac:dyDescent="0.2">
      <c r="A12810" s="424">
        <v>2026</v>
      </c>
      <c r="B12810" s="424">
        <v>1</v>
      </c>
      <c r="C12810" s="424">
        <v>21</v>
      </c>
      <c r="D12810" s="425">
        <f t="shared" si="1866"/>
        <v>46043</v>
      </c>
      <c r="E12810" s="384">
        <f t="shared" ref="E12810:E12821" si="1868">DATE(A12810,B12810,C12810)</f>
        <v>46043</v>
      </c>
      <c r="F12810" s="516" t="s">
        <v>1850</v>
      </c>
      <c r="G12810" s="426" t="s">
        <v>1209</v>
      </c>
      <c r="H12810" s="427"/>
      <c r="I12810" s="427"/>
      <c r="J12810" s="428" t="s">
        <v>81</v>
      </c>
      <c r="K12810" s="429">
        <v>1595.8173626373627</v>
      </c>
      <c r="L12810" s="429"/>
      <c r="M12810" s="455"/>
    </row>
    <row r="12811" spans="1:15" x14ac:dyDescent="0.2">
      <c r="A12811" s="389">
        <v>2026</v>
      </c>
      <c r="B12811" s="389">
        <v>1</v>
      </c>
      <c r="C12811" s="389">
        <v>21</v>
      </c>
      <c r="D12811" s="390">
        <f t="shared" si="1866"/>
        <v>46043</v>
      </c>
      <c r="E12811" s="391">
        <f t="shared" si="1868"/>
        <v>46043</v>
      </c>
      <c r="F12811" s="517"/>
      <c r="G12811" s="392" t="s">
        <v>1209</v>
      </c>
      <c r="H12811" s="393"/>
      <c r="I12811" s="393"/>
      <c r="J12811" s="394" t="s">
        <v>1847</v>
      </c>
      <c r="K12811" s="423"/>
      <c r="L12811" s="423">
        <f>K12810</f>
        <v>1595.8173626373627</v>
      </c>
    </row>
    <row r="12812" spans="1:15" ht="11.25" customHeight="1" x14ac:dyDescent="0.2">
      <c r="A12812" s="382">
        <v>2026</v>
      </c>
      <c r="B12812" s="382">
        <v>1</v>
      </c>
      <c r="C12812" s="382">
        <v>21</v>
      </c>
      <c r="D12812" s="383">
        <f t="shared" si="1866"/>
        <v>46043</v>
      </c>
      <c r="E12812" s="384">
        <f t="shared" si="1868"/>
        <v>46043</v>
      </c>
      <c r="F12812" s="516" t="s">
        <v>1892</v>
      </c>
      <c r="G12812" s="385" t="s">
        <v>1209</v>
      </c>
      <c r="H12812" s="386"/>
      <c r="I12812" s="386"/>
      <c r="J12812" s="387" t="s">
        <v>173</v>
      </c>
      <c r="K12812" s="388">
        <v>592.40654287916652</v>
      </c>
      <c r="L12812" s="388"/>
      <c r="M12812" s="455"/>
    </row>
    <row r="12813" spans="1:15" ht="11.25" customHeight="1" x14ac:dyDescent="0.2">
      <c r="A12813" s="389">
        <v>2026</v>
      </c>
      <c r="B12813" s="389">
        <v>1</v>
      </c>
      <c r="C12813" s="389">
        <v>21</v>
      </c>
      <c r="D12813" s="390">
        <f t="shared" si="1866"/>
        <v>46043</v>
      </c>
      <c r="E12813" s="391">
        <f t="shared" si="1868"/>
        <v>46043</v>
      </c>
      <c r="F12813" s="517"/>
      <c r="G12813" s="392" t="s">
        <v>1209</v>
      </c>
      <c r="H12813" s="393"/>
      <c r="I12813" s="393"/>
      <c r="J12813" s="394" t="s">
        <v>43</v>
      </c>
      <c r="K12813" s="388"/>
      <c r="L12813" s="423">
        <f>K12812</f>
        <v>592.40654287916652</v>
      </c>
    </row>
    <row r="12814" spans="1:15" ht="11.25" customHeight="1" x14ac:dyDescent="0.2">
      <c r="A12814" s="344">
        <v>2026</v>
      </c>
      <c r="B12814" s="344">
        <v>1</v>
      </c>
      <c r="C12814" s="344">
        <v>21</v>
      </c>
      <c r="D12814" s="345">
        <f t="shared" si="1866"/>
        <v>46043</v>
      </c>
      <c r="E12814" s="346">
        <f t="shared" si="1868"/>
        <v>46043</v>
      </c>
      <c r="F12814" s="518" t="s">
        <v>1982</v>
      </c>
      <c r="G12814" s="347" t="s">
        <v>1245</v>
      </c>
      <c r="H12814" s="348"/>
      <c r="I12814" s="348" t="s">
        <v>1253</v>
      </c>
      <c r="J12814" s="344" t="s">
        <v>1978</v>
      </c>
      <c r="K12814" s="349">
        <v>21249.725274725275</v>
      </c>
      <c r="L12814" s="349"/>
      <c r="M12814" s="455"/>
    </row>
    <row r="12815" spans="1:15" ht="11.25" customHeight="1" x14ac:dyDescent="0.2">
      <c r="A12815" s="350">
        <v>2026</v>
      </c>
      <c r="B12815" s="350">
        <v>1</v>
      </c>
      <c r="C12815" s="350">
        <v>21</v>
      </c>
      <c r="D12815" s="351">
        <f t="shared" si="1866"/>
        <v>46043</v>
      </c>
      <c r="E12815" s="352">
        <f t="shared" si="1868"/>
        <v>46043</v>
      </c>
      <c r="F12815" s="519"/>
      <c r="G12815" s="353" t="s">
        <v>1245</v>
      </c>
      <c r="H12815" s="354"/>
      <c r="I12815" s="354" t="s">
        <v>1253</v>
      </c>
      <c r="J12815" s="350" t="s">
        <v>1979</v>
      </c>
      <c r="K12815" s="355"/>
      <c r="L12815" s="355">
        <f>K12814</f>
        <v>21249.725274725275</v>
      </c>
    </row>
    <row r="12816" spans="1:15" ht="11.25" customHeight="1" x14ac:dyDescent="0.2">
      <c r="A12816" s="344">
        <v>2026</v>
      </c>
      <c r="B12816" s="344">
        <v>1</v>
      </c>
      <c r="C12816" s="344">
        <v>21</v>
      </c>
      <c r="D12816" s="345">
        <f t="shared" si="1866"/>
        <v>46043</v>
      </c>
      <c r="E12816" s="346">
        <f t="shared" si="1868"/>
        <v>46043</v>
      </c>
      <c r="F12816" s="518" t="s">
        <v>2009</v>
      </c>
      <c r="G12816" s="347" t="s">
        <v>1245</v>
      </c>
      <c r="H12816" s="348"/>
      <c r="I12816" s="348" t="s">
        <v>1253</v>
      </c>
      <c r="J12816" s="344" t="s">
        <v>2004</v>
      </c>
      <c r="K12816" s="349">
        <v>7098.9014285714284</v>
      </c>
      <c r="L12816" s="349"/>
      <c r="M12816" s="455"/>
    </row>
    <row r="12817" spans="1:16" ht="11.25" customHeight="1" x14ac:dyDescent="0.2">
      <c r="A12817" s="350">
        <v>2026</v>
      </c>
      <c r="B12817" s="350">
        <v>1</v>
      </c>
      <c r="C12817" s="350">
        <v>21</v>
      </c>
      <c r="D12817" s="351">
        <f t="shared" si="1866"/>
        <v>46043</v>
      </c>
      <c r="E12817" s="352">
        <f t="shared" si="1868"/>
        <v>46043</v>
      </c>
      <c r="F12817" s="519"/>
      <c r="G12817" s="353" t="s">
        <v>1245</v>
      </c>
      <c r="H12817" s="354"/>
      <c r="I12817" s="354" t="s">
        <v>1253</v>
      </c>
      <c r="J12817" s="350" t="s">
        <v>2008</v>
      </c>
      <c r="K12817" s="355"/>
      <c r="L12817" s="355">
        <f t="shared" ref="L12817" si="1869">K12816</f>
        <v>7098.9014285714284</v>
      </c>
    </row>
    <row r="12818" spans="1:16" ht="11.25" customHeight="1" x14ac:dyDescent="0.2">
      <c r="A12818" s="344">
        <v>2026</v>
      </c>
      <c r="B12818" s="344">
        <v>1</v>
      </c>
      <c r="C12818" s="344">
        <v>21</v>
      </c>
      <c r="D12818" s="345">
        <f t="shared" si="1866"/>
        <v>46043</v>
      </c>
      <c r="E12818" s="346">
        <f t="shared" si="1868"/>
        <v>46043</v>
      </c>
      <c r="F12818" s="518" t="s">
        <v>2009</v>
      </c>
      <c r="G12818" s="347" t="s">
        <v>1245</v>
      </c>
      <c r="H12818" s="348"/>
      <c r="I12818" s="348" t="s">
        <v>1253</v>
      </c>
      <c r="J12818" s="344" t="s">
        <v>2004</v>
      </c>
      <c r="K12818" s="349">
        <v>7098.9014285714284</v>
      </c>
      <c r="L12818" s="349"/>
      <c r="M12818" s="455"/>
    </row>
    <row r="12819" spans="1:16" ht="11.25" customHeight="1" x14ac:dyDescent="0.2">
      <c r="A12819" s="350">
        <v>2026</v>
      </c>
      <c r="B12819" s="350">
        <v>1</v>
      </c>
      <c r="C12819" s="350">
        <v>21</v>
      </c>
      <c r="D12819" s="351">
        <f t="shared" si="1866"/>
        <v>46043</v>
      </c>
      <c r="E12819" s="352">
        <f t="shared" si="1868"/>
        <v>46043</v>
      </c>
      <c r="F12819" s="519"/>
      <c r="G12819" s="353" t="s">
        <v>1245</v>
      </c>
      <c r="H12819" s="354"/>
      <c r="I12819" s="354" t="s">
        <v>1253</v>
      </c>
      <c r="J12819" s="350" t="s">
        <v>2008</v>
      </c>
      <c r="K12819" s="355"/>
      <c r="L12819" s="355">
        <f t="shared" ref="L12819" si="1870">K12818</f>
        <v>7098.9014285714284</v>
      </c>
    </row>
    <row r="12820" spans="1:16" ht="11.25" customHeight="1" x14ac:dyDescent="0.2">
      <c r="A12820" s="344">
        <v>2026</v>
      </c>
      <c r="B12820" s="344">
        <v>1</v>
      </c>
      <c r="C12820" s="344">
        <v>21</v>
      </c>
      <c r="D12820" s="345">
        <f t="shared" si="1866"/>
        <v>46043</v>
      </c>
      <c r="E12820" s="346">
        <f t="shared" si="1868"/>
        <v>46043</v>
      </c>
      <c r="F12820" s="518" t="s">
        <v>2088</v>
      </c>
      <c r="G12820" s="347" t="s">
        <v>1245</v>
      </c>
      <c r="H12820" s="348"/>
      <c r="I12820" s="348" t="s">
        <v>1253</v>
      </c>
      <c r="J12820" s="344" t="s">
        <v>2086</v>
      </c>
      <c r="K12820" s="349">
        <v>1789.835164835165</v>
      </c>
      <c r="L12820" s="349"/>
      <c r="M12820" s="455"/>
    </row>
    <row r="12821" spans="1:16" ht="11.25" customHeight="1" x14ac:dyDescent="0.2">
      <c r="A12821" s="350">
        <v>2026</v>
      </c>
      <c r="B12821" s="350">
        <v>1</v>
      </c>
      <c r="C12821" s="350">
        <v>21</v>
      </c>
      <c r="D12821" s="351">
        <f t="shared" si="1866"/>
        <v>46043</v>
      </c>
      <c r="E12821" s="352">
        <f t="shared" si="1868"/>
        <v>46043</v>
      </c>
      <c r="F12821" s="519"/>
      <c r="G12821" s="353" t="s">
        <v>1245</v>
      </c>
      <c r="H12821" s="354"/>
      <c r="I12821" s="354" t="s">
        <v>1253</v>
      </c>
      <c r="J12821" s="350" t="s">
        <v>2089</v>
      </c>
      <c r="K12821" s="355"/>
      <c r="L12821" s="355">
        <f>K12820</f>
        <v>1789.835164835165</v>
      </c>
    </row>
    <row r="12822" spans="1:16" ht="11.25" customHeight="1" x14ac:dyDescent="0.2">
      <c r="A12822" s="344">
        <v>2026</v>
      </c>
      <c r="B12822" s="344">
        <v>1</v>
      </c>
      <c r="C12822" s="344">
        <v>21</v>
      </c>
      <c r="D12822" s="345">
        <f t="shared" si="1866"/>
        <v>46043</v>
      </c>
      <c r="E12822" s="346">
        <f>DATE(A12822,B12822,C12822)</f>
        <v>46043</v>
      </c>
      <c r="F12822" s="518" t="s">
        <v>1988</v>
      </c>
      <c r="G12822" s="347" t="s">
        <v>1245</v>
      </c>
      <c r="H12822" s="348"/>
      <c r="I12822" s="348" t="s">
        <v>1253</v>
      </c>
      <c r="J12822" s="344" t="s">
        <v>113</v>
      </c>
      <c r="K12822" s="349">
        <v>4692.3071428571429</v>
      </c>
      <c r="L12822" s="349"/>
      <c r="M12822" s="455"/>
    </row>
    <row r="12823" spans="1:16" ht="11.25" customHeight="1" x14ac:dyDescent="0.2">
      <c r="A12823" s="350">
        <v>2026</v>
      </c>
      <c r="B12823" s="350">
        <v>1</v>
      </c>
      <c r="C12823" s="350">
        <v>21</v>
      </c>
      <c r="D12823" s="351">
        <f t="shared" si="1866"/>
        <v>46043</v>
      </c>
      <c r="E12823" s="352">
        <f>DATE(A12823,B12823,C12823)</f>
        <v>46043</v>
      </c>
      <c r="F12823" s="519"/>
      <c r="G12823" s="353" t="s">
        <v>1245</v>
      </c>
      <c r="H12823" s="354"/>
      <c r="I12823" s="354" t="s">
        <v>1253</v>
      </c>
      <c r="J12823" s="350" t="s">
        <v>153</v>
      </c>
      <c r="K12823" s="355"/>
      <c r="L12823" s="355">
        <f t="shared" ref="L12823" si="1871">K12822</f>
        <v>4692.3071428571429</v>
      </c>
    </row>
    <row r="12824" spans="1:16" ht="11.25" customHeight="1" x14ac:dyDescent="0.2">
      <c r="A12824" s="344">
        <v>2026</v>
      </c>
      <c r="B12824" s="344">
        <v>1</v>
      </c>
      <c r="C12824" s="344">
        <v>21</v>
      </c>
      <c r="D12824" s="345">
        <f t="shared" si="1866"/>
        <v>46043</v>
      </c>
      <c r="E12824" s="346">
        <f t="shared" ref="E12824:E12830" si="1872">DATE(A12824,B12824,C12824)</f>
        <v>46043</v>
      </c>
      <c r="F12824" s="518" t="s">
        <v>1989</v>
      </c>
      <c r="G12824" s="347" t="s">
        <v>1245</v>
      </c>
      <c r="H12824" s="348"/>
      <c r="I12824" s="348" t="s">
        <v>1253</v>
      </c>
      <c r="J12824" s="344" t="s">
        <v>113</v>
      </c>
      <c r="K12824" s="349">
        <v>3351.6483516483518</v>
      </c>
      <c r="L12824" s="349"/>
      <c r="M12824" s="455"/>
    </row>
    <row r="12825" spans="1:16" ht="11.25" customHeight="1" x14ac:dyDescent="0.2">
      <c r="A12825" s="350">
        <v>2026</v>
      </c>
      <c r="B12825" s="350">
        <v>1</v>
      </c>
      <c r="C12825" s="350">
        <v>21</v>
      </c>
      <c r="D12825" s="351">
        <f t="shared" si="1866"/>
        <v>46043</v>
      </c>
      <c r="E12825" s="352">
        <f t="shared" si="1872"/>
        <v>46043</v>
      </c>
      <c r="F12825" s="519"/>
      <c r="G12825" s="353" t="s">
        <v>1245</v>
      </c>
      <c r="H12825" s="354"/>
      <c r="I12825" s="354" t="s">
        <v>1253</v>
      </c>
      <c r="J12825" s="350" t="s">
        <v>153</v>
      </c>
      <c r="K12825" s="355"/>
      <c r="L12825" s="355">
        <f t="shared" ref="L12825" si="1873">K12824</f>
        <v>3351.6483516483518</v>
      </c>
    </row>
    <row r="12826" spans="1:16" ht="11.25" customHeight="1" x14ac:dyDescent="0.2">
      <c r="A12826" s="344">
        <v>2026</v>
      </c>
      <c r="B12826" s="344">
        <v>1</v>
      </c>
      <c r="C12826" s="344">
        <v>21</v>
      </c>
      <c r="D12826" s="345">
        <f t="shared" si="1866"/>
        <v>46043</v>
      </c>
      <c r="E12826" s="346">
        <f t="shared" si="1872"/>
        <v>46043</v>
      </c>
      <c r="F12826" s="518" t="s">
        <v>1990</v>
      </c>
      <c r="G12826" s="347" t="s">
        <v>1245</v>
      </c>
      <c r="H12826" s="348"/>
      <c r="I12826" s="348" t="s">
        <v>1253</v>
      </c>
      <c r="J12826" s="344" t="s">
        <v>113</v>
      </c>
      <c r="K12826" s="349">
        <v>10054.945714285714</v>
      </c>
      <c r="L12826" s="349"/>
      <c r="M12826" s="455"/>
      <c r="N12826" s="251"/>
      <c r="O12826" s="251"/>
      <c r="P12826" s="251"/>
    </row>
    <row r="12827" spans="1:16" ht="11.25" customHeight="1" x14ac:dyDescent="0.2">
      <c r="A12827" s="350">
        <v>2026</v>
      </c>
      <c r="B12827" s="350">
        <v>1</v>
      </c>
      <c r="C12827" s="350">
        <v>21</v>
      </c>
      <c r="D12827" s="351">
        <f t="shared" si="1866"/>
        <v>46043</v>
      </c>
      <c r="E12827" s="352">
        <f t="shared" si="1872"/>
        <v>46043</v>
      </c>
      <c r="F12827" s="519"/>
      <c r="G12827" s="353" t="s">
        <v>1245</v>
      </c>
      <c r="H12827" s="354"/>
      <c r="I12827" s="354" t="s">
        <v>1253</v>
      </c>
      <c r="J12827" s="350" t="s">
        <v>153</v>
      </c>
      <c r="K12827" s="355"/>
      <c r="L12827" s="355">
        <f t="shared" ref="L12827" si="1874">K12826</f>
        <v>10054.945714285714</v>
      </c>
    </row>
    <row r="12828" spans="1:16" ht="11.25" customHeight="1" x14ac:dyDescent="0.2">
      <c r="A12828" s="344">
        <v>2026</v>
      </c>
      <c r="B12828" s="344">
        <v>1</v>
      </c>
      <c r="C12828" s="344">
        <v>21</v>
      </c>
      <c r="D12828" s="345">
        <f t="shared" si="1866"/>
        <v>46043</v>
      </c>
      <c r="E12828" s="346">
        <f t="shared" si="1872"/>
        <v>46043</v>
      </c>
      <c r="F12828" s="518" t="s">
        <v>2107</v>
      </c>
      <c r="G12828" s="347" t="s">
        <v>1245</v>
      </c>
      <c r="H12828" s="348"/>
      <c r="I12828" s="348" t="s">
        <v>1253</v>
      </c>
      <c r="J12828" s="344" t="s">
        <v>113</v>
      </c>
      <c r="K12828" s="349">
        <v>12370.879120879121</v>
      </c>
      <c r="L12828" s="349"/>
      <c r="M12828" s="455"/>
      <c r="N12828" s="251"/>
      <c r="O12828" s="251"/>
      <c r="P12828" s="251"/>
    </row>
    <row r="12829" spans="1:16" ht="11.25" customHeight="1" x14ac:dyDescent="0.2">
      <c r="A12829" s="350">
        <v>2026</v>
      </c>
      <c r="B12829" s="350">
        <v>1</v>
      </c>
      <c r="C12829" s="350">
        <v>21</v>
      </c>
      <c r="D12829" s="351">
        <f t="shared" si="1866"/>
        <v>46043</v>
      </c>
      <c r="E12829" s="352">
        <f t="shared" si="1872"/>
        <v>46043</v>
      </c>
      <c r="F12829" s="519"/>
      <c r="G12829" s="353" t="s">
        <v>1245</v>
      </c>
      <c r="H12829" s="354"/>
      <c r="I12829" s="354" t="s">
        <v>1253</v>
      </c>
      <c r="J12829" s="350" t="s">
        <v>153</v>
      </c>
      <c r="K12829" s="355"/>
      <c r="L12829" s="355">
        <f t="shared" ref="L12829" si="1875">K12828</f>
        <v>12370.879120879121</v>
      </c>
    </row>
    <row r="12830" spans="1:16" ht="11.25" customHeight="1" x14ac:dyDescent="0.2">
      <c r="A12830" s="210">
        <v>2026</v>
      </c>
      <c r="B12830" s="210">
        <v>1</v>
      </c>
      <c r="C12830" s="210">
        <v>21</v>
      </c>
      <c r="D12830" s="211">
        <f t="shared" si="1866"/>
        <v>46043</v>
      </c>
      <c r="E12830" s="238">
        <f t="shared" si="1872"/>
        <v>46043</v>
      </c>
      <c r="F12830" s="520" t="s">
        <v>1857</v>
      </c>
      <c r="G12830" s="213" t="s">
        <v>1245</v>
      </c>
      <c r="H12830" s="214"/>
      <c r="I12830" s="214" t="s">
        <v>1253</v>
      </c>
      <c r="J12830" s="210" t="s">
        <v>1284</v>
      </c>
      <c r="K12830" s="215">
        <v>334.54448777029421</v>
      </c>
      <c r="L12830" s="215"/>
      <c r="M12830" s="455"/>
    </row>
    <row r="12831" spans="1:16" ht="11.25" customHeight="1" x14ac:dyDescent="0.2">
      <c r="A12831" s="242">
        <v>2026</v>
      </c>
      <c r="B12831" s="242">
        <v>1</v>
      </c>
      <c r="C12831" s="242">
        <v>21</v>
      </c>
      <c r="D12831" s="243">
        <f t="shared" si="1866"/>
        <v>46043</v>
      </c>
      <c r="E12831" s="244">
        <f>DATE(A12831,B12831,C12831)</f>
        <v>46043</v>
      </c>
      <c r="F12831" s="524"/>
      <c r="G12831" s="245" t="s">
        <v>1245</v>
      </c>
      <c r="H12831" s="246"/>
      <c r="I12831" s="246"/>
      <c r="J12831" s="242" t="s">
        <v>1582</v>
      </c>
      <c r="K12831" s="247"/>
      <c r="L12831" s="247">
        <f>K12830</f>
        <v>334.54448777029421</v>
      </c>
    </row>
    <row r="12832" spans="1:16" ht="11.25" customHeight="1" x14ac:dyDescent="0.2">
      <c r="A12832" s="210">
        <v>2026</v>
      </c>
      <c r="B12832" s="210">
        <v>1</v>
      </c>
      <c r="C12832" s="210">
        <v>21</v>
      </c>
      <c r="D12832" s="211">
        <f t="shared" si="1866"/>
        <v>46043</v>
      </c>
      <c r="E12832" s="238">
        <f t="shared" ref="E12832:E12857" si="1876">DATE(A12832,B12832,C12832)</f>
        <v>46043</v>
      </c>
      <c r="F12832" s="520" t="s">
        <v>2055</v>
      </c>
      <c r="G12832" s="213" t="s">
        <v>1245</v>
      </c>
      <c r="H12832" s="214"/>
      <c r="I12832" s="214" t="s">
        <v>1253</v>
      </c>
      <c r="J12832" s="210" t="s">
        <v>58</v>
      </c>
      <c r="K12832" s="215">
        <v>1786.26</v>
      </c>
      <c r="L12832" s="215"/>
    </row>
    <row r="12833" spans="1:15" ht="11.25" customHeight="1" x14ac:dyDescent="0.2">
      <c r="A12833" s="216">
        <v>2026</v>
      </c>
      <c r="B12833" s="216">
        <v>1</v>
      </c>
      <c r="C12833" s="216">
        <v>21</v>
      </c>
      <c r="D12833" s="217">
        <f t="shared" si="1866"/>
        <v>46043</v>
      </c>
      <c r="E12833" s="239">
        <f t="shared" si="1876"/>
        <v>46043</v>
      </c>
      <c r="F12833" s="521"/>
      <c r="G12833" s="219" t="s">
        <v>1245</v>
      </c>
      <c r="H12833" s="220"/>
      <c r="I12833" s="220" t="s">
        <v>1253</v>
      </c>
      <c r="J12833" s="216" t="s">
        <v>153</v>
      </c>
      <c r="K12833" s="221"/>
      <c r="L12833" s="221">
        <f>K12832</f>
        <v>1786.26</v>
      </c>
    </row>
    <row r="12834" spans="1:15" ht="11.25" customHeight="1" x14ac:dyDescent="0.2">
      <c r="A12834" s="312">
        <v>2026</v>
      </c>
      <c r="B12834" s="312">
        <v>1</v>
      </c>
      <c r="C12834" s="312">
        <v>21</v>
      </c>
      <c r="D12834" s="313">
        <f t="shared" si="1866"/>
        <v>46043</v>
      </c>
      <c r="E12834" s="314">
        <f t="shared" si="1876"/>
        <v>46043</v>
      </c>
      <c r="F12834" s="522" t="s">
        <v>1595</v>
      </c>
      <c r="G12834" s="315" t="s">
        <v>1245</v>
      </c>
      <c r="H12834" s="316"/>
      <c r="I12834" s="316" t="s">
        <v>1253</v>
      </c>
      <c r="J12834" s="312" t="s">
        <v>1461</v>
      </c>
      <c r="K12834" s="317">
        <v>101574.39299994707</v>
      </c>
      <c r="L12834" s="317"/>
      <c r="M12834" s="328"/>
    </row>
    <row r="12835" spans="1:15" ht="11.25" customHeight="1" x14ac:dyDescent="0.2">
      <c r="A12835" s="318">
        <v>2026</v>
      </c>
      <c r="B12835" s="318">
        <v>1</v>
      </c>
      <c r="C12835" s="318">
        <v>21</v>
      </c>
      <c r="D12835" s="319">
        <f t="shared" si="1866"/>
        <v>46043</v>
      </c>
      <c r="E12835" s="320">
        <f t="shared" si="1876"/>
        <v>46043</v>
      </c>
      <c r="F12835" s="523"/>
      <c r="G12835" s="321" t="s">
        <v>1245</v>
      </c>
      <c r="H12835" s="322"/>
      <c r="I12835" s="322" t="s">
        <v>1253</v>
      </c>
      <c r="J12835" s="318" t="s">
        <v>1459</v>
      </c>
      <c r="K12835" s="323"/>
      <c r="L12835" s="323">
        <f>K12834</f>
        <v>101574.39299994707</v>
      </c>
      <c r="M12835" s="328"/>
    </row>
    <row r="12836" spans="1:15" ht="11.25" customHeight="1" x14ac:dyDescent="0.2">
      <c r="A12836" s="222">
        <v>2026</v>
      </c>
      <c r="B12836" s="222">
        <v>1</v>
      </c>
      <c r="C12836" s="222">
        <v>21</v>
      </c>
      <c r="D12836" s="223">
        <f t="shared" si="1866"/>
        <v>46043</v>
      </c>
      <c r="E12836" s="240">
        <f t="shared" si="1876"/>
        <v>46043</v>
      </c>
      <c r="F12836" s="511" t="s">
        <v>1244</v>
      </c>
      <c r="G12836" s="225" t="s">
        <v>1245</v>
      </c>
      <c r="H12836" s="226"/>
      <c r="I12836" s="226" t="s">
        <v>1253</v>
      </c>
      <c r="J12836" s="222" t="s">
        <v>87</v>
      </c>
      <c r="K12836" s="227">
        <v>18361</v>
      </c>
      <c r="L12836" s="227"/>
      <c r="M12836" s="328"/>
    </row>
    <row r="12837" spans="1:15" ht="11.25" customHeight="1" x14ac:dyDescent="0.2">
      <c r="A12837" s="228">
        <v>2026</v>
      </c>
      <c r="B12837" s="228">
        <v>1</v>
      </c>
      <c r="C12837" s="228">
        <v>21</v>
      </c>
      <c r="D12837" s="229">
        <f t="shared" si="1866"/>
        <v>46043</v>
      </c>
      <c r="E12837" s="241">
        <f t="shared" si="1876"/>
        <v>46043</v>
      </c>
      <c r="F12837" s="512"/>
      <c r="G12837" s="231" t="s">
        <v>1245</v>
      </c>
      <c r="H12837" s="232"/>
      <c r="I12837" s="232" t="s">
        <v>1253</v>
      </c>
      <c r="J12837" s="228" t="s">
        <v>72</v>
      </c>
      <c r="K12837" s="233"/>
      <c r="L12837" s="233">
        <f>K12836</f>
        <v>18361</v>
      </c>
    </row>
    <row r="12838" spans="1:15" ht="11.25" customHeight="1" x14ac:dyDescent="0.2">
      <c r="A12838" s="222">
        <v>2026</v>
      </c>
      <c r="B12838" s="222">
        <v>1</v>
      </c>
      <c r="C12838" s="222">
        <v>21</v>
      </c>
      <c r="D12838" s="223">
        <f t="shared" si="1866"/>
        <v>46043</v>
      </c>
      <c r="E12838" s="240">
        <f t="shared" si="1876"/>
        <v>46043</v>
      </c>
      <c r="F12838" s="511" t="s">
        <v>1246</v>
      </c>
      <c r="G12838" s="225" t="s">
        <v>1245</v>
      </c>
      <c r="H12838" s="226"/>
      <c r="I12838" s="226" t="s">
        <v>1253</v>
      </c>
      <c r="J12838" s="222" t="s">
        <v>75</v>
      </c>
      <c r="K12838" s="227">
        <v>517.58912087912086</v>
      </c>
      <c r="L12838" s="227"/>
      <c r="M12838" s="455"/>
    </row>
    <row r="12839" spans="1:15" ht="11.25" customHeight="1" x14ac:dyDescent="0.2">
      <c r="A12839" s="228">
        <v>2026</v>
      </c>
      <c r="B12839" s="228">
        <v>1</v>
      </c>
      <c r="C12839" s="228">
        <v>21</v>
      </c>
      <c r="D12839" s="229">
        <f t="shared" si="1866"/>
        <v>46043</v>
      </c>
      <c r="E12839" s="241">
        <f t="shared" si="1876"/>
        <v>46043</v>
      </c>
      <c r="F12839" s="512"/>
      <c r="G12839" s="231" t="s">
        <v>1245</v>
      </c>
      <c r="H12839" s="232"/>
      <c r="I12839" s="232" t="s">
        <v>1253</v>
      </c>
      <c r="J12839" s="228" t="s">
        <v>55</v>
      </c>
      <c r="K12839" s="233"/>
      <c r="L12839" s="233">
        <f>K12838</f>
        <v>517.58912087912086</v>
      </c>
    </row>
    <row r="12840" spans="1:15" ht="11.25" customHeight="1" x14ac:dyDescent="0.2">
      <c r="A12840" s="222">
        <v>2026</v>
      </c>
      <c r="B12840" s="222">
        <v>1</v>
      </c>
      <c r="C12840" s="222">
        <v>21</v>
      </c>
      <c r="D12840" s="223">
        <f t="shared" si="1866"/>
        <v>46043</v>
      </c>
      <c r="E12840" s="240">
        <f t="shared" si="1876"/>
        <v>46043</v>
      </c>
      <c r="F12840" s="511" t="s">
        <v>1247</v>
      </c>
      <c r="G12840" s="225" t="s">
        <v>1245</v>
      </c>
      <c r="H12840" s="226"/>
      <c r="I12840" s="226" t="s">
        <v>1253</v>
      </c>
      <c r="J12840" s="222" t="s">
        <v>77</v>
      </c>
      <c r="K12840" s="227">
        <f>M12840</f>
        <v>7490.3071096459362</v>
      </c>
      <c r="L12840" s="227"/>
      <c r="M12840" s="478">
        <v>7490.3071096459362</v>
      </c>
    </row>
    <row r="12841" spans="1:15" ht="11.25" customHeight="1" x14ac:dyDescent="0.2">
      <c r="A12841" s="228">
        <v>2026</v>
      </c>
      <c r="B12841" s="228">
        <v>1</v>
      </c>
      <c r="C12841" s="228">
        <v>21</v>
      </c>
      <c r="D12841" s="229">
        <f t="shared" si="1866"/>
        <v>46043</v>
      </c>
      <c r="E12841" s="241">
        <f t="shared" si="1876"/>
        <v>46043</v>
      </c>
      <c r="F12841" s="512"/>
      <c r="G12841" s="231" t="s">
        <v>1245</v>
      </c>
      <c r="H12841" s="232"/>
      <c r="I12841" s="232" t="s">
        <v>1253</v>
      </c>
      <c r="J12841" s="228" t="s">
        <v>41</v>
      </c>
      <c r="K12841" s="233"/>
      <c r="L12841" s="233">
        <f>K12840</f>
        <v>7490.3071096459362</v>
      </c>
      <c r="M12841" s="478">
        <v>749.03071096459371</v>
      </c>
      <c r="N12841" s="251"/>
    </row>
    <row r="12842" spans="1:15" ht="11.25" customHeight="1" x14ac:dyDescent="0.2">
      <c r="A12842" s="222">
        <v>2026</v>
      </c>
      <c r="B12842" s="222">
        <v>1</v>
      </c>
      <c r="C12842" s="222">
        <v>21</v>
      </c>
      <c r="D12842" s="223">
        <f t="shared" si="1866"/>
        <v>46043</v>
      </c>
      <c r="E12842" s="240">
        <f t="shared" si="1876"/>
        <v>46043</v>
      </c>
      <c r="F12842" s="511" t="s">
        <v>1248</v>
      </c>
      <c r="G12842" s="225" t="s">
        <v>1245</v>
      </c>
      <c r="H12842" s="226"/>
      <c r="I12842" s="226" t="s">
        <v>1253</v>
      </c>
      <c r="J12842" s="222" t="s">
        <v>80</v>
      </c>
      <c r="K12842" s="227">
        <f>M12841</f>
        <v>749.03071096459371</v>
      </c>
      <c r="L12842" s="227"/>
      <c r="N12842" s="251"/>
      <c r="O12842" s="251"/>
    </row>
    <row r="12843" spans="1:15" ht="11.25" customHeight="1" x14ac:dyDescent="0.2">
      <c r="A12843" s="228">
        <v>2026</v>
      </c>
      <c r="B12843" s="228">
        <v>1</v>
      </c>
      <c r="C12843" s="228">
        <v>21</v>
      </c>
      <c r="D12843" s="229">
        <f t="shared" si="1866"/>
        <v>46043</v>
      </c>
      <c r="E12843" s="241">
        <f t="shared" si="1876"/>
        <v>46043</v>
      </c>
      <c r="F12843" s="512"/>
      <c r="G12843" s="231" t="s">
        <v>1245</v>
      </c>
      <c r="H12843" s="232"/>
      <c r="I12843" s="232" t="s">
        <v>1253</v>
      </c>
      <c r="J12843" s="228" t="s">
        <v>42</v>
      </c>
      <c r="K12843" s="233"/>
      <c r="L12843" s="233">
        <f>K12842</f>
        <v>749.03071096459371</v>
      </c>
      <c r="N12843" s="251"/>
    </row>
    <row r="12844" spans="1:15" ht="11.25" customHeight="1" x14ac:dyDescent="0.2">
      <c r="A12844" s="197">
        <v>2026</v>
      </c>
      <c r="B12844" s="197">
        <v>1</v>
      </c>
      <c r="C12844" s="197">
        <v>22</v>
      </c>
      <c r="D12844" s="198">
        <f t="shared" si="1866"/>
        <v>46044</v>
      </c>
      <c r="E12844" s="290">
        <f t="shared" si="1876"/>
        <v>46044</v>
      </c>
      <c r="F12844" s="513" t="s">
        <v>2064</v>
      </c>
      <c r="G12844" s="200" t="s">
        <v>1209</v>
      </c>
      <c r="H12844" s="201"/>
      <c r="I12844" s="201" t="s">
        <v>1253</v>
      </c>
      <c r="J12844" s="197" t="s">
        <v>46</v>
      </c>
      <c r="K12844" s="202">
        <v>1208000</v>
      </c>
      <c r="L12844" s="202"/>
    </row>
    <row r="12845" spans="1:15" ht="11.25" customHeight="1" x14ac:dyDescent="0.2">
      <c r="A12845" s="191">
        <v>2026</v>
      </c>
      <c r="B12845" s="191">
        <v>1</v>
      </c>
      <c r="C12845" s="191">
        <v>22</v>
      </c>
      <c r="D12845" s="192">
        <f t="shared" si="1866"/>
        <v>46044</v>
      </c>
      <c r="E12845" s="291">
        <f t="shared" si="1876"/>
        <v>46044</v>
      </c>
      <c r="F12845" s="514"/>
      <c r="G12845" s="194" t="s">
        <v>1209</v>
      </c>
      <c r="H12845" s="195"/>
      <c r="I12845" s="195"/>
      <c r="J12845" s="191" t="s">
        <v>1845</v>
      </c>
      <c r="K12845" s="196"/>
      <c r="L12845" s="196">
        <f>K12844</f>
        <v>1208000</v>
      </c>
    </row>
    <row r="12846" spans="1:15" x14ac:dyDescent="0.2">
      <c r="A12846" s="424">
        <v>2026</v>
      </c>
      <c r="B12846" s="424">
        <v>1</v>
      </c>
      <c r="C12846" s="424">
        <v>22</v>
      </c>
      <c r="D12846" s="425">
        <f t="shared" si="1866"/>
        <v>46044</v>
      </c>
      <c r="E12846" s="384">
        <f t="shared" si="1876"/>
        <v>46044</v>
      </c>
      <c r="F12846" s="516" t="s">
        <v>1850</v>
      </c>
      <c r="G12846" s="426" t="s">
        <v>1209</v>
      </c>
      <c r="H12846" s="427"/>
      <c r="I12846" s="427"/>
      <c r="J12846" s="428" t="s">
        <v>81</v>
      </c>
      <c r="K12846" s="429">
        <v>1595.8173626373627</v>
      </c>
      <c r="L12846" s="429"/>
      <c r="M12846" s="455"/>
    </row>
    <row r="12847" spans="1:15" x14ac:dyDescent="0.2">
      <c r="A12847" s="389">
        <v>2026</v>
      </c>
      <c r="B12847" s="389">
        <v>1</v>
      </c>
      <c r="C12847" s="389">
        <v>22</v>
      </c>
      <c r="D12847" s="390">
        <f t="shared" si="1866"/>
        <v>46044</v>
      </c>
      <c r="E12847" s="391">
        <f t="shared" si="1876"/>
        <v>46044</v>
      </c>
      <c r="F12847" s="517"/>
      <c r="G12847" s="392" t="s">
        <v>1209</v>
      </c>
      <c r="H12847" s="393"/>
      <c r="I12847" s="393"/>
      <c r="J12847" s="394" t="s">
        <v>1847</v>
      </c>
      <c r="K12847" s="423"/>
      <c r="L12847" s="423">
        <f>K12846</f>
        <v>1595.8173626373627</v>
      </c>
    </row>
    <row r="12848" spans="1:15" ht="11.25" customHeight="1" x14ac:dyDescent="0.2">
      <c r="A12848" s="382">
        <v>2026</v>
      </c>
      <c r="B12848" s="382">
        <v>1</v>
      </c>
      <c r="C12848" s="382">
        <v>22</v>
      </c>
      <c r="D12848" s="383">
        <f t="shared" si="1866"/>
        <v>46044</v>
      </c>
      <c r="E12848" s="384">
        <f t="shared" si="1876"/>
        <v>46044</v>
      </c>
      <c r="F12848" s="516" t="s">
        <v>1892</v>
      </c>
      <c r="G12848" s="385" t="s">
        <v>1209</v>
      </c>
      <c r="H12848" s="386"/>
      <c r="I12848" s="386"/>
      <c r="J12848" s="387" t="s">
        <v>173</v>
      </c>
      <c r="K12848" s="388">
        <v>590.86938668333335</v>
      </c>
      <c r="L12848" s="388"/>
      <c r="M12848" s="455"/>
    </row>
    <row r="12849" spans="1:16" ht="11.25" customHeight="1" x14ac:dyDescent="0.2">
      <c r="A12849" s="389">
        <v>2026</v>
      </c>
      <c r="B12849" s="389">
        <v>1</v>
      </c>
      <c r="C12849" s="389">
        <v>22</v>
      </c>
      <c r="D12849" s="390">
        <f t="shared" si="1866"/>
        <v>46044</v>
      </c>
      <c r="E12849" s="391">
        <f t="shared" si="1876"/>
        <v>46044</v>
      </c>
      <c r="F12849" s="517"/>
      <c r="G12849" s="392" t="s">
        <v>1209</v>
      </c>
      <c r="H12849" s="393"/>
      <c r="I12849" s="393"/>
      <c r="J12849" s="394" t="s">
        <v>43</v>
      </c>
      <c r="K12849" s="388"/>
      <c r="L12849" s="423">
        <f>K12848</f>
        <v>590.86938668333335</v>
      </c>
    </row>
    <row r="12850" spans="1:16" ht="11.25" customHeight="1" x14ac:dyDescent="0.2">
      <c r="A12850" s="344">
        <v>2026</v>
      </c>
      <c r="B12850" s="344">
        <v>1</v>
      </c>
      <c r="C12850" s="344">
        <v>22</v>
      </c>
      <c r="D12850" s="345">
        <f t="shared" si="1866"/>
        <v>46044</v>
      </c>
      <c r="E12850" s="346">
        <f t="shared" si="1876"/>
        <v>46044</v>
      </c>
      <c r="F12850" s="518" t="s">
        <v>1982</v>
      </c>
      <c r="G12850" s="347" t="s">
        <v>1245</v>
      </c>
      <c r="H12850" s="348"/>
      <c r="I12850" s="348" t="s">
        <v>1253</v>
      </c>
      <c r="J12850" s="344" t="s">
        <v>1978</v>
      </c>
      <c r="K12850" s="349">
        <v>21249.725274725275</v>
      </c>
      <c r="L12850" s="349"/>
      <c r="M12850" s="455"/>
    </row>
    <row r="12851" spans="1:16" ht="11.25" customHeight="1" x14ac:dyDescent="0.2">
      <c r="A12851" s="350">
        <v>2026</v>
      </c>
      <c r="B12851" s="350">
        <v>1</v>
      </c>
      <c r="C12851" s="350">
        <v>22</v>
      </c>
      <c r="D12851" s="351">
        <f t="shared" si="1866"/>
        <v>46044</v>
      </c>
      <c r="E12851" s="352">
        <f t="shared" si="1876"/>
        <v>46044</v>
      </c>
      <c r="F12851" s="519"/>
      <c r="G12851" s="353" t="s">
        <v>1245</v>
      </c>
      <c r="H12851" s="354"/>
      <c r="I12851" s="354" t="s">
        <v>1253</v>
      </c>
      <c r="J12851" s="350" t="s">
        <v>1979</v>
      </c>
      <c r="K12851" s="355"/>
      <c r="L12851" s="355">
        <f>K12850</f>
        <v>21249.725274725275</v>
      </c>
    </row>
    <row r="12852" spans="1:16" ht="11.25" customHeight="1" x14ac:dyDescent="0.2">
      <c r="A12852" s="344">
        <v>2026</v>
      </c>
      <c r="B12852" s="344">
        <v>1</v>
      </c>
      <c r="C12852" s="344">
        <v>22</v>
      </c>
      <c r="D12852" s="345">
        <f t="shared" si="1866"/>
        <v>46044</v>
      </c>
      <c r="E12852" s="346">
        <f t="shared" si="1876"/>
        <v>46044</v>
      </c>
      <c r="F12852" s="518" t="s">
        <v>2009</v>
      </c>
      <c r="G12852" s="347" t="s">
        <v>1245</v>
      </c>
      <c r="H12852" s="348"/>
      <c r="I12852" s="348" t="s">
        <v>1253</v>
      </c>
      <c r="J12852" s="344" t="s">
        <v>2004</v>
      </c>
      <c r="K12852" s="349">
        <v>7098.9014285714284</v>
      </c>
      <c r="L12852" s="349"/>
      <c r="M12852" s="455"/>
    </row>
    <row r="12853" spans="1:16" ht="11.25" customHeight="1" x14ac:dyDescent="0.2">
      <c r="A12853" s="350">
        <v>2026</v>
      </c>
      <c r="B12853" s="350">
        <v>1</v>
      </c>
      <c r="C12853" s="350">
        <v>22</v>
      </c>
      <c r="D12853" s="351">
        <f t="shared" si="1866"/>
        <v>46044</v>
      </c>
      <c r="E12853" s="352">
        <f t="shared" si="1876"/>
        <v>46044</v>
      </c>
      <c r="F12853" s="519"/>
      <c r="G12853" s="353" t="s">
        <v>1245</v>
      </c>
      <c r="H12853" s="354"/>
      <c r="I12853" s="354" t="s">
        <v>1253</v>
      </c>
      <c r="J12853" s="350" t="s">
        <v>2008</v>
      </c>
      <c r="K12853" s="355"/>
      <c r="L12853" s="355">
        <f t="shared" ref="L12853" si="1877">K12852</f>
        <v>7098.9014285714284</v>
      </c>
    </row>
    <row r="12854" spans="1:16" ht="11.25" customHeight="1" x14ac:dyDescent="0.2">
      <c r="A12854" s="344">
        <v>2026</v>
      </c>
      <c r="B12854" s="344">
        <v>1</v>
      </c>
      <c r="C12854" s="344">
        <v>22</v>
      </c>
      <c r="D12854" s="345">
        <f t="shared" si="1866"/>
        <v>46044</v>
      </c>
      <c r="E12854" s="346">
        <f t="shared" si="1876"/>
        <v>46044</v>
      </c>
      <c r="F12854" s="518" t="s">
        <v>2009</v>
      </c>
      <c r="G12854" s="347" t="s">
        <v>1245</v>
      </c>
      <c r="H12854" s="348"/>
      <c r="I12854" s="348" t="s">
        <v>1253</v>
      </c>
      <c r="J12854" s="344" t="s">
        <v>2004</v>
      </c>
      <c r="K12854" s="349">
        <v>7098.9014285714284</v>
      </c>
      <c r="L12854" s="349"/>
      <c r="M12854" s="455"/>
    </row>
    <row r="12855" spans="1:16" ht="11.25" customHeight="1" x14ac:dyDescent="0.2">
      <c r="A12855" s="350">
        <v>2026</v>
      </c>
      <c r="B12855" s="350">
        <v>1</v>
      </c>
      <c r="C12855" s="350">
        <v>22</v>
      </c>
      <c r="D12855" s="351">
        <f t="shared" si="1866"/>
        <v>46044</v>
      </c>
      <c r="E12855" s="352">
        <f t="shared" si="1876"/>
        <v>46044</v>
      </c>
      <c r="F12855" s="519"/>
      <c r="G12855" s="353" t="s">
        <v>1245</v>
      </c>
      <c r="H12855" s="354"/>
      <c r="I12855" s="354" t="s">
        <v>1253</v>
      </c>
      <c r="J12855" s="350" t="s">
        <v>2008</v>
      </c>
      <c r="K12855" s="355"/>
      <c r="L12855" s="355">
        <f t="shared" ref="L12855" si="1878">K12854</f>
        <v>7098.9014285714284</v>
      </c>
    </row>
    <row r="12856" spans="1:16" ht="11.25" customHeight="1" x14ac:dyDescent="0.2">
      <c r="A12856" s="344">
        <v>2026</v>
      </c>
      <c r="B12856" s="344">
        <v>1</v>
      </c>
      <c r="C12856" s="344">
        <v>22</v>
      </c>
      <c r="D12856" s="345">
        <f t="shared" si="1866"/>
        <v>46044</v>
      </c>
      <c r="E12856" s="346">
        <f t="shared" si="1876"/>
        <v>46044</v>
      </c>
      <c r="F12856" s="518" t="s">
        <v>2088</v>
      </c>
      <c r="G12856" s="347" t="s">
        <v>1245</v>
      </c>
      <c r="H12856" s="348"/>
      <c r="I12856" s="348" t="s">
        <v>1253</v>
      </c>
      <c r="J12856" s="344" t="s">
        <v>2086</v>
      </c>
      <c r="K12856" s="349">
        <v>1789.835164835165</v>
      </c>
      <c r="L12856" s="349"/>
      <c r="M12856" s="455"/>
    </row>
    <row r="12857" spans="1:16" ht="11.25" customHeight="1" x14ac:dyDescent="0.2">
      <c r="A12857" s="350">
        <v>2026</v>
      </c>
      <c r="B12857" s="350">
        <v>1</v>
      </c>
      <c r="C12857" s="350">
        <v>22</v>
      </c>
      <c r="D12857" s="351">
        <f t="shared" si="1866"/>
        <v>46044</v>
      </c>
      <c r="E12857" s="352">
        <f t="shared" si="1876"/>
        <v>46044</v>
      </c>
      <c r="F12857" s="519"/>
      <c r="G12857" s="353" t="s">
        <v>1245</v>
      </c>
      <c r="H12857" s="354"/>
      <c r="I12857" s="354" t="s">
        <v>1253</v>
      </c>
      <c r="J12857" s="350" t="s">
        <v>2089</v>
      </c>
      <c r="K12857" s="355"/>
      <c r="L12857" s="355">
        <f>K12856</f>
        <v>1789.835164835165</v>
      </c>
    </row>
    <row r="12858" spans="1:16" ht="11.25" customHeight="1" x14ac:dyDescent="0.2">
      <c r="A12858" s="344">
        <v>2026</v>
      </c>
      <c r="B12858" s="344">
        <v>1</v>
      </c>
      <c r="C12858" s="344">
        <v>22</v>
      </c>
      <c r="D12858" s="345">
        <f t="shared" si="1866"/>
        <v>46044</v>
      </c>
      <c r="E12858" s="346">
        <f>DATE(A12858,B12858,C12858)</f>
        <v>46044</v>
      </c>
      <c r="F12858" s="518" t="s">
        <v>1988</v>
      </c>
      <c r="G12858" s="347" t="s">
        <v>1245</v>
      </c>
      <c r="H12858" s="348"/>
      <c r="I12858" s="348" t="s">
        <v>1253</v>
      </c>
      <c r="J12858" s="344" t="s">
        <v>113</v>
      </c>
      <c r="K12858" s="349">
        <v>4692.3071428571429</v>
      </c>
      <c r="L12858" s="349"/>
      <c r="M12858" s="455"/>
    </row>
    <row r="12859" spans="1:16" ht="11.25" customHeight="1" x14ac:dyDescent="0.2">
      <c r="A12859" s="350">
        <v>2026</v>
      </c>
      <c r="B12859" s="350">
        <v>1</v>
      </c>
      <c r="C12859" s="350">
        <v>22</v>
      </c>
      <c r="D12859" s="351">
        <f t="shared" si="1866"/>
        <v>46044</v>
      </c>
      <c r="E12859" s="352">
        <f>DATE(A12859,B12859,C12859)</f>
        <v>46044</v>
      </c>
      <c r="F12859" s="519"/>
      <c r="G12859" s="353" t="s">
        <v>1245</v>
      </c>
      <c r="H12859" s="354"/>
      <c r="I12859" s="354" t="s">
        <v>1253</v>
      </c>
      <c r="J12859" s="350" t="s">
        <v>153</v>
      </c>
      <c r="K12859" s="355"/>
      <c r="L12859" s="355">
        <f t="shared" ref="L12859" si="1879">K12858</f>
        <v>4692.3071428571429</v>
      </c>
    </row>
    <row r="12860" spans="1:16" ht="11.25" customHeight="1" x14ac:dyDescent="0.2">
      <c r="A12860" s="344">
        <v>2026</v>
      </c>
      <c r="B12860" s="344">
        <v>1</v>
      </c>
      <c r="C12860" s="344">
        <v>22</v>
      </c>
      <c r="D12860" s="345">
        <f t="shared" si="1866"/>
        <v>46044</v>
      </c>
      <c r="E12860" s="346">
        <f t="shared" ref="E12860:E12866" si="1880">DATE(A12860,B12860,C12860)</f>
        <v>46044</v>
      </c>
      <c r="F12860" s="518" t="s">
        <v>1989</v>
      </c>
      <c r="G12860" s="347" t="s">
        <v>1245</v>
      </c>
      <c r="H12860" s="348"/>
      <c r="I12860" s="348" t="s">
        <v>1253</v>
      </c>
      <c r="J12860" s="344" t="s">
        <v>113</v>
      </c>
      <c r="K12860" s="349">
        <v>3351.6483516483518</v>
      </c>
      <c r="L12860" s="349"/>
      <c r="M12860" s="455"/>
    </row>
    <row r="12861" spans="1:16" ht="11.25" customHeight="1" x14ac:dyDescent="0.2">
      <c r="A12861" s="350">
        <v>2026</v>
      </c>
      <c r="B12861" s="350">
        <v>1</v>
      </c>
      <c r="C12861" s="350">
        <v>22</v>
      </c>
      <c r="D12861" s="351">
        <f t="shared" si="1866"/>
        <v>46044</v>
      </c>
      <c r="E12861" s="352">
        <f t="shared" si="1880"/>
        <v>46044</v>
      </c>
      <c r="F12861" s="519"/>
      <c r="G12861" s="353" t="s">
        <v>1245</v>
      </c>
      <c r="H12861" s="354"/>
      <c r="I12861" s="354" t="s">
        <v>1253</v>
      </c>
      <c r="J12861" s="350" t="s">
        <v>153</v>
      </c>
      <c r="K12861" s="355"/>
      <c r="L12861" s="355">
        <f t="shared" ref="L12861" si="1881">K12860</f>
        <v>3351.6483516483518</v>
      </c>
    </row>
    <row r="12862" spans="1:16" ht="11.25" customHeight="1" x14ac:dyDescent="0.2">
      <c r="A12862" s="344">
        <v>2026</v>
      </c>
      <c r="B12862" s="344">
        <v>1</v>
      </c>
      <c r="C12862" s="344">
        <v>22</v>
      </c>
      <c r="D12862" s="345">
        <f t="shared" si="1866"/>
        <v>46044</v>
      </c>
      <c r="E12862" s="346">
        <f t="shared" si="1880"/>
        <v>46044</v>
      </c>
      <c r="F12862" s="518" t="s">
        <v>1990</v>
      </c>
      <c r="G12862" s="347" t="s">
        <v>1245</v>
      </c>
      <c r="H12862" s="348"/>
      <c r="I12862" s="348" t="s">
        <v>1253</v>
      </c>
      <c r="J12862" s="344" t="s">
        <v>113</v>
      </c>
      <c r="K12862" s="349">
        <v>10054.945714285714</v>
      </c>
      <c r="L12862" s="349"/>
      <c r="M12862" s="455"/>
      <c r="N12862" s="251"/>
      <c r="O12862" s="251"/>
      <c r="P12862" s="251"/>
    </row>
    <row r="12863" spans="1:16" ht="11.25" customHeight="1" x14ac:dyDescent="0.2">
      <c r="A12863" s="350">
        <v>2026</v>
      </c>
      <c r="B12863" s="350">
        <v>1</v>
      </c>
      <c r="C12863" s="350">
        <v>22</v>
      </c>
      <c r="D12863" s="351">
        <f t="shared" si="1866"/>
        <v>46044</v>
      </c>
      <c r="E12863" s="352">
        <f t="shared" si="1880"/>
        <v>46044</v>
      </c>
      <c r="F12863" s="519"/>
      <c r="G12863" s="353" t="s">
        <v>1245</v>
      </c>
      <c r="H12863" s="354"/>
      <c r="I12863" s="354" t="s">
        <v>1253</v>
      </c>
      <c r="J12863" s="350" t="s">
        <v>153</v>
      </c>
      <c r="K12863" s="355"/>
      <c r="L12863" s="355">
        <f t="shared" ref="L12863" si="1882">K12862</f>
        <v>10054.945714285714</v>
      </c>
    </row>
    <row r="12864" spans="1:16" ht="11.25" customHeight="1" x14ac:dyDescent="0.2">
      <c r="A12864" s="344">
        <v>2026</v>
      </c>
      <c r="B12864" s="344">
        <v>1</v>
      </c>
      <c r="C12864" s="344">
        <v>22</v>
      </c>
      <c r="D12864" s="345">
        <f t="shared" si="1866"/>
        <v>46044</v>
      </c>
      <c r="E12864" s="346">
        <f t="shared" si="1880"/>
        <v>46044</v>
      </c>
      <c r="F12864" s="518" t="s">
        <v>2107</v>
      </c>
      <c r="G12864" s="347" t="s">
        <v>1245</v>
      </c>
      <c r="H12864" s="348"/>
      <c r="I12864" s="348" t="s">
        <v>1253</v>
      </c>
      <c r="J12864" s="344" t="s">
        <v>113</v>
      </c>
      <c r="K12864" s="349">
        <v>12370.879120879121</v>
      </c>
      <c r="L12864" s="349"/>
      <c r="M12864" s="455"/>
      <c r="N12864" s="251"/>
      <c r="O12864" s="251"/>
      <c r="P12864" s="251"/>
    </row>
    <row r="12865" spans="1:15" ht="11.25" customHeight="1" x14ac:dyDescent="0.2">
      <c r="A12865" s="350">
        <v>2026</v>
      </c>
      <c r="B12865" s="350">
        <v>1</v>
      </c>
      <c r="C12865" s="350">
        <v>22</v>
      </c>
      <c r="D12865" s="351">
        <f t="shared" si="1866"/>
        <v>46044</v>
      </c>
      <c r="E12865" s="352">
        <f t="shared" si="1880"/>
        <v>46044</v>
      </c>
      <c r="F12865" s="519"/>
      <c r="G12865" s="353" t="s">
        <v>1245</v>
      </c>
      <c r="H12865" s="354"/>
      <c r="I12865" s="354" t="s">
        <v>1253</v>
      </c>
      <c r="J12865" s="350" t="s">
        <v>153</v>
      </c>
      <c r="K12865" s="355"/>
      <c r="L12865" s="355">
        <f t="shared" ref="L12865" si="1883">K12864</f>
        <v>12370.879120879121</v>
      </c>
    </row>
    <row r="12866" spans="1:15" ht="11.25" customHeight="1" x14ac:dyDescent="0.2">
      <c r="A12866" s="210">
        <v>2026</v>
      </c>
      <c r="B12866" s="210">
        <v>1</v>
      </c>
      <c r="C12866" s="210">
        <v>22</v>
      </c>
      <c r="D12866" s="211">
        <f t="shared" ref="D12866:D12932" si="1884">DATE(A12866,B12866,C12866)</f>
        <v>46044</v>
      </c>
      <c r="E12866" s="238">
        <f t="shared" si="1880"/>
        <v>46044</v>
      </c>
      <c r="F12866" s="520" t="s">
        <v>1857</v>
      </c>
      <c r="G12866" s="213" t="s">
        <v>1245</v>
      </c>
      <c r="H12866" s="214"/>
      <c r="I12866" s="214" t="s">
        <v>1253</v>
      </c>
      <c r="J12866" s="210" t="s">
        <v>1284</v>
      </c>
      <c r="K12866" s="215">
        <v>334.54448777029421</v>
      </c>
      <c r="L12866" s="215"/>
      <c r="M12866" s="455"/>
    </row>
    <row r="12867" spans="1:15" ht="11.25" customHeight="1" x14ac:dyDescent="0.2">
      <c r="A12867" s="242">
        <v>2026</v>
      </c>
      <c r="B12867" s="242">
        <v>1</v>
      </c>
      <c r="C12867" s="242">
        <v>22</v>
      </c>
      <c r="D12867" s="243">
        <f t="shared" si="1884"/>
        <v>46044</v>
      </c>
      <c r="E12867" s="244">
        <f>DATE(A12867,B12867,C12867)</f>
        <v>46044</v>
      </c>
      <c r="F12867" s="524"/>
      <c r="G12867" s="245" t="s">
        <v>1245</v>
      </c>
      <c r="H12867" s="246"/>
      <c r="I12867" s="246"/>
      <c r="J12867" s="242" t="s">
        <v>1582</v>
      </c>
      <c r="K12867" s="247"/>
      <c r="L12867" s="247">
        <f>K12866</f>
        <v>334.54448777029421</v>
      </c>
    </row>
    <row r="12868" spans="1:15" ht="11.25" customHeight="1" x14ac:dyDescent="0.2">
      <c r="A12868" s="210">
        <v>2026</v>
      </c>
      <c r="B12868" s="210">
        <v>1</v>
      </c>
      <c r="C12868" s="210">
        <v>22</v>
      </c>
      <c r="D12868" s="211">
        <f t="shared" si="1884"/>
        <v>46044</v>
      </c>
      <c r="E12868" s="238">
        <f t="shared" ref="E12868:E12891" si="1885">DATE(A12868,B12868,C12868)</f>
        <v>46044</v>
      </c>
      <c r="F12868" s="520" t="s">
        <v>2055</v>
      </c>
      <c r="G12868" s="213" t="s">
        <v>1245</v>
      </c>
      <c r="H12868" s="214"/>
      <c r="I12868" s="214" t="s">
        <v>1253</v>
      </c>
      <c r="J12868" s="210" t="s">
        <v>58</v>
      </c>
      <c r="K12868" s="215">
        <v>1937.2571290277774</v>
      </c>
      <c r="L12868" s="215"/>
    </row>
    <row r="12869" spans="1:15" ht="11.25" customHeight="1" x14ac:dyDescent="0.2">
      <c r="A12869" s="216">
        <v>2026</v>
      </c>
      <c r="B12869" s="216">
        <v>1</v>
      </c>
      <c r="C12869" s="216">
        <v>22</v>
      </c>
      <c r="D12869" s="217">
        <f t="shared" si="1884"/>
        <v>46044</v>
      </c>
      <c r="E12869" s="239">
        <f t="shared" si="1885"/>
        <v>46044</v>
      </c>
      <c r="F12869" s="521"/>
      <c r="G12869" s="219" t="s">
        <v>1245</v>
      </c>
      <c r="H12869" s="220"/>
      <c r="I12869" s="220" t="s">
        <v>1253</v>
      </c>
      <c r="J12869" s="216" t="s">
        <v>153</v>
      </c>
      <c r="K12869" s="221"/>
      <c r="L12869" s="221">
        <f>K12868</f>
        <v>1937.2571290277774</v>
      </c>
    </row>
    <row r="12870" spans="1:15" ht="11.25" customHeight="1" x14ac:dyDescent="0.2">
      <c r="A12870" s="312">
        <v>2026</v>
      </c>
      <c r="B12870" s="312">
        <v>1</v>
      </c>
      <c r="C12870" s="312">
        <v>22</v>
      </c>
      <c r="D12870" s="313">
        <f t="shared" si="1884"/>
        <v>46044</v>
      </c>
      <c r="E12870" s="314">
        <f t="shared" si="1885"/>
        <v>46044</v>
      </c>
      <c r="F12870" s="522" t="s">
        <v>1595</v>
      </c>
      <c r="G12870" s="315" t="s">
        <v>1245</v>
      </c>
      <c r="H12870" s="316"/>
      <c r="I12870" s="316" t="s">
        <v>1253</v>
      </c>
      <c r="J12870" s="312" t="s">
        <v>1459</v>
      </c>
      <c r="K12870" s="317">
        <v>1109354.9609999657</v>
      </c>
      <c r="L12870" s="317"/>
      <c r="M12870" s="328"/>
    </row>
    <row r="12871" spans="1:15" ht="11.25" customHeight="1" x14ac:dyDescent="0.2">
      <c r="A12871" s="318">
        <v>2026</v>
      </c>
      <c r="B12871" s="318">
        <v>1</v>
      </c>
      <c r="C12871" s="318">
        <v>22</v>
      </c>
      <c r="D12871" s="319">
        <f t="shared" si="1884"/>
        <v>46044</v>
      </c>
      <c r="E12871" s="320">
        <f t="shared" si="1885"/>
        <v>46044</v>
      </c>
      <c r="F12871" s="523"/>
      <c r="G12871" s="321" t="s">
        <v>1245</v>
      </c>
      <c r="H12871" s="322"/>
      <c r="I12871" s="322" t="s">
        <v>1253</v>
      </c>
      <c r="J12871" s="318" t="s">
        <v>1461</v>
      </c>
      <c r="K12871" s="323"/>
      <c r="L12871" s="323">
        <f>K12870</f>
        <v>1109354.9609999657</v>
      </c>
      <c r="M12871" s="328"/>
    </row>
    <row r="12872" spans="1:15" ht="11.25" customHeight="1" x14ac:dyDescent="0.2">
      <c r="A12872" s="222">
        <v>2026</v>
      </c>
      <c r="B12872" s="222">
        <v>1</v>
      </c>
      <c r="C12872" s="222">
        <v>22</v>
      </c>
      <c r="D12872" s="223">
        <f t="shared" si="1884"/>
        <v>46044</v>
      </c>
      <c r="E12872" s="240">
        <f t="shared" si="1885"/>
        <v>46044</v>
      </c>
      <c r="F12872" s="511" t="s">
        <v>1244</v>
      </c>
      <c r="G12872" s="225" t="s">
        <v>1245</v>
      </c>
      <c r="H12872" s="226"/>
      <c r="I12872" s="226" t="s">
        <v>1253</v>
      </c>
      <c r="J12872" s="222" t="s">
        <v>87</v>
      </c>
      <c r="K12872" s="227">
        <v>41245.75</v>
      </c>
      <c r="L12872" s="227"/>
      <c r="M12872" s="328"/>
    </row>
    <row r="12873" spans="1:15" ht="11.25" customHeight="1" x14ac:dyDescent="0.2">
      <c r="A12873" s="228">
        <v>2026</v>
      </c>
      <c r="B12873" s="228">
        <v>1</v>
      </c>
      <c r="C12873" s="228">
        <v>22</v>
      </c>
      <c r="D12873" s="229">
        <f t="shared" si="1884"/>
        <v>46044</v>
      </c>
      <c r="E12873" s="241">
        <f t="shared" si="1885"/>
        <v>46044</v>
      </c>
      <c r="F12873" s="512"/>
      <c r="G12873" s="231" t="s">
        <v>1245</v>
      </c>
      <c r="H12873" s="232"/>
      <c r="I12873" s="232" t="s">
        <v>1253</v>
      </c>
      <c r="J12873" s="228" t="s">
        <v>72</v>
      </c>
      <c r="K12873" s="233"/>
      <c r="L12873" s="233">
        <f>K12872</f>
        <v>41245.75</v>
      </c>
    </row>
    <row r="12874" spans="1:15" ht="11.25" customHeight="1" x14ac:dyDescent="0.2">
      <c r="A12874" s="222">
        <v>2026</v>
      </c>
      <c r="B12874" s="222">
        <v>1</v>
      </c>
      <c r="C12874" s="222">
        <v>22</v>
      </c>
      <c r="D12874" s="223">
        <f t="shared" si="1884"/>
        <v>46044</v>
      </c>
      <c r="E12874" s="240">
        <f t="shared" si="1885"/>
        <v>46044</v>
      </c>
      <c r="F12874" s="511" t="s">
        <v>1246</v>
      </c>
      <c r="G12874" s="225" t="s">
        <v>1245</v>
      </c>
      <c r="H12874" s="226"/>
      <c r="I12874" s="226" t="s">
        <v>1253</v>
      </c>
      <c r="J12874" s="222" t="s">
        <v>75</v>
      </c>
      <c r="K12874" s="227">
        <v>517.58912087912086</v>
      </c>
      <c r="L12874" s="227"/>
      <c r="M12874" s="455"/>
    </row>
    <row r="12875" spans="1:15" ht="11.25" customHeight="1" x14ac:dyDescent="0.2">
      <c r="A12875" s="228">
        <v>2026</v>
      </c>
      <c r="B12875" s="228">
        <v>1</v>
      </c>
      <c r="C12875" s="228">
        <v>22</v>
      </c>
      <c r="D12875" s="229">
        <f t="shared" si="1884"/>
        <v>46044</v>
      </c>
      <c r="E12875" s="241">
        <f t="shared" si="1885"/>
        <v>46044</v>
      </c>
      <c r="F12875" s="512"/>
      <c r="G12875" s="231" t="s">
        <v>1245</v>
      </c>
      <c r="H12875" s="232"/>
      <c r="I12875" s="232" t="s">
        <v>1253</v>
      </c>
      <c r="J12875" s="228" t="s">
        <v>55</v>
      </c>
      <c r="K12875" s="233"/>
      <c r="L12875" s="233">
        <f>K12874</f>
        <v>517.58912087912086</v>
      </c>
    </row>
    <row r="12876" spans="1:15" ht="11.25" customHeight="1" x14ac:dyDescent="0.2">
      <c r="A12876" s="222">
        <v>2026</v>
      </c>
      <c r="B12876" s="222">
        <v>1</v>
      </c>
      <c r="C12876" s="222">
        <v>22</v>
      </c>
      <c r="D12876" s="223">
        <f t="shared" si="1884"/>
        <v>46044</v>
      </c>
      <c r="E12876" s="240">
        <f t="shared" si="1885"/>
        <v>46044</v>
      </c>
      <c r="F12876" s="511" t="s">
        <v>1247</v>
      </c>
      <c r="G12876" s="225" t="s">
        <v>1245</v>
      </c>
      <c r="H12876" s="226"/>
      <c r="I12876" s="226" t="s">
        <v>1253</v>
      </c>
      <c r="J12876" s="222" t="s">
        <v>77</v>
      </c>
      <c r="K12876" s="227">
        <v>7475.91536972006</v>
      </c>
      <c r="L12876" s="227"/>
      <c r="M12876" s="478">
        <v>7475.91536972006</v>
      </c>
    </row>
    <row r="12877" spans="1:15" ht="11.25" customHeight="1" x14ac:dyDescent="0.2">
      <c r="A12877" s="228">
        <v>2026</v>
      </c>
      <c r="B12877" s="228">
        <v>1</v>
      </c>
      <c r="C12877" s="228">
        <v>22</v>
      </c>
      <c r="D12877" s="229">
        <f t="shared" si="1884"/>
        <v>46044</v>
      </c>
      <c r="E12877" s="241">
        <f t="shared" si="1885"/>
        <v>46044</v>
      </c>
      <c r="F12877" s="512"/>
      <c r="G12877" s="231" t="s">
        <v>1245</v>
      </c>
      <c r="H12877" s="232"/>
      <c r="I12877" s="232" t="s">
        <v>1253</v>
      </c>
      <c r="J12877" s="228" t="s">
        <v>41</v>
      </c>
      <c r="K12877" s="233"/>
      <c r="L12877" s="233">
        <f>K12876</f>
        <v>7475.91536972006</v>
      </c>
      <c r="M12877" s="478">
        <v>747.591536972006</v>
      </c>
      <c r="N12877" s="251"/>
    </row>
    <row r="12878" spans="1:15" ht="11.25" customHeight="1" x14ac:dyDescent="0.2">
      <c r="A12878" s="222">
        <v>2026</v>
      </c>
      <c r="B12878" s="222">
        <v>1</v>
      </c>
      <c r="C12878" s="222">
        <v>22</v>
      </c>
      <c r="D12878" s="223">
        <f t="shared" si="1884"/>
        <v>46044</v>
      </c>
      <c r="E12878" s="240">
        <f t="shared" si="1885"/>
        <v>46044</v>
      </c>
      <c r="F12878" s="511" t="s">
        <v>1248</v>
      </c>
      <c r="G12878" s="225" t="s">
        <v>1245</v>
      </c>
      <c r="H12878" s="226"/>
      <c r="I12878" s="226" t="s">
        <v>1253</v>
      </c>
      <c r="J12878" s="222" t="s">
        <v>80</v>
      </c>
      <c r="K12878" s="227">
        <v>747.591536972006</v>
      </c>
      <c r="L12878" s="227"/>
      <c r="N12878" s="251"/>
      <c r="O12878" s="251"/>
    </row>
    <row r="12879" spans="1:15" ht="11.25" customHeight="1" x14ac:dyDescent="0.2">
      <c r="A12879" s="228">
        <v>2026</v>
      </c>
      <c r="B12879" s="228">
        <v>1</v>
      </c>
      <c r="C12879" s="228">
        <v>22</v>
      </c>
      <c r="D12879" s="229">
        <f t="shared" si="1884"/>
        <v>46044</v>
      </c>
      <c r="E12879" s="241">
        <f t="shared" si="1885"/>
        <v>46044</v>
      </c>
      <c r="F12879" s="512"/>
      <c r="G12879" s="231" t="s">
        <v>1245</v>
      </c>
      <c r="H12879" s="232"/>
      <c r="I12879" s="232" t="s">
        <v>1253</v>
      </c>
      <c r="J12879" s="228" t="s">
        <v>42</v>
      </c>
      <c r="K12879" s="233"/>
      <c r="L12879" s="233">
        <f>K12878</f>
        <v>747.591536972006</v>
      </c>
      <c r="N12879" s="251"/>
    </row>
    <row r="12880" spans="1:15" x14ac:dyDescent="0.2">
      <c r="A12880" s="424">
        <v>2026</v>
      </c>
      <c r="B12880" s="424">
        <v>1</v>
      </c>
      <c r="C12880" s="424">
        <v>25</v>
      </c>
      <c r="D12880" s="425">
        <f t="shared" si="1884"/>
        <v>46047</v>
      </c>
      <c r="E12880" s="384">
        <f t="shared" si="1885"/>
        <v>46047</v>
      </c>
      <c r="F12880" s="516" t="s">
        <v>1850</v>
      </c>
      <c r="G12880" s="426" t="s">
        <v>1209</v>
      </c>
      <c r="H12880" s="427"/>
      <c r="I12880" s="427"/>
      <c r="J12880" s="428" t="s">
        <v>81</v>
      </c>
      <c r="K12880" s="429">
        <v>4787.4520879120882</v>
      </c>
      <c r="L12880" s="429"/>
      <c r="M12880" s="455">
        <f>K12880*3</f>
        <v>14362.356263736265</v>
      </c>
    </row>
    <row r="12881" spans="1:16" x14ac:dyDescent="0.2">
      <c r="A12881" s="389">
        <v>2026</v>
      </c>
      <c r="B12881" s="389">
        <v>1</v>
      </c>
      <c r="C12881" s="389">
        <v>25</v>
      </c>
      <c r="D12881" s="390">
        <f t="shared" si="1884"/>
        <v>46047</v>
      </c>
      <c r="E12881" s="391">
        <f t="shared" si="1885"/>
        <v>46047</v>
      </c>
      <c r="F12881" s="517"/>
      <c r="G12881" s="392" t="s">
        <v>1209</v>
      </c>
      <c r="H12881" s="393"/>
      <c r="I12881" s="393"/>
      <c r="J12881" s="394" t="s">
        <v>1847</v>
      </c>
      <c r="K12881" s="423"/>
      <c r="L12881" s="423">
        <f>K12880</f>
        <v>4787.4520879120882</v>
      </c>
    </row>
    <row r="12882" spans="1:16" ht="11.25" customHeight="1" x14ac:dyDescent="0.2">
      <c r="A12882" s="382">
        <v>2026</v>
      </c>
      <c r="B12882" s="382">
        <v>1</v>
      </c>
      <c r="C12882" s="382">
        <v>25</v>
      </c>
      <c r="D12882" s="383">
        <f t="shared" si="1884"/>
        <v>46047</v>
      </c>
      <c r="E12882" s="384">
        <f t="shared" si="1885"/>
        <v>46047</v>
      </c>
      <c r="F12882" s="516" t="s">
        <v>1892</v>
      </c>
      <c r="G12882" s="385" t="s">
        <v>1209</v>
      </c>
      <c r="H12882" s="386"/>
      <c r="I12882" s="386"/>
      <c r="J12882" s="387" t="s">
        <v>173</v>
      </c>
      <c r="K12882" s="388">
        <v>1773.02</v>
      </c>
      <c r="L12882" s="388"/>
      <c r="M12882" s="455"/>
    </row>
    <row r="12883" spans="1:16" ht="11.25" customHeight="1" x14ac:dyDescent="0.2">
      <c r="A12883" s="389">
        <v>2026</v>
      </c>
      <c r="B12883" s="389">
        <v>1</v>
      </c>
      <c r="C12883" s="389">
        <v>25</v>
      </c>
      <c r="D12883" s="390">
        <f t="shared" si="1884"/>
        <v>46047</v>
      </c>
      <c r="E12883" s="391">
        <f t="shared" si="1885"/>
        <v>46047</v>
      </c>
      <c r="F12883" s="517"/>
      <c r="G12883" s="392" t="s">
        <v>1209</v>
      </c>
      <c r="H12883" s="393"/>
      <c r="I12883" s="393"/>
      <c r="J12883" s="394" t="s">
        <v>43</v>
      </c>
      <c r="K12883" s="388"/>
      <c r="L12883" s="423">
        <f>K12882</f>
        <v>1773.02</v>
      </c>
    </row>
    <row r="12884" spans="1:16" ht="11.25" customHeight="1" x14ac:dyDescent="0.2">
      <c r="A12884" s="344">
        <v>2026</v>
      </c>
      <c r="B12884" s="344">
        <v>1</v>
      </c>
      <c r="C12884" s="344">
        <v>25</v>
      </c>
      <c r="D12884" s="345">
        <f t="shared" si="1884"/>
        <v>46047</v>
      </c>
      <c r="E12884" s="346">
        <f t="shared" si="1885"/>
        <v>46047</v>
      </c>
      <c r="F12884" s="518" t="s">
        <v>1982</v>
      </c>
      <c r="G12884" s="347" t="s">
        <v>1245</v>
      </c>
      <c r="H12884" s="348"/>
      <c r="I12884" s="348" t="s">
        <v>1253</v>
      </c>
      <c r="J12884" s="344" t="s">
        <v>1978</v>
      </c>
      <c r="K12884" s="349">
        <v>63749.175824175822</v>
      </c>
      <c r="L12884" s="349"/>
      <c r="M12884" s="455"/>
    </row>
    <row r="12885" spans="1:16" ht="11.25" customHeight="1" x14ac:dyDescent="0.2">
      <c r="A12885" s="350">
        <v>2026</v>
      </c>
      <c r="B12885" s="350">
        <v>1</v>
      </c>
      <c r="C12885" s="350">
        <v>25</v>
      </c>
      <c r="D12885" s="351">
        <f t="shared" si="1884"/>
        <v>46047</v>
      </c>
      <c r="E12885" s="352">
        <f t="shared" si="1885"/>
        <v>46047</v>
      </c>
      <c r="F12885" s="519"/>
      <c r="G12885" s="353" t="s">
        <v>1245</v>
      </c>
      <c r="H12885" s="354"/>
      <c r="I12885" s="354" t="s">
        <v>1253</v>
      </c>
      <c r="J12885" s="350" t="s">
        <v>1979</v>
      </c>
      <c r="K12885" s="355"/>
      <c r="L12885" s="355">
        <f>K12884</f>
        <v>63749.175824175822</v>
      </c>
    </row>
    <row r="12886" spans="1:16" ht="11.25" customHeight="1" x14ac:dyDescent="0.2">
      <c r="A12886" s="344">
        <v>2026</v>
      </c>
      <c r="B12886" s="344">
        <v>1</v>
      </c>
      <c r="C12886" s="344">
        <v>25</v>
      </c>
      <c r="D12886" s="345">
        <f t="shared" si="1884"/>
        <v>46047</v>
      </c>
      <c r="E12886" s="346">
        <f t="shared" si="1885"/>
        <v>46047</v>
      </c>
      <c r="F12886" s="518" t="s">
        <v>2009</v>
      </c>
      <c r="G12886" s="347" t="s">
        <v>1245</v>
      </c>
      <c r="H12886" s="348"/>
      <c r="I12886" s="348" t="s">
        <v>1253</v>
      </c>
      <c r="J12886" s="344" t="s">
        <v>2004</v>
      </c>
      <c r="K12886" s="349">
        <v>21296.704285714284</v>
      </c>
      <c r="L12886" s="349"/>
      <c r="M12886" s="455"/>
    </row>
    <row r="12887" spans="1:16" ht="11.25" customHeight="1" x14ac:dyDescent="0.2">
      <c r="A12887" s="350">
        <v>2026</v>
      </c>
      <c r="B12887" s="350">
        <v>1</v>
      </c>
      <c r="C12887" s="350">
        <v>25</v>
      </c>
      <c r="D12887" s="351">
        <f t="shared" si="1884"/>
        <v>46047</v>
      </c>
      <c r="E12887" s="352">
        <f t="shared" si="1885"/>
        <v>46047</v>
      </c>
      <c r="F12887" s="519"/>
      <c r="G12887" s="353" t="s">
        <v>1245</v>
      </c>
      <c r="H12887" s="354"/>
      <c r="I12887" s="354" t="s">
        <v>1253</v>
      </c>
      <c r="J12887" s="350" t="s">
        <v>2008</v>
      </c>
      <c r="K12887" s="355"/>
      <c r="L12887" s="355">
        <f t="shared" ref="L12887" si="1886">K12886</f>
        <v>21296.704285714284</v>
      </c>
    </row>
    <row r="12888" spans="1:16" ht="11.25" customHeight="1" x14ac:dyDescent="0.2">
      <c r="A12888" s="344">
        <v>2026</v>
      </c>
      <c r="B12888" s="344">
        <v>1</v>
      </c>
      <c r="C12888" s="344">
        <v>25</v>
      </c>
      <c r="D12888" s="345">
        <f t="shared" si="1884"/>
        <v>46047</v>
      </c>
      <c r="E12888" s="346">
        <f t="shared" si="1885"/>
        <v>46047</v>
      </c>
      <c r="F12888" s="518" t="s">
        <v>2009</v>
      </c>
      <c r="G12888" s="347" t="s">
        <v>1245</v>
      </c>
      <c r="H12888" s="348"/>
      <c r="I12888" s="348" t="s">
        <v>1253</v>
      </c>
      <c r="J12888" s="344" t="s">
        <v>2004</v>
      </c>
      <c r="K12888" s="349">
        <v>21296.704285714284</v>
      </c>
      <c r="L12888" s="349"/>
      <c r="M12888" s="455"/>
    </row>
    <row r="12889" spans="1:16" ht="11.25" customHeight="1" x14ac:dyDescent="0.2">
      <c r="A12889" s="350">
        <v>2026</v>
      </c>
      <c r="B12889" s="350">
        <v>1</v>
      </c>
      <c r="C12889" s="350">
        <v>25</v>
      </c>
      <c r="D12889" s="351">
        <f t="shared" si="1884"/>
        <v>46047</v>
      </c>
      <c r="E12889" s="352">
        <f t="shared" si="1885"/>
        <v>46047</v>
      </c>
      <c r="F12889" s="519"/>
      <c r="G12889" s="353" t="s">
        <v>1245</v>
      </c>
      <c r="H12889" s="354"/>
      <c r="I12889" s="354" t="s">
        <v>1253</v>
      </c>
      <c r="J12889" s="350" t="s">
        <v>2008</v>
      </c>
      <c r="K12889" s="355"/>
      <c r="L12889" s="355">
        <f t="shared" ref="L12889" si="1887">K12888</f>
        <v>21296.704285714284</v>
      </c>
    </row>
    <row r="12890" spans="1:16" ht="11.25" customHeight="1" x14ac:dyDescent="0.2">
      <c r="A12890" s="344">
        <v>2026</v>
      </c>
      <c r="B12890" s="344">
        <v>1</v>
      </c>
      <c r="C12890" s="344">
        <v>25</v>
      </c>
      <c r="D12890" s="345">
        <f t="shared" si="1884"/>
        <v>46047</v>
      </c>
      <c r="E12890" s="346">
        <f t="shared" si="1885"/>
        <v>46047</v>
      </c>
      <c r="F12890" s="518" t="s">
        <v>2088</v>
      </c>
      <c r="G12890" s="347" t="s">
        <v>1245</v>
      </c>
      <c r="H12890" s="348"/>
      <c r="I12890" s="348" t="s">
        <v>1253</v>
      </c>
      <c r="J12890" s="344" t="s">
        <v>2086</v>
      </c>
      <c r="K12890" s="349">
        <v>5369.5054945054944</v>
      </c>
      <c r="L12890" s="349"/>
      <c r="M12890" s="455"/>
    </row>
    <row r="12891" spans="1:16" ht="11.25" customHeight="1" x14ac:dyDescent="0.2">
      <c r="A12891" s="350">
        <v>2026</v>
      </c>
      <c r="B12891" s="350">
        <v>1</v>
      </c>
      <c r="C12891" s="350">
        <v>25</v>
      </c>
      <c r="D12891" s="351">
        <f t="shared" si="1884"/>
        <v>46047</v>
      </c>
      <c r="E12891" s="352">
        <f t="shared" si="1885"/>
        <v>46047</v>
      </c>
      <c r="F12891" s="519"/>
      <c r="G12891" s="353" t="s">
        <v>1245</v>
      </c>
      <c r="H12891" s="354"/>
      <c r="I12891" s="354" t="s">
        <v>1253</v>
      </c>
      <c r="J12891" s="350" t="s">
        <v>2089</v>
      </c>
      <c r="K12891" s="355"/>
      <c r="L12891" s="355">
        <f>K12890</f>
        <v>5369.5054945054944</v>
      </c>
    </row>
    <row r="12892" spans="1:16" ht="11.25" customHeight="1" x14ac:dyDescent="0.2">
      <c r="A12892" s="344">
        <v>2026</v>
      </c>
      <c r="B12892" s="344">
        <v>1</v>
      </c>
      <c r="C12892" s="344">
        <v>25</v>
      </c>
      <c r="D12892" s="345">
        <f t="shared" si="1884"/>
        <v>46047</v>
      </c>
      <c r="E12892" s="346">
        <f>DATE(A12892,B12892,C12892)</f>
        <v>46047</v>
      </c>
      <c r="F12892" s="518" t="s">
        <v>1988</v>
      </c>
      <c r="G12892" s="347" t="s">
        <v>1245</v>
      </c>
      <c r="H12892" s="348"/>
      <c r="I12892" s="348" t="s">
        <v>1253</v>
      </c>
      <c r="J12892" s="344" t="s">
        <v>113</v>
      </c>
      <c r="K12892" s="349">
        <v>14076.92142857143</v>
      </c>
      <c r="L12892" s="349"/>
      <c r="M12892" s="455"/>
    </row>
    <row r="12893" spans="1:16" ht="11.25" customHeight="1" x14ac:dyDescent="0.2">
      <c r="A12893" s="350">
        <v>2026</v>
      </c>
      <c r="B12893" s="350">
        <v>1</v>
      </c>
      <c r="C12893" s="350">
        <v>25</v>
      </c>
      <c r="D12893" s="351">
        <f t="shared" si="1884"/>
        <v>46047</v>
      </c>
      <c r="E12893" s="352">
        <f>DATE(A12893,B12893,C12893)</f>
        <v>46047</v>
      </c>
      <c r="F12893" s="519"/>
      <c r="G12893" s="353" t="s">
        <v>1245</v>
      </c>
      <c r="H12893" s="354"/>
      <c r="I12893" s="354" t="s">
        <v>1253</v>
      </c>
      <c r="J12893" s="350" t="s">
        <v>153</v>
      </c>
      <c r="K12893" s="355"/>
      <c r="L12893" s="355">
        <f t="shared" ref="L12893" si="1888">K12892</f>
        <v>14076.92142857143</v>
      </c>
    </row>
    <row r="12894" spans="1:16" ht="11.25" customHeight="1" x14ac:dyDescent="0.2">
      <c r="A12894" s="344">
        <v>2026</v>
      </c>
      <c r="B12894" s="344">
        <v>1</v>
      </c>
      <c r="C12894" s="344">
        <v>25</v>
      </c>
      <c r="D12894" s="345">
        <f t="shared" si="1884"/>
        <v>46047</v>
      </c>
      <c r="E12894" s="346">
        <f t="shared" ref="E12894:E12900" si="1889">DATE(A12894,B12894,C12894)</f>
        <v>46047</v>
      </c>
      <c r="F12894" s="518" t="s">
        <v>1989</v>
      </c>
      <c r="G12894" s="347" t="s">
        <v>1245</v>
      </c>
      <c r="H12894" s="348"/>
      <c r="I12894" s="348" t="s">
        <v>1253</v>
      </c>
      <c r="J12894" s="344" t="s">
        <v>113</v>
      </c>
      <c r="K12894" s="349">
        <v>10054.945054945056</v>
      </c>
      <c r="L12894" s="349"/>
      <c r="M12894" s="455"/>
    </row>
    <row r="12895" spans="1:16" ht="11.25" customHeight="1" x14ac:dyDescent="0.2">
      <c r="A12895" s="350">
        <v>2026</v>
      </c>
      <c r="B12895" s="350">
        <v>1</v>
      </c>
      <c r="C12895" s="350">
        <v>25</v>
      </c>
      <c r="D12895" s="351">
        <f t="shared" si="1884"/>
        <v>46047</v>
      </c>
      <c r="E12895" s="352">
        <f t="shared" si="1889"/>
        <v>46047</v>
      </c>
      <c r="F12895" s="519"/>
      <c r="G12895" s="353" t="s">
        <v>1245</v>
      </c>
      <c r="H12895" s="354"/>
      <c r="I12895" s="354" t="s">
        <v>1253</v>
      </c>
      <c r="J12895" s="350" t="s">
        <v>153</v>
      </c>
      <c r="K12895" s="355"/>
      <c r="L12895" s="355">
        <f t="shared" ref="L12895" si="1890">K12894</f>
        <v>10054.945054945056</v>
      </c>
    </row>
    <row r="12896" spans="1:16" ht="11.25" customHeight="1" x14ac:dyDescent="0.2">
      <c r="A12896" s="344">
        <v>2026</v>
      </c>
      <c r="B12896" s="344">
        <v>1</v>
      </c>
      <c r="C12896" s="344">
        <v>25</v>
      </c>
      <c r="D12896" s="345">
        <f t="shared" si="1884"/>
        <v>46047</v>
      </c>
      <c r="E12896" s="346">
        <f t="shared" si="1889"/>
        <v>46047</v>
      </c>
      <c r="F12896" s="518" t="s">
        <v>1990</v>
      </c>
      <c r="G12896" s="347" t="s">
        <v>1245</v>
      </c>
      <c r="H12896" s="348"/>
      <c r="I12896" s="348" t="s">
        <v>1253</v>
      </c>
      <c r="J12896" s="344" t="s">
        <v>113</v>
      </c>
      <c r="K12896" s="349">
        <v>30164.837142857141</v>
      </c>
      <c r="L12896" s="349"/>
      <c r="M12896" s="455"/>
      <c r="N12896" s="251"/>
      <c r="O12896" s="251"/>
      <c r="P12896" s="251"/>
    </row>
    <row r="12897" spans="1:16" ht="11.25" customHeight="1" x14ac:dyDescent="0.2">
      <c r="A12897" s="350">
        <v>2026</v>
      </c>
      <c r="B12897" s="350">
        <v>1</v>
      </c>
      <c r="C12897" s="350">
        <v>25</v>
      </c>
      <c r="D12897" s="351">
        <f t="shared" si="1884"/>
        <v>46047</v>
      </c>
      <c r="E12897" s="352">
        <f t="shared" si="1889"/>
        <v>46047</v>
      </c>
      <c r="F12897" s="519"/>
      <c r="G12897" s="353" t="s">
        <v>1245</v>
      </c>
      <c r="H12897" s="354"/>
      <c r="I12897" s="354" t="s">
        <v>1253</v>
      </c>
      <c r="J12897" s="350" t="s">
        <v>153</v>
      </c>
      <c r="K12897" s="355"/>
      <c r="L12897" s="355">
        <f t="shared" ref="L12897" si="1891">K12896</f>
        <v>30164.837142857141</v>
      </c>
      <c r="M12897" s="455"/>
    </row>
    <row r="12898" spans="1:16" ht="11.25" customHeight="1" x14ac:dyDescent="0.2">
      <c r="A12898" s="344">
        <v>2026</v>
      </c>
      <c r="B12898" s="344">
        <v>1</v>
      </c>
      <c r="C12898" s="344">
        <v>25</v>
      </c>
      <c r="D12898" s="345">
        <f t="shared" si="1884"/>
        <v>46047</v>
      </c>
      <c r="E12898" s="346">
        <f t="shared" si="1889"/>
        <v>46047</v>
      </c>
      <c r="F12898" s="518" t="s">
        <v>2107</v>
      </c>
      <c r="G12898" s="347" t="s">
        <v>1245</v>
      </c>
      <c r="H12898" s="348"/>
      <c r="I12898" s="348" t="s">
        <v>1253</v>
      </c>
      <c r="J12898" s="344" t="s">
        <v>113</v>
      </c>
      <c r="K12898" s="349">
        <v>37112.637362637361</v>
      </c>
      <c r="L12898" s="349"/>
      <c r="M12898" s="455"/>
      <c r="N12898" s="251"/>
      <c r="O12898" s="251"/>
      <c r="P12898" s="251"/>
    </row>
    <row r="12899" spans="1:16" ht="11.25" customHeight="1" x14ac:dyDescent="0.2">
      <c r="A12899" s="350">
        <v>2026</v>
      </c>
      <c r="B12899" s="350">
        <v>1</v>
      </c>
      <c r="C12899" s="350">
        <v>25</v>
      </c>
      <c r="D12899" s="351">
        <f t="shared" si="1884"/>
        <v>46047</v>
      </c>
      <c r="E12899" s="352">
        <f t="shared" si="1889"/>
        <v>46047</v>
      </c>
      <c r="F12899" s="519"/>
      <c r="G12899" s="353" t="s">
        <v>1245</v>
      </c>
      <c r="H12899" s="354"/>
      <c r="I12899" s="354" t="s">
        <v>1253</v>
      </c>
      <c r="J12899" s="350" t="s">
        <v>153</v>
      </c>
      <c r="K12899" s="355"/>
      <c r="L12899" s="355">
        <f t="shared" ref="L12899" si="1892">K12898</f>
        <v>37112.637362637361</v>
      </c>
    </row>
    <row r="12900" spans="1:16" ht="11.25" customHeight="1" x14ac:dyDescent="0.2">
      <c r="A12900" s="210">
        <v>2026</v>
      </c>
      <c r="B12900" s="210">
        <v>1</v>
      </c>
      <c r="C12900" s="210">
        <v>25</v>
      </c>
      <c r="D12900" s="211">
        <f t="shared" si="1884"/>
        <v>46047</v>
      </c>
      <c r="E12900" s="238">
        <f t="shared" si="1889"/>
        <v>46047</v>
      </c>
      <c r="F12900" s="520" t="s">
        <v>1857</v>
      </c>
      <c r="G12900" s="213" t="s">
        <v>1245</v>
      </c>
      <c r="H12900" s="214"/>
      <c r="I12900" s="214" t="s">
        <v>1253</v>
      </c>
      <c r="J12900" s="210" t="s">
        <v>1284</v>
      </c>
      <c r="K12900" s="215">
        <v>1003.6334633108827</v>
      </c>
      <c r="L12900" s="215"/>
      <c r="M12900" s="455"/>
    </row>
    <row r="12901" spans="1:16" ht="11.25" customHeight="1" x14ac:dyDescent="0.2">
      <c r="A12901" s="242">
        <v>2026</v>
      </c>
      <c r="B12901" s="242">
        <v>1</v>
      </c>
      <c r="C12901" s="242">
        <v>25</v>
      </c>
      <c r="D12901" s="243">
        <f t="shared" si="1884"/>
        <v>46047</v>
      </c>
      <c r="E12901" s="244">
        <f>DATE(A12901,B12901,C12901)</f>
        <v>46047</v>
      </c>
      <c r="F12901" s="524"/>
      <c r="G12901" s="245" t="s">
        <v>1245</v>
      </c>
      <c r="H12901" s="246"/>
      <c r="I12901" s="246"/>
      <c r="J12901" s="242" t="s">
        <v>1582</v>
      </c>
      <c r="K12901" s="247"/>
      <c r="L12901" s="247">
        <f>K12900</f>
        <v>1003.6334633108827</v>
      </c>
    </row>
    <row r="12902" spans="1:16" ht="11.25" customHeight="1" x14ac:dyDescent="0.2">
      <c r="A12902" s="210">
        <v>2026</v>
      </c>
      <c r="B12902" s="210">
        <v>1</v>
      </c>
      <c r="C12902" s="210">
        <v>25</v>
      </c>
      <c r="D12902" s="211">
        <f t="shared" si="1884"/>
        <v>46047</v>
      </c>
      <c r="E12902" s="238">
        <f t="shared" ref="E12902:E12928" si="1893">DATE(A12902,B12902,C12902)</f>
        <v>46047</v>
      </c>
      <c r="F12902" s="520" t="s">
        <v>2055</v>
      </c>
      <c r="G12902" s="213" t="s">
        <v>1245</v>
      </c>
      <c r="H12902" s="214"/>
      <c r="I12902" s="214" t="s">
        <v>1253</v>
      </c>
      <c r="J12902" s="210" t="s">
        <v>58</v>
      </c>
      <c r="K12902" s="215">
        <v>5811.77</v>
      </c>
      <c r="L12902" s="215"/>
    </row>
    <row r="12903" spans="1:16" ht="11.25" customHeight="1" x14ac:dyDescent="0.2">
      <c r="A12903" s="216">
        <v>2026</v>
      </c>
      <c r="B12903" s="216">
        <v>1</v>
      </c>
      <c r="C12903" s="216">
        <v>25</v>
      </c>
      <c r="D12903" s="217">
        <f t="shared" si="1884"/>
        <v>46047</v>
      </c>
      <c r="E12903" s="239">
        <f t="shared" si="1893"/>
        <v>46047</v>
      </c>
      <c r="F12903" s="521"/>
      <c r="G12903" s="219" t="s">
        <v>1245</v>
      </c>
      <c r="H12903" s="220"/>
      <c r="I12903" s="220" t="s">
        <v>1253</v>
      </c>
      <c r="J12903" s="216" t="s">
        <v>153</v>
      </c>
      <c r="K12903" s="221"/>
      <c r="L12903" s="221">
        <f>K12902</f>
        <v>5811.77</v>
      </c>
    </row>
    <row r="12904" spans="1:16" ht="11.25" customHeight="1" x14ac:dyDescent="0.2">
      <c r="A12904" s="312">
        <v>2026</v>
      </c>
      <c r="B12904" s="312">
        <v>1</v>
      </c>
      <c r="C12904" s="312">
        <v>25</v>
      </c>
      <c r="D12904" s="313">
        <f t="shared" si="1884"/>
        <v>46047</v>
      </c>
      <c r="E12904" s="314">
        <f t="shared" si="1893"/>
        <v>46047</v>
      </c>
      <c r="F12904" s="522" t="s">
        <v>1595</v>
      </c>
      <c r="G12904" s="315" t="s">
        <v>1245</v>
      </c>
      <c r="H12904" s="316"/>
      <c r="I12904" s="316" t="s">
        <v>1253</v>
      </c>
      <c r="J12904" s="312" t="s">
        <v>1461</v>
      </c>
      <c r="K12904" s="317">
        <v>295497.51900029182</v>
      </c>
      <c r="L12904" s="317"/>
      <c r="M12904" s="328"/>
    </row>
    <row r="12905" spans="1:16" ht="11.25" customHeight="1" x14ac:dyDescent="0.2">
      <c r="A12905" s="318">
        <v>2026</v>
      </c>
      <c r="B12905" s="318">
        <v>1</v>
      </c>
      <c r="C12905" s="318">
        <v>25</v>
      </c>
      <c r="D12905" s="319">
        <f t="shared" si="1884"/>
        <v>46047</v>
      </c>
      <c r="E12905" s="320">
        <f t="shared" si="1893"/>
        <v>46047</v>
      </c>
      <c r="F12905" s="523"/>
      <c r="G12905" s="321" t="s">
        <v>1245</v>
      </c>
      <c r="H12905" s="322"/>
      <c r="I12905" s="322" t="s">
        <v>1253</v>
      </c>
      <c r="J12905" s="318" t="s">
        <v>1459</v>
      </c>
      <c r="K12905" s="323"/>
      <c r="L12905" s="323">
        <f>K12904</f>
        <v>295497.51900029182</v>
      </c>
      <c r="M12905" s="328"/>
    </row>
    <row r="12906" spans="1:16" ht="11.25" customHeight="1" x14ac:dyDescent="0.2">
      <c r="A12906" s="222">
        <v>2026</v>
      </c>
      <c r="B12906" s="222">
        <v>1</v>
      </c>
      <c r="C12906" s="222">
        <v>25</v>
      </c>
      <c r="D12906" s="223">
        <f t="shared" si="1884"/>
        <v>46047</v>
      </c>
      <c r="E12906" s="240">
        <f t="shared" si="1893"/>
        <v>46047</v>
      </c>
      <c r="F12906" s="511" t="s">
        <v>1244</v>
      </c>
      <c r="G12906" s="225" t="s">
        <v>1245</v>
      </c>
      <c r="H12906" s="226"/>
      <c r="I12906" s="226" t="s">
        <v>1253</v>
      </c>
      <c r="J12906" s="222" t="s">
        <v>72</v>
      </c>
      <c r="K12906" s="227">
        <v>19</v>
      </c>
      <c r="L12906" s="227"/>
      <c r="M12906" s="328"/>
    </row>
    <row r="12907" spans="1:16" ht="11.25" customHeight="1" x14ac:dyDescent="0.2">
      <c r="A12907" s="228">
        <v>2026</v>
      </c>
      <c r="B12907" s="228">
        <v>1</v>
      </c>
      <c r="C12907" s="228">
        <v>25</v>
      </c>
      <c r="D12907" s="229">
        <f t="shared" si="1884"/>
        <v>46047</v>
      </c>
      <c r="E12907" s="241">
        <f t="shared" si="1893"/>
        <v>46047</v>
      </c>
      <c r="F12907" s="512"/>
      <c r="G12907" s="231" t="s">
        <v>1245</v>
      </c>
      <c r="H12907" s="232"/>
      <c r="I12907" s="232" t="s">
        <v>1253</v>
      </c>
      <c r="J12907" s="228" t="s">
        <v>87</v>
      </c>
      <c r="K12907" s="233"/>
      <c r="L12907" s="233">
        <f>K12906</f>
        <v>19</v>
      </c>
    </row>
    <row r="12908" spans="1:16" ht="11.25" customHeight="1" x14ac:dyDescent="0.2">
      <c r="A12908" s="222">
        <v>2026</v>
      </c>
      <c r="B12908" s="222">
        <v>1</v>
      </c>
      <c r="C12908" s="222">
        <v>25</v>
      </c>
      <c r="D12908" s="223">
        <f t="shared" si="1884"/>
        <v>46047</v>
      </c>
      <c r="E12908" s="240">
        <f t="shared" si="1893"/>
        <v>46047</v>
      </c>
      <c r="F12908" s="511" t="s">
        <v>1246</v>
      </c>
      <c r="G12908" s="225" t="s">
        <v>1245</v>
      </c>
      <c r="H12908" s="226"/>
      <c r="I12908" s="226" t="s">
        <v>1253</v>
      </c>
      <c r="J12908" s="222" t="s">
        <v>75</v>
      </c>
      <c r="K12908" s="227">
        <v>1552.7673626373626</v>
      </c>
      <c r="L12908" s="227"/>
      <c r="M12908" s="455"/>
    </row>
    <row r="12909" spans="1:16" ht="11.25" customHeight="1" x14ac:dyDescent="0.2">
      <c r="A12909" s="228">
        <v>2026</v>
      </c>
      <c r="B12909" s="228">
        <v>1</v>
      </c>
      <c r="C12909" s="228">
        <v>25</v>
      </c>
      <c r="D12909" s="229">
        <f t="shared" si="1884"/>
        <v>46047</v>
      </c>
      <c r="E12909" s="241">
        <f t="shared" si="1893"/>
        <v>46047</v>
      </c>
      <c r="F12909" s="512"/>
      <c r="G12909" s="231" t="s">
        <v>1245</v>
      </c>
      <c r="H12909" s="232"/>
      <c r="I12909" s="232" t="s">
        <v>1253</v>
      </c>
      <c r="J12909" s="228" t="s">
        <v>55</v>
      </c>
      <c r="K12909" s="233"/>
      <c r="L12909" s="233">
        <f>K12908</f>
        <v>1552.7673626373626</v>
      </c>
    </row>
    <row r="12910" spans="1:16" ht="11.25" customHeight="1" x14ac:dyDescent="0.2">
      <c r="A12910" s="222">
        <v>2026</v>
      </c>
      <c r="B12910" s="222">
        <v>1</v>
      </c>
      <c r="C12910" s="222">
        <v>25</v>
      </c>
      <c r="D12910" s="223">
        <f t="shared" si="1884"/>
        <v>46047</v>
      </c>
      <c r="E12910" s="240">
        <f t="shared" si="1893"/>
        <v>46047</v>
      </c>
      <c r="F12910" s="511" t="s">
        <v>1247</v>
      </c>
      <c r="G12910" s="225" t="s">
        <v>1245</v>
      </c>
      <c r="H12910" s="226"/>
      <c r="I12910" s="226" t="s">
        <v>1253</v>
      </c>
      <c r="J12910" s="222" t="s">
        <v>77</v>
      </c>
      <c r="K12910" s="227">
        <v>22508.527918499432</v>
      </c>
      <c r="L12910" s="227"/>
      <c r="M12910" s="478">
        <v>7502.8426394998105</v>
      </c>
    </row>
    <row r="12911" spans="1:16" ht="11.25" customHeight="1" x14ac:dyDescent="0.2">
      <c r="A12911" s="228">
        <v>2026</v>
      </c>
      <c r="B12911" s="228">
        <v>1</v>
      </c>
      <c r="C12911" s="228">
        <v>25</v>
      </c>
      <c r="D12911" s="229">
        <f t="shared" si="1884"/>
        <v>46047</v>
      </c>
      <c r="E12911" s="241">
        <f t="shared" si="1893"/>
        <v>46047</v>
      </c>
      <c r="F12911" s="512"/>
      <c r="G12911" s="231" t="s">
        <v>1245</v>
      </c>
      <c r="H12911" s="232"/>
      <c r="I12911" s="232" t="s">
        <v>1253</v>
      </c>
      <c r="J12911" s="228" t="s">
        <v>41</v>
      </c>
      <c r="K12911" s="233"/>
      <c r="L12911" s="233">
        <f>K12910</f>
        <v>22508.527918499432</v>
      </c>
      <c r="M12911" s="478">
        <v>750.28426394998121</v>
      </c>
      <c r="N12911" s="251"/>
    </row>
    <row r="12912" spans="1:16" ht="11.25" customHeight="1" x14ac:dyDescent="0.2">
      <c r="A12912" s="222">
        <v>2026</v>
      </c>
      <c r="B12912" s="222">
        <v>1</v>
      </c>
      <c r="C12912" s="222">
        <v>25</v>
      </c>
      <c r="D12912" s="223">
        <f t="shared" si="1884"/>
        <v>46047</v>
      </c>
      <c r="E12912" s="240">
        <f t="shared" si="1893"/>
        <v>46047</v>
      </c>
      <c r="F12912" s="511" t="s">
        <v>1248</v>
      </c>
      <c r="G12912" s="225" t="s">
        <v>1245</v>
      </c>
      <c r="H12912" s="226"/>
      <c r="I12912" s="226" t="s">
        <v>1253</v>
      </c>
      <c r="J12912" s="222" t="s">
        <v>80</v>
      </c>
      <c r="K12912" s="227">
        <v>2250.8527918499435</v>
      </c>
      <c r="L12912" s="227"/>
      <c r="N12912" s="251"/>
      <c r="O12912" s="251"/>
    </row>
    <row r="12913" spans="1:14" ht="11.25" customHeight="1" x14ac:dyDescent="0.2">
      <c r="A12913" s="228">
        <v>2026</v>
      </c>
      <c r="B12913" s="228">
        <v>1</v>
      </c>
      <c r="C12913" s="228">
        <v>25</v>
      </c>
      <c r="D12913" s="229">
        <f t="shared" si="1884"/>
        <v>46047</v>
      </c>
      <c r="E12913" s="241">
        <f t="shared" si="1893"/>
        <v>46047</v>
      </c>
      <c r="F12913" s="512"/>
      <c r="G12913" s="231" t="s">
        <v>1245</v>
      </c>
      <c r="H12913" s="232"/>
      <c r="I12913" s="232" t="s">
        <v>1253</v>
      </c>
      <c r="J12913" s="228" t="s">
        <v>42</v>
      </c>
      <c r="K12913" s="233"/>
      <c r="L12913" s="233">
        <f>K12912</f>
        <v>2250.8527918499435</v>
      </c>
      <c r="N12913" s="251"/>
    </row>
    <row r="12914" spans="1:14" x14ac:dyDescent="0.2">
      <c r="A12914" s="197">
        <v>2026</v>
      </c>
      <c r="B12914" s="197">
        <v>1</v>
      </c>
      <c r="C12914" s="197">
        <v>26</v>
      </c>
      <c r="D12914" s="198">
        <f t="shared" si="1884"/>
        <v>46048</v>
      </c>
      <c r="E12914" s="209">
        <f t="shared" si="1893"/>
        <v>46048</v>
      </c>
      <c r="F12914" s="513" t="s">
        <v>1296</v>
      </c>
      <c r="G12914" s="200" t="s">
        <v>1209</v>
      </c>
      <c r="H12914" s="201"/>
      <c r="I12914" s="201"/>
      <c r="J12914" s="197" t="s">
        <v>46</v>
      </c>
      <c r="K12914" s="202">
        <v>439140</v>
      </c>
      <c r="L12914" s="202"/>
    </row>
    <row r="12915" spans="1:14" x14ac:dyDescent="0.2">
      <c r="A12915" s="120">
        <v>2026</v>
      </c>
      <c r="B12915" s="120">
        <v>1</v>
      </c>
      <c r="C12915" s="120">
        <v>26</v>
      </c>
      <c r="D12915" s="208">
        <f t="shared" si="1884"/>
        <v>46048</v>
      </c>
      <c r="E12915" s="209">
        <f t="shared" si="1893"/>
        <v>46048</v>
      </c>
      <c r="F12915" s="515"/>
      <c r="G12915" s="132" t="s">
        <v>1209</v>
      </c>
      <c r="J12915" s="120" t="s">
        <v>16</v>
      </c>
      <c r="K12915" s="207"/>
      <c r="L12915" s="207">
        <v>315280</v>
      </c>
    </row>
    <row r="12916" spans="1:14" x14ac:dyDescent="0.2">
      <c r="A12916" s="191">
        <v>2026</v>
      </c>
      <c r="B12916" s="191">
        <v>1</v>
      </c>
      <c r="C12916" s="191">
        <v>26</v>
      </c>
      <c r="D12916" s="192">
        <f t="shared" si="1884"/>
        <v>46048</v>
      </c>
      <c r="E12916" s="193">
        <f t="shared" si="1893"/>
        <v>46048</v>
      </c>
      <c r="F12916" s="514"/>
      <c r="G12916" s="194" t="s">
        <v>1209</v>
      </c>
      <c r="H12916" s="195"/>
      <c r="I12916" s="195"/>
      <c r="J12916" s="191" t="s">
        <v>47</v>
      </c>
      <c r="K12916" s="196"/>
      <c r="L12916" s="196">
        <v>123860</v>
      </c>
    </row>
    <row r="12917" spans="1:14" x14ac:dyDescent="0.2">
      <c r="A12917" s="424">
        <v>2026</v>
      </c>
      <c r="B12917" s="424">
        <v>1</v>
      </c>
      <c r="C12917" s="424">
        <v>26</v>
      </c>
      <c r="D12917" s="425">
        <f t="shared" si="1884"/>
        <v>46048</v>
      </c>
      <c r="E12917" s="384">
        <f t="shared" si="1893"/>
        <v>46048</v>
      </c>
      <c r="F12917" s="516" t="s">
        <v>1850</v>
      </c>
      <c r="G12917" s="426" t="s">
        <v>1209</v>
      </c>
      <c r="H12917" s="427"/>
      <c r="I12917" s="427"/>
      <c r="J12917" s="428" t="s">
        <v>81</v>
      </c>
      <c r="K12917" s="429">
        <v>1595.8173626373627</v>
      </c>
      <c r="L12917" s="429"/>
      <c r="M12917" s="455"/>
    </row>
    <row r="12918" spans="1:14" x14ac:dyDescent="0.2">
      <c r="A12918" s="389">
        <v>2026</v>
      </c>
      <c r="B12918" s="389">
        <v>1</v>
      </c>
      <c r="C12918" s="389">
        <v>26</v>
      </c>
      <c r="D12918" s="390">
        <f t="shared" si="1884"/>
        <v>46048</v>
      </c>
      <c r="E12918" s="391">
        <f t="shared" si="1893"/>
        <v>46048</v>
      </c>
      <c r="F12918" s="517"/>
      <c r="G12918" s="392" t="s">
        <v>1209</v>
      </c>
      <c r="H12918" s="393"/>
      <c r="I12918" s="393"/>
      <c r="J12918" s="394" t="s">
        <v>1847</v>
      </c>
      <c r="K12918" s="423"/>
      <c r="L12918" s="423">
        <f>K12917</f>
        <v>1595.8173626373627</v>
      </c>
    </row>
    <row r="12919" spans="1:14" ht="11.25" customHeight="1" x14ac:dyDescent="0.2">
      <c r="A12919" s="382">
        <v>2026</v>
      </c>
      <c r="B12919" s="382">
        <v>1</v>
      </c>
      <c r="C12919" s="382">
        <v>26</v>
      </c>
      <c r="D12919" s="383">
        <f t="shared" si="1884"/>
        <v>46048</v>
      </c>
      <c r="E12919" s="384">
        <f t="shared" si="1893"/>
        <v>46048</v>
      </c>
      <c r="F12919" s="516" t="s">
        <v>1892</v>
      </c>
      <c r="G12919" s="385" t="s">
        <v>1209</v>
      </c>
      <c r="H12919" s="386"/>
      <c r="I12919" s="386"/>
      <c r="J12919" s="387" t="s">
        <v>173</v>
      </c>
      <c r="K12919" s="388">
        <v>589.80412384722206</v>
      </c>
      <c r="L12919" s="388"/>
      <c r="M12919" s="455"/>
    </row>
    <row r="12920" spans="1:14" ht="11.25" customHeight="1" x14ac:dyDescent="0.2">
      <c r="A12920" s="389">
        <v>2026</v>
      </c>
      <c r="B12920" s="389">
        <v>1</v>
      </c>
      <c r="C12920" s="389">
        <v>26</v>
      </c>
      <c r="D12920" s="390">
        <f t="shared" si="1884"/>
        <v>46048</v>
      </c>
      <c r="E12920" s="391">
        <f t="shared" si="1893"/>
        <v>46048</v>
      </c>
      <c r="F12920" s="517"/>
      <c r="G12920" s="392" t="s">
        <v>1209</v>
      </c>
      <c r="H12920" s="393"/>
      <c r="I12920" s="393"/>
      <c r="J12920" s="394" t="s">
        <v>43</v>
      </c>
      <c r="K12920" s="388"/>
      <c r="L12920" s="423">
        <f>K12919</f>
        <v>589.80412384722206</v>
      </c>
    </row>
    <row r="12921" spans="1:14" ht="11.25" customHeight="1" x14ac:dyDescent="0.2">
      <c r="A12921" s="344">
        <v>2026</v>
      </c>
      <c r="B12921" s="344">
        <v>1</v>
      </c>
      <c r="C12921" s="344">
        <v>26</v>
      </c>
      <c r="D12921" s="345">
        <f t="shared" si="1884"/>
        <v>46048</v>
      </c>
      <c r="E12921" s="346">
        <f t="shared" si="1893"/>
        <v>46048</v>
      </c>
      <c r="F12921" s="518" t="s">
        <v>1982</v>
      </c>
      <c r="G12921" s="347" t="s">
        <v>1245</v>
      </c>
      <c r="H12921" s="348"/>
      <c r="I12921" s="348" t="s">
        <v>1253</v>
      </c>
      <c r="J12921" s="344" t="s">
        <v>1978</v>
      </c>
      <c r="K12921" s="349">
        <v>21249.725274725275</v>
      </c>
      <c r="L12921" s="349"/>
      <c r="M12921" s="455"/>
    </row>
    <row r="12922" spans="1:14" ht="11.25" customHeight="1" x14ac:dyDescent="0.2">
      <c r="A12922" s="350">
        <v>2026</v>
      </c>
      <c r="B12922" s="350">
        <v>1</v>
      </c>
      <c r="C12922" s="350">
        <v>26</v>
      </c>
      <c r="D12922" s="351">
        <f t="shared" si="1884"/>
        <v>46048</v>
      </c>
      <c r="E12922" s="352">
        <f t="shared" si="1893"/>
        <v>46048</v>
      </c>
      <c r="F12922" s="519"/>
      <c r="G12922" s="353" t="s">
        <v>1245</v>
      </c>
      <c r="H12922" s="354"/>
      <c r="I12922" s="354" t="s">
        <v>1253</v>
      </c>
      <c r="J12922" s="350" t="s">
        <v>1979</v>
      </c>
      <c r="K12922" s="355"/>
      <c r="L12922" s="355">
        <f>K12921</f>
        <v>21249.725274725275</v>
      </c>
    </row>
    <row r="12923" spans="1:14" ht="11.25" customHeight="1" x14ac:dyDescent="0.2">
      <c r="A12923" s="344">
        <v>2026</v>
      </c>
      <c r="B12923" s="344">
        <v>1</v>
      </c>
      <c r="C12923" s="344">
        <v>26</v>
      </c>
      <c r="D12923" s="345">
        <f t="shared" si="1884"/>
        <v>46048</v>
      </c>
      <c r="E12923" s="346">
        <f t="shared" si="1893"/>
        <v>46048</v>
      </c>
      <c r="F12923" s="518" t="s">
        <v>2009</v>
      </c>
      <c r="G12923" s="347" t="s">
        <v>1245</v>
      </c>
      <c r="H12923" s="348"/>
      <c r="I12923" s="348" t="s">
        <v>1253</v>
      </c>
      <c r="J12923" s="344" t="s">
        <v>2004</v>
      </c>
      <c r="K12923" s="349">
        <v>7098.9014285714284</v>
      </c>
      <c r="L12923" s="349"/>
      <c r="M12923" s="455"/>
    </row>
    <row r="12924" spans="1:14" ht="11.25" customHeight="1" x14ac:dyDescent="0.2">
      <c r="A12924" s="350">
        <v>2026</v>
      </c>
      <c r="B12924" s="350">
        <v>1</v>
      </c>
      <c r="C12924" s="350">
        <v>26</v>
      </c>
      <c r="D12924" s="351">
        <f t="shared" si="1884"/>
        <v>46048</v>
      </c>
      <c r="E12924" s="352">
        <f t="shared" si="1893"/>
        <v>46048</v>
      </c>
      <c r="F12924" s="519"/>
      <c r="G12924" s="353" t="s">
        <v>1245</v>
      </c>
      <c r="H12924" s="354"/>
      <c r="I12924" s="354" t="s">
        <v>1253</v>
      </c>
      <c r="J12924" s="350" t="s">
        <v>2008</v>
      </c>
      <c r="K12924" s="355"/>
      <c r="L12924" s="355">
        <f t="shared" ref="L12924" si="1894">K12923</f>
        <v>7098.9014285714284</v>
      </c>
    </row>
    <row r="12925" spans="1:14" ht="11.25" customHeight="1" x14ac:dyDescent="0.2">
      <c r="A12925" s="344">
        <v>2026</v>
      </c>
      <c r="B12925" s="344">
        <v>1</v>
      </c>
      <c r="C12925" s="344">
        <v>26</v>
      </c>
      <c r="D12925" s="345">
        <f t="shared" si="1884"/>
        <v>46048</v>
      </c>
      <c r="E12925" s="346">
        <f t="shared" si="1893"/>
        <v>46048</v>
      </c>
      <c r="F12925" s="518" t="s">
        <v>2009</v>
      </c>
      <c r="G12925" s="347" t="s">
        <v>1245</v>
      </c>
      <c r="H12925" s="348"/>
      <c r="I12925" s="348" t="s">
        <v>1253</v>
      </c>
      <c r="J12925" s="344" t="s">
        <v>2004</v>
      </c>
      <c r="K12925" s="349">
        <v>7098.9014285714284</v>
      </c>
      <c r="L12925" s="349"/>
      <c r="M12925" s="455"/>
    </row>
    <row r="12926" spans="1:14" ht="11.25" customHeight="1" x14ac:dyDescent="0.2">
      <c r="A12926" s="350">
        <v>2026</v>
      </c>
      <c r="B12926" s="350">
        <v>1</v>
      </c>
      <c r="C12926" s="350">
        <v>26</v>
      </c>
      <c r="D12926" s="351">
        <f t="shared" si="1884"/>
        <v>46048</v>
      </c>
      <c r="E12926" s="352">
        <f t="shared" si="1893"/>
        <v>46048</v>
      </c>
      <c r="F12926" s="519"/>
      <c r="G12926" s="353" t="s">
        <v>1245</v>
      </c>
      <c r="H12926" s="354"/>
      <c r="I12926" s="354" t="s">
        <v>1253</v>
      </c>
      <c r="J12926" s="350" t="s">
        <v>2008</v>
      </c>
      <c r="K12926" s="355"/>
      <c r="L12926" s="355">
        <f t="shared" ref="L12926" si="1895">K12925</f>
        <v>7098.9014285714284</v>
      </c>
    </row>
    <row r="12927" spans="1:14" ht="11.25" customHeight="1" x14ac:dyDescent="0.2">
      <c r="A12927" s="344">
        <v>2026</v>
      </c>
      <c r="B12927" s="344">
        <v>1</v>
      </c>
      <c r="C12927" s="344">
        <v>26</v>
      </c>
      <c r="D12927" s="345">
        <f t="shared" si="1884"/>
        <v>46048</v>
      </c>
      <c r="E12927" s="346">
        <f t="shared" si="1893"/>
        <v>46048</v>
      </c>
      <c r="F12927" s="518" t="s">
        <v>2088</v>
      </c>
      <c r="G12927" s="347" t="s">
        <v>1245</v>
      </c>
      <c r="H12927" s="348"/>
      <c r="I12927" s="348" t="s">
        <v>1253</v>
      </c>
      <c r="J12927" s="344" t="s">
        <v>2086</v>
      </c>
      <c r="K12927" s="349">
        <v>1789.835164835165</v>
      </c>
      <c r="L12927" s="349"/>
      <c r="M12927" s="455"/>
    </row>
    <row r="12928" spans="1:14" ht="11.25" customHeight="1" x14ac:dyDescent="0.2">
      <c r="A12928" s="350">
        <v>2026</v>
      </c>
      <c r="B12928" s="350">
        <v>1</v>
      </c>
      <c r="C12928" s="350">
        <v>26</v>
      </c>
      <c r="D12928" s="351">
        <f t="shared" si="1884"/>
        <v>46048</v>
      </c>
      <c r="E12928" s="352">
        <f t="shared" si="1893"/>
        <v>46048</v>
      </c>
      <c r="F12928" s="519"/>
      <c r="G12928" s="353" t="s">
        <v>1245</v>
      </c>
      <c r="H12928" s="354"/>
      <c r="I12928" s="354" t="s">
        <v>1253</v>
      </c>
      <c r="J12928" s="350" t="s">
        <v>2089</v>
      </c>
      <c r="K12928" s="355"/>
      <c r="L12928" s="355">
        <f>K12927</f>
        <v>1789.835164835165</v>
      </c>
    </row>
    <row r="12929" spans="1:16" ht="11.25" customHeight="1" x14ac:dyDescent="0.2">
      <c r="A12929" s="344">
        <v>2026</v>
      </c>
      <c r="B12929" s="344">
        <v>1</v>
      </c>
      <c r="C12929" s="344">
        <v>26</v>
      </c>
      <c r="D12929" s="345">
        <f t="shared" si="1884"/>
        <v>46048</v>
      </c>
      <c r="E12929" s="346">
        <f>DATE(A12929,B12929,C12929)</f>
        <v>46048</v>
      </c>
      <c r="F12929" s="518" t="s">
        <v>1988</v>
      </c>
      <c r="G12929" s="347" t="s">
        <v>1245</v>
      </c>
      <c r="H12929" s="348"/>
      <c r="I12929" s="348" t="s">
        <v>1253</v>
      </c>
      <c r="J12929" s="344" t="s">
        <v>113</v>
      </c>
      <c r="K12929" s="349">
        <v>4692.3071428571429</v>
      </c>
      <c r="L12929" s="349"/>
      <c r="M12929" s="455"/>
    </row>
    <row r="12930" spans="1:16" ht="11.25" customHeight="1" x14ac:dyDescent="0.2">
      <c r="A12930" s="350">
        <v>2026</v>
      </c>
      <c r="B12930" s="350">
        <v>1</v>
      </c>
      <c r="C12930" s="350">
        <v>26</v>
      </c>
      <c r="D12930" s="351">
        <f t="shared" si="1884"/>
        <v>46048</v>
      </c>
      <c r="E12930" s="352">
        <f>DATE(A12930,B12930,C12930)</f>
        <v>46048</v>
      </c>
      <c r="F12930" s="519"/>
      <c r="G12930" s="353" t="s">
        <v>1245</v>
      </c>
      <c r="H12930" s="354"/>
      <c r="I12930" s="354" t="s">
        <v>1253</v>
      </c>
      <c r="J12930" s="350" t="s">
        <v>153</v>
      </c>
      <c r="K12930" s="355"/>
      <c r="L12930" s="355">
        <f t="shared" ref="L12930" si="1896">K12929</f>
        <v>4692.3071428571429</v>
      </c>
    </row>
    <row r="12931" spans="1:16" ht="11.25" customHeight="1" x14ac:dyDescent="0.2">
      <c r="A12931" s="344">
        <v>2026</v>
      </c>
      <c r="B12931" s="344">
        <v>1</v>
      </c>
      <c r="C12931" s="344">
        <v>26</v>
      </c>
      <c r="D12931" s="345">
        <f t="shared" si="1884"/>
        <v>46048</v>
      </c>
      <c r="E12931" s="346">
        <f t="shared" ref="E12931:E12937" si="1897">DATE(A12931,B12931,C12931)</f>
        <v>46048</v>
      </c>
      <c r="F12931" s="518" t="s">
        <v>1989</v>
      </c>
      <c r="G12931" s="347" t="s">
        <v>1245</v>
      </c>
      <c r="H12931" s="348"/>
      <c r="I12931" s="348" t="s">
        <v>1253</v>
      </c>
      <c r="J12931" s="344" t="s">
        <v>113</v>
      </c>
      <c r="K12931" s="349">
        <v>3351.6483516483518</v>
      </c>
      <c r="L12931" s="349"/>
      <c r="M12931" s="455"/>
    </row>
    <row r="12932" spans="1:16" ht="11.25" customHeight="1" x14ac:dyDescent="0.2">
      <c r="A12932" s="350">
        <v>2026</v>
      </c>
      <c r="B12932" s="350">
        <v>1</v>
      </c>
      <c r="C12932" s="350">
        <v>26</v>
      </c>
      <c r="D12932" s="351">
        <f t="shared" si="1884"/>
        <v>46048</v>
      </c>
      <c r="E12932" s="352">
        <f t="shared" si="1897"/>
        <v>46048</v>
      </c>
      <c r="F12932" s="519"/>
      <c r="G12932" s="353" t="s">
        <v>1245</v>
      </c>
      <c r="H12932" s="354"/>
      <c r="I12932" s="354" t="s">
        <v>1253</v>
      </c>
      <c r="J12932" s="350" t="s">
        <v>153</v>
      </c>
      <c r="K12932" s="355"/>
      <c r="L12932" s="355">
        <f t="shared" ref="L12932" si="1898">K12931</f>
        <v>3351.6483516483518</v>
      </c>
    </row>
    <row r="12933" spans="1:16" ht="11.25" customHeight="1" x14ac:dyDescent="0.2">
      <c r="A12933" s="344">
        <v>2026</v>
      </c>
      <c r="B12933" s="344">
        <v>1</v>
      </c>
      <c r="C12933" s="344">
        <v>26</v>
      </c>
      <c r="D12933" s="345">
        <f t="shared" ref="D12933:D12956" si="1899">DATE(A12933,B12933,C12933)</f>
        <v>46048</v>
      </c>
      <c r="E12933" s="346">
        <f t="shared" si="1897"/>
        <v>46048</v>
      </c>
      <c r="F12933" s="518" t="s">
        <v>1990</v>
      </c>
      <c r="G12933" s="347" t="s">
        <v>1245</v>
      </c>
      <c r="H12933" s="348"/>
      <c r="I12933" s="348" t="s">
        <v>1253</v>
      </c>
      <c r="J12933" s="344" t="s">
        <v>113</v>
      </c>
      <c r="K12933" s="349">
        <v>10054.945714285714</v>
      </c>
      <c r="L12933" s="349"/>
      <c r="M12933" s="455"/>
      <c r="N12933" s="251"/>
      <c r="O12933" s="251"/>
      <c r="P12933" s="251"/>
    </row>
    <row r="12934" spans="1:16" ht="11.25" customHeight="1" x14ac:dyDescent="0.2">
      <c r="A12934" s="350">
        <v>2026</v>
      </c>
      <c r="B12934" s="350">
        <v>1</v>
      </c>
      <c r="C12934" s="350">
        <v>26</v>
      </c>
      <c r="D12934" s="351">
        <f t="shared" si="1899"/>
        <v>46048</v>
      </c>
      <c r="E12934" s="352">
        <f t="shared" si="1897"/>
        <v>46048</v>
      </c>
      <c r="F12934" s="519"/>
      <c r="G12934" s="353" t="s">
        <v>1245</v>
      </c>
      <c r="H12934" s="354"/>
      <c r="I12934" s="354" t="s">
        <v>1253</v>
      </c>
      <c r="J12934" s="350" t="s">
        <v>153</v>
      </c>
      <c r="K12934" s="355"/>
      <c r="L12934" s="355">
        <f t="shared" ref="L12934" si="1900">K12933</f>
        <v>10054.945714285714</v>
      </c>
      <c r="M12934" s="455"/>
    </row>
    <row r="12935" spans="1:16" ht="11.25" customHeight="1" x14ac:dyDescent="0.2">
      <c r="A12935" s="344">
        <v>2026</v>
      </c>
      <c r="B12935" s="344">
        <v>1</v>
      </c>
      <c r="C12935" s="344">
        <v>26</v>
      </c>
      <c r="D12935" s="345">
        <f t="shared" si="1899"/>
        <v>46048</v>
      </c>
      <c r="E12935" s="346">
        <f t="shared" si="1897"/>
        <v>46048</v>
      </c>
      <c r="F12935" s="518" t="s">
        <v>2107</v>
      </c>
      <c r="G12935" s="347" t="s">
        <v>1245</v>
      </c>
      <c r="H12935" s="348"/>
      <c r="I12935" s="348" t="s">
        <v>1253</v>
      </c>
      <c r="J12935" s="344" t="s">
        <v>113</v>
      </c>
      <c r="K12935" s="349">
        <v>12370.879120879121</v>
      </c>
      <c r="L12935" s="349"/>
      <c r="M12935" s="455"/>
      <c r="N12935" s="251"/>
      <c r="O12935" s="251"/>
      <c r="P12935" s="251"/>
    </row>
    <row r="12936" spans="1:16" ht="11.25" customHeight="1" x14ac:dyDescent="0.2">
      <c r="A12936" s="350">
        <v>2026</v>
      </c>
      <c r="B12936" s="350">
        <v>1</v>
      </c>
      <c r="C12936" s="350">
        <v>26</v>
      </c>
      <c r="D12936" s="351">
        <f t="shared" si="1899"/>
        <v>46048</v>
      </c>
      <c r="E12936" s="352">
        <f t="shared" si="1897"/>
        <v>46048</v>
      </c>
      <c r="F12936" s="519"/>
      <c r="G12936" s="353" t="s">
        <v>1245</v>
      </c>
      <c r="H12936" s="354"/>
      <c r="I12936" s="354" t="s">
        <v>1253</v>
      </c>
      <c r="J12936" s="350" t="s">
        <v>153</v>
      </c>
      <c r="K12936" s="355"/>
      <c r="L12936" s="355">
        <f t="shared" ref="L12936" si="1901">K12935</f>
        <v>12370.879120879121</v>
      </c>
    </row>
    <row r="12937" spans="1:16" ht="11.25" customHeight="1" x14ac:dyDescent="0.2">
      <c r="A12937" s="210">
        <v>2026</v>
      </c>
      <c r="B12937" s="210">
        <v>1</v>
      </c>
      <c r="C12937" s="210">
        <v>26</v>
      </c>
      <c r="D12937" s="211">
        <f t="shared" si="1899"/>
        <v>46048</v>
      </c>
      <c r="E12937" s="238">
        <f t="shared" si="1897"/>
        <v>46048</v>
      </c>
      <c r="F12937" s="520" t="s">
        <v>1857</v>
      </c>
      <c r="G12937" s="213" t="s">
        <v>1245</v>
      </c>
      <c r="H12937" s="214"/>
      <c r="I12937" s="214" t="s">
        <v>1253</v>
      </c>
      <c r="J12937" s="210" t="s">
        <v>1284</v>
      </c>
      <c r="K12937" s="215">
        <v>334.54448777029421</v>
      </c>
      <c r="L12937" s="215"/>
      <c r="M12937" s="455"/>
    </row>
    <row r="12938" spans="1:16" ht="11.25" customHeight="1" x14ac:dyDescent="0.2">
      <c r="A12938" s="242">
        <v>2026</v>
      </c>
      <c r="B12938" s="242">
        <v>1</v>
      </c>
      <c r="C12938" s="242">
        <v>26</v>
      </c>
      <c r="D12938" s="243">
        <f t="shared" si="1899"/>
        <v>46048</v>
      </c>
      <c r="E12938" s="244">
        <f>DATE(A12938,B12938,C12938)</f>
        <v>46048</v>
      </c>
      <c r="F12938" s="524"/>
      <c r="G12938" s="245" t="s">
        <v>1245</v>
      </c>
      <c r="H12938" s="246"/>
      <c r="I12938" s="246"/>
      <c r="J12938" s="242" t="s">
        <v>1582</v>
      </c>
      <c r="K12938" s="247"/>
      <c r="L12938" s="247">
        <f>K12937</f>
        <v>334.54448777029421</v>
      </c>
    </row>
    <row r="12939" spans="1:16" ht="11.25" customHeight="1" x14ac:dyDescent="0.2">
      <c r="A12939" s="210">
        <v>2026</v>
      </c>
      <c r="B12939" s="210">
        <v>1</v>
      </c>
      <c r="C12939" s="210">
        <v>26</v>
      </c>
      <c r="D12939" s="211">
        <f t="shared" si="1899"/>
        <v>46048</v>
      </c>
      <c r="E12939" s="238">
        <f t="shared" ref="E12939:E12956" si="1902">DATE(A12939,B12939,C12939)</f>
        <v>46048</v>
      </c>
      <c r="F12939" s="520" t="s">
        <v>2055</v>
      </c>
      <c r="G12939" s="213" t="s">
        <v>1245</v>
      </c>
      <c r="H12939" s="214"/>
      <c r="I12939" s="214" t="s">
        <v>1253</v>
      </c>
      <c r="J12939" s="210" t="s">
        <v>58</v>
      </c>
      <c r="K12939" s="215">
        <v>1937.2571290277774</v>
      </c>
      <c r="L12939" s="215"/>
    </row>
    <row r="12940" spans="1:16" ht="11.25" customHeight="1" x14ac:dyDescent="0.2">
      <c r="A12940" s="216">
        <v>2026</v>
      </c>
      <c r="B12940" s="216">
        <v>1</v>
      </c>
      <c r="C12940" s="216">
        <v>26</v>
      </c>
      <c r="D12940" s="217">
        <f t="shared" si="1899"/>
        <v>46048</v>
      </c>
      <c r="E12940" s="239">
        <f t="shared" si="1902"/>
        <v>46048</v>
      </c>
      <c r="F12940" s="521"/>
      <c r="G12940" s="219" t="s">
        <v>1245</v>
      </c>
      <c r="H12940" s="220"/>
      <c r="I12940" s="220" t="s">
        <v>1253</v>
      </c>
      <c r="J12940" s="216" t="s">
        <v>153</v>
      </c>
      <c r="K12940" s="221"/>
      <c r="L12940" s="221">
        <f>K12939</f>
        <v>1937.2571290277774</v>
      </c>
    </row>
    <row r="12941" spans="1:16" ht="11.25" customHeight="1" x14ac:dyDescent="0.2">
      <c r="A12941" s="312">
        <v>2026</v>
      </c>
      <c r="B12941" s="312">
        <v>1</v>
      </c>
      <c r="C12941" s="312">
        <v>26</v>
      </c>
      <c r="D12941" s="313">
        <f t="shared" si="1899"/>
        <v>46048</v>
      </c>
      <c r="E12941" s="314">
        <f t="shared" si="1902"/>
        <v>46048</v>
      </c>
      <c r="F12941" s="522" t="s">
        <v>1595</v>
      </c>
      <c r="G12941" s="315" t="s">
        <v>1245</v>
      </c>
      <c r="H12941" s="316"/>
      <c r="I12941" s="316" t="s">
        <v>1253</v>
      </c>
      <c r="J12941" s="312" t="s">
        <v>1459</v>
      </c>
      <c r="K12941" s="317">
        <v>1161112.7330001593</v>
      </c>
      <c r="L12941" s="317"/>
      <c r="M12941" s="328"/>
    </row>
    <row r="12942" spans="1:16" ht="11.25" customHeight="1" x14ac:dyDescent="0.2">
      <c r="A12942" s="318">
        <v>2026</v>
      </c>
      <c r="B12942" s="318">
        <v>1</v>
      </c>
      <c r="C12942" s="318">
        <v>26</v>
      </c>
      <c r="D12942" s="319">
        <f t="shared" si="1899"/>
        <v>46048</v>
      </c>
      <c r="E12942" s="320">
        <f t="shared" si="1902"/>
        <v>46048</v>
      </c>
      <c r="F12942" s="523"/>
      <c r="G12942" s="321" t="s">
        <v>1245</v>
      </c>
      <c r="H12942" s="322"/>
      <c r="I12942" s="322" t="s">
        <v>1253</v>
      </c>
      <c r="J12942" s="318" t="s">
        <v>1461</v>
      </c>
      <c r="K12942" s="323"/>
      <c r="L12942" s="323">
        <f>K12941</f>
        <v>1161112.7330001593</v>
      </c>
      <c r="M12942" s="328"/>
    </row>
    <row r="12943" spans="1:16" ht="11.25" customHeight="1" x14ac:dyDescent="0.2">
      <c r="A12943" s="222">
        <v>2026</v>
      </c>
      <c r="B12943" s="222">
        <v>1</v>
      </c>
      <c r="C12943" s="222">
        <v>26</v>
      </c>
      <c r="D12943" s="223">
        <f t="shared" si="1899"/>
        <v>46048</v>
      </c>
      <c r="E12943" s="240">
        <f t="shared" si="1902"/>
        <v>46048</v>
      </c>
      <c r="F12943" s="511" t="s">
        <v>1244</v>
      </c>
      <c r="G12943" s="225" t="s">
        <v>1245</v>
      </c>
      <c r="H12943" s="226"/>
      <c r="I12943" s="226" t="s">
        <v>1253</v>
      </c>
      <c r="J12943" s="222" t="s">
        <v>72</v>
      </c>
      <c r="K12943" s="227">
        <v>0</v>
      </c>
      <c r="L12943" s="227"/>
      <c r="M12943" s="328"/>
    </row>
    <row r="12944" spans="1:16" ht="11.25" customHeight="1" x14ac:dyDescent="0.2">
      <c r="A12944" s="228">
        <v>2026</v>
      </c>
      <c r="B12944" s="228">
        <v>1</v>
      </c>
      <c r="C12944" s="228">
        <v>26</v>
      </c>
      <c r="D12944" s="229">
        <f t="shared" si="1899"/>
        <v>46048</v>
      </c>
      <c r="E12944" s="241">
        <f t="shared" si="1902"/>
        <v>46048</v>
      </c>
      <c r="F12944" s="512"/>
      <c r="G12944" s="231" t="s">
        <v>1245</v>
      </c>
      <c r="H12944" s="232"/>
      <c r="I12944" s="232" t="s">
        <v>1253</v>
      </c>
      <c r="J12944" s="228" t="s">
        <v>87</v>
      </c>
      <c r="K12944" s="233"/>
      <c r="L12944" s="233">
        <f>K12943</f>
        <v>0</v>
      </c>
    </row>
    <row r="12945" spans="1:15" ht="11.25" customHeight="1" x14ac:dyDescent="0.2">
      <c r="A12945" s="222">
        <v>2026</v>
      </c>
      <c r="B12945" s="222">
        <v>1</v>
      </c>
      <c r="C12945" s="222">
        <v>26</v>
      </c>
      <c r="D12945" s="223">
        <f t="shared" si="1899"/>
        <v>46048</v>
      </c>
      <c r="E12945" s="240">
        <f t="shared" si="1902"/>
        <v>46048</v>
      </c>
      <c r="F12945" s="511" t="s">
        <v>1246</v>
      </c>
      <c r="G12945" s="225" t="s">
        <v>1245</v>
      </c>
      <c r="H12945" s="226"/>
      <c r="I12945" s="226" t="s">
        <v>1253</v>
      </c>
      <c r="J12945" s="222" t="s">
        <v>75</v>
      </c>
      <c r="K12945" s="227">
        <v>517.58912087912086</v>
      </c>
      <c r="L12945" s="227"/>
      <c r="M12945" s="455"/>
    </row>
    <row r="12946" spans="1:15" ht="11.25" customHeight="1" x14ac:dyDescent="0.2">
      <c r="A12946" s="228">
        <v>2026</v>
      </c>
      <c r="B12946" s="228">
        <v>1</v>
      </c>
      <c r="C12946" s="228">
        <v>26</v>
      </c>
      <c r="D12946" s="229">
        <f t="shared" si="1899"/>
        <v>46048</v>
      </c>
      <c r="E12946" s="241">
        <f t="shared" si="1902"/>
        <v>46048</v>
      </c>
      <c r="F12946" s="512"/>
      <c r="G12946" s="231" t="s">
        <v>1245</v>
      </c>
      <c r="H12946" s="232"/>
      <c r="I12946" s="232" t="s">
        <v>1253</v>
      </c>
      <c r="J12946" s="228" t="s">
        <v>55</v>
      </c>
      <c r="K12946" s="233"/>
      <c r="L12946" s="233">
        <f>K12945</f>
        <v>517.58912087912086</v>
      </c>
    </row>
    <row r="12947" spans="1:15" ht="11.25" customHeight="1" x14ac:dyDescent="0.2">
      <c r="A12947" s="222">
        <v>2026</v>
      </c>
      <c r="B12947" s="222">
        <v>1</v>
      </c>
      <c r="C12947" s="222">
        <v>26</v>
      </c>
      <c r="D12947" s="223">
        <f t="shared" si="1899"/>
        <v>46048</v>
      </c>
      <c r="E12947" s="240">
        <f t="shared" si="1902"/>
        <v>46048</v>
      </c>
      <c r="F12947" s="511" t="s">
        <v>1247</v>
      </c>
      <c r="G12947" s="225" t="s">
        <v>1245</v>
      </c>
      <c r="H12947" s="226"/>
      <c r="I12947" s="226" t="s">
        <v>1253</v>
      </c>
      <c r="J12947" s="222" t="s">
        <v>77</v>
      </c>
      <c r="K12947" s="227">
        <v>7502.7222107791304</v>
      </c>
      <c r="L12947" s="227"/>
      <c r="M12947" s="478">
        <v>7502.7222107791304</v>
      </c>
    </row>
    <row r="12948" spans="1:15" ht="11.25" customHeight="1" x14ac:dyDescent="0.2">
      <c r="A12948" s="228">
        <v>2026</v>
      </c>
      <c r="B12948" s="228">
        <v>1</v>
      </c>
      <c r="C12948" s="228">
        <v>26</v>
      </c>
      <c r="D12948" s="229">
        <f t="shared" si="1899"/>
        <v>46048</v>
      </c>
      <c r="E12948" s="241">
        <f t="shared" si="1902"/>
        <v>46048</v>
      </c>
      <c r="F12948" s="512"/>
      <c r="G12948" s="231" t="s">
        <v>1245</v>
      </c>
      <c r="H12948" s="232"/>
      <c r="I12948" s="232" t="s">
        <v>1253</v>
      </c>
      <c r="J12948" s="228" t="s">
        <v>41</v>
      </c>
      <c r="K12948" s="233"/>
      <c r="L12948" s="233">
        <f>K12947</f>
        <v>7502.7222107791304</v>
      </c>
      <c r="M12948" s="478">
        <v>750.27222107791306</v>
      </c>
      <c r="N12948" s="251"/>
    </row>
    <row r="12949" spans="1:15" ht="11.25" customHeight="1" x14ac:dyDescent="0.2">
      <c r="A12949" s="222">
        <v>2026</v>
      </c>
      <c r="B12949" s="222">
        <v>1</v>
      </c>
      <c r="C12949" s="222">
        <v>26</v>
      </c>
      <c r="D12949" s="223">
        <f t="shared" si="1899"/>
        <v>46048</v>
      </c>
      <c r="E12949" s="240">
        <f t="shared" si="1902"/>
        <v>46048</v>
      </c>
      <c r="F12949" s="511" t="s">
        <v>1248</v>
      </c>
      <c r="G12949" s="225" t="s">
        <v>1245</v>
      </c>
      <c r="H12949" s="226"/>
      <c r="I12949" s="226" t="s">
        <v>1253</v>
      </c>
      <c r="J12949" s="222" t="s">
        <v>80</v>
      </c>
      <c r="K12949" s="227">
        <v>750.27222107791306</v>
      </c>
      <c r="L12949" s="227"/>
      <c r="N12949" s="251"/>
      <c r="O12949" s="251"/>
    </row>
    <row r="12950" spans="1:15" ht="11.25" customHeight="1" x14ac:dyDescent="0.2">
      <c r="A12950" s="228">
        <v>2026</v>
      </c>
      <c r="B12950" s="228">
        <v>1</v>
      </c>
      <c r="C12950" s="228">
        <v>26</v>
      </c>
      <c r="D12950" s="229">
        <f t="shared" si="1899"/>
        <v>46048</v>
      </c>
      <c r="E12950" s="241">
        <f t="shared" si="1902"/>
        <v>46048</v>
      </c>
      <c r="F12950" s="512"/>
      <c r="G12950" s="231" t="s">
        <v>1245</v>
      </c>
      <c r="H12950" s="232"/>
      <c r="I12950" s="232" t="s">
        <v>1253</v>
      </c>
      <c r="J12950" s="228" t="s">
        <v>42</v>
      </c>
      <c r="K12950" s="233"/>
      <c r="L12950" s="233">
        <f>K12949</f>
        <v>750.27222107791306</v>
      </c>
      <c r="N12950" s="251"/>
    </row>
    <row r="12951" spans="1:15" x14ac:dyDescent="0.2">
      <c r="A12951" s="197">
        <v>2026</v>
      </c>
      <c r="B12951" s="197">
        <v>1</v>
      </c>
      <c r="C12951" s="197">
        <v>27</v>
      </c>
      <c r="D12951" s="198">
        <f t="shared" si="1899"/>
        <v>46049</v>
      </c>
      <c r="E12951" s="209">
        <f t="shared" si="1902"/>
        <v>46049</v>
      </c>
      <c r="F12951" s="513" t="s">
        <v>1423</v>
      </c>
      <c r="G12951" s="200" t="s">
        <v>1209</v>
      </c>
      <c r="H12951" s="201"/>
      <c r="I12951" s="201"/>
      <c r="J12951" s="197" t="s">
        <v>16</v>
      </c>
      <c r="K12951" s="202">
        <v>270250</v>
      </c>
      <c r="L12951" s="202"/>
    </row>
    <row r="12952" spans="1:15" x14ac:dyDescent="0.2">
      <c r="A12952" s="120">
        <v>2026</v>
      </c>
      <c r="B12952" s="120">
        <v>1</v>
      </c>
      <c r="C12952" s="120">
        <v>27</v>
      </c>
      <c r="D12952" s="208">
        <f t="shared" si="1899"/>
        <v>46049</v>
      </c>
      <c r="E12952" s="209">
        <f t="shared" si="1902"/>
        <v>46049</v>
      </c>
      <c r="F12952" s="515"/>
      <c r="G12952" s="132" t="s">
        <v>1209</v>
      </c>
      <c r="J12952" s="120" t="s">
        <v>47</v>
      </c>
      <c r="K12952" s="207">
        <v>106316.34999999998</v>
      </c>
      <c r="L12952" s="207"/>
    </row>
    <row r="12953" spans="1:15" x14ac:dyDescent="0.2">
      <c r="A12953" s="191">
        <v>2026</v>
      </c>
      <c r="B12953" s="191">
        <v>1</v>
      </c>
      <c r="C12953" s="191">
        <v>27</v>
      </c>
      <c r="D12953" s="192">
        <f t="shared" si="1899"/>
        <v>46049</v>
      </c>
      <c r="E12953" s="193">
        <f t="shared" si="1902"/>
        <v>46049</v>
      </c>
      <c r="F12953" s="514"/>
      <c r="G12953" s="194" t="s">
        <v>1209</v>
      </c>
      <c r="H12953" s="195"/>
      <c r="I12953" s="195"/>
      <c r="J12953" s="191" t="s">
        <v>46</v>
      </c>
      <c r="K12953" s="196"/>
      <c r="L12953" s="196">
        <v>376566.35</v>
      </c>
    </row>
    <row r="12954" spans="1:15" x14ac:dyDescent="0.2">
      <c r="A12954" s="197">
        <v>2026</v>
      </c>
      <c r="B12954" s="197">
        <v>1</v>
      </c>
      <c r="C12954" s="197">
        <v>27</v>
      </c>
      <c r="D12954" s="198">
        <f t="shared" si="1899"/>
        <v>46049</v>
      </c>
      <c r="E12954" s="209">
        <f t="shared" si="1902"/>
        <v>46049</v>
      </c>
      <c r="F12954" s="513" t="s">
        <v>1296</v>
      </c>
      <c r="G12954" s="200" t="s">
        <v>1209</v>
      </c>
      <c r="H12954" s="201"/>
      <c r="I12954" s="201"/>
      <c r="J12954" s="197" t="s">
        <v>46</v>
      </c>
      <c r="K12954" s="202">
        <v>5000</v>
      </c>
      <c r="L12954" s="202"/>
    </row>
    <row r="12955" spans="1:15" x14ac:dyDescent="0.2">
      <c r="A12955" s="120">
        <v>2026</v>
      </c>
      <c r="B12955" s="120">
        <v>1</v>
      </c>
      <c r="C12955" s="120">
        <v>27</v>
      </c>
      <c r="D12955" s="208">
        <f t="shared" si="1899"/>
        <v>46049</v>
      </c>
      <c r="E12955" s="209">
        <f t="shared" si="1902"/>
        <v>46049</v>
      </c>
      <c r="F12955" s="515"/>
      <c r="G12955" s="132" t="s">
        <v>1209</v>
      </c>
      <c r="J12955" s="120" t="s">
        <v>16</v>
      </c>
      <c r="K12955" s="207"/>
      <c r="L12955" s="207">
        <v>3580</v>
      </c>
    </row>
    <row r="12956" spans="1:15" x14ac:dyDescent="0.2">
      <c r="A12956" s="191">
        <v>2026</v>
      </c>
      <c r="B12956" s="191">
        <v>1</v>
      </c>
      <c r="C12956" s="191">
        <v>27</v>
      </c>
      <c r="D12956" s="192">
        <f t="shared" si="1899"/>
        <v>46049</v>
      </c>
      <c r="E12956" s="193">
        <f t="shared" si="1902"/>
        <v>46049</v>
      </c>
      <c r="F12956" s="514"/>
      <c r="G12956" s="194" t="s">
        <v>1209</v>
      </c>
      <c r="H12956" s="195"/>
      <c r="I12956" s="195"/>
      <c r="J12956" s="191" t="s">
        <v>47</v>
      </c>
      <c r="K12956" s="196"/>
      <c r="L12956" s="196">
        <v>1420</v>
      </c>
    </row>
    <row r="12957" spans="1:15" x14ac:dyDescent="0.2">
      <c r="A12957" s="197">
        <v>2026</v>
      </c>
      <c r="B12957" s="197">
        <v>1</v>
      </c>
      <c r="C12957" s="197">
        <v>27</v>
      </c>
      <c r="D12957" s="198">
        <f t="shared" ref="D12957:D12993" si="1903">DATE(A12957,B12957,C12957)</f>
        <v>46049</v>
      </c>
      <c r="E12957" s="209">
        <f t="shared" ref="E12957:E12971" si="1904">DATE(A12957,B12957,C12957)</f>
        <v>46049</v>
      </c>
      <c r="F12957" s="513" t="s">
        <v>1210</v>
      </c>
      <c r="G12957" s="200" t="s">
        <v>1209</v>
      </c>
      <c r="H12957" s="201"/>
      <c r="I12957" s="201"/>
      <c r="J12957" s="197" t="s">
        <v>46</v>
      </c>
      <c r="K12957" s="202">
        <v>170000</v>
      </c>
      <c r="L12957" s="202"/>
    </row>
    <row r="12958" spans="1:15" x14ac:dyDescent="0.2">
      <c r="A12958" s="120">
        <v>2026</v>
      </c>
      <c r="B12958" s="120">
        <v>1</v>
      </c>
      <c r="C12958" s="120">
        <v>27</v>
      </c>
      <c r="D12958" s="208">
        <f t="shared" si="1903"/>
        <v>46049</v>
      </c>
      <c r="E12958" s="209">
        <f t="shared" si="1904"/>
        <v>46049</v>
      </c>
      <c r="F12958" s="515"/>
      <c r="G12958" s="132" t="s">
        <v>1209</v>
      </c>
      <c r="J12958" s="120" t="s">
        <v>16</v>
      </c>
      <c r="K12958" s="207"/>
      <c r="L12958" s="207">
        <v>122000</v>
      </c>
    </row>
    <row r="12959" spans="1:15" x14ac:dyDescent="0.2">
      <c r="A12959" s="191">
        <v>2026</v>
      </c>
      <c r="B12959" s="191">
        <v>1</v>
      </c>
      <c r="C12959" s="191">
        <v>27</v>
      </c>
      <c r="D12959" s="192">
        <f t="shared" si="1903"/>
        <v>46049</v>
      </c>
      <c r="E12959" s="193">
        <f t="shared" si="1904"/>
        <v>46049</v>
      </c>
      <c r="F12959" s="514"/>
      <c r="G12959" s="194" t="s">
        <v>1209</v>
      </c>
      <c r="H12959" s="195"/>
      <c r="I12959" s="195"/>
      <c r="J12959" s="191" t="s">
        <v>47</v>
      </c>
      <c r="K12959" s="196"/>
      <c r="L12959" s="196">
        <v>48000</v>
      </c>
    </row>
    <row r="12960" spans="1:15" x14ac:dyDescent="0.2">
      <c r="A12960" s="424">
        <v>2026</v>
      </c>
      <c r="B12960" s="424">
        <v>1</v>
      </c>
      <c r="C12960" s="424">
        <v>27</v>
      </c>
      <c r="D12960" s="425">
        <f t="shared" si="1903"/>
        <v>46049</v>
      </c>
      <c r="E12960" s="384">
        <f t="shared" si="1904"/>
        <v>46049</v>
      </c>
      <c r="F12960" s="516" t="s">
        <v>1850</v>
      </c>
      <c r="G12960" s="426" t="s">
        <v>1209</v>
      </c>
      <c r="H12960" s="427"/>
      <c r="I12960" s="427"/>
      <c r="J12960" s="428" t="s">
        <v>81</v>
      </c>
      <c r="K12960" s="429">
        <v>1595.8173626373627</v>
      </c>
      <c r="L12960" s="429"/>
      <c r="M12960" s="455"/>
    </row>
    <row r="12961" spans="1:16" x14ac:dyDescent="0.2">
      <c r="A12961" s="389">
        <v>2026</v>
      </c>
      <c r="B12961" s="389">
        <v>1</v>
      </c>
      <c r="C12961" s="389">
        <v>27</v>
      </c>
      <c r="D12961" s="390">
        <f t="shared" si="1903"/>
        <v>46049</v>
      </c>
      <c r="E12961" s="391">
        <f t="shared" si="1904"/>
        <v>46049</v>
      </c>
      <c r="F12961" s="517"/>
      <c r="G12961" s="392" t="s">
        <v>1209</v>
      </c>
      <c r="H12961" s="393"/>
      <c r="I12961" s="393"/>
      <c r="J12961" s="394" t="s">
        <v>1847</v>
      </c>
      <c r="K12961" s="423"/>
      <c r="L12961" s="423">
        <f>K12960</f>
        <v>1595.8173626373627</v>
      </c>
    </row>
    <row r="12962" spans="1:16" ht="11.25" customHeight="1" x14ac:dyDescent="0.2">
      <c r="A12962" s="382">
        <v>2026</v>
      </c>
      <c r="B12962" s="382">
        <v>1</v>
      </c>
      <c r="C12962" s="382">
        <v>27</v>
      </c>
      <c r="D12962" s="383">
        <f t="shared" si="1903"/>
        <v>46049</v>
      </c>
      <c r="E12962" s="384">
        <f t="shared" si="1904"/>
        <v>46049</v>
      </c>
      <c r="F12962" s="516" t="s">
        <v>1892</v>
      </c>
      <c r="G12962" s="385" t="s">
        <v>1209</v>
      </c>
      <c r="H12962" s="386"/>
      <c r="I12962" s="386"/>
      <c r="J12962" s="387" t="s">
        <v>173</v>
      </c>
      <c r="K12962" s="388">
        <v>591.55724559305554</v>
      </c>
      <c r="L12962" s="388"/>
      <c r="M12962" s="455"/>
    </row>
    <row r="12963" spans="1:16" ht="11.25" customHeight="1" x14ac:dyDescent="0.2">
      <c r="A12963" s="389">
        <v>2026</v>
      </c>
      <c r="B12963" s="389">
        <v>1</v>
      </c>
      <c r="C12963" s="389">
        <v>27</v>
      </c>
      <c r="D12963" s="390">
        <f t="shared" si="1903"/>
        <v>46049</v>
      </c>
      <c r="E12963" s="391">
        <f t="shared" si="1904"/>
        <v>46049</v>
      </c>
      <c r="F12963" s="517"/>
      <c r="G12963" s="392" t="s">
        <v>1209</v>
      </c>
      <c r="H12963" s="393"/>
      <c r="I12963" s="393"/>
      <c r="J12963" s="394" t="s">
        <v>43</v>
      </c>
      <c r="K12963" s="388"/>
      <c r="L12963" s="423">
        <f>K12962</f>
        <v>591.55724559305554</v>
      </c>
    </row>
    <row r="12964" spans="1:16" ht="11.25" customHeight="1" x14ac:dyDescent="0.2">
      <c r="A12964" s="344">
        <v>2026</v>
      </c>
      <c r="B12964" s="344">
        <v>1</v>
      </c>
      <c r="C12964" s="344">
        <v>27</v>
      </c>
      <c r="D12964" s="345">
        <f t="shared" si="1903"/>
        <v>46049</v>
      </c>
      <c r="E12964" s="346">
        <f t="shared" si="1904"/>
        <v>46049</v>
      </c>
      <c r="F12964" s="518" t="s">
        <v>1982</v>
      </c>
      <c r="G12964" s="347" t="s">
        <v>1245</v>
      </c>
      <c r="H12964" s="348"/>
      <c r="I12964" s="348" t="s">
        <v>1253</v>
      </c>
      <c r="J12964" s="344" t="s">
        <v>1978</v>
      </c>
      <c r="K12964" s="349">
        <v>21249.725274725275</v>
      </c>
      <c r="L12964" s="349"/>
      <c r="M12964" s="455"/>
    </row>
    <row r="12965" spans="1:16" ht="11.25" customHeight="1" x14ac:dyDescent="0.2">
      <c r="A12965" s="350">
        <v>2026</v>
      </c>
      <c r="B12965" s="350">
        <v>1</v>
      </c>
      <c r="C12965" s="350">
        <v>27</v>
      </c>
      <c r="D12965" s="351">
        <f t="shared" si="1903"/>
        <v>46049</v>
      </c>
      <c r="E12965" s="352">
        <f t="shared" si="1904"/>
        <v>46049</v>
      </c>
      <c r="F12965" s="519"/>
      <c r="G12965" s="353" t="s">
        <v>1245</v>
      </c>
      <c r="H12965" s="354"/>
      <c r="I12965" s="354" t="s">
        <v>1253</v>
      </c>
      <c r="J12965" s="350" t="s">
        <v>1979</v>
      </c>
      <c r="K12965" s="355"/>
      <c r="L12965" s="355">
        <f>K12964</f>
        <v>21249.725274725275</v>
      </c>
    </row>
    <row r="12966" spans="1:16" ht="11.25" customHeight="1" x14ac:dyDescent="0.2">
      <c r="A12966" s="344">
        <v>2026</v>
      </c>
      <c r="B12966" s="344">
        <v>1</v>
      </c>
      <c r="C12966" s="344">
        <v>27</v>
      </c>
      <c r="D12966" s="345">
        <f t="shared" si="1903"/>
        <v>46049</v>
      </c>
      <c r="E12966" s="346">
        <f t="shared" si="1904"/>
        <v>46049</v>
      </c>
      <c r="F12966" s="518" t="s">
        <v>2009</v>
      </c>
      <c r="G12966" s="347" t="s">
        <v>1245</v>
      </c>
      <c r="H12966" s="348"/>
      <c r="I12966" s="348" t="s">
        <v>1253</v>
      </c>
      <c r="J12966" s="344" t="s">
        <v>2004</v>
      </c>
      <c r="K12966" s="349">
        <v>7098.9014285714284</v>
      </c>
      <c r="L12966" s="349"/>
      <c r="M12966" s="455"/>
    </row>
    <row r="12967" spans="1:16" ht="11.25" customHeight="1" x14ac:dyDescent="0.2">
      <c r="A12967" s="350">
        <v>2026</v>
      </c>
      <c r="B12967" s="350">
        <v>1</v>
      </c>
      <c r="C12967" s="350">
        <v>27</v>
      </c>
      <c r="D12967" s="351">
        <f t="shared" si="1903"/>
        <v>46049</v>
      </c>
      <c r="E12967" s="352">
        <f t="shared" si="1904"/>
        <v>46049</v>
      </c>
      <c r="F12967" s="519"/>
      <c r="G12967" s="353" t="s">
        <v>1245</v>
      </c>
      <c r="H12967" s="354"/>
      <c r="I12967" s="354" t="s">
        <v>1253</v>
      </c>
      <c r="J12967" s="350" t="s">
        <v>2008</v>
      </c>
      <c r="K12967" s="355"/>
      <c r="L12967" s="355">
        <f t="shared" ref="L12967" si="1905">K12966</f>
        <v>7098.9014285714284</v>
      </c>
    </row>
    <row r="12968" spans="1:16" ht="11.25" customHeight="1" x14ac:dyDescent="0.2">
      <c r="A12968" s="344">
        <v>2026</v>
      </c>
      <c r="B12968" s="344">
        <v>1</v>
      </c>
      <c r="C12968" s="344">
        <v>27</v>
      </c>
      <c r="D12968" s="345">
        <f t="shared" si="1903"/>
        <v>46049</v>
      </c>
      <c r="E12968" s="346">
        <f t="shared" si="1904"/>
        <v>46049</v>
      </c>
      <c r="F12968" s="518" t="s">
        <v>2009</v>
      </c>
      <c r="G12968" s="347" t="s">
        <v>1245</v>
      </c>
      <c r="H12968" s="348"/>
      <c r="I12968" s="348" t="s">
        <v>1253</v>
      </c>
      <c r="J12968" s="344" t="s">
        <v>2004</v>
      </c>
      <c r="K12968" s="349">
        <v>7098.9014285714284</v>
      </c>
      <c r="L12968" s="349"/>
      <c r="M12968" s="455"/>
    </row>
    <row r="12969" spans="1:16" ht="11.25" customHeight="1" x14ac:dyDescent="0.2">
      <c r="A12969" s="350">
        <v>2026</v>
      </c>
      <c r="B12969" s="350">
        <v>1</v>
      </c>
      <c r="C12969" s="350">
        <v>27</v>
      </c>
      <c r="D12969" s="351">
        <f t="shared" si="1903"/>
        <v>46049</v>
      </c>
      <c r="E12969" s="352">
        <f t="shared" si="1904"/>
        <v>46049</v>
      </c>
      <c r="F12969" s="519"/>
      <c r="G12969" s="353" t="s">
        <v>1245</v>
      </c>
      <c r="H12969" s="354"/>
      <c r="I12969" s="354" t="s">
        <v>1253</v>
      </c>
      <c r="J12969" s="350" t="s">
        <v>2008</v>
      </c>
      <c r="K12969" s="355"/>
      <c r="L12969" s="355">
        <f t="shared" ref="L12969" si="1906">K12968</f>
        <v>7098.9014285714284</v>
      </c>
    </row>
    <row r="12970" spans="1:16" ht="11.25" customHeight="1" x14ac:dyDescent="0.2">
      <c r="A12970" s="344">
        <v>2026</v>
      </c>
      <c r="B12970" s="344">
        <v>1</v>
      </c>
      <c r="C12970" s="344">
        <v>27</v>
      </c>
      <c r="D12970" s="345">
        <f t="shared" si="1903"/>
        <v>46049</v>
      </c>
      <c r="E12970" s="346">
        <f t="shared" si="1904"/>
        <v>46049</v>
      </c>
      <c r="F12970" s="518" t="s">
        <v>2088</v>
      </c>
      <c r="G12970" s="347" t="s">
        <v>1245</v>
      </c>
      <c r="H12970" s="348"/>
      <c r="I12970" s="348" t="s">
        <v>1253</v>
      </c>
      <c r="J12970" s="344" t="s">
        <v>2086</v>
      </c>
      <c r="K12970" s="349">
        <v>1789.835164835165</v>
      </c>
      <c r="L12970" s="349"/>
      <c r="M12970" s="455"/>
    </row>
    <row r="12971" spans="1:16" ht="11.25" customHeight="1" x14ac:dyDescent="0.2">
      <c r="A12971" s="350">
        <v>2026</v>
      </c>
      <c r="B12971" s="350">
        <v>1</v>
      </c>
      <c r="C12971" s="350">
        <v>27</v>
      </c>
      <c r="D12971" s="351">
        <f t="shared" si="1903"/>
        <v>46049</v>
      </c>
      <c r="E12971" s="352">
        <f t="shared" si="1904"/>
        <v>46049</v>
      </c>
      <c r="F12971" s="519"/>
      <c r="G12971" s="353" t="s">
        <v>1245</v>
      </c>
      <c r="H12971" s="354"/>
      <c r="I12971" s="354" t="s">
        <v>1253</v>
      </c>
      <c r="J12971" s="350" t="s">
        <v>2089</v>
      </c>
      <c r="K12971" s="355"/>
      <c r="L12971" s="355">
        <f>K12970</f>
        <v>1789.835164835165</v>
      </c>
    </row>
    <row r="12972" spans="1:16" ht="11.25" customHeight="1" x14ac:dyDescent="0.2">
      <c r="A12972" s="344">
        <v>2026</v>
      </c>
      <c r="B12972" s="344">
        <v>1</v>
      </c>
      <c r="C12972" s="344">
        <v>27</v>
      </c>
      <c r="D12972" s="345">
        <f t="shared" si="1903"/>
        <v>46049</v>
      </c>
      <c r="E12972" s="346">
        <f>DATE(A12972,B12972,C12972)</f>
        <v>46049</v>
      </c>
      <c r="F12972" s="518" t="s">
        <v>1988</v>
      </c>
      <c r="G12972" s="347" t="s">
        <v>1245</v>
      </c>
      <c r="H12972" s="348"/>
      <c r="I12972" s="348" t="s">
        <v>1253</v>
      </c>
      <c r="J12972" s="344" t="s">
        <v>113</v>
      </c>
      <c r="K12972" s="349">
        <v>4692.3071428571429</v>
      </c>
      <c r="L12972" s="349"/>
      <c r="M12972" s="455"/>
    </row>
    <row r="12973" spans="1:16" ht="11.25" customHeight="1" x14ac:dyDescent="0.2">
      <c r="A12973" s="350">
        <v>2026</v>
      </c>
      <c r="B12973" s="350">
        <v>1</v>
      </c>
      <c r="C12973" s="350">
        <v>27</v>
      </c>
      <c r="D12973" s="351">
        <f t="shared" si="1903"/>
        <v>46049</v>
      </c>
      <c r="E12973" s="352">
        <f>DATE(A12973,B12973,C12973)</f>
        <v>46049</v>
      </c>
      <c r="F12973" s="519"/>
      <c r="G12973" s="353" t="s">
        <v>1245</v>
      </c>
      <c r="H12973" s="354"/>
      <c r="I12973" s="354" t="s">
        <v>1253</v>
      </c>
      <c r="J12973" s="350" t="s">
        <v>153</v>
      </c>
      <c r="K12973" s="355"/>
      <c r="L12973" s="355">
        <f t="shared" ref="L12973" si="1907">K12972</f>
        <v>4692.3071428571429</v>
      </c>
    </row>
    <row r="12974" spans="1:16" ht="11.25" customHeight="1" x14ac:dyDescent="0.2">
      <c r="A12974" s="344">
        <v>2026</v>
      </c>
      <c r="B12974" s="344">
        <v>1</v>
      </c>
      <c r="C12974" s="344">
        <v>27</v>
      </c>
      <c r="D12974" s="345">
        <f t="shared" si="1903"/>
        <v>46049</v>
      </c>
      <c r="E12974" s="346">
        <f t="shared" ref="E12974:E12980" si="1908">DATE(A12974,B12974,C12974)</f>
        <v>46049</v>
      </c>
      <c r="F12974" s="518" t="s">
        <v>1989</v>
      </c>
      <c r="G12974" s="347" t="s">
        <v>1245</v>
      </c>
      <c r="H12974" s="348"/>
      <c r="I12974" s="348" t="s">
        <v>1253</v>
      </c>
      <c r="J12974" s="344" t="s">
        <v>113</v>
      </c>
      <c r="K12974" s="349">
        <v>3351.6483516483518</v>
      </c>
      <c r="L12974" s="349"/>
      <c r="M12974" s="455"/>
    </row>
    <row r="12975" spans="1:16" ht="11.25" customHeight="1" x14ac:dyDescent="0.2">
      <c r="A12975" s="350">
        <v>2026</v>
      </c>
      <c r="B12975" s="350">
        <v>1</v>
      </c>
      <c r="C12975" s="350">
        <v>27</v>
      </c>
      <c r="D12975" s="351">
        <f t="shared" si="1903"/>
        <v>46049</v>
      </c>
      <c r="E12975" s="352">
        <f t="shared" si="1908"/>
        <v>46049</v>
      </c>
      <c r="F12975" s="519"/>
      <c r="G12975" s="353" t="s">
        <v>1245</v>
      </c>
      <c r="H12975" s="354"/>
      <c r="I12975" s="354" t="s">
        <v>1253</v>
      </c>
      <c r="J12975" s="350" t="s">
        <v>153</v>
      </c>
      <c r="K12975" s="355"/>
      <c r="L12975" s="355">
        <f t="shared" ref="L12975" si="1909">K12974</f>
        <v>3351.6483516483518</v>
      </c>
    </row>
    <row r="12976" spans="1:16" ht="11.25" customHeight="1" x14ac:dyDescent="0.2">
      <c r="A12976" s="344">
        <v>2026</v>
      </c>
      <c r="B12976" s="344">
        <v>1</v>
      </c>
      <c r="C12976" s="344">
        <v>27</v>
      </c>
      <c r="D12976" s="345">
        <f t="shared" si="1903"/>
        <v>46049</v>
      </c>
      <c r="E12976" s="346">
        <f t="shared" si="1908"/>
        <v>46049</v>
      </c>
      <c r="F12976" s="518" t="s">
        <v>1990</v>
      </c>
      <c r="G12976" s="347" t="s">
        <v>1245</v>
      </c>
      <c r="H12976" s="348"/>
      <c r="I12976" s="348" t="s">
        <v>1253</v>
      </c>
      <c r="J12976" s="344" t="s">
        <v>113</v>
      </c>
      <c r="K12976" s="349">
        <v>10054.945714285714</v>
      </c>
      <c r="L12976" s="349"/>
      <c r="M12976" s="455"/>
      <c r="N12976" s="251"/>
      <c r="O12976" s="251"/>
      <c r="P12976" s="251"/>
    </row>
    <row r="12977" spans="1:16" ht="11.25" customHeight="1" x14ac:dyDescent="0.2">
      <c r="A12977" s="350">
        <v>2026</v>
      </c>
      <c r="B12977" s="350">
        <v>1</v>
      </c>
      <c r="C12977" s="350">
        <v>27</v>
      </c>
      <c r="D12977" s="351">
        <f t="shared" si="1903"/>
        <v>46049</v>
      </c>
      <c r="E12977" s="352">
        <f t="shared" si="1908"/>
        <v>46049</v>
      </c>
      <c r="F12977" s="519"/>
      <c r="G12977" s="353" t="s">
        <v>1245</v>
      </c>
      <c r="H12977" s="354"/>
      <c r="I12977" s="354" t="s">
        <v>1253</v>
      </c>
      <c r="J12977" s="350" t="s">
        <v>153</v>
      </c>
      <c r="K12977" s="355"/>
      <c r="L12977" s="355">
        <f t="shared" ref="L12977" si="1910">K12976</f>
        <v>10054.945714285714</v>
      </c>
      <c r="M12977" s="455"/>
    </row>
    <row r="12978" spans="1:16" ht="11.25" customHeight="1" x14ac:dyDescent="0.2">
      <c r="A12978" s="344">
        <v>2026</v>
      </c>
      <c r="B12978" s="344">
        <v>1</v>
      </c>
      <c r="C12978" s="344">
        <v>27</v>
      </c>
      <c r="D12978" s="345">
        <f t="shared" si="1903"/>
        <v>46049</v>
      </c>
      <c r="E12978" s="346">
        <f t="shared" si="1908"/>
        <v>46049</v>
      </c>
      <c r="F12978" s="518" t="s">
        <v>2107</v>
      </c>
      <c r="G12978" s="347" t="s">
        <v>1245</v>
      </c>
      <c r="H12978" s="348"/>
      <c r="I12978" s="348" t="s">
        <v>1253</v>
      </c>
      <c r="J12978" s="344" t="s">
        <v>113</v>
      </c>
      <c r="K12978" s="349">
        <v>12370.879120879121</v>
      </c>
      <c r="L12978" s="349"/>
      <c r="M12978" s="455"/>
      <c r="N12978" s="251"/>
      <c r="O12978" s="251"/>
      <c r="P12978" s="251"/>
    </row>
    <row r="12979" spans="1:16" ht="11.25" customHeight="1" x14ac:dyDescent="0.2">
      <c r="A12979" s="350">
        <v>2026</v>
      </c>
      <c r="B12979" s="350">
        <v>1</v>
      </c>
      <c r="C12979" s="350">
        <v>27</v>
      </c>
      <c r="D12979" s="351">
        <f t="shared" si="1903"/>
        <v>46049</v>
      </c>
      <c r="E12979" s="352">
        <f t="shared" si="1908"/>
        <v>46049</v>
      </c>
      <c r="F12979" s="519"/>
      <c r="G12979" s="353" t="s">
        <v>1245</v>
      </c>
      <c r="H12979" s="354"/>
      <c r="I12979" s="354" t="s">
        <v>1253</v>
      </c>
      <c r="J12979" s="350" t="s">
        <v>153</v>
      </c>
      <c r="K12979" s="355"/>
      <c r="L12979" s="355">
        <f t="shared" ref="L12979" si="1911">K12978</f>
        <v>12370.879120879121</v>
      </c>
    </row>
    <row r="12980" spans="1:16" ht="11.25" customHeight="1" x14ac:dyDescent="0.2">
      <c r="A12980" s="210">
        <v>2026</v>
      </c>
      <c r="B12980" s="210">
        <v>1</v>
      </c>
      <c r="C12980" s="210">
        <v>27</v>
      </c>
      <c r="D12980" s="211">
        <f t="shared" si="1903"/>
        <v>46049</v>
      </c>
      <c r="E12980" s="238">
        <f t="shared" si="1908"/>
        <v>46049</v>
      </c>
      <c r="F12980" s="520" t="s">
        <v>1857</v>
      </c>
      <c r="G12980" s="213" t="s">
        <v>1245</v>
      </c>
      <c r="H12980" s="214"/>
      <c r="I12980" s="214" t="s">
        <v>1253</v>
      </c>
      <c r="J12980" s="210" t="s">
        <v>1284</v>
      </c>
      <c r="K12980" s="215">
        <v>334.54448777029421</v>
      </c>
      <c r="L12980" s="215"/>
      <c r="M12980" s="455"/>
    </row>
    <row r="12981" spans="1:16" ht="11.25" customHeight="1" x14ac:dyDescent="0.2">
      <c r="A12981" s="242">
        <v>2026</v>
      </c>
      <c r="B12981" s="242">
        <v>1</v>
      </c>
      <c r="C12981" s="242">
        <v>27</v>
      </c>
      <c r="D12981" s="243">
        <f t="shared" si="1903"/>
        <v>46049</v>
      </c>
      <c r="E12981" s="244">
        <f>DATE(A12981,B12981,C12981)</f>
        <v>46049</v>
      </c>
      <c r="F12981" s="524"/>
      <c r="G12981" s="245" t="s">
        <v>1245</v>
      </c>
      <c r="H12981" s="246"/>
      <c r="I12981" s="246"/>
      <c r="J12981" s="242" t="s">
        <v>1582</v>
      </c>
      <c r="K12981" s="247"/>
      <c r="L12981" s="247">
        <f>K12980</f>
        <v>334.54448777029421</v>
      </c>
    </row>
    <row r="12982" spans="1:16" ht="11.25" customHeight="1" x14ac:dyDescent="0.2">
      <c r="A12982" s="210">
        <v>2026</v>
      </c>
      <c r="B12982" s="210">
        <v>1</v>
      </c>
      <c r="C12982" s="210">
        <v>27</v>
      </c>
      <c r="D12982" s="211">
        <f t="shared" si="1903"/>
        <v>46049</v>
      </c>
      <c r="E12982" s="238">
        <f t="shared" ref="E12982:E13010" si="1912">DATE(A12982,B12982,C12982)</f>
        <v>46049</v>
      </c>
      <c r="F12982" s="520" t="s">
        <v>2055</v>
      </c>
      <c r="G12982" s="213" t="s">
        <v>1245</v>
      </c>
      <c r="H12982" s="214"/>
      <c r="I12982" s="214" t="s">
        <v>1253</v>
      </c>
      <c r="J12982" s="210" t="s">
        <v>58</v>
      </c>
      <c r="K12982" s="215">
        <v>1867.3230283333332</v>
      </c>
      <c r="L12982" s="215"/>
    </row>
    <row r="12983" spans="1:16" ht="11.25" customHeight="1" x14ac:dyDescent="0.2">
      <c r="A12983" s="216">
        <v>2026</v>
      </c>
      <c r="B12983" s="216">
        <v>1</v>
      </c>
      <c r="C12983" s="216">
        <v>27</v>
      </c>
      <c r="D12983" s="217">
        <f t="shared" si="1903"/>
        <v>46049</v>
      </c>
      <c r="E12983" s="239">
        <f t="shared" si="1912"/>
        <v>46049</v>
      </c>
      <c r="F12983" s="521"/>
      <c r="G12983" s="219" t="s">
        <v>1245</v>
      </c>
      <c r="H12983" s="220"/>
      <c r="I12983" s="220" t="s">
        <v>1253</v>
      </c>
      <c r="J12983" s="216" t="s">
        <v>153</v>
      </c>
      <c r="K12983" s="221"/>
      <c r="L12983" s="221">
        <f>K12982</f>
        <v>1867.3230283333332</v>
      </c>
    </row>
    <row r="12984" spans="1:16" ht="11.25" customHeight="1" x14ac:dyDescent="0.2">
      <c r="A12984" s="312">
        <v>2026</v>
      </c>
      <c r="B12984" s="312">
        <v>1</v>
      </c>
      <c r="C12984" s="312">
        <v>27</v>
      </c>
      <c r="D12984" s="313">
        <f t="shared" si="1903"/>
        <v>46049</v>
      </c>
      <c r="E12984" s="314">
        <f t="shared" si="1912"/>
        <v>46049</v>
      </c>
      <c r="F12984" s="522" t="s">
        <v>1595</v>
      </c>
      <c r="G12984" s="315" t="s">
        <v>1245</v>
      </c>
      <c r="H12984" s="316"/>
      <c r="I12984" s="316" t="s">
        <v>1253</v>
      </c>
      <c r="J12984" s="312" t="s">
        <v>1461</v>
      </c>
      <c r="K12984" s="317">
        <v>98482.923999965191</v>
      </c>
      <c r="L12984" s="317"/>
      <c r="M12984" s="328"/>
    </row>
    <row r="12985" spans="1:16" ht="11.25" customHeight="1" x14ac:dyDescent="0.2">
      <c r="A12985" s="318">
        <v>2026</v>
      </c>
      <c r="B12985" s="318">
        <v>1</v>
      </c>
      <c r="C12985" s="318">
        <v>27</v>
      </c>
      <c r="D12985" s="319">
        <f t="shared" si="1903"/>
        <v>46049</v>
      </c>
      <c r="E12985" s="320">
        <f t="shared" si="1912"/>
        <v>46049</v>
      </c>
      <c r="F12985" s="523"/>
      <c r="G12985" s="321" t="s">
        <v>1245</v>
      </c>
      <c r="H12985" s="322"/>
      <c r="I12985" s="322" t="s">
        <v>1253</v>
      </c>
      <c r="J12985" s="318" t="s">
        <v>1459</v>
      </c>
      <c r="K12985" s="323"/>
      <c r="L12985" s="323">
        <f>K12984</f>
        <v>98482.923999965191</v>
      </c>
      <c r="M12985" s="328"/>
    </row>
    <row r="12986" spans="1:16" ht="11.25" customHeight="1" x14ac:dyDescent="0.2">
      <c r="A12986" s="222">
        <v>2026</v>
      </c>
      <c r="B12986" s="222">
        <v>1</v>
      </c>
      <c r="C12986" s="222">
        <v>27</v>
      </c>
      <c r="D12986" s="223">
        <f t="shared" si="1903"/>
        <v>46049</v>
      </c>
      <c r="E12986" s="240">
        <f t="shared" si="1912"/>
        <v>46049</v>
      </c>
      <c r="F12986" s="511" t="s">
        <v>1244</v>
      </c>
      <c r="G12986" s="225" t="s">
        <v>1245</v>
      </c>
      <c r="H12986" s="226"/>
      <c r="I12986" s="226" t="s">
        <v>1253</v>
      </c>
      <c r="J12986" s="222" t="s">
        <v>87</v>
      </c>
      <c r="K12986" s="227">
        <v>2652</v>
      </c>
      <c r="L12986" s="227"/>
      <c r="M12986" s="328"/>
    </row>
    <row r="12987" spans="1:16" ht="11.25" customHeight="1" x14ac:dyDescent="0.2">
      <c r="A12987" s="228">
        <v>2026</v>
      </c>
      <c r="B12987" s="228">
        <v>1</v>
      </c>
      <c r="C12987" s="228">
        <v>27</v>
      </c>
      <c r="D12987" s="229">
        <f t="shared" si="1903"/>
        <v>46049</v>
      </c>
      <c r="E12987" s="241">
        <f t="shared" si="1912"/>
        <v>46049</v>
      </c>
      <c r="F12987" s="512"/>
      <c r="G12987" s="231" t="s">
        <v>1245</v>
      </c>
      <c r="H12987" s="232"/>
      <c r="I12987" s="232" t="s">
        <v>1253</v>
      </c>
      <c r="J12987" s="228" t="s">
        <v>72</v>
      </c>
      <c r="K12987" s="233"/>
      <c r="L12987" s="233">
        <f>K12986</f>
        <v>2652</v>
      </c>
    </row>
    <row r="12988" spans="1:16" ht="11.25" customHeight="1" x14ac:dyDescent="0.2">
      <c r="A12988" s="222">
        <v>2026</v>
      </c>
      <c r="B12988" s="222">
        <v>1</v>
      </c>
      <c r="C12988" s="222">
        <v>27</v>
      </c>
      <c r="D12988" s="223">
        <f t="shared" si="1903"/>
        <v>46049</v>
      </c>
      <c r="E12988" s="240">
        <f t="shared" si="1912"/>
        <v>46049</v>
      </c>
      <c r="F12988" s="511" t="s">
        <v>1246</v>
      </c>
      <c r="G12988" s="225" t="s">
        <v>1245</v>
      </c>
      <c r="H12988" s="226"/>
      <c r="I12988" s="226" t="s">
        <v>1253</v>
      </c>
      <c r="J12988" s="222" t="s">
        <v>75</v>
      </c>
      <c r="K12988" s="227">
        <v>517.58912087912086</v>
      </c>
      <c r="L12988" s="227"/>
      <c r="M12988" s="455"/>
    </row>
    <row r="12989" spans="1:16" ht="11.25" customHeight="1" x14ac:dyDescent="0.2">
      <c r="A12989" s="228">
        <v>2026</v>
      </c>
      <c r="B12989" s="228">
        <v>1</v>
      </c>
      <c r="C12989" s="228">
        <v>27</v>
      </c>
      <c r="D12989" s="229">
        <f t="shared" si="1903"/>
        <v>46049</v>
      </c>
      <c r="E12989" s="241">
        <f t="shared" si="1912"/>
        <v>46049</v>
      </c>
      <c r="F12989" s="512"/>
      <c r="G12989" s="231" t="s">
        <v>1245</v>
      </c>
      <c r="H12989" s="232"/>
      <c r="I12989" s="232" t="s">
        <v>1253</v>
      </c>
      <c r="J12989" s="228" t="s">
        <v>55</v>
      </c>
      <c r="K12989" s="233"/>
      <c r="L12989" s="233">
        <f>K12988</f>
        <v>517.58912087912086</v>
      </c>
    </row>
    <row r="12990" spans="1:16" ht="11.25" customHeight="1" x14ac:dyDescent="0.2">
      <c r="A12990" s="222">
        <v>2026</v>
      </c>
      <c r="B12990" s="222">
        <v>1</v>
      </c>
      <c r="C12990" s="222">
        <v>27</v>
      </c>
      <c r="D12990" s="223">
        <f t="shared" si="1903"/>
        <v>46049</v>
      </c>
      <c r="E12990" s="240">
        <f t="shared" si="1912"/>
        <v>46049</v>
      </c>
      <c r="F12990" s="511" t="s">
        <v>1247</v>
      </c>
      <c r="G12990" s="225" t="s">
        <v>1245</v>
      </c>
      <c r="H12990" s="226"/>
      <c r="I12990" s="226" t="s">
        <v>1253</v>
      </c>
      <c r="J12990" s="222" t="s">
        <v>77</v>
      </c>
      <c r="K12990" s="227">
        <f>M12990</f>
        <v>7506.0406873034472</v>
      </c>
      <c r="L12990" s="227"/>
      <c r="M12990" s="478">
        <v>7506.0406873034472</v>
      </c>
    </row>
    <row r="12991" spans="1:16" ht="11.25" customHeight="1" x14ac:dyDescent="0.2">
      <c r="A12991" s="228">
        <v>2026</v>
      </c>
      <c r="B12991" s="228">
        <v>1</v>
      </c>
      <c r="C12991" s="228">
        <v>27</v>
      </c>
      <c r="D12991" s="229">
        <f t="shared" si="1903"/>
        <v>46049</v>
      </c>
      <c r="E12991" s="241">
        <f t="shared" si="1912"/>
        <v>46049</v>
      </c>
      <c r="F12991" s="512"/>
      <c r="G12991" s="231" t="s">
        <v>1245</v>
      </c>
      <c r="H12991" s="232"/>
      <c r="I12991" s="232" t="s">
        <v>1253</v>
      </c>
      <c r="J12991" s="228" t="s">
        <v>41</v>
      </c>
      <c r="K12991" s="233"/>
      <c r="L12991" s="233">
        <f>K12990</f>
        <v>7506.0406873034472</v>
      </c>
      <c r="M12991" s="478">
        <v>750.60406873034481</v>
      </c>
      <c r="N12991" s="251"/>
    </row>
    <row r="12992" spans="1:16" ht="11.25" customHeight="1" x14ac:dyDescent="0.2">
      <c r="A12992" s="222">
        <v>2026</v>
      </c>
      <c r="B12992" s="222">
        <v>1</v>
      </c>
      <c r="C12992" s="222">
        <v>27</v>
      </c>
      <c r="D12992" s="223">
        <f t="shared" si="1903"/>
        <v>46049</v>
      </c>
      <c r="E12992" s="240">
        <f t="shared" si="1912"/>
        <v>46049</v>
      </c>
      <c r="F12992" s="511" t="s">
        <v>1248</v>
      </c>
      <c r="G12992" s="225" t="s">
        <v>1245</v>
      </c>
      <c r="H12992" s="226"/>
      <c r="I12992" s="226" t="s">
        <v>1253</v>
      </c>
      <c r="J12992" s="222" t="s">
        <v>80</v>
      </c>
      <c r="K12992" s="227">
        <f>M12991</f>
        <v>750.60406873034481</v>
      </c>
      <c r="L12992" s="227"/>
      <c r="N12992" s="251"/>
      <c r="O12992" s="251"/>
    </row>
    <row r="12993" spans="1:14" ht="11.25" customHeight="1" x14ac:dyDescent="0.2">
      <c r="A12993" s="228">
        <v>2026</v>
      </c>
      <c r="B12993" s="228">
        <v>1</v>
      </c>
      <c r="C12993" s="228">
        <v>27</v>
      </c>
      <c r="D12993" s="229">
        <f t="shared" si="1903"/>
        <v>46049</v>
      </c>
      <c r="E12993" s="241">
        <f t="shared" si="1912"/>
        <v>46049</v>
      </c>
      <c r="F12993" s="512"/>
      <c r="G12993" s="231" t="s">
        <v>1245</v>
      </c>
      <c r="H12993" s="232"/>
      <c r="I12993" s="232" t="s">
        <v>1253</v>
      </c>
      <c r="J12993" s="228" t="s">
        <v>42</v>
      </c>
      <c r="K12993" s="233"/>
      <c r="L12993" s="233">
        <f>K12992</f>
        <v>750.60406873034481</v>
      </c>
      <c r="N12993" s="251"/>
    </row>
    <row r="12994" spans="1:14" x14ac:dyDescent="0.2">
      <c r="A12994" s="197">
        <v>2026</v>
      </c>
      <c r="B12994" s="197">
        <v>1</v>
      </c>
      <c r="C12994" s="197">
        <v>28</v>
      </c>
      <c r="D12994" s="198">
        <f t="shared" ref="D12994:D13034" si="1913">DATE(A12994,B12994,C12994)</f>
        <v>46050</v>
      </c>
      <c r="E12994" s="209">
        <f t="shared" si="1912"/>
        <v>46050</v>
      </c>
      <c r="F12994" s="513" t="s">
        <v>1210</v>
      </c>
      <c r="G12994" s="200" t="s">
        <v>1209</v>
      </c>
      <c r="H12994" s="201"/>
      <c r="I12994" s="201"/>
      <c r="J12994" s="197" t="s">
        <v>46</v>
      </c>
      <c r="K12994" s="202">
        <v>200000</v>
      </c>
      <c r="L12994" s="202"/>
    </row>
    <row r="12995" spans="1:14" x14ac:dyDescent="0.2">
      <c r="A12995" s="120">
        <v>2026</v>
      </c>
      <c r="B12995" s="120">
        <v>1</v>
      </c>
      <c r="C12995" s="120">
        <v>28</v>
      </c>
      <c r="D12995" s="208">
        <f t="shared" si="1913"/>
        <v>46050</v>
      </c>
      <c r="E12995" s="209">
        <f t="shared" si="1912"/>
        <v>46050</v>
      </c>
      <c r="F12995" s="515"/>
      <c r="G12995" s="132" t="s">
        <v>1209</v>
      </c>
      <c r="J12995" s="120" t="s">
        <v>16</v>
      </c>
      <c r="K12995" s="207"/>
      <c r="L12995" s="207">
        <v>143500</v>
      </c>
    </row>
    <row r="12996" spans="1:14" x14ac:dyDescent="0.2">
      <c r="A12996" s="191">
        <v>2026</v>
      </c>
      <c r="B12996" s="191">
        <v>1</v>
      </c>
      <c r="C12996" s="191">
        <v>28</v>
      </c>
      <c r="D12996" s="192">
        <f t="shared" si="1913"/>
        <v>46050</v>
      </c>
      <c r="E12996" s="193">
        <f t="shared" si="1912"/>
        <v>46050</v>
      </c>
      <c r="F12996" s="514"/>
      <c r="G12996" s="194" t="s">
        <v>1209</v>
      </c>
      <c r="H12996" s="195"/>
      <c r="I12996" s="195"/>
      <c r="J12996" s="191" t="s">
        <v>47</v>
      </c>
      <c r="K12996" s="196"/>
      <c r="L12996" s="196">
        <v>56500</v>
      </c>
    </row>
    <row r="12997" spans="1:14" ht="11.25" customHeight="1" x14ac:dyDescent="0.2">
      <c r="A12997" s="197">
        <v>2026</v>
      </c>
      <c r="B12997" s="197">
        <v>1</v>
      </c>
      <c r="C12997" s="197">
        <v>28</v>
      </c>
      <c r="D12997" s="198">
        <f>DATE(A12997,B12997,C12997)</f>
        <v>46050</v>
      </c>
      <c r="E12997" s="290">
        <f>DATE(A12997,B12997,C12997)</f>
        <v>46050</v>
      </c>
      <c r="F12997" s="513" t="s">
        <v>2067</v>
      </c>
      <c r="G12997" s="200" t="s">
        <v>1209</v>
      </c>
      <c r="H12997" s="201"/>
      <c r="I12997" s="201" t="s">
        <v>1253</v>
      </c>
      <c r="J12997" s="197" t="s">
        <v>46</v>
      </c>
      <c r="K12997" s="202">
        <v>1020000</v>
      </c>
      <c r="L12997" s="202"/>
    </row>
    <row r="12998" spans="1:14" ht="11.25" customHeight="1" x14ac:dyDescent="0.2">
      <c r="A12998" s="191">
        <v>2026</v>
      </c>
      <c r="B12998" s="191">
        <v>1</v>
      </c>
      <c r="C12998" s="191">
        <v>28</v>
      </c>
      <c r="D12998" s="192">
        <f>DATE(A12998,B12998,C12998)</f>
        <v>46050</v>
      </c>
      <c r="E12998" s="291">
        <f>DATE(A12998,B12998,C12998)</f>
        <v>46050</v>
      </c>
      <c r="F12998" s="514"/>
      <c r="G12998" s="194" t="s">
        <v>1209</v>
      </c>
      <c r="H12998" s="195"/>
      <c r="I12998" s="195"/>
      <c r="J12998" s="191" t="s">
        <v>1845</v>
      </c>
      <c r="K12998" s="196"/>
      <c r="L12998" s="196">
        <f>K12997</f>
        <v>1020000</v>
      </c>
    </row>
    <row r="12999" spans="1:14" x14ac:dyDescent="0.2">
      <c r="A12999" s="424">
        <v>2026</v>
      </c>
      <c r="B12999" s="424">
        <v>1</v>
      </c>
      <c r="C12999" s="424">
        <v>28</v>
      </c>
      <c r="D12999" s="425">
        <f t="shared" si="1913"/>
        <v>46050</v>
      </c>
      <c r="E12999" s="384">
        <f t="shared" si="1912"/>
        <v>46050</v>
      </c>
      <c r="F12999" s="516" t="s">
        <v>1850</v>
      </c>
      <c r="G12999" s="426" t="s">
        <v>1209</v>
      </c>
      <c r="H12999" s="427"/>
      <c r="I12999" s="427"/>
      <c r="J12999" s="428" t="s">
        <v>81</v>
      </c>
      <c r="K12999" s="429">
        <v>1595.8173626373627</v>
      </c>
      <c r="L12999" s="429"/>
      <c r="M12999" s="455"/>
    </row>
    <row r="13000" spans="1:14" x14ac:dyDescent="0.2">
      <c r="A13000" s="389">
        <v>2026</v>
      </c>
      <c r="B13000" s="389">
        <v>1</v>
      </c>
      <c r="C13000" s="389">
        <v>28</v>
      </c>
      <c r="D13000" s="390">
        <f t="shared" si="1913"/>
        <v>46050</v>
      </c>
      <c r="E13000" s="391">
        <f t="shared" si="1912"/>
        <v>46050</v>
      </c>
      <c r="F13000" s="517"/>
      <c r="G13000" s="392" t="s">
        <v>1209</v>
      </c>
      <c r="H13000" s="393"/>
      <c r="I13000" s="393"/>
      <c r="J13000" s="394" t="s">
        <v>1847</v>
      </c>
      <c r="K13000" s="423"/>
      <c r="L13000" s="423">
        <f>K12999</f>
        <v>1595.8173626373627</v>
      </c>
    </row>
    <row r="13001" spans="1:14" ht="11.25" customHeight="1" x14ac:dyDescent="0.2">
      <c r="A13001" s="382">
        <v>2026</v>
      </c>
      <c r="B13001" s="382">
        <v>1</v>
      </c>
      <c r="C13001" s="382">
        <v>28</v>
      </c>
      <c r="D13001" s="383">
        <f t="shared" si="1913"/>
        <v>46050</v>
      </c>
      <c r="E13001" s="384">
        <f t="shared" si="1912"/>
        <v>46050</v>
      </c>
      <c r="F13001" s="516" t="s">
        <v>1892</v>
      </c>
      <c r="G13001" s="385" t="s">
        <v>1209</v>
      </c>
      <c r="H13001" s="386"/>
      <c r="I13001" s="386"/>
      <c r="J13001" s="387" t="s">
        <v>173</v>
      </c>
      <c r="K13001" s="388">
        <v>591.55724559305554</v>
      </c>
      <c r="L13001" s="388"/>
      <c r="M13001" s="455"/>
    </row>
    <row r="13002" spans="1:14" ht="11.25" customHeight="1" x14ac:dyDescent="0.2">
      <c r="A13002" s="389">
        <v>2026</v>
      </c>
      <c r="B13002" s="389">
        <v>1</v>
      </c>
      <c r="C13002" s="389">
        <v>28</v>
      </c>
      <c r="D13002" s="390">
        <f t="shared" si="1913"/>
        <v>46050</v>
      </c>
      <c r="E13002" s="391">
        <f t="shared" si="1912"/>
        <v>46050</v>
      </c>
      <c r="F13002" s="517"/>
      <c r="G13002" s="392" t="s">
        <v>1209</v>
      </c>
      <c r="H13002" s="393"/>
      <c r="I13002" s="393"/>
      <c r="J13002" s="394" t="s">
        <v>43</v>
      </c>
      <c r="K13002" s="388"/>
      <c r="L13002" s="423">
        <f>K13001</f>
        <v>591.55724559305554</v>
      </c>
    </row>
    <row r="13003" spans="1:14" ht="11.25" customHeight="1" x14ac:dyDescent="0.2">
      <c r="A13003" s="344">
        <v>2026</v>
      </c>
      <c r="B13003" s="344">
        <v>1</v>
      </c>
      <c r="C13003" s="344">
        <v>28</v>
      </c>
      <c r="D13003" s="345">
        <f t="shared" si="1913"/>
        <v>46050</v>
      </c>
      <c r="E13003" s="346">
        <f t="shared" si="1912"/>
        <v>46050</v>
      </c>
      <c r="F13003" s="518" t="s">
        <v>1982</v>
      </c>
      <c r="G13003" s="347" t="s">
        <v>1245</v>
      </c>
      <c r="H13003" s="348"/>
      <c r="I13003" s="348" t="s">
        <v>1253</v>
      </c>
      <c r="J13003" s="344" t="s">
        <v>1978</v>
      </c>
      <c r="K13003" s="349">
        <v>21249.725274725275</v>
      </c>
      <c r="L13003" s="349"/>
      <c r="M13003" s="455"/>
    </row>
    <row r="13004" spans="1:14" ht="11.25" customHeight="1" x14ac:dyDescent="0.2">
      <c r="A13004" s="350">
        <v>2026</v>
      </c>
      <c r="B13004" s="350">
        <v>1</v>
      </c>
      <c r="C13004" s="350">
        <v>28</v>
      </c>
      <c r="D13004" s="351">
        <f t="shared" si="1913"/>
        <v>46050</v>
      </c>
      <c r="E13004" s="352">
        <f t="shared" si="1912"/>
        <v>46050</v>
      </c>
      <c r="F13004" s="519"/>
      <c r="G13004" s="353" t="s">
        <v>1245</v>
      </c>
      <c r="H13004" s="354"/>
      <c r="I13004" s="354" t="s">
        <v>1253</v>
      </c>
      <c r="J13004" s="350" t="s">
        <v>1979</v>
      </c>
      <c r="K13004" s="355"/>
      <c r="L13004" s="355">
        <f>K13003</f>
        <v>21249.725274725275</v>
      </c>
    </row>
    <row r="13005" spans="1:14" ht="11.25" customHeight="1" x14ac:dyDescent="0.2">
      <c r="A13005" s="344">
        <v>2026</v>
      </c>
      <c r="B13005" s="344">
        <v>1</v>
      </c>
      <c r="C13005" s="344">
        <v>28</v>
      </c>
      <c r="D13005" s="345">
        <f t="shared" si="1913"/>
        <v>46050</v>
      </c>
      <c r="E13005" s="346">
        <f t="shared" si="1912"/>
        <v>46050</v>
      </c>
      <c r="F13005" s="518" t="s">
        <v>2009</v>
      </c>
      <c r="G13005" s="347" t="s">
        <v>1245</v>
      </c>
      <c r="H13005" s="348"/>
      <c r="I13005" s="348" t="s">
        <v>1253</v>
      </c>
      <c r="J13005" s="344" t="s">
        <v>2004</v>
      </c>
      <c r="K13005" s="349">
        <v>7098.9014285714284</v>
      </c>
      <c r="L13005" s="349"/>
      <c r="M13005" s="455"/>
    </row>
    <row r="13006" spans="1:14" ht="11.25" customHeight="1" x14ac:dyDescent="0.2">
      <c r="A13006" s="350">
        <v>2026</v>
      </c>
      <c r="B13006" s="350">
        <v>1</v>
      </c>
      <c r="C13006" s="350">
        <v>28</v>
      </c>
      <c r="D13006" s="351">
        <f t="shared" si="1913"/>
        <v>46050</v>
      </c>
      <c r="E13006" s="352">
        <f t="shared" si="1912"/>
        <v>46050</v>
      </c>
      <c r="F13006" s="519"/>
      <c r="G13006" s="353" t="s">
        <v>1245</v>
      </c>
      <c r="H13006" s="354"/>
      <c r="I13006" s="354" t="s">
        <v>1253</v>
      </c>
      <c r="J13006" s="350" t="s">
        <v>2008</v>
      </c>
      <c r="K13006" s="355"/>
      <c r="L13006" s="355">
        <f t="shared" ref="L13006" si="1914">K13005</f>
        <v>7098.9014285714284</v>
      </c>
    </row>
    <row r="13007" spans="1:14" ht="11.25" customHeight="1" x14ac:dyDescent="0.2">
      <c r="A13007" s="344">
        <v>2026</v>
      </c>
      <c r="B13007" s="344">
        <v>1</v>
      </c>
      <c r="C13007" s="344">
        <v>28</v>
      </c>
      <c r="D13007" s="345">
        <f t="shared" si="1913"/>
        <v>46050</v>
      </c>
      <c r="E13007" s="346">
        <f t="shared" si="1912"/>
        <v>46050</v>
      </c>
      <c r="F13007" s="518" t="s">
        <v>2009</v>
      </c>
      <c r="G13007" s="347" t="s">
        <v>1245</v>
      </c>
      <c r="H13007" s="348"/>
      <c r="I13007" s="348" t="s">
        <v>1253</v>
      </c>
      <c r="J13007" s="344" t="s">
        <v>2004</v>
      </c>
      <c r="K13007" s="349">
        <v>7098.9014285714284</v>
      </c>
      <c r="L13007" s="349"/>
      <c r="M13007" s="455"/>
    </row>
    <row r="13008" spans="1:14" ht="11.25" customHeight="1" x14ac:dyDescent="0.2">
      <c r="A13008" s="350">
        <v>2026</v>
      </c>
      <c r="B13008" s="350">
        <v>1</v>
      </c>
      <c r="C13008" s="350">
        <v>28</v>
      </c>
      <c r="D13008" s="351">
        <f t="shared" si="1913"/>
        <v>46050</v>
      </c>
      <c r="E13008" s="352">
        <f t="shared" si="1912"/>
        <v>46050</v>
      </c>
      <c r="F13008" s="519"/>
      <c r="G13008" s="353" t="s">
        <v>1245</v>
      </c>
      <c r="H13008" s="354"/>
      <c r="I13008" s="354" t="s">
        <v>1253</v>
      </c>
      <c r="J13008" s="350" t="s">
        <v>2008</v>
      </c>
      <c r="K13008" s="355"/>
      <c r="L13008" s="355">
        <f t="shared" ref="L13008" si="1915">K13007</f>
        <v>7098.9014285714284</v>
      </c>
    </row>
    <row r="13009" spans="1:16" ht="11.25" customHeight="1" x14ac:dyDescent="0.2">
      <c r="A13009" s="344">
        <v>2026</v>
      </c>
      <c r="B13009" s="344">
        <v>1</v>
      </c>
      <c r="C13009" s="344">
        <v>28</v>
      </c>
      <c r="D13009" s="345">
        <f t="shared" si="1913"/>
        <v>46050</v>
      </c>
      <c r="E13009" s="346">
        <f t="shared" si="1912"/>
        <v>46050</v>
      </c>
      <c r="F13009" s="518" t="s">
        <v>2088</v>
      </c>
      <c r="G13009" s="347" t="s">
        <v>1245</v>
      </c>
      <c r="H13009" s="348"/>
      <c r="I13009" s="348" t="s">
        <v>1253</v>
      </c>
      <c r="J13009" s="344" t="s">
        <v>2086</v>
      </c>
      <c r="K13009" s="349">
        <v>1789.835164835165</v>
      </c>
      <c r="L13009" s="349"/>
      <c r="M13009" s="455"/>
    </row>
    <row r="13010" spans="1:16" ht="11.25" customHeight="1" x14ac:dyDescent="0.2">
      <c r="A13010" s="350">
        <v>2026</v>
      </c>
      <c r="B13010" s="350">
        <v>1</v>
      </c>
      <c r="C13010" s="350">
        <v>28</v>
      </c>
      <c r="D13010" s="351">
        <f t="shared" si="1913"/>
        <v>46050</v>
      </c>
      <c r="E13010" s="352">
        <f t="shared" si="1912"/>
        <v>46050</v>
      </c>
      <c r="F13010" s="519"/>
      <c r="G13010" s="353" t="s">
        <v>1245</v>
      </c>
      <c r="H13010" s="354"/>
      <c r="I13010" s="354" t="s">
        <v>1253</v>
      </c>
      <c r="J13010" s="350" t="s">
        <v>2089</v>
      </c>
      <c r="K13010" s="355"/>
      <c r="L13010" s="355">
        <f>K13009</f>
        <v>1789.835164835165</v>
      </c>
    </row>
    <row r="13011" spans="1:16" ht="11.25" customHeight="1" x14ac:dyDescent="0.2">
      <c r="A13011" s="344">
        <v>2026</v>
      </c>
      <c r="B13011" s="344">
        <v>1</v>
      </c>
      <c r="C13011" s="344">
        <v>28</v>
      </c>
      <c r="D13011" s="345">
        <f t="shared" si="1913"/>
        <v>46050</v>
      </c>
      <c r="E13011" s="346">
        <f>DATE(A13011,B13011,C13011)</f>
        <v>46050</v>
      </c>
      <c r="F13011" s="518" t="s">
        <v>1988</v>
      </c>
      <c r="G13011" s="347" t="s">
        <v>1245</v>
      </c>
      <c r="H13011" s="348"/>
      <c r="I13011" s="348" t="s">
        <v>1253</v>
      </c>
      <c r="J13011" s="344" t="s">
        <v>113</v>
      </c>
      <c r="K13011" s="349">
        <v>4692.3071428571429</v>
      </c>
      <c r="L13011" s="349"/>
      <c r="M13011" s="455"/>
    </row>
    <row r="13012" spans="1:16" ht="11.25" customHeight="1" x14ac:dyDescent="0.2">
      <c r="A13012" s="350">
        <v>2026</v>
      </c>
      <c r="B13012" s="350">
        <v>1</v>
      </c>
      <c r="C13012" s="350">
        <v>28</v>
      </c>
      <c r="D13012" s="351">
        <f t="shared" si="1913"/>
        <v>46050</v>
      </c>
      <c r="E13012" s="352">
        <f>DATE(A13012,B13012,C13012)</f>
        <v>46050</v>
      </c>
      <c r="F13012" s="519"/>
      <c r="G13012" s="353" t="s">
        <v>1245</v>
      </c>
      <c r="H13012" s="354"/>
      <c r="I13012" s="354" t="s">
        <v>1253</v>
      </c>
      <c r="J13012" s="350" t="s">
        <v>153</v>
      </c>
      <c r="K13012" s="355"/>
      <c r="L13012" s="355">
        <f t="shared" ref="L13012" si="1916">K13011</f>
        <v>4692.3071428571429</v>
      </c>
    </row>
    <row r="13013" spans="1:16" ht="11.25" customHeight="1" x14ac:dyDescent="0.2">
      <c r="A13013" s="344">
        <v>2026</v>
      </c>
      <c r="B13013" s="344">
        <v>1</v>
      </c>
      <c r="C13013" s="344">
        <v>28</v>
      </c>
      <c r="D13013" s="345">
        <f t="shared" si="1913"/>
        <v>46050</v>
      </c>
      <c r="E13013" s="346">
        <f t="shared" ref="E13013:E13019" si="1917">DATE(A13013,B13013,C13013)</f>
        <v>46050</v>
      </c>
      <c r="F13013" s="518" t="s">
        <v>1989</v>
      </c>
      <c r="G13013" s="347" t="s">
        <v>1245</v>
      </c>
      <c r="H13013" s="348"/>
      <c r="I13013" s="348" t="s">
        <v>1253</v>
      </c>
      <c r="J13013" s="344" t="s">
        <v>113</v>
      </c>
      <c r="K13013" s="349">
        <v>3351.6483516483518</v>
      </c>
      <c r="L13013" s="349"/>
      <c r="M13013" s="455"/>
    </row>
    <row r="13014" spans="1:16" ht="11.25" customHeight="1" x14ac:dyDescent="0.2">
      <c r="A13014" s="350">
        <v>2026</v>
      </c>
      <c r="B13014" s="350">
        <v>1</v>
      </c>
      <c r="C13014" s="350">
        <v>28</v>
      </c>
      <c r="D13014" s="351">
        <f t="shared" si="1913"/>
        <v>46050</v>
      </c>
      <c r="E13014" s="352">
        <f t="shared" si="1917"/>
        <v>46050</v>
      </c>
      <c r="F13014" s="519"/>
      <c r="G13014" s="353" t="s">
        <v>1245</v>
      </c>
      <c r="H13014" s="354"/>
      <c r="I13014" s="354" t="s">
        <v>1253</v>
      </c>
      <c r="J13014" s="350" t="s">
        <v>153</v>
      </c>
      <c r="K13014" s="355"/>
      <c r="L13014" s="355">
        <f t="shared" ref="L13014" si="1918">K13013</f>
        <v>3351.6483516483518</v>
      </c>
    </row>
    <row r="13015" spans="1:16" ht="11.25" customHeight="1" x14ac:dyDescent="0.2">
      <c r="A13015" s="344">
        <v>2026</v>
      </c>
      <c r="B13015" s="344">
        <v>1</v>
      </c>
      <c r="C13015" s="344">
        <v>28</v>
      </c>
      <c r="D13015" s="345">
        <f t="shared" si="1913"/>
        <v>46050</v>
      </c>
      <c r="E13015" s="346">
        <f t="shared" si="1917"/>
        <v>46050</v>
      </c>
      <c r="F13015" s="518" t="s">
        <v>1990</v>
      </c>
      <c r="G13015" s="347" t="s">
        <v>1245</v>
      </c>
      <c r="H13015" s="348"/>
      <c r="I13015" s="348" t="s">
        <v>1253</v>
      </c>
      <c r="J13015" s="344" t="s">
        <v>113</v>
      </c>
      <c r="K13015" s="349">
        <v>10054.945714285714</v>
      </c>
      <c r="L13015" s="349"/>
      <c r="M13015" s="455"/>
      <c r="N13015" s="251"/>
      <c r="O13015" s="251"/>
      <c r="P13015" s="251"/>
    </row>
    <row r="13016" spans="1:16" ht="11.25" customHeight="1" x14ac:dyDescent="0.2">
      <c r="A13016" s="350">
        <v>2026</v>
      </c>
      <c r="B13016" s="350">
        <v>1</v>
      </c>
      <c r="C13016" s="350">
        <v>28</v>
      </c>
      <c r="D13016" s="351">
        <f t="shared" si="1913"/>
        <v>46050</v>
      </c>
      <c r="E13016" s="352">
        <f t="shared" si="1917"/>
        <v>46050</v>
      </c>
      <c r="F13016" s="519"/>
      <c r="G13016" s="353" t="s">
        <v>1245</v>
      </c>
      <c r="H13016" s="354"/>
      <c r="I13016" s="354" t="s">
        <v>1253</v>
      </c>
      <c r="J13016" s="350" t="s">
        <v>153</v>
      </c>
      <c r="K13016" s="355"/>
      <c r="L13016" s="355">
        <f t="shared" ref="L13016" si="1919">K13015</f>
        <v>10054.945714285714</v>
      </c>
      <c r="M13016" s="455"/>
    </row>
    <row r="13017" spans="1:16" ht="11.25" customHeight="1" x14ac:dyDescent="0.2">
      <c r="A13017" s="344">
        <v>2026</v>
      </c>
      <c r="B13017" s="344">
        <v>1</v>
      </c>
      <c r="C13017" s="344">
        <v>28</v>
      </c>
      <c r="D13017" s="345">
        <f t="shared" si="1913"/>
        <v>46050</v>
      </c>
      <c r="E13017" s="346">
        <f t="shared" si="1917"/>
        <v>46050</v>
      </c>
      <c r="F13017" s="518" t="s">
        <v>2107</v>
      </c>
      <c r="G13017" s="347" t="s">
        <v>1245</v>
      </c>
      <c r="H13017" s="348"/>
      <c r="I13017" s="348" t="s">
        <v>1253</v>
      </c>
      <c r="J13017" s="344" t="s">
        <v>113</v>
      </c>
      <c r="K13017" s="349">
        <v>12370.879120879121</v>
      </c>
      <c r="L13017" s="349"/>
      <c r="M13017" s="455"/>
      <c r="N13017" s="251"/>
      <c r="O13017" s="251"/>
      <c r="P13017" s="251"/>
    </row>
    <row r="13018" spans="1:16" ht="11.25" customHeight="1" x14ac:dyDescent="0.2">
      <c r="A13018" s="350">
        <v>2026</v>
      </c>
      <c r="B13018" s="350">
        <v>1</v>
      </c>
      <c r="C13018" s="350">
        <v>28</v>
      </c>
      <c r="D13018" s="351">
        <f t="shared" si="1913"/>
        <v>46050</v>
      </c>
      <c r="E13018" s="352">
        <f t="shared" si="1917"/>
        <v>46050</v>
      </c>
      <c r="F13018" s="519"/>
      <c r="G13018" s="353" t="s">
        <v>1245</v>
      </c>
      <c r="H13018" s="354"/>
      <c r="I13018" s="354" t="s">
        <v>1253</v>
      </c>
      <c r="J13018" s="350" t="s">
        <v>153</v>
      </c>
      <c r="K13018" s="355"/>
      <c r="L13018" s="355">
        <f t="shared" ref="L13018" si="1920">K13017</f>
        <v>12370.879120879121</v>
      </c>
    </row>
    <row r="13019" spans="1:16" ht="11.25" customHeight="1" x14ac:dyDescent="0.2">
      <c r="A13019" s="210">
        <v>2026</v>
      </c>
      <c r="B13019" s="210">
        <v>1</v>
      </c>
      <c r="C13019" s="210">
        <v>28</v>
      </c>
      <c r="D13019" s="211">
        <f t="shared" si="1913"/>
        <v>46050</v>
      </c>
      <c r="E13019" s="238">
        <f t="shared" si="1917"/>
        <v>46050</v>
      </c>
      <c r="F13019" s="520" t="s">
        <v>1857</v>
      </c>
      <c r="G13019" s="213" t="s">
        <v>1245</v>
      </c>
      <c r="H13019" s="214"/>
      <c r="I13019" s="214" t="s">
        <v>1253</v>
      </c>
      <c r="J13019" s="210" t="s">
        <v>1284</v>
      </c>
      <c r="K13019" s="215">
        <v>334.54448777029421</v>
      </c>
      <c r="L13019" s="215"/>
      <c r="M13019" s="455"/>
    </row>
    <row r="13020" spans="1:16" ht="11.25" customHeight="1" x14ac:dyDescent="0.2">
      <c r="A13020" s="242">
        <v>2026</v>
      </c>
      <c r="B13020" s="242">
        <v>1</v>
      </c>
      <c r="C13020" s="242">
        <v>28</v>
      </c>
      <c r="D13020" s="243">
        <f t="shared" si="1913"/>
        <v>46050</v>
      </c>
      <c r="E13020" s="244">
        <f>DATE(A13020,B13020,C13020)</f>
        <v>46050</v>
      </c>
      <c r="F13020" s="524"/>
      <c r="G13020" s="245" t="s">
        <v>1245</v>
      </c>
      <c r="H13020" s="246"/>
      <c r="I13020" s="246"/>
      <c r="J13020" s="242" t="s">
        <v>1582</v>
      </c>
      <c r="K13020" s="247"/>
      <c r="L13020" s="247">
        <f>K13019</f>
        <v>334.54448777029421</v>
      </c>
    </row>
    <row r="13021" spans="1:16" ht="11.25" customHeight="1" x14ac:dyDescent="0.2">
      <c r="A13021" s="210">
        <v>2026</v>
      </c>
      <c r="B13021" s="210">
        <v>1</v>
      </c>
      <c r="C13021" s="210">
        <v>28</v>
      </c>
      <c r="D13021" s="211">
        <f t="shared" si="1913"/>
        <v>46050</v>
      </c>
      <c r="E13021" s="238">
        <f t="shared" ref="E13021:E13034" si="1921">DATE(A13021,B13021,C13021)</f>
        <v>46050</v>
      </c>
      <c r="F13021" s="520" t="s">
        <v>2055</v>
      </c>
      <c r="G13021" s="213" t="s">
        <v>1245</v>
      </c>
      <c r="H13021" s="214"/>
      <c r="I13021" s="214" t="s">
        <v>1253</v>
      </c>
      <c r="J13021" s="210" t="s">
        <v>58</v>
      </c>
      <c r="K13021" s="215">
        <v>1870.1008061111111</v>
      </c>
      <c r="L13021" s="215"/>
    </row>
    <row r="13022" spans="1:16" ht="11.25" customHeight="1" x14ac:dyDescent="0.2">
      <c r="A13022" s="216">
        <v>2026</v>
      </c>
      <c r="B13022" s="216">
        <v>1</v>
      </c>
      <c r="C13022" s="216">
        <v>28</v>
      </c>
      <c r="D13022" s="217">
        <f t="shared" si="1913"/>
        <v>46050</v>
      </c>
      <c r="E13022" s="239">
        <f t="shared" si="1921"/>
        <v>46050</v>
      </c>
      <c r="F13022" s="521"/>
      <c r="G13022" s="219" t="s">
        <v>1245</v>
      </c>
      <c r="H13022" s="220"/>
      <c r="I13022" s="220" t="s">
        <v>1253</v>
      </c>
      <c r="J13022" s="216" t="s">
        <v>153</v>
      </c>
      <c r="K13022" s="221"/>
      <c r="L13022" s="221">
        <f>K13021</f>
        <v>1870.1008061111111</v>
      </c>
    </row>
    <row r="13023" spans="1:16" ht="11.25" customHeight="1" x14ac:dyDescent="0.2">
      <c r="A13023" s="312">
        <v>2026</v>
      </c>
      <c r="B13023" s="312">
        <v>1</v>
      </c>
      <c r="C13023" s="312">
        <v>28</v>
      </c>
      <c r="D13023" s="313">
        <f t="shared" si="1913"/>
        <v>46050</v>
      </c>
      <c r="E13023" s="314">
        <f t="shared" si="1921"/>
        <v>46050</v>
      </c>
      <c r="F13023" s="522" t="s">
        <v>1595</v>
      </c>
      <c r="G13023" s="315" t="s">
        <v>1245</v>
      </c>
      <c r="H13023" s="316"/>
      <c r="I13023" s="316" t="s">
        <v>1253</v>
      </c>
      <c r="J13023" s="312" t="s">
        <v>1461</v>
      </c>
      <c r="K13023" s="317">
        <v>921453.29999989271</v>
      </c>
      <c r="L13023" s="317"/>
      <c r="M13023" s="328"/>
    </row>
    <row r="13024" spans="1:16" ht="11.25" customHeight="1" x14ac:dyDescent="0.2">
      <c r="A13024" s="318">
        <v>2026</v>
      </c>
      <c r="B13024" s="318">
        <v>1</v>
      </c>
      <c r="C13024" s="318">
        <v>28</v>
      </c>
      <c r="D13024" s="319">
        <f t="shared" si="1913"/>
        <v>46050</v>
      </c>
      <c r="E13024" s="320">
        <f t="shared" si="1921"/>
        <v>46050</v>
      </c>
      <c r="F13024" s="523"/>
      <c r="G13024" s="321" t="s">
        <v>1245</v>
      </c>
      <c r="H13024" s="322"/>
      <c r="I13024" s="322" t="s">
        <v>1253</v>
      </c>
      <c r="J13024" s="318" t="s">
        <v>1459</v>
      </c>
      <c r="K13024" s="323"/>
      <c r="L13024" s="323">
        <f>K13023</f>
        <v>921453.29999989271</v>
      </c>
      <c r="M13024" s="328"/>
    </row>
    <row r="13025" spans="1:15" ht="11.25" customHeight="1" x14ac:dyDescent="0.2">
      <c r="A13025" s="222">
        <v>2026</v>
      </c>
      <c r="B13025" s="222">
        <v>1</v>
      </c>
      <c r="C13025" s="222">
        <v>28</v>
      </c>
      <c r="D13025" s="223">
        <f t="shared" si="1913"/>
        <v>46050</v>
      </c>
      <c r="E13025" s="240">
        <f t="shared" si="1921"/>
        <v>46050</v>
      </c>
      <c r="F13025" s="511" t="s">
        <v>1244</v>
      </c>
      <c r="G13025" s="225" t="s">
        <v>1245</v>
      </c>
      <c r="H13025" s="226"/>
      <c r="I13025" s="226" t="s">
        <v>1253</v>
      </c>
      <c r="J13025" s="222" t="s">
        <v>87</v>
      </c>
      <c r="K13025" s="227">
        <v>2636</v>
      </c>
      <c r="L13025" s="227"/>
      <c r="M13025" s="328"/>
    </row>
    <row r="13026" spans="1:15" ht="11.25" customHeight="1" x14ac:dyDescent="0.2">
      <c r="A13026" s="228">
        <v>2026</v>
      </c>
      <c r="B13026" s="228">
        <v>1</v>
      </c>
      <c r="C13026" s="228">
        <v>28</v>
      </c>
      <c r="D13026" s="229">
        <f t="shared" si="1913"/>
        <v>46050</v>
      </c>
      <c r="E13026" s="241">
        <f t="shared" si="1921"/>
        <v>46050</v>
      </c>
      <c r="F13026" s="512"/>
      <c r="G13026" s="231" t="s">
        <v>1245</v>
      </c>
      <c r="H13026" s="232"/>
      <c r="I13026" s="232" t="s">
        <v>1253</v>
      </c>
      <c r="J13026" s="228" t="s">
        <v>72</v>
      </c>
      <c r="K13026" s="233"/>
      <c r="L13026" s="233">
        <f>K13025</f>
        <v>2636</v>
      </c>
    </row>
    <row r="13027" spans="1:15" ht="11.25" customHeight="1" x14ac:dyDescent="0.2">
      <c r="A13027" s="222">
        <v>2026</v>
      </c>
      <c r="B13027" s="222">
        <v>1</v>
      </c>
      <c r="C13027" s="222">
        <v>28</v>
      </c>
      <c r="D13027" s="223">
        <f t="shared" si="1913"/>
        <v>46050</v>
      </c>
      <c r="E13027" s="240">
        <f t="shared" si="1921"/>
        <v>46050</v>
      </c>
      <c r="F13027" s="511" t="s">
        <v>1246</v>
      </c>
      <c r="G13027" s="225" t="s">
        <v>1245</v>
      </c>
      <c r="H13027" s="226"/>
      <c r="I13027" s="226" t="s">
        <v>1253</v>
      </c>
      <c r="J13027" s="222" t="s">
        <v>75</v>
      </c>
      <c r="K13027" s="227">
        <v>517.58912087912086</v>
      </c>
      <c r="L13027" s="227"/>
      <c r="M13027" s="455"/>
    </row>
    <row r="13028" spans="1:15" ht="11.25" customHeight="1" x14ac:dyDescent="0.2">
      <c r="A13028" s="228">
        <v>2026</v>
      </c>
      <c r="B13028" s="228">
        <v>1</v>
      </c>
      <c r="C13028" s="228">
        <v>28</v>
      </c>
      <c r="D13028" s="229">
        <f t="shared" si="1913"/>
        <v>46050</v>
      </c>
      <c r="E13028" s="241">
        <f t="shared" si="1921"/>
        <v>46050</v>
      </c>
      <c r="F13028" s="512"/>
      <c r="G13028" s="231" t="s">
        <v>1245</v>
      </c>
      <c r="H13028" s="232"/>
      <c r="I13028" s="232" t="s">
        <v>1253</v>
      </c>
      <c r="J13028" s="228" t="s">
        <v>55</v>
      </c>
      <c r="K13028" s="233"/>
      <c r="L13028" s="233">
        <f>K13027</f>
        <v>517.58912087912086</v>
      </c>
    </row>
    <row r="13029" spans="1:15" ht="11.25" customHeight="1" x14ac:dyDescent="0.2">
      <c r="A13029" s="222">
        <v>2026</v>
      </c>
      <c r="B13029" s="222">
        <v>1</v>
      </c>
      <c r="C13029" s="222">
        <v>28</v>
      </c>
      <c r="D13029" s="223">
        <f t="shared" si="1913"/>
        <v>46050</v>
      </c>
      <c r="E13029" s="240">
        <f t="shared" si="1921"/>
        <v>46050</v>
      </c>
      <c r="F13029" s="511" t="s">
        <v>1247</v>
      </c>
      <c r="G13029" s="225" t="s">
        <v>1245</v>
      </c>
      <c r="H13029" s="226"/>
      <c r="I13029" s="226" t="s">
        <v>1253</v>
      </c>
      <c r="J13029" s="222" t="s">
        <v>77</v>
      </c>
      <c r="K13029" s="227">
        <v>7522.1158650717707</v>
      </c>
      <c r="L13029" s="227"/>
      <c r="M13029" s="478">
        <v>7522.1158650717707</v>
      </c>
    </row>
    <row r="13030" spans="1:15" ht="11.25" customHeight="1" x14ac:dyDescent="0.2">
      <c r="A13030" s="228">
        <v>2026</v>
      </c>
      <c r="B13030" s="228">
        <v>1</v>
      </c>
      <c r="C13030" s="228">
        <v>28</v>
      </c>
      <c r="D13030" s="229">
        <f t="shared" si="1913"/>
        <v>46050</v>
      </c>
      <c r="E13030" s="241">
        <f t="shared" si="1921"/>
        <v>46050</v>
      </c>
      <c r="F13030" s="512"/>
      <c r="G13030" s="231" t="s">
        <v>1245</v>
      </c>
      <c r="H13030" s="232"/>
      <c r="I13030" s="232" t="s">
        <v>1253</v>
      </c>
      <c r="J13030" s="228" t="s">
        <v>41</v>
      </c>
      <c r="K13030" s="233"/>
      <c r="L13030" s="233">
        <f>K13029</f>
        <v>7522.1158650717707</v>
      </c>
      <c r="M13030" s="478">
        <v>752.21158650717723</v>
      </c>
      <c r="N13030" s="251"/>
    </row>
    <row r="13031" spans="1:15" ht="11.25" customHeight="1" x14ac:dyDescent="0.2">
      <c r="A13031" s="222">
        <v>2026</v>
      </c>
      <c r="B13031" s="222">
        <v>1</v>
      </c>
      <c r="C13031" s="222">
        <v>28</v>
      </c>
      <c r="D13031" s="223">
        <f t="shared" si="1913"/>
        <v>46050</v>
      </c>
      <c r="E13031" s="240">
        <f t="shared" si="1921"/>
        <v>46050</v>
      </c>
      <c r="F13031" s="511" t="s">
        <v>1248</v>
      </c>
      <c r="G13031" s="225" t="s">
        <v>1245</v>
      </c>
      <c r="H13031" s="226"/>
      <c r="I13031" s="226" t="s">
        <v>1253</v>
      </c>
      <c r="J13031" s="222" t="s">
        <v>80</v>
      </c>
      <c r="K13031" s="227">
        <v>752.21158650717723</v>
      </c>
      <c r="L13031" s="227"/>
      <c r="N13031" s="251"/>
      <c r="O13031" s="251"/>
    </row>
    <row r="13032" spans="1:15" ht="11.25" customHeight="1" x14ac:dyDescent="0.2">
      <c r="A13032" s="228">
        <v>2026</v>
      </c>
      <c r="B13032" s="228">
        <v>1</v>
      </c>
      <c r="C13032" s="228">
        <v>28</v>
      </c>
      <c r="D13032" s="229">
        <f t="shared" si="1913"/>
        <v>46050</v>
      </c>
      <c r="E13032" s="241">
        <f t="shared" si="1921"/>
        <v>46050</v>
      </c>
      <c r="F13032" s="512"/>
      <c r="G13032" s="231" t="s">
        <v>1245</v>
      </c>
      <c r="H13032" s="232"/>
      <c r="I13032" s="232" t="s">
        <v>1253</v>
      </c>
      <c r="J13032" s="228" t="s">
        <v>42</v>
      </c>
      <c r="K13032" s="233"/>
      <c r="L13032" s="233">
        <f>K13031</f>
        <v>752.21158650717723</v>
      </c>
      <c r="N13032" s="251"/>
    </row>
    <row r="13033" spans="1:15" ht="11.25" customHeight="1" x14ac:dyDescent="0.2">
      <c r="A13033" s="197">
        <v>2026</v>
      </c>
      <c r="B13033" s="197">
        <v>1</v>
      </c>
      <c r="C13033" s="197">
        <v>29</v>
      </c>
      <c r="D13033" s="198">
        <f t="shared" si="1913"/>
        <v>46051</v>
      </c>
      <c r="E13033" s="199">
        <f t="shared" si="1921"/>
        <v>46051</v>
      </c>
      <c r="F13033" s="513" t="s">
        <v>2024</v>
      </c>
      <c r="G13033" s="200" t="s">
        <v>1245</v>
      </c>
      <c r="H13033" s="201"/>
      <c r="I13033" s="201" t="s">
        <v>1253</v>
      </c>
      <c r="J13033" s="197" t="s">
        <v>1837</v>
      </c>
      <c r="K13033" s="202">
        <v>117000.4</v>
      </c>
      <c r="L13033" s="202"/>
    </row>
    <row r="13034" spans="1:15" ht="11.25" customHeight="1" x14ac:dyDescent="0.2">
      <c r="A13034" s="191">
        <v>2026</v>
      </c>
      <c r="B13034" s="191">
        <v>1</v>
      </c>
      <c r="C13034" s="191">
        <v>29</v>
      </c>
      <c r="D13034" s="192">
        <f t="shared" si="1913"/>
        <v>46051</v>
      </c>
      <c r="E13034" s="193">
        <f t="shared" si="1921"/>
        <v>46051</v>
      </c>
      <c r="F13034" s="514"/>
      <c r="G13034" s="194" t="s">
        <v>1245</v>
      </c>
      <c r="H13034" s="195"/>
      <c r="I13034" s="195" t="s">
        <v>1253</v>
      </c>
      <c r="J13034" s="191" t="s">
        <v>121</v>
      </c>
      <c r="K13034" s="196"/>
      <c r="L13034" s="196">
        <f>K13033</f>
        <v>117000.4</v>
      </c>
      <c r="N13034" s="130"/>
    </row>
    <row r="13035" spans="1:15" x14ac:dyDescent="0.2">
      <c r="A13035" s="424">
        <v>2026</v>
      </c>
      <c r="B13035" s="424">
        <v>1</v>
      </c>
      <c r="C13035" s="424">
        <v>29</v>
      </c>
      <c r="D13035" s="425">
        <f t="shared" ref="D13035:D13078" si="1922">DATE(A13035,B13035,C13035)</f>
        <v>46051</v>
      </c>
      <c r="E13035" s="384">
        <f t="shared" ref="E13035:E13046" si="1923">DATE(A13035,B13035,C13035)</f>
        <v>46051</v>
      </c>
      <c r="F13035" s="516" t="s">
        <v>1850</v>
      </c>
      <c r="G13035" s="426" t="s">
        <v>1209</v>
      </c>
      <c r="H13035" s="427"/>
      <c r="I13035" s="427"/>
      <c r="J13035" s="428" t="s">
        <v>81</v>
      </c>
      <c r="K13035" s="429">
        <v>1595.8173626373627</v>
      </c>
      <c r="L13035" s="429"/>
      <c r="M13035" s="455"/>
    </row>
    <row r="13036" spans="1:15" x14ac:dyDescent="0.2">
      <c r="A13036" s="389">
        <v>2026</v>
      </c>
      <c r="B13036" s="389">
        <v>1</v>
      </c>
      <c r="C13036" s="389">
        <v>29</v>
      </c>
      <c r="D13036" s="390">
        <f t="shared" si="1922"/>
        <v>46051</v>
      </c>
      <c r="E13036" s="391">
        <f t="shared" si="1923"/>
        <v>46051</v>
      </c>
      <c r="F13036" s="517"/>
      <c r="G13036" s="392" t="s">
        <v>1209</v>
      </c>
      <c r="H13036" s="393"/>
      <c r="I13036" s="393"/>
      <c r="J13036" s="394" t="s">
        <v>1847</v>
      </c>
      <c r="K13036" s="423"/>
      <c r="L13036" s="423">
        <f>K13035</f>
        <v>1595.8173626373627</v>
      </c>
    </row>
    <row r="13037" spans="1:15" ht="11.25" customHeight="1" x14ac:dyDescent="0.2">
      <c r="A13037" s="382">
        <v>2026</v>
      </c>
      <c r="B13037" s="382">
        <v>1</v>
      </c>
      <c r="C13037" s="382">
        <v>29</v>
      </c>
      <c r="D13037" s="383">
        <f t="shared" si="1922"/>
        <v>46051</v>
      </c>
      <c r="E13037" s="384">
        <f t="shared" si="1923"/>
        <v>46051</v>
      </c>
      <c r="F13037" s="516" t="s">
        <v>1892</v>
      </c>
      <c r="G13037" s="385" t="s">
        <v>1209</v>
      </c>
      <c r="H13037" s="386"/>
      <c r="I13037" s="386"/>
      <c r="J13037" s="387" t="s">
        <v>173</v>
      </c>
      <c r="K13037" s="388">
        <v>593.0032035097222</v>
      </c>
      <c r="L13037" s="388"/>
      <c r="M13037" s="455"/>
    </row>
    <row r="13038" spans="1:15" ht="11.25" customHeight="1" x14ac:dyDescent="0.2">
      <c r="A13038" s="389">
        <v>2026</v>
      </c>
      <c r="B13038" s="389">
        <v>1</v>
      </c>
      <c r="C13038" s="389">
        <v>29</v>
      </c>
      <c r="D13038" s="390">
        <f t="shared" si="1922"/>
        <v>46051</v>
      </c>
      <c r="E13038" s="391">
        <f t="shared" si="1923"/>
        <v>46051</v>
      </c>
      <c r="F13038" s="517"/>
      <c r="G13038" s="392" t="s">
        <v>1209</v>
      </c>
      <c r="H13038" s="393"/>
      <c r="I13038" s="393"/>
      <c r="J13038" s="394" t="s">
        <v>43</v>
      </c>
      <c r="K13038" s="388"/>
      <c r="L13038" s="423">
        <f>K13037</f>
        <v>593.0032035097222</v>
      </c>
    </row>
    <row r="13039" spans="1:15" ht="11.25" customHeight="1" x14ac:dyDescent="0.2">
      <c r="A13039" s="344">
        <v>2026</v>
      </c>
      <c r="B13039" s="344">
        <v>1</v>
      </c>
      <c r="C13039" s="344">
        <v>29</v>
      </c>
      <c r="D13039" s="345">
        <f t="shared" si="1922"/>
        <v>46051</v>
      </c>
      <c r="E13039" s="346">
        <f t="shared" si="1923"/>
        <v>46051</v>
      </c>
      <c r="F13039" s="518" t="s">
        <v>1982</v>
      </c>
      <c r="G13039" s="347" t="s">
        <v>1245</v>
      </c>
      <c r="H13039" s="348"/>
      <c r="I13039" s="348" t="s">
        <v>1253</v>
      </c>
      <c r="J13039" s="344" t="s">
        <v>1978</v>
      </c>
      <c r="K13039" s="349">
        <v>21249.725274725275</v>
      </c>
      <c r="L13039" s="349"/>
      <c r="M13039" s="455"/>
    </row>
    <row r="13040" spans="1:15" ht="11.25" customHeight="1" x14ac:dyDescent="0.2">
      <c r="A13040" s="350">
        <v>2026</v>
      </c>
      <c r="B13040" s="350">
        <v>1</v>
      </c>
      <c r="C13040" s="350">
        <v>29</v>
      </c>
      <c r="D13040" s="351">
        <f t="shared" si="1922"/>
        <v>46051</v>
      </c>
      <c r="E13040" s="352">
        <f t="shared" si="1923"/>
        <v>46051</v>
      </c>
      <c r="F13040" s="519"/>
      <c r="G13040" s="353" t="s">
        <v>1245</v>
      </c>
      <c r="H13040" s="354"/>
      <c r="I13040" s="354" t="s">
        <v>1253</v>
      </c>
      <c r="J13040" s="350" t="s">
        <v>1979</v>
      </c>
      <c r="K13040" s="355"/>
      <c r="L13040" s="355">
        <f>K13039</f>
        <v>21249.725274725275</v>
      </c>
    </row>
    <row r="13041" spans="1:16" ht="11.25" customHeight="1" x14ac:dyDescent="0.2">
      <c r="A13041" s="344">
        <v>2026</v>
      </c>
      <c r="B13041" s="344">
        <v>1</v>
      </c>
      <c r="C13041" s="344">
        <v>29</v>
      </c>
      <c r="D13041" s="345">
        <f t="shared" si="1922"/>
        <v>46051</v>
      </c>
      <c r="E13041" s="346">
        <f t="shared" si="1923"/>
        <v>46051</v>
      </c>
      <c r="F13041" s="518" t="s">
        <v>2009</v>
      </c>
      <c r="G13041" s="347" t="s">
        <v>1245</v>
      </c>
      <c r="H13041" s="348"/>
      <c r="I13041" s="348" t="s">
        <v>1253</v>
      </c>
      <c r="J13041" s="344" t="s">
        <v>2004</v>
      </c>
      <c r="K13041" s="349">
        <v>7098.9014285714284</v>
      </c>
      <c r="L13041" s="349"/>
      <c r="M13041" s="455"/>
    </row>
    <row r="13042" spans="1:16" ht="11.25" customHeight="1" x14ac:dyDescent="0.2">
      <c r="A13042" s="350">
        <v>2026</v>
      </c>
      <c r="B13042" s="350">
        <v>1</v>
      </c>
      <c r="C13042" s="350">
        <v>29</v>
      </c>
      <c r="D13042" s="351">
        <f t="shared" si="1922"/>
        <v>46051</v>
      </c>
      <c r="E13042" s="352">
        <f t="shared" si="1923"/>
        <v>46051</v>
      </c>
      <c r="F13042" s="519"/>
      <c r="G13042" s="353" t="s">
        <v>1245</v>
      </c>
      <c r="H13042" s="354"/>
      <c r="I13042" s="354" t="s">
        <v>1253</v>
      </c>
      <c r="J13042" s="350" t="s">
        <v>2008</v>
      </c>
      <c r="K13042" s="355"/>
      <c r="L13042" s="355">
        <f t="shared" ref="L13042" si="1924">K13041</f>
        <v>7098.9014285714284</v>
      </c>
    </row>
    <row r="13043" spans="1:16" ht="11.25" customHeight="1" x14ac:dyDescent="0.2">
      <c r="A13043" s="344">
        <v>2026</v>
      </c>
      <c r="B13043" s="344">
        <v>1</v>
      </c>
      <c r="C13043" s="344">
        <v>29</v>
      </c>
      <c r="D13043" s="345">
        <f t="shared" si="1922"/>
        <v>46051</v>
      </c>
      <c r="E13043" s="346">
        <f t="shared" si="1923"/>
        <v>46051</v>
      </c>
      <c r="F13043" s="518" t="s">
        <v>2009</v>
      </c>
      <c r="G13043" s="347" t="s">
        <v>1245</v>
      </c>
      <c r="H13043" s="348"/>
      <c r="I13043" s="348" t="s">
        <v>1253</v>
      </c>
      <c r="J13043" s="344" t="s">
        <v>2004</v>
      </c>
      <c r="K13043" s="349">
        <v>7098.9014285714284</v>
      </c>
      <c r="L13043" s="349"/>
      <c r="M13043" s="455"/>
    </row>
    <row r="13044" spans="1:16" ht="11.25" customHeight="1" x14ac:dyDescent="0.2">
      <c r="A13044" s="350">
        <v>2026</v>
      </c>
      <c r="B13044" s="350">
        <v>1</v>
      </c>
      <c r="C13044" s="350">
        <v>29</v>
      </c>
      <c r="D13044" s="351">
        <f t="shared" si="1922"/>
        <v>46051</v>
      </c>
      <c r="E13044" s="352">
        <f t="shared" si="1923"/>
        <v>46051</v>
      </c>
      <c r="F13044" s="519"/>
      <c r="G13044" s="353" t="s">
        <v>1245</v>
      </c>
      <c r="H13044" s="354"/>
      <c r="I13044" s="354" t="s">
        <v>1253</v>
      </c>
      <c r="J13044" s="350" t="s">
        <v>2008</v>
      </c>
      <c r="K13044" s="355"/>
      <c r="L13044" s="355">
        <f t="shared" ref="L13044" si="1925">K13043</f>
        <v>7098.9014285714284</v>
      </c>
    </row>
    <row r="13045" spans="1:16" ht="11.25" customHeight="1" x14ac:dyDescent="0.2">
      <c r="A13045" s="344">
        <v>2026</v>
      </c>
      <c r="B13045" s="344">
        <v>1</v>
      </c>
      <c r="C13045" s="344">
        <v>29</v>
      </c>
      <c r="D13045" s="345">
        <f t="shared" si="1922"/>
        <v>46051</v>
      </c>
      <c r="E13045" s="346">
        <f t="shared" si="1923"/>
        <v>46051</v>
      </c>
      <c r="F13045" s="518" t="s">
        <v>2088</v>
      </c>
      <c r="G13045" s="347" t="s">
        <v>1245</v>
      </c>
      <c r="H13045" s="348"/>
      <c r="I13045" s="348" t="s">
        <v>1253</v>
      </c>
      <c r="J13045" s="344" t="s">
        <v>2086</v>
      </c>
      <c r="K13045" s="349">
        <v>1789.835164835165</v>
      </c>
      <c r="L13045" s="349"/>
      <c r="M13045" s="455"/>
    </row>
    <row r="13046" spans="1:16" ht="11.25" customHeight="1" x14ac:dyDescent="0.2">
      <c r="A13046" s="350">
        <v>2026</v>
      </c>
      <c r="B13046" s="350">
        <v>1</v>
      </c>
      <c r="C13046" s="350">
        <v>29</v>
      </c>
      <c r="D13046" s="351">
        <f t="shared" si="1922"/>
        <v>46051</v>
      </c>
      <c r="E13046" s="352">
        <f t="shared" si="1923"/>
        <v>46051</v>
      </c>
      <c r="F13046" s="519"/>
      <c r="G13046" s="353" t="s">
        <v>1245</v>
      </c>
      <c r="H13046" s="354"/>
      <c r="I13046" s="354" t="s">
        <v>1253</v>
      </c>
      <c r="J13046" s="350" t="s">
        <v>2089</v>
      </c>
      <c r="K13046" s="355"/>
      <c r="L13046" s="355">
        <f>K13045</f>
        <v>1789.835164835165</v>
      </c>
    </row>
    <row r="13047" spans="1:16" ht="11.25" customHeight="1" x14ac:dyDescent="0.2">
      <c r="A13047" s="344">
        <v>2026</v>
      </c>
      <c r="B13047" s="344">
        <v>1</v>
      </c>
      <c r="C13047" s="344">
        <v>29</v>
      </c>
      <c r="D13047" s="345">
        <f t="shared" si="1922"/>
        <v>46051</v>
      </c>
      <c r="E13047" s="346">
        <f>DATE(A13047,B13047,C13047)</f>
        <v>46051</v>
      </c>
      <c r="F13047" s="518" t="s">
        <v>1988</v>
      </c>
      <c r="G13047" s="347" t="s">
        <v>1245</v>
      </c>
      <c r="H13047" s="348"/>
      <c r="I13047" s="348" t="s">
        <v>1253</v>
      </c>
      <c r="J13047" s="344" t="s">
        <v>113</v>
      </c>
      <c r="K13047" s="349">
        <v>4692.3071428571429</v>
      </c>
      <c r="L13047" s="349"/>
      <c r="M13047" s="455"/>
    </row>
    <row r="13048" spans="1:16" ht="11.25" customHeight="1" x14ac:dyDescent="0.2">
      <c r="A13048" s="350">
        <v>2026</v>
      </c>
      <c r="B13048" s="350">
        <v>1</v>
      </c>
      <c r="C13048" s="350">
        <v>29</v>
      </c>
      <c r="D13048" s="351">
        <f t="shared" si="1922"/>
        <v>46051</v>
      </c>
      <c r="E13048" s="352">
        <f>DATE(A13048,B13048,C13048)</f>
        <v>46051</v>
      </c>
      <c r="F13048" s="519"/>
      <c r="G13048" s="353" t="s">
        <v>1245</v>
      </c>
      <c r="H13048" s="354"/>
      <c r="I13048" s="354" t="s">
        <v>1253</v>
      </c>
      <c r="J13048" s="350" t="s">
        <v>153</v>
      </c>
      <c r="K13048" s="355"/>
      <c r="L13048" s="355">
        <f t="shared" ref="L13048" si="1926">K13047</f>
        <v>4692.3071428571429</v>
      </c>
    </row>
    <row r="13049" spans="1:16" ht="11.25" customHeight="1" x14ac:dyDescent="0.2">
      <c r="A13049" s="344">
        <v>2026</v>
      </c>
      <c r="B13049" s="344">
        <v>1</v>
      </c>
      <c r="C13049" s="344">
        <v>29</v>
      </c>
      <c r="D13049" s="345">
        <f t="shared" si="1922"/>
        <v>46051</v>
      </c>
      <c r="E13049" s="346">
        <f t="shared" ref="E13049:E13055" si="1927">DATE(A13049,B13049,C13049)</f>
        <v>46051</v>
      </c>
      <c r="F13049" s="518" t="s">
        <v>1989</v>
      </c>
      <c r="G13049" s="347" t="s">
        <v>1245</v>
      </c>
      <c r="H13049" s="348"/>
      <c r="I13049" s="348" t="s">
        <v>1253</v>
      </c>
      <c r="J13049" s="344" t="s">
        <v>113</v>
      </c>
      <c r="K13049" s="349">
        <v>3351.6483516483518</v>
      </c>
      <c r="L13049" s="349"/>
      <c r="M13049" s="455"/>
    </row>
    <row r="13050" spans="1:16" ht="11.25" customHeight="1" x14ac:dyDescent="0.2">
      <c r="A13050" s="350">
        <v>2026</v>
      </c>
      <c r="B13050" s="350">
        <v>1</v>
      </c>
      <c r="C13050" s="350">
        <v>29</v>
      </c>
      <c r="D13050" s="351">
        <f t="shared" si="1922"/>
        <v>46051</v>
      </c>
      <c r="E13050" s="352">
        <f t="shared" si="1927"/>
        <v>46051</v>
      </c>
      <c r="F13050" s="519"/>
      <c r="G13050" s="353" t="s">
        <v>1245</v>
      </c>
      <c r="H13050" s="354"/>
      <c r="I13050" s="354" t="s">
        <v>1253</v>
      </c>
      <c r="J13050" s="350" t="s">
        <v>153</v>
      </c>
      <c r="K13050" s="355"/>
      <c r="L13050" s="355">
        <f t="shared" ref="L13050" si="1928">K13049</f>
        <v>3351.6483516483518</v>
      </c>
    </row>
    <row r="13051" spans="1:16" ht="11.25" customHeight="1" x14ac:dyDescent="0.2">
      <c r="A13051" s="344">
        <v>2026</v>
      </c>
      <c r="B13051" s="344">
        <v>1</v>
      </c>
      <c r="C13051" s="344">
        <v>29</v>
      </c>
      <c r="D13051" s="345">
        <f t="shared" si="1922"/>
        <v>46051</v>
      </c>
      <c r="E13051" s="346">
        <f t="shared" si="1927"/>
        <v>46051</v>
      </c>
      <c r="F13051" s="518" t="s">
        <v>1990</v>
      </c>
      <c r="G13051" s="347" t="s">
        <v>1245</v>
      </c>
      <c r="H13051" s="348"/>
      <c r="I13051" s="348" t="s">
        <v>1253</v>
      </c>
      <c r="J13051" s="344" t="s">
        <v>113</v>
      </c>
      <c r="K13051" s="349">
        <v>10054.945714285714</v>
      </c>
      <c r="L13051" s="349"/>
      <c r="M13051" s="455"/>
      <c r="N13051" s="251"/>
      <c r="O13051" s="251"/>
      <c r="P13051" s="251"/>
    </row>
    <row r="13052" spans="1:16" ht="11.25" customHeight="1" x14ac:dyDescent="0.2">
      <c r="A13052" s="350">
        <v>2026</v>
      </c>
      <c r="B13052" s="350">
        <v>1</v>
      </c>
      <c r="C13052" s="350">
        <v>29</v>
      </c>
      <c r="D13052" s="351">
        <f t="shared" si="1922"/>
        <v>46051</v>
      </c>
      <c r="E13052" s="352">
        <f t="shared" si="1927"/>
        <v>46051</v>
      </c>
      <c r="F13052" s="519"/>
      <c r="G13052" s="353" t="s">
        <v>1245</v>
      </c>
      <c r="H13052" s="354"/>
      <c r="I13052" s="354" t="s">
        <v>1253</v>
      </c>
      <c r="J13052" s="350" t="s">
        <v>153</v>
      </c>
      <c r="K13052" s="355"/>
      <c r="L13052" s="355">
        <f t="shared" ref="L13052" si="1929">K13051</f>
        <v>10054.945714285714</v>
      </c>
      <c r="M13052" s="455"/>
    </row>
    <row r="13053" spans="1:16" ht="11.25" customHeight="1" x14ac:dyDescent="0.2">
      <c r="A13053" s="344">
        <v>2026</v>
      </c>
      <c r="B13053" s="344">
        <v>1</v>
      </c>
      <c r="C13053" s="344">
        <v>29</v>
      </c>
      <c r="D13053" s="345">
        <f t="shared" si="1922"/>
        <v>46051</v>
      </c>
      <c r="E13053" s="346">
        <f t="shared" si="1927"/>
        <v>46051</v>
      </c>
      <c r="F13053" s="518" t="s">
        <v>2107</v>
      </c>
      <c r="G13053" s="347" t="s">
        <v>1245</v>
      </c>
      <c r="H13053" s="348"/>
      <c r="I13053" s="348" t="s">
        <v>1253</v>
      </c>
      <c r="J13053" s="344" t="s">
        <v>113</v>
      </c>
      <c r="K13053" s="349">
        <v>12370.879120879121</v>
      </c>
      <c r="L13053" s="349"/>
      <c r="M13053" s="455"/>
      <c r="N13053" s="251"/>
      <c r="O13053" s="251"/>
      <c r="P13053" s="251"/>
    </row>
    <row r="13054" spans="1:16" ht="11.25" customHeight="1" x14ac:dyDescent="0.2">
      <c r="A13054" s="350">
        <v>2026</v>
      </c>
      <c r="B13054" s="350">
        <v>1</v>
      </c>
      <c r="C13054" s="350">
        <v>29</v>
      </c>
      <c r="D13054" s="351">
        <f t="shared" si="1922"/>
        <v>46051</v>
      </c>
      <c r="E13054" s="352">
        <f t="shared" si="1927"/>
        <v>46051</v>
      </c>
      <c r="F13054" s="519"/>
      <c r="G13054" s="353" t="s">
        <v>1245</v>
      </c>
      <c r="H13054" s="354"/>
      <c r="I13054" s="354" t="s">
        <v>1253</v>
      </c>
      <c r="J13054" s="350" t="s">
        <v>153</v>
      </c>
      <c r="K13054" s="355"/>
      <c r="L13054" s="355">
        <f t="shared" ref="L13054" si="1930">K13053</f>
        <v>12370.879120879121</v>
      </c>
    </row>
    <row r="13055" spans="1:16" ht="11.25" customHeight="1" x14ac:dyDescent="0.2">
      <c r="A13055" s="210">
        <v>2026</v>
      </c>
      <c r="B13055" s="210">
        <v>1</v>
      </c>
      <c r="C13055" s="210">
        <v>29</v>
      </c>
      <c r="D13055" s="211">
        <f t="shared" si="1922"/>
        <v>46051</v>
      </c>
      <c r="E13055" s="238">
        <f t="shared" si="1927"/>
        <v>46051</v>
      </c>
      <c r="F13055" s="520" t="s">
        <v>1857</v>
      </c>
      <c r="G13055" s="213" t="s">
        <v>1245</v>
      </c>
      <c r="H13055" s="214"/>
      <c r="I13055" s="214" t="s">
        <v>1253</v>
      </c>
      <c r="J13055" s="210" t="s">
        <v>1284</v>
      </c>
      <c r="K13055" s="215">
        <v>334.54448777029421</v>
      </c>
      <c r="L13055" s="215"/>
      <c r="M13055" s="455"/>
    </row>
    <row r="13056" spans="1:16" ht="11.25" customHeight="1" x14ac:dyDescent="0.2">
      <c r="A13056" s="242">
        <v>2026</v>
      </c>
      <c r="B13056" s="242">
        <v>1</v>
      </c>
      <c r="C13056" s="242">
        <v>29</v>
      </c>
      <c r="D13056" s="243">
        <f t="shared" si="1922"/>
        <v>46051</v>
      </c>
      <c r="E13056" s="244">
        <f>DATE(A13056,B13056,C13056)</f>
        <v>46051</v>
      </c>
      <c r="F13056" s="524"/>
      <c r="G13056" s="245" t="s">
        <v>1245</v>
      </c>
      <c r="H13056" s="246"/>
      <c r="I13056" s="246"/>
      <c r="J13056" s="242" t="s">
        <v>1582</v>
      </c>
      <c r="K13056" s="247"/>
      <c r="L13056" s="247">
        <f>K13055</f>
        <v>334.54448777029421</v>
      </c>
    </row>
    <row r="13057" spans="1:15" ht="11.25" customHeight="1" x14ac:dyDescent="0.2">
      <c r="A13057" s="210">
        <v>2026</v>
      </c>
      <c r="B13057" s="210">
        <v>1</v>
      </c>
      <c r="C13057" s="210">
        <v>29</v>
      </c>
      <c r="D13057" s="211">
        <f t="shared" si="1922"/>
        <v>46051</v>
      </c>
      <c r="E13057" s="238">
        <f t="shared" ref="E13057:E13076" si="1931">DATE(A13057,B13057,C13057)</f>
        <v>46051</v>
      </c>
      <c r="F13057" s="520" t="s">
        <v>2055</v>
      </c>
      <c r="G13057" s="213" t="s">
        <v>1245</v>
      </c>
      <c r="H13057" s="214"/>
      <c r="I13057" s="214" t="s">
        <v>1253</v>
      </c>
      <c r="J13057" s="210" t="s">
        <v>58</v>
      </c>
      <c r="K13057" s="215">
        <v>1870.1008061111111</v>
      </c>
      <c r="L13057" s="215"/>
    </row>
    <row r="13058" spans="1:15" ht="11.25" customHeight="1" x14ac:dyDescent="0.2">
      <c r="A13058" s="216">
        <v>2026</v>
      </c>
      <c r="B13058" s="216">
        <v>1</v>
      </c>
      <c r="C13058" s="216">
        <v>29</v>
      </c>
      <c r="D13058" s="217">
        <f t="shared" si="1922"/>
        <v>46051</v>
      </c>
      <c r="E13058" s="239">
        <f t="shared" si="1931"/>
        <v>46051</v>
      </c>
      <c r="F13058" s="521"/>
      <c r="G13058" s="219" t="s">
        <v>1245</v>
      </c>
      <c r="H13058" s="220"/>
      <c r="I13058" s="220" t="s">
        <v>1253</v>
      </c>
      <c r="J13058" s="216" t="s">
        <v>153</v>
      </c>
      <c r="K13058" s="221"/>
      <c r="L13058" s="221">
        <f>K13057</f>
        <v>1870.1008061111111</v>
      </c>
    </row>
    <row r="13059" spans="1:15" ht="11.25" customHeight="1" x14ac:dyDescent="0.2">
      <c r="A13059" s="312">
        <v>2026</v>
      </c>
      <c r="B13059" s="312">
        <v>1</v>
      </c>
      <c r="C13059" s="312">
        <v>29</v>
      </c>
      <c r="D13059" s="313">
        <f t="shared" si="1922"/>
        <v>46051</v>
      </c>
      <c r="E13059" s="314">
        <f t="shared" si="1931"/>
        <v>46051</v>
      </c>
      <c r="F13059" s="522" t="s">
        <v>1595</v>
      </c>
      <c r="G13059" s="315" t="s">
        <v>1245</v>
      </c>
      <c r="H13059" s="316"/>
      <c r="I13059" s="316" t="s">
        <v>1253</v>
      </c>
      <c r="J13059" s="312" t="s">
        <v>1459</v>
      </c>
      <c r="K13059" s="317">
        <v>992194.92999988794</v>
      </c>
      <c r="L13059" s="317"/>
      <c r="M13059" s="328"/>
    </row>
    <row r="13060" spans="1:15" ht="11.25" customHeight="1" x14ac:dyDescent="0.2">
      <c r="A13060" s="318">
        <v>2026</v>
      </c>
      <c r="B13060" s="318">
        <v>1</v>
      </c>
      <c r="C13060" s="318">
        <v>29</v>
      </c>
      <c r="D13060" s="319">
        <f t="shared" si="1922"/>
        <v>46051</v>
      </c>
      <c r="E13060" s="320">
        <f t="shared" si="1931"/>
        <v>46051</v>
      </c>
      <c r="F13060" s="523"/>
      <c r="G13060" s="321" t="s">
        <v>1245</v>
      </c>
      <c r="H13060" s="322"/>
      <c r="I13060" s="322" t="s">
        <v>1253</v>
      </c>
      <c r="J13060" s="318" t="s">
        <v>1461</v>
      </c>
      <c r="K13060" s="323"/>
      <c r="L13060" s="323">
        <f>K13059</f>
        <v>992194.92999988794</v>
      </c>
      <c r="M13060" s="328"/>
    </row>
    <row r="13061" spans="1:15" ht="11.25" customHeight="1" x14ac:dyDescent="0.2">
      <c r="A13061" s="222">
        <v>2026</v>
      </c>
      <c r="B13061" s="222">
        <v>1</v>
      </c>
      <c r="C13061" s="222">
        <v>29</v>
      </c>
      <c r="D13061" s="223">
        <f t="shared" si="1922"/>
        <v>46051</v>
      </c>
      <c r="E13061" s="240">
        <f t="shared" si="1931"/>
        <v>46051</v>
      </c>
      <c r="F13061" s="511" t="s">
        <v>1244</v>
      </c>
      <c r="G13061" s="225" t="s">
        <v>1245</v>
      </c>
      <c r="H13061" s="226"/>
      <c r="I13061" s="226" t="s">
        <v>1253</v>
      </c>
      <c r="J13061" s="222" t="s">
        <v>87</v>
      </c>
      <c r="K13061" s="227">
        <v>11.5</v>
      </c>
      <c r="L13061" s="227"/>
      <c r="M13061" s="328"/>
    </row>
    <row r="13062" spans="1:15" ht="11.25" customHeight="1" x14ac:dyDescent="0.2">
      <c r="A13062" s="228">
        <v>2026</v>
      </c>
      <c r="B13062" s="228">
        <v>1</v>
      </c>
      <c r="C13062" s="228">
        <v>29</v>
      </c>
      <c r="D13062" s="229">
        <f t="shared" si="1922"/>
        <v>46051</v>
      </c>
      <c r="E13062" s="241">
        <f t="shared" si="1931"/>
        <v>46051</v>
      </c>
      <c r="F13062" s="512"/>
      <c r="G13062" s="231" t="s">
        <v>1245</v>
      </c>
      <c r="H13062" s="232"/>
      <c r="I13062" s="232" t="s">
        <v>1253</v>
      </c>
      <c r="J13062" s="228" t="s">
        <v>72</v>
      </c>
      <c r="K13062" s="233"/>
      <c r="L13062" s="233">
        <f>K13061</f>
        <v>11.5</v>
      </c>
    </row>
    <row r="13063" spans="1:15" ht="11.25" customHeight="1" x14ac:dyDescent="0.2">
      <c r="A13063" s="222">
        <v>2026</v>
      </c>
      <c r="B13063" s="222">
        <v>1</v>
      </c>
      <c r="C13063" s="222">
        <v>29</v>
      </c>
      <c r="D13063" s="223">
        <f t="shared" si="1922"/>
        <v>46051</v>
      </c>
      <c r="E13063" s="240">
        <f t="shared" si="1931"/>
        <v>46051</v>
      </c>
      <c r="F13063" s="511" t="s">
        <v>1246</v>
      </c>
      <c r="G13063" s="225" t="s">
        <v>1245</v>
      </c>
      <c r="H13063" s="226"/>
      <c r="I13063" s="226" t="s">
        <v>1253</v>
      </c>
      <c r="J13063" s="222" t="s">
        <v>75</v>
      </c>
      <c r="K13063" s="227">
        <v>517.58912087912086</v>
      </c>
      <c r="L13063" s="227"/>
      <c r="M13063" s="455"/>
    </row>
    <row r="13064" spans="1:15" ht="11.25" customHeight="1" x14ac:dyDescent="0.2">
      <c r="A13064" s="228">
        <v>2026</v>
      </c>
      <c r="B13064" s="228">
        <v>1</v>
      </c>
      <c r="C13064" s="228">
        <v>29</v>
      </c>
      <c r="D13064" s="229">
        <f t="shared" si="1922"/>
        <v>46051</v>
      </c>
      <c r="E13064" s="241">
        <f t="shared" si="1931"/>
        <v>46051</v>
      </c>
      <c r="F13064" s="512"/>
      <c r="G13064" s="231" t="s">
        <v>1245</v>
      </c>
      <c r="H13064" s="232"/>
      <c r="I13064" s="232" t="s">
        <v>1253</v>
      </c>
      <c r="J13064" s="228" t="s">
        <v>55</v>
      </c>
      <c r="K13064" s="233"/>
      <c r="L13064" s="233">
        <f>K13063</f>
        <v>517.58912087912086</v>
      </c>
    </row>
    <row r="13065" spans="1:15" ht="11.25" customHeight="1" x14ac:dyDescent="0.2">
      <c r="A13065" s="222">
        <v>2026</v>
      </c>
      <c r="B13065" s="222">
        <v>1</v>
      </c>
      <c r="C13065" s="222">
        <v>29</v>
      </c>
      <c r="D13065" s="223">
        <f t="shared" si="1922"/>
        <v>46051</v>
      </c>
      <c r="E13065" s="240">
        <f t="shared" si="1931"/>
        <v>46051</v>
      </c>
      <c r="F13065" s="511" t="s">
        <v>1247</v>
      </c>
      <c r="G13065" s="225" t="s">
        <v>1245</v>
      </c>
      <c r="H13065" s="226"/>
      <c r="I13065" s="226" t="s">
        <v>1253</v>
      </c>
      <c r="J13065" s="222" t="s">
        <v>77</v>
      </c>
      <c r="K13065" s="227">
        <v>7636.5801780234306</v>
      </c>
      <c r="L13065" s="227"/>
      <c r="M13065" s="478"/>
    </row>
    <row r="13066" spans="1:15" ht="11.25" customHeight="1" x14ac:dyDescent="0.2">
      <c r="A13066" s="228">
        <v>2026</v>
      </c>
      <c r="B13066" s="228">
        <v>1</v>
      </c>
      <c r="C13066" s="228">
        <v>29</v>
      </c>
      <c r="D13066" s="229">
        <f t="shared" si="1922"/>
        <v>46051</v>
      </c>
      <c r="E13066" s="241">
        <f t="shared" si="1931"/>
        <v>46051</v>
      </c>
      <c r="F13066" s="512"/>
      <c r="G13066" s="231" t="s">
        <v>1245</v>
      </c>
      <c r="H13066" s="232"/>
      <c r="I13066" s="232" t="s">
        <v>1253</v>
      </c>
      <c r="J13066" s="228" t="s">
        <v>41</v>
      </c>
      <c r="K13066" s="233"/>
      <c r="L13066" s="233">
        <f>K13065</f>
        <v>7636.5801780234306</v>
      </c>
      <c r="M13066" s="478"/>
      <c r="N13066" s="251"/>
    </row>
    <row r="13067" spans="1:15" ht="11.25" customHeight="1" x14ac:dyDescent="0.2">
      <c r="A13067" s="222">
        <v>2026</v>
      </c>
      <c r="B13067" s="222">
        <v>1</v>
      </c>
      <c r="C13067" s="222">
        <v>29</v>
      </c>
      <c r="D13067" s="223">
        <f t="shared" si="1922"/>
        <v>46051</v>
      </c>
      <c r="E13067" s="240">
        <f t="shared" si="1931"/>
        <v>46051</v>
      </c>
      <c r="F13067" s="511" t="s">
        <v>1248</v>
      </c>
      <c r="G13067" s="225" t="s">
        <v>1245</v>
      </c>
      <c r="H13067" s="226"/>
      <c r="I13067" s="226" t="s">
        <v>1253</v>
      </c>
      <c r="J13067" s="222" t="s">
        <v>80</v>
      </c>
      <c r="K13067" s="227">
        <v>763.65801780234301</v>
      </c>
      <c r="L13067" s="227"/>
      <c r="N13067" s="251"/>
      <c r="O13067" s="251"/>
    </row>
    <row r="13068" spans="1:15" ht="11.25" customHeight="1" x14ac:dyDescent="0.2">
      <c r="A13068" s="228">
        <v>2026</v>
      </c>
      <c r="B13068" s="228">
        <v>1</v>
      </c>
      <c r="C13068" s="228">
        <v>29</v>
      </c>
      <c r="D13068" s="229">
        <f t="shared" si="1922"/>
        <v>46051</v>
      </c>
      <c r="E13068" s="241">
        <f t="shared" si="1931"/>
        <v>46051</v>
      </c>
      <c r="F13068" s="512"/>
      <c r="G13068" s="231" t="s">
        <v>1245</v>
      </c>
      <c r="H13068" s="232"/>
      <c r="I13068" s="232" t="s">
        <v>1253</v>
      </c>
      <c r="J13068" s="228" t="s">
        <v>42</v>
      </c>
      <c r="K13068" s="233"/>
      <c r="L13068" s="233">
        <f>K13067</f>
        <v>763.65801780234301</v>
      </c>
      <c r="N13068" s="251"/>
    </row>
    <row r="13069" spans="1:15" x14ac:dyDescent="0.2">
      <c r="A13069" s="197">
        <v>2026</v>
      </c>
      <c r="B13069" s="197">
        <v>2</v>
      </c>
      <c r="C13069" s="197">
        <v>1</v>
      </c>
      <c r="D13069" s="198">
        <f t="shared" si="1922"/>
        <v>46054</v>
      </c>
      <c r="E13069" s="209">
        <f t="shared" si="1931"/>
        <v>46054</v>
      </c>
      <c r="F13069" s="513" t="s">
        <v>1296</v>
      </c>
      <c r="G13069" s="200" t="s">
        <v>1209</v>
      </c>
      <c r="H13069" s="201"/>
      <c r="I13069" s="201"/>
      <c r="J13069" s="197" t="s">
        <v>46</v>
      </c>
      <c r="K13069" s="202">
        <v>10000</v>
      </c>
      <c r="L13069" s="202"/>
    </row>
    <row r="13070" spans="1:15" x14ac:dyDescent="0.2">
      <c r="A13070" s="120">
        <v>2026</v>
      </c>
      <c r="B13070" s="120">
        <v>2</v>
      </c>
      <c r="C13070" s="120">
        <v>1</v>
      </c>
      <c r="D13070" s="208">
        <f t="shared" si="1922"/>
        <v>46054</v>
      </c>
      <c r="E13070" s="209">
        <f t="shared" si="1931"/>
        <v>46054</v>
      </c>
      <c r="F13070" s="515"/>
      <c r="G13070" s="132" t="s">
        <v>1209</v>
      </c>
      <c r="J13070" s="120" t="s">
        <v>16</v>
      </c>
      <c r="K13070" s="207"/>
      <c r="L13070" s="207">
        <v>7170</v>
      </c>
    </row>
    <row r="13071" spans="1:15" x14ac:dyDescent="0.2">
      <c r="A13071" s="191">
        <v>2026</v>
      </c>
      <c r="B13071" s="191">
        <v>2</v>
      </c>
      <c r="C13071" s="191">
        <v>1</v>
      </c>
      <c r="D13071" s="192">
        <f t="shared" si="1922"/>
        <v>46054</v>
      </c>
      <c r="E13071" s="193">
        <f t="shared" si="1931"/>
        <v>46054</v>
      </c>
      <c r="F13071" s="514"/>
      <c r="G13071" s="194" t="s">
        <v>1209</v>
      </c>
      <c r="H13071" s="195"/>
      <c r="I13071" s="195"/>
      <c r="J13071" s="191" t="s">
        <v>47</v>
      </c>
      <c r="K13071" s="196"/>
      <c r="L13071" s="196">
        <v>2830</v>
      </c>
    </row>
    <row r="13072" spans="1:15" x14ac:dyDescent="0.2">
      <c r="A13072" s="197">
        <v>2026</v>
      </c>
      <c r="B13072" s="197">
        <v>2</v>
      </c>
      <c r="C13072" s="197">
        <v>1</v>
      </c>
      <c r="D13072" s="198">
        <f t="shared" si="1922"/>
        <v>46054</v>
      </c>
      <c r="E13072" s="209">
        <f t="shared" si="1931"/>
        <v>46054</v>
      </c>
      <c r="F13072" s="513" t="s">
        <v>1280</v>
      </c>
      <c r="G13072" s="200" t="s">
        <v>1209</v>
      </c>
      <c r="H13072" s="201"/>
      <c r="I13072" s="201"/>
      <c r="J13072" s="197" t="s">
        <v>16</v>
      </c>
      <c r="K13072" s="202">
        <v>1691210</v>
      </c>
      <c r="L13072" s="202"/>
    </row>
    <row r="13073" spans="1:15" x14ac:dyDescent="0.2">
      <c r="A13073" s="120">
        <v>2026</v>
      </c>
      <c r="B13073" s="120">
        <v>2</v>
      </c>
      <c r="C13073" s="120">
        <v>1</v>
      </c>
      <c r="D13073" s="208">
        <f t="shared" si="1922"/>
        <v>46054</v>
      </c>
      <c r="E13073" s="209">
        <f t="shared" si="1931"/>
        <v>46054</v>
      </c>
      <c r="F13073" s="515"/>
      <c r="G13073" s="132" t="s">
        <v>1209</v>
      </c>
      <c r="J13073" s="120" t="s">
        <v>47</v>
      </c>
      <c r="K13073" s="207">
        <v>667018.26</v>
      </c>
      <c r="L13073" s="207"/>
    </row>
    <row r="13074" spans="1:15" x14ac:dyDescent="0.2">
      <c r="A13074" s="191">
        <v>2026</v>
      </c>
      <c r="B13074" s="191">
        <v>2</v>
      </c>
      <c r="C13074" s="191">
        <v>1</v>
      </c>
      <c r="D13074" s="192">
        <f t="shared" si="1922"/>
        <v>46054</v>
      </c>
      <c r="E13074" s="193">
        <f t="shared" si="1931"/>
        <v>46054</v>
      </c>
      <c r="F13074" s="514"/>
      <c r="G13074" s="194" t="s">
        <v>1209</v>
      </c>
      <c r="H13074" s="195"/>
      <c r="I13074" s="195"/>
      <c r="J13074" s="191" t="s">
        <v>46</v>
      </c>
      <c r="K13074" s="196"/>
      <c r="L13074" s="196">
        <v>2358228.2599999998</v>
      </c>
    </row>
    <row r="13075" spans="1:15" ht="11.25" customHeight="1" x14ac:dyDescent="0.2">
      <c r="A13075" s="197">
        <v>2026</v>
      </c>
      <c r="B13075" s="197">
        <v>2</v>
      </c>
      <c r="C13075" s="197">
        <v>1</v>
      </c>
      <c r="D13075" s="198">
        <f t="shared" si="1922"/>
        <v>46054</v>
      </c>
      <c r="E13075" s="199">
        <f t="shared" si="1931"/>
        <v>46054</v>
      </c>
      <c r="F13075" s="513" t="s">
        <v>2135</v>
      </c>
      <c r="G13075" s="200" t="s">
        <v>1209</v>
      </c>
      <c r="H13075" s="201"/>
      <c r="I13075" s="201" t="s">
        <v>1253</v>
      </c>
      <c r="J13075" s="197" t="s">
        <v>121</v>
      </c>
      <c r="K13075" s="202">
        <v>117000.4</v>
      </c>
      <c r="L13075" s="202"/>
    </row>
    <row r="13076" spans="1:15" ht="11.25" customHeight="1" x14ac:dyDescent="0.2">
      <c r="A13076" s="191">
        <v>2026</v>
      </c>
      <c r="B13076" s="191">
        <v>2</v>
      </c>
      <c r="C13076" s="191">
        <v>1</v>
      </c>
      <c r="D13076" s="192">
        <f t="shared" si="1922"/>
        <v>46054</v>
      </c>
      <c r="E13076" s="193">
        <f t="shared" si="1931"/>
        <v>46054</v>
      </c>
      <c r="F13076" s="514"/>
      <c r="G13076" s="194" t="s">
        <v>1209</v>
      </c>
      <c r="H13076" s="195"/>
      <c r="I13076" s="195" t="s">
        <v>1253</v>
      </c>
      <c r="J13076" s="191" t="s">
        <v>46</v>
      </c>
      <c r="K13076" s="196"/>
      <c r="L13076" s="196">
        <f>K13075</f>
        <v>117000.4</v>
      </c>
      <c r="N13076" s="130"/>
    </row>
    <row r="13077" spans="1:15" ht="11.25" customHeight="1" x14ac:dyDescent="0.2">
      <c r="A13077" s="197">
        <v>2026</v>
      </c>
      <c r="B13077" s="197">
        <v>2</v>
      </c>
      <c r="C13077" s="197">
        <v>1</v>
      </c>
      <c r="D13077" s="198">
        <f t="shared" si="1922"/>
        <v>46054</v>
      </c>
      <c r="E13077" s="290">
        <f>DATE(A13077,B13077,C13077)</f>
        <v>46054</v>
      </c>
      <c r="F13077" s="513" t="s">
        <v>1514</v>
      </c>
      <c r="G13077" s="200" t="s">
        <v>1209</v>
      </c>
      <c r="H13077" s="201"/>
      <c r="I13077" s="201"/>
      <c r="J13077" s="197" t="s">
        <v>54</v>
      </c>
      <c r="K13077" s="202">
        <v>58</v>
      </c>
      <c r="L13077" s="202"/>
      <c r="O13077" s="251"/>
    </row>
    <row r="13078" spans="1:15" ht="11.25" customHeight="1" x14ac:dyDescent="0.2">
      <c r="A13078" s="191">
        <v>2026</v>
      </c>
      <c r="B13078" s="191">
        <v>2</v>
      </c>
      <c r="C13078" s="191">
        <v>1</v>
      </c>
      <c r="D13078" s="192">
        <f t="shared" si="1922"/>
        <v>46054</v>
      </c>
      <c r="E13078" s="291">
        <f>DATE(A13078,B13078,C13078)</f>
        <v>46054</v>
      </c>
      <c r="F13078" s="514"/>
      <c r="G13078" s="194" t="s">
        <v>1209</v>
      </c>
      <c r="H13078" s="195"/>
      <c r="I13078" s="195"/>
      <c r="J13078" s="191" t="s">
        <v>46</v>
      </c>
      <c r="K13078" s="196"/>
      <c r="L13078" s="196">
        <f>K13077</f>
        <v>58</v>
      </c>
      <c r="O13078" s="251"/>
    </row>
    <row r="13079" spans="1:15" ht="11.25" customHeight="1" x14ac:dyDescent="0.2">
      <c r="A13079" s="197">
        <v>2026</v>
      </c>
      <c r="B13079" s="197">
        <v>2</v>
      </c>
      <c r="C13079" s="197">
        <v>1</v>
      </c>
      <c r="D13079" s="198">
        <f t="shared" ref="D13079:D13114" si="1932">DATE(A13079,B13079,C13079)</f>
        <v>46054</v>
      </c>
      <c r="E13079" s="290">
        <f>DATE(A13079,B13079,C13079)</f>
        <v>46054</v>
      </c>
      <c r="F13079" s="513" t="s">
        <v>1514</v>
      </c>
      <c r="G13079" s="200" t="s">
        <v>1209</v>
      </c>
      <c r="H13079" s="201"/>
      <c r="I13079" s="201"/>
      <c r="J13079" s="197" t="s">
        <v>54</v>
      </c>
      <c r="K13079" s="202">
        <v>216</v>
      </c>
      <c r="L13079" s="202"/>
      <c r="O13079" s="251"/>
    </row>
    <row r="13080" spans="1:15" ht="11.25" customHeight="1" x14ac:dyDescent="0.2">
      <c r="A13080" s="191">
        <v>2026</v>
      </c>
      <c r="B13080" s="191">
        <v>2</v>
      </c>
      <c r="C13080" s="191">
        <v>1</v>
      </c>
      <c r="D13080" s="192">
        <f t="shared" si="1932"/>
        <v>46054</v>
      </c>
      <c r="E13080" s="291">
        <f>DATE(A13080,B13080,C13080)</f>
        <v>46054</v>
      </c>
      <c r="F13080" s="514"/>
      <c r="G13080" s="194" t="s">
        <v>1209</v>
      </c>
      <c r="H13080" s="195"/>
      <c r="I13080" s="195"/>
      <c r="J13080" s="191" t="s">
        <v>46</v>
      </c>
      <c r="K13080" s="196"/>
      <c r="L13080" s="196">
        <f>K13079</f>
        <v>216</v>
      </c>
      <c r="O13080" s="251"/>
    </row>
    <row r="13081" spans="1:15" x14ac:dyDescent="0.2">
      <c r="A13081" s="424">
        <v>2026</v>
      </c>
      <c r="B13081" s="424">
        <v>2</v>
      </c>
      <c r="C13081" s="424">
        <v>1</v>
      </c>
      <c r="D13081" s="425">
        <f t="shared" si="1932"/>
        <v>46054</v>
      </c>
      <c r="E13081" s="384">
        <f t="shared" ref="E13081:E13092" si="1933">DATE(A13081,B13081,C13081)</f>
        <v>46054</v>
      </c>
      <c r="F13081" s="516" t="s">
        <v>1850</v>
      </c>
      <c r="G13081" s="426" t="s">
        <v>1209</v>
      </c>
      <c r="H13081" s="427"/>
      <c r="I13081" s="427"/>
      <c r="J13081" s="428" t="s">
        <v>81</v>
      </c>
      <c r="K13081" s="429">
        <v>4787.4520879120882</v>
      </c>
      <c r="L13081" s="429"/>
      <c r="M13081" s="455"/>
    </row>
    <row r="13082" spans="1:15" x14ac:dyDescent="0.2">
      <c r="A13082" s="389">
        <v>2026</v>
      </c>
      <c r="B13082" s="389">
        <v>2</v>
      </c>
      <c r="C13082" s="389">
        <v>1</v>
      </c>
      <c r="D13082" s="390">
        <f t="shared" si="1932"/>
        <v>46054</v>
      </c>
      <c r="E13082" s="391">
        <f t="shared" si="1933"/>
        <v>46054</v>
      </c>
      <c r="F13082" s="517"/>
      <c r="G13082" s="392" t="s">
        <v>1209</v>
      </c>
      <c r="H13082" s="393"/>
      <c r="I13082" s="393"/>
      <c r="J13082" s="394" t="s">
        <v>1847</v>
      </c>
      <c r="K13082" s="423"/>
      <c r="L13082" s="423">
        <f>K13081</f>
        <v>4787.4520879120882</v>
      </c>
    </row>
    <row r="13083" spans="1:15" ht="11.25" customHeight="1" x14ac:dyDescent="0.2">
      <c r="A13083" s="382">
        <v>2026</v>
      </c>
      <c r="B13083" s="382">
        <v>2</v>
      </c>
      <c r="C13083" s="382">
        <v>1</v>
      </c>
      <c r="D13083" s="383">
        <f t="shared" si="1932"/>
        <v>46054</v>
      </c>
      <c r="E13083" s="384">
        <f t="shared" si="1933"/>
        <v>46054</v>
      </c>
      <c r="F13083" s="516" t="s">
        <v>1892</v>
      </c>
      <c r="G13083" s="385" t="s">
        <v>1209</v>
      </c>
      <c r="H13083" s="386"/>
      <c r="I13083" s="386"/>
      <c r="J13083" s="387" t="s">
        <v>173</v>
      </c>
      <c r="K13083" s="388">
        <v>1774.88</v>
      </c>
      <c r="L13083" s="388"/>
      <c r="M13083" s="455"/>
    </row>
    <row r="13084" spans="1:15" ht="11.25" customHeight="1" x14ac:dyDescent="0.2">
      <c r="A13084" s="389">
        <v>2026</v>
      </c>
      <c r="B13084" s="389">
        <v>2</v>
      </c>
      <c r="C13084" s="389">
        <v>1</v>
      </c>
      <c r="D13084" s="390">
        <f t="shared" si="1932"/>
        <v>46054</v>
      </c>
      <c r="E13084" s="391">
        <f t="shared" si="1933"/>
        <v>46054</v>
      </c>
      <c r="F13084" s="517"/>
      <c r="G13084" s="392" t="s">
        <v>1209</v>
      </c>
      <c r="H13084" s="393"/>
      <c r="I13084" s="393"/>
      <c r="J13084" s="394" t="s">
        <v>43</v>
      </c>
      <c r="K13084" s="388"/>
      <c r="L13084" s="423">
        <f>K13083</f>
        <v>1774.88</v>
      </c>
    </row>
    <row r="13085" spans="1:15" ht="11.25" customHeight="1" x14ac:dyDescent="0.2">
      <c r="A13085" s="344">
        <v>2026</v>
      </c>
      <c r="B13085" s="344">
        <v>2</v>
      </c>
      <c r="C13085" s="344">
        <v>1</v>
      </c>
      <c r="D13085" s="345">
        <f t="shared" si="1932"/>
        <v>46054</v>
      </c>
      <c r="E13085" s="346">
        <f t="shared" si="1933"/>
        <v>46054</v>
      </c>
      <c r="F13085" s="518" t="s">
        <v>1982</v>
      </c>
      <c r="G13085" s="347" t="s">
        <v>1245</v>
      </c>
      <c r="H13085" s="348"/>
      <c r="I13085" s="348" t="s">
        <v>1253</v>
      </c>
      <c r="J13085" s="344" t="s">
        <v>1978</v>
      </c>
      <c r="K13085" s="349">
        <v>63749.175824175822</v>
      </c>
      <c r="L13085" s="349"/>
      <c r="M13085" s="455"/>
    </row>
    <row r="13086" spans="1:15" ht="11.25" customHeight="1" x14ac:dyDescent="0.2">
      <c r="A13086" s="350">
        <v>2026</v>
      </c>
      <c r="B13086" s="350">
        <v>2</v>
      </c>
      <c r="C13086" s="350">
        <v>1</v>
      </c>
      <c r="D13086" s="351">
        <f t="shared" si="1932"/>
        <v>46054</v>
      </c>
      <c r="E13086" s="352">
        <f t="shared" si="1933"/>
        <v>46054</v>
      </c>
      <c r="F13086" s="519"/>
      <c r="G13086" s="353" t="s">
        <v>1245</v>
      </c>
      <c r="H13086" s="354"/>
      <c r="I13086" s="354" t="s">
        <v>1253</v>
      </c>
      <c r="J13086" s="350" t="s">
        <v>1979</v>
      </c>
      <c r="K13086" s="355"/>
      <c r="L13086" s="355">
        <f>K13085</f>
        <v>63749.175824175822</v>
      </c>
    </row>
    <row r="13087" spans="1:15" ht="11.25" customHeight="1" x14ac:dyDescent="0.2">
      <c r="A13087" s="344">
        <v>2026</v>
      </c>
      <c r="B13087" s="344">
        <v>2</v>
      </c>
      <c r="C13087" s="344">
        <v>1</v>
      </c>
      <c r="D13087" s="345">
        <f t="shared" si="1932"/>
        <v>46054</v>
      </c>
      <c r="E13087" s="346">
        <f t="shared" si="1933"/>
        <v>46054</v>
      </c>
      <c r="F13087" s="518" t="s">
        <v>2009</v>
      </c>
      <c r="G13087" s="347" t="s">
        <v>1245</v>
      </c>
      <c r="H13087" s="348"/>
      <c r="I13087" s="348" t="s">
        <v>1253</v>
      </c>
      <c r="J13087" s="344" t="s">
        <v>2004</v>
      </c>
      <c r="K13087" s="349">
        <v>21296.704285714284</v>
      </c>
      <c r="L13087" s="349"/>
      <c r="M13087" s="455"/>
    </row>
    <row r="13088" spans="1:15" ht="11.25" customHeight="1" x14ac:dyDescent="0.2">
      <c r="A13088" s="350">
        <v>2026</v>
      </c>
      <c r="B13088" s="350">
        <v>2</v>
      </c>
      <c r="C13088" s="350">
        <v>1</v>
      </c>
      <c r="D13088" s="351">
        <f t="shared" si="1932"/>
        <v>46054</v>
      </c>
      <c r="E13088" s="352">
        <f t="shared" si="1933"/>
        <v>46054</v>
      </c>
      <c r="F13088" s="519"/>
      <c r="G13088" s="353" t="s">
        <v>1245</v>
      </c>
      <c r="H13088" s="354"/>
      <c r="I13088" s="354" t="s">
        <v>1253</v>
      </c>
      <c r="J13088" s="350" t="s">
        <v>2008</v>
      </c>
      <c r="K13088" s="355"/>
      <c r="L13088" s="355">
        <f t="shared" ref="L13088" si="1934">K13087</f>
        <v>21296.704285714284</v>
      </c>
    </row>
    <row r="13089" spans="1:16" ht="11.25" customHeight="1" x14ac:dyDescent="0.2">
      <c r="A13089" s="344">
        <v>2026</v>
      </c>
      <c r="B13089" s="344">
        <v>2</v>
      </c>
      <c r="C13089" s="344">
        <v>1</v>
      </c>
      <c r="D13089" s="345">
        <f t="shared" si="1932"/>
        <v>46054</v>
      </c>
      <c r="E13089" s="346">
        <f t="shared" si="1933"/>
        <v>46054</v>
      </c>
      <c r="F13089" s="518" t="s">
        <v>2009</v>
      </c>
      <c r="G13089" s="347" t="s">
        <v>1245</v>
      </c>
      <c r="H13089" s="348"/>
      <c r="I13089" s="348" t="s">
        <v>1253</v>
      </c>
      <c r="J13089" s="344" t="s">
        <v>2004</v>
      </c>
      <c r="K13089" s="349">
        <v>21296.704285714284</v>
      </c>
      <c r="L13089" s="349"/>
      <c r="M13089" s="455"/>
    </row>
    <row r="13090" spans="1:16" ht="11.25" customHeight="1" x14ac:dyDescent="0.2">
      <c r="A13090" s="350">
        <v>2026</v>
      </c>
      <c r="B13090" s="350">
        <v>2</v>
      </c>
      <c r="C13090" s="350">
        <v>1</v>
      </c>
      <c r="D13090" s="351">
        <f t="shared" si="1932"/>
        <v>46054</v>
      </c>
      <c r="E13090" s="352">
        <f t="shared" si="1933"/>
        <v>46054</v>
      </c>
      <c r="F13090" s="519"/>
      <c r="G13090" s="353" t="s">
        <v>1245</v>
      </c>
      <c r="H13090" s="354"/>
      <c r="I13090" s="354" t="s">
        <v>1253</v>
      </c>
      <c r="J13090" s="350" t="s">
        <v>2008</v>
      </c>
      <c r="K13090" s="355"/>
      <c r="L13090" s="355">
        <f t="shared" ref="L13090" si="1935">K13089</f>
        <v>21296.704285714284</v>
      </c>
    </row>
    <row r="13091" spans="1:16" ht="11.25" customHeight="1" x14ac:dyDescent="0.2">
      <c r="A13091" s="344">
        <v>2026</v>
      </c>
      <c r="B13091" s="344">
        <v>2</v>
      </c>
      <c r="C13091" s="344">
        <v>1</v>
      </c>
      <c r="D13091" s="345">
        <f t="shared" si="1932"/>
        <v>46054</v>
      </c>
      <c r="E13091" s="346">
        <f t="shared" si="1933"/>
        <v>46054</v>
      </c>
      <c r="F13091" s="518" t="s">
        <v>2088</v>
      </c>
      <c r="G13091" s="347" t="s">
        <v>1245</v>
      </c>
      <c r="H13091" s="348"/>
      <c r="I13091" s="348" t="s">
        <v>1253</v>
      </c>
      <c r="J13091" s="344" t="s">
        <v>2086</v>
      </c>
      <c r="K13091" s="349">
        <v>5369.5054945054944</v>
      </c>
      <c r="L13091" s="349"/>
      <c r="M13091" s="455"/>
    </row>
    <row r="13092" spans="1:16" ht="11.25" customHeight="1" x14ac:dyDescent="0.2">
      <c r="A13092" s="350">
        <v>2026</v>
      </c>
      <c r="B13092" s="350">
        <v>2</v>
      </c>
      <c r="C13092" s="350">
        <v>1</v>
      </c>
      <c r="D13092" s="351">
        <f t="shared" si="1932"/>
        <v>46054</v>
      </c>
      <c r="E13092" s="352">
        <f t="shared" si="1933"/>
        <v>46054</v>
      </c>
      <c r="F13092" s="519"/>
      <c r="G13092" s="353" t="s">
        <v>1245</v>
      </c>
      <c r="H13092" s="354"/>
      <c r="I13092" s="354" t="s">
        <v>1253</v>
      </c>
      <c r="J13092" s="350" t="s">
        <v>2089</v>
      </c>
      <c r="K13092" s="355"/>
      <c r="L13092" s="355">
        <f>K13091</f>
        <v>5369.5054945054944</v>
      </c>
    </row>
    <row r="13093" spans="1:16" ht="11.25" customHeight="1" x14ac:dyDescent="0.2">
      <c r="A13093" s="344">
        <v>2026</v>
      </c>
      <c r="B13093" s="344">
        <v>2</v>
      </c>
      <c r="C13093" s="344">
        <v>1</v>
      </c>
      <c r="D13093" s="345">
        <f t="shared" si="1932"/>
        <v>46054</v>
      </c>
      <c r="E13093" s="346">
        <f>DATE(A13093,B13093,C13093)</f>
        <v>46054</v>
      </c>
      <c r="F13093" s="518" t="s">
        <v>1988</v>
      </c>
      <c r="G13093" s="347" t="s">
        <v>1245</v>
      </c>
      <c r="H13093" s="348"/>
      <c r="I13093" s="348" t="s">
        <v>1253</v>
      </c>
      <c r="J13093" s="344" t="s">
        <v>113</v>
      </c>
      <c r="K13093" s="349">
        <v>14076.92142857143</v>
      </c>
      <c r="L13093" s="349"/>
      <c r="M13093" s="455"/>
    </row>
    <row r="13094" spans="1:16" ht="11.25" customHeight="1" x14ac:dyDescent="0.2">
      <c r="A13094" s="350">
        <v>2026</v>
      </c>
      <c r="B13094" s="350">
        <v>2</v>
      </c>
      <c r="C13094" s="350">
        <v>1</v>
      </c>
      <c r="D13094" s="351">
        <f t="shared" si="1932"/>
        <v>46054</v>
      </c>
      <c r="E13094" s="352">
        <f>DATE(A13094,B13094,C13094)</f>
        <v>46054</v>
      </c>
      <c r="F13094" s="519"/>
      <c r="G13094" s="353" t="s">
        <v>1245</v>
      </c>
      <c r="H13094" s="354"/>
      <c r="I13094" s="354" t="s">
        <v>1253</v>
      </c>
      <c r="J13094" s="350" t="s">
        <v>153</v>
      </c>
      <c r="K13094" s="355"/>
      <c r="L13094" s="355">
        <f t="shared" ref="L13094" si="1936">K13093</f>
        <v>14076.92142857143</v>
      </c>
    </row>
    <row r="13095" spans="1:16" ht="11.25" customHeight="1" x14ac:dyDescent="0.2">
      <c r="A13095" s="344">
        <v>2026</v>
      </c>
      <c r="B13095" s="344">
        <v>2</v>
      </c>
      <c r="C13095" s="344">
        <v>1</v>
      </c>
      <c r="D13095" s="345">
        <f t="shared" si="1932"/>
        <v>46054</v>
      </c>
      <c r="E13095" s="346">
        <f t="shared" ref="E13095:E13101" si="1937">DATE(A13095,B13095,C13095)</f>
        <v>46054</v>
      </c>
      <c r="F13095" s="518" t="s">
        <v>1989</v>
      </c>
      <c r="G13095" s="347" t="s">
        <v>1245</v>
      </c>
      <c r="H13095" s="348"/>
      <c r="I13095" s="348" t="s">
        <v>1253</v>
      </c>
      <c r="J13095" s="344" t="s">
        <v>113</v>
      </c>
      <c r="K13095" s="349">
        <v>10054.945054945056</v>
      </c>
      <c r="L13095" s="349"/>
      <c r="M13095" s="455"/>
    </row>
    <row r="13096" spans="1:16" ht="11.25" customHeight="1" x14ac:dyDescent="0.2">
      <c r="A13096" s="350">
        <v>2026</v>
      </c>
      <c r="B13096" s="350">
        <v>2</v>
      </c>
      <c r="C13096" s="350">
        <v>1</v>
      </c>
      <c r="D13096" s="351">
        <f t="shared" si="1932"/>
        <v>46054</v>
      </c>
      <c r="E13096" s="352">
        <f t="shared" si="1937"/>
        <v>46054</v>
      </c>
      <c r="F13096" s="519"/>
      <c r="G13096" s="353" t="s">
        <v>1245</v>
      </c>
      <c r="H13096" s="354"/>
      <c r="I13096" s="354" t="s">
        <v>1253</v>
      </c>
      <c r="J13096" s="350" t="s">
        <v>153</v>
      </c>
      <c r="K13096" s="355"/>
      <c r="L13096" s="355">
        <f t="shared" ref="L13096" si="1938">K13095</f>
        <v>10054.945054945056</v>
      </c>
    </row>
    <row r="13097" spans="1:16" ht="11.25" customHeight="1" x14ac:dyDescent="0.2">
      <c r="A13097" s="344">
        <v>2026</v>
      </c>
      <c r="B13097" s="344">
        <v>2</v>
      </c>
      <c r="C13097" s="344">
        <v>1</v>
      </c>
      <c r="D13097" s="345">
        <f t="shared" si="1932"/>
        <v>46054</v>
      </c>
      <c r="E13097" s="346">
        <f t="shared" si="1937"/>
        <v>46054</v>
      </c>
      <c r="F13097" s="518" t="s">
        <v>1990</v>
      </c>
      <c r="G13097" s="347" t="s">
        <v>1245</v>
      </c>
      <c r="H13097" s="348"/>
      <c r="I13097" s="348" t="s">
        <v>1253</v>
      </c>
      <c r="J13097" s="344" t="s">
        <v>113</v>
      </c>
      <c r="K13097" s="349">
        <v>30164.837142857141</v>
      </c>
      <c r="L13097" s="349"/>
      <c r="M13097" s="455"/>
      <c r="N13097" s="251"/>
      <c r="O13097" s="251"/>
      <c r="P13097" s="251"/>
    </row>
    <row r="13098" spans="1:16" ht="11.25" customHeight="1" x14ac:dyDescent="0.2">
      <c r="A13098" s="350">
        <v>2026</v>
      </c>
      <c r="B13098" s="350">
        <v>2</v>
      </c>
      <c r="C13098" s="350">
        <v>1</v>
      </c>
      <c r="D13098" s="351">
        <f t="shared" si="1932"/>
        <v>46054</v>
      </c>
      <c r="E13098" s="352">
        <f t="shared" si="1937"/>
        <v>46054</v>
      </c>
      <c r="F13098" s="519"/>
      <c r="G13098" s="353" t="s">
        <v>1245</v>
      </c>
      <c r="H13098" s="354"/>
      <c r="I13098" s="354" t="s">
        <v>1253</v>
      </c>
      <c r="J13098" s="350" t="s">
        <v>153</v>
      </c>
      <c r="K13098" s="355"/>
      <c r="L13098" s="355">
        <f t="shared" ref="L13098" si="1939">K13097</f>
        <v>30164.837142857141</v>
      </c>
      <c r="M13098" s="455"/>
    </row>
    <row r="13099" spans="1:16" ht="11.25" customHeight="1" x14ac:dyDescent="0.2">
      <c r="A13099" s="344">
        <v>2026</v>
      </c>
      <c r="B13099" s="344">
        <v>2</v>
      </c>
      <c r="C13099" s="344">
        <v>1</v>
      </c>
      <c r="D13099" s="345">
        <f t="shared" si="1932"/>
        <v>46054</v>
      </c>
      <c r="E13099" s="346">
        <f t="shared" si="1937"/>
        <v>46054</v>
      </c>
      <c r="F13099" s="518" t="s">
        <v>2107</v>
      </c>
      <c r="G13099" s="347" t="s">
        <v>1245</v>
      </c>
      <c r="H13099" s="348"/>
      <c r="I13099" s="348" t="s">
        <v>1253</v>
      </c>
      <c r="J13099" s="344" t="s">
        <v>113</v>
      </c>
      <c r="K13099" s="349">
        <v>37112.637362637361</v>
      </c>
      <c r="L13099" s="349"/>
      <c r="M13099" s="455"/>
      <c r="N13099" s="251"/>
      <c r="O13099" s="251"/>
      <c r="P13099" s="251"/>
    </row>
    <row r="13100" spans="1:16" ht="11.25" customHeight="1" x14ac:dyDescent="0.2">
      <c r="A13100" s="350">
        <v>2026</v>
      </c>
      <c r="B13100" s="350">
        <v>2</v>
      </c>
      <c r="C13100" s="350">
        <v>1</v>
      </c>
      <c r="D13100" s="351">
        <f t="shared" si="1932"/>
        <v>46054</v>
      </c>
      <c r="E13100" s="352">
        <f t="shared" si="1937"/>
        <v>46054</v>
      </c>
      <c r="F13100" s="519"/>
      <c r="G13100" s="353" t="s">
        <v>1245</v>
      </c>
      <c r="H13100" s="354"/>
      <c r="I13100" s="354" t="s">
        <v>1253</v>
      </c>
      <c r="J13100" s="350" t="s">
        <v>153</v>
      </c>
      <c r="K13100" s="355"/>
      <c r="L13100" s="355">
        <f t="shared" ref="L13100" si="1940">K13099</f>
        <v>37112.637362637361</v>
      </c>
    </row>
    <row r="13101" spans="1:16" ht="11.25" customHeight="1" x14ac:dyDescent="0.2">
      <c r="A13101" s="210">
        <v>2026</v>
      </c>
      <c r="B13101" s="210">
        <v>2</v>
      </c>
      <c r="C13101" s="210">
        <v>1</v>
      </c>
      <c r="D13101" s="211">
        <f t="shared" si="1932"/>
        <v>46054</v>
      </c>
      <c r="E13101" s="238">
        <f t="shared" si="1937"/>
        <v>46054</v>
      </c>
      <c r="F13101" s="520" t="s">
        <v>1857</v>
      </c>
      <c r="G13101" s="213" t="s">
        <v>1245</v>
      </c>
      <c r="H13101" s="214"/>
      <c r="I13101" s="214" t="s">
        <v>1253</v>
      </c>
      <c r="J13101" s="210" t="s">
        <v>1284</v>
      </c>
      <c r="K13101" s="215">
        <v>1003.6334633108827</v>
      </c>
      <c r="L13101" s="215"/>
      <c r="M13101" s="455"/>
    </row>
    <row r="13102" spans="1:16" ht="11.25" customHeight="1" x14ac:dyDescent="0.2">
      <c r="A13102" s="242">
        <v>2026</v>
      </c>
      <c r="B13102" s="242">
        <v>2</v>
      </c>
      <c r="C13102" s="242">
        <v>1</v>
      </c>
      <c r="D13102" s="243">
        <f t="shared" si="1932"/>
        <v>46054</v>
      </c>
      <c r="E13102" s="244">
        <f>DATE(A13102,B13102,C13102)</f>
        <v>46054</v>
      </c>
      <c r="F13102" s="524"/>
      <c r="G13102" s="245" t="s">
        <v>1245</v>
      </c>
      <c r="H13102" s="246"/>
      <c r="I13102" s="246"/>
      <c r="J13102" s="242" t="s">
        <v>1582</v>
      </c>
      <c r="K13102" s="247"/>
      <c r="L13102" s="247">
        <f>K13101</f>
        <v>1003.6334633108827</v>
      </c>
    </row>
    <row r="13103" spans="1:16" ht="11.25" customHeight="1" x14ac:dyDescent="0.2">
      <c r="A13103" s="210">
        <v>2026</v>
      </c>
      <c r="B13103" s="210">
        <v>2</v>
      </c>
      <c r="C13103" s="210">
        <v>1</v>
      </c>
      <c r="D13103" s="211">
        <f t="shared" si="1932"/>
        <v>46054</v>
      </c>
      <c r="E13103" s="238">
        <f t="shared" ref="E13103:E13114" si="1941">DATE(A13103,B13103,C13103)</f>
        <v>46054</v>
      </c>
      <c r="F13103" s="520" t="s">
        <v>2055</v>
      </c>
      <c r="G13103" s="213" t="s">
        <v>1245</v>
      </c>
      <c r="H13103" s="214"/>
      <c r="I13103" s="214" t="s">
        <v>1253</v>
      </c>
      <c r="J13103" s="210" t="s">
        <v>58</v>
      </c>
      <c r="K13103" s="215">
        <v>5231.97</v>
      </c>
      <c r="L13103" s="215"/>
    </row>
    <row r="13104" spans="1:16" ht="11.25" customHeight="1" x14ac:dyDescent="0.2">
      <c r="A13104" s="216">
        <v>2026</v>
      </c>
      <c r="B13104" s="216">
        <v>2</v>
      </c>
      <c r="C13104" s="216">
        <v>1</v>
      </c>
      <c r="D13104" s="217">
        <f t="shared" si="1932"/>
        <v>46054</v>
      </c>
      <c r="E13104" s="239">
        <f t="shared" si="1941"/>
        <v>46054</v>
      </c>
      <c r="F13104" s="521"/>
      <c r="G13104" s="219" t="s">
        <v>1245</v>
      </c>
      <c r="H13104" s="220"/>
      <c r="I13104" s="220" t="s">
        <v>1253</v>
      </c>
      <c r="J13104" s="216" t="s">
        <v>153</v>
      </c>
      <c r="K13104" s="221"/>
      <c r="L13104" s="221">
        <f>K13103</f>
        <v>5231.97</v>
      </c>
    </row>
    <row r="13105" spans="1:15" ht="11.25" customHeight="1" x14ac:dyDescent="0.2">
      <c r="A13105" s="312">
        <v>2026</v>
      </c>
      <c r="B13105" s="312">
        <v>2</v>
      </c>
      <c r="C13105" s="312">
        <v>1</v>
      </c>
      <c r="D13105" s="313">
        <f t="shared" si="1932"/>
        <v>46054</v>
      </c>
      <c r="E13105" s="314">
        <f t="shared" si="1941"/>
        <v>46054</v>
      </c>
      <c r="F13105" s="522" t="s">
        <v>1595</v>
      </c>
      <c r="G13105" s="315" t="s">
        <v>1245</v>
      </c>
      <c r="H13105" s="316"/>
      <c r="I13105" s="316" t="s">
        <v>1253</v>
      </c>
      <c r="J13105" s="312" t="s">
        <v>1461</v>
      </c>
      <c r="K13105" s="317"/>
      <c r="L13105" s="317"/>
      <c r="M13105" s="328"/>
    </row>
    <row r="13106" spans="1:15" ht="11.25" customHeight="1" x14ac:dyDescent="0.2">
      <c r="A13106" s="318">
        <v>2026</v>
      </c>
      <c r="B13106" s="318">
        <v>2</v>
      </c>
      <c r="C13106" s="318">
        <v>1</v>
      </c>
      <c r="D13106" s="319">
        <f t="shared" si="1932"/>
        <v>46054</v>
      </c>
      <c r="E13106" s="320">
        <f t="shared" si="1941"/>
        <v>46054</v>
      </c>
      <c r="F13106" s="523"/>
      <c r="G13106" s="321" t="s">
        <v>1245</v>
      </c>
      <c r="H13106" s="322"/>
      <c r="I13106" s="322" t="s">
        <v>1253</v>
      </c>
      <c r="J13106" s="318" t="s">
        <v>1459</v>
      </c>
      <c r="K13106" s="323"/>
      <c r="L13106" s="323">
        <f>K13105</f>
        <v>0</v>
      </c>
      <c r="M13106" s="328"/>
    </row>
    <row r="13107" spans="1:15" ht="11.25" customHeight="1" x14ac:dyDescent="0.2">
      <c r="A13107" s="222">
        <v>2026</v>
      </c>
      <c r="B13107" s="222">
        <v>2</v>
      </c>
      <c r="C13107" s="222">
        <v>1</v>
      </c>
      <c r="D13107" s="223">
        <f t="shared" si="1932"/>
        <v>46054</v>
      </c>
      <c r="E13107" s="240">
        <f t="shared" si="1941"/>
        <v>46054</v>
      </c>
      <c r="F13107" s="511" t="s">
        <v>1244</v>
      </c>
      <c r="G13107" s="225" t="s">
        <v>1245</v>
      </c>
      <c r="H13107" s="226"/>
      <c r="I13107" s="226" t="s">
        <v>1253</v>
      </c>
      <c r="J13107" s="222" t="s">
        <v>72</v>
      </c>
      <c r="K13107" s="227"/>
      <c r="L13107" s="227"/>
      <c r="M13107" s="328"/>
    </row>
    <row r="13108" spans="1:15" ht="11.25" customHeight="1" x14ac:dyDescent="0.2">
      <c r="A13108" s="228">
        <v>2026</v>
      </c>
      <c r="B13108" s="228">
        <v>2</v>
      </c>
      <c r="C13108" s="228">
        <v>1</v>
      </c>
      <c r="D13108" s="229">
        <f t="shared" si="1932"/>
        <v>46054</v>
      </c>
      <c r="E13108" s="241">
        <f t="shared" si="1941"/>
        <v>46054</v>
      </c>
      <c r="F13108" s="512"/>
      <c r="G13108" s="231" t="s">
        <v>1245</v>
      </c>
      <c r="H13108" s="232"/>
      <c r="I13108" s="232" t="s">
        <v>1253</v>
      </c>
      <c r="J13108" s="228" t="s">
        <v>87</v>
      </c>
      <c r="K13108" s="233"/>
      <c r="L13108" s="233">
        <f>K13107</f>
        <v>0</v>
      </c>
    </row>
    <row r="13109" spans="1:15" ht="11.25" customHeight="1" x14ac:dyDescent="0.2">
      <c r="A13109" s="222">
        <v>2026</v>
      </c>
      <c r="B13109" s="222">
        <v>2</v>
      </c>
      <c r="C13109" s="222">
        <v>1</v>
      </c>
      <c r="D13109" s="223">
        <f t="shared" si="1932"/>
        <v>46054</v>
      </c>
      <c r="E13109" s="240">
        <f t="shared" si="1941"/>
        <v>46054</v>
      </c>
      <c r="F13109" s="511" t="s">
        <v>1246</v>
      </c>
      <c r="G13109" s="225" t="s">
        <v>1245</v>
      </c>
      <c r="H13109" s="226"/>
      <c r="I13109" s="226" t="s">
        <v>1253</v>
      </c>
      <c r="J13109" s="222" t="s">
        <v>75</v>
      </c>
      <c r="K13109" s="227">
        <v>1552.7673626373626</v>
      </c>
      <c r="L13109" s="227"/>
      <c r="M13109" s="455"/>
    </row>
    <row r="13110" spans="1:15" ht="11.25" customHeight="1" x14ac:dyDescent="0.2">
      <c r="A13110" s="228">
        <v>2026</v>
      </c>
      <c r="B13110" s="228">
        <v>2</v>
      </c>
      <c r="C13110" s="228">
        <v>1</v>
      </c>
      <c r="D13110" s="229">
        <f t="shared" si="1932"/>
        <v>46054</v>
      </c>
      <c r="E13110" s="241">
        <f t="shared" si="1941"/>
        <v>46054</v>
      </c>
      <c r="F13110" s="512"/>
      <c r="G13110" s="231" t="s">
        <v>1245</v>
      </c>
      <c r="H13110" s="232"/>
      <c r="I13110" s="232" t="s">
        <v>1253</v>
      </c>
      <c r="J13110" s="228" t="s">
        <v>55</v>
      </c>
      <c r="K13110" s="233"/>
      <c r="L13110" s="233">
        <f>K13109</f>
        <v>1552.7673626373626</v>
      </c>
    </row>
    <row r="13111" spans="1:15" ht="11.25" customHeight="1" x14ac:dyDescent="0.2">
      <c r="A13111" s="222">
        <v>2026</v>
      </c>
      <c r="B13111" s="222">
        <v>2</v>
      </c>
      <c r="C13111" s="222">
        <v>1</v>
      </c>
      <c r="D13111" s="223">
        <f t="shared" si="1932"/>
        <v>46054</v>
      </c>
      <c r="E13111" s="240">
        <f t="shared" si="1941"/>
        <v>46054</v>
      </c>
      <c r="F13111" s="511" t="s">
        <v>1247</v>
      </c>
      <c r="G13111" s="225" t="s">
        <v>1245</v>
      </c>
      <c r="H13111" s="226"/>
      <c r="I13111" s="226" t="s">
        <v>1253</v>
      </c>
      <c r="J13111" s="222" t="s">
        <v>77</v>
      </c>
      <c r="K13111" s="227">
        <v>22477.267911784031</v>
      </c>
      <c r="L13111" s="227"/>
      <c r="M13111" s="478"/>
    </row>
    <row r="13112" spans="1:15" ht="11.25" customHeight="1" x14ac:dyDescent="0.2">
      <c r="A13112" s="228">
        <v>2026</v>
      </c>
      <c r="B13112" s="228">
        <v>2</v>
      </c>
      <c r="C13112" s="228">
        <v>1</v>
      </c>
      <c r="D13112" s="229">
        <f t="shared" si="1932"/>
        <v>46054</v>
      </c>
      <c r="E13112" s="241">
        <f t="shared" si="1941"/>
        <v>46054</v>
      </c>
      <c r="F13112" s="512"/>
      <c r="G13112" s="231" t="s">
        <v>1245</v>
      </c>
      <c r="H13112" s="232"/>
      <c r="I13112" s="232" t="s">
        <v>1253</v>
      </c>
      <c r="J13112" s="228" t="s">
        <v>41</v>
      </c>
      <c r="K13112" s="233"/>
      <c r="L13112" s="233">
        <f>K13111</f>
        <v>22477.267911784031</v>
      </c>
      <c r="M13112" s="478"/>
      <c r="N13112" s="251"/>
    </row>
    <row r="13113" spans="1:15" ht="11.25" customHeight="1" x14ac:dyDescent="0.2">
      <c r="A13113" s="222">
        <v>2026</v>
      </c>
      <c r="B13113" s="222">
        <v>2</v>
      </c>
      <c r="C13113" s="222">
        <v>1</v>
      </c>
      <c r="D13113" s="223">
        <f t="shared" si="1932"/>
        <v>46054</v>
      </c>
      <c r="E13113" s="240">
        <f t="shared" si="1941"/>
        <v>46054</v>
      </c>
      <c r="F13113" s="511" t="s">
        <v>1248</v>
      </c>
      <c r="G13113" s="225" t="s">
        <v>1245</v>
      </c>
      <c r="H13113" s="226"/>
      <c r="I13113" s="226" t="s">
        <v>1253</v>
      </c>
      <c r="J13113" s="222" t="s">
        <v>80</v>
      </c>
      <c r="K13113" s="227">
        <v>2247.7267911784024</v>
      </c>
      <c r="L13113" s="227"/>
      <c r="N13113" s="251"/>
      <c r="O13113" s="251"/>
    </row>
    <row r="13114" spans="1:15" ht="11.25" customHeight="1" x14ac:dyDescent="0.2">
      <c r="A13114" s="228">
        <v>2026</v>
      </c>
      <c r="B13114" s="228">
        <v>2</v>
      </c>
      <c r="C13114" s="228">
        <v>1</v>
      </c>
      <c r="D13114" s="229">
        <f t="shared" si="1932"/>
        <v>46054</v>
      </c>
      <c r="E13114" s="241">
        <f t="shared" si="1941"/>
        <v>46054</v>
      </c>
      <c r="F13114" s="512"/>
      <c r="G13114" s="231" t="s">
        <v>1245</v>
      </c>
      <c r="H13114" s="232"/>
      <c r="I13114" s="232" t="s">
        <v>1253</v>
      </c>
      <c r="J13114" s="228" t="s">
        <v>42</v>
      </c>
      <c r="K13114" s="233"/>
      <c r="L13114" s="233">
        <f>K13113</f>
        <v>2247.7267911784024</v>
      </c>
      <c r="N13114" s="251"/>
    </row>
    <row r="13115" spans="1:15" x14ac:dyDescent="0.2">
      <c r="A13115" s="197">
        <v>2026</v>
      </c>
      <c r="B13115" s="197">
        <v>2</v>
      </c>
      <c r="C13115" s="197">
        <v>2</v>
      </c>
      <c r="D13115" s="198">
        <f t="shared" ref="D13115:D13122" si="1942">DATE(A13115,B13115,C13115)</f>
        <v>46055</v>
      </c>
      <c r="E13115" s="209">
        <f t="shared" ref="E13115:E13120" si="1943">DATE(A13115,B13115,C13115)</f>
        <v>46055</v>
      </c>
      <c r="F13115" s="513" t="s">
        <v>1280</v>
      </c>
      <c r="G13115" s="200" t="s">
        <v>1209</v>
      </c>
      <c r="H13115" s="201"/>
      <c r="I13115" s="201"/>
      <c r="J13115" s="197" t="s">
        <v>16</v>
      </c>
      <c r="K13115" s="202">
        <v>696240</v>
      </c>
      <c r="L13115" s="202"/>
    </row>
    <row r="13116" spans="1:15" x14ac:dyDescent="0.2">
      <c r="A13116" s="120">
        <v>2026</v>
      </c>
      <c r="B13116" s="120">
        <v>2</v>
      </c>
      <c r="C13116" s="120">
        <v>2</v>
      </c>
      <c r="D13116" s="208">
        <f t="shared" si="1942"/>
        <v>46055</v>
      </c>
      <c r="E13116" s="209">
        <f t="shared" si="1943"/>
        <v>46055</v>
      </c>
      <c r="F13116" s="515"/>
      <c r="G13116" s="132" t="s">
        <v>1209</v>
      </c>
      <c r="J13116" s="120" t="s">
        <v>47</v>
      </c>
      <c r="K13116" s="207">
        <v>274594.40000000002</v>
      </c>
      <c r="L13116" s="207"/>
    </row>
    <row r="13117" spans="1:15" x14ac:dyDescent="0.2">
      <c r="A13117" s="191">
        <v>2026</v>
      </c>
      <c r="B13117" s="191">
        <v>2</v>
      </c>
      <c r="C13117" s="191">
        <v>2</v>
      </c>
      <c r="D13117" s="192">
        <f t="shared" si="1942"/>
        <v>46055</v>
      </c>
      <c r="E13117" s="193">
        <f t="shared" si="1943"/>
        <v>46055</v>
      </c>
      <c r="F13117" s="514"/>
      <c r="G13117" s="194" t="s">
        <v>1209</v>
      </c>
      <c r="H13117" s="195"/>
      <c r="I13117" s="195"/>
      <c r="J13117" s="191" t="s">
        <v>46</v>
      </c>
      <c r="K13117" s="196"/>
      <c r="L13117" s="196">
        <v>970834.4</v>
      </c>
    </row>
    <row r="13118" spans="1:15" x14ac:dyDescent="0.2">
      <c r="A13118" s="197">
        <v>2026</v>
      </c>
      <c r="B13118" s="197">
        <v>2</v>
      </c>
      <c r="C13118" s="197">
        <v>2</v>
      </c>
      <c r="D13118" s="198">
        <f t="shared" si="1942"/>
        <v>46055</v>
      </c>
      <c r="E13118" s="209">
        <f t="shared" si="1943"/>
        <v>46055</v>
      </c>
      <c r="F13118" s="513" t="s">
        <v>1210</v>
      </c>
      <c r="G13118" s="200" t="s">
        <v>1209</v>
      </c>
      <c r="H13118" s="201"/>
      <c r="I13118" s="201"/>
      <c r="J13118" s="197" t="s">
        <v>46</v>
      </c>
      <c r="K13118" s="202">
        <v>900000</v>
      </c>
      <c r="L13118" s="202"/>
    </row>
    <row r="13119" spans="1:15" x14ac:dyDescent="0.2">
      <c r="A13119" s="120">
        <v>2026</v>
      </c>
      <c r="B13119" s="120">
        <v>2</v>
      </c>
      <c r="C13119" s="120">
        <v>2</v>
      </c>
      <c r="D13119" s="208">
        <f t="shared" si="1942"/>
        <v>46055</v>
      </c>
      <c r="E13119" s="209">
        <f t="shared" si="1943"/>
        <v>46055</v>
      </c>
      <c r="F13119" s="515"/>
      <c r="G13119" s="132" t="s">
        <v>1209</v>
      </c>
      <c r="J13119" s="120" t="s">
        <v>16</v>
      </c>
      <c r="K13119" s="207"/>
      <c r="L13119" s="207">
        <v>645160</v>
      </c>
    </row>
    <row r="13120" spans="1:15" x14ac:dyDescent="0.2">
      <c r="A13120" s="191">
        <v>2026</v>
      </c>
      <c r="B13120" s="191">
        <v>2</v>
      </c>
      <c r="C13120" s="191">
        <v>2</v>
      </c>
      <c r="D13120" s="192">
        <f t="shared" si="1942"/>
        <v>46055</v>
      </c>
      <c r="E13120" s="193">
        <f t="shared" si="1943"/>
        <v>46055</v>
      </c>
      <c r="F13120" s="514"/>
      <c r="G13120" s="194" t="s">
        <v>1209</v>
      </c>
      <c r="H13120" s="195"/>
      <c r="I13120" s="195"/>
      <c r="J13120" s="191" t="s">
        <v>47</v>
      </c>
      <c r="K13120" s="196"/>
      <c r="L13120" s="196">
        <v>254840</v>
      </c>
    </row>
    <row r="13121" spans="1:15" ht="11.25" customHeight="1" x14ac:dyDescent="0.2">
      <c r="A13121" s="197">
        <v>2026</v>
      </c>
      <c r="B13121" s="197">
        <v>2</v>
      </c>
      <c r="C13121" s="197">
        <v>2</v>
      </c>
      <c r="D13121" s="198">
        <f t="shared" si="1942"/>
        <v>46055</v>
      </c>
      <c r="E13121" s="290">
        <f>DATE(A13121,B13121,C13121)</f>
        <v>46055</v>
      </c>
      <c r="F13121" s="513" t="s">
        <v>1514</v>
      </c>
      <c r="G13121" s="200" t="s">
        <v>1209</v>
      </c>
      <c r="H13121" s="201"/>
      <c r="I13121" s="201"/>
      <c r="J13121" s="197" t="s">
        <v>54</v>
      </c>
      <c r="K13121" s="202">
        <v>100</v>
      </c>
      <c r="L13121" s="202"/>
      <c r="O13121" s="251"/>
    </row>
    <row r="13122" spans="1:15" ht="11.25" customHeight="1" x14ac:dyDescent="0.2">
      <c r="A13122" s="191">
        <v>2026</v>
      </c>
      <c r="B13122" s="191">
        <v>2</v>
      </c>
      <c r="C13122" s="191">
        <v>2</v>
      </c>
      <c r="D13122" s="192">
        <f t="shared" si="1942"/>
        <v>46055</v>
      </c>
      <c r="E13122" s="291">
        <f>DATE(A13122,B13122,C13122)</f>
        <v>46055</v>
      </c>
      <c r="F13122" s="514"/>
      <c r="G13122" s="194" t="s">
        <v>1209</v>
      </c>
      <c r="H13122" s="195"/>
      <c r="I13122" s="195"/>
      <c r="J13122" s="191" t="s">
        <v>46</v>
      </c>
      <c r="K13122" s="196"/>
      <c r="L13122" s="196">
        <f>K13121</f>
        <v>100</v>
      </c>
      <c r="O13122" s="251"/>
    </row>
    <row r="13123" spans="1:15" ht="11.25" customHeight="1" x14ac:dyDescent="0.2">
      <c r="A13123" s="197">
        <v>2026</v>
      </c>
      <c r="B13123" s="197">
        <v>2</v>
      </c>
      <c r="C13123" s="197">
        <v>2</v>
      </c>
      <c r="D13123" s="198">
        <f t="shared" ref="D13123:D13158" si="1944">DATE(A13123,B13123,C13123)</f>
        <v>46055</v>
      </c>
      <c r="E13123" s="290">
        <f>DATE(A13123,B13123,C13123)</f>
        <v>46055</v>
      </c>
      <c r="F13123" s="513" t="s">
        <v>1514</v>
      </c>
      <c r="G13123" s="200" t="s">
        <v>1209</v>
      </c>
      <c r="H13123" s="201"/>
      <c r="I13123" s="201"/>
      <c r="J13123" s="197" t="s">
        <v>54</v>
      </c>
      <c r="K13123" s="202">
        <v>58</v>
      </c>
      <c r="L13123" s="202"/>
      <c r="O13123" s="251"/>
    </row>
    <row r="13124" spans="1:15" ht="11.25" customHeight="1" x14ac:dyDescent="0.2">
      <c r="A13124" s="191">
        <v>2026</v>
      </c>
      <c r="B13124" s="191">
        <v>2</v>
      </c>
      <c r="C13124" s="191">
        <v>2</v>
      </c>
      <c r="D13124" s="192">
        <f t="shared" si="1944"/>
        <v>46055</v>
      </c>
      <c r="E13124" s="291">
        <f>DATE(A13124,B13124,C13124)</f>
        <v>46055</v>
      </c>
      <c r="F13124" s="514"/>
      <c r="G13124" s="194" t="s">
        <v>1209</v>
      </c>
      <c r="H13124" s="195"/>
      <c r="I13124" s="195"/>
      <c r="J13124" s="191" t="s">
        <v>46</v>
      </c>
      <c r="K13124" s="196"/>
      <c r="L13124" s="196">
        <f>K13123</f>
        <v>58</v>
      </c>
      <c r="O13124" s="251"/>
    </row>
    <row r="13125" spans="1:15" x14ac:dyDescent="0.2">
      <c r="A13125" s="424">
        <v>2026</v>
      </c>
      <c r="B13125" s="424">
        <v>2</v>
      </c>
      <c r="C13125" s="424">
        <v>2</v>
      </c>
      <c r="D13125" s="425">
        <f t="shared" si="1944"/>
        <v>46055</v>
      </c>
      <c r="E13125" s="384">
        <f t="shared" ref="E13125:E13136" si="1945">DATE(A13125,B13125,C13125)</f>
        <v>46055</v>
      </c>
      <c r="F13125" s="516" t="s">
        <v>1850</v>
      </c>
      <c r="G13125" s="426" t="s">
        <v>1209</v>
      </c>
      <c r="H13125" s="427"/>
      <c r="I13125" s="427"/>
      <c r="J13125" s="428" t="s">
        <v>81</v>
      </c>
      <c r="K13125" s="429">
        <v>1595.8173626373627</v>
      </c>
      <c r="L13125" s="429"/>
      <c r="M13125" s="455"/>
    </row>
    <row r="13126" spans="1:15" x14ac:dyDescent="0.2">
      <c r="A13126" s="389">
        <v>2026</v>
      </c>
      <c r="B13126" s="389">
        <v>2</v>
      </c>
      <c r="C13126" s="389">
        <v>2</v>
      </c>
      <c r="D13126" s="390">
        <f t="shared" si="1944"/>
        <v>46055</v>
      </c>
      <c r="E13126" s="391">
        <f t="shared" si="1945"/>
        <v>46055</v>
      </c>
      <c r="F13126" s="517"/>
      <c r="G13126" s="392" t="s">
        <v>1209</v>
      </c>
      <c r="H13126" s="393"/>
      <c r="I13126" s="393"/>
      <c r="J13126" s="394" t="s">
        <v>1847</v>
      </c>
      <c r="K13126" s="423"/>
      <c r="L13126" s="423">
        <f>K13125</f>
        <v>1595.8173626373627</v>
      </c>
    </row>
    <row r="13127" spans="1:15" ht="11.25" customHeight="1" x14ac:dyDescent="0.2">
      <c r="A13127" s="382">
        <v>2026</v>
      </c>
      <c r="B13127" s="382">
        <v>2</v>
      </c>
      <c r="C13127" s="382">
        <v>2</v>
      </c>
      <c r="D13127" s="383">
        <f t="shared" si="1944"/>
        <v>46055</v>
      </c>
      <c r="E13127" s="384">
        <f t="shared" si="1945"/>
        <v>46055</v>
      </c>
      <c r="F13127" s="516" t="s">
        <v>1892</v>
      </c>
      <c r="G13127" s="385" t="s">
        <v>1209</v>
      </c>
      <c r="H13127" s="386"/>
      <c r="I13127" s="386"/>
      <c r="J13127" s="387" t="s">
        <v>173</v>
      </c>
      <c r="K13127" s="388">
        <v>592.1773635930557</v>
      </c>
      <c r="L13127" s="388"/>
      <c r="M13127" s="455"/>
    </row>
    <row r="13128" spans="1:15" ht="11.25" customHeight="1" x14ac:dyDescent="0.2">
      <c r="A13128" s="389">
        <v>2026</v>
      </c>
      <c r="B13128" s="389">
        <v>2</v>
      </c>
      <c r="C13128" s="389">
        <v>2</v>
      </c>
      <c r="D13128" s="390">
        <f t="shared" si="1944"/>
        <v>46055</v>
      </c>
      <c r="E13128" s="391">
        <f t="shared" si="1945"/>
        <v>46055</v>
      </c>
      <c r="F13128" s="517"/>
      <c r="G13128" s="392" t="s">
        <v>1209</v>
      </c>
      <c r="H13128" s="393"/>
      <c r="I13128" s="393"/>
      <c r="J13128" s="394" t="s">
        <v>43</v>
      </c>
      <c r="K13128" s="388"/>
      <c r="L13128" s="423">
        <f>K13127</f>
        <v>592.1773635930557</v>
      </c>
    </row>
    <row r="13129" spans="1:15" ht="11.25" customHeight="1" x14ac:dyDescent="0.2">
      <c r="A13129" s="344">
        <v>2026</v>
      </c>
      <c r="B13129" s="344">
        <v>2</v>
      </c>
      <c r="C13129" s="344">
        <v>2</v>
      </c>
      <c r="D13129" s="345">
        <f t="shared" si="1944"/>
        <v>46055</v>
      </c>
      <c r="E13129" s="346">
        <f t="shared" si="1945"/>
        <v>46055</v>
      </c>
      <c r="F13129" s="518" t="s">
        <v>1982</v>
      </c>
      <c r="G13129" s="347" t="s">
        <v>1245</v>
      </c>
      <c r="H13129" s="348"/>
      <c r="I13129" s="348" t="s">
        <v>1253</v>
      </c>
      <c r="J13129" s="344" t="s">
        <v>1978</v>
      </c>
      <c r="K13129" s="349">
        <v>21249.725274725275</v>
      </c>
      <c r="L13129" s="349"/>
      <c r="M13129" s="455"/>
    </row>
    <row r="13130" spans="1:15" ht="11.25" customHeight="1" x14ac:dyDescent="0.2">
      <c r="A13130" s="350">
        <v>2026</v>
      </c>
      <c r="B13130" s="350">
        <v>2</v>
      </c>
      <c r="C13130" s="350">
        <v>2</v>
      </c>
      <c r="D13130" s="351">
        <f t="shared" si="1944"/>
        <v>46055</v>
      </c>
      <c r="E13130" s="352">
        <f t="shared" si="1945"/>
        <v>46055</v>
      </c>
      <c r="F13130" s="519"/>
      <c r="G13130" s="353" t="s">
        <v>1245</v>
      </c>
      <c r="H13130" s="354"/>
      <c r="I13130" s="354" t="s">
        <v>1253</v>
      </c>
      <c r="J13130" s="350" t="s">
        <v>1979</v>
      </c>
      <c r="K13130" s="355"/>
      <c r="L13130" s="355">
        <f>K13129</f>
        <v>21249.725274725275</v>
      </c>
    </row>
    <row r="13131" spans="1:15" ht="11.25" customHeight="1" x14ac:dyDescent="0.2">
      <c r="A13131" s="344">
        <v>2026</v>
      </c>
      <c r="B13131" s="344">
        <v>2</v>
      </c>
      <c r="C13131" s="344">
        <v>2</v>
      </c>
      <c r="D13131" s="345">
        <f t="shared" si="1944"/>
        <v>46055</v>
      </c>
      <c r="E13131" s="346">
        <f t="shared" si="1945"/>
        <v>46055</v>
      </c>
      <c r="F13131" s="518" t="s">
        <v>2009</v>
      </c>
      <c r="G13131" s="347" t="s">
        <v>1245</v>
      </c>
      <c r="H13131" s="348"/>
      <c r="I13131" s="348" t="s">
        <v>1253</v>
      </c>
      <c r="J13131" s="344" t="s">
        <v>2004</v>
      </c>
      <c r="K13131" s="349">
        <v>7098.9014285714284</v>
      </c>
      <c r="L13131" s="349"/>
      <c r="M13131" s="455"/>
    </row>
    <row r="13132" spans="1:15" ht="11.25" customHeight="1" x14ac:dyDescent="0.2">
      <c r="A13132" s="350">
        <v>2026</v>
      </c>
      <c r="B13132" s="350">
        <v>2</v>
      </c>
      <c r="C13132" s="350">
        <v>2</v>
      </c>
      <c r="D13132" s="351">
        <f t="shared" si="1944"/>
        <v>46055</v>
      </c>
      <c r="E13132" s="352">
        <f t="shared" si="1945"/>
        <v>46055</v>
      </c>
      <c r="F13132" s="519"/>
      <c r="G13132" s="353" t="s">
        <v>1245</v>
      </c>
      <c r="H13132" s="354"/>
      <c r="I13132" s="354" t="s">
        <v>1253</v>
      </c>
      <c r="J13132" s="350" t="s">
        <v>2008</v>
      </c>
      <c r="K13132" s="355"/>
      <c r="L13132" s="355">
        <f t="shared" ref="L13132" si="1946">K13131</f>
        <v>7098.9014285714284</v>
      </c>
    </row>
    <row r="13133" spans="1:15" ht="11.25" customHeight="1" x14ac:dyDescent="0.2">
      <c r="A13133" s="344">
        <v>2026</v>
      </c>
      <c r="B13133" s="344">
        <v>2</v>
      </c>
      <c r="C13133" s="344">
        <v>2</v>
      </c>
      <c r="D13133" s="345">
        <f t="shared" si="1944"/>
        <v>46055</v>
      </c>
      <c r="E13133" s="346">
        <f t="shared" si="1945"/>
        <v>46055</v>
      </c>
      <c r="F13133" s="518" t="s">
        <v>2009</v>
      </c>
      <c r="G13133" s="347" t="s">
        <v>1245</v>
      </c>
      <c r="H13133" s="348"/>
      <c r="I13133" s="348" t="s">
        <v>1253</v>
      </c>
      <c r="J13133" s="344" t="s">
        <v>2004</v>
      </c>
      <c r="K13133" s="349">
        <v>7098.9014285714284</v>
      </c>
      <c r="L13133" s="349"/>
      <c r="M13133" s="455"/>
    </row>
    <row r="13134" spans="1:15" ht="11.25" customHeight="1" x14ac:dyDescent="0.2">
      <c r="A13134" s="350">
        <v>2026</v>
      </c>
      <c r="B13134" s="350">
        <v>2</v>
      </c>
      <c r="C13134" s="350">
        <v>2</v>
      </c>
      <c r="D13134" s="351">
        <f t="shared" si="1944"/>
        <v>46055</v>
      </c>
      <c r="E13134" s="352">
        <f t="shared" si="1945"/>
        <v>46055</v>
      </c>
      <c r="F13134" s="519"/>
      <c r="G13134" s="353" t="s">
        <v>1245</v>
      </c>
      <c r="H13134" s="354"/>
      <c r="I13134" s="354" t="s">
        <v>1253</v>
      </c>
      <c r="J13134" s="350" t="s">
        <v>2008</v>
      </c>
      <c r="K13134" s="355"/>
      <c r="L13134" s="355">
        <f t="shared" ref="L13134" si="1947">K13133</f>
        <v>7098.9014285714284</v>
      </c>
    </row>
    <row r="13135" spans="1:15" ht="11.25" customHeight="1" x14ac:dyDescent="0.2">
      <c r="A13135" s="344">
        <v>2026</v>
      </c>
      <c r="B13135" s="344">
        <v>2</v>
      </c>
      <c r="C13135" s="344">
        <v>2</v>
      </c>
      <c r="D13135" s="345">
        <f t="shared" si="1944"/>
        <v>46055</v>
      </c>
      <c r="E13135" s="346">
        <f t="shared" si="1945"/>
        <v>46055</v>
      </c>
      <c r="F13135" s="518" t="s">
        <v>2088</v>
      </c>
      <c r="G13135" s="347" t="s">
        <v>1245</v>
      </c>
      <c r="H13135" s="348"/>
      <c r="I13135" s="348" t="s">
        <v>1253</v>
      </c>
      <c r="J13135" s="344" t="s">
        <v>2086</v>
      </c>
      <c r="K13135" s="349">
        <v>1789.835164835165</v>
      </c>
      <c r="L13135" s="349"/>
      <c r="M13135" s="455"/>
    </row>
    <row r="13136" spans="1:15" ht="11.25" customHeight="1" x14ac:dyDescent="0.2">
      <c r="A13136" s="350">
        <v>2026</v>
      </c>
      <c r="B13136" s="350">
        <v>2</v>
      </c>
      <c r="C13136" s="350">
        <v>2</v>
      </c>
      <c r="D13136" s="351">
        <f t="shared" si="1944"/>
        <v>46055</v>
      </c>
      <c r="E13136" s="352">
        <f t="shared" si="1945"/>
        <v>46055</v>
      </c>
      <c r="F13136" s="519"/>
      <c r="G13136" s="353" t="s">
        <v>1245</v>
      </c>
      <c r="H13136" s="354"/>
      <c r="I13136" s="354" t="s">
        <v>1253</v>
      </c>
      <c r="J13136" s="350" t="s">
        <v>2089</v>
      </c>
      <c r="K13136" s="355"/>
      <c r="L13136" s="355">
        <f>K13135</f>
        <v>1789.835164835165</v>
      </c>
    </row>
    <row r="13137" spans="1:16" ht="11.25" customHeight="1" x14ac:dyDescent="0.2">
      <c r="A13137" s="344">
        <v>2026</v>
      </c>
      <c r="B13137" s="344">
        <v>2</v>
      </c>
      <c r="C13137" s="344">
        <v>2</v>
      </c>
      <c r="D13137" s="345">
        <f t="shared" si="1944"/>
        <v>46055</v>
      </c>
      <c r="E13137" s="346">
        <f>DATE(A13137,B13137,C13137)</f>
        <v>46055</v>
      </c>
      <c r="F13137" s="518" t="s">
        <v>1988</v>
      </c>
      <c r="G13137" s="347" t="s">
        <v>1245</v>
      </c>
      <c r="H13137" s="348"/>
      <c r="I13137" s="348" t="s">
        <v>1253</v>
      </c>
      <c r="J13137" s="344" t="s">
        <v>113</v>
      </c>
      <c r="K13137" s="349">
        <v>4692.3071428571429</v>
      </c>
      <c r="L13137" s="349"/>
      <c r="M13137" s="455"/>
    </row>
    <row r="13138" spans="1:16" ht="11.25" customHeight="1" x14ac:dyDescent="0.2">
      <c r="A13138" s="350">
        <v>2026</v>
      </c>
      <c r="B13138" s="350">
        <v>2</v>
      </c>
      <c r="C13138" s="350">
        <v>2</v>
      </c>
      <c r="D13138" s="351">
        <f t="shared" si="1944"/>
        <v>46055</v>
      </c>
      <c r="E13138" s="352">
        <f>DATE(A13138,B13138,C13138)</f>
        <v>46055</v>
      </c>
      <c r="F13138" s="519"/>
      <c r="G13138" s="353" t="s">
        <v>1245</v>
      </c>
      <c r="H13138" s="354"/>
      <c r="I13138" s="354" t="s">
        <v>1253</v>
      </c>
      <c r="J13138" s="350" t="s">
        <v>153</v>
      </c>
      <c r="K13138" s="355"/>
      <c r="L13138" s="355">
        <f t="shared" ref="L13138" si="1948">K13137</f>
        <v>4692.3071428571429</v>
      </c>
    </row>
    <row r="13139" spans="1:16" ht="11.25" customHeight="1" x14ac:dyDescent="0.2">
      <c r="A13139" s="344">
        <v>2026</v>
      </c>
      <c r="B13139" s="344">
        <v>2</v>
      </c>
      <c r="C13139" s="344">
        <v>2</v>
      </c>
      <c r="D13139" s="345">
        <f t="shared" si="1944"/>
        <v>46055</v>
      </c>
      <c r="E13139" s="346">
        <f t="shared" ref="E13139:E13145" si="1949">DATE(A13139,B13139,C13139)</f>
        <v>46055</v>
      </c>
      <c r="F13139" s="518" t="s">
        <v>1989</v>
      </c>
      <c r="G13139" s="347" t="s">
        <v>1245</v>
      </c>
      <c r="H13139" s="348"/>
      <c r="I13139" s="348" t="s">
        <v>1253</v>
      </c>
      <c r="J13139" s="344" t="s">
        <v>113</v>
      </c>
      <c r="K13139" s="349">
        <v>3351.6483516483518</v>
      </c>
      <c r="L13139" s="349"/>
      <c r="M13139" s="455"/>
    </row>
    <row r="13140" spans="1:16" ht="11.25" customHeight="1" x14ac:dyDescent="0.2">
      <c r="A13140" s="350">
        <v>2026</v>
      </c>
      <c r="B13140" s="350">
        <v>2</v>
      </c>
      <c r="C13140" s="350">
        <v>2</v>
      </c>
      <c r="D13140" s="351">
        <f t="shared" si="1944"/>
        <v>46055</v>
      </c>
      <c r="E13140" s="352">
        <f t="shared" si="1949"/>
        <v>46055</v>
      </c>
      <c r="F13140" s="519"/>
      <c r="G13140" s="353" t="s">
        <v>1245</v>
      </c>
      <c r="H13140" s="354"/>
      <c r="I13140" s="354" t="s">
        <v>1253</v>
      </c>
      <c r="J13140" s="350" t="s">
        <v>153</v>
      </c>
      <c r="K13140" s="355"/>
      <c r="L13140" s="355">
        <f t="shared" ref="L13140" si="1950">K13139</f>
        <v>3351.6483516483518</v>
      </c>
    </row>
    <row r="13141" spans="1:16" ht="11.25" customHeight="1" x14ac:dyDescent="0.2">
      <c r="A13141" s="344">
        <v>2026</v>
      </c>
      <c r="B13141" s="344">
        <v>2</v>
      </c>
      <c r="C13141" s="344">
        <v>2</v>
      </c>
      <c r="D13141" s="345">
        <f t="shared" si="1944"/>
        <v>46055</v>
      </c>
      <c r="E13141" s="346">
        <f t="shared" si="1949"/>
        <v>46055</v>
      </c>
      <c r="F13141" s="518" t="s">
        <v>1990</v>
      </c>
      <c r="G13141" s="347" t="s">
        <v>1245</v>
      </c>
      <c r="H13141" s="348"/>
      <c r="I13141" s="348" t="s">
        <v>1253</v>
      </c>
      <c r="J13141" s="344" t="s">
        <v>113</v>
      </c>
      <c r="K13141" s="349">
        <v>10054.945714285714</v>
      </c>
      <c r="L13141" s="349"/>
      <c r="M13141" s="455"/>
      <c r="N13141" s="251"/>
      <c r="O13141" s="251"/>
      <c r="P13141" s="251"/>
    </row>
    <row r="13142" spans="1:16" ht="11.25" customHeight="1" x14ac:dyDescent="0.2">
      <c r="A13142" s="350">
        <v>2026</v>
      </c>
      <c r="B13142" s="350">
        <v>2</v>
      </c>
      <c r="C13142" s="350">
        <v>2</v>
      </c>
      <c r="D13142" s="351">
        <f t="shared" si="1944"/>
        <v>46055</v>
      </c>
      <c r="E13142" s="352">
        <f t="shared" si="1949"/>
        <v>46055</v>
      </c>
      <c r="F13142" s="519"/>
      <c r="G13142" s="353" t="s">
        <v>1245</v>
      </c>
      <c r="H13142" s="354"/>
      <c r="I13142" s="354" t="s">
        <v>1253</v>
      </c>
      <c r="J13142" s="350" t="s">
        <v>153</v>
      </c>
      <c r="K13142" s="355"/>
      <c r="L13142" s="355">
        <f t="shared" ref="L13142" si="1951">K13141</f>
        <v>10054.945714285714</v>
      </c>
      <c r="M13142" s="455"/>
    </row>
    <row r="13143" spans="1:16" ht="11.25" customHeight="1" x14ac:dyDescent="0.2">
      <c r="A13143" s="344">
        <v>2026</v>
      </c>
      <c r="B13143" s="344">
        <v>2</v>
      </c>
      <c r="C13143" s="344">
        <v>2</v>
      </c>
      <c r="D13143" s="345">
        <f t="shared" si="1944"/>
        <v>46055</v>
      </c>
      <c r="E13143" s="346">
        <f t="shared" si="1949"/>
        <v>46055</v>
      </c>
      <c r="F13143" s="518" t="s">
        <v>2107</v>
      </c>
      <c r="G13143" s="347" t="s">
        <v>1245</v>
      </c>
      <c r="H13143" s="348"/>
      <c r="I13143" s="348" t="s">
        <v>1253</v>
      </c>
      <c r="J13143" s="344" t="s">
        <v>113</v>
      </c>
      <c r="K13143" s="349">
        <v>12370.879120879121</v>
      </c>
      <c r="L13143" s="349"/>
      <c r="M13143" s="455"/>
      <c r="N13143" s="251"/>
      <c r="O13143" s="251"/>
      <c r="P13143" s="251"/>
    </row>
    <row r="13144" spans="1:16" ht="11.25" customHeight="1" x14ac:dyDescent="0.2">
      <c r="A13144" s="350">
        <v>2026</v>
      </c>
      <c r="B13144" s="350">
        <v>2</v>
      </c>
      <c r="C13144" s="350">
        <v>2</v>
      </c>
      <c r="D13144" s="351">
        <f t="shared" si="1944"/>
        <v>46055</v>
      </c>
      <c r="E13144" s="352">
        <f t="shared" si="1949"/>
        <v>46055</v>
      </c>
      <c r="F13144" s="519"/>
      <c r="G13144" s="353" t="s">
        <v>1245</v>
      </c>
      <c r="H13144" s="354"/>
      <c r="I13144" s="354" t="s">
        <v>1253</v>
      </c>
      <c r="J13144" s="350" t="s">
        <v>153</v>
      </c>
      <c r="K13144" s="355"/>
      <c r="L13144" s="355">
        <f t="shared" ref="L13144" si="1952">K13143</f>
        <v>12370.879120879121</v>
      </c>
    </row>
    <row r="13145" spans="1:16" ht="11.25" customHeight="1" x14ac:dyDescent="0.2">
      <c r="A13145" s="210">
        <v>2026</v>
      </c>
      <c r="B13145" s="210">
        <v>2</v>
      </c>
      <c r="C13145" s="210">
        <v>2</v>
      </c>
      <c r="D13145" s="211">
        <f t="shared" si="1944"/>
        <v>46055</v>
      </c>
      <c r="E13145" s="238">
        <f t="shared" si="1949"/>
        <v>46055</v>
      </c>
      <c r="F13145" s="520" t="s">
        <v>1857</v>
      </c>
      <c r="G13145" s="213" t="s">
        <v>1245</v>
      </c>
      <c r="H13145" s="214"/>
      <c r="I13145" s="214" t="s">
        <v>1253</v>
      </c>
      <c r="J13145" s="210" t="s">
        <v>1284</v>
      </c>
      <c r="K13145" s="215">
        <v>334.54448777029421</v>
      </c>
      <c r="L13145" s="215"/>
      <c r="M13145" s="455"/>
    </row>
    <row r="13146" spans="1:16" ht="11.25" customHeight="1" x14ac:dyDescent="0.2">
      <c r="A13146" s="242">
        <v>2026</v>
      </c>
      <c r="B13146" s="242">
        <v>2</v>
      </c>
      <c r="C13146" s="242">
        <v>2</v>
      </c>
      <c r="D13146" s="243">
        <f t="shared" si="1944"/>
        <v>46055</v>
      </c>
      <c r="E13146" s="244">
        <f>DATE(A13146,B13146,C13146)</f>
        <v>46055</v>
      </c>
      <c r="F13146" s="524"/>
      <c r="G13146" s="245" t="s">
        <v>1245</v>
      </c>
      <c r="H13146" s="246"/>
      <c r="I13146" s="246"/>
      <c r="J13146" s="242" t="s">
        <v>1582</v>
      </c>
      <c r="K13146" s="247"/>
      <c r="L13146" s="247">
        <f>K13145</f>
        <v>334.54448777029421</v>
      </c>
    </row>
    <row r="13147" spans="1:16" ht="11.25" customHeight="1" x14ac:dyDescent="0.2">
      <c r="A13147" s="210">
        <v>2026</v>
      </c>
      <c r="B13147" s="210">
        <v>2</v>
      </c>
      <c r="C13147" s="210">
        <v>2</v>
      </c>
      <c r="D13147" s="211">
        <f t="shared" si="1944"/>
        <v>46055</v>
      </c>
      <c r="E13147" s="238">
        <f t="shared" ref="E13147:E13170" si="1953">DATE(A13147,B13147,C13147)</f>
        <v>46055</v>
      </c>
      <c r="F13147" s="520" t="s">
        <v>2055</v>
      </c>
      <c r="G13147" s="213" t="s">
        <v>1245</v>
      </c>
      <c r="H13147" s="214"/>
      <c r="I13147" s="214" t="s">
        <v>1253</v>
      </c>
      <c r="J13147" s="210" t="s">
        <v>58</v>
      </c>
      <c r="K13147" s="215">
        <v>1371.1497574999999</v>
      </c>
      <c r="L13147" s="215"/>
    </row>
    <row r="13148" spans="1:16" ht="11.25" customHeight="1" x14ac:dyDescent="0.2">
      <c r="A13148" s="216">
        <v>2026</v>
      </c>
      <c r="B13148" s="216">
        <v>2</v>
      </c>
      <c r="C13148" s="216">
        <v>2</v>
      </c>
      <c r="D13148" s="217">
        <f t="shared" si="1944"/>
        <v>46055</v>
      </c>
      <c r="E13148" s="239">
        <f t="shared" si="1953"/>
        <v>46055</v>
      </c>
      <c r="F13148" s="521"/>
      <c r="G13148" s="219" t="s">
        <v>1245</v>
      </c>
      <c r="H13148" s="220"/>
      <c r="I13148" s="220" t="s">
        <v>1253</v>
      </c>
      <c r="J13148" s="216" t="s">
        <v>153</v>
      </c>
      <c r="K13148" s="221"/>
      <c r="L13148" s="221">
        <f>K13147</f>
        <v>1371.1497574999999</v>
      </c>
    </row>
    <row r="13149" spans="1:16" ht="11.25" customHeight="1" x14ac:dyDescent="0.2">
      <c r="A13149" s="312">
        <v>2026</v>
      </c>
      <c r="B13149" s="312">
        <v>2</v>
      </c>
      <c r="C13149" s="312">
        <v>2</v>
      </c>
      <c r="D13149" s="313">
        <f t="shared" si="1944"/>
        <v>46055</v>
      </c>
      <c r="E13149" s="314">
        <f t="shared" si="1953"/>
        <v>46055</v>
      </c>
      <c r="F13149" s="522" t="s">
        <v>1595</v>
      </c>
      <c r="G13149" s="315" t="s">
        <v>1245</v>
      </c>
      <c r="H13149" s="316"/>
      <c r="I13149" s="316" t="s">
        <v>1253</v>
      </c>
      <c r="J13149" s="312" t="s">
        <v>1461</v>
      </c>
      <c r="K13149" s="317">
        <v>392224.69000005722</v>
      </c>
      <c r="L13149" s="317"/>
      <c r="M13149" s="328"/>
    </row>
    <row r="13150" spans="1:16" ht="11.25" customHeight="1" x14ac:dyDescent="0.2">
      <c r="A13150" s="318">
        <v>2026</v>
      </c>
      <c r="B13150" s="318">
        <v>2</v>
      </c>
      <c r="C13150" s="318">
        <v>2</v>
      </c>
      <c r="D13150" s="319">
        <f t="shared" si="1944"/>
        <v>46055</v>
      </c>
      <c r="E13150" s="320">
        <f t="shared" si="1953"/>
        <v>46055</v>
      </c>
      <c r="F13150" s="523"/>
      <c r="G13150" s="321" t="s">
        <v>1245</v>
      </c>
      <c r="H13150" s="322"/>
      <c r="I13150" s="322" t="s">
        <v>1253</v>
      </c>
      <c r="J13150" s="318" t="s">
        <v>1459</v>
      </c>
      <c r="K13150" s="323"/>
      <c r="L13150" s="323">
        <f>K13149</f>
        <v>392224.69000005722</v>
      </c>
      <c r="M13150" s="328"/>
    </row>
    <row r="13151" spans="1:16" ht="11.25" customHeight="1" x14ac:dyDescent="0.2">
      <c r="A13151" s="222">
        <v>2026</v>
      </c>
      <c r="B13151" s="222">
        <v>2</v>
      </c>
      <c r="C13151" s="222">
        <v>2</v>
      </c>
      <c r="D13151" s="223">
        <f t="shared" si="1944"/>
        <v>46055</v>
      </c>
      <c r="E13151" s="240">
        <f t="shared" si="1953"/>
        <v>46055</v>
      </c>
      <c r="F13151" s="511" t="s">
        <v>1244</v>
      </c>
      <c r="G13151" s="225" t="s">
        <v>1245</v>
      </c>
      <c r="H13151" s="226"/>
      <c r="I13151" s="226" t="s">
        <v>1253</v>
      </c>
      <c r="J13151" s="222" t="s">
        <v>87</v>
      </c>
      <c r="K13151" s="227">
        <v>5354</v>
      </c>
      <c r="L13151" s="227"/>
      <c r="M13151" s="328"/>
    </row>
    <row r="13152" spans="1:16" ht="11.25" customHeight="1" x14ac:dyDescent="0.2">
      <c r="A13152" s="228">
        <v>2026</v>
      </c>
      <c r="B13152" s="228">
        <v>2</v>
      </c>
      <c r="C13152" s="228">
        <v>2</v>
      </c>
      <c r="D13152" s="229">
        <f t="shared" si="1944"/>
        <v>46055</v>
      </c>
      <c r="E13152" s="241">
        <f t="shared" si="1953"/>
        <v>46055</v>
      </c>
      <c r="F13152" s="512"/>
      <c r="G13152" s="231" t="s">
        <v>1245</v>
      </c>
      <c r="H13152" s="232"/>
      <c r="I13152" s="232" t="s">
        <v>1253</v>
      </c>
      <c r="J13152" s="228" t="s">
        <v>72</v>
      </c>
      <c r="K13152" s="233"/>
      <c r="L13152" s="233">
        <f>K13151</f>
        <v>5354</v>
      </c>
    </row>
    <row r="13153" spans="1:15" ht="11.25" customHeight="1" x14ac:dyDescent="0.2">
      <c r="A13153" s="222">
        <v>2026</v>
      </c>
      <c r="B13153" s="222">
        <v>2</v>
      </c>
      <c r="C13153" s="222">
        <v>2</v>
      </c>
      <c r="D13153" s="223">
        <f t="shared" si="1944"/>
        <v>46055</v>
      </c>
      <c r="E13153" s="240">
        <f t="shared" si="1953"/>
        <v>46055</v>
      </c>
      <c r="F13153" s="511" t="s">
        <v>1246</v>
      </c>
      <c r="G13153" s="225" t="s">
        <v>1245</v>
      </c>
      <c r="H13153" s="226"/>
      <c r="I13153" s="226" t="s">
        <v>1253</v>
      </c>
      <c r="J13153" s="222" t="s">
        <v>75</v>
      </c>
      <c r="K13153" s="227">
        <v>517.58912087912086</v>
      </c>
      <c r="L13153" s="227"/>
      <c r="M13153" s="455"/>
    </row>
    <row r="13154" spans="1:15" ht="11.25" customHeight="1" x14ac:dyDescent="0.2">
      <c r="A13154" s="228">
        <v>2026</v>
      </c>
      <c r="B13154" s="228">
        <v>2</v>
      </c>
      <c r="C13154" s="228">
        <v>2</v>
      </c>
      <c r="D13154" s="229">
        <f t="shared" si="1944"/>
        <v>46055</v>
      </c>
      <c r="E13154" s="241">
        <f t="shared" si="1953"/>
        <v>46055</v>
      </c>
      <c r="F13154" s="512"/>
      <c r="G13154" s="231" t="s">
        <v>1245</v>
      </c>
      <c r="H13154" s="232"/>
      <c r="I13154" s="232" t="s">
        <v>1253</v>
      </c>
      <c r="J13154" s="228" t="s">
        <v>55</v>
      </c>
      <c r="K13154" s="233"/>
      <c r="L13154" s="233">
        <f>K13153</f>
        <v>517.58912087912086</v>
      </c>
    </row>
    <row r="13155" spans="1:15" ht="11.25" customHeight="1" x14ac:dyDescent="0.2">
      <c r="A13155" s="222">
        <v>2026</v>
      </c>
      <c r="B13155" s="222">
        <v>2</v>
      </c>
      <c r="C13155" s="222">
        <v>2</v>
      </c>
      <c r="D13155" s="223">
        <f t="shared" si="1944"/>
        <v>46055</v>
      </c>
      <c r="E13155" s="240">
        <f t="shared" si="1953"/>
        <v>46055</v>
      </c>
      <c r="F13155" s="511" t="s">
        <v>1247</v>
      </c>
      <c r="G13155" s="225" t="s">
        <v>1245</v>
      </c>
      <c r="H13155" s="226"/>
      <c r="I13155" s="226" t="s">
        <v>1253</v>
      </c>
      <c r="J13155" s="222" t="s">
        <v>77</v>
      </c>
      <c r="K13155" s="227">
        <v>7498.2772335583286</v>
      </c>
      <c r="L13155" s="227"/>
      <c r="M13155" s="478"/>
    </row>
    <row r="13156" spans="1:15" ht="11.25" customHeight="1" x14ac:dyDescent="0.2">
      <c r="A13156" s="228">
        <v>2026</v>
      </c>
      <c r="B13156" s="228">
        <v>2</v>
      </c>
      <c r="C13156" s="228">
        <v>2</v>
      </c>
      <c r="D13156" s="229">
        <f t="shared" si="1944"/>
        <v>46055</v>
      </c>
      <c r="E13156" s="241">
        <f t="shared" si="1953"/>
        <v>46055</v>
      </c>
      <c r="F13156" s="512"/>
      <c r="G13156" s="231" t="s">
        <v>1245</v>
      </c>
      <c r="H13156" s="232"/>
      <c r="I13156" s="232" t="s">
        <v>1253</v>
      </c>
      <c r="J13156" s="228" t="s">
        <v>41</v>
      </c>
      <c r="K13156" s="233"/>
      <c r="L13156" s="233">
        <f>K13155</f>
        <v>7498.2772335583286</v>
      </c>
      <c r="M13156" s="478"/>
      <c r="N13156" s="251"/>
    </row>
    <row r="13157" spans="1:15" ht="11.25" customHeight="1" x14ac:dyDescent="0.2">
      <c r="A13157" s="222">
        <v>2026</v>
      </c>
      <c r="B13157" s="222">
        <v>2</v>
      </c>
      <c r="C13157" s="222">
        <v>2</v>
      </c>
      <c r="D13157" s="223">
        <f t="shared" si="1944"/>
        <v>46055</v>
      </c>
      <c r="E13157" s="240">
        <f t="shared" si="1953"/>
        <v>46055</v>
      </c>
      <c r="F13157" s="511" t="s">
        <v>1248</v>
      </c>
      <c r="G13157" s="225" t="s">
        <v>1245</v>
      </c>
      <c r="H13157" s="226"/>
      <c r="I13157" s="226" t="s">
        <v>1253</v>
      </c>
      <c r="J13157" s="222" t="s">
        <v>80</v>
      </c>
      <c r="K13157" s="227">
        <v>749.82772335583286</v>
      </c>
      <c r="L13157" s="227"/>
      <c r="N13157" s="251"/>
      <c r="O13157" s="251"/>
    </row>
    <row r="13158" spans="1:15" ht="11.25" customHeight="1" x14ac:dyDescent="0.2">
      <c r="A13158" s="228">
        <v>2026</v>
      </c>
      <c r="B13158" s="228">
        <v>2</v>
      </c>
      <c r="C13158" s="228">
        <v>2</v>
      </c>
      <c r="D13158" s="229">
        <f t="shared" si="1944"/>
        <v>46055</v>
      </c>
      <c r="E13158" s="241">
        <f t="shared" si="1953"/>
        <v>46055</v>
      </c>
      <c r="F13158" s="512"/>
      <c r="G13158" s="231" t="s">
        <v>1245</v>
      </c>
      <c r="H13158" s="232"/>
      <c r="I13158" s="232" t="s">
        <v>1253</v>
      </c>
      <c r="J13158" s="228" t="s">
        <v>42</v>
      </c>
      <c r="K13158" s="233"/>
      <c r="L13158" s="233">
        <f>K13157</f>
        <v>749.82772335583286</v>
      </c>
      <c r="N13158" s="251"/>
    </row>
    <row r="13159" spans="1:15" x14ac:dyDescent="0.2">
      <c r="A13159" s="424">
        <v>2026</v>
      </c>
      <c r="B13159" s="424">
        <v>2</v>
      </c>
      <c r="C13159" s="424">
        <v>3</v>
      </c>
      <c r="D13159" s="425">
        <f t="shared" ref="D13159:D13197" si="1954">DATE(A13159,B13159,C13159)</f>
        <v>46056</v>
      </c>
      <c r="E13159" s="384">
        <f t="shared" si="1953"/>
        <v>46056</v>
      </c>
      <c r="F13159" s="516" t="s">
        <v>1850</v>
      </c>
      <c r="G13159" s="426" t="s">
        <v>1209</v>
      </c>
      <c r="H13159" s="427"/>
      <c r="I13159" s="427"/>
      <c r="J13159" s="428" t="s">
        <v>81</v>
      </c>
      <c r="K13159" s="429">
        <v>1595.8173626373627</v>
      </c>
      <c r="L13159" s="429"/>
      <c r="M13159" s="455"/>
    </row>
    <row r="13160" spans="1:15" x14ac:dyDescent="0.2">
      <c r="A13160" s="389">
        <v>2026</v>
      </c>
      <c r="B13160" s="389">
        <v>2</v>
      </c>
      <c r="C13160" s="389">
        <v>3</v>
      </c>
      <c r="D13160" s="390">
        <f t="shared" si="1954"/>
        <v>46056</v>
      </c>
      <c r="E13160" s="391">
        <f t="shared" si="1953"/>
        <v>46056</v>
      </c>
      <c r="F13160" s="517"/>
      <c r="G13160" s="392" t="s">
        <v>1209</v>
      </c>
      <c r="H13160" s="393"/>
      <c r="I13160" s="393"/>
      <c r="J13160" s="394" t="s">
        <v>1847</v>
      </c>
      <c r="K13160" s="423"/>
      <c r="L13160" s="423">
        <f>K13159</f>
        <v>1595.8173626373627</v>
      </c>
    </row>
    <row r="13161" spans="1:15" ht="11.25" customHeight="1" x14ac:dyDescent="0.2">
      <c r="A13161" s="382">
        <v>2026</v>
      </c>
      <c r="B13161" s="382">
        <v>2</v>
      </c>
      <c r="C13161" s="382">
        <v>3</v>
      </c>
      <c r="D13161" s="383">
        <f t="shared" si="1954"/>
        <v>46056</v>
      </c>
      <c r="E13161" s="384">
        <f t="shared" si="1953"/>
        <v>46056</v>
      </c>
      <c r="F13161" s="516" t="s">
        <v>1892</v>
      </c>
      <c r="G13161" s="385" t="s">
        <v>1209</v>
      </c>
      <c r="H13161" s="386"/>
      <c r="I13161" s="386"/>
      <c r="J13161" s="387" t="s">
        <v>173</v>
      </c>
      <c r="K13161" s="388">
        <v>592.1773635930557</v>
      </c>
      <c r="L13161" s="388"/>
      <c r="M13161" s="455"/>
    </row>
    <row r="13162" spans="1:15" ht="11.25" customHeight="1" x14ac:dyDescent="0.2">
      <c r="A13162" s="389">
        <v>2026</v>
      </c>
      <c r="B13162" s="389">
        <v>2</v>
      </c>
      <c r="C13162" s="389">
        <v>3</v>
      </c>
      <c r="D13162" s="390">
        <f t="shared" si="1954"/>
        <v>46056</v>
      </c>
      <c r="E13162" s="391">
        <f t="shared" si="1953"/>
        <v>46056</v>
      </c>
      <c r="F13162" s="517"/>
      <c r="G13162" s="392" t="s">
        <v>1209</v>
      </c>
      <c r="H13162" s="393"/>
      <c r="I13162" s="393"/>
      <c r="J13162" s="394" t="s">
        <v>43</v>
      </c>
      <c r="K13162" s="388"/>
      <c r="L13162" s="423">
        <f>K13161</f>
        <v>592.1773635930557</v>
      </c>
    </row>
    <row r="13163" spans="1:15" ht="11.25" customHeight="1" x14ac:dyDescent="0.2">
      <c r="A13163" s="344">
        <v>2026</v>
      </c>
      <c r="B13163" s="344">
        <v>2</v>
      </c>
      <c r="C13163" s="344">
        <v>3</v>
      </c>
      <c r="D13163" s="345">
        <f t="shared" si="1954"/>
        <v>46056</v>
      </c>
      <c r="E13163" s="346">
        <f t="shared" si="1953"/>
        <v>46056</v>
      </c>
      <c r="F13163" s="518" t="s">
        <v>1982</v>
      </c>
      <c r="G13163" s="347" t="s">
        <v>1245</v>
      </c>
      <c r="H13163" s="348"/>
      <c r="I13163" s="348" t="s">
        <v>1253</v>
      </c>
      <c r="J13163" s="344" t="s">
        <v>1978</v>
      </c>
      <c r="K13163" s="349">
        <v>21249.725274725275</v>
      </c>
      <c r="L13163" s="349"/>
      <c r="M13163" s="455"/>
    </row>
    <row r="13164" spans="1:15" ht="11.25" customHeight="1" x14ac:dyDescent="0.2">
      <c r="A13164" s="350">
        <v>2026</v>
      </c>
      <c r="B13164" s="350">
        <v>2</v>
      </c>
      <c r="C13164" s="350">
        <v>3</v>
      </c>
      <c r="D13164" s="351">
        <f t="shared" si="1954"/>
        <v>46056</v>
      </c>
      <c r="E13164" s="352">
        <f t="shared" si="1953"/>
        <v>46056</v>
      </c>
      <c r="F13164" s="519"/>
      <c r="G13164" s="353" t="s">
        <v>1245</v>
      </c>
      <c r="H13164" s="354"/>
      <c r="I13164" s="354" t="s">
        <v>1253</v>
      </c>
      <c r="J13164" s="350" t="s">
        <v>1979</v>
      </c>
      <c r="K13164" s="355"/>
      <c r="L13164" s="355">
        <f>K13163</f>
        <v>21249.725274725275</v>
      </c>
    </row>
    <row r="13165" spans="1:15" ht="11.25" customHeight="1" x14ac:dyDescent="0.2">
      <c r="A13165" s="344">
        <v>2026</v>
      </c>
      <c r="B13165" s="344">
        <v>2</v>
      </c>
      <c r="C13165" s="344">
        <v>3</v>
      </c>
      <c r="D13165" s="345">
        <f t="shared" si="1954"/>
        <v>46056</v>
      </c>
      <c r="E13165" s="346">
        <f t="shared" si="1953"/>
        <v>46056</v>
      </c>
      <c r="F13165" s="518" t="s">
        <v>2009</v>
      </c>
      <c r="G13165" s="347" t="s">
        <v>1245</v>
      </c>
      <c r="H13165" s="348"/>
      <c r="I13165" s="348" t="s">
        <v>1253</v>
      </c>
      <c r="J13165" s="344" t="s">
        <v>2004</v>
      </c>
      <c r="K13165" s="349">
        <v>7098.9014285714284</v>
      </c>
      <c r="L13165" s="349"/>
      <c r="M13165" s="455"/>
    </row>
    <row r="13166" spans="1:15" ht="11.25" customHeight="1" x14ac:dyDescent="0.2">
      <c r="A13166" s="350">
        <v>2026</v>
      </c>
      <c r="B13166" s="350">
        <v>2</v>
      </c>
      <c r="C13166" s="350">
        <v>3</v>
      </c>
      <c r="D13166" s="351">
        <f t="shared" si="1954"/>
        <v>46056</v>
      </c>
      <c r="E13166" s="352">
        <f t="shared" si="1953"/>
        <v>46056</v>
      </c>
      <c r="F13166" s="519"/>
      <c r="G13166" s="353" t="s">
        <v>1245</v>
      </c>
      <c r="H13166" s="354"/>
      <c r="I13166" s="354" t="s">
        <v>1253</v>
      </c>
      <c r="J13166" s="350" t="s">
        <v>2008</v>
      </c>
      <c r="K13166" s="355"/>
      <c r="L13166" s="355">
        <f t="shared" ref="L13166" si="1955">K13165</f>
        <v>7098.9014285714284</v>
      </c>
    </row>
    <row r="13167" spans="1:15" ht="11.25" customHeight="1" x14ac:dyDescent="0.2">
      <c r="A13167" s="344">
        <v>2026</v>
      </c>
      <c r="B13167" s="344">
        <v>2</v>
      </c>
      <c r="C13167" s="344">
        <v>3</v>
      </c>
      <c r="D13167" s="345">
        <f t="shared" si="1954"/>
        <v>46056</v>
      </c>
      <c r="E13167" s="346">
        <f t="shared" si="1953"/>
        <v>46056</v>
      </c>
      <c r="F13167" s="518" t="s">
        <v>2009</v>
      </c>
      <c r="G13167" s="347" t="s">
        <v>1245</v>
      </c>
      <c r="H13167" s="348"/>
      <c r="I13167" s="348" t="s">
        <v>1253</v>
      </c>
      <c r="J13167" s="344" t="s">
        <v>2004</v>
      </c>
      <c r="K13167" s="349">
        <v>7098.9014285714284</v>
      </c>
      <c r="L13167" s="349"/>
      <c r="M13167" s="455"/>
    </row>
    <row r="13168" spans="1:15" ht="11.25" customHeight="1" x14ac:dyDescent="0.2">
      <c r="A13168" s="350">
        <v>2026</v>
      </c>
      <c r="B13168" s="350">
        <v>2</v>
      </c>
      <c r="C13168" s="350">
        <v>3</v>
      </c>
      <c r="D13168" s="351">
        <f t="shared" si="1954"/>
        <v>46056</v>
      </c>
      <c r="E13168" s="352">
        <f t="shared" si="1953"/>
        <v>46056</v>
      </c>
      <c r="F13168" s="519"/>
      <c r="G13168" s="353" t="s">
        <v>1245</v>
      </c>
      <c r="H13168" s="354"/>
      <c r="I13168" s="354" t="s">
        <v>1253</v>
      </c>
      <c r="J13168" s="350" t="s">
        <v>2008</v>
      </c>
      <c r="K13168" s="355"/>
      <c r="L13168" s="355">
        <f t="shared" ref="L13168" si="1956">K13167</f>
        <v>7098.9014285714284</v>
      </c>
    </row>
    <row r="13169" spans="1:16" ht="11.25" customHeight="1" x14ac:dyDescent="0.2">
      <c r="A13169" s="344">
        <v>2026</v>
      </c>
      <c r="B13169" s="344">
        <v>2</v>
      </c>
      <c r="C13169" s="344">
        <v>3</v>
      </c>
      <c r="D13169" s="345">
        <f t="shared" si="1954"/>
        <v>46056</v>
      </c>
      <c r="E13169" s="346">
        <f t="shared" si="1953"/>
        <v>46056</v>
      </c>
      <c r="F13169" s="518" t="s">
        <v>2088</v>
      </c>
      <c r="G13169" s="347" t="s">
        <v>1245</v>
      </c>
      <c r="H13169" s="348"/>
      <c r="I13169" s="348" t="s">
        <v>1253</v>
      </c>
      <c r="J13169" s="344" t="s">
        <v>2086</v>
      </c>
      <c r="K13169" s="349">
        <v>1789.835164835165</v>
      </c>
      <c r="L13169" s="349"/>
      <c r="M13169" s="455"/>
    </row>
    <row r="13170" spans="1:16" ht="11.25" customHeight="1" x14ac:dyDescent="0.2">
      <c r="A13170" s="350">
        <v>2026</v>
      </c>
      <c r="B13170" s="350">
        <v>2</v>
      </c>
      <c r="C13170" s="350">
        <v>3</v>
      </c>
      <c r="D13170" s="351">
        <f t="shared" si="1954"/>
        <v>46056</v>
      </c>
      <c r="E13170" s="352">
        <f t="shared" si="1953"/>
        <v>46056</v>
      </c>
      <c r="F13170" s="519"/>
      <c r="G13170" s="353" t="s">
        <v>1245</v>
      </c>
      <c r="H13170" s="354"/>
      <c r="I13170" s="354" t="s">
        <v>1253</v>
      </c>
      <c r="J13170" s="350" t="s">
        <v>2089</v>
      </c>
      <c r="K13170" s="355"/>
      <c r="L13170" s="355">
        <f>K13169</f>
        <v>1789.835164835165</v>
      </c>
    </row>
    <row r="13171" spans="1:16" ht="11.25" customHeight="1" x14ac:dyDescent="0.2">
      <c r="A13171" s="344">
        <v>2026</v>
      </c>
      <c r="B13171" s="344">
        <v>2</v>
      </c>
      <c r="C13171" s="344">
        <v>3</v>
      </c>
      <c r="D13171" s="345">
        <f t="shared" si="1954"/>
        <v>46056</v>
      </c>
      <c r="E13171" s="346">
        <f>DATE(A13171,B13171,C13171)</f>
        <v>46056</v>
      </c>
      <c r="F13171" s="518" t="s">
        <v>1988</v>
      </c>
      <c r="G13171" s="347" t="s">
        <v>1245</v>
      </c>
      <c r="H13171" s="348"/>
      <c r="I13171" s="348" t="s">
        <v>1253</v>
      </c>
      <c r="J13171" s="344" t="s">
        <v>113</v>
      </c>
      <c r="K13171" s="349">
        <v>4692.3071428571429</v>
      </c>
      <c r="L13171" s="349"/>
      <c r="M13171" s="455"/>
    </row>
    <row r="13172" spans="1:16" ht="11.25" customHeight="1" x14ac:dyDescent="0.2">
      <c r="A13172" s="350">
        <v>2026</v>
      </c>
      <c r="B13172" s="350">
        <v>2</v>
      </c>
      <c r="C13172" s="350">
        <v>3</v>
      </c>
      <c r="D13172" s="351">
        <f t="shared" si="1954"/>
        <v>46056</v>
      </c>
      <c r="E13172" s="352">
        <f>DATE(A13172,B13172,C13172)</f>
        <v>46056</v>
      </c>
      <c r="F13172" s="519"/>
      <c r="G13172" s="353" t="s">
        <v>1245</v>
      </c>
      <c r="H13172" s="354"/>
      <c r="I13172" s="354" t="s">
        <v>1253</v>
      </c>
      <c r="J13172" s="350" t="s">
        <v>153</v>
      </c>
      <c r="K13172" s="355"/>
      <c r="L13172" s="355">
        <f t="shared" ref="L13172" si="1957">K13171</f>
        <v>4692.3071428571429</v>
      </c>
    </row>
    <row r="13173" spans="1:16" ht="11.25" customHeight="1" x14ac:dyDescent="0.2">
      <c r="A13173" s="344">
        <v>2026</v>
      </c>
      <c r="B13173" s="344">
        <v>2</v>
      </c>
      <c r="C13173" s="344">
        <v>3</v>
      </c>
      <c r="D13173" s="345">
        <f t="shared" si="1954"/>
        <v>46056</v>
      </c>
      <c r="E13173" s="346">
        <f t="shared" ref="E13173:E13179" si="1958">DATE(A13173,B13173,C13173)</f>
        <v>46056</v>
      </c>
      <c r="F13173" s="518" t="s">
        <v>1989</v>
      </c>
      <c r="G13173" s="347" t="s">
        <v>1245</v>
      </c>
      <c r="H13173" s="348"/>
      <c r="I13173" s="348" t="s">
        <v>1253</v>
      </c>
      <c r="J13173" s="344" t="s">
        <v>113</v>
      </c>
      <c r="K13173" s="349">
        <v>3351.6483516483518</v>
      </c>
      <c r="L13173" s="349"/>
      <c r="M13173" s="455"/>
    </row>
    <row r="13174" spans="1:16" ht="11.25" customHeight="1" x14ac:dyDescent="0.2">
      <c r="A13174" s="350">
        <v>2026</v>
      </c>
      <c r="B13174" s="350">
        <v>2</v>
      </c>
      <c r="C13174" s="350">
        <v>3</v>
      </c>
      <c r="D13174" s="351">
        <f t="shared" si="1954"/>
        <v>46056</v>
      </c>
      <c r="E13174" s="352">
        <f t="shared" si="1958"/>
        <v>46056</v>
      </c>
      <c r="F13174" s="519"/>
      <c r="G13174" s="353" t="s">
        <v>1245</v>
      </c>
      <c r="H13174" s="354"/>
      <c r="I13174" s="354" t="s">
        <v>1253</v>
      </c>
      <c r="J13174" s="350" t="s">
        <v>153</v>
      </c>
      <c r="K13174" s="355"/>
      <c r="L13174" s="355">
        <f t="shared" ref="L13174" si="1959">K13173</f>
        <v>3351.6483516483518</v>
      </c>
    </row>
    <row r="13175" spans="1:16" ht="11.25" customHeight="1" x14ac:dyDescent="0.2">
      <c r="A13175" s="344">
        <v>2026</v>
      </c>
      <c r="B13175" s="344">
        <v>2</v>
      </c>
      <c r="C13175" s="344">
        <v>3</v>
      </c>
      <c r="D13175" s="345">
        <f t="shared" si="1954"/>
        <v>46056</v>
      </c>
      <c r="E13175" s="346">
        <f t="shared" si="1958"/>
        <v>46056</v>
      </c>
      <c r="F13175" s="518" t="s">
        <v>1990</v>
      </c>
      <c r="G13175" s="347" t="s">
        <v>1245</v>
      </c>
      <c r="H13175" s="348"/>
      <c r="I13175" s="348" t="s">
        <v>1253</v>
      </c>
      <c r="J13175" s="344" t="s">
        <v>113</v>
      </c>
      <c r="K13175" s="349">
        <v>10054.945714285714</v>
      </c>
      <c r="L13175" s="349"/>
      <c r="M13175" s="455"/>
      <c r="N13175" s="251"/>
      <c r="O13175" s="251"/>
      <c r="P13175" s="251"/>
    </row>
    <row r="13176" spans="1:16" ht="11.25" customHeight="1" x14ac:dyDescent="0.2">
      <c r="A13176" s="350">
        <v>2026</v>
      </c>
      <c r="B13176" s="350">
        <v>2</v>
      </c>
      <c r="C13176" s="350">
        <v>3</v>
      </c>
      <c r="D13176" s="351">
        <f t="shared" si="1954"/>
        <v>46056</v>
      </c>
      <c r="E13176" s="352">
        <f t="shared" si="1958"/>
        <v>46056</v>
      </c>
      <c r="F13176" s="519"/>
      <c r="G13176" s="353" t="s">
        <v>1245</v>
      </c>
      <c r="H13176" s="354"/>
      <c r="I13176" s="354" t="s">
        <v>1253</v>
      </c>
      <c r="J13176" s="350" t="s">
        <v>153</v>
      </c>
      <c r="K13176" s="355"/>
      <c r="L13176" s="355">
        <f t="shared" ref="L13176" si="1960">K13175</f>
        <v>10054.945714285714</v>
      </c>
      <c r="M13176" s="455"/>
    </row>
    <row r="13177" spans="1:16" ht="11.25" customHeight="1" x14ac:dyDescent="0.2">
      <c r="A13177" s="344">
        <v>2026</v>
      </c>
      <c r="B13177" s="344">
        <v>2</v>
      </c>
      <c r="C13177" s="344">
        <v>3</v>
      </c>
      <c r="D13177" s="345">
        <f t="shared" si="1954"/>
        <v>46056</v>
      </c>
      <c r="E13177" s="346">
        <f t="shared" si="1958"/>
        <v>46056</v>
      </c>
      <c r="F13177" s="518" t="s">
        <v>2107</v>
      </c>
      <c r="G13177" s="347" t="s">
        <v>1245</v>
      </c>
      <c r="H13177" s="348"/>
      <c r="I13177" s="348" t="s">
        <v>1253</v>
      </c>
      <c r="J13177" s="344" t="s">
        <v>113</v>
      </c>
      <c r="K13177" s="349">
        <v>12370.879120879121</v>
      </c>
      <c r="L13177" s="349"/>
      <c r="M13177" s="455"/>
      <c r="N13177" s="251"/>
      <c r="O13177" s="251"/>
      <c r="P13177" s="251"/>
    </row>
    <row r="13178" spans="1:16" ht="11.25" customHeight="1" x14ac:dyDescent="0.2">
      <c r="A13178" s="350">
        <v>2026</v>
      </c>
      <c r="B13178" s="350">
        <v>2</v>
      </c>
      <c r="C13178" s="350">
        <v>3</v>
      </c>
      <c r="D13178" s="351">
        <f t="shared" si="1954"/>
        <v>46056</v>
      </c>
      <c r="E13178" s="352">
        <f t="shared" si="1958"/>
        <v>46056</v>
      </c>
      <c r="F13178" s="519"/>
      <c r="G13178" s="353" t="s">
        <v>1245</v>
      </c>
      <c r="H13178" s="354"/>
      <c r="I13178" s="354" t="s">
        <v>1253</v>
      </c>
      <c r="J13178" s="350" t="s">
        <v>153</v>
      </c>
      <c r="K13178" s="355"/>
      <c r="L13178" s="355">
        <f t="shared" ref="L13178" si="1961">K13177</f>
        <v>12370.879120879121</v>
      </c>
    </row>
    <row r="13179" spans="1:16" ht="11.25" customHeight="1" x14ac:dyDescent="0.2">
      <c r="A13179" s="210">
        <v>2026</v>
      </c>
      <c r="B13179" s="210">
        <v>2</v>
      </c>
      <c r="C13179" s="210">
        <v>3</v>
      </c>
      <c r="D13179" s="211">
        <f t="shared" si="1954"/>
        <v>46056</v>
      </c>
      <c r="E13179" s="238">
        <f t="shared" si="1958"/>
        <v>46056</v>
      </c>
      <c r="F13179" s="520" t="s">
        <v>1857</v>
      </c>
      <c r="G13179" s="213" t="s">
        <v>1245</v>
      </c>
      <c r="H13179" s="214"/>
      <c r="I13179" s="214" t="s">
        <v>1253</v>
      </c>
      <c r="J13179" s="210" t="s">
        <v>1284</v>
      </c>
      <c r="K13179" s="215">
        <v>334.54448777029421</v>
      </c>
      <c r="L13179" s="215"/>
      <c r="M13179" s="455"/>
    </row>
    <row r="13180" spans="1:16" ht="11.25" customHeight="1" x14ac:dyDescent="0.2">
      <c r="A13180" s="242">
        <v>2026</v>
      </c>
      <c r="B13180" s="242">
        <v>2</v>
      </c>
      <c r="C13180" s="242">
        <v>3</v>
      </c>
      <c r="D13180" s="243">
        <f t="shared" si="1954"/>
        <v>46056</v>
      </c>
      <c r="E13180" s="244">
        <f>DATE(A13180,B13180,C13180)</f>
        <v>46056</v>
      </c>
      <c r="F13180" s="524"/>
      <c r="G13180" s="245" t="s">
        <v>1245</v>
      </c>
      <c r="H13180" s="246"/>
      <c r="I13180" s="246"/>
      <c r="J13180" s="242" t="s">
        <v>1582</v>
      </c>
      <c r="K13180" s="247"/>
      <c r="L13180" s="247">
        <f>K13179</f>
        <v>334.54448777029421</v>
      </c>
    </row>
    <row r="13181" spans="1:16" ht="11.25" customHeight="1" x14ac:dyDescent="0.2">
      <c r="A13181" s="210">
        <v>2026</v>
      </c>
      <c r="B13181" s="210">
        <v>2</v>
      </c>
      <c r="C13181" s="210">
        <v>3</v>
      </c>
      <c r="D13181" s="211">
        <f t="shared" si="1954"/>
        <v>46056</v>
      </c>
      <c r="E13181" s="238">
        <f t="shared" ref="E13181:E13195" si="1962">DATE(A13181,B13181,C13181)</f>
        <v>46056</v>
      </c>
      <c r="F13181" s="520" t="s">
        <v>2055</v>
      </c>
      <c r="G13181" s="213" t="s">
        <v>1245</v>
      </c>
      <c r="H13181" s="214"/>
      <c r="I13181" s="214" t="s">
        <v>1253</v>
      </c>
      <c r="J13181" s="210" t="s">
        <v>58</v>
      </c>
      <c r="K13181" s="215">
        <v>1371.1497574999999</v>
      </c>
      <c r="L13181" s="215"/>
    </row>
    <row r="13182" spans="1:16" ht="11.25" customHeight="1" x14ac:dyDescent="0.2">
      <c r="A13182" s="216">
        <v>2026</v>
      </c>
      <c r="B13182" s="216">
        <v>2</v>
      </c>
      <c r="C13182" s="216">
        <v>3</v>
      </c>
      <c r="D13182" s="217">
        <f t="shared" si="1954"/>
        <v>46056</v>
      </c>
      <c r="E13182" s="239">
        <f t="shared" si="1962"/>
        <v>46056</v>
      </c>
      <c r="F13182" s="521"/>
      <c r="G13182" s="219" t="s">
        <v>1245</v>
      </c>
      <c r="H13182" s="220"/>
      <c r="I13182" s="220" t="s">
        <v>1253</v>
      </c>
      <c r="J13182" s="216" t="s">
        <v>153</v>
      </c>
      <c r="K13182" s="221"/>
      <c r="L13182" s="221">
        <f>K13181</f>
        <v>1371.1497574999999</v>
      </c>
    </row>
    <row r="13183" spans="1:16" ht="11.25" customHeight="1" x14ac:dyDescent="0.2">
      <c r="A13183" s="312">
        <v>2026</v>
      </c>
      <c r="B13183" s="312">
        <v>2</v>
      </c>
      <c r="C13183" s="312">
        <v>3</v>
      </c>
      <c r="D13183" s="313">
        <f t="shared" si="1954"/>
        <v>46056</v>
      </c>
      <c r="E13183" s="314">
        <f t="shared" si="1962"/>
        <v>46056</v>
      </c>
      <c r="F13183" s="522" t="s">
        <v>1595</v>
      </c>
      <c r="G13183" s="315" t="s">
        <v>1245</v>
      </c>
      <c r="H13183" s="316"/>
      <c r="I13183" s="316" t="s">
        <v>1253</v>
      </c>
      <c r="J13183" s="312" t="s">
        <v>1461</v>
      </c>
      <c r="K13183" s="317">
        <v>98504.784999966621</v>
      </c>
      <c r="L13183" s="317"/>
      <c r="M13183" s="328"/>
    </row>
    <row r="13184" spans="1:16" ht="11.25" customHeight="1" x14ac:dyDescent="0.2">
      <c r="A13184" s="318">
        <v>2026</v>
      </c>
      <c r="B13184" s="318">
        <v>2</v>
      </c>
      <c r="C13184" s="318">
        <v>3</v>
      </c>
      <c r="D13184" s="319">
        <f t="shared" si="1954"/>
        <v>46056</v>
      </c>
      <c r="E13184" s="320">
        <f t="shared" si="1962"/>
        <v>46056</v>
      </c>
      <c r="F13184" s="523"/>
      <c r="G13184" s="321" t="s">
        <v>1245</v>
      </c>
      <c r="H13184" s="322"/>
      <c r="I13184" s="322" t="s">
        <v>1253</v>
      </c>
      <c r="J13184" s="318" t="s">
        <v>1459</v>
      </c>
      <c r="K13184" s="323"/>
      <c r="L13184" s="323">
        <f>K13183</f>
        <v>98504.784999966621</v>
      </c>
      <c r="M13184" s="328"/>
    </row>
    <row r="13185" spans="1:15" ht="11.25" customHeight="1" x14ac:dyDescent="0.2">
      <c r="A13185" s="222">
        <v>2026</v>
      </c>
      <c r="B13185" s="222">
        <v>2</v>
      </c>
      <c r="C13185" s="222">
        <v>3</v>
      </c>
      <c r="D13185" s="223">
        <f t="shared" si="1954"/>
        <v>46056</v>
      </c>
      <c r="E13185" s="240">
        <f t="shared" si="1962"/>
        <v>46056</v>
      </c>
      <c r="F13185" s="511" t="s">
        <v>1244</v>
      </c>
      <c r="G13185" s="225" t="s">
        <v>1245</v>
      </c>
      <c r="H13185" s="226"/>
      <c r="I13185" s="226" t="s">
        <v>1253</v>
      </c>
      <c r="J13185" s="222" t="s">
        <v>87</v>
      </c>
      <c r="K13185" s="227">
        <v>73.5</v>
      </c>
      <c r="L13185" s="227"/>
      <c r="M13185" s="328"/>
    </row>
    <row r="13186" spans="1:15" ht="11.25" customHeight="1" x14ac:dyDescent="0.2">
      <c r="A13186" s="228">
        <v>2026</v>
      </c>
      <c r="B13186" s="228">
        <v>2</v>
      </c>
      <c r="C13186" s="228">
        <v>3</v>
      </c>
      <c r="D13186" s="229">
        <f t="shared" si="1954"/>
        <v>46056</v>
      </c>
      <c r="E13186" s="241">
        <f t="shared" si="1962"/>
        <v>46056</v>
      </c>
      <c r="F13186" s="512"/>
      <c r="G13186" s="231" t="s">
        <v>1245</v>
      </c>
      <c r="H13186" s="232"/>
      <c r="I13186" s="232" t="s">
        <v>1253</v>
      </c>
      <c r="J13186" s="228" t="s">
        <v>72</v>
      </c>
      <c r="K13186" s="233"/>
      <c r="L13186" s="233">
        <f>K13185</f>
        <v>73.5</v>
      </c>
    </row>
    <row r="13187" spans="1:15" ht="11.25" customHeight="1" x14ac:dyDescent="0.2">
      <c r="A13187" s="222">
        <v>2026</v>
      </c>
      <c r="B13187" s="222">
        <v>2</v>
      </c>
      <c r="C13187" s="222">
        <v>3</v>
      </c>
      <c r="D13187" s="223">
        <f t="shared" si="1954"/>
        <v>46056</v>
      </c>
      <c r="E13187" s="240">
        <f t="shared" si="1962"/>
        <v>46056</v>
      </c>
      <c r="F13187" s="511" t="s">
        <v>1246</v>
      </c>
      <c r="G13187" s="225" t="s">
        <v>1245</v>
      </c>
      <c r="H13187" s="226"/>
      <c r="I13187" s="226" t="s">
        <v>1253</v>
      </c>
      <c r="J13187" s="222" t="s">
        <v>75</v>
      </c>
      <c r="K13187" s="227">
        <v>517.58912087912086</v>
      </c>
      <c r="L13187" s="227"/>
      <c r="M13187" s="455"/>
    </row>
    <row r="13188" spans="1:15" ht="11.25" customHeight="1" x14ac:dyDescent="0.2">
      <c r="A13188" s="228">
        <v>2026</v>
      </c>
      <c r="B13188" s="228">
        <v>2</v>
      </c>
      <c r="C13188" s="228">
        <v>3</v>
      </c>
      <c r="D13188" s="229">
        <f t="shared" si="1954"/>
        <v>46056</v>
      </c>
      <c r="E13188" s="241">
        <f t="shared" si="1962"/>
        <v>46056</v>
      </c>
      <c r="F13188" s="512"/>
      <c r="G13188" s="231" t="s">
        <v>1245</v>
      </c>
      <c r="H13188" s="232"/>
      <c r="I13188" s="232" t="s">
        <v>1253</v>
      </c>
      <c r="J13188" s="228" t="s">
        <v>55</v>
      </c>
      <c r="K13188" s="233"/>
      <c r="L13188" s="233">
        <f>K13187</f>
        <v>517.58912087912086</v>
      </c>
    </row>
    <row r="13189" spans="1:15" ht="11.25" customHeight="1" x14ac:dyDescent="0.2">
      <c r="A13189" s="222">
        <v>2026</v>
      </c>
      <c r="B13189" s="222">
        <v>2</v>
      </c>
      <c r="C13189" s="222">
        <v>3</v>
      </c>
      <c r="D13189" s="223">
        <f t="shared" si="1954"/>
        <v>46056</v>
      </c>
      <c r="E13189" s="240">
        <f t="shared" si="1962"/>
        <v>46056</v>
      </c>
      <c r="F13189" s="511" t="s">
        <v>1247</v>
      </c>
      <c r="G13189" s="225" t="s">
        <v>1245</v>
      </c>
      <c r="H13189" s="226"/>
      <c r="I13189" s="226" t="s">
        <v>1253</v>
      </c>
      <c r="J13189" s="222" t="s">
        <v>77</v>
      </c>
      <c r="K13189" s="227">
        <v>7500.2589766238025</v>
      </c>
      <c r="L13189" s="227"/>
      <c r="M13189" s="478"/>
    </row>
    <row r="13190" spans="1:15" ht="11.25" customHeight="1" x14ac:dyDescent="0.2">
      <c r="A13190" s="228">
        <v>2026</v>
      </c>
      <c r="B13190" s="228">
        <v>2</v>
      </c>
      <c r="C13190" s="228">
        <v>3</v>
      </c>
      <c r="D13190" s="229">
        <f t="shared" si="1954"/>
        <v>46056</v>
      </c>
      <c r="E13190" s="241">
        <f t="shared" si="1962"/>
        <v>46056</v>
      </c>
      <c r="F13190" s="512"/>
      <c r="G13190" s="231" t="s">
        <v>1245</v>
      </c>
      <c r="H13190" s="232"/>
      <c r="I13190" s="232" t="s">
        <v>1253</v>
      </c>
      <c r="J13190" s="228" t="s">
        <v>41</v>
      </c>
      <c r="K13190" s="233"/>
      <c r="L13190" s="233">
        <f>K13189</f>
        <v>7500.2589766238025</v>
      </c>
      <c r="M13190" s="478"/>
      <c r="N13190" s="251"/>
    </row>
    <row r="13191" spans="1:15" ht="11.25" customHeight="1" x14ac:dyDescent="0.2">
      <c r="A13191" s="222">
        <v>2026</v>
      </c>
      <c r="B13191" s="222">
        <v>2</v>
      </c>
      <c r="C13191" s="222">
        <v>3</v>
      </c>
      <c r="D13191" s="223">
        <f t="shared" si="1954"/>
        <v>46056</v>
      </c>
      <c r="E13191" s="240">
        <f t="shared" si="1962"/>
        <v>46056</v>
      </c>
      <c r="F13191" s="511" t="s">
        <v>1248</v>
      </c>
      <c r="G13191" s="225" t="s">
        <v>1245</v>
      </c>
      <c r="H13191" s="226"/>
      <c r="I13191" s="226" t="s">
        <v>1253</v>
      </c>
      <c r="J13191" s="222" t="s">
        <v>80</v>
      </c>
      <c r="K13191" s="227">
        <v>750.02589766238032</v>
      </c>
      <c r="L13191" s="227"/>
      <c r="N13191" s="251"/>
      <c r="O13191" s="251"/>
    </row>
    <row r="13192" spans="1:15" ht="11.25" customHeight="1" x14ac:dyDescent="0.2">
      <c r="A13192" s="228">
        <v>2026</v>
      </c>
      <c r="B13192" s="228">
        <v>2</v>
      </c>
      <c r="C13192" s="228">
        <v>3</v>
      </c>
      <c r="D13192" s="229">
        <f t="shared" si="1954"/>
        <v>46056</v>
      </c>
      <c r="E13192" s="241">
        <f t="shared" si="1962"/>
        <v>46056</v>
      </c>
      <c r="F13192" s="512"/>
      <c r="G13192" s="231" t="s">
        <v>1245</v>
      </c>
      <c r="H13192" s="232"/>
      <c r="I13192" s="232" t="s">
        <v>1253</v>
      </c>
      <c r="J13192" s="228" t="s">
        <v>42</v>
      </c>
      <c r="K13192" s="233"/>
      <c r="L13192" s="233">
        <f>K13191</f>
        <v>750.02589766238032</v>
      </c>
      <c r="N13192" s="251"/>
    </row>
    <row r="13193" spans="1:15" x14ac:dyDescent="0.2">
      <c r="A13193" s="197">
        <v>2026</v>
      </c>
      <c r="B13193" s="197">
        <v>2</v>
      </c>
      <c r="C13193" s="197">
        <v>5</v>
      </c>
      <c r="D13193" s="198">
        <f t="shared" si="1954"/>
        <v>46058</v>
      </c>
      <c r="E13193" s="209">
        <f t="shared" si="1962"/>
        <v>46058</v>
      </c>
      <c r="F13193" s="513" t="s">
        <v>1280</v>
      </c>
      <c r="G13193" s="200" t="s">
        <v>1209</v>
      </c>
      <c r="H13193" s="201"/>
      <c r="I13193" s="201"/>
      <c r="J13193" s="197" t="s">
        <v>16</v>
      </c>
      <c r="K13193" s="202">
        <v>336630</v>
      </c>
      <c r="L13193" s="202"/>
    </row>
    <row r="13194" spans="1:15" x14ac:dyDescent="0.2">
      <c r="A13194" s="120">
        <v>2026</v>
      </c>
      <c r="B13194" s="120">
        <v>2</v>
      </c>
      <c r="C13194" s="120">
        <v>5</v>
      </c>
      <c r="D13194" s="208">
        <f t="shared" si="1954"/>
        <v>46058</v>
      </c>
      <c r="E13194" s="209">
        <f t="shared" si="1962"/>
        <v>46058</v>
      </c>
      <c r="F13194" s="515"/>
      <c r="G13194" s="132" t="s">
        <v>1209</v>
      </c>
      <c r="J13194" s="120" t="s">
        <v>47</v>
      </c>
      <c r="K13194" s="207">
        <v>133143.35999999999</v>
      </c>
      <c r="L13194" s="207"/>
    </row>
    <row r="13195" spans="1:15" x14ac:dyDescent="0.2">
      <c r="A13195" s="191">
        <v>2026</v>
      </c>
      <c r="B13195" s="191">
        <v>2</v>
      </c>
      <c r="C13195" s="191">
        <v>5</v>
      </c>
      <c r="D13195" s="192">
        <f t="shared" si="1954"/>
        <v>46058</v>
      </c>
      <c r="E13195" s="193">
        <f t="shared" si="1962"/>
        <v>46058</v>
      </c>
      <c r="F13195" s="514"/>
      <c r="G13195" s="194" t="s">
        <v>1209</v>
      </c>
      <c r="H13195" s="195"/>
      <c r="I13195" s="195"/>
      <c r="J13195" s="191" t="s">
        <v>46</v>
      </c>
      <c r="K13195" s="196"/>
      <c r="L13195" s="196">
        <v>469773.36</v>
      </c>
    </row>
    <row r="13196" spans="1:15" ht="11.25" customHeight="1" x14ac:dyDescent="0.2">
      <c r="A13196" s="197">
        <v>2026</v>
      </c>
      <c r="B13196" s="197">
        <v>2</v>
      </c>
      <c r="C13196" s="197">
        <v>5</v>
      </c>
      <c r="D13196" s="198">
        <f t="shared" si="1954"/>
        <v>46058</v>
      </c>
      <c r="E13196" s="290">
        <f>DATE(A13196,B13196,C13196)</f>
        <v>46058</v>
      </c>
      <c r="F13196" s="513" t="s">
        <v>1514</v>
      </c>
      <c r="G13196" s="200" t="s">
        <v>1209</v>
      </c>
      <c r="H13196" s="201"/>
      <c r="I13196" s="201"/>
      <c r="J13196" s="197" t="s">
        <v>54</v>
      </c>
      <c r="K13196" s="202">
        <v>58</v>
      </c>
      <c r="L13196" s="202"/>
      <c r="O13196" s="251"/>
    </row>
    <row r="13197" spans="1:15" ht="11.25" customHeight="1" x14ac:dyDescent="0.2">
      <c r="A13197" s="191">
        <v>2026</v>
      </c>
      <c r="B13197" s="191">
        <v>2</v>
      </c>
      <c r="C13197" s="191">
        <v>5</v>
      </c>
      <c r="D13197" s="192">
        <f t="shared" si="1954"/>
        <v>46058</v>
      </c>
      <c r="E13197" s="291">
        <f>DATE(A13197,B13197,C13197)</f>
        <v>46058</v>
      </c>
      <c r="F13197" s="514"/>
      <c r="G13197" s="194" t="s">
        <v>1209</v>
      </c>
      <c r="H13197" s="195"/>
      <c r="I13197" s="195"/>
      <c r="J13197" s="191" t="s">
        <v>46</v>
      </c>
      <c r="K13197" s="196"/>
      <c r="L13197" s="196">
        <f>K13196</f>
        <v>58</v>
      </c>
      <c r="O13197" s="251"/>
    </row>
    <row r="13198" spans="1:15" x14ac:dyDescent="0.2">
      <c r="A13198" s="424">
        <v>2026</v>
      </c>
      <c r="B13198" s="424">
        <v>2</v>
      </c>
      <c r="C13198" s="424">
        <v>5</v>
      </c>
      <c r="D13198" s="425">
        <f t="shared" ref="D13198:D13261" si="1963">DATE(A13198,B13198,C13198)</f>
        <v>46058</v>
      </c>
      <c r="E13198" s="384">
        <f t="shared" ref="E13198:E13209" si="1964">DATE(A13198,B13198,C13198)</f>
        <v>46058</v>
      </c>
      <c r="F13198" s="516" t="s">
        <v>1850</v>
      </c>
      <c r="G13198" s="426" t="s">
        <v>1209</v>
      </c>
      <c r="H13198" s="427"/>
      <c r="I13198" s="427"/>
      <c r="J13198" s="428" t="s">
        <v>81</v>
      </c>
      <c r="K13198" s="429">
        <v>3191.6347252747255</v>
      </c>
      <c r="L13198" s="429"/>
      <c r="M13198" s="455"/>
    </row>
    <row r="13199" spans="1:15" x14ac:dyDescent="0.2">
      <c r="A13199" s="389">
        <v>2026</v>
      </c>
      <c r="B13199" s="389">
        <v>2</v>
      </c>
      <c r="C13199" s="389">
        <v>5</v>
      </c>
      <c r="D13199" s="390">
        <f t="shared" si="1963"/>
        <v>46058</v>
      </c>
      <c r="E13199" s="391">
        <f t="shared" si="1964"/>
        <v>46058</v>
      </c>
      <c r="F13199" s="517"/>
      <c r="G13199" s="392" t="s">
        <v>1209</v>
      </c>
      <c r="H13199" s="393"/>
      <c r="I13199" s="393"/>
      <c r="J13199" s="394" t="s">
        <v>1847</v>
      </c>
      <c r="K13199" s="423"/>
      <c r="L13199" s="423">
        <f>K13198</f>
        <v>3191.6347252747255</v>
      </c>
    </row>
    <row r="13200" spans="1:15" ht="11.25" customHeight="1" x14ac:dyDescent="0.2">
      <c r="A13200" s="382">
        <v>2026</v>
      </c>
      <c r="B13200" s="382">
        <v>2</v>
      </c>
      <c r="C13200" s="382">
        <v>5</v>
      </c>
      <c r="D13200" s="383">
        <f t="shared" si="1963"/>
        <v>46058</v>
      </c>
      <c r="E13200" s="384">
        <f t="shared" si="1964"/>
        <v>46058</v>
      </c>
      <c r="F13200" s="516" t="s">
        <v>1892</v>
      </c>
      <c r="G13200" s="385" t="s">
        <v>1209</v>
      </c>
      <c r="H13200" s="386"/>
      <c r="I13200" s="386"/>
      <c r="J13200" s="387" t="s">
        <v>173</v>
      </c>
      <c r="K13200" s="388">
        <v>1185.17</v>
      </c>
      <c r="L13200" s="388"/>
      <c r="M13200" s="455"/>
    </row>
    <row r="13201" spans="1:16" ht="11.25" customHeight="1" x14ac:dyDescent="0.2">
      <c r="A13201" s="389">
        <v>2026</v>
      </c>
      <c r="B13201" s="389">
        <v>2</v>
      </c>
      <c r="C13201" s="389">
        <v>5</v>
      </c>
      <c r="D13201" s="390">
        <f t="shared" si="1963"/>
        <v>46058</v>
      </c>
      <c r="E13201" s="391">
        <f t="shared" si="1964"/>
        <v>46058</v>
      </c>
      <c r="F13201" s="517"/>
      <c r="G13201" s="392" t="s">
        <v>1209</v>
      </c>
      <c r="H13201" s="393"/>
      <c r="I13201" s="393"/>
      <c r="J13201" s="394" t="s">
        <v>43</v>
      </c>
      <c r="K13201" s="388"/>
      <c r="L13201" s="423">
        <f>K13200</f>
        <v>1185.17</v>
      </c>
    </row>
    <row r="13202" spans="1:16" ht="11.25" customHeight="1" x14ac:dyDescent="0.2">
      <c r="A13202" s="344">
        <v>2026</v>
      </c>
      <c r="B13202" s="344">
        <v>2</v>
      </c>
      <c r="C13202" s="344">
        <v>5</v>
      </c>
      <c r="D13202" s="345">
        <f t="shared" si="1963"/>
        <v>46058</v>
      </c>
      <c r="E13202" s="346">
        <f t="shared" si="1964"/>
        <v>46058</v>
      </c>
      <c r="F13202" s="518" t="s">
        <v>1982</v>
      </c>
      <c r="G13202" s="347" t="s">
        <v>1245</v>
      </c>
      <c r="H13202" s="348"/>
      <c r="I13202" s="348" t="s">
        <v>1253</v>
      </c>
      <c r="J13202" s="344" t="s">
        <v>1978</v>
      </c>
      <c r="K13202" s="349">
        <v>42499.45054945055</v>
      </c>
      <c r="L13202" s="349"/>
      <c r="M13202" s="455"/>
    </row>
    <row r="13203" spans="1:16" ht="11.25" customHeight="1" x14ac:dyDescent="0.2">
      <c r="A13203" s="350">
        <v>2026</v>
      </c>
      <c r="B13203" s="350">
        <v>2</v>
      </c>
      <c r="C13203" s="350">
        <v>5</v>
      </c>
      <c r="D13203" s="351">
        <f t="shared" si="1963"/>
        <v>46058</v>
      </c>
      <c r="E13203" s="352">
        <f t="shared" si="1964"/>
        <v>46058</v>
      </c>
      <c r="F13203" s="519"/>
      <c r="G13203" s="353" t="s">
        <v>1245</v>
      </c>
      <c r="H13203" s="354"/>
      <c r="I13203" s="354" t="s">
        <v>1253</v>
      </c>
      <c r="J13203" s="350" t="s">
        <v>1979</v>
      </c>
      <c r="K13203" s="355"/>
      <c r="L13203" s="355">
        <f>K13202</f>
        <v>42499.45054945055</v>
      </c>
    </row>
    <row r="13204" spans="1:16" ht="11.25" customHeight="1" x14ac:dyDescent="0.2">
      <c r="A13204" s="344">
        <v>2026</v>
      </c>
      <c r="B13204" s="344">
        <v>2</v>
      </c>
      <c r="C13204" s="344">
        <v>5</v>
      </c>
      <c r="D13204" s="345">
        <f t="shared" si="1963"/>
        <v>46058</v>
      </c>
      <c r="E13204" s="346">
        <f t="shared" si="1964"/>
        <v>46058</v>
      </c>
      <c r="F13204" s="518" t="s">
        <v>2009</v>
      </c>
      <c r="G13204" s="347" t="s">
        <v>1245</v>
      </c>
      <c r="H13204" s="348"/>
      <c r="I13204" s="348" t="s">
        <v>1253</v>
      </c>
      <c r="J13204" s="344" t="s">
        <v>2004</v>
      </c>
      <c r="K13204" s="349">
        <v>14197.802857142857</v>
      </c>
      <c r="L13204" s="349"/>
      <c r="M13204" s="455"/>
    </row>
    <row r="13205" spans="1:16" ht="11.25" customHeight="1" x14ac:dyDescent="0.2">
      <c r="A13205" s="350">
        <v>2026</v>
      </c>
      <c r="B13205" s="350">
        <v>2</v>
      </c>
      <c r="C13205" s="350">
        <v>5</v>
      </c>
      <c r="D13205" s="351">
        <f t="shared" si="1963"/>
        <v>46058</v>
      </c>
      <c r="E13205" s="352">
        <f t="shared" si="1964"/>
        <v>46058</v>
      </c>
      <c r="F13205" s="519"/>
      <c r="G13205" s="353" t="s">
        <v>1245</v>
      </c>
      <c r="H13205" s="354"/>
      <c r="I13205" s="354" t="s">
        <v>1253</v>
      </c>
      <c r="J13205" s="350" t="s">
        <v>2008</v>
      </c>
      <c r="K13205" s="355"/>
      <c r="L13205" s="355">
        <f t="shared" ref="L13205" si="1965">K13204</f>
        <v>14197.802857142857</v>
      </c>
    </row>
    <row r="13206" spans="1:16" ht="11.25" customHeight="1" x14ac:dyDescent="0.2">
      <c r="A13206" s="344">
        <v>2026</v>
      </c>
      <c r="B13206" s="344">
        <v>2</v>
      </c>
      <c r="C13206" s="344">
        <v>5</v>
      </c>
      <c r="D13206" s="345">
        <f t="shared" si="1963"/>
        <v>46058</v>
      </c>
      <c r="E13206" s="346">
        <f t="shared" si="1964"/>
        <v>46058</v>
      </c>
      <c r="F13206" s="518" t="s">
        <v>2009</v>
      </c>
      <c r="G13206" s="347" t="s">
        <v>1245</v>
      </c>
      <c r="H13206" s="348"/>
      <c r="I13206" s="348" t="s">
        <v>1253</v>
      </c>
      <c r="J13206" s="344" t="s">
        <v>2004</v>
      </c>
      <c r="K13206" s="349">
        <v>14197.802857142857</v>
      </c>
      <c r="L13206" s="349"/>
      <c r="M13206" s="455"/>
    </row>
    <row r="13207" spans="1:16" ht="11.25" customHeight="1" x14ac:dyDescent="0.2">
      <c r="A13207" s="350">
        <v>2026</v>
      </c>
      <c r="B13207" s="350">
        <v>2</v>
      </c>
      <c r="C13207" s="350">
        <v>5</v>
      </c>
      <c r="D13207" s="351">
        <f t="shared" si="1963"/>
        <v>46058</v>
      </c>
      <c r="E13207" s="352">
        <f t="shared" si="1964"/>
        <v>46058</v>
      </c>
      <c r="F13207" s="519"/>
      <c r="G13207" s="353" t="s">
        <v>1245</v>
      </c>
      <c r="H13207" s="354"/>
      <c r="I13207" s="354" t="s">
        <v>1253</v>
      </c>
      <c r="J13207" s="350" t="s">
        <v>2008</v>
      </c>
      <c r="K13207" s="355"/>
      <c r="L13207" s="355">
        <f t="shared" ref="L13207" si="1966">K13206</f>
        <v>14197.802857142857</v>
      </c>
    </row>
    <row r="13208" spans="1:16" ht="11.25" customHeight="1" x14ac:dyDescent="0.2">
      <c r="A13208" s="344">
        <v>2026</v>
      </c>
      <c r="B13208" s="344">
        <v>2</v>
      </c>
      <c r="C13208" s="344">
        <v>5</v>
      </c>
      <c r="D13208" s="345">
        <f t="shared" si="1963"/>
        <v>46058</v>
      </c>
      <c r="E13208" s="346">
        <f t="shared" si="1964"/>
        <v>46058</v>
      </c>
      <c r="F13208" s="518" t="s">
        <v>2088</v>
      </c>
      <c r="G13208" s="347" t="s">
        <v>1245</v>
      </c>
      <c r="H13208" s="348"/>
      <c r="I13208" s="348" t="s">
        <v>1253</v>
      </c>
      <c r="J13208" s="344" t="s">
        <v>2086</v>
      </c>
      <c r="K13208" s="349">
        <v>3579.6703296703299</v>
      </c>
      <c r="L13208" s="349"/>
      <c r="M13208" s="455"/>
    </row>
    <row r="13209" spans="1:16" ht="11.25" customHeight="1" x14ac:dyDescent="0.2">
      <c r="A13209" s="350">
        <v>2026</v>
      </c>
      <c r="B13209" s="350">
        <v>2</v>
      </c>
      <c r="C13209" s="350">
        <v>5</v>
      </c>
      <c r="D13209" s="351">
        <f t="shared" si="1963"/>
        <v>46058</v>
      </c>
      <c r="E13209" s="352">
        <f t="shared" si="1964"/>
        <v>46058</v>
      </c>
      <c r="F13209" s="519"/>
      <c r="G13209" s="353" t="s">
        <v>1245</v>
      </c>
      <c r="H13209" s="354"/>
      <c r="I13209" s="354" t="s">
        <v>1253</v>
      </c>
      <c r="J13209" s="350" t="s">
        <v>2089</v>
      </c>
      <c r="K13209" s="355"/>
      <c r="L13209" s="355">
        <f>K13208</f>
        <v>3579.6703296703299</v>
      </c>
    </row>
    <row r="13210" spans="1:16" ht="11.25" customHeight="1" x14ac:dyDescent="0.2">
      <c r="A13210" s="344">
        <v>2026</v>
      </c>
      <c r="B13210" s="344">
        <v>2</v>
      </c>
      <c r="C13210" s="344">
        <v>5</v>
      </c>
      <c r="D13210" s="345">
        <f t="shared" si="1963"/>
        <v>46058</v>
      </c>
      <c r="E13210" s="346">
        <f>DATE(A13210,B13210,C13210)</f>
        <v>46058</v>
      </c>
      <c r="F13210" s="518" t="s">
        <v>1988</v>
      </c>
      <c r="G13210" s="347" t="s">
        <v>1245</v>
      </c>
      <c r="H13210" s="348"/>
      <c r="I13210" s="348" t="s">
        <v>1253</v>
      </c>
      <c r="J13210" s="344" t="s">
        <v>113</v>
      </c>
      <c r="K13210" s="349">
        <v>9384.6142857142859</v>
      </c>
      <c r="L13210" s="349"/>
      <c r="M13210" s="455"/>
    </row>
    <row r="13211" spans="1:16" ht="11.25" customHeight="1" x14ac:dyDescent="0.2">
      <c r="A13211" s="350">
        <v>2026</v>
      </c>
      <c r="B13211" s="350">
        <v>2</v>
      </c>
      <c r="C13211" s="350">
        <v>5</v>
      </c>
      <c r="D13211" s="351">
        <f t="shared" si="1963"/>
        <v>46058</v>
      </c>
      <c r="E13211" s="352">
        <f>DATE(A13211,B13211,C13211)</f>
        <v>46058</v>
      </c>
      <c r="F13211" s="519"/>
      <c r="G13211" s="353" t="s">
        <v>1245</v>
      </c>
      <c r="H13211" s="354"/>
      <c r="I13211" s="354" t="s">
        <v>1253</v>
      </c>
      <c r="J13211" s="350" t="s">
        <v>153</v>
      </c>
      <c r="K13211" s="355"/>
      <c r="L13211" s="355">
        <f t="shared" ref="L13211" si="1967">K13210</f>
        <v>9384.6142857142859</v>
      </c>
    </row>
    <row r="13212" spans="1:16" ht="11.25" customHeight="1" x14ac:dyDescent="0.2">
      <c r="A13212" s="344">
        <v>2026</v>
      </c>
      <c r="B13212" s="344">
        <v>2</v>
      </c>
      <c r="C13212" s="344">
        <v>5</v>
      </c>
      <c r="D13212" s="345">
        <f t="shared" si="1963"/>
        <v>46058</v>
      </c>
      <c r="E13212" s="346">
        <f t="shared" ref="E13212:E13218" si="1968">DATE(A13212,B13212,C13212)</f>
        <v>46058</v>
      </c>
      <c r="F13212" s="518" t="s">
        <v>1989</v>
      </c>
      <c r="G13212" s="347" t="s">
        <v>1245</v>
      </c>
      <c r="H13212" s="348"/>
      <c r="I13212" s="348" t="s">
        <v>1253</v>
      </c>
      <c r="J13212" s="344" t="s">
        <v>113</v>
      </c>
      <c r="K13212" s="349">
        <v>6703.2967032967035</v>
      </c>
      <c r="L13212" s="349"/>
      <c r="M13212" s="455"/>
    </row>
    <row r="13213" spans="1:16" ht="11.25" customHeight="1" x14ac:dyDescent="0.2">
      <c r="A13213" s="350">
        <v>2026</v>
      </c>
      <c r="B13213" s="350">
        <v>2</v>
      </c>
      <c r="C13213" s="350">
        <v>5</v>
      </c>
      <c r="D13213" s="351">
        <f t="shared" si="1963"/>
        <v>46058</v>
      </c>
      <c r="E13213" s="352">
        <f t="shared" si="1968"/>
        <v>46058</v>
      </c>
      <c r="F13213" s="519"/>
      <c r="G13213" s="353" t="s">
        <v>1245</v>
      </c>
      <c r="H13213" s="354"/>
      <c r="I13213" s="354" t="s">
        <v>1253</v>
      </c>
      <c r="J13213" s="350" t="s">
        <v>153</v>
      </c>
      <c r="K13213" s="355"/>
      <c r="L13213" s="355">
        <f t="shared" ref="L13213" si="1969">K13212</f>
        <v>6703.2967032967035</v>
      </c>
    </row>
    <row r="13214" spans="1:16" ht="11.25" customHeight="1" x14ac:dyDescent="0.2">
      <c r="A13214" s="344">
        <v>2026</v>
      </c>
      <c r="B13214" s="344">
        <v>2</v>
      </c>
      <c r="C13214" s="344">
        <v>5</v>
      </c>
      <c r="D13214" s="345">
        <f t="shared" si="1963"/>
        <v>46058</v>
      </c>
      <c r="E13214" s="346">
        <f t="shared" si="1968"/>
        <v>46058</v>
      </c>
      <c r="F13214" s="518" t="s">
        <v>1990</v>
      </c>
      <c r="G13214" s="347" t="s">
        <v>1245</v>
      </c>
      <c r="H13214" s="348"/>
      <c r="I13214" s="348" t="s">
        <v>1253</v>
      </c>
      <c r="J13214" s="344" t="s">
        <v>113</v>
      </c>
      <c r="K13214" s="349">
        <v>20109.891428571427</v>
      </c>
      <c r="L13214" s="349"/>
      <c r="M13214" s="455"/>
      <c r="N13214" s="251"/>
      <c r="O13214" s="251"/>
      <c r="P13214" s="251"/>
    </row>
    <row r="13215" spans="1:16" ht="11.25" customHeight="1" x14ac:dyDescent="0.2">
      <c r="A13215" s="350">
        <v>2026</v>
      </c>
      <c r="B13215" s="350">
        <v>2</v>
      </c>
      <c r="C13215" s="350">
        <v>5</v>
      </c>
      <c r="D13215" s="351">
        <f t="shared" si="1963"/>
        <v>46058</v>
      </c>
      <c r="E13215" s="352">
        <f t="shared" si="1968"/>
        <v>46058</v>
      </c>
      <c r="F13215" s="519"/>
      <c r="G13215" s="353" t="s">
        <v>1245</v>
      </c>
      <c r="H13215" s="354"/>
      <c r="I13215" s="354" t="s">
        <v>1253</v>
      </c>
      <c r="J13215" s="350" t="s">
        <v>153</v>
      </c>
      <c r="K13215" s="355"/>
      <c r="L13215" s="355">
        <f t="shared" ref="L13215" si="1970">K13214</f>
        <v>20109.891428571427</v>
      </c>
      <c r="M13215" s="455"/>
    </row>
    <row r="13216" spans="1:16" ht="11.25" customHeight="1" x14ac:dyDescent="0.2">
      <c r="A13216" s="344">
        <v>2026</v>
      </c>
      <c r="B13216" s="344">
        <v>2</v>
      </c>
      <c r="C13216" s="344">
        <v>5</v>
      </c>
      <c r="D13216" s="345">
        <f t="shared" si="1963"/>
        <v>46058</v>
      </c>
      <c r="E13216" s="346">
        <f t="shared" si="1968"/>
        <v>46058</v>
      </c>
      <c r="F13216" s="518" t="s">
        <v>2107</v>
      </c>
      <c r="G13216" s="347" t="s">
        <v>1245</v>
      </c>
      <c r="H13216" s="348"/>
      <c r="I13216" s="348" t="s">
        <v>1253</v>
      </c>
      <c r="J13216" s="344" t="s">
        <v>113</v>
      </c>
      <c r="K13216" s="349">
        <v>24741.758241758242</v>
      </c>
      <c r="L13216" s="349"/>
      <c r="M13216" s="455"/>
      <c r="N13216" s="251"/>
      <c r="O13216" s="251"/>
      <c r="P13216" s="251"/>
    </row>
    <row r="13217" spans="1:15" ht="11.25" customHeight="1" x14ac:dyDescent="0.2">
      <c r="A13217" s="350">
        <v>2026</v>
      </c>
      <c r="B13217" s="350">
        <v>2</v>
      </c>
      <c r="C13217" s="350">
        <v>5</v>
      </c>
      <c r="D13217" s="351">
        <f t="shared" si="1963"/>
        <v>46058</v>
      </c>
      <c r="E13217" s="352">
        <f t="shared" si="1968"/>
        <v>46058</v>
      </c>
      <c r="F13217" s="519"/>
      <c r="G13217" s="353" t="s">
        <v>1245</v>
      </c>
      <c r="H13217" s="354"/>
      <c r="I13217" s="354" t="s">
        <v>1253</v>
      </c>
      <c r="J13217" s="350" t="s">
        <v>153</v>
      </c>
      <c r="K13217" s="355"/>
      <c r="L13217" s="355">
        <f t="shared" ref="L13217" si="1971">K13216</f>
        <v>24741.758241758242</v>
      </c>
    </row>
    <row r="13218" spans="1:15" ht="11.25" customHeight="1" x14ac:dyDescent="0.2">
      <c r="A13218" s="210">
        <v>2026</v>
      </c>
      <c r="B13218" s="210">
        <v>2</v>
      </c>
      <c r="C13218" s="210">
        <v>5</v>
      </c>
      <c r="D13218" s="211">
        <f t="shared" si="1963"/>
        <v>46058</v>
      </c>
      <c r="E13218" s="238">
        <f t="shared" si="1968"/>
        <v>46058</v>
      </c>
      <c r="F13218" s="520" t="s">
        <v>1857</v>
      </c>
      <c r="G13218" s="213" t="s">
        <v>1245</v>
      </c>
      <c r="H13218" s="214"/>
      <c r="I13218" s="214" t="s">
        <v>1253</v>
      </c>
      <c r="J13218" s="210" t="s">
        <v>1284</v>
      </c>
      <c r="K13218" s="215">
        <v>334.54448777029421</v>
      </c>
      <c r="L13218" s="215"/>
      <c r="M13218" s="455"/>
    </row>
    <row r="13219" spans="1:15" ht="11.25" customHeight="1" x14ac:dyDescent="0.2">
      <c r="A13219" s="242">
        <v>2026</v>
      </c>
      <c r="B13219" s="242">
        <v>2</v>
      </c>
      <c r="C13219" s="242">
        <v>5</v>
      </c>
      <c r="D13219" s="243">
        <f t="shared" si="1963"/>
        <v>46058</v>
      </c>
      <c r="E13219" s="244">
        <f>DATE(A13219,B13219,C13219)</f>
        <v>46058</v>
      </c>
      <c r="F13219" s="524"/>
      <c r="G13219" s="245" t="s">
        <v>1245</v>
      </c>
      <c r="H13219" s="246"/>
      <c r="I13219" s="246"/>
      <c r="J13219" s="242" t="s">
        <v>1582</v>
      </c>
      <c r="K13219" s="247"/>
      <c r="L13219" s="247">
        <f>K13218</f>
        <v>334.54448777029421</v>
      </c>
    </row>
    <row r="13220" spans="1:15" ht="11.25" customHeight="1" x14ac:dyDescent="0.2">
      <c r="A13220" s="210">
        <v>2026</v>
      </c>
      <c r="B13220" s="210">
        <v>2</v>
      </c>
      <c r="C13220" s="210">
        <v>5</v>
      </c>
      <c r="D13220" s="211">
        <f t="shared" si="1963"/>
        <v>46058</v>
      </c>
      <c r="E13220" s="238">
        <f t="shared" ref="E13220:E13248" si="1972">DATE(A13220,B13220,C13220)</f>
        <v>46058</v>
      </c>
      <c r="F13220" s="520" t="s">
        <v>2055</v>
      </c>
      <c r="G13220" s="213" t="s">
        <v>1245</v>
      </c>
      <c r="H13220" s="214"/>
      <c r="I13220" s="214" t="s">
        <v>1253</v>
      </c>
      <c r="J13220" s="210" t="s">
        <v>58</v>
      </c>
      <c r="K13220" s="215">
        <v>2644.42</v>
      </c>
      <c r="L13220" s="215"/>
    </row>
    <row r="13221" spans="1:15" ht="11.25" customHeight="1" x14ac:dyDescent="0.2">
      <c r="A13221" s="216">
        <v>2026</v>
      </c>
      <c r="B13221" s="216">
        <v>2</v>
      </c>
      <c r="C13221" s="216">
        <v>5</v>
      </c>
      <c r="D13221" s="217">
        <f t="shared" si="1963"/>
        <v>46058</v>
      </c>
      <c r="E13221" s="239">
        <f t="shared" si="1972"/>
        <v>46058</v>
      </c>
      <c r="F13221" s="521"/>
      <c r="G13221" s="219" t="s">
        <v>1245</v>
      </c>
      <c r="H13221" s="220"/>
      <c r="I13221" s="220" t="s">
        <v>1253</v>
      </c>
      <c r="J13221" s="216" t="s">
        <v>153</v>
      </c>
      <c r="K13221" s="221"/>
      <c r="L13221" s="221">
        <f>K13220</f>
        <v>2644.42</v>
      </c>
    </row>
    <row r="13222" spans="1:15" ht="11.25" customHeight="1" x14ac:dyDescent="0.2">
      <c r="A13222" s="312">
        <v>2026</v>
      </c>
      <c r="B13222" s="312">
        <v>2</v>
      </c>
      <c r="C13222" s="312">
        <v>5</v>
      </c>
      <c r="D13222" s="313">
        <f t="shared" si="1963"/>
        <v>46058</v>
      </c>
      <c r="E13222" s="314">
        <f t="shared" si="1972"/>
        <v>46058</v>
      </c>
      <c r="F13222" s="522" t="s">
        <v>1595</v>
      </c>
      <c r="G13222" s="315" t="s">
        <v>1245</v>
      </c>
      <c r="H13222" s="316"/>
      <c r="I13222" s="316" t="s">
        <v>1253</v>
      </c>
      <c r="J13222" s="312" t="s">
        <v>1461</v>
      </c>
      <c r="K13222" s="317">
        <v>245275.67399990559</v>
      </c>
      <c r="L13222" s="317"/>
      <c r="M13222" s="328"/>
    </row>
    <row r="13223" spans="1:15" ht="11.25" customHeight="1" x14ac:dyDescent="0.2">
      <c r="A13223" s="318">
        <v>2026</v>
      </c>
      <c r="B13223" s="318">
        <v>2</v>
      </c>
      <c r="C13223" s="318">
        <v>5</v>
      </c>
      <c r="D13223" s="319">
        <f t="shared" si="1963"/>
        <v>46058</v>
      </c>
      <c r="E13223" s="320">
        <f t="shared" si="1972"/>
        <v>46058</v>
      </c>
      <c r="F13223" s="523"/>
      <c r="G13223" s="321" t="s">
        <v>1245</v>
      </c>
      <c r="H13223" s="322"/>
      <c r="I13223" s="322" t="s">
        <v>1253</v>
      </c>
      <c r="J13223" s="318" t="s">
        <v>1459</v>
      </c>
      <c r="K13223" s="323"/>
      <c r="L13223" s="323">
        <f>K13222</f>
        <v>245275.67399990559</v>
      </c>
      <c r="M13223" s="328"/>
    </row>
    <row r="13224" spans="1:15" ht="11.25" customHeight="1" x14ac:dyDescent="0.2">
      <c r="A13224" s="222">
        <v>2026</v>
      </c>
      <c r="B13224" s="222">
        <v>2</v>
      </c>
      <c r="C13224" s="222">
        <v>5</v>
      </c>
      <c r="D13224" s="223">
        <f t="shared" si="1963"/>
        <v>46058</v>
      </c>
      <c r="E13224" s="240">
        <f t="shared" si="1972"/>
        <v>46058</v>
      </c>
      <c r="F13224" s="511" t="s">
        <v>1244</v>
      </c>
      <c r="G13224" s="225" t="s">
        <v>1245</v>
      </c>
      <c r="H13224" s="226"/>
      <c r="I13224" s="226" t="s">
        <v>1253</v>
      </c>
      <c r="J13224" s="222" t="s">
        <v>72</v>
      </c>
      <c r="K13224" s="227">
        <v>74</v>
      </c>
      <c r="L13224" s="227"/>
      <c r="M13224" s="328"/>
    </row>
    <row r="13225" spans="1:15" ht="11.25" customHeight="1" x14ac:dyDescent="0.2">
      <c r="A13225" s="228">
        <v>2026</v>
      </c>
      <c r="B13225" s="228">
        <v>2</v>
      </c>
      <c r="C13225" s="228">
        <v>5</v>
      </c>
      <c r="D13225" s="229">
        <f t="shared" si="1963"/>
        <v>46058</v>
      </c>
      <c r="E13225" s="241">
        <f t="shared" si="1972"/>
        <v>46058</v>
      </c>
      <c r="F13225" s="512"/>
      <c r="G13225" s="231" t="s">
        <v>1245</v>
      </c>
      <c r="H13225" s="232"/>
      <c r="I13225" s="232" t="s">
        <v>1253</v>
      </c>
      <c r="J13225" s="228" t="s">
        <v>87</v>
      </c>
      <c r="K13225" s="233"/>
      <c r="L13225" s="233">
        <f>K13224</f>
        <v>74</v>
      </c>
    </row>
    <row r="13226" spans="1:15" ht="11.25" customHeight="1" x14ac:dyDescent="0.2">
      <c r="A13226" s="222">
        <v>2026</v>
      </c>
      <c r="B13226" s="222">
        <v>2</v>
      </c>
      <c r="C13226" s="222">
        <v>5</v>
      </c>
      <c r="D13226" s="223">
        <f t="shared" si="1963"/>
        <v>46058</v>
      </c>
      <c r="E13226" s="240">
        <f t="shared" si="1972"/>
        <v>46058</v>
      </c>
      <c r="F13226" s="511" t="s">
        <v>1246</v>
      </c>
      <c r="G13226" s="225" t="s">
        <v>1245</v>
      </c>
      <c r="H13226" s="226"/>
      <c r="I13226" s="226" t="s">
        <v>1253</v>
      </c>
      <c r="J13226" s="222" t="s">
        <v>75</v>
      </c>
      <c r="K13226" s="227">
        <v>1035.1782417582417</v>
      </c>
      <c r="L13226" s="227"/>
      <c r="M13226" s="455"/>
    </row>
    <row r="13227" spans="1:15" ht="11.25" customHeight="1" x14ac:dyDescent="0.2">
      <c r="A13227" s="228">
        <v>2026</v>
      </c>
      <c r="B13227" s="228">
        <v>2</v>
      </c>
      <c r="C13227" s="228">
        <v>5</v>
      </c>
      <c r="D13227" s="229">
        <f t="shared" si="1963"/>
        <v>46058</v>
      </c>
      <c r="E13227" s="241">
        <f t="shared" si="1972"/>
        <v>46058</v>
      </c>
      <c r="F13227" s="512"/>
      <c r="G13227" s="231" t="s">
        <v>1245</v>
      </c>
      <c r="H13227" s="232"/>
      <c r="I13227" s="232" t="s">
        <v>1253</v>
      </c>
      <c r="J13227" s="228" t="s">
        <v>55</v>
      </c>
      <c r="K13227" s="233"/>
      <c r="L13227" s="233">
        <f>K13226</f>
        <v>1035.1782417582417</v>
      </c>
    </row>
    <row r="13228" spans="1:15" ht="11.25" customHeight="1" x14ac:dyDescent="0.2">
      <c r="A13228" s="222">
        <v>2026</v>
      </c>
      <c r="B13228" s="222">
        <v>2</v>
      </c>
      <c r="C13228" s="222">
        <v>5</v>
      </c>
      <c r="D13228" s="223">
        <f t="shared" si="1963"/>
        <v>46058</v>
      </c>
      <c r="E13228" s="240">
        <f t="shared" si="1972"/>
        <v>46058</v>
      </c>
      <c r="F13228" s="511" t="s">
        <v>1247</v>
      </c>
      <c r="G13228" s="225" t="s">
        <v>1245</v>
      </c>
      <c r="H13228" s="226"/>
      <c r="I13228" s="226" t="s">
        <v>1253</v>
      </c>
      <c r="J13228" s="222" t="s">
        <v>77</v>
      </c>
      <c r="K13228" s="227">
        <v>14999.055833457973</v>
      </c>
      <c r="L13228" s="227"/>
      <c r="M13228" s="478"/>
    </row>
    <row r="13229" spans="1:15" ht="11.25" customHeight="1" x14ac:dyDescent="0.2">
      <c r="A13229" s="228">
        <v>2026</v>
      </c>
      <c r="B13229" s="228">
        <v>2</v>
      </c>
      <c r="C13229" s="228">
        <v>5</v>
      </c>
      <c r="D13229" s="229">
        <f t="shared" si="1963"/>
        <v>46058</v>
      </c>
      <c r="E13229" s="241">
        <f t="shared" si="1972"/>
        <v>46058</v>
      </c>
      <c r="F13229" s="512"/>
      <c r="G13229" s="231" t="s">
        <v>1245</v>
      </c>
      <c r="H13229" s="232"/>
      <c r="I13229" s="232" t="s">
        <v>1253</v>
      </c>
      <c r="J13229" s="228" t="s">
        <v>41</v>
      </c>
      <c r="K13229" s="233"/>
      <c r="L13229" s="233">
        <f>K13228</f>
        <v>14999.055833457973</v>
      </c>
      <c r="M13229" s="478"/>
      <c r="N13229" s="251"/>
    </row>
    <row r="13230" spans="1:15" ht="11.25" customHeight="1" x14ac:dyDescent="0.2">
      <c r="A13230" s="222">
        <v>2026</v>
      </c>
      <c r="B13230" s="222">
        <v>2</v>
      </c>
      <c r="C13230" s="222">
        <v>5</v>
      </c>
      <c r="D13230" s="223">
        <f t="shared" si="1963"/>
        <v>46058</v>
      </c>
      <c r="E13230" s="240">
        <f t="shared" si="1972"/>
        <v>46058</v>
      </c>
      <c r="F13230" s="511" t="s">
        <v>1248</v>
      </c>
      <c r="G13230" s="225" t="s">
        <v>1245</v>
      </c>
      <c r="H13230" s="226"/>
      <c r="I13230" s="226" t="s">
        <v>1253</v>
      </c>
      <c r="J13230" s="222" t="s">
        <v>80</v>
      </c>
      <c r="K13230" s="227">
        <v>1499.9055833457974</v>
      </c>
      <c r="L13230" s="227"/>
      <c r="N13230" s="251"/>
      <c r="O13230" s="251"/>
    </row>
    <row r="13231" spans="1:15" ht="11.25" customHeight="1" x14ac:dyDescent="0.2">
      <c r="A13231" s="228">
        <v>2026</v>
      </c>
      <c r="B13231" s="228">
        <v>2</v>
      </c>
      <c r="C13231" s="228">
        <v>5</v>
      </c>
      <c r="D13231" s="229">
        <f t="shared" si="1963"/>
        <v>46058</v>
      </c>
      <c r="E13231" s="241">
        <f t="shared" si="1972"/>
        <v>46058</v>
      </c>
      <c r="F13231" s="512"/>
      <c r="G13231" s="231" t="s">
        <v>1245</v>
      </c>
      <c r="H13231" s="232"/>
      <c r="I13231" s="232" t="s">
        <v>1253</v>
      </c>
      <c r="J13231" s="228" t="s">
        <v>42</v>
      </c>
      <c r="K13231" s="233"/>
      <c r="L13231" s="233">
        <f>K13230</f>
        <v>1499.9055833457974</v>
      </c>
      <c r="N13231" s="251"/>
    </row>
    <row r="13232" spans="1:15" ht="11.25" customHeight="1" x14ac:dyDescent="0.2">
      <c r="A13232" s="197">
        <v>2026</v>
      </c>
      <c r="B13232" s="197">
        <v>2</v>
      </c>
      <c r="C13232" s="197">
        <v>5</v>
      </c>
      <c r="D13232" s="198">
        <f t="shared" si="1963"/>
        <v>46058</v>
      </c>
      <c r="E13232" s="290">
        <f t="shared" si="1972"/>
        <v>46058</v>
      </c>
      <c r="F13232" s="513" t="s">
        <v>2035</v>
      </c>
      <c r="G13232" s="200" t="s">
        <v>1209</v>
      </c>
      <c r="H13232" s="201"/>
      <c r="I13232" s="201" t="s">
        <v>1253</v>
      </c>
      <c r="J13232" s="197" t="s">
        <v>46</v>
      </c>
      <c r="K13232" s="202">
        <v>142333.24</v>
      </c>
      <c r="L13232" s="202"/>
      <c r="M13232" s="130"/>
    </row>
    <row r="13233" spans="1:13" ht="11.25" customHeight="1" x14ac:dyDescent="0.2">
      <c r="A13233" s="191">
        <v>2026</v>
      </c>
      <c r="B13233" s="191">
        <v>2</v>
      </c>
      <c r="C13233" s="191">
        <v>5</v>
      </c>
      <c r="D13233" s="192">
        <f t="shared" si="1963"/>
        <v>46058</v>
      </c>
      <c r="E13233" s="291">
        <f t="shared" si="1972"/>
        <v>46058</v>
      </c>
      <c r="F13233" s="527"/>
      <c r="G13233" s="194" t="s">
        <v>1209</v>
      </c>
      <c r="H13233" s="195"/>
      <c r="I13233" s="195" t="s">
        <v>1253</v>
      </c>
      <c r="J13233" s="191" t="s">
        <v>113</v>
      </c>
      <c r="K13233" s="196"/>
      <c r="L13233" s="196">
        <v>142333.24</v>
      </c>
    </row>
    <row r="13234" spans="1:13" x14ac:dyDescent="0.2">
      <c r="A13234" s="197">
        <v>2026</v>
      </c>
      <c r="B13234" s="197">
        <v>2</v>
      </c>
      <c r="C13234" s="197">
        <v>5</v>
      </c>
      <c r="D13234" s="198">
        <f t="shared" si="1963"/>
        <v>46058</v>
      </c>
      <c r="E13234" s="209">
        <f t="shared" si="1972"/>
        <v>46058</v>
      </c>
      <c r="F13234" s="513" t="s">
        <v>1296</v>
      </c>
      <c r="G13234" s="200" t="s">
        <v>1209</v>
      </c>
      <c r="H13234" s="201"/>
      <c r="I13234" s="201"/>
      <c r="J13234" s="197" t="s">
        <v>46</v>
      </c>
      <c r="K13234" s="202">
        <v>250500</v>
      </c>
      <c r="L13234" s="202"/>
    </row>
    <row r="13235" spans="1:13" x14ac:dyDescent="0.2">
      <c r="A13235" s="120">
        <v>2026</v>
      </c>
      <c r="B13235" s="120">
        <v>2</v>
      </c>
      <c r="C13235" s="120">
        <v>5</v>
      </c>
      <c r="D13235" s="208">
        <f t="shared" si="1963"/>
        <v>46058</v>
      </c>
      <c r="E13235" s="209">
        <f t="shared" si="1972"/>
        <v>46058</v>
      </c>
      <c r="F13235" s="515"/>
      <c r="G13235" s="132" t="s">
        <v>1209</v>
      </c>
      <c r="J13235" s="120" t="s">
        <v>16</v>
      </c>
      <c r="K13235" s="207"/>
      <c r="L13235" s="207">
        <v>179330</v>
      </c>
    </row>
    <row r="13236" spans="1:13" x14ac:dyDescent="0.2">
      <c r="A13236" s="191">
        <v>2026</v>
      </c>
      <c r="B13236" s="191">
        <v>2</v>
      </c>
      <c r="C13236" s="191">
        <v>5</v>
      </c>
      <c r="D13236" s="192">
        <f t="shared" si="1963"/>
        <v>46058</v>
      </c>
      <c r="E13236" s="193">
        <f t="shared" si="1972"/>
        <v>46058</v>
      </c>
      <c r="F13236" s="514"/>
      <c r="G13236" s="194" t="s">
        <v>1209</v>
      </c>
      <c r="H13236" s="195"/>
      <c r="I13236" s="195"/>
      <c r="J13236" s="191" t="s">
        <v>47</v>
      </c>
      <c r="K13236" s="196"/>
      <c r="L13236" s="196">
        <v>71170</v>
      </c>
    </row>
    <row r="13237" spans="1:13" x14ac:dyDescent="0.2">
      <c r="A13237" s="424">
        <v>2026</v>
      </c>
      <c r="B13237" s="424">
        <v>2</v>
      </c>
      <c r="C13237" s="424">
        <v>8</v>
      </c>
      <c r="D13237" s="425">
        <f t="shared" si="1963"/>
        <v>46061</v>
      </c>
      <c r="E13237" s="384">
        <f t="shared" si="1972"/>
        <v>46061</v>
      </c>
      <c r="F13237" s="516" t="s">
        <v>1850</v>
      </c>
      <c r="G13237" s="426" t="s">
        <v>1209</v>
      </c>
      <c r="H13237" s="427"/>
      <c r="I13237" s="427"/>
      <c r="J13237" s="428" t="s">
        <v>81</v>
      </c>
      <c r="K13237" s="429">
        <v>4787.4520879120882</v>
      </c>
      <c r="L13237" s="429"/>
      <c r="M13237" s="455"/>
    </row>
    <row r="13238" spans="1:13" x14ac:dyDescent="0.2">
      <c r="A13238" s="389">
        <v>2026</v>
      </c>
      <c r="B13238" s="389">
        <v>2</v>
      </c>
      <c r="C13238" s="389">
        <v>8</v>
      </c>
      <c r="D13238" s="390">
        <f t="shared" si="1963"/>
        <v>46061</v>
      </c>
      <c r="E13238" s="391">
        <f t="shared" si="1972"/>
        <v>46061</v>
      </c>
      <c r="F13238" s="517"/>
      <c r="G13238" s="392" t="s">
        <v>1209</v>
      </c>
      <c r="H13238" s="393"/>
      <c r="I13238" s="393"/>
      <c r="J13238" s="394" t="s">
        <v>1847</v>
      </c>
      <c r="K13238" s="423"/>
      <c r="L13238" s="423">
        <f>K13237</f>
        <v>4787.4520879120882</v>
      </c>
    </row>
    <row r="13239" spans="1:13" ht="11.25" customHeight="1" x14ac:dyDescent="0.2">
      <c r="A13239" s="382">
        <v>2026</v>
      </c>
      <c r="B13239" s="382">
        <v>2</v>
      </c>
      <c r="C13239" s="382">
        <v>8</v>
      </c>
      <c r="D13239" s="383">
        <f t="shared" si="1963"/>
        <v>46061</v>
      </c>
      <c r="E13239" s="384">
        <f t="shared" si="1972"/>
        <v>46061</v>
      </c>
      <c r="F13239" s="516" t="s">
        <v>1892</v>
      </c>
      <c r="G13239" s="385" t="s">
        <v>1209</v>
      </c>
      <c r="H13239" s="386"/>
      <c r="I13239" s="386"/>
      <c r="J13239" s="387" t="s">
        <v>173</v>
      </c>
      <c r="K13239" s="388">
        <v>1777.96</v>
      </c>
      <c r="L13239" s="388"/>
      <c r="M13239" s="455"/>
    </row>
    <row r="13240" spans="1:13" ht="11.25" customHeight="1" x14ac:dyDescent="0.2">
      <c r="A13240" s="389">
        <v>2026</v>
      </c>
      <c r="B13240" s="389">
        <v>2</v>
      </c>
      <c r="C13240" s="389">
        <v>8</v>
      </c>
      <c r="D13240" s="390">
        <f t="shared" si="1963"/>
        <v>46061</v>
      </c>
      <c r="E13240" s="391">
        <f t="shared" si="1972"/>
        <v>46061</v>
      </c>
      <c r="F13240" s="517"/>
      <c r="G13240" s="392" t="s">
        <v>1209</v>
      </c>
      <c r="H13240" s="393"/>
      <c r="I13240" s="393"/>
      <c r="J13240" s="394" t="s">
        <v>43</v>
      </c>
      <c r="K13240" s="388"/>
      <c r="L13240" s="423">
        <f>K13239</f>
        <v>1777.96</v>
      </c>
    </row>
    <row r="13241" spans="1:13" ht="11.25" customHeight="1" x14ac:dyDescent="0.2">
      <c r="A13241" s="344">
        <v>2026</v>
      </c>
      <c r="B13241" s="344">
        <v>2</v>
      </c>
      <c r="C13241" s="344">
        <v>8</v>
      </c>
      <c r="D13241" s="345">
        <f t="shared" si="1963"/>
        <v>46061</v>
      </c>
      <c r="E13241" s="346">
        <f t="shared" si="1972"/>
        <v>46061</v>
      </c>
      <c r="F13241" s="518" t="s">
        <v>1982</v>
      </c>
      <c r="G13241" s="347" t="s">
        <v>1245</v>
      </c>
      <c r="H13241" s="348"/>
      <c r="I13241" s="348" t="s">
        <v>1253</v>
      </c>
      <c r="J13241" s="344" t="s">
        <v>1978</v>
      </c>
      <c r="K13241" s="349">
        <v>63749.175824175822</v>
      </c>
      <c r="L13241" s="349"/>
      <c r="M13241" s="455"/>
    </row>
    <row r="13242" spans="1:13" ht="11.25" customHeight="1" x14ac:dyDescent="0.2">
      <c r="A13242" s="350">
        <v>2026</v>
      </c>
      <c r="B13242" s="350">
        <v>2</v>
      </c>
      <c r="C13242" s="350">
        <v>8</v>
      </c>
      <c r="D13242" s="351">
        <f t="shared" si="1963"/>
        <v>46061</v>
      </c>
      <c r="E13242" s="352">
        <f t="shared" si="1972"/>
        <v>46061</v>
      </c>
      <c r="F13242" s="519"/>
      <c r="G13242" s="353" t="s">
        <v>1245</v>
      </c>
      <c r="H13242" s="354"/>
      <c r="I13242" s="354" t="s">
        <v>1253</v>
      </c>
      <c r="J13242" s="350" t="s">
        <v>1979</v>
      </c>
      <c r="K13242" s="355"/>
      <c r="L13242" s="355">
        <f>K13241</f>
        <v>63749.175824175822</v>
      </c>
    </row>
    <row r="13243" spans="1:13" ht="11.25" customHeight="1" x14ac:dyDescent="0.2">
      <c r="A13243" s="344">
        <v>2026</v>
      </c>
      <c r="B13243" s="344">
        <v>2</v>
      </c>
      <c r="C13243" s="344">
        <v>8</v>
      </c>
      <c r="D13243" s="345">
        <f t="shared" si="1963"/>
        <v>46061</v>
      </c>
      <c r="E13243" s="346">
        <f t="shared" si="1972"/>
        <v>46061</v>
      </c>
      <c r="F13243" s="518" t="s">
        <v>2009</v>
      </c>
      <c r="G13243" s="347" t="s">
        <v>1245</v>
      </c>
      <c r="H13243" s="348"/>
      <c r="I13243" s="348" t="s">
        <v>1253</v>
      </c>
      <c r="J13243" s="344" t="s">
        <v>2004</v>
      </c>
      <c r="K13243" s="349">
        <v>21296.704285714284</v>
      </c>
      <c r="L13243" s="349"/>
      <c r="M13243" s="455"/>
    </row>
    <row r="13244" spans="1:13" ht="11.25" customHeight="1" x14ac:dyDescent="0.2">
      <c r="A13244" s="350">
        <v>2026</v>
      </c>
      <c r="B13244" s="350">
        <v>2</v>
      </c>
      <c r="C13244" s="350">
        <v>8</v>
      </c>
      <c r="D13244" s="351">
        <f t="shared" si="1963"/>
        <v>46061</v>
      </c>
      <c r="E13244" s="352">
        <f t="shared" si="1972"/>
        <v>46061</v>
      </c>
      <c r="F13244" s="519"/>
      <c r="G13244" s="353" t="s">
        <v>1245</v>
      </c>
      <c r="H13244" s="354"/>
      <c r="I13244" s="354" t="s">
        <v>1253</v>
      </c>
      <c r="J13244" s="350" t="s">
        <v>2008</v>
      </c>
      <c r="K13244" s="355"/>
      <c r="L13244" s="355">
        <f t="shared" ref="L13244" si="1973">K13243</f>
        <v>21296.704285714284</v>
      </c>
    </row>
    <row r="13245" spans="1:13" ht="11.25" customHeight="1" x14ac:dyDescent="0.2">
      <c r="A13245" s="344">
        <v>2026</v>
      </c>
      <c r="B13245" s="344">
        <v>2</v>
      </c>
      <c r="C13245" s="344">
        <v>8</v>
      </c>
      <c r="D13245" s="345">
        <f t="shared" si="1963"/>
        <v>46061</v>
      </c>
      <c r="E13245" s="346">
        <f t="shared" si="1972"/>
        <v>46061</v>
      </c>
      <c r="F13245" s="518" t="s">
        <v>2009</v>
      </c>
      <c r="G13245" s="347" t="s">
        <v>1245</v>
      </c>
      <c r="H13245" s="348"/>
      <c r="I13245" s="348" t="s">
        <v>1253</v>
      </c>
      <c r="J13245" s="344" t="s">
        <v>2004</v>
      </c>
      <c r="K13245" s="349">
        <v>21296.704285714284</v>
      </c>
      <c r="L13245" s="349"/>
      <c r="M13245" s="455"/>
    </row>
    <row r="13246" spans="1:13" ht="11.25" customHeight="1" x14ac:dyDescent="0.2">
      <c r="A13246" s="350">
        <v>2026</v>
      </c>
      <c r="B13246" s="350">
        <v>2</v>
      </c>
      <c r="C13246" s="350">
        <v>8</v>
      </c>
      <c r="D13246" s="351">
        <f t="shared" si="1963"/>
        <v>46061</v>
      </c>
      <c r="E13246" s="352">
        <f t="shared" si="1972"/>
        <v>46061</v>
      </c>
      <c r="F13246" s="519"/>
      <c r="G13246" s="353" t="s">
        <v>1245</v>
      </c>
      <c r="H13246" s="354"/>
      <c r="I13246" s="354" t="s">
        <v>1253</v>
      </c>
      <c r="J13246" s="350" t="s">
        <v>2008</v>
      </c>
      <c r="K13246" s="355"/>
      <c r="L13246" s="355">
        <f t="shared" ref="L13246" si="1974">K13245</f>
        <v>21296.704285714284</v>
      </c>
    </row>
    <row r="13247" spans="1:13" ht="11.25" customHeight="1" x14ac:dyDescent="0.2">
      <c r="A13247" s="344">
        <v>2026</v>
      </c>
      <c r="B13247" s="344">
        <v>2</v>
      </c>
      <c r="C13247" s="344">
        <v>8</v>
      </c>
      <c r="D13247" s="345">
        <f t="shared" si="1963"/>
        <v>46061</v>
      </c>
      <c r="E13247" s="346">
        <f t="shared" si="1972"/>
        <v>46061</v>
      </c>
      <c r="F13247" s="518" t="s">
        <v>2088</v>
      </c>
      <c r="G13247" s="347" t="s">
        <v>1245</v>
      </c>
      <c r="H13247" s="348"/>
      <c r="I13247" s="348" t="s">
        <v>1253</v>
      </c>
      <c r="J13247" s="344" t="s">
        <v>2086</v>
      </c>
      <c r="K13247" s="349">
        <v>5369.5054945054944</v>
      </c>
      <c r="L13247" s="349"/>
      <c r="M13247" s="455"/>
    </row>
    <row r="13248" spans="1:13" ht="11.25" customHeight="1" x14ac:dyDescent="0.2">
      <c r="A13248" s="350">
        <v>2026</v>
      </c>
      <c r="B13248" s="350">
        <v>2</v>
      </c>
      <c r="C13248" s="350">
        <v>8</v>
      </c>
      <c r="D13248" s="351">
        <f t="shared" si="1963"/>
        <v>46061</v>
      </c>
      <c r="E13248" s="352">
        <f t="shared" si="1972"/>
        <v>46061</v>
      </c>
      <c r="F13248" s="519"/>
      <c r="G13248" s="353" t="s">
        <v>1245</v>
      </c>
      <c r="H13248" s="354"/>
      <c r="I13248" s="354" t="s">
        <v>1253</v>
      </c>
      <c r="J13248" s="350" t="s">
        <v>2089</v>
      </c>
      <c r="K13248" s="355"/>
      <c r="L13248" s="355">
        <f>K13247</f>
        <v>5369.5054945054944</v>
      </c>
    </row>
    <row r="13249" spans="1:16" ht="11.25" customHeight="1" x14ac:dyDescent="0.2">
      <c r="A13249" s="344">
        <v>2026</v>
      </c>
      <c r="B13249" s="344">
        <v>2</v>
      </c>
      <c r="C13249" s="344">
        <v>8</v>
      </c>
      <c r="D13249" s="345">
        <f t="shared" si="1963"/>
        <v>46061</v>
      </c>
      <c r="E13249" s="346">
        <f>DATE(A13249,B13249,C13249)</f>
        <v>46061</v>
      </c>
      <c r="F13249" s="518" t="s">
        <v>1988</v>
      </c>
      <c r="G13249" s="347" t="s">
        <v>1245</v>
      </c>
      <c r="H13249" s="348"/>
      <c r="I13249" s="348" t="s">
        <v>1253</v>
      </c>
      <c r="J13249" s="344" t="s">
        <v>113</v>
      </c>
      <c r="K13249" s="349">
        <v>14076.92142857143</v>
      </c>
      <c r="L13249" s="349"/>
      <c r="M13249" s="455"/>
    </row>
    <row r="13250" spans="1:16" ht="11.25" customHeight="1" x14ac:dyDescent="0.2">
      <c r="A13250" s="350">
        <v>2026</v>
      </c>
      <c r="B13250" s="350">
        <v>2</v>
      </c>
      <c r="C13250" s="350">
        <v>8</v>
      </c>
      <c r="D13250" s="351">
        <f t="shared" si="1963"/>
        <v>46061</v>
      </c>
      <c r="E13250" s="352">
        <f>DATE(A13250,B13250,C13250)</f>
        <v>46061</v>
      </c>
      <c r="F13250" s="519"/>
      <c r="G13250" s="353" t="s">
        <v>1245</v>
      </c>
      <c r="H13250" s="354"/>
      <c r="I13250" s="354" t="s">
        <v>1253</v>
      </c>
      <c r="J13250" s="350" t="s">
        <v>153</v>
      </c>
      <c r="K13250" s="355"/>
      <c r="L13250" s="355">
        <f t="shared" ref="L13250" si="1975">K13249</f>
        <v>14076.92142857143</v>
      </c>
    </row>
    <row r="13251" spans="1:16" ht="11.25" customHeight="1" x14ac:dyDescent="0.2">
      <c r="A13251" s="344">
        <v>2026</v>
      </c>
      <c r="B13251" s="344">
        <v>2</v>
      </c>
      <c r="C13251" s="344">
        <v>8</v>
      </c>
      <c r="D13251" s="345">
        <f t="shared" si="1963"/>
        <v>46061</v>
      </c>
      <c r="E13251" s="346">
        <f t="shared" ref="E13251:E13257" si="1976">DATE(A13251,B13251,C13251)</f>
        <v>46061</v>
      </c>
      <c r="F13251" s="518" t="s">
        <v>1989</v>
      </c>
      <c r="G13251" s="347" t="s">
        <v>1245</v>
      </c>
      <c r="H13251" s="348"/>
      <c r="I13251" s="348" t="s">
        <v>1253</v>
      </c>
      <c r="J13251" s="344" t="s">
        <v>113</v>
      </c>
      <c r="K13251" s="349">
        <v>10054.945054945056</v>
      </c>
      <c r="L13251" s="349"/>
      <c r="M13251" s="455"/>
    </row>
    <row r="13252" spans="1:16" ht="11.25" customHeight="1" x14ac:dyDescent="0.2">
      <c r="A13252" s="350">
        <v>2026</v>
      </c>
      <c r="B13252" s="350">
        <v>2</v>
      </c>
      <c r="C13252" s="350">
        <v>8</v>
      </c>
      <c r="D13252" s="351">
        <f t="shared" si="1963"/>
        <v>46061</v>
      </c>
      <c r="E13252" s="352">
        <f t="shared" si="1976"/>
        <v>46061</v>
      </c>
      <c r="F13252" s="519"/>
      <c r="G13252" s="353" t="s">
        <v>1245</v>
      </c>
      <c r="H13252" s="354"/>
      <c r="I13252" s="354" t="s">
        <v>1253</v>
      </c>
      <c r="J13252" s="350" t="s">
        <v>153</v>
      </c>
      <c r="K13252" s="355"/>
      <c r="L13252" s="355">
        <f t="shared" ref="L13252" si="1977">K13251</f>
        <v>10054.945054945056</v>
      </c>
    </row>
    <row r="13253" spans="1:16" ht="11.25" customHeight="1" x14ac:dyDescent="0.2">
      <c r="A13253" s="344">
        <v>2026</v>
      </c>
      <c r="B13253" s="344">
        <v>2</v>
      </c>
      <c r="C13253" s="344">
        <v>8</v>
      </c>
      <c r="D13253" s="345">
        <f t="shared" si="1963"/>
        <v>46061</v>
      </c>
      <c r="E13253" s="346">
        <f t="shared" si="1976"/>
        <v>46061</v>
      </c>
      <c r="F13253" s="518" t="s">
        <v>1990</v>
      </c>
      <c r="G13253" s="347" t="s">
        <v>1245</v>
      </c>
      <c r="H13253" s="348"/>
      <c r="I13253" s="348" t="s">
        <v>1253</v>
      </c>
      <c r="J13253" s="344" t="s">
        <v>113</v>
      </c>
      <c r="K13253" s="349">
        <v>30164.837142857141</v>
      </c>
      <c r="L13253" s="349"/>
      <c r="M13253" s="455"/>
      <c r="N13253" s="251"/>
      <c r="O13253" s="251"/>
      <c r="P13253" s="251"/>
    </row>
    <row r="13254" spans="1:16" ht="11.25" customHeight="1" x14ac:dyDescent="0.2">
      <c r="A13254" s="350">
        <v>2026</v>
      </c>
      <c r="B13254" s="350">
        <v>2</v>
      </c>
      <c r="C13254" s="350">
        <v>8</v>
      </c>
      <c r="D13254" s="351">
        <f t="shared" si="1963"/>
        <v>46061</v>
      </c>
      <c r="E13254" s="352">
        <f t="shared" si="1976"/>
        <v>46061</v>
      </c>
      <c r="F13254" s="519"/>
      <c r="G13254" s="353" t="s">
        <v>1245</v>
      </c>
      <c r="H13254" s="354"/>
      <c r="I13254" s="354" t="s">
        <v>1253</v>
      </c>
      <c r="J13254" s="350" t="s">
        <v>153</v>
      </c>
      <c r="K13254" s="355"/>
      <c r="L13254" s="355">
        <f t="shared" ref="L13254" si="1978">K13253</f>
        <v>30164.837142857141</v>
      </c>
      <c r="M13254" s="455"/>
    </row>
    <row r="13255" spans="1:16" ht="11.25" customHeight="1" x14ac:dyDescent="0.2">
      <c r="A13255" s="344">
        <v>2026</v>
      </c>
      <c r="B13255" s="344">
        <v>2</v>
      </c>
      <c r="C13255" s="344">
        <v>8</v>
      </c>
      <c r="D13255" s="345">
        <f t="shared" si="1963"/>
        <v>46061</v>
      </c>
      <c r="E13255" s="346">
        <f t="shared" si="1976"/>
        <v>46061</v>
      </c>
      <c r="F13255" s="518" t="s">
        <v>2107</v>
      </c>
      <c r="G13255" s="347" t="s">
        <v>1245</v>
      </c>
      <c r="H13255" s="348"/>
      <c r="I13255" s="348" t="s">
        <v>1253</v>
      </c>
      <c r="J13255" s="344" t="s">
        <v>113</v>
      </c>
      <c r="K13255" s="349">
        <v>37112.637362637361</v>
      </c>
      <c r="L13255" s="349"/>
      <c r="M13255" s="455"/>
      <c r="N13255" s="251"/>
      <c r="O13255" s="251"/>
      <c r="P13255" s="251"/>
    </row>
    <row r="13256" spans="1:16" ht="11.25" customHeight="1" x14ac:dyDescent="0.2">
      <c r="A13256" s="350">
        <v>2026</v>
      </c>
      <c r="B13256" s="350">
        <v>2</v>
      </c>
      <c r="C13256" s="350">
        <v>8</v>
      </c>
      <c r="D13256" s="351">
        <f t="shared" si="1963"/>
        <v>46061</v>
      </c>
      <c r="E13256" s="352">
        <f t="shared" si="1976"/>
        <v>46061</v>
      </c>
      <c r="F13256" s="519"/>
      <c r="G13256" s="353" t="s">
        <v>1245</v>
      </c>
      <c r="H13256" s="354"/>
      <c r="I13256" s="354" t="s">
        <v>1253</v>
      </c>
      <c r="J13256" s="350" t="s">
        <v>153</v>
      </c>
      <c r="K13256" s="355"/>
      <c r="L13256" s="355">
        <f t="shared" ref="L13256" si="1979">K13255</f>
        <v>37112.637362637361</v>
      </c>
    </row>
    <row r="13257" spans="1:16" ht="11.25" customHeight="1" x14ac:dyDescent="0.2">
      <c r="A13257" s="210">
        <v>2026</v>
      </c>
      <c r="B13257" s="210">
        <v>2</v>
      </c>
      <c r="C13257" s="210">
        <v>8</v>
      </c>
      <c r="D13257" s="211">
        <f t="shared" si="1963"/>
        <v>46061</v>
      </c>
      <c r="E13257" s="238">
        <f t="shared" si="1976"/>
        <v>46061</v>
      </c>
      <c r="F13257" s="520" t="s">
        <v>1857</v>
      </c>
      <c r="G13257" s="213" t="s">
        <v>1245</v>
      </c>
      <c r="H13257" s="214"/>
      <c r="I13257" s="214" t="s">
        <v>1253</v>
      </c>
      <c r="J13257" s="210" t="s">
        <v>1284</v>
      </c>
      <c r="K13257" s="215">
        <v>1003.6334633108827</v>
      </c>
      <c r="L13257" s="215"/>
      <c r="M13257" s="455"/>
    </row>
    <row r="13258" spans="1:16" ht="11.25" customHeight="1" x14ac:dyDescent="0.2">
      <c r="A13258" s="242">
        <v>2026</v>
      </c>
      <c r="B13258" s="242">
        <v>2</v>
      </c>
      <c r="C13258" s="242">
        <v>8</v>
      </c>
      <c r="D13258" s="243">
        <f t="shared" si="1963"/>
        <v>46061</v>
      </c>
      <c r="E13258" s="244">
        <f>DATE(A13258,B13258,C13258)</f>
        <v>46061</v>
      </c>
      <c r="F13258" s="524"/>
      <c r="G13258" s="245" t="s">
        <v>1245</v>
      </c>
      <c r="H13258" s="246"/>
      <c r="I13258" s="246"/>
      <c r="J13258" s="242" t="s">
        <v>1582</v>
      </c>
      <c r="K13258" s="247"/>
      <c r="L13258" s="247">
        <f>K13257</f>
        <v>1003.6334633108827</v>
      </c>
    </row>
    <row r="13259" spans="1:16" ht="11.25" customHeight="1" x14ac:dyDescent="0.2">
      <c r="A13259" s="210">
        <v>2026</v>
      </c>
      <c r="B13259" s="210">
        <v>2</v>
      </c>
      <c r="C13259" s="210">
        <v>8</v>
      </c>
      <c r="D13259" s="211">
        <f t="shared" si="1963"/>
        <v>46061</v>
      </c>
      <c r="E13259" s="238">
        <f t="shared" ref="E13259:E13276" si="1980">DATE(A13259,B13259,C13259)</f>
        <v>46061</v>
      </c>
      <c r="F13259" s="520" t="s">
        <v>2055</v>
      </c>
      <c r="G13259" s="213" t="s">
        <v>1245</v>
      </c>
      <c r="H13259" s="214"/>
      <c r="I13259" s="214" t="s">
        <v>1253</v>
      </c>
      <c r="J13259" s="210" t="s">
        <v>58</v>
      </c>
      <c r="K13259" s="215">
        <v>3883.62</v>
      </c>
      <c r="L13259" s="215"/>
    </row>
    <row r="13260" spans="1:16" ht="11.25" customHeight="1" x14ac:dyDescent="0.2">
      <c r="A13260" s="216">
        <v>2026</v>
      </c>
      <c r="B13260" s="216">
        <v>2</v>
      </c>
      <c r="C13260" s="216">
        <v>8</v>
      </c>
      <c r="D13260" s="217">
        <f t="shared" si="1963"/>
        <v>46061</v>
      </c>
      <c r="E13260" s="239">
        <f t="shared" si="1980"/>
        <v>46061</v>
      </c>
      <c r="F13260" s="521"/>
      <c r="G13260" s="219" t="s">
        <v>1245</v>
      </c>
      <c r="H13260" s="220"/>
      <c r="I13260" s="220" t="s">
        <v>1253</v>
      </c>
      <c r="J13260" s="216" t="s">
        <v>153</v>
      </c>
      <c r="K13260" s="221"/>
      <c r="L13260" s="221">
        <f>K13259</f>
        <v>3883.62</v>
      </c>
    </row>
    <row r="13261" spans="1:16" ht="11.25" customHeight="1" x14ac:dyDescent="0.2">
      <c r="A13261" s="312">
        <v>2026</v>
      </c>
      <c r="B13261" s="312">
        <v>2</v>
      </c>
      <c r="C13261" s="312">
        <v>8</v>
      </c>
      <c r="D13261" s="313">
        <f t="shared" si="1963"/>
        <v>46061</v>
      </c>
      <c r="E13261" s="314">
        <f t="shared" si="1980"/>
        <v>46061</v>
      </c>
      <c r="F13261" s="522" t="s">
        <v>1595</v>
      </c>
      <c r="G13261" s="315" t="s">
        <v>1245</v>
      </c>
      <c r="H13261" s="316"/>
      <c r="I13261" s="316" t="s">
        <v>1253</v>
      </c>
      <c r="J13261" s="312" t="s">
        <v>1461</v>
      </c>
      <c r="K13261" s="317">
        <v>295133.50299990177</v>
      </c>
      <c r="L13261" s="317"/>
      <c r="M13261" s="328"/>
    </row>
    <row r="13262" spans="1:16" ht="11.25" customHeight="1" x14ac:dyDescent="0.2">
      <c r="A13262" s="318">
        <v>2026</v>
      </c>
      <c r="B13262" s="318">
        <v>2</v>
      </c>
      <c r="C13262" s="318">
        <v>8</v>
      </c>
      <c r="D13262" s="319">
        <f t="shared" ref="D13262:D13276" si="1981">DATE(A13262,B13262,C13262)</f>
        <v>46061</v>
      </c>
      <c r="E13262" s="320">
        <f t="shared" si="1980"/>
        <v>46061</v>
      </c>
      <c r="F13262" s="523"/>
      <c r="G13262" s="321" t="s">
        <v>1245</v>
      </c>
      <c r="H13262" s="322"/>
      <c r="I13262" s="322" t="s">
        <v>1253</v>
      </c>
      <c r="J13262" s="318" t="s">
        <v>1459</v>
      </c>
      <c r="K13262" s="323"/>
      <c r="L13262" s="323">
        <f>K13261</f>
        <v>295133.50299990177</v>
      </c>
      <c r="M13262" s="328"/>
    </row>
    <row r="13263" spans="1:16" ht="11.25" customHeight="1" x14ac:dyDescent="0.2">
      <c r="A13263" s="222">
        <v>2026</v>
      </c>
      <c r="B13263" s="222">
        <v>2</v>
      </c>
      <c r="C13263" s="222">
        <v>8</v>
      </c>
      <c r="D13263" s="223">
        <f t="shared" si="1981"/>
        <v>46061</v>
      </c>
      <c r="E13263" s="240">
        <f t="shared" si="1980"/>
        <v>46061</v>
      </c>
      <c r="F13263" s="511" t="s">
        <v>1244</v>
      </c>
      <c r="G13263" s="225" t="s">
        <v>1245</v>
      </c>
      <c r="H13263" s="226"/>
      <c r="I13263" s="226" t="s">
        <v>1253</v>
      </c>
      <c r="J13263" s="222" t="s">
        <v>72</v>
      </c>
      <c r="K13263" s="227"/>
      <c r="L13263" s="227"/>
      <c r="M13263" s="328"/>
    </row>
    <row r="13264" spans="1:16" ht="11.25" customHeight="1" x14ac:dyDescent="0.2">
      <c r="A13264" s="228">
        <v>2026</v>
      </c>
      <c r="B13264" s="228">
        <v>2</v>
      </c>
      <c r="C13264" s="228">
        <v>8</v>
      </c>
      <c r="D13264" s="229">
        <f t="shared" si="1981"/>
        <v>46061</v>
      </c>
      <c r="E13264" s="241">
        <f t="shared" si="1980"/>
        <v>46061</v>
      </c>
      <c r="F13264" s="512"/>
      <c r="G13264" s="231" t="s">
        <v>1245</v>
      </c>
      <c r="H13264" s="232"/>
      <c r="I13264" s="232" t="s">
        <v>1253</v>
      </c>
      <c r="J13264" s="228" t="s">
        <v>87</v>
      </c>
      <c r="K13264" s="233"/>
      <c r="L13264" s="233">
        <f>K13263</f>
        <v>0</v>
      </c>
    </row>
    <row r="13265" spans="1:15" ht="11.25" customHeight="1" x14ac:dyDescent="0.2">
      <c r="A13265" s="222">
        <v>2026</v>
      </c>
      <c r="B13265" s="222">
        <v>2</v>
      </c>
      <c r="C13265" s="222">
        <v>8</v>
      </c>
      <c r="D13265" s="223">
        <f t="shared" si="1981"/>
        <v>46061</v>
      </c>
      <c r="E13265" s="240">
        <f t="shared" si="1980"/>
        <v>46061</v>
      </c>
      <c r="F13265" s="511" t="s">
        <v>1246</v>
      </c>
      <c r="G13265" s="225" t="s">
        <v>1245</v>
      </c>
      <c r="H13265" s="226"/>
      <c r="I13265" s="226" t="s">
        <v>1253</v>
      </c>
      <c r="J13265" s="222" t="s">
        <v>75</v>
      </c>
      <c r="K13265" s="227">
        <v>1552.7673626373626</v>
      </c>
      <c r="L13265" s="227"/>
      <c r="M13265" s="455"/>
    </row>
    <row r="13266" spans="1:15" ht="11.25" customHeight="1" x14ac:dyDescent="0.2">
      <c r="A13266" s="228">
        <v>2026</v>
      </c>
      <c r="B13266" s="228">
        <v>2</v>
      </c>
      <c r="C13266" s="228">
        <v>8</v>
      </c>
      <c r="D13266" s="229">
        <f t="shared" si="1981"/>
        <v>46061</v>
      </c>
      <c r="E13266" s="241">
        <f t="shared" si="1980"/>
        <v>46061</v>
      </c>
      <c r="F13266" s="512"/>
      <c r="G13266" s="231" t="s">
        <v>1245</v>
      </c>
      <c r="H13266" s="232"/>
      <c r="I13266" s="232" t="s">
        <v>1253</v>
      </c>
      <c r="J13266" s="228" t="s">
        <v>55</v>
      </c>
      <c r="K13266" s="233"/>
      <c r="L13266" s="233">
        <f>K13265</f>
        <v>1552.7673626373626</v>
      </c>
    </row>
    <row r="13267" spans="1:15" ht="11.25" customHeight="1" x14ac:dyDescent="0.2">
      <c r="A13267" s="222">
        <v>2026</v>
      </c>
      <c r="B13267" s="222">
        <v>2</v>
      </c>
      <c r="C13267" s="222">
        <v>8</v>
      </c>
      <c r="D13267" s="223">
        <f t="shared" si="1981"/>
        <v>46061</v>
      </c>
      <c r="E13267" s="240">
        <f t="shared" si="1980"/>
        <v>46061</v>
      </c>
      <c r="F13267" s="511" t="s">
        <v>1247</v>
      </c>
      <c r="G13267" s="225" t="s">
        <v>1245</v>
      </c>
      <c r="H13267" s="226"/>
      <c r="I13267" s="226" t="s">
        <v>1253</v>
      </c>
      <c r="J13267" s="222" t="s">
        <v>77</v>
      </c>
      <c r="K13267" s="227">
        <v>22518.48607340709</v>
      </c>
      <c r="L13267" s="227"/>
      <c r="M13267" s="478">
        <v>7506.1620244690293</v>
      </c>
    </row>
    <row r="13268" spans="1:15" ht="11.25" customHeight="1" x14ac:dyDescent="0.2">
      <c r="A13268" s="228">
        <v>2026</v>
      </c>
      <c r="B13268" s="228">
        <v>2</v>
      </c>
      <c r="C13268" s="228">
        <v>8</v>
      </c>
      <c r="D13268" s="229">
        <f t="shared" si="1981"/>
        <v>46061</v>
      </c>
      <c r="E13268" s="241">
        <f t="shared" si="1980"/>
        <v>46061</v>
      </c>
      <c r="F13268" s="512"/>
      <c r="G13268" s="231" t="s">
        <v>1245</v>
      </c>
      <c r="H13268" s="232"/>
      <c r="I13268" s="232" t="s">
        <v>1253</v>
      </c>
      <c r="J13268" s="228" t="s">
        <v>41</v>
      </c>
      <c r="K13268" s="233"/>
      <c r="L13268" s="233">
        <f>K13267</f>
        <v>22518.48607340709</v>
      </c>
      <c r="M13268" s="478">
        <v>750.61620244690289</v>
      </c>
      <c r="N13268" s="251"/>
    </row>
    <row r="13269" spans="1:15" ht="11.25" customHeight="1" x14ac:dyDescent="0.2">
      <c r="A13269" s="222">
        <v>2026</v>
      </c>
      <c r="B13269" s="222">
        <v>2</v>
      </c>
      <c r="C13269" s="222">
        <v>8</v>
      </c>
      <c r="D13269" s="223">
        <f t="shared" si="1981"/>
        <v>46061</v>
      </c>
      <c r="E13269" s="240">
        <f t="shared" si="1980"/>
        <v>46061</v>
      </c>
      <c r="F13269" s="511" t="s">
        <v>1248</v>
      </c>
      <c r="G13269" s="225" t="s">
        <v>1245</v>
      </c>
      <c r="H13269" s="226"/>
      <c r="I13269" s="226" t="s">
        <v>1253</v>
      </c>
      <c r="J13269" s="222" t="s">
        <v>80</v>
      </c>
      <c r="K13269" s="227">
        <v>2251.8486073407084</v>
      </c>
      <c r="L13269" s="227"/>
      <c r="N13269" s="251"/>
      <c r="O13269" s="251"/>
    </row>
    <row r="13270" spans="1:15" ht="11.25" customHeight="1" x14ac:dyDescent="0.2">
      <c r="A13270" s="228">
        <v>2026</v>
      </c>
      <c r="B13270" s="228">
        <v>2</v>
      </c>
      <c r="C13270" s="228">
        <v>8</v>
      </c>
      <c r="D13270" s="229">
        <f t="shared" si="1981"/>
        <v>46061</v>
      </c>
      <c r="E13270" s="241">
        <f t="shared" si="1980"/>
        <v>46061</v>
      </c>
      <c r="F13270" s="512"/>
      <c r="G13270" s="231" t="s">
        <v>1245</v>
      </c>
      <c r="H13270" s="232"/>
      <c r="I13270" s="232" t="s">
        <v>1253</v>
      </c>
      <c r="J13270" s="228" t="s">
        <v>42</v>
      </c>
      <c r="K13270" s="233"/>
      <c r="L13270" s="233">
        <f>K13269</f>
        <v>2251.8486073407084</v>
      </c>
      <c r="N13270" s="251"/>
    </row>
    <row r="13271" spans="1:15" x14ac:dyDescent="0.2">
      <c r="A13271" s="197">
        <v>2026</v>
      </c>
      <c r="B13271" s="197">
        <v>2</v>
      </c>
      <c r="C13271" s="197">
        <v>9</v>
      </c>
      <c r="D13271" s="198">
        <f t="shared" si="1981"/>
        <v>46062</v>
      </c>
      <c r="E13271" s="209">
        <f t="shared" si="1980"/>
        <v>46062</v>
      </c>
      <c r="F13271" s="513" t="s">
        <v>1423</v>
      </c>
      <c r="G13271" s="200" t="s">
        <v>1209</v>
      </c>
      <c r="H13271" s="201"/>
      <c r="I13271" s="201"/>
      <c r="J13271" s="197" t="s">
        <v>16</v>
      </c>
      <c r="K13271" s="202">
        <v>89130</v>
      </c>
      <c r="L13271" s="202"/>
    </row>
    <row r="13272" spans="1:15" x14ac:dyDescent="0.2">
      <c r="A13272" s="120">
        <v>2026</v>
      </c>
      <c r="B13272" s="120">
        <v>2</v>
      </c>
      <c r="C13272" s="120">
        <v>9</v>
      </c>
      <c r="D13272" s="208">
        <f t="shared" si="1981"/>
        <v>46062</v>
      </c>
      <c r="E13272" s="209">
        <f t="shared" si="1980"/>
        <v>46062</v>
      </c>
      <c r="F13272" s="515"/>
      <c r="G13272" s="132" t="s">
        <v>1209</v>
      </c>
      <c r="J13272" s="120" t="s">
        <v>47</v>
      </c>
      <c r="K13272" s="207">
        <v>35393.519999999997</v>
      </c>
      <c r="L13272" s="207"/>
    </row>
    <row r="13273" spans="1:15" x14ac:dyDescent="0.2">
      <c r="A13273" s="191">
        <v>2026</v>
      </c>
      <c r="B13273" s="191">
        <v>2</v>
      </c>
      <c r="C13273" s="191">
        <v>9</v>
      </c>
      <c r="D13273" s="192">
        <f t="shared" si="1981"/>
        <v>46062</v>
      </c>
      <c r="E13273" s="193">
        <f t="shared" si="1980"/>
        <v>46062</v>
      </c>
      <c r="F13273" s="514"/>
      <c r="G13273" s="194" t="s">
        <v>1209</v>
      </c>
      <c r="H13273" s="195"/>
      <c r="I13273" s="195"/>
      <c r="J13273" s="191" t="s">
        <v>46</v>
      </c>
      <c r="K13273" s="196"/>
      <c r="L13273" s="196">
        <v>124523.52</v>
      </c>
    </row>
    <row r="13274" spans="1:15" x14ac:dyDescent="0.2">
      <c r="A13274" s="197">
        <v>2026</v>
      </c>
      <c r="B13274" s="197">
        <v>2</v>
      </c>
      <c r="C13274" s="197">
        <v>9</v>
      </c>
      <c r="D13274" s="198">
        <f t="shared" si="1981"/>
        <v>46062</v>
      </c>
      <c r="E13274" s="209">
        <f t="shared" si="1980"/>
        <v>46062</v>
      </c>
      <c r="F13274" s="513" t="s">
        <v>1210</v>
      </c>
      <c r="G13274" s="200" t="s">
        <v>1209</v>
      </c>
      <c r="H13274" s="201"/>
      <c r="I13274" s="201"/>
      <c r="J13274" s="197" t="s">
        <v>46</v>
      </c>
      <c r="K13274" s="202">
        <v>1550000</v>
      </c>
      <c r="L13274" s="202"/>
    </row>
    <row r="13275" spans="1:15" x14ac:dyDescent="0.2">
      <c r="A13275" s="120">
        <v>2026</v>
      </c>
      <c r="B13275" s="120">
        <v>2</v>
      </c>
      <c r="C13275" s="120">
        <v>9</v>
      </c>
      <c r="D13275" s="208">
        <f t="shared" si="1981"/>
        <v>46062</v>
      </c>
      <c r="E13275" s="209">
        <f t="shared" si="1980"/>
        <v>46062</v>
      </c>
      <c r="F13275" s="515"/>
      <c r="G13275" s="132" t="s">
        <v>1209</v>
      </c>
      <c r="J13275" s="120" t="s">
        <v>16</v>
      </c>
      <c r="K13275" s="207"/>
      <c r="L13275" s="207">
        <v>1109040</v>
      </c>
    </row>
    <row r="13276" spans="1:15" x14ac:dyDescent="0.2">
      <c r="A13276" s="191">
        <v>2026</v>
      </c>
      <c r="B13276" s="191">
        <v>2</v>
      </c>
      <c r="C13276" s="191">
        <v>9</v>
      </c>
      <c r="D13276" s="192">
        <f t="shared" si="1981"/>
        <v>46062</v>
      </c>
      <c r="E13276" s="193">
        <f t="shared" si="1980"/>
        <v>46062</v>
      </c>
      <c r="F13276" s="514"/>
      <c r="G13276" s="194" t="s">
        <v>1209</v>
      </c>
      <c r="H13276" s="195"/>
      <c r="I13276" s="195"/>
      <c r="J13276" s="191" t="s">
        <v>47</v>
      </c>
      <c r="K13276" s="196"/>
      <c r="L13276" s="196">
        <v>440960</v>
      </c>
    </row>
    <row r="13277" spans="1:15" x14ac:dyDescent="0.2">
      <c r="A13277" s="197">
        <v>2026</v>
      </c>
      <c r="B13277" s="197">
        <v>2</v>
      </c>
      <c r="C13277" s="197">
        <v>9</v>
      </c>
      <c r="D13277" s="198">
        <f t="shared" ref="D13277:D13322" si="1982">DATE(A13277,B13277,C13277)</f>
        <v>46062</v>
      </c>
      <c r="E13277" s="209">
        <f t="shared" ref="E13277:E13293" si="1983">DATE(A13277,B13277,C13277)</f>
        <v>46062</v>
      </c>
      <c r="F13277" s="513" t="s">
        <v>1296</v>
      </c>
      <c r="G13277" s="200" t="s">
        <v>1209</v>
      </c>
      <c r="H13277" s="201"/>
      <c r="I13277" s="201"/>
      <c r="J13277" s="197" t="s">
        <v>46</v>
      </c>
      <c r="K13277" s="202">
        <v>1000</v>
      </c>
      <c r="L13277" s="202"/>
    </row>
    <row r="13278" spans="1:15" x14ac:dyDescent="0.2">
      <c r="A13278" s="120">
        <v>2026</v>
      </c>
      <c r="B13278" s="120">
        <v>2</v>
      </c>
      <c r="C13278" s="120">
        <v>9</v>
      </c>
      <c r="D13278" s="208">
        <f t="shared" si="1982"/>
        <v>46062</v>
      </c>
      <c r="E13278" s="209">
        <f t="shared" si="1983"/>
        <v>46062</v>
      </c>
      <c r="F13278" s="515"/>
      <c r="G13278" s="132" t="s">
        <v>1209</v>
      </c>
      <c r="J13278" s="120" t="s">
        <v>16</v>
      </c>
      <c r="K13278" s="207"/>
      <c r="L13278" s="207">
        <v>720</v>
      </c>
    </row>
    <row r="13279" spans="1:15" x14ac:dyDescent="0.2">
      <c r="A13279" s="191">
        <v>2026</v>
      </c>
      <c r="B13279" s="191">
        <v>2</v>
      </c>
      <c r="C13279" s="191">
        <v>9</v>
      </c>
      <c r="D13279" s="192">
        <f t="shared" si="1982"/>
        <v>46062</v>
      </c>
      <c r="E13279" s="193">
        <f t="shared" si="1983"/>
        <v>46062</v>
      </c>
      <c r="F13279" s="514"/>
      <c r="G13279" s="194" t="s">
        <v>1209</v>
      </c>
      <c r="H13279" s="195"/>
      <c r="I13279" s="195"/>
      <c r="J13279" s="191" t="s">
        <v>47</v>
      </c>
      <c r="K13279" s="196"/>
      <c r="L13279" s="196">
        <v>280</v>
      </c>
    </row>
    <row r="13280" spans="1:15" ht="11.25" customHeight="1" x14ac:dyDescent="0.2">
      <c r="A13280" s="197">
        <v>2026</v>
      </c>
      <c r="B13280" s="197">
        <v>2</v>
      </c>
      <c r="C13280" s="197">
        <v>9</v>
      </c>
      <c r="D13280" s="198">
        <f>DATE(A13280,B13280,C13280)</f>
        <v>46062</v>
      </c>
      <c r="E13280" s="290">
        <f>DATE(A13280,B13280,C13280)</f>
        <v>46062</v>
      </c>
      <c r="F13280" s="513" t="s">
        <v>2033</v>
      </c>
      <c r="G13280" s="200" t="s">
        <v>1245</v>
      </c>
      <c r="H13280" s="201"/>
      <c r="I13280" s="201" t="s">
        <v>1253</v>
      </c>
      <c r="J13280" s="197" t="s">
        <v>46</v>
      </c>
      <c r="K13280" s="202">
        <v>101666.67</v>
      </c>
      <c r="L13280" s="202"/>
      <c r="M13280" s="130"/>
      <c r="N13280" s="251"/>
    </row>
    <row r="13281" spans="1:14" ht="11.25" customHeight="1" x14ac:dyDescent="0.2">
      <c r="A13281" s="191">
        <v>2026</v>
      </c>
      <c r="B13281" s="191">
        <v>2</v>
      </c>
      <c r="C13281" s="191">
        <v>9</v>
      </c>
      <c r="D13281" s="192">
        <f>DATE(A13281,B13281,C13281)</f>
        <v>46062</v>
      </c>
      <c r="E13281" s="291">
        <f>DATE(A13281,B13281,C13281)</f>
        <v>46062</v>
      </c>
      <c r="F13281" s="527"/>
      <c r="G13281" s="194" t="s">
        <v>1245</v>
      </c>
      <c r="H13281" s="195"/>
      <c r="I13281" s="195" t="s">
        <v>1253</v>
      </c>
      <c r="J13281" s="191" t="s">
        <v>113</v>
      </c>
      <c r="K13281" s="196"/>
      <c r="L13281" s="196">
        <v>101666.67</v>
      </c>
      <c r="N13281" s="251"/>
    </row>
    <row r="13282" spans="1:14" x14ac:dyDescent="0.2">
      <c r="A13282" s="424">
        <v>2026</v>
      </c>
      <c r="B13282" s="424">
        <v>2</v>
      </c>
      <c r="C13282" s="424">
        <v>9</v>
      </c>
      <c r="D13282" s="425">
        <f t="shared" si="1982"/>
        <v>46062</v>
      </c>
      <c r="E13282" s="384">
        <f t="shared" si="1983"/>
        <v>46062</v>
      </c>
      <c r="F13282" s="516" t="s">
        <v>1850</v>
      </c>
      <c r="G13282" s="426" t="s">
        <v>1209</v>
      </c>
      <c r="H13282" s="427"/>
      <c r="I13282" s="427"/>
      <c r="J13282" s="428" t="s">
        <v>81</v>
      </c>
      <c r="K13282" s="429">
        <v>1595.8173626373627</v>
      </c>
      <c r="L13282" s="429"/>
      <c r="M13282" s="455"/>
    </row>
    <row r="13283" spans="1:14" x14ac:dyDescent="0.2">
      <c r="A13283" s="389">
        <v>2026</v>
      </c>
      <c r="B13283" s="389">
        <v>2</v>
      </c>
      <c r="C13283" s="389">
        <v>9</v>
      </c>
      <c r="D13283" s="390">
        <f t="shared" si="1982"/>
        <v>46062</v>
      </c>
      <c r="E13283" s="391">
        <f t="shared" si="1983"/>
        <v>46062</v>
      </c>
      <c r="F13283" s="517"/>
      <c r="G13283" s="392" t="s">
        <v>1209</v>
      </c>
      <c r="H13283" s="393"/>
      <c r="I13283" s="393"/>
      <c r="J13283" s="394" t="s">
        <v>1847</v>
      </c>
      <c r="K13283" s="423"/>
      <c r="L13283" s="423">
        <f>K13282</f>
        <v>1595.8173626373627</v>
      </c>
    </row>
    <row r="13284" spans="1:14" ht="11.25" customHeight="1" x14ac:dyDescent="0.2">
      <c r="A13284" s="382">
        <v>2026</v>
      </c>
      <c r="B13284" s="382">
        <v>2</v>
      </c>
      <c r="C13284" s="382">
        <v>9</v>
      </c>
      <c r="D13284" s="383">
        <f t="shared" si="1982"/>
        <v>46062</v>
      </c>
      <c r="E13284" s="384">
        <f t="shared" si="1983"/>
        <v>46062</v>
      </c>
      <c r="F13284" s="516" t="s">
        <v>1892</v>
      </c>
      <c r="G13284" s="385" t="s">
        <v>1209</v>
      </c>
      <c r="H13284" s="386"/>
      <c r="I13284" s="386"/>
      <c r="J13284" s="387" t="s">
        <v>173</v>
      </c>
      <c r="K13284" s="388">
        <v>593.0647434013888</v>
      </c>
      <c r="L13284" s="388"/>
      <c r="M13284" s="455"/>
    </row>
    <row r="13285" spans="1:14" ht="11.25" customHeight="1" x14ac:dyDescent="0.2">
      <c r="A13285" s="389">
        <v>2026</v>
      </c>
      <c r="B13285" s="389">
        <v>2</v>
      </c>
      <c r="C13285" s="389">
        <v>9</v>
      </c>
      <c r="D13285" s="390">
        <f t="shared" si="1982"/>
        <v>46062</v>
      </c>
      <c r="E13285" s="391">
        <f t="shared" si="1983"/>
        <v>46062</v>
      </c>
      <c r="F13285" s="517"/>
      <c r="G13285" s="392" t="s">
        <v>1209</v>
      </c>
      <c r="H13285" s="393"/>
      <c r="I13285" s="393"/>
      <c r="J13285" s="394" t="s">
        <v>43</v>
      </c>
      <c r="K13285" s="388"/>
      <c r="L13285" s="423">
        <f>K13284</f>
        <v>593.0647434013888</v>
      </c>
    </row>
    <row r="13286" spans="1:14" ht="11.25" customHeight="1" x14ac:dyDescent="0.2">
      <c r="A13286" s="344">
        <v>2026</v>
      </c>
      <c r="B13286" s="344">
        <v>2</v>
      </c>
      <c r="C13286" s="344">
        <v>9</v>
      </c>
      <c r="D13286" s="345">
        <f t="shared" si="1982"/>
        <v>46062</v>
      </c>
      <c r="E13286" s="346">
        <f t="shared" si="1983"/>
        <v>46062</v>
      </c>
      <c r="F13286" s="518" t="s">
        <v>1982</v>
      </c>
      <c r="G13286" s="347" t="s">
        <v>1245</v>
      </c>
      <c r="H13286" s="348"/>
      <c r="I13286" s="348" t="s">
        <v>1253</v>
      </c>
      <c r="J13286" s="344" t="s">
        <v>1978</v>
      </c>
      <c r="K13286" s="349">
        <v>21249.725274725275</v>
      </c>
      <c r="L13286" s="349"/>
      <c r="M13286" s="455"/>
    </row>
    <row r="13287" spans="1:14" ht="11.25" customHeight="1" x14ac:dyDescent="0.2">
      <c r="A13287" s="350">
        <v>2026</v>
      </c>
      <c r="B13287" s="350">
        <v>2</v>
      </c>
      <c r="C13287" s="350">
        <v>9</v>
      </c>
      <c r="D13287" s="351">
        <f t="shared" si="1982"/>
        <v>46062</v>
      </c>
      <c r="E13287" s="352">
        <f t="shared" si="1983"/>
        <v>46062</v>
      </c>
      <c r="F13287" s="519"/>
      <c r="G13287" s="353" t="s">
        <v>1245</v>
      </c>
      <c r="H13287" s="354"/>
      <c r="I13287" s="354" t="s">
        <v>1253</v>
      </c>
      <c r="J13287" s="350" t="s">
        <v>1979</v>
      </c>
      <c r="K13287" s="355"/>
      <c r="L13287" s="355">
        <f>K13286</f>
        <v>21249.725274725275</v>
      </c>
    </row>
    <row r="13288" spans="1:14" ht="11.25" customHeight="1" x14ac:dyDescent="0.2">
      <c r="A13288" s="344">
        <v>2026</v>
      </c>
      <c r="B13288" s="344">
        <v>2</v>
      </c>
      <c r="C13288" s="344">
        <v>9</v>
      </c>
      <c r="D13288" s="345">
        <f t="shared" si="1982"/>
        <v>46062</v>
      </c>
      <c r="E13288" s="346">
        <f t="shared" si="1983"/>
        <v>46062</v>
      </c>
      <c r="F13288" s="518" t="s">
        <v>2009</v>
      </c>
      <c r="G13288" s="347" t="s">
        <v>1245</v>
      </c>
      <c r="H13288" s="348"/>
      <c r="I13288" s="348" t="s">
        <v>1253</v>
      </c>
      <c r="J13288" s="344" t="s">
        <v>2004</v>
      </c>
      <c r="K13288" s="349">
        <v>7098.9014285714284</v>
      </c>
      <c r="L13288" s="349"/>
      <c r="M13288" s="455"/>
    </row>
    <row r="13289" spans="1:14" ht="11.25" customHeight="1" x14ac:dyDescent="0.2">
      <c r="A13289" s="350">
        <v>2026</v>
      </c>
      <c r="B13289" s="350">
        <v>2</v>
      </c>
      <c r="C13289" s="350">
        <v>9</v>
      </c>
      <c r="D13289" s="351">
        <f t="shared" si="1982"/>
        <v>46062</v>
      </c>
      <c r="E13289" s="352">
        <f t="shared" si="1983"/>
        <v>46062</v>
      </c>
      <c r="F13289" s="519"/>
      <c r="G13289" s="353" t="s">
        <v>1245</v>
      </c>
      <c r="H13289" s="354"/>
      <c r="I13289" s="354" t="s">
        <v>1253</v>
      </c>
      <c r="J13289" s="350" t="s">
        <v>2008</v>
      </c>
      <c r="K13289" s="355"/>
      <c r="L13289" s="355">
        <f t="shared" ref="L13289" si="1984">K13288</f>
        <v>7098.9014285714284</v>
      </c>
    </row>
    <row r="13290" spans="1:14" ht="11.25" customHeight="1" x14ac:dyDescent="0.2">
      <c r="A13290" s="344">
        <v>2026</v>
      </c>
      <c r="B13290" s="344">
        <v>2</v>
      </c>
      <c r="C13290" s="344">
        <v>9</v>
      </c>
      <c r="D13290" s="345">
        <f t="shared" si="1982"/>
        <v>46062</v>
      </c>
      <c r="E13290" s="346">
        <f t="shared" si="1983"/>
        <v>46062</v>
      </c>
      <c r="F13290" s="518" t="s">
        <v>2009</v>
      </c>
      <c r="G13290" s="347" t="s">
        <v>1245</v>
      </c>
      <c r="H13290" s="348"/>
      <c r="I13290" s="348" t="s">
        <v>1253</v>
      </c>
      <c r="J13290" s="344" t="s">
        <v>2004</v>
      </c>
      <c r="K13290" s="349">
        <v>7098.9014285714284</v>
      </c>
      <c r="L13290" s="349"/>
      <c r="M13290" s="455"/>
    </row>
    <row r="13291" spans="1:14" ht="11.25" customHeight="1" x14ac:dyDescent="0.2">
      <c r="A13291" s="350">
        <v>2026</v>
      </c>
      <c r="B13291" s="350">
        <v>2</v>
      </c>
      <c r="C13291" s="350">
        <v>9</v>
      </c>
      <c r="D13291" s="351">
        <f t="shared" si="1982"/>
        <v>46062</v>
      </c>
      <c r="E13291" s="352">
        <f t="shared" si="1983"/>
        <v>46062</v>
      </c>
      <c r="F13291" s="519"/>
      <c r="G13291" s="353" t="s">
        <v>1245</v>
      </c>
      <c r="H13291" s="354"/>
      <c r="I13291" s="354" t="s">
        <v>1253</v>
      </c>
      <c r="J13291" s="350" t="s">
        <v>2008</v>
      </c>
      <c r="K13291" s="355"/>
      <c r="L13291" s="355">
        <f t="shared" ref="L13291" si="1985">K13290</f>
        <v>7098.9014285714284</v>
      </c>
    </row>
    <row r="13292" spans="1:14" ht="11.25" customHeight="1" x14ac:dyDescent="0.2">
      <c r="A13292" s="344">
        <v>2026</v>
      </c>
      <c r="B13292" s="344">
        <v>2</v>
      </c>
      <c r="C13292" s="344">
        <v>9</v>
      </c>
      <c r="D13292" s="345">
        <f t="shared" si="1982"/>
        <v>46062</v>
      </c>
      <c r="E13292" s="346">
        <f t="shared" si="1983"/>
        <v>46062</v>
      </c>
      <c r="F13292" s="518" t="s">
        <v>2088</v>
      </c>
      <c r="G13292" s="347" t="s">
        <v>1245</v>
      </c>
      <c r="H13292" s="348"/>
      <c r="I13292" s="348" t="s">
        <v>1253</v>
      </c>
      <c r="J13292" s="344" t="s">
        <v>2086</v>
      </c>
      <c r="K13292" s="349">
        <v>1789.835164835165</v>
      </c>
      <c r="L13292" s="349"/>
      <c r="M13292" s="455"/>
    </row>
    <row r="13293" spans="1:14" ht="11.25" customHeight="1" x14ac:dyDescent="0.2">
      <c r="A13293" s="350">
        <v>2026</v>
      </c>
      <c r="B13293" s="350">
        <v>2</v>
      </c>
      <c r="C13293" s="350">
        <v>9</v>
      </c>
      <c r="D13293" s="351">
        <f t="shared" si="1982"/>
        <v>46062</v>
      </c>
      <c r="E13293" s="352">
        <f t="shared" si="1983"/>
        <v>46062</v>
      </c>
      <c r="F13293" s="519"/>
      <c r="G13293" s="353" t="s">
        <v>1245</v>
      </c>
      <c r="H13293" s="354"/>
      <c r="I13293" s="354" t="s">
        <v>1253</v>
      </c>
      <c r="J13293" s="350" t="s">
        <v>2089</v>
      </c>
      <c r="K13293" s="355"/>
      <c r="L13293" s="355">
        <f>K13292</f>
        <v>1789.835164835165</v>
      </c>
    </row>
    <row r="13294" spans="1:14" ht="11.25" customHeight="1" x14ac:dyDescent="0.2">
      <c r="A13294" s="344">
        <v>2026</v>
      </c>
      <c r="B13294" s="344">
        <v>2</v>
      </c>
      <c r="C13294" s="344">
        <v>9</v>
      </c>
      <c r="D13294" s="345">
        <f t="shared" si="1982"/>
        <v>46062</v>
      </c>
      <c r="E13294" s="346">
        <f>DATE(A13294,B13294,C13294)</f>
        <v>46062</v>
      </c>
      <c r="F13294" s="518" t="s">
        <v>1988</v>
      </c>
      <c r="G13294" s="347" t="s">
        <v>1245</v>
      </c>
      <c r="H13294" s="348"/>
      <c r="I13294" s="348" t="s">
        <v>1253</v>
      </c>
      <c r="J13294" s="344" t="s">
        <v>113</v>
      </c>
      <c r="K13294" s="349">
        <v>4692.3071428571429</v>
      </c>
      <c r="L13294" s="349"/>
      <c r="M13294" s="455"/>
    </row>
    <row r="13295" spans="1:14" ht="11.25" customHeight="1" x14ac:dyDescent="0.2">
      <c r="A13295" s="350">
        <v>2026</v>
      </c>
      <c r="B13295" s="350">
        <v>2</v>
      </c>
      <c r="C13295" s="350">
        <v>9</v>
      </c>
      <c r="D13295" s="351">
        <f t="shared" si="1982"/>
        <v>46062</v>
      </c>
      <c r="E13295" s="352">
        <f>DATE(A13295,B13295,C13295)</f>
        <v>46062</v>
      </c>
      <c r="F13295" s="519"/>
      <c r="G13295" s="353" t="s">
        <v>1245</v>
      </c>
      <c r="H13295" s="354"/>
      <c r="I13295" s="354" t="s">
        <v>1253</v>
      </c>
      <c r="J13295" s="350" t="s">
        <v>153</v>
      </c>
      <c r="K13295" s="355"/>
      <c r="L13295" s="355">
        <f t="shared" ref="L13295" si="1986">K13294</f>
        <v>4692.3071428571429</v>
      </c>
    </row>
    <row r="13296" spans="1:14" ht="11.25" customHeight="1" x14ac:dyDescent="0.2">
      <c r="A13296" s="344">
        <v>2026</v>
      </c>
      <c r="B13296" s="344">
        <v>2</v>
      </c>
      <c r="C13296" s="344">
        <v>9</v>
      </c>
      <c r="D13296" s="345">
        <f t="shared" si="1982"/>
        <v>46062</v>
      </c>
      <c r="E13296" s="346">
        <f t="shared" ref="E13296:E13302" si="1987">DATE(A13296,B13296,C13296)</f>
        <v>46062</v>
      </c>
      <c r="F13296" s="518" t="s">
        <v>1989</v>
      </c>
      <c r="G13296" s="347" t="s">
        <v>1245</v>
      </c>
      <c r="H13296" s="348"/>
      <c r="I13296" s="348" t="s">
        <v>1253</v>
      </c>
      <c r="J13296" s="344" t="s">
        <v>113</v>
      </c>
      <c r="K13296" s="349">
        <v>3351.6483516483518</v>
      </c>
      <c r="L13296" s="349"/>
      <c r="M13296" s="455"/>
    </row>
    <row r="13297" spans="1:16" ht="11.25" customHeight="1" x14ac:dyDescent="0.2">
      <c r="A13297" s="350">
        <v>2026</v>
      </c>
      <c r="B13297" s="350">
        <v>2</v>
      </c>
      <c r="C13297" s="350">
        <v>9</v>
      </c>
      <c r="D13297" s="351">
        <f t="shared" si="1982"/>
        <v>46062</v>
      </c>
      <c r="E13297" s="352">
        <f t="shared" si="1987"/>
        <v>46062</v>
      </c>
      <c r="F13297" s="519"/>
      <c r="G13297" s="353" t="s">
        <v>1245</v>
      </c>
      <c r="H13297" s="354"/>
      <c r="I13297" s="354" t="s">
        <v>1253</v>
      </c>
      <c r="J13297" s="350" t="s">
        <v>153</v>
      </c>
      <c r="K13297" s="355"/>
      <c r="L13297" s="355">
        <f t="shared" ref="L13297" si="1988">K13296</f>
        <v>3351.6483516483518</v>
      </c>
    </row>
    <row r="13298" spans="1:16" ht="11.25" customHeight="1" x14ac:dyDescent="0.2">
      <c r="A13298" s="344">
        <v>2026</v>
      </c>
      <c r="B13298" s="344">
        <v>2</v>
      </c>
      <c r="C13298" s="344">
        <v>9</v>
      </c>
      <c r="D13298" s="345">
        <f t="shared" si="1982"/>
        <v>46062</v>
      </c>
      <c r="E13298" s="346">
        <f t="shared" si="1987"/>
        <v>46062</v>
      </c>
      <c r="F13298" s="518" t="s">
        <v>1990</v>
      </c>
      <c r="G13298" s="347" t="s">
        <v>1245</v>
      </c>
      <c r="H13298" s="348"/>
      <c r="I13298" s="348" t="s">
        <v>1253</v>
      </c>
      <c r="J13298" s="344" t="s">
        <v>113</v>
      </c>
      <c r="K13298" s="349">
        <v>10054.945714285714</v>
      </c>
      <c r="L13298" s="349"/>
      <c r="M13298" s="455"/>
      <c r="N13298" s="251"/>
      <c r="O13298" s="251"/>
      <c r="P13298" s="251"/>
    </row>
    <row r="13299" spans="1:16" ht="11.25" customHeight="1" x14ac:dyDescent="0.2">
      <c r="A13299" s="350">
        <v>2026</v>
      </c>
      <c r="B13299" s="350">
        <v>2</v>
      </c>
      <c r="C13299" s="350">
        <v>9</v>
      </c>
      <c r="D13299" s="351">
        <f t="shared" si="1982"/>
        <v>46062</v>
      </c>
      <c r="E13299" s="352">
        <f t="shared" si="1987"/>
        <v>46062</v>
      </c>
      <c r="F13299" s="519"/>
      <c r="G13299" s="353" t="s">
        <v>1245</v>
      </c>
      <c r="H13299" s="354"/>
      <c r="I13299" s="354" t="s">
        <v>1253</v>
      </c>
      <c r="J13299" s="350" t="s">
        <v>153</v>
      </c>
      <c r="K13299" s="355"/>
      <c r="L13299" s="355">
        <f t="shared" ref="L13299" si="1989">K13298</f>
        <v>10054.945714285714</v>
      </c>
      <c r="M13299" s="455"/>
    </row>
    <row r="13300" spans="1:16" ht="11.25" customHeight="1" x14ac:dyDescent="0.2">
      <c r="A13300" s="344">
        <v>2026</v>
      </c>
      <c r="B13300" s="344">
        <v>2</v>
      </c>
      <c r="C13300" s="344">
        <v>9</v>
      </c>
      <c r="D13300" s="345">
        <f t="shared" si="1982"/>
        <v>46062</v>
      </c>
      <c r="E13300" s="346">
        <f t="shared" si="1987"/>
        <v>46062</v>
      </c>
      <c r="F13300" s="518" t="s">
        <v>2107</v>
      </c>
      <c r="G13300" s="347" t="s">
        <v>1245</v>
      </c>
      <c r="H13300" s="348"/>
      <c r="I13300" s="348" t="s">
        <v>1253</v>
      </c>
      <c r="J13300" s="344" t="s">
        <v>113</v>
      </c>
      <c r="K13300" s="349">
        <v>12370.879120879121</v>
      </c>
      <c r="L13300" s="349"/>
      <c r="M13300" s="455"/>
      <c r="N13300" s="251"/>
      <c r="O13300" s="251"/>
      <c r="P13300" s="251"/>
    </row>
    <row r="13301" spans="1:16" ht="11.25" customHeight="1" x14ac:dyDescent="0.2">
      <c r="A13301" s="350">
        <v>2026</v>
      </c>
      <c r="B13301" s="350">
        <v>2</v>
      </c>
      <c r="C13301" s="350">
        <v>9</v>
      </c>
      <c r="D13301" s="351">
        <f t="shared" si="1982"/>
        <v>46062</v>
      </c>
      <c r="E13301" s="352">
        <f t="shared" si="1987"/>
        <v>46062</v>
      </c>
      <c r="F13301" s="519"/>
      <c r="G13301" s="353" t="s">
        <v>1245</v>
      </c>
      <c r="H13301" s="354"/>
      <c r="I13301" s="354" t="s">
        <v>1253</v>
      </c>
      <c r="J13301" s="350" t="s">
        <v>153</v>
      </c>
      <c r="K13301" s="355"/>
      <c r="L13301" s="355">
        <f t="shared" ref="L13301" si="1990">K13300</f>
        <v>12370.879120879121</v>
      </c>
    </row>
    <row r="13302" spans="1:16" ht="11.25" customHeight="1" x14ac:dyDescent="0.2">
      <c r="A13302" s="210">
        <v>2026</v>
      </c>
      <c r="B13302" s="210">
        <v>2</v>
      </c>
      <c r="C13302" s="210">
        <v>9</v>
      </c>
      <c r="D13302" s="211">
        <f t="shared" si="1982"/>
        <v>46062</v>
      </c>
      <c r="E13302" s="238">
        <f t="shared" si="1987"/>
        <v>46062</v>
      </c>
      <c r="F13302" s="520" t="s">
        <v>1857</v>
      </c>
      <c r="G13302" s="213" t="s">
        <v>1245</v>
      </c>
      <c r="H13302" s="214"/>
      <c r="I13302" s="214" t="s">
        <v>1253</v>
      </c>
      <c r="J13302" s="210" t="s">
        <v>1284</v>
      </c>
      <c r="K13302" s="215">
        <v>334.54448777029421</v>
      </c>
      <c r="L13302" s="215"/>
      <c r="M13302" s="455"/>
    </row>
    <row r="13303" spans="1:16" ht="11.25" customHeight="1" x14ac:dyDescent="0.2">
      <c r="A13303" s="242">
        <v>2026</v>
      </c>
      <c r="B13303" s="242">
        <v>2</v>
      </c>
      <c r="C13303" s="242">
        <v>9</v>
      </c>
      <c r="D13303" s="243">
        <f t="shared" si="1982"/>
        <v>46062</v>
      </c>
      <c r="E13303" s="244">
        <f>DATE(A13303,B13303,C13303)</f>
        <v>46062</v>
      </c>
      <c r="F13303" s="524"/>
      <c r="G13303" s="245" t="s">
        <v>1245</v>
      </c>
      <c r="H13303" s="246"/>
      <c r="I13303" s="246"/>
      <c r="J13303" s="242" t="s">
        <v>1582</v>
      </c>
      <c r="K13303" s="247"/>
      <c r="L13303" s="247">
        <f>K13302</f>
        <v>334.54448777029421</v>
      </c>
    </row>
    <row r="13304" spans="1:16" ht="11.25" customHeight="1" x14ac:dyDescent="0.2">
      <c r="A13304" s="210">
        <v>2026</v>
      </c>
      <c r="B13304" s="210">
        <v>2</v>
      </c>
      <c r="C13304" s="210">
        <v>9</v>
      </c>
      <c r="D13304" s="211">
        <f t="shared" si="1982"/>
        <v>46062</v>
      </c>
      <c r="E13304" s="238">
        <f t="shared" ref="E13304:E13334" si="1991">DATE(A13304,B13304,C13304)</f>
        <v>46062</v>
      </c>
      <c r="F13304" s="520" t="s">
        <v>2055</v>
      </c>
      <c r="G13304" s="213" t="s">
        <v>1245</v>
      </c>
      <c r="H13304" s="214"/>
      <c r="I13304" s="214" t="s">
        <v>1253</v>
      </c>
      <c r="J13304" s="210" t="s">
        <v>58</v>
      </c>
      <c r="K13304" s="215">
        <v>1698.4716458333332</v>
      </c>
      <c r="L13304" s="215"/>
    </row>
    <row r="13305" spans="1:16" ht="11.25" customHeight="1" x14ac:dyDescent="0.2">
      <c r="A13305" s="216">
        <v>2026</v>
      </c>
      <c r="B13305" s="216">
        <v>2</v>
      </c>
      <c r="C13305" s="216">
        <v>9</v>
      </c>
      <c r="D13305" s="217">
        <f t="shared" si="1982"/>
        <v>46062</v>
      </c>
      <c r="E13305" s="239">
        <f t="shared" si="1991"/>
        <v>46062</v>
      </c>
      <c r="F13305" s="521"/>
      <c r="G13305" s="219" t="s">
        <v>1245</v>
      </c>
      <c r="H13305" s="220"/>
      <c r="I13305" s="220" t="s">
        <v>1253</v>
      </c>
      <c r="J13305" s="216" t="s">
        <v>153</v>
      </c>
      <c r="K13305" s="221"/>
      <c r="L13305" s="221">
        <f>K13304</f>
        <v>1698.4716458333332</v>
      </c>
    </row>
    <row r="13306" spans="1:16" ht="11.25" customHeight="1" x14ac:dyDescent="0.2">
      <c r="A13306" s="312">
        <v>2026</v>
      </c>
      <c r="B13306" s="312">
        <v>2</v>
      </c>
      <c r="C13306" s="312">
        <v>9</v>
      </c>
      <c r="D13306" s="313">
        <f t="shared" si="1982"/>
        <v>46062</v>
      </c>
      <c r="E13306" s="314">
        <f t="shared" si="1991"/>
        <v>46062</v>
      </c>
      <c r="F13306" s="522" t="s">
        <v>1595</v>
      </c>
      <c r="G13306" s="315" t="s">
        <v>1245</v>
      </c>
      <c r="H13306" s="316"/>
      <c r="I13306" s="316" t="s">
        <v>1253</v>
      </c>
      <c r="J13306" s="312" t="s">
        <v>1461</v>
      </c>
      <c r="K13306" s="317">
        <v>98553.330000221729</v>
      </c>
      <c r="L13306" s="317"/>
      <c r="M13306" s="328"/>
    </row>
    <row r="13307" spans="1:16" ht="11.25" customHeight="1" x14ac:dyDescent="0.2">
      <c r="A13307" s="318">
        <v>2026</v>
      </c>
      <c r="B13307" s="318">
        <v>2</v>
      </c>
      <c r="C13307" s="318">
        <v>9</v>
      </c>
      <c r="D13307" s="319">
        <f t="shared" si="1982"/>
        <v>46062</v>
      </c>
      <c r="E13307" s="320">
        <f t="shared" si="1991"/>
        <v>46062</v>
      </c>
      <c r="F13307" s="523"/>
      <c r="G13307" s="321" t="s">
        <v>1245</v>
      </c>
      <c r="H13307" s="322"/>
      <c r="I13307" s="322" t="s">
        <v>1253</v>
      </c>
      <c r="J13307" s="318" t="s">
        <v>1459</v>
      </c>
      <c r="K13307" s="323"/>
      <c r="L13307" s="323">
        <f>K13306</f>
        <v>98553.330000221729</v>
      </c>
      <c r="M13307" s="328"/>
    </row>
    <row r="13308" spans="1:16" ht="11.25" customHeight="1" x14ac:dyDescent="0.2">
      <c r="A13308" s="222">
        <v>2026</v>
      </c>
      <c r="B13308" s="222">
        <v>2</v>
      </c>
      <c r="C13308" s="222">
        <v>9</v>
      </c>
      <c r="D13308" s="223">
        <f t="shared" si="1982"/>
        <v>46062</v>
      </c>
      <c r="E13308" s="240">
        <f t="shared" si="1991"/>
        <v>46062</v>
      </c>
      <c r="F13308" s="511" t="s">
        <v>1244</v>
      </c>
      <c r="G13308" s="225" t="s">
        <v>1245</v>
      </c>
      <c r="H13308" s="226"/>
      <c r="I13308" s="226" t="s">
        <v>1253</v>
      </c>
      <c r="J13308" s="222" t="s">
        <v>72</v>
      </c>
      <c r="K13308" s="227">
        <v>2558</v>
      </c>
      <c r="L13308" s="227"/>
      <c r="M13308" s="328"/>
    </row>
    <row r="13309" spans="1:16" ht="11.25" customHeight="1" x14ac:dyDescent="0.2">
      <c r="A13309" s="228">
        <v>2026</v>
      </c>
      <c r="B13309" s="228">
        <v>2</v>
      </c>
      <c r="C13309" s="228">
        <v>9</v>
      </c>
      <c r="D13309" s="229">
        <f t="shared" si="1982"/>
        <v>46062</v>
      </c>
      <c r="E13309" s="241">
        <f t="shared" si="1991"/>
        <v>46062</v>
      </c>
      <c r="F13309" s="512"/>
      <c r="G13309" s="231" t="s">
        <v>1245</v>
      </c>
      <c r="H13309" s="232"/>
      <c r="I13309" s="232" t="s">
        <v>1253</v>
      </c>
      <c r="J13309" s="228" t="s">
        <v>87</v>
      </c>
      <c r="K13309" s="233"/>
      <c r="L13309" s="233">
        <f>K13308</f>
        <v>2558</v>
      </c>
    </row>
    <row r="13310" spans="1:16" ht="11.25" customHeight="1" x14ac:dyDescent="0.2">
      <c r="A13310" s="222">
        <v>2026</v>
      </c>
      <c r="B13310" s="222">
        <v>2</v>
      </c>
      <c r="C13310" s="222">
        <v>9</v>
      </c>
      <c r="D13310" s="223">
        <f t="shared" si="1982"/>
        <v>46062</v>
      </c>
      <c r="E13310" s="240">
        <f t="shared" si="1991"/>
        <v>46062</v>
      </c>
      <c r="F13310" s="511" t="s">
        <v>2138</v>
      </c>
      <c r="G13310" s="225" t="s">
        <v>1245</v>
      </c>
      <c r="H13310" s="226"/>
      <c r="I13310" s="226" t="s">
        <v>1253</v>
      </c>
      <c r="J13310" s="222" t="s">
        <v>75</v>
      </c>
      <c r="K13310" s="227">
        <v>517.58912087912086</v>
      </c>
      <c r="L13310" s="227"/>
      <c r="M13310" s="455"/>
    </row>
    <row r="13311" spans="1:16" ht="11.25" customHeight="1" x14ac:dyDescent="0.2">
      <c r="A13311" s="228">
        <v>2026</v>
      </c>
      <c r="B13311" s="228">
        <v>2</v>
      </c>
      <c r="C13311" s="228">
        <v>9</v>
      </c>
      <c r="D13311" s="229">
        <f t="shared" si="1982"/>
        <v>46062</v>
      </c>
      <c r="E13311" s="241">
        <f t="shared" si="1991"/>
        <v>46062</v>
      </c>
      <c r="F13311" s="512"/>
      <c r="G13311" s="231" t="s">
        <v>1245</v>
      </c>
      <c r="H13311" s="232"/>
      <c r="I13311" s="232" t="s">
        <v>1253</v>
      </c>
      <c r="J13311" s="228" t="s">
        <v>55</v>
      </c>
      <c r="K13311" s="233"/>
      <c r="L13311" s="233">
        <f>K13310</f>
        <v>517.58912087912086</v>
      </c>
    </row>
    <row r="13312" spans="1:16" ht="11.25" customHeight="1" x14ac:dyDescent="0.2">
      <c r="A13312" s="222">
        <v>2026</v>
      </c>
      <c r="B13312" s="222">
        <v>2</v>
      </c>
      <c r="C13312" s="222">
        <v>9</v>
      </c>
      <c r="D13312" s="223">
        <f t="shared" si="1982"/>
        <v>46062</v>
      </c>
      <c r="E13312" s="240">
        <f t="shared" si="1991"/>
        <v>46062</v>
      </c>
      <c r="F13312" s="511" t="s">
        <v>2137</v>
      </c>
      <c r="G13312" s="225" t="s">
        <v>1245</v>
      </c>
      <c r="H13312" s="226"/>
      <c r="I13312" s="226" t="s">
        <v>1253</v>
      </c>
      <c r="J13312" s="222" t="s">
        <v>77</v>
      </c>
      <c r="K13312" s="227">
        <v>7533.5208875200406</v>
      </c>
      <c r="L13312" s="227"/>
      <c r="M13312" s="478">
        <v>7533.5208875200406</v>
      </c>
    </row>
    <row r="13313" spans="1:15" ht="11.25" customHeight="1" x14ac:dyDescent="0.2">
      <c r="A13313" s="228">
        <v>2026</v>
      </c>
      <c r="B13313" s="228">
        <v>2</v>
      </c>
      <c r="C13313" s="228">
        <v>9</v>
      </c>
      <c r="D13313" s="229">
        <f t="shared" si="1982"/>
        <v>46062</v>
      </c>
      <c r="E13313" s="241">
        <f t="shared" si="1991"/>
        <v>46062</v>
      </c>
      <c r="F13313" s="512"/>
      <c r="G13313" s="231" t="s">
        <v>1245</v>
      </c>
      <c r="H13313" s="232"/>
      <c r="I13313" s="232" t="s">
        <v>1253</v>
      </c>
      <c r="J13313" s="228" t="s">
        <v>41</v>
      </c>
      <c r="K13313" s="233"/>
      <c r="L13313" s="233">
        <f>K13312</f>
        <v>7533.5208875200406</v>
      </c>
      <c r="M13313" s="478">
        <v>753.35208875200385</v>
      </c>
      <c r="N13313" s="251"/>
    </row>
    <row r="13314" spans="1:15" ht="11.25" customHeight="1" x14ac:dyDescent="0.2">
      <c r="A13314" s="222">
        <v>2026</v>
      </c>
      <c r="B13314" s="222">
        <v>2</v>
      </c>
      <c r="C13314" s="222">
        <v>9</v>
      </c>
      <c r="D13314" s="223">
        <f t="shared" si="1982"/>
        <v>46062</v>
      </c>
      <c r="E13314" s="240">
        <f t="shared" si="1991"/>
        <v>46062</v>
      </c>
      <c r="F13314" s="511" t="s">
        <v>2136</v>
      </c>
      <c r="G13314" s="225" t="s">
        <v>1245</v>
      </c>
      <c r="H13314" s="226"/>
      <c r="I13314" s="226" t="s">
        <v>1253</v>
      </c>
      <c r="J13314" s="222" t="s">
        <v>80</v>
      </c>
      <c r="K13314" s="227">
        <v>753.35208875200385</v>
      </c>
      <c r="L13314" s="227"/>
      <c r="N13314" s="251"/>
      <c r="O13314" s="251"/>
    </row>
    <row r="13315" spans="1:15" ht="11.25" customHeight="1" x14ac:dyDescent="0.2">
      <c r="A13315" s="228">
        <v>2026</v>
      </c>
      <c r="B13315" s="228">
        <v>2</v>
      </c>
      <c r="C13315" s="228">
        <v>9</v>
      </c>
      <c r="D13315" s="229">
        <f t="shared" si="1982"/>
        <v>46062</v>
      </c>
      <c r="E13315" s="241">
        <f t="shared" si="1991"/>
        <v>46062</v>
      </c>
      <c r="F13315" s="512"/>
      <c r="G13315" s="231" t="s">
        <v>1245</v>
      </c>
      <c r="H13315" s="232"/>
      <c r="I13315" s="232" t="s">
        <v>1253</v>
      </c>
      <c r="J13315" s="228" t="s">
        <v>42</v>
      </c>
      <c r="K13315" s="233"/>
      <c r="L13315" s="233">
        <f>K13314</f>
        <v>753.35208875200385</v>
      </c>
      <c r="N13315" s="251"/>
    </row>
    <row r="13316" spans="1:15" x14ac:dyDescent="0.2">
      <c r="A13316" s="424">
        <v>2026</v>
      </c>
      <c r="B13316" s="424">
        <v>2</v>
      </c>
      <c r="C13316" s="424">
        <v>10</v>
      </c>
      <c r="D13316" s="425">
        <f t="shared" si="1982"/>
        <v>46063</v>
      </c>
      <c r="E13316" s="384">
        <f t="shared" ref="E13316:E13319" si="1992">DATE(A13316,B13316,C13316)</f>
        <v>46063</v>
      </c>
      <c r="F13316" s="516" t="s">
        <v>1850</v>
      </c>
      <c r="G13316" s="426" t="s">
        <v>1209</v>
      </c>
      <c r="H13316" s="427"/>
      <c r="I13316" s="427"/>
      <c r="J13316" s="428" t="s">
        <v>81</v>
      </c>
      <c r="K13316" s="429">
        <v>1595.8173626373627</v>
      </c>
      <c r="L13316" s="429"/>
      <c r="M13316" s="455"/>
    </row>
    <row r="13317" spans="1:15" x14ac:dyDescent="0.2">
      <c r="A13317" s="389">
        <v>2026</v>
      </c>
      <c r="B13317" s="389">
        <v>2</v>
      </c>
      <c r="C13317" s="389">
        <v>10</v>
      </c>
      <c r="D13317" s="390">
        <f t="shared" si="1982"/>
        <v>46063</v>
      </c>
      <c r="E13317" s="391">
        <f t="shared" si="1992"/>
        <v>46063</v>
      </c>
      <c r="F13317" s="517"/>
      <c r="G13317" s="392" t="s">
        <v>1209</v>
      </c>
      <c r="H13317" s="393"/>
      <c r="I13317" s="393"/>
      <c r="J13317" s="394" t="s">
        <v>1847</v>
      </c>
      <c r="K13317" s="423"/>
      <c r="L13317" s="423">
        <f>K13316</f>
        <v>1595.8173626373627</v>
      </c>
    </row>
    <row r="13318" spans="1:15" ht="11.25" customHeight="1" x14ac:dyDescent="0.2">
      <c r="A13318" s="382">
        <v>2026</v>
      </c>
      <c r="B13318" s="382">
        <v>2</v>
      </c>
      <c r="C13318" s="382">
        <v>10</v>
      </c>
      <c r="D13318" s="383">
        <f t="shared" si="1982"/>
        <v>46063</v>
      </c>
      <c r="E13318" s="384">
        <f t="shared" si="1992"/>
        <v>46063</v>
      </c>
      <c r="F13318" s="516" t="s">
        <v>1892</v>
      </c>
      <c r="G13318" s="385" t="s">
        <v>1209</v>
      </c>
      <c r="H13318" s="386"/>
      <c r="I13318" s="386"/>
      <c r="J13318" s="387" t="s">
        <v>173</v>
      </c>
      <c r="K13318" s="388">
        <v>593.33467398333323</v>
      </c>
      <c r="L13318" s="388"/>
      <c r="M13318" s="455"/>
    </row>
    <row r="13319" spans="1:15" ht="11.25" customHeight="1" x14ac:dyDescent="0.2">
      <c r="A13319" s="389">
        <v>2026</v>
      </c>
      <c r="B13319" s="389">
        <v>2</v>
      </c>
      <c r="C13319" s="389">
        <v>10</v>
      </c>
      <c r="D13319" s="390">
        <f t="shared" si="1982"/>
        <v>46063</v>
      </c>
      <c r="E13319" s="391">
        <f t="shared" si="1992"/>
        <v>46063</v>
      </c>
      <c r="F13319" s="517"/>
      <c r="G13319" s="392" t="s">
        <v>1209</v>
      </c>
      <c r="H13319" s="393"/>
      <c r="I13319" s="393"/>
      <c r="J13319" s="394" t="s">
        <v>43</v>
      </c>
      <c r="K13319" s="388"/>
      <c r="L13319" s="423">
        <f>K13318</f>
        <v>593.33467398333323</v>
      </c>
    </row>
    <row r="13320" spans="1:15" x14ac:dyDescent="0.2">
      <c r="A13320" s="197">
        <v>2026</v>
      </c>
      <c r="B13320" s="197">
        <v>2</v>
      </c>
      <c r="C13320" s="197">
        <v>10</v>
      </c>
      <c r="D13320" s="198">
        <f t="shared" si="1982"/>
        <v>46063</v>
      </c>
      <c r="E13320" s="209">
        <f t="shared" si="1991"/>
        <v>46063</v>
      </c>
      <c r="F13320" s="513" t="s">
        <v>1280</v>
      </c>
      <c r="G13320" s="200" t="s">
        <v>1209</v>
      </c>
      <c r="H13320" s="201"/>
      <c r="I13320" s="201"/>
      <c r="J13320" s="197" t="s">
        <v>16</v>
      </c>
      <c r="K13320" s="202">
        <v>17860</v>
      </c>
      <c r="L13320" s="202"/>
    </row>
    <row r="13321" spans="1:15" x14ac:dyDescent="0.2">
      <c r="A13321" s="120">
        <v>2026</v>
      </c>
      <c r="B13321" s="120">
        <v>2</v>
      </c>
      <c r="C13321" s="120">
        <v>10</v>
      </c>
      <c r="D13321" s="208">
        <f t="shared" si="1982"/>
        <v>46063</v>
      </c>
      <c r="E13321" s="209">
        <f t="shared" si="1991"/>
        <v>46063</v>
      </c>
      <c r="F13321" s="515"/>
      <c r="G13321" s="132" t="s">
        <v>1209</v>
      </c>
      <c r="J13321" s="120" t="s">
        <v>47</v>
      </c>
      <c r="K13321" s="207">
        <v>7140</v>
      </c>
      <c r="L13321" s="207"/>
    </row>
    <row r="13322" spans="1:15" x14ac:dyDescent="0.2">
      <c r="A13322" s="191">
        <v>2026</v>
      </c>
      <c r="B13322" s="191">
        <v>2</v>
      </c>
      <c r="C13322" s="191">
        <v>10</v>
      </c>
      <c r="D13322" s="192">
        <f t="shared" si="1982"/>
        <v>46063</v>
      </c>
      <c r="E13322" s="193">
        <f t="shared" si="1991"/>
        <v>46063</v>
      </c>
      <c r="F13322" s="514"/>
      <c r="G13322" s="194" t="s">
        <v>1209</v>
      </c>
      <c r="H13322" s="195"/>
      <c r="I13322" s="195"/>
      <c r="J13322" s="191" t="s">
        <v>46</v>
      </c>
      <c r="K13322" s="196"/>
      <c r="L13322" s="196">
        <v>25000</v>
      </c>
    </row>
    <row r="13323" spans="1:15" x14ac:dyDescent="0.2">
      <c r="A13323" s="424">
        <v>2026</v>
      </c>
      <c r="B13323" s="424">
        <v>2</v>
      </c>
      <c r="C13323" s="424">
        <v>10</v>
      </c>
      <c r="D13323" s="425">
        <f t="shared" ref="D13323:D13370" si="1993">DATE(A13323,B13323,C13323)</f>
        <v>46063</v>
      </c>
      <c r="E13323" s="384">
        <f t="shared" si="1991"/>
        <v>46063</v>
      </c>
      <c r="F13323" s="516" t="s">
        <v>1850</v>
      </c>
      <c r="G13323" s="426" t="s">
        <v>1209</v>
      </c>
      <c r="H13323" s="427"/>
      <c r="I13323" s="427"/>
      <c r="J13323" s="428" t="s">
        <v>81</v>
      </c>
      <c r="K13323" s="429">
        <v>1595.8173626373627</v>
      </c>
      <c r="L13323" s="429"/>
      <c r="M13323" s="455"/>
    </row>
    <row r="13324" spans="1:15" x14ac:dyDescent="0.2">
      <c r="A13324" s="389">
        <v>2026</v>
      </c>
      <c r="B13324" s="389">
        <v>2</v>
      </c>
      <c r="C13324" s="389">
        <v>10</v>
      </c>
      <c r="D13324" s="390">
        <f t="shared" si="1993"/>
        <v>46063</v>
      </c>
      <c r="E13324" s="391">
        <f t="shared" si="1991"/>
        <v>46063</v>
      </c>
      <c r="F13324" s="517"/>
      <c r="G13324" s="392" t="s">
        <v>1209</v>
      </c>
      <c r="H13324" s="393"/>
      <c r="I13324" s="393"/>
      <c r="J13324" s="394" t="s">
        <v>1847</v>
      </c>
      <c r="K13324" s="423"/>
      <c r="L13324" s="423">
        <f>K13323</f>
        <v>1595.8173626373627</v>
      </c>
    </row>
    <row r="13325" spans="1:15" ht="11.25" customHeight="1" x14ac:dyDescent="0.2">
      <c r="A13325" s="382">
        <v>2026</v>
      </c>
      <c r="B13325" s="382">
        <v>2</v>
      </c>
      <c r="C13325" s="382">
        <v>10</v>
      </c>
      <c r="D13325" s="383">
        <f t="shared" si="1993"/>
        <v>46063</v>
      </c>
      <c r="E13325" s="384">
        <f t="shared" si="1991"/>
        <v>46063</v>
      </c>
      <c r="F13325" s="516" t="s">
        <v>1892</v>
      </c>
      <c r="G13325" s="385" t="s">
        <v>1209</v>
      </c>
      <c r="H13325" s="386"/>
      <c r="I13325" s="386"/>
      <c r="J13325" s="387" t="s">
        <v>173</v>
      </c>
      <c r="K13325" s="388">
        <v>593.33467398333323</v>
      </c>
      <c r="L13325" s="388"/>
      <c r="M13325" s="455"/>
    </row>
    <row r="13326" spans="1:15" ht="11.25" customHeight="1" x14ac:dyDescent="0.2">
      <c r="A13326" s="389">
        <v>2026</v>
      </c>
      <c r="B13326" s="389">
        <v>2</v>
      </c>
      <c r="C13326" s="389">
        <v>10</v>
      </c>
      <c r="D13326" s="390">
        <f t="shared" si="1993"/>
        <v>46063</v>
      </c>
      <c r="E13326" s="391">
        <f t="shared" si="1991"/>
        <v>46063</v>
      </c>
      <c r="F13326" s="517"/>
      <c r="G13326" s="392" t="s">
        <v>1209</v>
      </c>
      <c r="H13326" s="393"/>
      <c r="I13326" s="393"/>
      <c r="J13326" s="394" t="s">
        <v>43</v>
      </c>
      <c r="K13326" s="388"/>
      <c r="L13326" s="423">
        <f>K13325</f>
        <v>593.33467398333323</v>
      </c>
    </row>
    <row r="13327" spans="1:15" ht="11.25" customHeight="1" x14ac:dyDescent="0.2">
      <c r="A13327" s="344">
        <v>2026</v>
      </c>
      <c r="B13327" s="344">
        <v>2</v>
      </c>
      <c r="C13327" s="344">
        <v>10</v>
      </c>
      <c r="D13327" s="345">
        <f t="shared" si="1993"/>
        <v>46063</v>
      </c>
      <c r="E13327" s="346">
        <f t="shared" si="1991"/>
        <v>46063</v>
      </c>
      <c r="F13327" s="518" t="s">
        <v>1982</v>
      </c>
      <c r="G13327" s="347" t="s">
        <v>1245</v>
      </c>
      <c r="H13327" s="348"/>
      <c r="I13327" s="348" t="s">
        <v>1253</v>
      </c>
      <c r="J13327" s="344" t="s">
        <v>1978</v>
      </c>
      <c r="K13327" s="349">
        <v>21249.725274725275</v>
      </c>
      <c r="L13327" s="349"/>
      <c r="M13327" s="455"/>
    </row>
    <row r="13328" spans="1:15" ht="11.25" customHeight="1" x14ac:dyDescent="0.2">
      <c r="A13328" s="350">
        <v>2026</v>
      </c>
      <c r="B13328" s="350">
        <v>2</v>
      </c>
      <c r="C13328" s="350">
        <v>10</v>
      </c>
      <c r="D13328" s="351">
        <f t="shared" si="1993"/>
        <v>46063</v>
      </c>
      <c r="E13328" s="352">
        <f t="shared" si="1991"/>
        <v>46063</v>
      </c>
      <c r="F13328" s="519"/>
      <c r="G13328" s="353" t="s">
        <v>1245</v>
      </c>
      <c r="H13328" s="354"/>
      <c r="I13328" s="354" t="s">
        <v>1253</v>
      </c>
      <c r="J13328" s="350" t="s">
        <v>1979</v>
      </c>
      <c r="K13328" s="355"/>
      <c r="L13328" s="355">
        <f>K13327</f>
        <v>21249.725274725275</v>
      </c>
    </row>
    <row r="13329" spans="1:16" ht="11.25" customHeight="1" x14ac:dyDescent="0.2">
      <c r="A13329" s="344">
        <v>2026</v>
      </c>
      <c r="B13329" s="344">
        <v>2</v>
      </c>
      <c r="C13329" s="344">
        <v>10</v>
      </c>
      <c r="D13329" s="345">
        <f t="shared" si="1993"/>
        <v>46063</v>
      </c>
      <c r="E13329" s="346">
        <f t="shared" si="1991"/>
        <v>46063</v>
      </c>
      <c r="F13329" s="518" t="s">
        <v>2009</v>
      </c>
      <c r="G13329" s="347" t="s">
        <v>1245</v>
      </c>
      <c r="H13329" s="348"/>
      <c r="I13329" s="348" t="s">
        <v>1253</v>
      </c>
      <c r="J13329" s="344" t="s">
        <v>2004</v>
      </c>
      <c r="K13329" s="349">
        <v>7098.9014285714284</v>
      </c>
      <c r="L13329" s="349"/>
      <c r="M13329" s="455"/>
    </row>
    <row r="13330" spans="1:16" ht="11.25" customHeight="1" x14ac:dyDescent="0.2">
      <c r="A13330" s="350">
        <v>2026</v>
      </c>
      <c r="B13330" s="350">
        <v>2</v>
      </c>
      <c r="C13330" s="350">
        <v>10</v>
      </c>
      <c r="D13330" s="351">
        <f t="shared" si="1993"/>
        <v>46063</v>
      </c>
      <c r="E13330" s="352">
        <f t="shared" si="1991"/>
        <v>46063</v>
      </c>
      <c r="F13330" s="519"/>
      <c r="G13330" s="353" t="s">
        <v>1245</v>
      </c>
      <c r="H13330" s="354"/>
      <c r="I13330" s="354" t="s">
        <v>1253</v>
      </c>
      <c r="J13330" s="350" t="s">
        <v>2008</v>
      </c>
      <c r="K13330" s="355"/>
      <c r="L13330" s="355">
        <f t="shared" ref="L13330" si="1994">K13329</f>
        <v>7098.9014285714284</v>
      </c>
    </row>
    <row r="13331" spans="1:16" ht="11.25" customHeight="1" x14ac:dyDescent="0.2">
      <c r="A13331" s="344">
        <v>2026</v>
      </c>
      <c r="B13331" s="344">
        <v>2</v>
      </c>
      <c r="C13331" s="344">
        <v>10</v>
      </c>
      <c r="D13331" s="345">
        <f t="shared" si="1993"/>
        <v>46063</v>
      </c>
      <c r="E13331" s="346">
        <f t="shared" si="1991"/>
        <v>46063</v>
      </c>
      <c r="F13331" s="518" t="s">
        <v>2009</v>
      </c>
      <c r="G13331" s="347" t="s">
        <v>1245</v>
      </c>
      <c r="H13331" s="348"/>
      <c r="I13331" s="348" t="s">
        <v>1253</v>
      </c>
      <c r="J13331" s="344" t="s">
        <v>2004</v>
      </c>
      <c r="K13331" s="349">
        <v>7098.9014285714284</v>
      </c>
      <c r="L13331" s="349"/>
      <c r="M13331" s="455"/>
    </row>
    <row r="13332" spans="1:16" ht="11.25" customHeight="1" x14ac:dyDescent="0.2">
      <c r="A13332" s="350">
        <v>2026</v>
      </c>
      <c r="B13332" s="350">
        <v>2</v>
      </c>
      <c r="C13332" s="350">
        <v>10</v>
      </c>
      <c r="D13332" s="351">
        <f t="shared" si="1993"/>
        <v>46063</v>
      </c>
      <c r="E13332" s="352">
        <f t="shared" si="1991"/>
        <v>46063</v>
      </c>
      <c r="F13332" s="519"/>
      <c r="G13332" s="353" t="s">
        <v>1245</v>
      </c>
      <c r="H13332" s="354"/>
      <c r="I13332" s="354" t="s">
        <v>1253</v>
      </c>
      <c r="J13332" s="350" t="s">
        <v>2008</v>
      </c>
      <c r="K13332" s="355"/>
      <c r="L13332" s="355">
        <f t="shared" ref="L13332" si="1995">K13331</f>
        <v>7098.9014285714284</v>
      </c>
    </row>
    <row r="13333" spans="1:16" ht="11.25" customHeight="1" x14ac:dyDescent="0.2">
      <c r="A13333" s="344">
        <v>2026</v>
      </c>
      <c r="B13333" s="344">
        <v>2</v>
      </c>
      <c r="C13333" s="344">
        <v>10</v>
      </c>
      <c r="D13333" s="345">
        <f t="shared" si="1993"/>
        <v>46063</v>
      </c>
      <c r="E13333" s="346">
        <f t="shared" si="1991"/>
        <v>46063</v>
      </c>
      <c r="F13333" s="518" t="s">
        <v>2088</v>
      </c>
      <c r="G13333" s="347" t="s">
        <v>1245</v>
      </c>
      <c r="H13333" s="348"/>
      <c r="I13333" s="348" t="s">
        <v>1253</v>
      </c>
      <c r="J13333" s="344" t="s">
        <v>2086</v>
      </c>
      <c r="K13333" s="349">
        <v>1789.835164835165</v>
      </c>
      <c r="L13333" s="349"/>
      <c r="M13333" s="455"/>
    </row>
    <row r="13334" spans="1:16" ht="11.25" customHeight="1" x14ac:dyDescent="0.2">
      <c r="A13334" s="350">
        <v>2026</v>
      </c>
      <c r="B13334" s="350">
        <v>2</v>
      </c>
      <c r="C13334" s="350">
        <v>10</v>
      </c>
      <c r="D13334" s="351">
        <f t="shared" si="1993"/>
        <v>46063</v>
      </c>
      <c r="E13334" s="352">
        <f t="shared" si="1991"/>
        <v>46063</v>
      </c>
      <c r="F13334" s="519"/>
      <c r="G13334" s="353" t="s">
        <v>1245</v>
      </c>
      <c r="H13334" s="354"/>
      <c r="I13334" s="354" t="s">
        <v>1253</v>
      </c>
      <c r="J13334" s="350" t="s">
        <v>2089</v>
      </c>
      <c r="K13334" s="355"/>
      <c r="L13334" s="355">
        <f>K13333</f>
        <v>1789.835164835165</v>
      </c>
    </row>
    <row r="13335" spans="1:16" ht="11.25" customHeight="1" x14ac:dyDescent="0.2">
      <c r="A13335" s="344">
        <v>2026</v>
      </c>
      <c r="B13335" s="344">
        <v>2</v>
      </c>
      <c r="C13335" s="344">
        <v>10</v>
      </c>
      <c r="D13335" s="345">
        <f t="shared" si="1993"/>
        <v>46063</v>
      </c>
      <c r="E13335" s="346">
        <f>DATE(A13335,B13335,C13335)</f>
        <v>46063</v>
      </c>
      <c r="F13335" s="518" t="s">
        <v>1988</v>
      </c>
      <c r="G13335" s="347" t="s">
        <v>1245</v>
      </c>
      <c r="H13335" s="348"/>
      <c r="I13335" s="348" t="s">
        <v>1253</v>
      </c>
      <c r="J13335" s="344" t="s">
        <v>113</v>
      </c>
      <c r="K13335" s="349">
        <v>4692.3071428571429</v>
      </c>
      <c r="L13335" s="349"/>
      <c r="M13335" s="455"/>
    </row>
    <row r="13336" spans="1:16" ht="11.25" customHeight="1" x14ac:dyDescent="0.2">
      <c r="A13336" s="350">
        <v>2026</v>
      </c>
      <c r="B13336" s="350">
        <v>2</v>
      </c>
      <c r="C13336" s="350">
        <v>10</v>
      </c>
      <c r="D13336" s="351">
        <f t="shared" si="1993"/>
        <v>46063</v>
      </c>
      <c r="E13336" s="352">
        <f>DATE(A13336,B13336,C13336)</f>
        <v>46063</v>
      </c>
      <c r="F13336" s="519"/>
      <c r="G13336" s="353" t="s">
        <v>1245</v>
      </c>
      <c r="H13336" s="354"/>
      <c r="I13336" s="354" t="s">
        <v>1253</v>
      </c>
      <c r="J13336" s="350" t="s">
        <v>153</v>
      </c>
      <c r="K13336" s="355"/>
      <c r="L13336" s="355">
        <f t="shared" ref="L13336" si="1996">K13335</f>
        <v>4692.3071428571429</v>
      </c>
    </row>
    <row r="13337" spans="1:16" ht="11.25" customHeight="1" x14ac:dyDescent="0.2">
      <c r="A13337" s="344">
        <v>2026</v>
      </c>
      <c r="B13337" s="344">
        <v>2</v>
      </c>
      <c r="C13337" s="344">
        <v>10</v>
      </c>
      <c r="D13337" s="345">
        <f t="shared" si="1993"/>
        <v>46063</v>
      </c>
      <c r="E13337" s="346">
        <f t="shared" ref="E13337:E13343" si="1997">DATE(A13337,B13337,C13337)</f>
        <v>46063</v>
      </c>
      <c r="F13337" s="518" t="s">
        <v>1989</v>
      </c>
      <c r="G13337" s="347" t="s">
        <v>1245</v>
      </c>
      <c r="H13337" s="348"/>
      <c r="I13337" s="348" t="s">
        <v>1253</v>
      </c>
      <c r="J13337" s="344" t="s">
        <v>113</v>
      </c>
      <c r="K13337" s="349">
        <v>3351.6483516483518</v>
      </c>
      <c r="L13337" s="349"/>
      <c r="M13337" s="455"/>
    </row>
    <row r="13338" spans="1:16" ht="11.25" customHeight="1" x14ac:dyDescent="0.2">
      <c r="A13338" s="350">
        <v>2026</v>
      </c>
      <c r="B13338" s="350">
        <v>2</v>
      </c>
      <c r="C13338" s="350">
        <v>10</v>
      </c>
      <c r="D13338" s="351">
        <f t="shared" si="1993"/>
        <v>46063</v>
      </c>
      <c r="E13338" s="352">
        <f t="shared" si="1997"/>
        <v>46063</v>
      </c>
      <c r="F13338" s="519"/>
      <c r="G13338" s="353" t="s">
        <v>1245</v>
      </c>
      <c r="H13338" s="354"/>
      <c r="I13338" s="354" t="s">
        <v>1253</v>
      </c>
      <c r="J13338" s="350" t="s">
        <v>153</v>
      </c>
      <c r="K13338" s="355"/>
      <c r="L13338" s="355">
        <f t="shared" ref="L13338" si="1998">K13337</f>
        <v>3351.6483516483518</v>
      </c>
    </row>
    <row r="13339" spans="1:16" ht="11.25" customHeight="1" x14ac:dyDescent="0.2">
      <c r="A13339" s="344">
        <v>2026</v>
      </c>
      <c r="B13339" s="344">
        <v>2</v>
      </c>
      <c r="C13339" s="344">
        <v>10</v>
      </c>
      <c r="D13339" s="345">
        <f t="shared" si="1993"/>
        <v>46063</v>
      </c>
      <c r="E13339" s="346">
        <f t="shared" si="1997"/>
        <v>46063</v>
      </c>
      <c r="F13339" s="518" t="s">
        <v>1990</v>
      </c>
      <c r="G13339" s="347" t="s">
        <v>1245</v>
      </c>
      <c r="H13339" s="348"/>
      <c r="I13339" s="348" t="s">
        <v>1253</v>
      </c>
      <c r="J13339" s="344" t="s">
        <v>113</v>
      </c>
      <c r="K13339" s="349">
        <v>10054.945714285714</v>
      </c>
      <c r="L13339" s="349"/>
      <c r="M13339" s="455"/>
      <c r="N13339" s="251"/>
      <c r="O13339" s="251"/>
      <c r="P13339" s="251"/>
    </row>
    <row r="13340" spans="1:16" ht="11.25" customHeight="1" x14ac:dyDescent="0.2">
      <c r="A13340" s="350">
        <v>2026</v>
      </c>
      <c r="B13340" s="350">
        <v>2</v>
      </c>
      <c r="C13340" s="350">
        <v>10</v>
      </c>
      <c r="D13340" s="351">
        <f t="shared" si="1993"/>
        <v>46063</v>
      </c>
      <c r="E13340" s="352">
        <f t="shared" si="1997"/>
        <v>46063</v>
      </c>
      <c r="F13340" s="519"/>
      <c r="G13340" s="353" t="s">
        <v>1245</v>
      </c>
      <c r="H13340" s="354"/>
      <c r="I13340" s="354" t="s">
        <v>1253</v>
      </c>
      <c r="J13340" s="350" t="s">
        <v>153</v>
      </c>
      <c r="K13340" s="355"/>
      <c r="L13340" s="355">
        <f t="shared" ref="L13340" si="1999">K13339</f>
        <v>10054.945714285714</v>
      </c>
      <c r="M13340" s="455"/>
    </row>
    <row r="13341" spans="1:16" ht="11.25" customHeight="1" x14ac:dyDescent="0.2">
      <c r="A13341" s="344">
        <v>2026</v>
      </c>
      <c r="B13341" s="344">
        <v>2</v>
      </c>
      <c r="C13341" s="344">
        <v>10</v>
      </c>
      <c r="D13341" s="345">
        <f t="shared" si="1993"/>
        <v>46063</v>
      </c>
      <c r="E13341" s="346">
        <f t="shared" si="1997"/>
        <v>46063</v>
      </c>
      <c r="F13341" s="518" t="s">
        <v>2107</v>
      </c>
      <c r="G13341" s="347" t="s">
        <v>1245</v>
      </c>
      <c r="H13341" s="348"/>
      <c r="I13341" s="348" t="s">
        <v>1253</v>
      </c>
      <c r="J13341" s="344" t="s">
        <v>113</v>
      </c>
      <c r="K13341" s="349">
        <v>12370.879120879121</v>
      </c>
      <c r="L13341" s="349"/>
      <c r="M13341" s="455"/>
      <c r="N13341" s="251"/>
      <c r="O13341" s="251"/>
      <c r="P13341" s="251"/>
    </row>
    <row r="13342" spans="1:16" ht="11.25" customHeight="1" x14ac:dyDescent="0.2">
      <c r="A13342" s="350">
        <v>2026</v>
      </c>
      <c r="B13342" s="350">
        <v>2</v>
      </c>
      <c r="C13342" s="350">
        <v>10</v>
      </c>
      <c r="D13342" s="351">
        <f t="shared" si="1993"/>
        <v>46063</v>
      </c>
      <c r="E13342" s="352">
        <f t="shared" si="1997"/>
        <v>46063</v>
      </c>
      <c r="F13342" s="519"/>
      <c r="G13342" s="353" t="s">
        <v>1245</v>
      </c>
      <c r="H13342" s="354"/>
      <c r="I13342" s="354" t="s">
        <v>1253</v>
      </c>
      <c r="J13342" s="350" t="s">
        <v>153</v>
      </c>
      <c r="K13342" s="355"/>
      <c r="L13342" s="355">
        <f t="shared" ref="L13342" si="2000">K13341</f>
        <v>12370.879120879121</v>
      </c>
    </row>
    <row r="13343" spans="1:16" ht="11.25" customHeight="1" x14ac:dyDescent="0.2">
      <c r="A13343" s="210">
        <v>2026</v>
      </c>
      <c r="B13343" s="210">
        <v>2</v>
      </c>
      <c r="C13343" s="210">
        <v>10</v>
      </c>
      <c r="D13343" s="211">
        <f t="shared" si="1993"/>
        <v>46063</v>
      </c>
      <c r="E13343" s="238">
        <f t="shared" si="1997"/>
        <v>46063</v>
      </c>
      <c r="F13343" s="520" t="s">
        <v>1857</v>
      </c>
      <c r="G13343" s="213" t="s">
        <v>1245</v>
      </c>
      <c r="H13343" s="214"/>
      <c r="I13343" s="214" t="s">
        <v>1253</v>
      </c>
      <c r="J13343" s="210" t="s">
        <v>1284</v>
      </c>
      <c r="K13343" s="215">
        <v>334.54448777029421</v>
      </c>
      <c r="L13343" s="215"/>
      <c r="M13343" s="455"/>
    </row>
    <row r="13344" spans="1:16" ht="11.25" customHeight="1" x14ac:dyDescent="0.2">
      <c r="A13344" s="242">
        <v>2026</v>
      </c>
      <c r="B13344" s="242">
        <v>2</v>
      </c>
      <c r="C13344" s="242">
        <v>10</v>
      </c>
      <c r="D13344" s="243">
        <f t="shared" si="1993"/>
        <v>46063</v>
      </c>
      <c r="E13344" s="244">
        <f>DATE(A13344,B13344,C13344)</f>
        <v>46063</v>
      </c>
      <c r="F13344" s="524"/>
      <c r="G13344" s="245" t="s">
        <v>1245</v>
      </c>
      <c r="H13344" s="246"/>
      <c r="I13344" s="246"/>
      <c r="J13344" s="242" t="s">
        <v>1582</v>
      </c>
      <c r="K13344" s="247"/>
      <c r="L13344" s="247">
        <f>K13343</f>
        <v>334.54448777029421</v>
      </c>
    </row>
    <row r="13345" spans="1:15" ht="11.25" customHeight="1" x14ac:dyDescent="0.2">
      <c r="A13345" s="210">
        <v>2026</v>
      </c>
      <c r="B13345" s="210">
        <v>2</v>
      </c>
      <c r="C13345" s="210">
        <v>10</v>
      </c>
      <c r="D13345" s="211">
        <f t="shared" si="1993"/>
        <v>46063</v>
      </c>
      <c r="E13345" s="238">
        <f t="shared" ref="E13345:E13382" si="2001">DATE(A13345,B13345,C13345)</f>
        <v>46063</v>
      </c>
      <c r="F13345" s="520" t="s">
        <v>2055</v>
      </c>
      <c r="G13345" s="213" t="s">
        <v>1245</v>
      </c>
      <c r="H13345" s="214"/>
      <c r="I13345" s="214" t="s">
        <v>1253</v>
      </c>
      <c r="J13345" s="210" t="s">
        <v>58</v>
      </c>
      <c r="K13345" s="215">
        <v>1707.5884611111107</v>
      </c>
      <c r="L13345" s="215"/>
    </row>
    <row r="13346" spans="1:15" ht="11.25" customHeight="1" x14ac:dyDescent="0.2">
      <c r="A13346" s="216">
        <v>2026</v>
      </c>
      <c r="B13346" s="216">
        <v>2</v>
      </c>
      <c r="C13346" s="216">
        <v>10</v>
      </c>
      <c r="D13346" s="217">
        <f t="shared" si="1993"/>
        <v>46063</v>
      </c>
      <c r="E13346" s="239">
        <f t="shared" si="2001"/>
        <v>46063</v>
      </c>
      <c r="F13346" s="521"/>
      <c r="G13346" s="219" t="s">
        <v>1245</v>
      </c>
      <c r="H13346" s="220"/>
      <c r="I13346" s="220" t="s">
        <v>1253</v>
      </c>
      <c r="J13346" s="216" t="s">
        <v>153</v>
      </c>
      <c r="K13346" s="221"/>
      <c r="L13346" s="221">
        <f>K13345</f>
        <v>1707.5884611111107</v>
      </c>
    </row>
    <row r="13347" spans="1:15" ht="11.25" customHeight="1" x14ac:dyDescent="0.2">
      <c r="A13347" s="312">
        <v>2026</v>
      </c>
      <c r="B13347" s="312">
        <v>2</v>
      </c>
      <c r="C13347" s="312">
        <v>10</v>
      </c>
      <c r="D13347" s="313">
        <f t="shared" si="1993"/>
        <v>46063</v>
      </c>
      <c r="E13347" s="314">
        <f t="shared" si="2001"/>
        <v>46063</v>
      </c>
      <c r="F13347" s="522" t="s">
        <v>1595</v>
      </c>
      <c r="G13347" s="315" t="s">
        <v>1245</v>
      </c>
      <c r="H13347" s="316"/>
      <c r="I13347" s="316" t="s">
        <v>1253</v>
      </c>
      <c r="J13347" s="312" t="s">
        <v>1461</v>
      </c>
      <c r="K13347" s="317">
        <v>98288.188999772072</v>
      </c>
      <c r="L13347" s="317"/>
      <c r="M13347" s="328"/>
    </row>
    <row r="13348" spans="1:15" ht="11.25" customHeight="1" x14ac:dyDescent="0.2">
      <c r="A13348" s="318">
        <v>2026</v>
      </c>
      <c r="B13348" s="318">
        <v>2</v>
      </c>
      <c r="C13348" s="318">
        <v>10</v>
      </c>
      <c r="D13348" s="319">
        <f t="shared" si="1993"/>
        <v>46063</v>
      </c>
      <c r="E13348" s="320">
        <f t="shared" si="2001"/>
        <v>46063</v>
      </c>
      <c r="F13348" s="523"/>
      <c r="G13348" s="321" t="s">
        <v>1245</v>
      </c>
      <c r="H13348" s="322"/>
      <c r="I13348" s="322" t="s">
        <v>1253</v>
      </c>
      <c r="J13348" s="318" t="s">
        <v>1459</v>
      </c>
      <c r="K13348" s="323"/>
      <c r="L13348" s="323">
        <f>K13347</f>
        <v>98288.188999772072</v>
      </c>
      <c r="M13348" s="328"/>
    </row>
    <row r="13349" spans="1:15" ht="11.25" customHeight="1" x14ac:dyDescent="0.2">
      <c r="A13349" s="222">
        <v>2026</v>
      </c>
      <c r="B13349" s="222">
        <v>2</v>
      </c>
      <c r="C13349" s="222">
        <v>10</v>
      </c>
      <c r="D13349" s="223">
        <f t="shared" si="1993"/>
        <v>46063</v>
      </c>
      <c r="E13349" s="240">
        <f t="shared" si="2001"/>
        <v>46063</v>
      </c>
      <c r="F13349" s="511" t="s">
        <v>1244</v>
      </c>
      <c r="G13349" s="225" t="s">
        <v>1245</v>
      </c>
      <c r="H13349" s="226"/>
      <c r="I13349" s="226" t="s">
        <v>1253</v>
      </c>
      <c r="J13349" s="222" t="s">
        <v>87</v>
      </c>
      <c r="K13349" s="227">
        <v>66.5</v>
      </c>
      <c r="L13349" s="227"/>
      <c r="M13349" s="328"/>
    </row>
    <row r="13350" spans="1:15" ht="11.25" customHeight="1" x14ac:dyDescent="0.2">
      <c r="A13350" s="228">
        <v>2026</v>
      </c>
      <c r="B13350" s="228">
        <v>2</v>
      </c>
      <c r="C13350" s="228">
        <v>10</v>
      </c>
      <c r="D13350" s="229">
        <f t="shared" si="1993"/>
        <v>46063</v>
      </c>
      <c r="E13350" s="241">
        <f t="shared" si="2001"/>
        <v>46063</v>
      </c>
      <c r="F13350" s="512"/>
      <c r="G13350" s="231" t="s">
        <v>1245</v>
      </c>
      <c r="H13350" s="232"/>
      <c r="I13350" s="232" t="s">
        <v>1253</v>
      </c>
      <c r="J13350" s="228" t="s">
        <v>72</v>
      </c>
      <c r="K13350" s="233"/>
      <c r="L13350" s="233">
        <f>K13349</f>
        <v>66.5</v>
      </c>
    </row>
    <row r="13351" spans="1:15" ht="11.25" customHeight="1" x14ac:dyDescent="0.2">
      <c r="A13351" s="222">
        <v>2026</v>
      </c>
      <c r="B13351" s="222">
        <v>2</v>
      </c>
      <c r="C13351" s="222">
        <v>10</v>
      </c>
      <c r="D13351" s="223">
        <f t="shared" si="1993"/>
        <v>46063</v>
      </c>
      <c r="E13351" s="240">
        <f t="shared" si="2001"/>
        <v>46063</v>
      </c>
      <c r="F13351" s="511" t="s">
        <v>2138</v>
      </c>
      <c r="G13351" s="225" t="s">
        <v>1245</v>
      </c>
      <c r="H13351" s="226"/>
      <c r="I13351" s="226" t="s">
        <v>1253</v>
      </c>
      <c r="J13351" s="222" t="s">
        <v>75</v>
      </c>
      <c r="K13351" s="227">
        <v>517.58912087912086</v>
      </c>
      <c r="L13351" s="227"/>
      <c r="M13351" s="455"/>
    </row>
    <row r="13352" spans="1:15" ht="11.25" customHeight="1" x14ac:dyDescent="0.2">
      <c r="A13352" s="228">
        <v>2026</v>
      </c>
      <c r="B13352" s="228">
        <v>2</v>
      </c>
      <c r="C13352" s="228">
        <v>10</v>
      </c>
      <c r="D13352" s="229">
        <f t="shared" si="1993"/>
        <v>46063</v>
      </c>
      <c r="E13352" s="241">
        <f t="shared" si="2001"/>
        <v>46063</v>
      </c>
      <c r="F13352" s="512"/>
      <c r="G13352" s="231" t="s">
        <v>1245</v>
      </c>
      <c r="H13352" s="232"/>
      <c r="I13352" s="232" t="s">
        <v>1253</v>
      </c>
      <c r="J13352" s="228" t="s">
        <v>55</v>
      </c>
      <c r="K13352" s="233"/>
      <c r="L13352" s="233">
        <f>K13351</f>
        <v>517.58912087912086</v>
      </c>
    </row>
    <row r="13353" spans="1:15" ht="11.25" customHeight="1" x14ac:dyDescent="0.2">
      <c r="A13353" s="222">
        <v>2026</v>
      </c>
      <c r="B13353" s="222">
        <v>2</v>
      </c>
      <c r="C13353" s="222">
        <v>10</v>
      </c>
      <c r="D13353" s="223">
        <f t="shared" si="1993"/>
        <v>46063</v>
      </c>
      <c r="E13353" s="240">
        <f t="shared" si="2001"/>
        <v>46063</v>
      </c>
      <c r="F13353" s="511" t="s">
        <v>2137</v>
      </c>
      <c r="G13353" s="225" t="s">
        <v>1245</v>
      </c>
      <c r="H13353" s="226"/>
      <c r="I13353" s="226" t="s">
        <v>1253</v>
      </c>
      <c r="J13353" s="222" t="s">
        <v>77</v>
      </c>
      <c r="K13353" s="227">
        <v>7533.5243736214134</v>
      </c>
      <c r="L13353" s="227"/>
      <c r="M13353" s="478"/>
    </row>
    <row r="13354" spans="1:15" ht="11.25" customHeight="1" x14ac:dyDescent="0.2">
      <c r="A13354" s="228">
        <v>2026</v>
      </c>
      <c r="B13354" s="228">
        <v>2</v>
      </c>
      <c r="C13354" s="228">
        <v>10</v>
      </c>
      <c r="D13354" s="229">
        <f t="shared" si="1993"/>
        <v>46063</v>
      </c>
      <c r="E13354" s="241">
        <f t="shared" si="2001"/>
        <v>46063</v>
      </c>
      <c r="F13354" s="512"/>
      <c r="G13354" s="231" t="s">
        <v>1245</v>
      </c>
      <c r="H13354" s="232"/>
      <c r="I13354" s="232" t="s">
        <v>1253</v>
      </c>
      <c r="J13354" s="228" t="s">
        <v>41</v>
      </c>
      <c r="K13354" s="233"/>
      <c r="L13354" s="233">
        <f>K13353</f>
        <v>7533.5243736214134</v>
      </c>
      <c r="M13354" s="478"/>
      <c r="N13354" s="251"/>
    </row>
    <row r="13355" spans="1:15" ht="11.25" customHeight="1" x14ac:dyDescent="0.2">
      <c r="A13355" s="222">
        <v>2026</v>
      </c>
      <c r="B13355" s="222">
        <v>2</v>
      </c>
      <c r="C13355" s="222">
        <v>10</v>
      </c>
      <c r="D13355" s="223">
        <f t="shared" si="1993"/>
        <v>46063</v>
      </c>
      <c r="E13355" s="240">
        <f t="shared" si="2001"/>
        <v>46063</v>
      </c>
      <c r="F13355" s="511" t="s">
        <v>2136</v>
      </c>
      <c r="G13355" s="225" t="s">
        <v>1245</v>
      </c>
      <c r="H13355" s="226"/>
      <c r="I13355" s="226" t="s">
        <v>1253</v>
      </c>
      <c r="J13355" s="222" t="s">
        <v>80</v>
      </c>
      <c r="K13355" s="227">
        <v>753.34208911437543</v>
      </c>
      <c r="L13355" s="227"/>
      <c r="N13355" s="251"/>
      <c r="O13355" s="251"/>
    </row>
    <row r="13356" spans="1:15" ht="11.25" customHeight="1" x14ac:dyDescent="0.2">
      <c r="A13356" s="228">
        <v>2026</v>
      </c>
      <c r="B13356" s="228">
        <v>2</v>
      </c>
      <c r="C13356" s="228">
        <v>10</v>
      </c>
      <c r="D13356" s="229">
        <f t="shared" si="1993"/>
        <v>46063</v>
      </c>
      <c r="E13356" s="241">
        <f t="shared" si="2001"/>
        <v>46063</v>
      </c>
      <c r="F13356" s="512"/>
      <c r="G13356" s="231" t="s">
        <v>1245</v>
      </c>
      <c r="H13356" s="232"/>
      <c r="I13356" s="232" t="s">
        <v>1253</v>
      </c>
      <c r="J13356" s="228" t="s">
        <v>42</v>
      </c>
      <c r="K13356" s="233"/>
      <c r="L13356" s="233">
        <f>K13355</f>
        <v>753.34208911437543</v>
      </c>
      <c r="N13356" s="251"/>
    </row>
    <row r="13357" spans="1:15" x14ac:dyDescent="0.2">
      <c r="A13357" s="197">
        <v>2026</v>
      </c>
      <c r="B13357" s="197">
        <v>2</v>
      </c>
      <c r="C13357" s="197">
        <v>15</v>
      </c>
      <c r="D13357" s="198">
        <f t="shared" si="1993"/>
        <v>46068</v>
      </c>
      <c r="E13357" s="209">
        <f t="shared" si="2001"/>
        <v>46068</v>
      </c>
      <c r="F13357" s="513" t="s">
        <v>1280</v>
      </c>
      <c r="G13357" s="200" t="s">
        <v>1209</v>
      </c>
      <c r="H13357" s="201"/>
      <c r="I13357" s="201"/>
      <c r="J13357" s="197" t="s">
        <v>16</v>
      </c>
      <c r="K13357" s="202">
        <v>7142350</v>
      </c>
      <c r="L13357" s="202"/>
    </row>
    <row r="13358" spans="1:15" x14ac:dyDescent="0.2">
      <c r="A13358" s="120">
        <v>2026</v>
      </c>
      <c r="B13358" s="120">
        <v>2</v>
      </c>
      <c r="C13358" s="120">
        <v>15</v>
      </c>
      <c r="D13358" s="208">
        <f t="shared" si="1993"/>
        <v>46068</v>
      </c>
      <c r="E13358" s="209">
        <f t="shared" si="2001"/>
        <v>46068</v>
      </c>
      <c r="F13358" s="515"/>
      <c r="G13358" s="132" t="s">
        <v>1209</v>
      </c>
      <c r="J13358" s="120" t="s">
        <v>47</v>
      </c>
      <c r="K13358" s="207">
        <v>2857650</v>
      </c>
      <c r="L13358" s="207"/>
    </row>
    <row r="13359" spans="1:15" x14ac:dyDescent="0.2">
      <c r="A13359" s="191">
        <v>2026</v>
      </c>
      <c r="B13359" s="191">
        <v>2</v>
      </c>
      <c r="C13359" s="191">
        <v>15</v>
      </c>
      <c r="D13359" s="192">
        <f t="shared" si="1993"/>
        <v>46068</v>
      </c>
      <c r="E13359" s="193">
        <f t="shared" si="2001"/>
        <v>46068</v>
      </c>
      <c r="F13359" s="514"/>
      <c r="G13359" s="194" t="s">
        <v>1209</v>
      </c>
      <c r="H13359" s="195"/>
      <c r="I13359" s="195"/>
      <c r="J13359" s="191" t="s">
        <v>46</v>
      </c>
      <c r="K13359" s="196"/>
      <c r="L13359" s="196">
        <v>10000000</v>
      </c>
    </row>
    <row r="13360" spans="1:15" x14ac:dyDescent="0.2">
      <c r="A13360" s="197">
        <v>2026</v>
      </c>
      <c r="B13360" s="197">
        <v>2</v>
      </c>
      <c r="C13360" s="197">
        <v>15</v>
      </c>
      <c r="D13360" s="198">
        <f t="shared" si="1993"/>
        <v>46068</v>
      </c>
      <c r="E13360" s="209">
        <f t="shared" si="2001"/>
        <v>46068</v>
      </c>
      <c r="F13360" s="513" t="s">
        <v>1210</v>
      </c>
      <c r="G13360" s="200" t="s">
        <v>1209</v>
      </c>
      <c r="H13360" s="201"/>
      <c r="I13360" s="201"/>
      <c r="J13360" s="197" t="s">
        <v>46</v>
      </c>
      <c r="K13360" s="202">
        <v>1000000</v>
      </c>
      <c r="L13360" s="202"/>
    </row>
    <row r="13361" spans="1:15" x14ac:dyDescent="0.2">
      <c r="A13361" s="120">
        <v>2026</v>
      </c>
      <c r="B13361" s="120">
        <v>2</v>
      </c>
      <c r="C13361" s="120">
        <v>15</v>
      </c>
      <c r="D13361" s="208">
        <f t="shared" si="1993"/>
        <v>46068</v>
      </c>
      <c r="E13361" s="209">
        <f t="shared" si="2001"/>
        <v>46068</v>
      </c>
      <c r="F13361" s="515"/>
      <c r="G13361" s="132" t="s">
        <v>1209</v>
      </c>
      <c r="J13361" s="120" t="s">
        <v>16</v>
      </c>
      <c r="K13361" s="207"/>
      <c r="L13361" s="207">
        <v>714230</v>
      </c>
    </row>
    <row r="13362" spans="1:15" x14ac:dyDescent="0.2">
      <c r="A13362" s="191">
        <v>2026</v>
      </c>
      <c r="B13362" s="191">
        <v>2</v>
      </c>
      <c r="C13362" s="191">
        <v>15</v>
      </c>
      <c r="D13362" s="192">
        <f t="shared" si="1993"/>
        <v>46068</v>
      </c>
      <c r="E13362" s="193">
        <f t="shared" si="2001"/>
        <v>46068</v>
      </c>
      <c r="F13362" s="514"/>
      <c r="G13362" s="194" t="s">
        <v>1209</v>
      </c>
      <c r="H13362" s="195"/>
      <c r="I13362" s="195"/>
      <c r="J13362" s="191" t="s">
        <v>47</v>
      </c>
      <c r="K13362" s="196"/>
      <c r="L13362" s="196">
        <v>285770</v>
      </c>
    </row>
    <row r="13363" spans="1:15" x14ac:dyDescent="0.2">
      <c r="A13363" s="197">
        <v>2026</v>
      </c>
      <c r="B13363" s="197">
        <v>2</v>
      </c>
      <c r="C13363" s="197">
        <v>15</v>
      </c>
      <c r="D13363" s="198">
        <f t="shared" si="1993"/>
        <v>46068</v>
      </c>
      <c r="E13363" s="209">
        <f t="shared" si="2001"/>
        <v>46068</v>
      </c>
      <c r="F13363" s="513" t="s">
        <v>1296</v>
      </c>
      <c r="G13363" s="200" t="s">
        <v>1209</v>
      </c>
      <c r="H13363" s="201"/>
      <c r="I13363" s="201"/>
      <c r="J13363" s="197" t="s">
        <v>46</v>
      </c>
      <c r="K13363" s="202">
        <v>136000</v>
      </c>
      <c r="L13363" s="202"/>
    </row>
    <row r="13364" spans="1:15" x14ac:dyDescent="0.2">
      <c r="A13364" s="120">
        <v>2026</v>
      </c>
      <c r="B13364" s="120">
        <v>2</v>
      </c>
      <c r="C13364" s="120">
        <v>15</v>
      </c>
      <c r="D13364" s="208">
        <f t="shared" si="1993"/>
        <v>46068</v>
      </c>
      <c r="E13364" s="209">
        <f t="shared" si="2001"/>
        <v>46068</v>
      </c>
      <c r="F13364" s="515"/>
      <c r="G13364" s="132" t="s">
        <v>1209</v>
      </c>
      <c r="J13364" s="120" t="s">
        <v>16</v>
      </c>
      <c r="K13364" s="207"/>
      <c r="L13364" s="207">
        <v>97120</v>
      </c>
    </row>
    <row r="13365" spans="1:15" x14ac:dyDescent="0.2">
      <c r="A13365" s="191">
        <v>2026</v>
      </c>
      <c r="B13365" s="191">
        <v>2</v>
      </c>
      <c r="C13365" s="191">
        <v>15</v>
      </c>
      <c r="D13365" s="192">
        <f t="shared" si="1993"/>
        <v>46068</v>
      </c>
      <c r="E13365" s="193">
        <f t="shared" si="2001"/>
        <v>46068</v>
      </c>
      <c r="F13365" s="514"/>
      <c r="G13365" s="194" t="s">
        <v>1209</v>
      </c>
      <c r="H13365" s="195"/>
      <c r="I13365" s="195"/>
      <c r="J13365" s="191" t="s">
        <v>47</v>
      </c>
      <c r="K13365" s="196"/>
      <c r="L13365" s="196">
        <v>38880</v>
      </c>
    </row>
    <row r="13366" spans="1:15" ht="11.25" customHeight="1" x14ac:dyDescent="0.2">
      <c r="A13366" s="197">
        <v>2026</v>
      </c>
      <c r="B13366" s="197">
        <v>2</v>
      </c>
      <c r="C13366" s="197">
        <v>15</v>
      </c>
      <c r="D13366" s="198">
        <f t="shared" si="1993"/>
        <v>46068</v>
      </c>
      <c r="E13366" s="290">
        <f>DATE(A13366,B13366,C13366)</f>
        <v>46068</v>
      </c>
      <c r="F13366" s="513" t="s">
        <v>1514</v>
      </c>
      <c r="G13366" s="200" t="s">
        <v>1209</v>
      </c>
      <c r="H13366" s="201"/>
      <c r="I13366" s="201"/>
      <c r="J13366" s="197" t="s">
        <v>54</v>
      </c>
      <c r="K13366" s="202">
        <v>100</v>
      </c>
      <c r="L13366" s="202"/>
      <c r="O13366" s="251"/>
    </row>
    <row r="13367" spans="1:15" ht="11.25" customHeight="1" x14ac:dyDescent="0.2">
      <c r="A13367" s="191">
        <v>2026</v>
      </c>
      <c r="B13367" s="191">
        <v>2</v>
      </c>
      <c r="C13367" s="191">
        <v>15</v>
      </c>
      <c r="D13367" s="192">
        <f t="shared" si="1993"/>
        <v>46068</v>
      </c>
      <c r="E13367" s="291">
        <f>DATE(A13367,B13367,C13367)</f>
        <v>46068</v>
      </c>
      <c r="F13367" s="514"/>
      <c r="G13367" s="194" t="s">
        <v>1209</v>
      </c>
      <c r="H13367" s="195"/>
      <c r="I13367" s="195"/>
      <c r="J13367" s="191" t="s">
        <v>46</v>
      </c>
      <c r="K13367" s="196"/>
      <c r="L13367" s="196">
        <f>K13366</f>
        <v>100</v>
      </c>
      <c r="O13367" s="251"/>
    </row>
    <row r="13368" spans="1:15" ht="11.25" customHeight="1" x14ac:dyDescent="0.2">
      <c r="A13368" s="197">
        <v>2026</v>
      </c>
      <c r="B13368" s="197">
        <v>2</v>
      </c>
      <c r="C13368" s="197">
        <v>15</v>
      </c>
      <c r="D13368" s="198">
        <f t="shared" si="1993"/>
        <v>46068</v>
      </c>
      <c r="E13368" s="199">
        <f t="shared" ref="E13368:E13370" si="2002">DATE(A13368,B13368,C13368)</f>
        <v>46068</v>
      </c>
      <c r="F13368" s="513" t="s">
        <v>2080</v>
      </c>
      <c r="G13368" s="200" t="s">
        <v>1209</v>
      </c>
      <c r="H13368" s="201"/>
      <c r="I13368" s="201" t="s">
        <v>1253</v>
      </c>
      <c r="J13368" s="197" t="s">
        <v>46</v>
      </c>
      <c r="K13368" s="202">
        <v>5510933.2999999998</v>
      </c>
      <c r="L13368" s="202"/>
    </row>
    <row r="13369" spans="1:15" ht="11.25" customHeight="1" x14ac:dyDescent="0.2">
      <c r="A13369" s="120">
        <v>2026</v>
      </c>
      <c r="B13369" s="120">
        <v>2</v>
      </c>
      <c r="C13369" s="120">
        <v>15</v>
      </c>
      <c r="D13369" s="208">
        <f t="shared" si="1993"/>
        <v>46068</v>
      </c>
      <c r="E13369" s="209">
        <f t="shared" si="2002"/>
        <v>46068</v>
      </c>
      <c r="F13369" s="515"/>
      <c r="G13369" s="132" t="s">
        <v>1209</v>
      </c>
      <c r="J13369" s="120" t="s">
        <v>1463</v>
      </c>
      <c r="K13369" s="328"/>
      <c r="L13369" s="207">
        <v>145461.84</v>
      </c>
    </row>
    <row r="13370" spans="1:15" ht="11.25" customHeight="1" x14ac:dyDescent="0.2">
      <c r="A13370" s="191">
        <v>2026</v>
      </c>
      <c r="B13370" s="191">
        <v>2</v>
      </c>
      <c r="C13370" s="191">
        <v>15</v>
      </c>
      <c r="D13370" s="192">
        <f t="shared" si="1993"/>
        <v>46068</v>
      </c>
      <c r="E13370" s="193">
        <f t="shared" si="2002"/>
        <v>46068</v>
      </c>
      <c r="F13370" s="514"/>
      <c r="G13370" s="194" t="s">
        <v>1209</v>
      </c>
      <c r="H13370" s="195"/>
      <c r="I13370" s="195" t="s">
        <v>1253</v>
      </c>
      <c r="J13370" s="191" t="s">
        <v>1837</v>
      </c>
      <c r="K13370" s="196"/>
      <c r="L13370" s="196">
        <v>5365471.46</v>
      </c>
      <c r="N13370" s="130"/>
    </row>
    <row r="13371" spans="1:15" x14ac:dyDescent="0.2">
      <c r="A13371" s="424">
        <v>2026</v>
      </c>
      <c r="B13371" s="424">
        <v>2</v>
      </c>
      <c r="C13371" s="424">
        <v>15</v>
      </c>
      <c r="D13371" s="425">
        <f t="shared" ref="D13371:D13409" si="2003">DATE(A13371,B13371,C13371)</f>
        <v>46068</v>
      </c>
      <c r="E13371" s="384">
        <f t="shared" si="2001"/>
        <v>46068</v>
      </c>
      <c r="F13371" s="516" t="s">
        <v>1850</v>
      </c>
      <c r="G13371" s="426" t="s">
        <v>1209</v>
      </c>
      <c r="H13371" s="427"/>
      <c r="I13371" s="427"/>
      <c r="J13371" s="428" t="s">
        <v>81</v>
      </c>
      <c r="K13371" s="429">
        <f>5*1595.81736263736</f>
        <v>7979.0868131868001</v>
      </c>
      <c r="L13371" s="429"/>
      <c r="M13371" s="455"/>
    </row>
    <row r="13372" spans="1:15" x14ac:dyDescent="0.2">
      <c r="A13372" s="389">
        <v>2026</v>
      </c>
      <c r="B13372" s="389">
        <v>2</v>
      </c>
      <c r="C13372" s="389">
        <v>15</v>
      </c>
      <c r="D13372" s="390">
        <f t="shared" si="2003"/>
        <v>46068</v>
      </c>
      <c r="E13372" s="391">
        <f t="shared" si="2001"/>
        <v>46068</v>
      </c>
      <c r="F13372" s="517"/>
      <c r="G13372" s="392" t="s">
        <v>1209</v>
      </c>
      <c r="H13372" s="393"/>
      <c r="I13372" s="393"/>
      <c r="J13372" s="394" t="s">
        <v>1847</v>
      </c>
      <c r="K13372" s="423"/>
      <c r="L13372" s="423">
        <f>K13371</f>
        <v>7979.0868131868001</v>
      </c>
    </row>
    <row r="13373" spans="1:15" ht="11.25" customHeight="1" x14ac:dyDescent="0.2">
      <c r="A13373" s="382">
        <v>2026</v>
      </c>
      <c r="B13373" s="382">
        <v>2</v>
      </c>
      <c r="C13373" s="382">
        <v>15</v>
      </c>
      <c r="D13373" s="383">
        <f t="shared" si="2003"/>
        <v>46068</v>
      </c>
      <c r="E13373" s="384">
        <f t="shared" si="2001"/>
        <v>46068</v>
      </c>
      <c r="F13373" s="516" t="s">
        <v>1892</v>
      </c>
      <c r="G13373" s="385" t="s">
        <v>1209</v>
      </c>
      <c r="H13373" s="386"/>
      <c r="I13373" s="386"/>
      <c r="J13373" s="387" t="s">
        <v>173</v>
      </c>
      <c r="K13373" s="388">
        <v>3564.1149810000002</v>
      </c>
      <c r="L13373" s="388"/>
      <c r="M13373" s="455"/>
    </row>
    <row r="13374" spans="1:15" ht="11.25" customHeight="1" x14ac:dyDescent="0.2">
      <c r="A13374" s="389">
        <v>2026</v>
      </c>
      <c r="B13374" s="389">
        <v>2</v>
      </c>
      <c r="C13374" s="389">
        <v>15</v>
      </c>
      <c r="D13374" s="390">
        <f t="shared" si="2003"/>
        <v>46068</v>
      </c>
      <c r="E13374" s="391">
        <f t="shared" si="2001"/>
        <v>46068</v>
      </c>
      <c r="F13374" s="517"/>
      <c r="G13374" s="392" t="s">
        <v>1209</v>
      </c>
      <c r="H13374" s="393"/>
      <c r="I13374" s="393"/>
      <c r="J13374" s="394" t="s">
        <v>43</v>
      </c>
      <c r="K13374" s="388"/>
      <c r="L13374" s="423">
        <f>K13373</f>
        <v>3564.1149810000002</v>
      </c>
    </row>
    <row r="13375" spans="1:15" ht="11.25" customHeight="1" x14ac:dyDescent="0.2">
      <c r="A13375" s="344">
        <v>2026</v>
      </c>
      <c r="B13375" s="344">
        <v>2</v>
      </c>
      <c r="C13375" s="344">
        <v>15</v>
      </c>
      <c r="D13375" s="345">
        <f t="shared" si="2003"/>
        <v>46068</v>
      </c>
      <c r="E13375" s="346">
        <f t="shared" si="2001"/>
        <v>46068</v>
      </c>
      <c r="F13375" s="518" t="s">
        <v>1982</v>
      </c>
      <c r="G13375" s="347" t="s">
        <v>1245</v>
      </c>
      <c r="H13375" s="348"/>
      <c r="I13375" s="348" t="s">
        <v>1253</v>
      </c>
      <c r="J13375" s="344" t="s">
        <v>1978</v>
      </c>
      <c r="K13375" s="349">
        <f>5*21249.7252747253</f>
        <v>106248.6263736265</v>
      </c>
      <c r="L13375" s="349"/>
      <c r="M13375" s="455"/>
    </row>
    <row r="13376" spans="1:15" ht="11.25" customHeight="1" x14ac:dyDescent="0.2">
      <c r="A13376" s="350">
        <v>2026</v>
      </c>
      <c r="B13376" s="350">
        <v>2</v>
      </c>
      <c r="C13376" s="350">
        <v>15</v>
      </c>
      <c r="D13376" s="351">
        <f t="shared" si="2003"/>
        <v>46068</v>
      </c>
      <c r="E13376" s="352">
        <f t="shared" si="2001"/>
        <v>46068</v>
      </c>
      <c r="F13376" s="519"/>
      <c r="G13376" s="353" t="s">
        <v>1245</v>
      </c>
      <c r="H13376" s="354"/>
      <c r="I13376" s="354" t="s">
        <v>1253</v>
      </c>
      <c r="J13376" s="350" t="s">
        <v>1979</v>
      </c>
      <c r="K13376" s="355"/>
      <c r="L13376" s="355">
        <f>K13375</f>
        <v>106248.6263736265</v>
      </c>
    </row>
    <row r="13377" spans="1:16" ht="11.25" customHeight="1" x14ac:dyDescent="0.2">
      <c r="A13377" s="344">
        <v>2026</v>
      </c>
      <c r="B13377" s="344">
        <v>2</v>
      </c>
      <c r="C13377" s="344">
        <v>15</v>
      </c>
      <c r="D13377" s="345">
        <f t="shared" si="2003"/>
        <v>46068</v>
      </c>
      <c r="E13377" s="346">
        <f t="shared" si="2001"/>
        <v>46068</v>
      </c>
      <c r="F13377" s="518" t="s">
        <v>2009</v>
      </c>
      <c r="G13377" s="347" t="s">
        <v>1245</v>
      </c>
      <c r="H13377" s="348"/>
      <c r="I13377" s="348" t="s">
        <v>1253</v>
      </c>
      <c r="J13377" s="344" t="s">
        <v>2004</v>
      </c>
      <c r="K13377" s="349">
        <f>5*7098.90142857143</f>
        <v>35494.507142857154</v>
      </c>
      <c r="L13377" s="349"/>
      <c r="M13377" s="455"/>
    </row>
    <row r="13378" spans="1:16" ht="11.25" customHeight="1" x14ac:dyDescent="0.2">
      <c r="A13378" s="350">
        <v>2026</v>
      </c>
      <c r="B13378" s="350">
        <v>2</v>
      </c>
      <c r="C13378" s="350">
        <v>15</v>
      </c>
      <c r="D13378" s="351">
        <f t="shared" si="2003"/>
        <v>46068</v>
      </c>
      <c r="E13378" s="352">
        <f t="shared" si="2001"/>
        <v>46068</v>
      </c>
      <c r="F13378" s="519"/>
      <c r="G13378" s="353" t="s">
        <v>1245</v>
      </c>
      <c r="H13378" s="354"/>
      <c r="I13378" s="354" t="s">
        <v>1253</v>
      </c>
      <c r="J13378" s="350" t="s">
        <v>2008</v>
      </c>
      <c r="K13378" s="355"/>
      <c r="L13378" s="355">
        <f t="shared" ref="L13378" si="2004">K13377</f>
        <v>35494.507142857154</v>
      </c>
    </row>
    <row r="13379" spans="1:16" ht="11.25" customHeight="1" x14ac:dyDescent="0.2">
      <c r="A13379" s="344">
        <v>2026</v>
      </c>
      <c r="B13379" s="344">
        <v>2</v>
      </c>
      <c r="C13379" s="344">
        <v>15</v>
      </c>
      <c r="D13379" s="345">
        <f t="shared" si="2003"/>
        <v>46068</v>
      </c>
      <c r="E13379" s="346">
        <f t="shared" si="2001"/>
        <v>46068</v>
      </c>
      <c r="F13379" s="518" t="s">
        <v>2009</v>
      </c>
      <c r="G13379" s="347" t="s">
        <v>1245</v>
      </c>
      <c r="H13379" s="348"/>
      <c r="I13379" s="348" t="s">
        <v>1253</v>
      </c>
      <c r="J13379" s="344" t="s">
        <v>2004</v>
      </c>
      <c r="K13379" s="349">
        <f>5*7098.90142857143</f>
        <v>35494.507142857154</v>
      </c>
      <c r="L13379" s="349"/>
      <c r="M13379" s="455"/>
    </row>
    <row r="13380" spans="1:16" ht="11.25" customHeight="1" x14ac:dyDescent="0.2">
      <c r="A13380" s="350">
        <v>2026</v>
      </c>
      <c r="B13380" s="350">
        <v>2</v>
      </c>
      <c r="C13380" s="350">
        <v>15</v>
      </c>
      <c r="D13380" s="351">
        <f t="shared" si="2003"/>
        <v>46068</v>
      </c>
      <c r="E13380" s="352">
        <f t="shared" si="2001"/>
        <v>46068</v>
      </c>
      <c r="F13380" s="519"/>
      <c r="G13380" s="353" t="s">
        <v>1245</v>
      </c>
      <c r="H13380" s="354"/>
      <c r="I13380" s="354" t="s">
        <v>1253</v>
      </c>
      <c r="J13380" s="350" t="s">
        <v>2008</v>
      </c>
      <c r="K13380" s="355"/>
      <c r="L13380" s="355">
        <f t="shared" ref="L13380" si="2005">K13379</f>
        <v>35494.507142857154</v>
      </c>
    </row>
    <row r="13381" spans="1:16" ht="11.25" customHeight="1" x14ac:dyDescent="0.2">
      <c r="A13381" s="344">
        <v>2026</v>
      </c>
      <c r="B13381" s="344">
        <v>2</v>
      </c>
      <c r="C13381" s="344">
        <v>15</v>
      </c>
      <c r="D13381" s="345">
        <f t="shared" si="2003"/>
        <v>46068</v>
      </c>
      <c r="E13381" s="346">
        <f t="shared" si="2001"/>
        <v>46068</v>
      </c>
      <c r="F13381" s="518" t="s">
        <v>2088</v>
      </c>
      <c r="G13381" s="347" t="s">
        <v>1245</v>
      </c>
      <c r="H13381" s="348"/>
      <c r="I13381" s="348" t="s">
        <v>1253</v>
      </c>
      <c r="J13381" s="344" t="s">
        <v>2086</v>
      </c>
      <c r="K13381" s="349">
        <f>5*1789.83516483516</f>
        <v>8949.1758241757998</v>
      </c>
      <c r="L13381" s="349"/>
      <c r="M13381" s="455"/>
    </row>
    <row r="13382" spans="1:16" ht="11.25" customHeight="1" x14ac:dyDescent="0.2">
      <c r="A13382" s="350">
        <v>2026</v>
      </c>
      <c r="B13382" s="350">
        <v>2</v>
      </c>
      <c r="C13382" s="350">
        <v>15</v>
      </c>
      <c r="D13382" s="351">
        <f t="shared" si="2003"/>
        <v>46068</v>
      </c>
      <c r="E13382" s="352">
        <f t="shared" si="2001"/>
        <v>46068</v>
      </c>
      <c r="F13382" s="519"/>
      <c r="G13382" s="353" t="s">
        <v>1245</v>
      </c>
      <c r="H13382" s="354"/>
      <c r="I13382" s="354" t="s">
        <v>1253</v>
      </c>
      <c r="J13382" s="350" t="s">
        <v>2089</v>
      </c>
      <c r="K13382" s="355"/>
      <c r="L13382" s="355">
        <f>K13381</f>
        <v>8949.1758241757998</v>
      </c>
    </row>
    <row r="13383" spans="1:16" ht="11.25" customHeight="1" x14ac:dyDescent="0.2">
      <c r="A13383" s="344">
        <v>2026</v>
      </c>
      <c r="B13383" s="344">
        <v>2</v>
      </c>
      <c r="C13383" s="344">
        <v>15</v>
      </c>
      <c r="D13383" s="345">
        <f t="shared" si="2003"/>
        <v>46068</v>
      </c>
      <c r="E13383" s="346">
        <f>DATE(A13383,B13383,C13383)</f>
        <v>46068</v>
      </c>
      <c r="F13383" s="518" t="s">
        <v>1988</v>
      </c>
      <c r="G13383" s="347" t="s">
        <v>1245</v>
      </c>
      <c r="H13383" s="348"/>
      <c r="I13383" s="348" t="s">
        <v>1253</v>
      </c>
      <c r="J13383" s="344" t="s">
        <v>113</v>
      </c>
      <c r="K13383" s="349">
        <f>5*4692.30714285714</f>
        <v>23461.535714285703</v>
      </c>
      <c r="L13383" s="349"/>
      <c r="M13383" s="455"/>
    </row>
    <row r="13384" spans="1:16" ht="11.25" customHeight="1" x14ac:dyDescent="0.2">
      <c r="A13384" s="350">
        <v>2026</v>
      </c>
      <c r="B13384" s="350">
        <v>2</v>
      </c>
      <c r="C13384" s="350">
        <v>15</v>
      </c>
      <c r="D13384" s="351">
        <f t="shared" si="2003"/>
        <v>46068</v>
      </c>
      <c r="E13384" s="352">
        <f>DATE(A13384,B13384,C13384)</f>
        <v>46068</v>
      </c>
      <c r="F13384" s="519"/>
      <c r="G13384" s="353" t="s">
        <v>1245</v>
      </c>
      <c r="H13384" s="354"/>
      <c r="I13384" s="354" t="s">
        <v>1253</v>
      </c>
      <c r="J13384" s="350" t="s">
        <v>153</v>
      </c>
      <c r="K13384" s="355"/>
      <c r="L13384" s="355">
        <f t="shared" ref="L13384" si="2006">K13383</f>
        <v>23461.535714285703</v>
      </c>
    </row>
    <row r="13385" spans="1:16" ht="11.25" customHeight="1" x14ac:dyDescent="0.2">
      <c r="A13385" s="344">
        <v>2026</v>
      </c>
      <c r="B13385" s="344">
        <v>2</v>
      </c>
      <c r="C13385" s="344">
        <v>15</v>
      </c>
      <c r="D13385" s="345">
        <f t="shared" si="2003"/>
        <v>46068</v>
      </c>
      <c r="E13385" s="346">
        <f t="shared" ref="E13385:E13391" si="2007">DATE(A13385,B13385,C13385)</f>
        <v>46068</v>
      </c>
      <c r="F13385" s="518" t="s">
        <v>1989</v>
      </c>
      <c r="G13385" s="347" t="s">
        <v>1245</v>
      </c>
      <c r="H13385" s="348"/>
      <c r="I13385" s="348" t="s">
        <v>1253</v>
      </c>
      <c r="J13385" s="344" t="s">
        <v>113</v>
      </c>
      <c r="K13385" s="349">
        <f>5*3351.64835164835</f>
        <v>16758.241758241751</v>
      </c>
      <c r="L13385" s="349"/>
      <c r="M13385" s="455"/>
    </row>
    <row r="13386" spans="1:16" ht="11.25" customHeight="1" x14ac:dyDescent="0.2">
      <c r="A13386" s="350">
        <v>2026</v>
      </c>
      <c r="B13386" s="350">
        <v>2</v>
      </c>
      <c r="C13386" s="350">
        <v>15</v>
      </c>
      <c r="D13386" s="351">
        <f t="shared" si="2003"/>
        <v>46068</v>
      </c>
      <c r="E13386" s="352">
        <f t="shared" si="2007"/>
        <v>46068</v>
      </c>
      <c r="F13386" s="519"/>
      <c r="G13386" s="353" t="s">
        <v>1245</v>
      </c>
      <c r="H13386" s="354"/>
      <c r="I13386" s="354" t="s">
        <v>1253</v>
      </c>
      <c r="J13386" s="350" t="s">
        <v>153</v>
      </c>
      <c r="K13386" s="355"/>
      <c r="L13386" s="355">
        <f t="shared" ref="L13386" si="2008">K13385</f>
        <v>16758.241758241751</v>
      </c>
    </row>
    <row r="13387" spans="1:16" ht="11.25" customHeight="1" x14ac:dyDescent="0.2">
      <c r="A13387" s="344">
        <v>2026</v>
      </c>
      <c r="B13387" s="344">
        <v>2</v>
      </c>
      <c r="C13387" s="344">
        <v>15</v>
      </c>
      <c r="D13387" s="345">
        <f t="shared" si="2003"/>
        <v>46068</v>
      </c>
      <c r="E13387" s="346">
        <f t="shared" si="2007"/>
        <v>46068</v>
      </c>
      <c r="F13387" s="518" t="s">
        <v>1990</v>
      </c>
      <c r="G13387" s="347" t="s">
        <v>1245</v>
      </c>
      <c r="H13387" s="348"/>
      <c r="I13387" s="348" t="s">
        <v>1253</v>
      </c>
      <c r="J13387" s="344" t="s">
        <v>113</v>
      </c>
      <c r="K13387" s="349">
        <f>5*10054.9457142857</f>
        <v>50274.728571428503</v>
      </c>
      <c r="L13387" s="349"/>
      <c r="M13387" s="455"/>
      <c r="N13387" s="251"/>
      <c r="O13387" s="251"/>
      <c r="P13387" s="251"/>
    </row>
    <row r="13388" spans="1:16" ht="11.25" customHeight="1" x14ac:dyDescent="0.2">
      <c r="A13388" s="350">
        <v>2026</v>
      </c>
      <c r="B13388" s="350">
        <v>2</v>
      </c>
      <c r="C13388" s="350">
        <v>15</v>
      </c>
      <c r="D13388" s="351">
        <f t="shared" si="2003"/>
        <v>46068</v>
      </c>
      <c r="E13388" s="352">
        <f t="shared" si="2007"/>
        <v>46068</v>
      </c>
      <c r="F13388" s="519"/>
      <c r="G13388" s="353" t="s">
        <v>1245</v>
      </c>
      <c r="H13388" s="354"/>
      <c r="I13388" s="354" t="s">
        <v>1253</v>
      </c>
      <c r="J13388" s="350" t="s">
        <v>153</v>
      </c>
      <c r="K13388" s="355"/>
      <c r="L13388" s="355">
        <f t="shared" ref="L13388" si="2009">K13387</f>
        <v>50274.728571428503</v>
      </c>
      <c r="M13388" s="455"/>
    </row>
    <row r="13389" spans="1:16" ht="11.25" customHeight="1" x14ac:dyDescent="0.2">
      <c r="A13389" s="344">
        <v>2026</v>
      </c>
      <c r="B13389" s="344">
        <v>2</v>
      </c>
      <c r="C13389" s="344">
        <v>15</v>
      </c>
      <c r="D13389" s="345">
        <f t="shared" si="2003"/>
        <v>46068</v>
      </c>
      <c r="E13389" s="346">
        <f t="shared" si="2007"/>
        <v>46068</v>
      </c>
      <c r="F13389" s="518" t="s">
        <v>2107</v>
      </c>
      <c r="G13389" s="347" t="s">
        <v>1245</v>
      </c>
      <c r="H13389" s="348"/>
      <c r="I13389" s="348" t="s">
        <v>1253</v>
      </c>
      <c r="J13389" s="344" t="s">
        <v>113</v>
      </c>
      <c r="K13389" s="349">
        <f>5*12370.8791208791</f>
        <v>61854.395604395504</v>
      </c>
      <c r="L13389" s="349"/>
      <c r="M13389" s="455"/>
      <c r="N13389" s="251"/>
      <c r="O13389" s="251"/>
      <c r="P13389" s="251"/>
    </row>
    <row r="13390" spans="1:16" ht="11.25" customHeight="1" x14ac:dyDescent="0.2">
      <c r="A13390" s="350">
        <v>2026</v>
      </c>
      <c r="B13390" s="350">
        <v>2</v>
      </c>
      <c r="C13390" s="350">
        <v>15</v>
      </c>
      <c r="D13390" s="351">
        <f t="shared" si="2003"/>
        <v>46068</v>
      </c>
      <c r="E13390" s="352">
        <f t="shared" si="2007"/>
        <v>46068</v>
      </c>
      <c r="F13390" s="519"/>
      <c r="G13390" s="353" t="s">
        <v>1245</v>
      </c>
      <c r="H13390" s="354"/>
      <c r="I13390" s="354" t="s">
        <v>1253</v>
      </c>
      <c r="J13390" s="350" t="s">
        <v>153</v>
      </c>
      <c r="K13390" s="355"/>
      <c r="L13390" s="355">
        <f t="shared" ref="L13390" si="2010">K13389</f>
        <v>61854.395604395504</v>
      </c>
    </row>
    <row r="13391" spans="1:16" ht="11.25" customHeight="1" x14ac:dyDescent="0.2">
      <c r="A13391" s="210">
        <v>2026</v>
      </c>
      <c r="B13391" s="210">
        <v>2</v>
      </c>
      <c r="C13391" s="210">
        <v>15</v>
      </c>
      <c r="D13391" s="211">
        <f t="shared" si="2003"/>
        <v>46068</v>
      </c>
      <c r="E13391" s="238">
        <f t="shared" si="2007"/>
        <v>46068</v>
      </c>
      <c r="F13391" s="520" t="s">
        <v>1857</v>
      </c>
      <c r="G13391" s="213" t="s">
        <v>1245</v>
      </c>
      <c r="H13391" s="214"/>
      <c r="I13391" s="214" t="s">
        <v>1253</v>
      </c>
      <c r="J13391" s="210" t="s">
        <v>1284</v>
      </c>
      <c r="K13391" s="215">
        <f>5*334.544487770294</f>
        <v>1672.7224388514699</v>
      </c>
      <c r="L13391" s="215"/>
      <c r="M13391" s="455"/>
    </row>
    <row r="13392" spans="1:16" ht="11.25" customHeight="1" x14ac:dyDescent="0.2">
      <c r="A13392" s="242">
        <v>2026</v>
      </c>
      <c r="B13392" s="242">
        <v>2</v>
      </c>
      <c r="C13392" s="242">
        <v>15</v>
      </c>
      <c r="D13392" s="243">
        <f t="shared" si="2003"/>
        <v>46068</v>
      </c>
      <c r="E13392" s="244">
        <f>DATE(A13392,B13392,C13392)</f>
        <v>46068</v>
      </c>
      <c r="F13392" s="524"/>
      <c r="G13392" s="245" t="s">
        <v>1245</v>
      </c>
      <c r="H13392" s="246"/>
      <c r="I13392" s="246"/>
      <c r="J13392" s="242" t="s">
        <v>1582</v>
      </c>
      <c r="K13392" s="247"/>
      <c r="L13392" s="247">
        <f>K13391</f>
        <v>1672.7224388514699</v>
      </c>
    </row>
    <row r="13393" spans="1:15" ht="11.25" customHeight="1" x14ac:dyDescent="0.2">
      <c r="A13393" s="210">
        <v>2026</v>
      </c>
      <c r="B13393" s="210">
        <v>2</v>
      </c>
      <c r="C13393" s="210">
        <v>15</v>
      </c>
      <c r="D13393" s="211">
        <f t="shared" si="2003"/>
        <v>46068</v>
      </c>
      <c r="E13393" s="238">
        <f t="shared" ref="E13393:E13407" si="2011">DATE(A13393,B13393,C13393)</f>
        <v>46068</v>
      </c>
      <c r="F13393" s="520" t="s">
        <v>2055</v>
      </c>
      <c r="G13393" s="213" t="s">
        <v>1245</v>
      </c>
      <c r="H13393" s="214"/>
      <c r="I13393" s="214" t="s">
        <v>1253</v>
      </c>
      <c r="J13393" s="210" t="s">
        <v>58</v>
      </c>
      <c r="K13393" s="215">
        <v>7575.97</v>
      </c>
      <c r="L13393" s="215"/>
    </row>
    <row r="13394" spans="1:15" ht="11.25" customHeight="1" x14ac:dyDescent="0.2">
      <c r="A13394" s="216">
        <v>2026</v>
      </c>
      <c r="B13394" s="216">
        <v>2</v>
      </c>
      <c r="C13394" s="216">
        <v>15</v>
      </c>
      <c r="D13394" s="217">
        <f t="shared" si="2003"/>
        <v>46068</v>
      </c>
      <c r="E13394" s="239">
        <f t="shared" si="2011"/>
        <v>46068</v>
      </c>
      <c r="F13394" s="521"/>
      <c r="G13394" s="219" t="s">
        <v>1245</v>
      </c>
      <c r="H13394" s="220"/>
      <c r="I13394" s="220" t="s">
        <v>1253</v>
      </c>
      <c r="J13394" s="216" t="s">
        <v>153</v>
      </c>
      <c r="K13394" s="221"/>
      <c r="L13394" s="221">
        <f>K13393</f>
        <v>7575.97</v>
      </c>
    </row>
    <row r="13395" spans="1:15" ht="11.25" customHeight="1" x14ac:dyDescent="0.2">
      <c r="A13395" s="312">
        <v>2026</v>
      </c>
      <c r="B13395" s="312">
        <v>2</v>
      </c>
      <c r="C13395" s="312">
        <v>15</v>
      </c>
      <c r="D13395" s="313">
        <f t="shared" si="2003"/>
        <v>46068</v>
      </c>
      <c r="E13395" s="314">
        <f t="shared" si="2011"/>
        <v>46068</v>
      </c>
      <c r="F13395" s="522" t="s">
        <v>1595</v>
      </c>
      <c r="G13395" s="315" t="s">
        <v>1245</v>
      </c>
      <c r="H13395" s="316"/>
      <c r="I13395" s="316" t="s">
        <v>1253</v>
      </c>
      <c r="J13395" s="312" t="s">
        <v>1461</v>
      </c>
      <c r="K13395" s="317">
        <v>356158.16700017452</v>
      </c>
      <c r="L13395" s="317"/>
      <c r="M13395" s="328"/>
    </row>
    <row r="13396" spans="1:15" ht="11.25" customHeight="1" x14ac:dyDescent="0.2">
      <c r="A13396" s="318">
        <v>2026</v>
      </c>
      <c r="B13396" s="318">
        <v>2</v>
      </c>
      <c r="C13396" s="318">
        <v>15</v>
      </c>
      <c r="D13396" s="319">
        <f t="shared" si="2003"/>
        <v>46068</v>
      </c>
      <c r="E13396" s="320">
        <f t="shared" si="2011"/>
        <v>46068</v>
      </c>
      <c r="F13396" s="523"/>
      <c r="G13396" s="321" t="s">
        <v>1245</v>
      </c>
      <c r="H13396" s="322"/>
      <c r="I13396" s="322" t="s">
        <v>1253</v>
      </c>
      <c r="J13396" s="318" t="s">
        <v>1459</v>
      </c>
      <c r="K13396" s="323"/>
      <c r="L13396" s="323">
        <f>K13395</f>
        <v>356158.16700017452</v>
      </c>
      <c r="M13396" s="328"/>
    </row>
    <row r="13397" spans="1:15" ht="11.25" customHeight="1" x14ac:dyDescent="0.2">
      <c r="A13397" s="222">
        <v>2026</v>
      </c>
      <c r="B13397" s="222">
        <v>2</v>
      </c>
      <c r="C13397" s="222">
        <v>15</v>
      </c>
      <c r="D13397" s="223">
        <f t="shared" si="2003"/>
        <v>46068</v>
      </c>
      <c r="E13397" s="240">
        <f t="shared" si="2011"/>
        <v>46068</v>
      </c>
      <c r="F13397" s="511" t="s">
        <v>1244</v>
      </c>
      <c r="G13397" s="225" t="s">
        <v>1245</v>
      </c>
      <c r="H13397" s="226"/>
      <c r="I13397" s="226" t="s">
        <v>1253</v>
      </c>
      <c r="J13397" s="222" t="s">
        <v>87</v>
      </c>
      <c r="K13397" s="227">
        <v>82.5</v>
      </c>
      <c r="L13397" s="227"/>
      <c r="M13397" s="328"/>
    </row>
    <row r="13398" spans="1:15" ht="11.25" customHeight="1" x14ac:dyDescent="0.2">
      <c r="A13398" s="228">
        <v>2026</v>
      </c>
      <c r="B13398" s="228">
        <v>2</v>
      </c>
      <c r="C13398" s="228">
        <v>15</v>
      </c>
      <c r="D13398" s="229">
        <f t="shared" si="2003"/>
        <v>46068</v>
      </c>
      <c r="E13398" s="241">
        <f t="shared" si="2011"/>
        <v>46068</v>
      </c>
      <c r="F13398" s="512"/>
      <c r="G13398" s="231" t="s">
        <v>1245</v>
      </c>
      <c r="H13398" s="232"/>
      <c r="I13398" s="232" t="s">
        <v>1253</v>
      </c>
      <c r="J13398" s="228" t="s">
        <v>72</v>
      </c>
      <c r="K13398" s="233"/>
      <c r="L13398" s="233">
        <f>K13397</f>
        <v>82.5</v>
      </c>
    </row>
    <row r="13399" spans="1:15" ht="11.25" customHeight="1" x14ac:dyDescent="0.2">
      <c r="A13399" s="222">
        <v>2026</v>
      </c>
      <c r="B13399" s="222">
        <v>2</v>
      </c>
      <c r="C13399" s="222">
        <v>15</v>
      </c>
      <c r="D13399" s="223">
        <f t="shared" si="2003"/>
        <v>46068</v>
      </c>
      <c r="E13399" s="240">
        <f t="shared" si="2011"/>
        <v>46068</v>
      </c>
      <c r="F13399" s="511" t="s">
        <v>2138</v>
      </c>
      <c r="G13399" s="225" t="s">
        <v>1245</v>
      </c>
      <c r="H13399" s="226"/>
      <c r="I13399" s="226" t="s">
        <v>1253</v>
      </c>
      <c r="J13399" s="222" t="s">
        <v>75</v>
      </c>
      <c r="K13399" s="227">
        <f>5*517.589120879121</f>
        <v>2587.9456043956047</v>
      </c>
      <c r="L13399" s="227"/>
      <c r="M13399" s="455"/>
    </row>
    <row r="13400" spans="1:15" ht="11.25" customHeight="1" x14ac:dyDescent="0.2">
      <c r="A13400" s="228">
        <v>2026</v>
      </c>
      <c r="B13400" s="228">
        <v>2</v>
      </c>
      <c r="C13400" s="228">
        <v>15</v>
      </c>
      <c r="D13400" s="229">
        <f t="shared" si="2003"/>
        <v>46068</v>
      </c>
      <c r="E13400" s="241">
        <f t="shared" si="2011"/>
        <v>46068</v>
      </c>
      <c r="F13400" s="512"/>
      <c r="G13400" s="231" t="s">
        <v>1245</v>
      </c>
      <c r="H13400" s="232"/>
      <c r="I13400" s="232" t="s">
        <v>1253</v>
      </c>
      <c r="J13400" s="228" t="s">
        <v>55</v>
      </c>
      <c r="K13400" s="233"/>
      <c r="L13400" s="233">
        <f>K13399</f>
        <v>2587.9456043956047</v>
      </c>
    </row>
    <row r="13401" spans="1:15" ht="11.25" customHeight="1" x14ac:dyDescent="0.2">
      <c r="A13401" s="222">
        <v>2026</v>
      </c>
      <c r="B13401" s="222">
        <v>2</v>
      </c>
      <c r="C13401" s="222">
        <v>15</v>
      </c>
      <c r="D13401" s="223">
        <f t="shared" si="2003"/>
        <v>46068</v>
      </c>
      <c r="E13401" s="240">
        <f t="shared" si="2011"/>
        <v>46068</v>
      </c>
      <c r="F13401" s="511" t="s">
        <v>2137</v>
      </c>
      <c r="G13401" s="225" t="s">
        <v>1245</v>
      </c>
      <c r="H13401" s="226"/>
      <c r="I13401" s="226" t="s">
        <v>1253</v>
      </c>
      <c r="J13401" s="222" t="s">
        <v>77</v>
      </c>
      <c r="K13401" s="227">
        <f>5*7423.0437383422</f>
        <v>37115.218691711001</v>
      </c>
      <c r="L13401" s="227"/>
      <c r="M13401" s="478"/>
    </row>
    <row r="13402" spans="1:15" ht="11.25" customHeight="1" x14ac:dyDescent="0.2">
      <c r="A13402" s="228">
        <v>2026</v>
      </c>
      <c r="B13402" s="228">
        <v>2</v>
      </c>
      <c r="C13402" s="228">
        <v>15</v>
      </c>
      <c r="D13402" s="229">
        <f t="shared" si="2003"/>
        <v>46068</v>
      </c>
      <c r="E13402" s="241">
        <f t="shared" si="2011"/>
        <v>46068</v>
      </c>
      <c r="F13402" s="512"/>
      <c r="G13402" s="231" t="s">
        <v>1245</v>
      </c>
      <c r="H13402" s="232"/>
      <c r="I13402" s="232" t="s">
        <v>1253</v>
      </c>
      <c r="J13402" s="228" t="s">
        <v>41</v>
      </c>
      <c r="K13402" s="233"/>
      <c r="L13402" s="233">
        <f>K13401</f>
        <v>37115.218691711001</v>
      </c>
      <c r="M13402" s="478">
        <v>7423.0437383421959</v>
      </c>
      <c r="N13402" s="251"/>
    </row>
    <row r="13403" spans="1:15" ht="11.25" customHeight="1" x14ac:dyDescent="0.2">
      <c r="A13403" s="222">
        <v>2026</v>
      </c>
      <c r="B13403" s="222">
        <v>2</v>
      </c>
      <c r="C13403" s="222">
        <v>15</v>
      </c>
      <c r="D13403" s="223">
        <f t="shared" si="2003"/>
        <v>46068</v>
      </c>
      <c r="E13403" s="240">
        <f t="shared" si="2011"/>
        <v>46068</v>
      </c>
      <c r="F13403" s="511" t="s">
        <v>2136</v>
      </c>
      <c r="G13403" s="225" t="s">
        <v>1245</v>
      </c>
      <c r="H13403" s="226"/>
      <c r="I13403" s="226" t="s">
        <v>1253</v>
      </c>
      <c r="J13403" s="222" t="s">
        <v>80</v>
      </c>
      <c r="K13403" s="227">
        <f>5*742.30437383422</f>
        <v>3711.5218691710998</v>
      </c>
      <c r="L13403" s="227"/>
      <c r="M13403" s="120">
        <v>742.30437383421963</v>
      </c>
      <c r="N13403" s="251"/>
      <c r="O13403" s="251"/>
    </row>
    <row r="13404" spans="1:15" ht="11.25" customHeight="1" x14ac:dyDescent="0.2">
      <c r="A13404" s="228">
        <v>2026</v>
      </c>
      <c r="B13404" s="228">
        <v>2</v>
      </c>
      <c r="C13404" s="228">
        <v>15</v>
      </c>
      <c r="D13404" s="229">
        <f t="shared" si="2003"/>
        <v>46068</v>
      </c>
      <c r="E13404" s="241">
        <f t="shared" si="2011"/>
        <v>46068</v>
      </c>
      <c r="F13404" s="512"/>
      <c r="G13404" s="231" t="s">
        <v>1245</v>
      </c>
      <c r="H13404" s="232"/>
      <c r="I13404" s="232" t="s">
        <v>1253</v>
      </c>
      <c r="J13404" s="228" t="s">
        <v>42</v>
      </c>
      <c r="K13404" s="233"/>
      <c r="L13404" s="233">
        <f>K13403</f>
        <v>3711.5218691710998</v>
      </c>
      <c r="N13404" s="251"/>
    </row>
    <row r="13405" spans="1:15" x14ac:dyDescent="0.2">
      <c r="A13405" s="197">
        <v>2026</v>
      </c>
      <c r="B13405" s="197">
        <v>2</v>
      </c>
      <c r="C13405" s="197">
        <v>16</v>
      </c>
      <c r="D13405" s="198">
        <f t="shared" si="2003"/>
        <v>46069</v>
      </c>
      <c r="E13405" s="209">
        <f t="shared" si="2011"/>
        <v>46069</v>
      </c>
      <c r="F13405" s="513" t="s">
        <v>1423</v>
      </c>
      <c r="G13405" s="200" t="s">
        <v>1209</v>
      </c>
      <c r="H13405" s="201"/>
      <c r="I13405" s="201"/>
      <c r="J13405" s="197" t="s">
        <v>16</v>
      </c>
      <c r="K13405" s="202">
        <v>16510</v>
      </c>
      <c r="L13405" s="202"/>
    </row>
    <row r="13406" spans="1:15" x14ac:dyDescent="0.2">
      <c r="A13406" s="120">
        <v>2026</v>
      </c>
      <c r="B13406" s="120">
        <v>2</v>
      </c>
      <c r="C13406" s="120">
        <v>16</v>
      </c>
      <c r="D13406" s="208">
        <f t="shared" si="2003"/>
        <v>46069</v>
      </c>
      <c r="E13406" s="209">
        <f t="shared" si="2011"/>
        <v>46069</v>
      </c>
      <c r="F13406" s="515"/>
      <c r="G13406" s="132" t="s">
        <v>1209</v>
      </c>
      <c r="J13406" s="120" t="s">
        <v>47</v>
      </c>
      <c r="K13406" s="207">
        <v>6647.7</v>
      </c>
      <c r="L13406" s="207"/>
    </row>
    <row r="13407" spans="1:15" x14ac:dyDescent="0.2">
      <c r="A13407" s="191">
        <v>2026</v>
      </c>
      <c r="B13407" s="191">
        <v>2</v>
      </c>
      <c r="C13407" s="191">
        <v>16</v>
      </c>
      <c r="D13407" s="192">
        <f t="shared" si="2003"/>
        <v>46069</v>
      </c>
      <c r="E13407" s="193">
        <f t="shared" si="2011"/>
        <v>46069</v>
      </c>
      <c r="F13407" s="514"/>
      <c r="G13407" s="194" t="s">
        <v>1209</v>
      </c>
      <c r="H13407" s="195"/>
      <c r="I13407" s="195"/>
      <c r="J13407" s="191" t="s">
        <v>46</v>
      </c>
      <c r="K13407" s="196"/>
      <c r="L13407" s="196">
        <v>23157.7</v>
      </c>
    </row>
    <row r="13408" spans="1:15" ht="11.25" customHeight="1" x14ac:dyDescent="0.2">
      <c r="A13408" s="197">
        <v>2026</v>
      </c>
      <c r="B13408" s="197">
        <v>2</v>
      </c>
      <c r="C13408" s="197">
        <v>16</v>
      </c>
      <c r="D13408" s="198">
        <f t="shared" si="2003"/>
        <v>46069</v>
      </c>
      <c r="E13408" s="290">
        <f>DATE(A13408,B13408,C13408)</f>
        <v>46069</v>
      </c>
      <c r="F13408" s="513" t="s">
        <v>1514</v>
      </c>
      <c r="G13408" s="200" t="s">
        <v>1209</v>
      </c>
      <c r="H13408" s="201"/>
      <c r="I13408" s="201"/>
      <c r="J13408" s="197" t="s">
        <v>54</v>
      </c>
      <c r="K13408" s="202">
        <v>158</v>
      </c>
      <c r="L13408" s="202"/>
      <c r="O13408" s="251"/>
    </row>
    <row r="13409" spans="1:15" ht="11.25" customHeight="1" x14ac:dyDescent="0.2">
      <c r="A13409" s="191">
        <v>2026</v>
      </c>
      <c r="B13409" s="191">
        <v>2</v>
      </c>
      <c r="C13409" s="191">
        <v>16</v>
      </c>
      <c r="D13409" s="192">
        <f t="shared" si="2003"/>
        <v>46069</v>
      </c>
      <c r="E13409" s="291">
        <f>DATE(A13409,B13409,C13409)</f>
        <v>46069</v>
      </c>
      <c r="F13409" s="514"/>
      <c r="G13409" s="194" t="s">
        <v>1209</v>
      </c>
      <c r="H13409" s="195"/>
      <c r="I13409" s="195"/>
      <c r="J13409" s="191" t="s">
        <v>46</v>
      </c>
      <c r="K13409" s="196"/>
      <c r="L13409" s="196">
        <f>K13408</f>
        <v>158</v>
      </c>
      <c r="O13409" s="251"/>
    </row>
    <row r="13410" spans="1:15" x14ac:dyDescent="0.2">
      <c r="A13410" s="197">
        <v>2026</v>
      </c>
      <c r="B13410" s="197">
        <v>2</v>
      </c>
      <c r="C13410" s="197">
        <v>16</v>
      </c>
      <c r="D13410" s="198">
        <f t="shared" ref="D13410:D13452" si="2012">DATE(A13410,B13410,C13410)</f>
        <v>46069</v>
      </c>
      <c r="E13410" s="209">
        <f t="shared" ref="E13410:E13430" si="2013">DATE(A13410,B13410,C13410)</f>
        <v>46069</v>
      </c>
      <c r="F13410" s="513" t="s">
        <v>1280</v>
      </c>
      <c r="G13410" s="200" t="s">
        <v>1209</v>
      </c>
      <c r="H13410" s="201"/>
      <c r="I13410" s="201"/>
      <c r="J13410" s="197" t="s">
        <v>16</v>
      </c>
      <c r="K13410" s="202">
        <v>3922690</v>
      </c>
      <c r="L13410" s="202"/>
    </row>
    <row r="13411" spans="1:15" x14ac:dyDescent="0.2">
      <c r="A13411" s="120">
        <v>2026</v>
      </c>
      <c r="B13411" s="120">
        <v>2</v>
      </c>
      <c r="C13411" s="120">
        <v>16</v>
      </c>
      <c r="D13411" s="208">
        <f t="shared" si="2012"/>
        <v>46069</v>
      </c>
      <c r="E13411" s="209">
        <f t="shared" si="2013"/>
        <v>46069</v>
      </c>
      <c r="F13411" s="515"/>
      <c r="G13411" s="132" t="s">
        <v>1209</v>
      </c>
      <c r="J13411" s="120" t="s">
        <v>47</v>
      </c>
      <c r="K13411" s="207">
        <v>1577310</v>
      </c>
      <c r="L13411" s="207"/>
    </row>
    <row r="13412" spans="1:15" x14ac:dyDescent="0.2">
      <c r="A13412" s="191">
        <v>2026</v>
      </c>
      <c r="B13412" s="191">
        <v>2</v>
      </c>
      <c r="C13412" s="191">
        <v>16</v>
      </c>
      <c r="D13412" s="192">
        <f t="shared" si="2012"/>
        <v>46069</v>
      </c>
      <c r="E13412" s="193">
        <f t="shared" si="2013"/>
        <v>46069</v>
      </c>
      <c r="F13412" s="514"/>
      <c r="G13412" s="194" t="s">
        <v>1209</v>
      </c>
      <c r="H13412" s="195"/>
      <c r="I13412" s="195"/>
      <c r="J13412" s="191" t="s">
        <v>46</v>
      </c>
      <c r="K13412" s="196"/>
      <c r="L13412" s="196">
        <v>5500000</v>
      </c>
    </row>
    <row r="13413" spans="1:15" ht="11.25" customHeight="1" x14ac:dyDescent="0.2">
      <c r="A13413" s="197">
        <v>2026</v>
      </c>
      <c r="B13413" s="197">
        <v>2</v>
      </c>
      <c r="C13413" s="197">
        <v>16</v>
      </c>
      <c r="D13413" s="198">
        <f t="shared" si="2012"/>
        <v>46069</v>
      </c>
      <c r="E13413" s="290">
        <f t="shared" si="2013"/>
        <v>46069</v>
      </c>
      <c r="F13413" s="513" t="s">
        <v>2034</v>
      </c>
      <c r="G13413" s="200" t="s">
        <v>1245</v>
      </c>
      <c r="H13413" s="201"/>
      <c r="I13413" s="201" t="s">
        <v>1253</v>
      </c>
      <c r="J13413" s="197" t="s">
        <v>46</v>
      </c>
      <c r="K13413" s="202">
        <v>305000</v>
      </c>
      <c r="L13413" s="202"/>
      <c r="M13413" s="130"/>
    </row>
    <row r="13414" spans="1:15" ht="11.25" customHeight="1" x14ac:dyDescent="0.2">
      <c r="A13414" s="191">
        <v>2026</v>
      </c>
      <c r="B13414" s="191">
        <v>2</v>
      </c>
      <c r="C13414" s="191">
        <v>16</v>
      </c>
      <c r="D13414" s="192">
        <f t="shared" si="2012"/>
        <v>46069</v>
      </c>
      <c r="E13414" s="291">
        <f t="shared" si="2013"/>
        <v>46069</v>
      </c>
      <c r="F13414" s="527"/>
      <c r="G13414" s="194" t="s">
        <v>1245</v>
      </c>
      <c r="H13414" s="195"/>
      <c r="I13414" s="195" t="s">
        <v>1253</v>
      </c>
      <c r="J13414" s="191" t="s">
        <v>113</v>
      </c>
      <c r="K13414" s="196"/>
      <c r="L13414" s="196">
        <v>305000</v>
      </c>
      <c r="N13414" s="251"/>
    </row>
    <row r="13415" spans="1:15" ht="11.25" customHeight="1" x14ac:dyDescent="0.2">
      <c r="A13415" s="197">
        <v>2026</v>
      </c>
      <c r="B13415" s="197">
        <v>2</v>
      </c>
      <c r="C13415" s="197">
        <v>16</v>
      </c>
      <c r="D13415" s="198">
        <f>DATE(A13415,B13415,C13415)</f>
        <v>46069</v>
      </c>
      <c r="E13415" s="290">
        <f>DATE(A13415,B13415,C13415)</f>
        <v>46069</v>
      </c>
      <c r="F13415" s="513" t="s">
        <v>2071</v>
      </c>
      <c r="G13415" s="200" t="s">
        <v>1209</v>
      </c>
      <c r="H13415" s="201"/>
      <c r="I13415" s="201" t="s">
        <v>1253</v>
      </c>
      <c r="J13415" s="197" t="s">
        <v>46</v>
      </c>
      <c r="K13415" s="202">
        <v>1150000</v>
      </c>
      <c r="L13415" s="202"/>
    </row>
    <row r="13416" spans="1:15" ht="11.25" customHeight="1" x14ac:dyDescent="0.2">
      <c r="A13416" s="191">
        <v>2026</v>
      </c>
      <c r="B13416" s="191">
        <v>2</v>
      </c>
      <c r="C13416" s="191">
        <v>16</v>
      </c>
      <c r="D13416" s="192">
        <f>DATE(A13416,B13416,C13416)</f>
        <v>46069</v>
      </c>
      <c r="E13416" s="291">
        <f>DATE(A13416,B13416,C13416)</f>
        <v>46069</v>
      </c>
      <c r="F13416" s="514"/>
      <c r="G13416" s="194" t="s">
        <v>1209</v>
      </c>
      <c r="H13416" s="195"/>
      <c r="I13416" s="195"/>
      <c r="J13416" s="191" t="s">
        <v>1845</v>
      </c>
      <c r="K13416" s="196"/>
      <c r="L13416" s="196">
        <f>K13415</f>
        <v>1150000</v>
      </c>
    </row>
    <row r="13417" spans="1:15" ht="11.25" customHeight="1" x14ac:dyDescent="0.2">
      <c r="A13417" s="197">
        <v>2026</v>
      </c>
      <c r="B13417" s="197">
        <v>2</v>
      </c>
      <c r="C13417" s="197">
        <v>16</v>
      </c>
      <c r="D13417" s="198">
        <f>DATE(A13417,B13417,C13417)</f>
        <v>46069</v>
      </c>
      <c r="E13417" s="290">
        <f>DATE(A13417,B13417,C13417)</f>
        <v>46069</v>
      </c>
      <c r="F13417" s="513" t="s">
        <v>2071</v>
      </c>
      <c r="G13417" s="200" t="s">
        <v>1209</v>
      </c>
      <c r="H13417" s="201"/>
      <c r="I13417" s="201" t="s">
        <v>1253</v>
      </c>
      <c r="J13417" s="197" t="s">
        <v>46</v>
      </c>
      <c r="K13417" s="202">
        <v>9200</v>
      </c>
      <c r="L13417" s="202"/>
    </row>
    <row r="13418" spans="1:15" ht="11.25" customHeight="1" x14ac:dyDescent="0.2">
      <c r="A13418" s="191">
        <v>2026</v>
      </c>
      <c r="B13418" s="191">
        <v>2</v>
      </c>
      <c r="C13418" s="191">
        <v>16</v>
      </c>
      <c r="D13418" s="192">
        <f>DATE(A13418,B13418,C13418)</f>
        <v>46069</v>
      </c>
      <c r="E13418" s="291">
        <f>DATE(A13418,B13418,C13418)</f>
        <v>46069</v>
      </c>
      <c r="F13418" s="514"/>
      <c r="G13418" s="194" t="s">
        <v>1209</v>
      </c>
      <c r="H13418" s="195"/>
      <c r="I13418" s="195"/>
      <c r="J13418" s="191" t="s">
        <v>1845</v>
      </c>
      <c r="K13418" s="196"/>
      <c r="L13418" s="196">
        <f>K13417</f>
        <v>9200</v>
      </c>
    </row>
    <row r="13419" spans="1:15" x14ac:dyDescent="0.2">
      <c r="A13419" s="424">
        <v>2026</v>
      </c>
      <c r="B13419" s="424">
        <v>2</v>
      </c>
      <c r="C13419" s="424">
        <v>16</v>
      </c>
      <c r="D13419" s="425">
        <f t="shared" si="2012"/>
        <v>46069</v>
      </c>
      <c r="E13419" s="384">
        <f t="shared" si="2013"/>
        <v>46069</v>
      </c>
      <c r="F13419" s="516" t="s">
        <v>1850</v>
      </c>
      <c r="G13419" s="426" t="s">
        <v>1209</v>
      </c>
      <c r="H13419" s="427"/>
      <c r="I13419" s="427"/>
      <c r="J13419" s="428" t="s">
        <v>81</v>
      </c>
      <c r="K13419" s="429">
        <v>1595.81736263736</v>
      </c>
      <c r="L13419" s="429"/>
      <c r="M13419" s="455"/>
    </row>
    <row r="13420" spans="1:15" x14ac:dyDescent="0.2">
      <c r="A13420" s="389">
        <v>2026</v>
      </c>
      <c r="B13420" s="389">
        <v>2</v>
      </c>
      <c r="C13420" s="389">
        <v>16</v>
      </c>
      <c r="D13420" s="390">
        <f t="shared" si="2012"/>
        <v>46069</v>
      </c>
      <c r="E13420" s="391">
        <f t="shared" si="2013"/>
        <v>46069</v>
      </c>
      <c r="F13420" s="517"/>
      <c r="G13420" s="392" t="s">
        <v>1209</v>
      </c>
      <c r="H13420" s="393"/>
      <c r="I13420" s="393"/>
      <c r="J13420" s="394" t="s">
        <v>1847</v>
      </c>
      <c r="K13420" s="423"/>
      <c r="L13420" s="423">
        <f>K13419</f>
        <v>1595.81736263736</v>
      </c>
    </row>
    <row r="13421" spans="1:15" ht="11.25" customHeight="1" x14ac:dyDescent="0.2">
      <c r="A13421" s="382">
        <v>2026</v>
      </c>
      <c r="B13421" s="382">
        <v>2</v>
      </c>
      <c r="C13421" s="382">
        <v>16</v>
      </c>
      <c r="D13421" s="383">
        <f t="shared" si="2012"/>
        <v>46069</v>
      </c>
      <c r="E13421" s="384">
        <f t="shared" si="2013"/>
        <v>46069</v>
      </c>
      <c r="F13421" s="516" t="s">
        <v>1892</v>
      </c>
      <c r="G13421" s="385" t="s">
        <v>1209</v>
      </c>
      <c r="H13421" s="386"/>
      <c r="I13421" s="386"/>
      <c r="J13421" s="387" t="s">
        <v>173</v>
      </c>
      <c r="K13421" s="388">
        <v>594.01916357638902</v>
      </c>
      <c r="L13421" s="388"/>
      <c r="M13421" s="455"/>
    </row>
    <row r="13422" spans="1:15" ht="11.25" customHeight="1" x14ac:dyDescent="0.2">
      <c r="A13422" s="389">
        <v>2026</v>
      </c>
      <c r="B13422" s="389">
        <v>2</v>
      </c>
      <c r="C13422" s="389">
        <v>16</v>
      </c>
      <c r="D13422" s="390">
        <f t="shared" si="2012"/>
        <v>46069</v>
      </c>
      <c r="E13422" s="391">
        <f t="shared" si="2013"/>
        <v>46069</v>
      </c>
      <c r="F13422" s="517"/>
      <c r="G13422" s="392" t="s">
        <v>1209</v>
      </c>
      <c r="H13422" s="393"/>
      <c r="I13422" s="393"/>
      <c r="J13422" s="394" t="s">
        <v>43</v>
      </c>
      <c r="K13422" s="388"/>
      <c r="L13422" s="423">
        <f>K13421</f>
        <v>594.01916357638902</v>
      </c>
    </row>
    <row r="13423" spans="1:15" ht="11.25" customHeight="1" x14ac:dyDescent="0.2">
      <c r="A13423" s="344">
        <v>2026</v>
      </c>
      <c r="B13423" s="344">
        <v>2</v>
      </c>
      <c r="C13423" s="344">
        <v>16</v>
      </c>
      <c r="D13423" s="345">
        <f t="shared" si="2012"/>
        <v>46069</v>
      </c>
      <c r="E13423" s="346">
        <f t="shared" si="2013"/>
        <v>46069</v>
      </c>
      <c r="F13423" s="518" t="s">
        <v>1982</v>
      </c>
      <c r="G13423" s="347" t="s">
        <v>1245</v>
      </c>
      <c r="H13423" s="348"/>
      <c r="I13423" s="348" t="s">
        <v>1253</v>
      </c>
      <c r="J13423" s="344" t="s">
        <v>1978</v>
      </c>
      <c r="K13423" s="349">
        <v>10537.274725277442</v>
      </c>
      <c r="L13423" s="349"/>
      <c r="M13423" s="455"/>
    </row>
    <row r="13424" spans="1:15" ht="11.25" customHeight="1" x14ac:dyDescent="0.2">
      <c r="A13424" s="350">
        <v>2026</v>
      </c>
      <c r="B13424" s="350">
        <v>2</v>
      </c>
      <c r="C13424" s="350">
        <v>16</v>
      </c>
      <c r="D13424" s="351">
        <f t="shared" si="2012"/>
        <v>46069</v>
      </c>
      <c r="E13424" s="352">
        <f t="shared" si="2013"/>
        <v>46069</v>
      </c>
      <c r="F13424" s="519"/>
      <c r="G13424" s="353" t="s">
        <v>1245</v>
      </c>
      <c r="H13424" s="354"/>
      <c r="I13424" s="354" t="s">
        <v>1253</v>
      </c>
      <c r="J13424" s="350" t="s">
        <v>1979</v>
      </c>
      <c r="K13424" s="355"/>
      <c r="L13424" s="355">
        <f>K13423</f>
        <v>10537.274725277442</v>
      </c>
    </row>
    <row r="13425" spans="1:16" ht="11.25" customHeight="1" x14ac:dyDescent="0.2">
      <c r="A13425" s="344">
        <v>2026</v>
      </c>
      <c r="B13425" s="344">
        <v>2</v>
      </c>
      <c r="C13425" s="344">
        <v>16</v>
      </c>
      <c r="D13425" s="345">
        <f t="shared" si="2012"/>
        <v>46069</v>
      </c>
      <c r="E13425" s="346">
        <f t="shared" si="2013"/>
        <v>46069</v>
      </c>
      <c r="F13425" s="518" t="s">
        <v>2009</v>
      </c>
      <c r="G13425" s="347" t="s">
        <v>1245</v>
      </c>
      <c r="H13425" s="348"/>
      <c r="I13425" s="348" t="s">
        <v>1253</v>
      </c>
      <c r="J13425" s="344" t="s">
        <v>2004</v>
      </c>
      <c r="K13425" s="349">
        <v>7098.9014285714302</v>
      </c>
      <c r="L13425" s="349"/>
      <c r="M13425" s="455"/>
    </row>
    <row r="13426" spans="1:16" ht="11.25" customHeight="1" x14ac:dyDescent="0.2">
      <c r="A13426" s="350">
        <v>2026</v>
      </c>
      <c r="B13426" s="350">
        <v>2</v>
      </c>
      <c r="C13426" s="350">
        <v>16</v>
      </c>
      <c r="D13426" s="351">
        <f t="shared" si="2012"/>
        <v>46069</v>
      </c>
      <c r="E13426" s="352">
        <f t="shared" si="2013"/>
        <v>46069</v>
      </c>
      <c r="F13426" s="519"/>
      <c r="G13426" s="353" t="s">
        <v>1245</v>
      </c>
      <c r="H13426" s="354"/>
      <c r="I13426" s="354" t="s">
        <v>1253</v>
      </c>
      <c r="J13426" s="350" t="s">
        <v>2008</v>
      </c>
      <c r="K13426" s="355"/>
      <c r="L13426" s="355">
        <f t="shared" ref="L13426" si="2014">K13425</f>
        <v>7098.9014285714302</v>
      </c>
    </row>
    <row r="13427" spans="1:16" ht="11.25" customHeight="1" x14ac:dyDescent="0.2">
      <c r="A13427" s="344">
        <v>2026</v>
      </c>
      <c r="B13427" s="344">
        <v>2</v>
      </c>
      <c r="C13427" s="344">
        <v>16</v>
      </c>
      <c r="D13427" s="345">
        <f t="shared" si="2012"/>
        <v>46069</v>
      </c>
      <c r="E13427" s="346">
        <f t="shared" si="2013"/>
        <v>46069</v>
      </c>
      <c r="F13427" s="518" t="s">
        <v>2009</v>
      </c>
      <c r="G13427" s="347" t="s">
        <v>1245</v>
      </c>
      <c r="H13427" s="348"/>
      <c r="I13427" s="348" t="s">
        <v>1253</v>
      </c>
      <c r="J13427" s="344" t="s">
        <v>2004</v>
      </c>
      <c r="K13427" s="349">
        <v>7098.9014285714302</v>
      </c>
      <c r="L13427" s="349"/>
      <c r="M13427" s="455"/>
    </row>
    <row r="13428" spans="1:16" ht="11.25" customHeight="1" x14ac:dyDescent="0.2">
      <c r="A13428" s="350">
        <v>2026</v>
      </c>
      <c r="B13428" s="350">
        <v>2</v>
      </c>
      <c r="C13428" s="350">
        <v>16</v>
      </c>
      <c r="D13428" s="351">
        <f t="shared" si="2012"/>
        <v>46069</v>
      </c>
      <c r="E13428" s="352">
        <f t="shared" si="2013"/>
        <v>46069</v>
      </c>
      <c r="F13428" s="519"/>
      <c r="G13428" s="353" t="s">
        <v>1245</v>
      </c>
      <c r="H13428" s="354"/>
      <c r="I13428" s="354" t="s">
        <v>1253</v>
      </c>
      <c r="J13428" s="350" t="s">
        <v>2008</v>
      </c>
      <c r="K13428" s="355"/>
      <c r="L13428" s="355">
        <f t="shared" ref="L13428" si="2015">K13427</f>
        <v>7098.9014285714302</v>
      </c>
    </row>
    <row r="13429" spans="1:16" ht="11.25" customHeight="1" x14ac:dyDescent="0.2">
      <c r="A13429" s="344">
        <v>2026</v>
      </c>
      <c r="B13429" s="344">
        <v>2</v>
      </c>
      <c r="C13429" s="344">
        <v>16</v>
      </c>
      <c r="D13429" s="345">
        <f t="shared" si="2012"/>
        <v>46069</v>
      </c>
      <c r="E13429" s="346">
        <f t="shared" si="2013"/>
        <v>46069</v>
      </c>
      <c r="F13429" s="518" t="s">
        <v>2088</v>
      </c>
      <c r="G13429" s="347" t="s">
        <v>1245</v>
      </c>
      <c r="H13429" s="348"/>
      <c r="I13429" s="348" t="s">
        <v>1253</v>
      </c>
      <c r="J13429" s="344" t="s">
        <v>2086</v>
      </c>
      <c r="K13429" s="349">
        <v>1789.83516483516</v>
      </c>
      <c r="L13429" s="349"/>
      <c r="M13429" s="455"/>
    </row>
    <row r="13430" spans="1:16" ht="11.25" customHeight="1" x14ac:dyDescent="0.2">
      <c r="A13430" s="350">
        <v>2026</v>
      </c>
      <c r="B13430" s="350">
        <v>2</v>
      </c>
      <c r="C13430" s="350">
        <v>16</v>
      </c>
      <c r="D13430" s="351">
        <f t="shared" si="2012"/>
        <v>46069</v>
      </c>
      <c r="E13430" s="352">
        <f t="shared" si="2013"/>
        <v>46069</v>
      </c>
      <c r="F13430" s="519"/>
      <c r="G13430" s="353" t="s">
        <v>1245</v>
      </c>
      <c r="H13430" s="354"/>
      <c r="I13430" s="354" t="s">
        <v>1253</v>
      </c>
      <c r="J13430" s="350" t="s">
        <v>2089</v>
      </c>
      <c r="K13430" s="355"/>
      <c r="L13430" s="355">
        <f>K13429</f>
        <v>1789.83516483516</v>
      </c>
    </row>
    <row r="13431" spans="1:16" ht="11.25" customHeight="1" x14ac:dyDescent="0.2">
      <c r="A13431" s="344">
        <v>2026</v>
      </c>
      <c r="B13431" s="344">
        <v>2</v>
      </c>
      <c r="C13431" s="344">
        <v>16</v>
      </c>
      <c r="D13431" s="345">
        <f t="shared" si="2012"/>
        <v>46069</v>
      </c>
      <c r="E13431" s="346">
        <f>DATE(A13431,B13431,C13431)</f>
        <v>46069</v>
      </c>
      <c r="F13431" s="518" t="s">
        <v>1988</v>
      </c>
      <c r="G13431" s="347" t="s">
        <v>1245</v>
      </c>
      <c r="H13431" s="348"/>
      <c r="I13431" s="348" t="s">
        <v>1253</v>
      </c>
      <c r="J13431" s="344" t="s">
        <v>113</v>
      </c>
      <c r="K13431" s="349">
        <v>4692.3071428571402</v>
      </c>
      <c r="L13431" s="349"/>
      <c r="M13431" s="455"/>
    </row>
    <row r="13432" spans="1:16" ht="11.25" customHeight="1" x14ac:dyDescent="0.2">
      <c r="A13432" s="350">
        <v>2026</v>
      </c>
      <c r="B13432" s="350">
        <v>2</v>
      </c>
      <c r="C13432" s="350">
        <v>16</v>
      </c>
      <c r="D13432" s="351">
        <f t="shared" si="2012"/>
        <v>46069</v>
      </c>
      <c r="E13432" s="352">
        <f>DATE(A13432,B13432,C13432)</f>
        <v>46069</v>
      </c>
      <c r="F13432" s="519"/>
      <c r="G13432" s="353" t="s">
        <v>1245</v>
      </c>
      <c r="H13432" s="354"/>
      <c r="I13432" s="354" t="s">
        <v>1253</v>
      </c>
      <c r="J13432" s="350" t="s">
        <v>153</v>
      </c>
      <c r="K13432" s="355"/>
      <c r="L13432" s="355">
        <f t="shared" ref="L13432" si="2016">K13431</f>
        <v>4692.3071428571402</v>
      </c>
    </row>
    <row r="13433" spans="1:16" ht="11.25" customHeight="1" x14ac:dyDescent="0.2">
      <c r="A13433" s="344">
        <v>2026</v>
      </c>
      <c r="B13433" s="344">
        <v>2</v>
      </c>
      <c r="C13433" s="344">
        <v>16</v>
      </c>
      <c r="D13433" s="345">
        <f t="shared" si="2012"/>
        <v>46069</v>
      </c>
      <c r="E13433" s="346">
        <f t="shared" ref="E13433:E13439" si="2017">DATE(A13433,B13433,C13433)</f>
        <v>46069</v>
      </c>
      <c r="F13433" s="518" t="s">
        <v>1989</v>
      </c>
      <c r="G13433" s="347" t="s">
        <v>1245</v>
      </c>
      <c r="H13433" s="348"/>
      <c r="I13433" s="348" t="s">
        <v>1253</v>
      </c>
      <c r="J13433" s="344" t="s">
        <v>113</v>
      </c>
      <c r="K13433" s="349">
        <v>3351.6483516483499</v>
      </c>
      <c r="L13433" s="349"/>
      <c r="M13433" s="455"/>
    </row>
    <row r="13434" spans="1:16" ht="11.25" customHeight="1" x14ac:dyDescent="0.2">
      <c r="A13434" s="350">
        <v>2026</v>
      </c>
      <c r="B13434" s="350">
        <v>2</v>
      </c>
      <c r="C13434" s="350">
        <v>16</v>
      </c>
      <c r="D13434" s="351">
        <f t="shared" si="2012"/>
        <v>46069</v>
      </c>
      <c r="E13434" s="352">
        <f t="shared" si="2017"/>
        <v>46069</v>
      </c>
      <c r="F13434" s="519"/>
      <c r="G13434" s="353" t="s">
        <v>1245</v>
      </c>
      <c r="H13434" s="354"/>
      <c r="I13434" s="354" t="s">
        <v>1253</v>
      </c>
      <c r="J13434" s="350" t="s">
        <v>153</v>
      </c>
      <c r="K13434" s="355"/>
      <c r="L13434" s="355">
        <f t="shared" ref="L13434" si="2018">K13433</f>
        <v>3351.6483516483499</v>
      </c>
    </row>
    <row r="13435" spans="1:16" ht="11.25" customHeight="1" x14ac:dyDescent="0.2">
      <c r="A13435" s="344">
        <v>2026</v>
      </c>
      <c r="B13435" s="344">
        <v>2</v>
      </c>
      <c r="C13435" s="344">
        <v>16</v>
      </c>
      <c r="D13435" s="345">
        <f t="shared" si="2012"/>
        <v>46069</v>
      </c>
      <c r="E13435" s="346">
        <f t="shared" si="2017"/>
        <v>46069</v>
      </c>
      <c r="F13435" s="518" t="s">
        <v>1990</v>
      </c>
      <c r="G13435" s="347" t="s">
        <v>1245</v>
      </c>
      <c r="H13435" s="348"/>
      <c r="I13435" s="348" t="s">
        <v>1253</v>
      </c>
      <c r="J13435" s="344" t="s">
        <v>113</v>
      </c>
      <c r="K13435" s="349">
        <v>10054.945714285701</v>
      </c>
      <c r="L13435" s="349"/>
      <c r="M13435" s="455"/>
      <c r="N13435" s="251"/>
      <c r="O13435" s="251"/>
      <c r="P13435" s="251"/>
    </row>
    <row r="13436" spans="1:16" ht="11.25" customHeight="1" x14ac:dyDescent="0.2">
      <c r="A13436" s="350">
        <v>2026</v>
      </c>
      <c r="B13436" s="350">
        <v>2</v>
      </c>
      <c r="C13436" s="350">
        <v>16</v>
      </c>
      <c r="D13436" s="351">
        <f t="shared" si="2012"/>
        <v>46069</v>
      </c>
      <c r="E13436" s="352">
        <f t="shared" si="2017"/>
        <v>46069</v>
      </c>
      <c r="F13436" s="519"/>
      <c r="G13436" s="353" t="s">
        <v>1245</v>
      </c>
      <c r="H13436" s="354"/>
      <c r="I13436" s="354" t="s">
        <v>1253</v>
      </c>
      <c r="J13436" s="350" t="s">
        <v>153</v>
      </c>
      <c r="K13436" s="355"/>
      <c r="L13436" s="355">
        <f t="shared" ref="L13436" si="2019">K13435</f>
        <v>10054.945714285701</v>
      </c>
      <c r="M13436" s="455"/>
    </row>
    <row r="13437" spans="1:16" ht="11.25" customHeight="1" x14ac:dyDescent="0.2">
      <c r="A13437" s="344">
        <v>2026</v>
      </c>
      <c r="B13437" s="344">
        <v>2</v>
      </c>
      <c r="C13437" s="344">
        <v>16</v>
      </c>
      <c r="D13437" s="345">
        <f t="shared" si="2012"/>
        <v>46069</v>
      </c>
      <c r="E13437" s="346">
        <f t="shared" si="2017"/>
        <v>46069</v>
      </c>
      <c r="F13437" s="518" t="s">
        <v>2107</v>
      </c>
      <c r="G13437" s="347" t="s">
        <v>1245</v>
      </c>
      <c r="H13437" s="348"/>
      <c r="I13437" s="348" t="s">
        <v>1253</v>
      </c>
      <c r="J13437" s="344" t="s">
        <v>113</v>
      </c>
      <c r="K13437" s="349">
        <v>12370.879120879101</v>
      </c>
      <c r="L13437" s="349"/>
      <c r="M13437" s="455"/>
      <c r="N13437" s="251"/>
      <c r="O13437" s="251"/>
      <c r="P13437" s="251"/>
    </row>
    <row r="13438" spans="1:16" ht="11.25" customHeight="1" x14ac:dyDescent="0.2">
      <c r="A13438" s="350">
        <v>2026</v>
      </c>
      <c r="B13438" s="350">
        <v>2</v>
      </c>
      <c r="C13438" s="350">
        <v>16</v>
      </c>
      <c r="D13438" s="351">
        <f t="shared" si="2012"/>
        <v>46069</v>
      </c>
      <c r="E13438" s="352">
        <f t="shared" si="2017"/>
        <v>46069</v>
      </c>
      <c r="F13438" s="519"/>
      <c r="G13438" s="353" t="s">
        <v>1245</v>
      </c>
      <c r="H13438" s="354"/>
      <c r="I13438" s="354" t="s">
        <v>1253</v>
      </c>
      <c r="J13438" s="350" t="s">
        <v>153</v>
      </c>
      <c r="K13438" s="355"/>
      <c r="L13438" s="355">
        <f t="shared" ref="L13438" si="2020">K13437</f>
        <v>12370.879120879101</v>
      </c>
    </row>
    <row r="13439" spans="1:16" ht="11.25" customHeight="1" x14ac:dyDescent="0.2">
      <c r="A13439" s="210">
        <v>2026</v>
      </c>
      <c r="B13439" s="210">
        <v>2</v>
      </c>
      <c r="C13439" s="210">
        <v>16</v>
      </c>
      <c r="D13439" s="211">
        <f t="shared" si="2012"/>
        <v>46069</v>
      </c>
      <c r="E13439" s="238">
        <f t="shared" si="2017"/>
        <v>46069</v>
      </c>
      <c r="F13439" s="520" t="s">
        <v>1857</v>
      </c>
      <c r="G13439" s="213" t="s">
        <v>1245</v>
      </c>
      <c r="H13439" s="214"/>
      <c r="I13439" s="214" t="s">
        <v>1253</v>
      </c>
      <c r="J13439" s="210" t="s">
        <v>1284</v>
      </c>
      <c r="K13439" s="215">
        <v>334.54448777029398</v>
      </c>
      <c r="L13439" s="215"/>
      <c r="M13439" s="455"/>
    </row>
    <row r="13440" spans="1:16" ht="11.25" customHeight="1" x14ac:dyDescent="0.2">
      <c r="A13440" s="242">
        <v>2026</v>
      </c>
      <c r="B13440" s="242">
        <v>2</v>
      </c>
      <c r="C13440" s="242">
        <v>16</v>
      </c>
      <c r="D13440" s="243">
        <f t="shared" si="2012"/>
        <v>46069</v>
      </c>
      <c r="E13440" s="244">
        <f>DATE(A13440,B13440,C13440)</f>
        <v>46069</v>
      </c>
      <c r="F13440" s="524"/>
      <c r="G13440" s="245" t="s">
        <v>1245</v>
      </c>
      <c r="H13440" s="246"/>
      <c r="I13440" s="246"/>
      <c r="J13440" s="242" t="s">
        <v>1582</v>
      </c>
      <c r="K13440" s="247"/>
      <c r="L13440" s="247">
        <f>K13439</f>
        <v>334.54448777029398</v>
      </c>
    </row>
    <row r="13441" spans="1:15" ht="11.25" customHeight="1" x14ac:dyDescent="0.2">
      <c r="A13441" s="210">
        <v>2026</v>
      </c>
      <c r="B13441" s="210">
        <v>2</v>
      </c>
      <c r="C13441" s="210">
        <v>16</v>
      </c>
      <c r="D13441" s="211">
        <f t="shared" si="2012"/>
        <v>46069</v>
      </c>
      <c r="E13441" s="238">
        <f t="shared" ref="E13441:E13455" si="2021">DATE(A13441,B13441,C13441)</f>
        <v>46069</v>
      </c>
      <c r="F13441" s="520" t="s">
        <v>2055</v>
      </c>
      <c r="G13441" s="213" t="s">
        <v>1245</v>
      </c>
      <c r="H13441" s="214"/>
      <c r="I13441" s="214" t="s">
        <v>1253</v>
      </c>
      <c r="J13441" s="210" t="s">
        <v>58</v>
      </c>
      <c r="K13441" s="215">
        <v>273.48408944444446</v>
      </c>
      <c r="L13441" s="215"/>
    </row>
    <row r="13442" spans="1:15" ht="11.25" customHeight="1" x14ac:dyDescent="0.2">
      <c r="A13442" s="216">
        <v>2026</v>
      </c>
      <c r="B13442" s="216">
        <v>2</v>
      </c>
      <c r="C13442" s="216">
        <v>16</v>
      </c>
      <c r="D13442" s="217">
        <f t="shared" si="2012"/>
        <v>46069</v>
      </c>
      <c r="E13442" s="239">
        <f t="shared" si="2021"/>
        <v>46069</v>
      </c>
      <c r="F13442" s="521"/>
      <c r="G13442" s="219" t="s">
        <v>1245</v>
      </c>
      <c r="H13442" s="220"/>
      <c r="I13442" s="220" t="s">
        <v>1253</v>
      </c>
      <c r="J13442" s="216" t="s">
        <v>153</v>
      </c>
      <c r="K13442" s="221"/>
      <c r="L13442" s="221">
        <f>K13441</f>
        <v>273.48408944444446</v>
      </c>
    </row>
    <row r="13443" spans="1:15" ht="11.25" customHeight="1" x14ac:dyDescent="0.2">
      <c r="A13443" s="312">
        <v>2026</v>
      </c>
      <c r="B13443" s="312">
        <v>2</v>
      </c>
      <c r="C13443" s="312">
        <v>16</v>
      </c>
      <c r="D13443" s="313">
        <f t="shared" si="2012"/>
        <v>46069</v>
      </c>
      <c r="E13443" s="314">
        <f t="shared" si="2021"/>
        <v>46069</v>
      </c>
      <c r="F13443" s="522" t="s">
        <v>1595</v>
      </c>
      <c r="G13443" s="315" t="s">
        <v>1245</v>
      </c>
      <c r="H13443" s="316"/>
      <c r="I13443" s="316" t="s">
        <v>1253</v>
      </c>
      <c r="J13443" s="312" t="s">
        <v>1461</v>
      </c>
      <c r="K13443" s="317">
        <v>96965.165000021458</v>
      </c>
      <c r="L13443" s="317"/>
      <c r="M13443" s="328"/>
    </row>
    <row r="13444" spans="1:15" ht="11.25" customHeight="1" x14ac:dyDescent="0.2">
      <c r="A13444" s="318">
        <v>2026</v>
      </c>
      <c r="B13444" s="318">
        <v>2</v>
      </c>
      <c r="C13444" s="318">
        <v>16</v>
      </c>
      <c r="D13444" s="319">
        <f t="shared" si="2012"/>
        <v>46069</v>
      </c>
      <c r="E13444" s="320">
        <f t="shared" si="2021"/>
        <v>46069</v>
      </c>
      <c r="F13444" s="523"/>
      <c r="G13444" s="321" t="s">
        <v>1245</v>
      </c>
      <c r="H13444" s="322"/>
      <c r="I13444" s="322" t="s">
        <v>1253</v>
      </c>
      <c r="J13444" s="318" t="s">
        <v>1459</v>
      </c>
      <c r="K13444" s="323"/>
      <c r="L13444" s="323">
        <f>K13443</f>
        <v>96965.165000021458</v>
      </c>
      <c r="M13444" s="328"/>
    </row>
    <row r="13445" spans="1:15" ht="11.25" customHeight="1" x14ac:dyDescent="0.2">
      <c r="A13445" s="222">
        <v>2026</v>
      </c>
      <c r="B13445" s="222">
        <v>2</v>
      </c>
      <c r="C13445" s="222">
        <v>16</v>
      </c>
      <c r="D13445" s="223">
        <f t="shared" si="2012"/>
        <v>46069</v>
      </c>
      <c r="E13445" s="240">
        <f t="shared" si="2021"/>
        <v>46069</v>
      </c>
      <c r="F13445" s="511" t="s">
        <v>1244</v>
      </c>
      <c r="G13445" s="225" t="s">
        <v>1245</v>
      </c>
      <c r="H13445" s="226"/>
      <c r="I13445" s="226" t="s">
        <v>1253</v>
      </c>
      <c r="J13445" s="222" t="s">
        <v>87</v>
      </c>
      <c r="K13445" s="227">
        <v>5181.5</v>
      </c>
      <c r="L13445" s="227"/>
      <c r="M13445" s="328"/>
    </row>
    <row r="13446" spans="1:15" ht="11.25" customHeight="1" x14ac:dyDescent="0.2">
      <c r="A13446" s="228">
        <v>2026</v>
      </c>
      <c r="B13446" s="228">
        <v>2</v>
      </c>
      <c r="C13446" s="228">
        <v>16</v>
      </c>
      <c r="D13446" s="229">
        <f t="shared" si="2012"/>
        <v>46069</v>
      </c>
      <c r="E13446" s="241">
        <f t="shared" si="2021"/>
        <v>46069</v>
      </c>
      <c r="F13446" s="512"/>
      <c r="G13446" s="231" t="s">
        <v>1245</v>
      </c>
      <c r="H13446" s="232"/>
      <c r="I13446" s="232" t="s">
        <v>1253</v>
      </c>
      <c r="J13446" s="228" t="s">
        <v>72</v>
      </c>
      <c r="K13446" s="233"/>
      <c r="L13446" s="233">
        <f>K13445</f>
        <v>5181.5</v>
      </c>
    </row>
    <row r="13447" spans="1:15" ht="11.25" customHeight="1" x14ac:dyDescent="0.2">
      <c r="A13447" s="222">
        <v>2026</v>
      </c>
      <c r="B13447" s="222">
        <v>2</v>
      </c>
      <c r="C13447" s="222">
        <v>16</v>
      </c>
      <c r="D13447" s="223">
        <f t="shared" si="2012"/>
        <v>46069</v>
      </c>
      <c r="E13447" s="240">
        <f t="shared" si="2021"/>
        <v>46069</v>
      </c>
      <c r="F13447" s="511" t="s">
        <v>2138</v>
      </c>
      <c r="G13447" s="225" t="s">
        <v>1245</v>
      </c>
      <c r="H13447" s="226"/>
      <c r="I13447" s="226" t="s">
        <v>1253</v>
      </c>
      <c r="J13447" s="222" t="s">
        <v>75</v>
      </c>
      <c r="K13447" s="227">
        <v>517.58912087912097</v>
      </c>
      <c r="L13447" s="227"/>
      <c r="M13447" s="455"/>
    </row>
    <row r="13448" spans="1:15" ht="11.25" customHeight="1" x14ac:dyDescent="0.2">
      <c r="A13448" s="228">
        <v>2026</v>
      </c>
      <c r="B13448" s="228">
        <v>2</v>
      </c>
      <c r="C13448" s="228">
        <v>16</v>
      </c>
      <c r="D13448" s="229">
        <f t="shared" si="2012"/>
        <v>46069</v>
      </c>
      <c r="E13448" s="241">
        <f t="shared" si="2021"/>
        <v>46069</v>
      </c>
      <c r="F13448" s="512"/>
      <c r="G13448" s="231" t="s">
        <v>1245</v>
      </c>
      <c r="H13448" s="232"/>
      <c r="I13448" s="232" t="s">
        <v>1253</v>
      </c>
      <c r="J13448" s="228" t="s">
        <v>55</v>
      </c>
      <c r="K13448" s="233"/>
      <c r="L13448" s="233">
        <f>K13447</f>
        <v>517.58912087912097</v>
      </c>
    </row>
    <row r="13449" spans="1:15" ht="11.25" customHeight="1" x14ac:dyDescent="0.2">
      <c r="A13449" s="222">
        <v>2026</v>
      </c>
      <c r="B13449" s="222">
        <v>2</v>
      </c>
      <c r="C13449" s="222">
        <v>16</v>
      </c>
      <c r="D13449" s="223">
        <f t="shared" si="2012"/>
        <v>46069</v>
      </c>
      <c r="E13449" s="240">
        <f t="shared" si="2021"/>
        <v>46069</v>
      </c>
      <c r="F13449" s="511" t="s">
        <v>2137</v>
      </c>
      <c r="G13449" s="225" t="s">
        <v>1245</v>
      </c>
      <c r="H13449" s="226"/>
      <c r="I13449" s="226" t="s">
        <v>1253</v>
      </c>
      <c r="J13449" s="222" t="s">
        <v>77</v>
      </c>
      <c r="K13449" s="227">
        <v>7423.0019708306472</v>
      </c>
      <c r="L13449" s="227"/>
      <c r="M13449" s="478"/>
    </row>
    <row r="13450" spans="1:15" ht="11.25" customHeight="1" x14ac:dyDescent="0.2">
      <c r="A13450" s="228">
        <v>2026</v>
      </c>
      <c r="B13450" s="228">
        <v>2</v>
      </c>
      <c r="C13450" s="228">
        <v>16</v>
      </c>
      <c r="D13450" s="229">
        <f t="shared" si="2012"/>
        <v>46069</v>
      </c>
      <c r="E13450" s="241">
        <f t="shared" si="2021"/>
        <v>46069</v>
      </c>
      <c r="F13450" s="512"/>
      <c r="G13450" s="231" t="s">
        <v>1245</v>
      </c>
      <c r="H13450" s="232"/>
      <c r="I13450" s="232" t="s">
        <v>1253</v>
      </c>
      <c r="J13450" s="228" t="s">
        <v>41</v>
      </c>
      <c r="K13450" s="233"/>
      <c r="L13450" s="233">
        <f>K13449</f>
        <v>7423.0019708306472</v>
      </c>
      <c r="M13450" s="328">
        <v>7423.0019708306472</v>
      </c>
      <c r="N13450" s="251"/>
    </row>
    <row r="13451" spans="1:15" ht="11.25" customHeight="1" x14ac:dyDescent="0.2">
      <c r="A13451" s="222">
        <v>2026</v>
      </c>
      <c r="B13451" s="222">
        <v>2</v>
      </c>
      <c r="C13451" s="222">
        <v>16</v>
      </c>
      <c r="D13451" s="223">
        <f t="shared" si="2012"/>
        <v>46069</v>
      </c>
      <c r="E13451" s="240">
        <f t="shared" si="2021"/>
        <v>46069</v>
      </c>
      <c r="F13451" s="511" t="s">
        <v>2136</v>
      </c>
      <c r="G13451" s="225" t="s">
        <v>1245</v>
      </c>
      <c r="H13451" s="226"/>
      <c r="I13451" s="226" t="s">
        <v>1253</v>
      </c>
      <c r="J13451" s="222" t="s">
        <v>80</v>
      </c>
      <c r="K13451" s="227">
        <v>742.30019708306463</v>
      </c>
      <c r="L13451" s="227"/>
      <c r="M13451" s="328">
        <v>742.30019708306463</v>
      </c>
      <c r="N13451" s="251"/>
      <c r="O13451" s="251"/>
    </row>
    <row r="13452" spans="1:15" ht="11.25" customHeight="1" x14ac:dyDescent="0.2">
      <c r="A13452" s="228">
        <v>2026</v>
      </c>
      <c r="B13452" s="228">
        <v>2</v>
      </c>
      <c r="C13452" s="228">
        <v>16</v>
      </c>
      <c r="D13452" s="229">
        <f t="shared" si="2012"/>
        <v>46069</v>
      </c>
      <c r="E13452" s="241">
        <f t="shared" si="2021"/>
        <v>46069</v>
      </c>
      <c r="F13452" s="512"/>
      <c r="G13452" s="231" t="s">
        <v>1245</v>
      </c>
      <c r="H13452" s="232"/>
      <c r="I13452" s="232" t="s">
        <v>1253</v>
      </c>
      <c r="J13452" s="228" t="s">
        <v>42</v>
      </c>
      <c r="K13452" s="233"/>
      <c r="L13452" s="233">
        <f>K13451</f>
        <v>742.30019708306463</v>
      </c>
      <c r="N13452" s="251"/>
    </row>
    <row r="13453" spans="1:15" x14ac:dyDescent="0.2">
      <c r="A13453" s="197">
        <v>2026</v>
      </c>
      <c r="B13453" s="197">
        <v>2</v>
      </c>
      <c r="C13453" s="197">
        <v>17</v>
      </c>
      <c r="D13453" s="198">
        <f t="shared" ref="D13453:D13493" si="2022">DATE(A13453,B13453,C13453)</f>
        <v>46070</v>
      </c>
      <c r="E13453" s="209">
        <f t="shared" si="2021"/>
        <v>46070</v>
      </c>
      <c r="F13453" s="513" t="s">
        <v>1280</v>
      </c>
      <c r="G13453" s="200" t="s">
        <v>1209</v>
      </c>
      <c r="H13453" s="201"/>
      <c r="I13453" s="201"/>
      <c r="J13453" s="197" t="s">
        <v>16</v>
      </c>
      <c r="K13453" s="202">
        <v>639360</v>
      </c>
      <c r="L13453" s="202"/>
    </row>
    <row r="13454" spans="1:15" x14ac:dyDescent="0.2">
      <c r="A13454" s="120">
        <v>2026</v>
      </c>
      <c r="B13454" s="120">
        <v>2</v>
      </c>
      <c r="C13454" s="120">
        <v>17</v>
      </c>
      <c r="D13454" s="208">
        <f t="shared" si="2022"/>
        <v>46070</v>
      </c>
      <c r="E13454" s="209">
        <f t="shared" si="2021"/>
        <v>46070</v>
      </c>
      <c r="F13454" s="515"/>
      <c r="G13454" s="132" t="s">
        <v>1209</v>
      </c>
      <c r="J13454" s="120" t="s">
        <v>47</v>
      </c>
      <c r="K13454" s="207">
        <v>257009.92000000001</v>
      </c>
      <c r="L13454" s="207"/>
    </row>
    <row r="13455" spans="1:15" x14ac:dyDescent="0.2">
      <c r="A13455" s="191">
        <v>2026</v>
      </c>
      <c r="B13455" s="191">
        <v>2</v>
      </c>
      <c r="C13455" s="191">
        <v>17</v>
      </c>
      <c r="D13455" s="192">
        <f t="shared" si="2022"/>
        <v>46070</v>
      </c>
      <c r="E13455" s="193">
        <f t="shared" si="2021"/>
        <v>46070</v>
      </c>
      <c r="F13455" s="514"/>
      <c r="G13455" s="194" t="s">
        <v>1209</v>
      </c>
      <c r="H13455" s="195"/>
      <c r="I13455" s="195"/>
      <c r="J13455" s="191" t="s">
        <v>46</v>
      </c>
      <c r="K13455" s="196"/>
      <c r="L13455" s="196">
        <v>896369.92</v>
      </c>
    </row>
    <row r="13456" spans="1:15" ht="11.25" customHeight="1" x14ac:dyDescent="0.2">
      <c r="A13456" s="197">
        <v>2026</v>
      </c>
      <c r="B13456" s="197">
        <v>2</v>
      </c>
      <c r="C13456" s="197">
        <v>17</v>
      </c>
      <c r="D13456" s="198">
        <f t="shared" si="2022"/>
        <v>46070</v>
      </c>
      <c r="E13456" s="290">
        <f>DATE(A13456,B13456,C13456)</f>
        <v>46070</v>
      </c>
      <c r="F13456" s="513" t="s">
        <v>1514</v>
      </c>
      <c r="G13456" s="200" t="s">
        <v>1209</v>
      </c>
      <c r="H13456" s="201"/>
      <c r="I13456" s="201"/>
      <c r="J13456" s="197" t="s">
        <v>54</v>
      </c>
      <c r="K13456" s="202">
        <v>116</v>
      </c>
      <c r="L13456" s="202"/>
      <c r="O13456" s="251"/>
    </row>
    <row r="13457" spans="1:15" ht="11.25" customHeight="1" x14ac:dyDescent="0.2">
      <c r="A13457" s="191">
        <v>2026</v>
      </c>
      <c r="B13457" s="191">
        <v>2</v>
      </c>
      <c r="C13457" s="191">
        <v>17</v>
      </c>
      <c r="D13457" s="192">
        <f t="shared" si="2022"/>
        <v>46070</v>
      </c>
      <c r="E13457" s="291">
        <f>DATE(A13457,B13457,C13457)</f>
        <v>46070</v>
      </c>
      <c r="F13457" s="514"/>
      <c r="G13457" s="194" t="s">
        <v>1209</v>
      </c>
      <c r="H13457" s="195"/>
      <c r="I13457" s="195"/>
      <c r="J13457" s="191" t="s">
        <v>46</v>
      </c>
      <c r="K13457" s="196"/>
      <c r="L13457" s="196">
        <f>K13456</f>
        <v>116</v>
      </c>
      <c r="O13457" s="251"/>
    </row>
    <row r="13458" spans="1:15" ht="11.25" customHeight="1" x14ac:dyDescent="0.2">
      <c r="A13458" s="197">
        <v>2026</v>
      </c>
      <c r="B13458" s="197">
        <v>2</v>
      </c>
      <c r="C13458" s="197">
        <v>17</v>
      </c>
      <c r="D13458" s="198">
        <f t="shared" si="2022"/>
        <v>46070</v>
      </c>
      <c r="E13458" s="290">
        <f t="shared" ref="E13458" si="2023">DATE(A13458,B13458,C13458)</f>
        <v>46070</v>
      </c>
      <c r="F13458" s="513" t="s">
        <v>2073</v>
      </c>
      <c r="G13458" s="200" t="s">
        <v>1245</v>
      </c>
      <c r="H13458" s="201"/>
      <c r="I13458" s="201" t="s">
        <v>1253</v>
      </c>
      <c r="J13458" s="197" t="s">
        <v>46</v>
      </c>
      <c r="K13458" s="202">
        <v>3899237</v>
      </c>
      <c r="L13458" s="202"/>
    </row>
    <row r="13459" spans="1:15" ht="11.25" customHeight="1" x14ac:dyDescent="0.2">
      <c r="A13459" s="191">
        <v>2026</v>
      </c>
      <c r="B13459" s="191">
        <v>2</v>
      </c>
      <c r="C13459" s="191">
        <v>17</v>
      </c>
      <c r="D13459" s="192">
        <f t="shared" si="2022"/>
        <v>46070</v>
      </c>
      <c r="E13459" s="291">
        <f t="shared" ref="E13459" si="2024">DATE(A13459,B13459,C13459)</f>
        <v>46070</v>
      </c>
      <c r="F13459" s="514"/>
      <c r="G13459" s="194" t="s">
        <v>1245</v>
      </c>
      <c r="H13459" s="195"/>
      <c r="I13459" s="195" t="s">
        <v>1253</v>
      </c>
      <c r="J13459" s="191" t="s">
        <v>1978</v>
      </c>
      <c r="K13459" s="196"/>
      <c r="L13459" s="196">
        <v>3899237</v>
      </c>
    </row>
    <row r="13460" spans="1:15" x14ac:dyDescent="0.2">
      <c r="A13460" s="424">
        <v>2026</v>
      </c>
      <c r="B13460" s="424">
        <v>2</v>
      </c>
      <c r="C13460" s="424">
        <v>17</v>
      </c>
      <c r="D13460" s="425">
        <f t="shared" si="2022"/>
        <v>46070</v>
      </c>
      <c r="E13460" s="384">
        <f t="shared" ref="E13460:E13471" si="2025">DATE(A13460,B13460,C13460)</f>
        <v>46070</v>
      </c>
      <c r="F13460" s="516" t="s">
        <v>1850</v>
      </c>
      <c r="G13460" s="426" t="s">
        <v>1209</v>
      </c>
      <c r="H13460" s="427"/>
      <c r="I13460" s="427"/>
      <c r="J13460" s="428" t="s">
        <v>81</v>
      </c>
      <c r="K13460" s="429">
        <v>1595.81736263736</v>
      </c>
      <c r="L13460" s="429"/>
      <c r="M13460" s="455"/>
    </row>
    <row r="13461" spans="1:15" x14ac:dyDescent="0.2">
      <c r="A13461" s="389">
        <v>2026</v>
      </c>
      <c r="B13461" s="389">
        <v>2</v>
      </c>
      <c r="C13461" s="389">
        <v>17</v>
      </c>
      <c r="D13461" s="390">
        <f t="shared" si="2022"/>
        <v>46070</v>
      </c>
      <c r="E13461" s="391">
        <f t="shared" si="2025"/>
        <v>46070</v>
      </c>
      <c r="F13461" s="517"/>
      <c r="G13461" s="392" t="s">
        <v>1209</v>
      </c>
      <c r="H13461" s="393"/>
      <c r="I13461" s="393"/>
      <c r="J13461" s="394" t="s">
        <v>1847</v>
      </c>
      <c r="K13461" s="423"/>
      <c r="L13461" s="423">
        <f>K13460</f>
        <v>1595.81736263736</v>
      </c>
    </row>
    <row r="13462" spans="1:15" ht="11.25" customHeight="1" x14ac:dyDescent="0.2">
      <c r="A13462" s="382">
        <v>2026</v>
      </c>
      <c r="B13462" s="382">
        <v>2</v>
      </c>
      <c r="C13462" s="382">
        <v>17</v>
      </c>
      <c r="D13462" s="383">
        <f t="shared" si="2022"/>
        <v>46070</v>
      </c>
      <c r="E13462" s="384">
        <f t="shared" si="2025"/>
        <v>46070</v>
      </c>
      <c r="F13462" s="516" t="s">
        <v>1892</v>
      </c>
      <c r="G13462" s="385" t="s">
        <v>1209</v>
      </c>
      <c r="H13462" s="386"/>
      <c r="I13462" s="386"/>
      <c r="J13462" s="387" t="s">
        <v>173</v>
      </c>
      <c r="K13462" s="388">
        <v>594.01916357638902</v>
      </c>
      <c r="L13462" s="388"/>
      <c r="M13462" s="455"/>
    </row>
    <row r="13463" spans="1:15" ht="11.25" customHeight="1" x14ac:dyDescent="0.2">
      <c r="A13463" s="389">
        <v>2026</v>
      </c>
      <c r="B13463" s="389">
        <v>2</v>
      </c>
      <c r="C13463" s="389">
        <v>17</v>
      </c>
      <c r="D13463" s="390">
        <f t="shared" si="2022"/>
        <v>46070</v>
      </c>
      <c r="E13463" s="391">
        <f t="shared" si="2025"/>
        <v>46070</v>
      </c>
      <c r="F13463" s="517"/>
      <c r="G13463" s="392" t="s">
        <v>1209</v>
      </c>
      <c r="H13463" s="393"/>
      <c r="I13463" s="393"/>
      <c r="J13463" s="394" t="s">
        <v>43</v>
      </c>
      <c r="K13463" s="388"/>
      <c r="L13463" s="423">
        <f>K13462</f>
        <v>594.01916357638902</v>
      </c>
    </row>
    <row r="13464" spans="1:15" ht="11.25" customHeight="1" x14ac:dyDescent="0.2">
      <c r="A13464" s="344">
        <v>2026</v>
      </c>
      <c r="B13464" s="344">
        <v>2</v>
      </c>
      <c r="C13464" s="344">
        <v>17</v>
      </c>
      <c r="D13464" s="345">
        <f t="shared" si="2022"/>
        <v>46070</v>
      </c>
      <c r="E13464" s="346">
        <f t="shared" si="2025"/>
        <v>46070</v>
      </c>
      <c r="F13464" s="518" t="s">
        <v>1982</v>
      </c>
      <c r="G13464" s="347" t="s">
        <v>1245</v>
      </c>
      <c r="H13464" s="348"/>
      <c r="I13464" s="348" t="s">
        <v>1253</v>
      </c>
      <c r="J13464" s="344" t="s">
        <v>1978</v>
      </c>
      <c r="K13464" s="349"/>
      <c r="L13464" s="349"/>
      <c r="M13464" s="455"/>
    </row>
    <row r="13465" spans="1:15" ht="11.25" customHeight="1" x14ac:dyDescent="0.2">
      <c r="A13465" s="350">
        <v>2026</v>
      </c>
      <c r="B13465" s="350">
        <v>2</v>
      </c>
      <c r="C13465" s="350">
        <v>17</v>
      </c>
      <c r="D13465" s="351">
        <f t="shared" si="2022"/>
        <v>46070</v>
      </c>
      <c r="E13465" s="352">
        <f t="shared" si="2025"/>
        <v>46070</v>
      </c>
      <c r="F13465" s="519"/>
      <c r="G13465" s="353" t="s">
        <v>1245</v>
      </c>
      <c r="H13465" s="354"/>
      <c r="I13465" s="354" t="s">
        <v>1253</v>
      </c>
      <c r="J13465" s="350" t="s">
        <v>1979</v>
      </c>
      <c r="K13465" s="355"/>
      <c r="L13465" s="355">
        <f>K13464</f>
        <v>0</v>
      </c>
    </row>
    <row r="13466" spans="1:15" ht="11.25" customHeight="1" x14ac:dyDescent="0.2">
      <c r="A13466" s="344">
        <v>2026</v>
      </c>
      <c r="B13466" s="344">
        <v>2</v>
      </c>
      <c r="C13466" s="344">
        <v>17</v>
      </c>
      <c r="D13466" s="345">
        <f t="shared" si="2022"/>
        <v>46070</v>
      </c>
      <c r="E13466" s="346">
        <f t="shared" si="2025"/>
        <v>46070</v>
      </c>
      <c r="F13466" s="518" t="s">
        <v>2009</v>
      </c>
      <c r="G13466" s="347" t="s">
        <v>1245</v>
      </c>
      <c r="H13466" s="348"/>
      <c r="I13466" s="348" t="s">
        <v>1253</v>
      </c>
      <c r="J13466" s="344" t="s">
        <v>2004</v>
      </c>
      <c r="K13466" s="349">
        <v>7098.9014285714302</v>
      </c>
      <c r="L13466" s="349"/>
      <c r="M13466" s="455"/>
    </row>
    <row r="13467" spans="1:15" ht="11.25" customHeight="1" x14ac:dyDescent="0.2">
      <c r="A13467" s="350">
        <v>2026</v>
      </c>
      <c r="B13467" s="350">
        <v>2</v>
      </c>
      <c r="C13467" s="350">
        <v>17</v>
      </c>
      <c r="D13467" s="351">
        <f t="shared" si="2022"/>
        <v>46070</v>
      </c>
      <c r="E13467" s="352">
        <f t="shared" si="2025"/>
        <v>46070</v>
      </c>
      <c r="F13467" s="519"/>
      <c r="G13467" s="353" t="s">
        <v>1245</v>
      </c>
      <c r="H13467" s="354"/>
      <c r="I13467" s="354" t="s">
        <v>1253</v>
      </c>
      <c r="J13467" s="350" t="s">
        <v>2008</v>
      </c>
      <c r="K13467" s="355"/>
      <c r="L13467" s="355">
        <f t="shared" ref="L13467" si="2026">K13466</f>
        <v>7098.9014285714302</v>
      </c>
    </row>
    <row r="13468" spans="1:15" ht="11.25" customHeight="1" x14ac:dyDescent="0.2">
      <c r="A13468" s="344">
        <v>2026</v>
      </c>
      <c r="B13468" s="344">
        <v>2</v>
      </c>
      <c r="C13468" s="344">
        <v>17</v>
      </c>
      <c r="D13468" s="345">
        <f t="shared" si="2022"/>
        <v>46070</v>
      </c>
      <c r="E13468" s="346">
        <f t="shared" si="2025"/>
        <v>46070</v>
      </c>
      <c r="F13468" s="518" t="s">
        <v>2009</v>
      </c>
      <c r="G13468" s="347" t="s">
        <v>1245</v>
      </c>
      <c r="H13468" s="348"/>
      <c r="I13468" s="348" t="s">
        <v>1253</v>
      </c>
      <c r="J13468" s="344" t="s">
        <v>2004</v>
      </c>
      <c r="K13468" s="349">
        <v>7098.9014285714302</v>
      </c>
      <c r="L13468" s="349"/>
      <c r="M13468" s="455"/>
    </row>
    <row r="13469" spans="1:15" ht="11.25" customHeight="1" x14ac:dyDescent="0.2">
      <c r="A13469" s="350">
        <v>2026</v>
      </c>
      <c r="B13469" s="350">
        <v>2</v>
      </c>
      <c r="C13469" s="350">
        <v>17</v>
      </c>
      <c r="D13469" s="351">
        <f t="shared" si="2022"/>
        <v>46070</v>
      </c>
      <c r="E13469" s="352">
        <f t="shared" si="2025"/>
        <v>46070</v>
      </c>
      <c r="F13469" s="519"/>
      <c r="G13469" s="353" t="s">
        <v>1245</v>
      </c>
      <c r="H13469" s="354"/>
      <c r="I13469" s="354" t="s">
        <v>1253</v>
      </c>
      <c r="J13469" s="350" t="s">
        <v>2008</v>
      </c>
      <c r="K13469" s="355"/>
      <c r="L13469" s="355">
        <f t="shared" ref="L13469" si="2027">K13468</f>
        <v>7098.9014285714302</v>
      </c>
    </row>
    <row r="13470" spans="1:15" ht="11.25" customHeight="1" x14ac:dyDescent="0.2">
      <c r="A13470" s="344">
        <v>2026</v>
      </c>
      <c r="B13470" s="344">
        <v>2</v>
      </c>
      <c r="C13470" s="344">
        <v>17</v>
      </c>
      <c r="D13470" s="345">
        <f t="shared" si="2022"/>
        <v>46070</v>
      </c>
      <c r="E13470" s="346">
        <f t="shared" si="2025"/>
        <v>46070</v>
      </c>
      <c r="F13470" s="518" t="s">
        <v>2088</v>
      </c>
      <c r="G13470" s="347" t="s">
        <v>1245</v>
      </c>
      <c r="H13470" s="348"/>
      <c r="I13470" s="348" t="s">
        <v>1253</v>
      </c>
      <c r="J13470" s="344" t="s">
        <v>2086</v>
      </c>
      <c r="K13470" s="349">
        <v>1789.83516483516</v>
      </c>
      <c r="L13470" s="349"/>
      <c r="M13470" s="455"/>
    </row>
    <row r="13471" spans="1:15" ht="11.25" customHeight="1" x14ac:dyDescent="0.2">
      <c r="A13471" s="350">
        <v>2026</v>
      </c>
      <c r="B13471" s="350">
        <v>2</v>
      </c>
      <c r="C13471" s="350">
        <v>17</v>
      </c>
      <c r="D13471" s="351">
        <f t="shared" si="2022"/>
        <v>46070</v>
      </c>
      <c r="E13471" s="352">
        <f t="shared" si="2025"/>
        <v>46070</v>
      </c>
      <c r="F13471" s="519"/>
      <c r="G13471" s="353" t="s">
        <v>1245</v>
      </c>
      <c r="H13471" s="354"/>
      <c r="I13471" s="354" t="s">
        <v>1253</v>
      </c>
      <c r="J13471" s="350" t="s">
        <v>2089</v>
      </c>
      <c r="K13471" s="355"/>
      <c r="L13471" s="355">
        <f>K13470</f>
        <v>1789.83516483516</v>
      </c>
    </row>
    <row r="13472" spans="1:15" ht="11.25" customHeight="1" x14ac:dyDescent="0.2">
      <c r="A13472" s="344">
        <v>2026</v>
      </c>
      <c r="B13472" s="344">
        <v>2</v>
      </c>
      <c r="C13472" s="344">
        <v>17</v>
      </c>
      <c r="D13472" s="345">
        <f t="shared" si="2022"/>
        <v>46070</v>
      </c>
      <c r="E13472" s="346">
        <f>DATE(A13472,B13472,C13472)</f>
        <v>46070</v>
      </c>
      <c r="F13472" s="518" t="s">
        <v>1988</v>
      </c>
      <c r="G13472" s="347" t="s">
        <v>1245</v>
      </c>
      <c r="H13472" s="348"/>
      <c r="I13472" s="348" t="s">
        <v>1253</v>
      </c>
      <c r="J13472" s="344" t="s">
        <v>113</v>
      </c>
      <c r="K13472" s="349">
        <v>4692.3071428571402</v>
      </c>
      <c r="L13472" s="349"/>
      <c r="M13472" s="455"/>
    </row>
    <row r="13473" spans="1:16" ht="11.25" customHeight="1" x14ac:dyDescent="0.2">
      <c r="A13473" s="350">
        <v>2026</v>
      </c>
      <c r="B13473" s="350">
        <v>2</v>
      </c>
      <c r="C13473" s="350">
        <v>17</v>
      </c>
      <c r="D13473" s="351">
        <f t="shared" si="2022"/>
        <v>46070</v>
      </c>
      <c r="E13473" s="352">
        <f>DATE(A13473,B13473,C13473)</f>
        <v>46070</v>
      </c>
      <c r="F13473" s="519"/>
      <c r="G13473" s="353" t="s">
        <v>1245</v>
      </c>
      <c r="H13473" s="354"/>
      <c r="I13473" s="354" t="s">
        <v>1253</v>
      </c>
      <c r="J13473" s="350" t="s">
        <v>153</v>
      </c>
      <c r="K13473" s="355"/>
      <c r="L13473" s="355">
        <f t="shared" ref="L13473" si="2028">K13472</f>
        <v>4692.3071428571402</v>
      </c>
    </row>
    <row r="13474" spans="1:16" ht="11.25" customHeight="1" x14ac:dyDescent="0.2">
      <c r="A13474" s="344">
        <v>2026</v>
      </c>
      <c r="B13474" s="344">
        <v>2</v>
      </c>
      <c r="C13474" s="344">
        <v>17</v>
      </c>
      <c r="D13474" s="345">
        <f t="shared" si="2022"/>
        <v>46070</v>
      </c>
      <c r="E13474" s="346">
        <f t="shared" ref="E13474:E13480" si="2029">DATE(A13474,B13474,C13474)</f>
        <v>46070</v>
      </c>
      <c r="F13474" s="518" t="s">
        <v>1989</v>
      </c>
      <c r="G13474" s="347" t="s">
        <v>1245</v>
      </c>
      <c r="H13474" s="348"/>
      <c r="I13474" s="348" t="s">
        <v>1253</v>
      </c>
      <c r="J13474" s="344" t="s">
        <v>113</v>
      </c>
      <c r="K13474" s="349">
        <v>3351.6483516483499</v>
      </c>
      <c r="L13474" s="349"/>
      <c r="M13474" s="455"/>
    </row>
    <row r="13475" spans="1:16" ht="11.25" customHeight="1" x14ac:dyDescent="0.2">
      <c r="A13475" s="350">
        <v>2026</v>
      </c>
      <c r="B13475" s="350">
        <v>2</v>
      </c>
      <c r="C13475" s="350">
        <v>17</v>
      </c>
      <c r="D13475" s="351">
        <f t="shared" si="2022"/>
        <v>46070</v>
      </c>
      <c r="E13475" s="352">
        <f t="shared" si="2029"/>
        <v>46070</v>
      </c>
      <c r="F13475" s="519"/>
      <c r="G13475" s="353" t="s">
        <v>1245</v>
      </c>
      <c r="H13475" s="354"/>
      <c r="I13475" s="354" t="s">
        <v>1253</v>
      </c>
      <c r="J13475" s="350" t="s">
        <v>153</v>
      </c>
      <c r="K13475" s="355"/>
      <c r="L13475" s="355">
        <f t="shared" ref="L13475" si="2030">K13474</f>
        <v>3351.6483516483499</v>
      </c>
    </row>
    <row r="13476" spans="1:16" ht="11.25" customHeight="1" x14ac:dyDescent="0.2">
      <c r="A13476" s="344">
        <v>2026</v>
      </c>
      <c r="B13476" s="344">
        <v>2</v>
      </c>
      <c r="C13476" s="344">
        <v>17</v>
      </c>
      <c r="D13476" s="345">
        <f t="shared" si="2022"/>
        <v>46070</v>
      </c>
      <c r="E13476" s="346">
        <f t="shared" si="2029"/>
        <v>46070</v>
      </c>
      <c r="F13476" s="518" t="s">
        <v>1990</v>
      </c>
      <c r="G13476" s="347" t="s">
        <v>1245</v>
      </c>
      <c r="H13476" s="348"/>
      <c r="I13476" s="348" t="s">
        <v>1253</v>
      </c>
      <c r="J13476" s="344" t="s">
        <v>113</v>
      </c>
      <c r="K13476" s="349">
        <v>10054.945714285701</v>
      </c>
      <c r="L13476" s="349"/>
      <c r="M13476" s="455"/>
      <c r="N13476" s="251"/>
      <c r="O13476" s="251"/>
      <c r="P13476" s="251"/>
    </row>
    <row r="13477" spans="1:16" ht="11.25" customHeight="1" x14ac:dyDescent="0.2">
      <c r="A13477" s="350">
        <v>2026</v>
      </c>
      <c r="B13477" s="350">
        <v>2</v>
      </c>
      <c r="C13477" s="350">
        <v>17</v>
      </c>
      <c r="D13477" s="351">
        <f t="shared" si="2022"/>
        <v>46070</v>
      </c>
      <c r="E13477" s="352">
        <f t="shared" si="2029"/>
        <v>46070</v>
      </c>
      <c r="F13477" s="519"/>
      <c r="G13477" s="353" t="s">
        <v>1245</v>
      </c>
      <c r="H13477" s="354"/>
      <c r="I13477" s="354" t="s">
        <v>1253</v>
      </c>
      <c r="J13477" s="350" t="s">
        <v>153</v>
      </c>
      <c r="K13477" s="355"/>
      <c r="L13477" s="355">
        <f t="shared" ref="L13477" si="2031">K13476</f>
        <v>10054.945714285701</v>
      </c>
      <c r="M13477" s="455"/>
    </row>
    <row r="13478" spans="1:16" ht="11.25" customHeight="1" x14ac:dyDescent="0.2">
      <c r="A13478" s="344">
        <v>2026</v>
      </c>
      <c r="B13478" s="344">
        <v>2</v>
      </c>
      <c r="C13478" s="344">
        <v>17</v>
      </c>
      <c r="D13478" s="345">
        <f t="shared" si="2022"/>
        <v>46070</v>
      </c>
      <c r="E13478" s="346">
        <f t="shared" si="2029"/>
        <v>46070</v>
      </c>
      <c r="F13478" s="518" t="s">
        <v>2107</v>
      </c>
      <c r="G13478" s="347" t="s">
        <v>1245</v>
      </c>
      <c r="H13478" s="348"/>
      <c r="I13478" s="348" t="s">
        <v>1253</v>
      </c>
      <c r="J13478" s="344" t="s">
        <v>113</v>
      </c>
      <c r="K13478" s="349">
        <v>12370.879120879101</v>
      </c>
      <c r="L13478" s="349"/>
      <c r="M13478" s="455"/>
      <c r="N13478" s="251"/>
      <c r="O13478" s="251"/>
      <c r="P13478" s="251"/>
    </row>
    <row r="13479" spans="1:16" ht="11.25" customHeight="1" x14ac:dyDescent="0.2">
      <c r="A13479" s="350">
        <v>2026</v>
      </c>
      <c r="B13479" s="350">
        <v>2</v>
      </c>
      <c r="C13479" s="350">
        <v>17</v>
      </c>
      <c r="D13479" s="351">
        <f t="shared" si="2022"/>
        <v>46070</v>
      </c>
      <c r="E13479" s="352">
        <f t="shared" si="2029"/>
        <v>46070</v>
      </c>
      <c r="F13479" s="519"/>
      <c r="G13479" s="353" t="s">
        <v>1245</v>
      </c>
      <c r="H13479" s="354"/>
      <c r="I13479" s="354" t="s">
        <v>1253</v>
      </c>
      <c r="J13479" s="350" t="s">
        <v>153</v>
      </c>
      <c r="K13479" s="355"/>
      <c r="L13479" s="355">
        <f t="shared" ref="L13479" si="2032">K13478</f>
        <v>12370.879120879101</v>
      </c>
    </row>
    <row r="13480" spans="1:16" ht="11.25" customHeight="1" x14ac:dyDescent="0.2">
      <c r="A13480" s="210">
        <v>2026</v>
      </c>
      <c r="B13480" s="210">
        <v>2</v>
      </c>
      <c r="C13480" s="210">
        <v>17</v>
      </c>
      <c r="D13480" s="211">
        <f t="shared" si="2022"/>
        <v>46070</v>
      </c>
      <c r="E13480" s="238">
        <f t="shared" si="2029"/>
        <v>46070</v>
      </c>
      <c r="F13480" s="520" t="s">
        <v>1857</v>
      </c>
      <c r="G13480" s="213" t="s">
        <v>1245</v>
      </c>
      <c r="H13480" s="214"/>
      <c r="I13480" s="214" t="s">
        <v>1253</v>
      </c>
      <c r="J13480" s="210" t="s">
        <v>1284</v>
      </c>
      <c r="K13480" s="215">
        <v>334.54448777029398</v>
      </c>
      <c r="L13480" s="215"/>
      <c r="M13480" s="455"/>
    </row>
    <row r="13481" spans="1:16" ht="11.25" customHeight="1" x14ac:dyDescent="0.2">
      <c r="A13481" s="242">
        <v>2026</v>
      </c>
      <c r="B13481" s="242">
        <v>2</v>
      </c>
      <c r="C13481" s="242">
        <v>17</v>
      </c>
      <c r="D13481" s="243">
        <f t="shared" si="2022"/>
        <v>46070</v>
      </c>
      <c r="E13481" s="244">
        <f>DATE(A13481,B13481,C13481)</f>
        <v>46070</v>
      </c>
      <c r="F13481" s="524"/>
      <c r="G13481" s="245" t="s">
        <v>1245</v>
      </c>
      <c r="H13481" s="246"/>
      <c r="I13481" s="246"/>
      <c r="J13481" s="242" t="s">
        <v>1582</v>
      </c>
      <c r="K13481" s="247"/>
      <c r="L13481" s="247">
        <f>K13480</f>
        <v>334.54448777029398</v>
      </c>
    </row>
    <row r="13482" spans="1:16" ht="11.25" customHeight="1" x14ac:dyDescent="0.2">
      <c r="A13482" s="210">
        <v>2026</v>
      </c>
      <c r="B13482" s="210">
        <v>2</v>
      </c>
      <c r="C13482" s="210">
        <v>17</v>
      </c>
      <c r="D13482" s="211">
        <f t="shared" si="2022"/>
        <v>46070</v>
      </c>
      <c r="E13482" s="238">
        <f t="shared" ref="E13482:E13499" si="2033">DATE(A13482,B13482,C13482)</f>
        <v>46070</v>
      </c>
      <c r="F13482" s="520" t="s">
        <v>2055</v>
      </c>
      <c r="G13482" s="213" t="s">
        <v>1245</v>
      </c>
      <c r="H13482" s="214"/>
      <c r="I13482" s="214" t="s">
        <v>1253</v>
      </c>
      <c r="J13482" s="210" t="s">
        <v>58</v>
      </c>
      <c r="K13482" s="215">
        <v>269.74118944444439</v>
      </c>
      <c r="L13482" s="215"/>
    </row>
    <row r="13483" spans="1:16" ht="11.25" customHeight="1" x14ac:dyDescent="0.2">
      <c r="A13483" s="216">
        <v>2026</v>
      </c>
      <c r="B13483" s="216">
        <v>2</v>
      </c>
      <c r="C13483" s="216">
        <v>17</v>
      </c>
      <c r="D13483" s="217">
        <f t="shared" si="2022"/>
        <v>46070</v>
      </c>
      <c r="E13483" s="239">
        <f t="shared" si="2033"/>
        <v>46070</v>
      </c>
      <c r="F13483" s="521"/>
      <c r="G13483" s="219" t="s">
        <v>1245</v>
      </c>
      <c r="H13483" s="220"/>
      <c r="I13483" s="220" t="s">
        <v>1253</v>
      </c>
      <c r="J13483" s="216" t="s">
        <v>153</v>
      </c>
      <c r="K13483" s="221"/>
      <c r="L13483" s="221">
        <f>K13482</f>
        <v>269.74118944444439</v>
      </c>
    </row>
    <row r="13484" spans="1:16" ht="11.25" customHeight="1" x14ac:dyDescent="0.2">
      <c r="A13484" s="312">
        <v>2026</v>
      </c>
      <c r="B13484" s="312">
        <v>2</v>
      </c>
      <c r="C13484" s="312">
        <v>17</v>
      </c>
      <c r="D13484" s="313">
        <f t="shared" si="2022"/>
        <v>46070</v>
      </c>
      <c r="E13484" s="314">
        <f t="shared" si="2033"/>
        <v>46070</v>
      </c>
      <c r="F13484" s="522" t="s">
        <v>1595</v>
      </c>
      <c r="G13484" s="315" t="s">
        <v>1245</v>
      </c>
      <c r="H13484" s="316"/>
      <c r="I13484" s="316" t="s">
        <v>1253</v>
      </c>
      <c r="J13484" s="312" t="s">
        <v>1459</v>
      </c>
      <c r="K13484" s="317">
        <v>1062348.9150000215</v>
      </c>
      <c r="L13484" s="317"/>
      <c r="M13484" s="328"/>
    </row>
    <row r="13485" spans="1:16" ht="11.25" customHeight="1" x14ac:dyDescent="0.2">
      <c r="A13485" s="318">
        <v>2026</v>
      </c>
      <c r="B13485" s="318">
        <v>2</v>
      </c>
      <c r="C13485" s="318">
        <v>17</v>
      </c>
      <c r="D13485" s="319">
        <f t="shared" si="2022"/>
        <v>46070</v>
      </c>
      <c r="E13485" s="320">
        <f t="shared" si="2033"/>
        <v>46070</v>
      </c>
      <c r="F13485" s="523"/>
      <c r="G13485" s="321" t="s">
        <v>1245</v>
      </c>
      <c r="H13485" s="322"/>
      <c r="I13485" s="322" t="s">
        <v>1253</v>
      </c>
      <c r="J13485" s="318" t="s">
        <v>1461</v>
      </c>
      <c r="K13485" s="323"/>
      <c r="L13485" s="323">
        <f>K13484</f>
        <v>1062348.9150000215</v>
      </c>
      <c r="M13485" s="328"/>
    </row>
    <row r="13486" spans="1:16" ht="11.25" customHeight="1" x14ac:dyDescent="0.2">
      <c r="A13486" s="222">
        <v>2026</v>
      </c>
      <c r="B13486" s="222">
        <v>2</v>
      </c>
      <c r="C13486" s="222">
        <v>17</v>
      </c>
      <c r="D13486" s="223">
        <f t="shared" si="2022"/>
        <v>46070</v>
      </c>
      <c r="E13486" s="240">
        <f t="shared" si="2033"/>
        <v>46070</v>
      </c>
      <c r="F13486" s="511" t="s">
        <v>1244</v>
      </c>
      <c r="G13486" s="225" t="s">
        <v>1245</v>
      </c>
      <c r="H13486" s="226"/>
      <c r="I13486" s="226" t="s">
        <v>1253</v>
      </c>
      <c r="J13486" s="222" t="s">
        <v>72</v>
      </c>
      <c r="K13486" s="227">
        <v>20</v>
      </c>
      <c r="L13486" s="227"/>
      <c r="M13486" s="328"/>
    </row>
    <row r="13487" spans="1:16" ht="11.25" customHeight="1" x14ac:dyDescent="0.2">
      <c r="A13487" s="228">
        <v>2026</v>
      </c>
      <c r="B13487" s="228">
        <v>2</v>
      </c>
      <c r="C13487" s="228">
        <v>17</v>
      </c>
      <c r="D13487" s="229">
        <f t="shared" si="2022"/>
        <v>46070</v>
      </c>
      <c r="E13487" s="241">
        <f t="shared" si="2033"/>
        <v>46070</v>
      </c>
      <c r="F13487" s="512"/>
      <c r="G13487" s="231" t="s">
        <v>1245</v>
      </c>
      <c r="H13487" s="232"/>
      <c r="I13487" s="232" t="s">
        <v>1253</v>
      </c>
      <c r="J13487" s="228" t="s">
        <v>87</v>
      </c>
      <c r="K13487" s="233"/>
      <c r="L13487" s="233">
        <f>K13486</f>
        <v>20</v>
      </c>
    </row>
    <row r="13488" spans="1:16" ht="11.25" customHeight="1" x14ac:dyDescent="0.2">
      <c r="A13488" s="222">
        <v>2026</v>
      </c>
      <c r="B13488" s="222">
        <v>2</v>
      </c>
      <c r="C13488" s="222">
        <v>17</v>
      </c>
      <c r="D13488" s="223">
        <f t="shared" si="2022"/>
        <v>46070</v>
      </c>
      <c r="E13488" s="240">
        <f t="shared" si="2033"/>
        <v>46070</v>
      </c>
      <c r="F13488" s="511" t="s">
        <v>2138</v>
      </c>
      <c r="G13488" s="225" t="s">
        <v>1245</v>
      </c>
      <c r="H13488" s="226"/>
      <c r="I13488" s="226" t="s">
        <v>1253</v>
      </c>
      <c r="J13488" s="222" t="s">
        <v>75</v>
      </c>
      <c r="K13488" s="227">
        <v>517.58912087912097</v>
      </c>
      <c r="L13488" s="227"/>
      <c r="M13488" s="455"/>
    </row>
    <row r="13489" spans="1:15" ht="11.25" customHeight="1" x14ac:dyDescent="0.2">
      <c r="A13489" s="228">
        <v>2026</v>
      </c>
      <c r="B13489" s="228">
        <v>2</v>
      </c>
      <c r="C13489" s="228">
        <v>17</v>
      </c>
      <c r="D13489" s="229">
        <f t="shared" si="2022"/>
        <v>46070</v>
      </c>
      <c r="E13489" s="241">
        <f t="shared" si="2033"/>
        <v>46070</v>
      </c>
      <c r="F13489" s="512"/>
      <c r="G13489" s="231" t="s">
        <v>1245</v>
      </c>
      <c r="H13489" s="232"/>
      <c r="I13489" s="232" t="s">
        <v>1253</v>
      </c>
      <c r="J13489" s="228" t="s">
        <v>55</v>
      </c>
      <c r="K13489" s="233"/>
      <c r="L13489" s="233">
        <f>K13488</f>
        <v>517.58912087912097</v>
      </c>
    </row>
    <row r="13490" spans="1:15" ht="11.25" customHeight="1" x14ac:dyDescent="0.2">
      <c r="A13490" s="222">
        <v>2026</v>
      </c>
      <c r="B13490" s="222">
        <v>2</v>
      </c>
      <c r="C13490" s="222">
        <v>17</v>
      </c>
      <c r="D13490" s="223">
        <f t="shared" si="2022"/>
        <v>46070</v>
      </c>
      <c r="E13490" s="240">
        <f t="shared" si="2033"/>
        <v>46070</v>
      </c>
      <c r="F13490" s="511" t="s">
        <v>2137</v>
      </c>
      <c r="G13490" s="225" t="s">
        <v>1245</v>
      </c>
      <c r="H13490" s="226"/>
      <c r="I13490" s="226" t="s">
        <v>1253</v>
      </c>
      <c r="J13490" s="222" t="s">
        <v>77</v>
      </c>
      <c r="K13490" s="227">
        <v>7423.0019708306472</v>
      </c>
      <c r="L13490" s="227"/>
      <c r="M13490" s="478"/>
    </row>
    <row r="13491" spans="1:15" ht="11.25" customHeight="1" x14ac:dyDescent="0.2">
      <c r="A13491" s="228">
        <v>2026</v>
      </c>
      <c r="B13491" s="228">
        <v>2</v>
      </c>
      <c r="C13491" s="228">
        <v>17</v>
      </c>
      <c r="D13491" s="229">
        <f t="shared" si="2022"/>
        <v>46070</v>
      </c>
      <c r="E13491" s="241">
        <f t="shared" si="2033"/>
        <v>46070</v>
      </c>
      <c r="F13491" s="512"/>
      <c r="G13491" s="231" t="s">
        <v>1245</v>
      </c>
      <c r="H13491" s="232"/>
      <c r="I13491" s="232" t="s">
        <v>1253</v>
      </c>
      <c r="J13491" s="228" t="s">
        <v>41</v>
      </c>
      <c r="K13491" s="233"/>
      <c r="L13491" s="233">
        <f>K13490</f>
        <v>7423.0019708306472</v>
      </c>
      <c r="M13491" s="328"/>
      <c r="N13491" s="251"/>
    </row>
    <row r="13492" spans="1:15" ht="11.25" customHeight="1" x14ac:dyDescent="0.2">
      <c r="A13492" s="222">
        <v>2026</v>
      </c>
      <c r="B13492" s="222">
        <v>2</v>
      </c>
      <c r="C13492" s="222">
        <v>17</v>
      </c>
      <c r="D13492" s="223">
        <f t="shared" si="2022"/>
        <v>46070</v>
      </c>
      <c r="E13492" s="240">
        <f t="shared" si="2033"/>
        <v>46070</v>
      </c>
      <c r="F13492" s="511" t="s">
        <v>2136</v>
      </c>
      <c r="G13492" s="225" t="s">
        <v>1245</v>
      </c>
      <c r="H13492" s="226"/>
      <c r="I13492" s="226" t="s">
        <v>1253</v>
      </c>
      <c r="J13492" s="222" t="s">
        <v>80</v>
      </c>
      <c r="K13492" s="227">
        <v>742.30019708306463</v>
      </c>
      <c r="L13492" s="227"/>
      <c r="M13492" s="328"/>
      <c r="N13492" s="251"/>
      <c r="O13492" s="251"/>
    </row>
    <row r="13493" spans="1:15" ht="11.25" customHeight="1" x14ac:dyDescent="0.2">
      <c r="A13493" s="228">
        <v>2026</v>
      </c>
      <c r="B13493" s="228">
        <v>2</v>
      </c>
      <c r="C13493" s="228">
        <v>17</v>
      </c>
      <c r="D13493" s="229">
        <f t="shared" si="2022"/>
        <v>46070</v>
      </c>
      <c r="E13493" s="241">
        <f t="shared" si="2033"/>
        <v>46070</v>
      </c>
      <c r="F13493" s="512"/>
      <c r="G13493" s="231" t="s">
        <v>1245</v>
      </c>
      <c r="H13493" s="232"/>
      <c r="I13493" s="232" t="s">
        <v>1253</v>
      </c>
      <c r="J13493" s="228" t="s">
        <v>42</v>
      </c>
      <c r="K13493" s="233"/>
      <c r="L13493" s="233">
        <f>K13492</f>
        <v>742.30019708306463</v>
      </c>
      <c r="N13493" s="251"/>
    </row>
    <row r="13494" spans="1:15" x14ac:dyDescent="0.2">
      <c r="A13494" s="197">
        <v>2026</v>
      </c>
      <c r="B13494" s="197">
        <v>2</v>
      </c>
      <c r="C13494" s="197">
        <v>18</v>
      </c>
      <c r="D13494" s="198">
        <f t="shared" ref="D13494:D13540" si="2034">DATE(A13494,B13494,C13494)</f>
        <v>46071</v>
      </c>
      <c r="E13494" s="209">
        <f t="shared" si="2033"/>
        <v>46071</v>
      </c>
      <c r="F13494" s="513" t="s">
        <v>1280</v>
      </c>
      <c r="G13494" s="200" t="s">
        <v>1209</v>
      </c>
      <c r="H13494" s="201"/>
      <c r="I13494" s="201"/>
      <c r="J13494" s="197" t="s">
        <v>16</v>
      </c>
      <c r="K13494" s="202">
        <v>926520</v>
      </c>
      <c r="L13494" s="202"/>
    </row>
    <row r="13495" spans="1:15" x14ac:dyDescent="0.2">
      <c r="A13495" s="120">
        <v>2026</v>
      </c>
      <c r="B13495" s="120">
        <v>2</v>
      </c>
      <c r="C13495" s="120">
        <v>18</v>
      </c>
      <c r="D13495" s="208">
        <f t="shared" si="2034"/>
        <v>46071</v>
      </c>
      <c r="E13495" s="209">
        <f t="shared" si="2033"/>
        <v>46071</v>
      </c>
      <c r="F13495" s="515"/>
      <c r="G13495" s="132" t="s">
        <v>1209</v>
      </c>
      <c r="J13495" s="120" t="s">
        <v>47</v>
      </c>
      <c r="K13495" s="207">
        <v>373480</v>
      </c>
      <c r="L13495" s="207"/>
    </row>
    <row r="13496" spans="1:15" x14ac:dyDescent="0.2">
      <c r="A13496" s="191">
        <v>2026</v>
      </c>
      <c r="B13496" s="191">
        <v>2</v>
      </c>
      <c r="C13496" s="191">
        <v>18</v>
      </c>
      <c r="D13496" s="192">
        <f t="shared" si="2034"/>
        <v>46071</v>
      </c>
      <c r="E13496" s="193">
        <f t="shared" si="2033"/>
        <v>46071</v>
      </c>
      <c r="F13496" s="514"/>
      <c r="G13496" s="194" t="s">
        <v>1209</v>
      </c>
      <c r="H13496" s="195"/>
      <c r="I13496" s="195"/>
      <c r="J13496" s="191" t="s">
        <v>46</v>
      </c>
      <c r="K13496" s="196"/>
      <c r="L13496" s="196">
        <v>1300000</v>
      </c>
    </row>
    <row r="13497" spans="1:15" x14ac:dyDescent="0.2">
      <c r="A13497" s="197">
        <v>2026</v>
      </c>
      <c r="B13497" s="197">
        <v>2</v>
      </c>
      <c r="C13497" s="197">
        <v>18</v>
      </c>
      <c r="D13497" s="198">
        <f t="shared" si="2034"/>
        <v>46071</v>
      </c>
      <c r="E13497" s="209">
        <f t="shared" si="2033"/>
        <v>46071</v>
      </c>
      <c r="F13497" s="513" t="s">
        <v>1210</v>
      </c>
      <c r="G13497" s="200" t="s">
        <v>1209</v>
      </c>
      <c r="H13497" s="201"/>
      <c r="I13497" s="201"/>
      <c r="J13497" s="197" t="s">
        <v>46</v>
      </c>
      <c r="K13497" s="202">
        <v>7500000</v>
      </c>
      <c r="L13497" s="202"/>
    </row>
    <row r="13498" spans="1:15" x14ac:dyDescent="0.2">
      <c r="A13498" s="120">
        <v>2026</v>
      </c>
      <c r="B13498" s="120">
        <v>2</v>
      </c>
      <c r="C13498" s="120">
        <v>18</v>
      </c>
      <c r="D13498" s="208">
        <f t="shared" si="2034"/>
        <v>46071</v>
      </c>
      <c r="E13498" s="209">
        <f t="shared" si="2033"/>
        <v>46071</v>
      </c>
      <c r="F13498" s="515"/>
      <c r="G13498" s="132" t="s">
        <v>1209</v>
      </c>
      <c r="J13498" s="120" t="s">
        <v>16</v>
      </c>
      <c r="K13498" s="207"/>
      <c r="L13498" s="207">
        <v>5345310</v>
      </c>
    </row>
    <row r="13499" spans="1:15" x14ac:dyDescent="0.2">
      <c r="A13499" s="191">
        <v>2026</v>
      </c>
      <c r="B13499" s="191">
        <v>2</v>
      </c>
      <c r="C13499" s="191">
        <v>18</v>
      </c>
      <c r="D13499" s="192">
        <f t="shared" si="2034"/>
        <v>46071</v>
      </c>
      <c r="E13499" s="193">
        <f t="shared" si="2033"/>
        <v>46071</v>
      </c>
      <c r="F13499" s="514"/>
      <c r="G13499" s="194" t="s">
        <v>1209</v>
      </c>
      <c r="H13499" s="195"/>
      <c r="I13499" s="195"/>
      <c r="J13499" s="191" t="s">
        <v>47</v>
      </c>
      <c r="K13499" s="196"/>
      <c r="L13499" s="196">
        <v>2154690</v>
      </c>
    </row>
    <row r="13500" spans="1:15" ht="11.25" customHeight="1" x14ac:dyDescent="0.2">
      <c r="A13500" s="197">
        <v>2026</v>
      </c>
      <c r="B13500" s="197">
        <v>2</v>
      </c>
      <c r="C13500" s="197">
        <v>18</v>
      </c>
      <c r="D13500" s="198">
        <f t="shared" si="2034"/>
        <v>46071</v>
      </c>
      <c r="E13500" s="290">
        <f>DATE(A13500,B13500,C13500)</f>
        <v>46071</v>
      </c>
      <c r="F13500" s="513" t="s">
        <v>1514</v>
      </c>
      <c r="G13500" s="200" t="s">
        <v>1209</v>
      </c>
      <c r="H13500" s="201"/>
      <c r="I13500" s="201"/>
      <c r="J13500" s="197" t="s">
        <v>54</v>
      </c>
      <c r="K13500" s="202">
        <v>100</v>
      </c>
      <c r="L13500" s="202"/>
      <c r="O13500" s="251"/>
    </row>
    <row r="13501" spans="1:15" ht="11.25" customHeight="1" x14ac:dyDescent="0.2">
      <c r="A13501" s="191">
        <v>2026</v>
      </c>
      <c r="B13501" s="191">
        <v>2</v>
      </c>
      <c r="C13501" s="191">
        <v>18</v>
      </c>
      <c r="D13501" s="192">
        <f t="shared" si="2034"/>
        <v>46071</v>
      </c>
      <c r="E13501" s="291">
        <f>DATE(A13501,B13501,C13501)</f>
        <v>46071</v>
      </c>
      <c r="F13501" s="514"/>
      <c r="G13501" s="194" t="s">
        <v>1209</v>
      </c>
      <c r="H13501" s="195"/>
      <c r="I13501" s="195"/>
      <c r="J13501" s="191" t="s">
        <v>46</v>
      </c>
      <c r="K13501" s="196"/>
      <c r="L13501" s="196">
        <f>K13500</f>
        <v>100</v>
      </c>
      <c r="O13501" s="251"/>
    </row>
    <row r="13502" spans="1:15" x14ac:dyDescent="0.2">
      <c r="A13502" s="197">
        <v>2026</v>
      </c>
      <c r="B13502" s="197">
        <v>2</v>
      </c>
      <c r="C13502" s="197">
        <v>18</v>
      </c>
      <c r="D13502" s="198">
        <f t="shared" ref="D13502:D13506" si="2035">DATE(A13502,B13502,C13502)</f>
        <v>46071</v>
      </c>
      <c r="E13502" s="209">
        <f t="shared" ref="E13502:E13504" si="2036">DATE(A13502,B13502,C13502)</f>
        <v>46071</v>
      </c>
      <c r="F13502" s="513" t="s">
        <v>1423</v>
      </c>
      <c r="G13502" s="200" t="s">
        <v>1209</v>
      </c>
      <c r="H13502" s="201"/>
      <c r="I13502" s="201"/>
      <c r="J13502" s="197" t="s">
        <v>16</v>
      </c>
      <c r="K13502" s="202">
        <v>21960</v>
      </c>
      <c r="L13502" s="202"/>
    </row>
    <row r="13503" spans="1:15" x14ac:dyDescent="0.2">
      <c r="A13503" s="120">
        <v>2026</v>
      </c>
      <c r="B13503" s="120">
        <v>2</v>
      </c>
      <c r="C13503" s="120">
        <v>18</v>
      </c>
      <c r="D13503" s="208">
        <f t="shared" si="2035"/>
        <v>46071</v>
      </c>
      <c r="E13503" s="209">
        <f t="shared" si="2036"/>
        <v>46071</v>
      </c>
      <c r="F13503" s="515"/>
      <c r="G13503" s="132" t="s">
        <v>1209</v>
      </c>
      <c r="J13503" s="120" t="s">
        <v>47</v>
      </c>
      <c r="K13503" s="207">
        <v>8852.0800000000017</v>
      </c>
      <c r="L13503" s="207"/>
    </row>
    <row r="13504" spans="1:15" x14ac:dyDescent="0.2">
      <c r="A13504" s="191">
        <v>2026</v>
      </c>
      <c r="B13504" s="191">
        <v>2</v>
      </c>
      <c r="C13504" s="191">
        <v>18</v>
      </c>
      <c r="D13504" s="192">
        <f t="shared" si="2035"/>
        <v>46071</v>
      </c>
      <c r="E13504" s="193">
        <f t="shared" si="2036"/>
        <v>46071</v>
      </c>
      <c r="F13504" s="514"/>
      <c r="G13504" s="194" t="s">
        <v>1209</v>
      </c>
      <c r="H13504" s="195"/>
      <c r="I13504" s="195"/>
      <c r="J13504" s="191" t="s">
        <v>46</v>
      </c>
      <c r="K13504" s="196"/>
      <c r="L13504" s="196">
        <v>30812.080000000002</v>
      </c>
    </row>
    <row r="13505" spans="1:15" ht="11.25" customHeight="1" x14ac:dyDescent="0.2">
      <c r="A13505" s="197">
        <v>2026</v>
      </c>
      <c r="B13505" s="197">
        <v>2</v>
      </c>
      <c r="C13505" s="197">
        <v>18</v>
      </c>
      <c r="D13505" s="198">
        <f t="shared" si="2035"/>
        <v>46071</v>
      </c>
      <c r="E13505" s="290">
        <f>DATE(A13505,B13505,C13505)</f>
        <v>46071</v>
      </c>
      <c r="F13505" s="513" t="s">
        <v>1514</v>
      </c>
      <c r="G13505" s="200" t="s">
        <v>1209</v>
      </c>
      <c r="H13505" s="201"/>
      <c r="I13505" s="201"/>
      <c r="J13505" s="197" t="s">
        <v>54</v>
      </c>
      <c r="K13505" s="202">
        <v>25</v>
      </c>
      <c r="L13505" s="202"/>
      <c r="O13505" s="251"/>
    </row>
    <row r="13506" spans="1:15" ht="11.25" customHeight="1" x14ac:dyDescent="0.2">
      <c r="A13506" s="191">
        <v>2026</v>
      </c>
      <c r="B13506" s="191">
        <v>2</v>
      </c>
      <c r="C13506" s="191">
        <v>18</v>
      </c>
      <c r="D13506" s="192">
        <f t="shared" si="2035"/>
        <v>46071</v>
      </c>
      <c r="E13506" s="291">
        <f>DATE(A13506,B13506,C13506)</f>
        <v>46071</v>
      </c>
      <c r="F13506" s="514"/>
      <c r="G13506" s="194" t="s">
        <v>1209</v>
      </c>
      <c r="H13506" s="195"/>
      <c r="I13506" s="195"/>
      <c r="J13506" s="191" t="s">
        <v>46</v>
      </c>
      <c r="K13506" s="196"/>
      <c r="L13506" s="196">
        <f>K13505</f>
        <v>25</v>
      </c>
      <c r="O13506" s="251"/>
    </row>
    <row r="13507" spans="1:15" x14ac:dyDescent="0.2">
      <c r="A13507" s="424">
        <v>2026</v>
      </c>
      <c r="B13507" s="424">
        <v>2</v>
      </c>
      <c r="C13507" s="424">
        <v>18</v>
      </c>
      <c r="D13507" s="425">
        <f t="shared" si="2034"/>
        <v>46071</v>
      </c>
      <c r="E13507" s="384">
        <f t="shared" ref="E13507:E13518" si="2037">DATE(A13507,B13507,C13507)</f>
        <v>46071</v>
      </c>
      <c r="F13507" s="516" t="s">
        <v>1850</v>
      </c>
      <c r="G13507" s="426" t="s">
        <v>1209</v>
      </c>
      <c r="H13507" s="427"/>
      <c r="I13507" s="427"/>
      <c r="J13507" s="428" t="s">
        <v>81</v>
      </c>
      <c r="K13507" s="429">
        <v>1595.81736263736</v>
      </c>
      <c r="L13507" s="429"/>
      <c r="M13507" s="455"/>
    </row>
    <row r="13508" spans="1:15" x14ac:dyDescent="0.2">
      <c r="A13508" s="389">
        <v>2026</v>
      </c>
      <c r="B13508" s="389">
        <v>2</v>
      </c>
      <c r="C13508" s="389">
        <v>18</v>
      </c>
      <c r="D13508" s="390">
        <f t="shared" si="2034"/>
        <v>46071</v>
      </c>
      <c r="E13508" s="391">
        <f t="shared" si="2037"/>
        <v>46071</v>
      </c>
      <c r="F13508" s="517"/>
      <c r="G13508" s="392" t="s">
        <v>1209</v>
      </c>
      <c r="H13508" s="393"/>
      <c r="I13508" s="393"/>
      <c r="J13508" s="394" t="s">
        <v>1847</v>
      </c>
      <c r="K13508" s="423"/>
      <c r="L13508" s="423">
        <f>K13507</f>
        <v>1595.81736263736</v>
      </c>
    </row>
    <row r="13509" spans="1:15" ht="11.25" customHeight="1" x14ac:dyDescent="0.2">
      <c r="A13509" s="382">
        <v>2026</v>
      </c>
      <c r="B13509" s="382">
        <v>2</v>
      </c>
      <c r="C13509" s="382">
        <v>18</v>
      </c>
      <c r="D13509" s="383">
        <f t="shared" si="2034"/>
        <v>46071</v>
      </c>
      <c r="E13509" s="384">
        <f t="shared" si="2037"/>
        <v>46071</v>
      </c>
      <c r="F13509" s="516" t="s">
        <v>1892</v>
      </c>
      <c r="G13509" s="385" t="s">
        <v>1209</v>
      </c>
      <c r="H13509" s="386"/>
      <c r="I13509" s="386"/>
      <c r="J13509" s="387" t="s">
        <v>173</v>
      </c>
      <c r="K13509" s="388">
        <v>586.18859747222234</v>
      </c>
      <c r="L13509" s="388"/>
      <c r="M13509" s="455"/>
    </row>
    <row r="13510" spans="1:15" ht="11.25" customHeight="1" x14ac:dyDescent="0.2">
      <c r="A13510" s="389">
        <v>2026</v>
      </c>
      <c r="B13510" s="389">
        <v>2</v>
      </c>
      <c r="C13510" s="389">
        <v>18</v>
      </c>
      <c r="D13510" s="390">
        <f t="shared" si="2034"/>
        <v>46071</v>
      </c>
      <c r="E13510" s="391">
        <f t="shared" si="2037"/>
        <v>46071</v>
      </c>
      <c r="F13510" s="517"/>
      <c r="G13510" s="392" t="s">
        <v>1209</v>
      </c>
      <c r="H13510" s="393"/>
      <c r="I13510" s="393"/>
      <c r="J13510" s="394" t="s">
        <v>43</v>
      </c>
      <c r="K13510" s="388"/>
      <c r="L13510" s="423">
        <f>K13509</f>
        <v>586.18859747222234</v>
      </c>
    </row>
    <row r="13511" spans="1:15" ht="11.25" customHeight="1" x14ac:dyDescent="0.2">
      <c r="A13511" s="344">
        <v>2026</v>
      </c>
      <c r="B13511" s="344">
        <v>2</v>
      </c>
      <c r="C13511" s="344">
        <v>18</v>
      </c>
      <c r="D13511" s="345">
        <f t="shared" si="2034"/>
        <v>46071</v>
      </c>
      <c r="E13511" s="346">
        <f t="shared" si="2037"/>
        <v>46071</v>
      </c>
      <c r="F13511" s="518" t="s">
        <v>1982</v>
      </c>
      <c r="G13511" s="347" t="s">
        <v>1245</v>
      </c>
      <c r="H13511" s="348"/>
      <c r="I13511" s="348" t="s">
        <v>1253</v>
      </c>
      <c r="J13511" s="344" t="s">
        <v>1978</v>
      </c>
      <c r="K13511" s="349">
        <v>20878.176795580108</v>
      </c>
      <c r="L13511" s="349"/>
      <c r="M13511" s="455"/>
    </row>
    <row r="13512" spans="1:15" ht="11.25" customHeight="1" x14ac:dyDescent="0.2">
      <c r="A13512" s="350">
        <v>2026</v>
      </c>
      <c r="B13512" s="350">
        <v>2</v>
      </c>
      <c r="C13512" s="350">
        <v>18</v>
      </c>
      <c r="D13512" s="351">
        <f t="shared" si="2034"/>
        <v>46071</v>
      </c>
      <c r="E13512" s="352">
        <f t="shared" si="2037"/>
        <v>46071</v>
      </c>
      <c r="F13512" s="519"/>
      <c r="G13512" s="353" t="s">
        <v>1245</v>
      </c>
      <c r="H13512" s="354"/>
      <c r="I13512" s="354" t="s">
        <v>1253</v>
      </c>
      <c r="J13512" s="350" t="s">
        <v>1979</v>
      </c>
      <c r="K13512" s="355"/>
      <c r="L13512" s="355">
        <f>K13511</f>
        <v>20878.176795580108</v>
      </c>
    </row>
    <row r="13513" spans="1:15" ht="11.25" customHeight="1" x14ac:dyDescent="0.2">
      <c r="A13513" s="344">
        <v>2026</v>
      </c>
      <c r="B13513" s="344">
        <v>2</v>
      </c>
      <c r="C13513" s="344">
        <v>18</v>
      </c>
      <c r="D13513" s="345">
        <f t="shared" si="2034"/>
        <v>46071</v>
      </c>
      <c r="E13513" s="346">
        <f t="shared" si="2037"/>
        <v>46071</v>
      </c>
      <c r="F13513" s="518" t="s">
        <v>2009</v>
      </c>
      <c r="G13513" s="347" t="s">
        <v>1245</v>
      </c>
      <c r="H13513" s="348"/>
      <c r="I13513" s="348" t="s">
        <v>1253</v>
      </c>
      <c r="J13513" s="344" t="s">
        <v>2004</v>
      </c>
      <c r="K13513" s="349">
        <v>7098.9014285714302</v>
      </c>
      <c r="L13513" s="349"/>
      <c r="M13513" s="455"/>
    </row>
    <row r="13514" spans="1:15" ht="11.25" customHeight="1" x14ac:dyDescent="0.2">
      <c r="A13514" s="350">
        <v>2026</v>
      </c>
      <c r="B13514" s="350">
        <v>2</v>
      </c>
      <c r="C13514" s="350">
        <v>18</v>
      </c>
      <c r="D13514" s="351">
        <f t="shared" si="2034"/>
        <v>46071</v>
      </c>
      <c r="E13514" s="352">
        <f t="shared" si="2037"/>
        <v>46071</v>
      </c>
      <c r="F13514" s="519"/>
      <c r="G13514" s="353" t="s">
        <v>1245</v>
      </c>
      <c r="H13514" s="354"/>
      <c r="I13514" s="354" t="s">
        <v>1253</v>
      </c>
      <c r="J13514" s="350" t="s">
        <v>2008</v>
      </c>
      <c r="K13514" s="355"/>
      <c r="L13514" s="355">
        <f t="shared" ref="L13514" si="2038">K13513</f>
        <v>7098.9014285714302</v>
      </c>
    </row>
    <row r="13515" spans="1:15" ht="11.25" customHeight="1" x14ac:dyDescent="0.2">
      <c r="A13515" s="344">
        <v>2026</v>
      </c>
      <c r="B13515" s="344">
        <v>2</v>
      </c>
      <c r="C13515" s="344">
        <v>18</v>
      </c>
      <c r="D13515" s="345">
        <f t="shared" si="2034"/>
        <v>46071</v>
      </c>
      <c r="E13515" s="346">
        <f t="shared" si="2037"/>
        <v>46071</v>
      </c>
      <c r="F13515" s="518" t="s">
        <v>2009</v>
      </c>
      <c r="G13515" s="347" t="s">
        <v>1245</v>
      </c>
      <c r="H13515" s="348"/>
      <c r="I13515" s="348" t="s">
        <v>1253</v>
      </c>
      <c r="J13515" s="344" t="s">
        <v>2004</v>
      </c>
      <c r="K13515" s="349">
        <v>7098.9014285714302</v>
      </c>
      <c r="L13515" s="349"/>
      <c r="M13515" s="455"/>
    </row>
    <row r="13516" spans="1:15" ht="11.25" customHeight="1" x14ac:dyDescent="0.2">
      <c r="A13516" s="350">
        <v>2026</v>
      </c>
      <c r="B13516" s="350">
        <v>2</v>
      </c>
      <c r="C13516" s="350">
        <v>18</v>
      </c>
      <c r="D13516" s="351">
        <f t="shared" si="2034"/>
        <v>46071</v>
      </c>
      <c r="E13516" s="352">
        <f t="shared" si="2037"/>
        <v>46071</v>
      </c>
      <c r="F13516" s="519"/>
      <c r="G13516" s="353" t="s">
        <v>1245</v>
      </c>
      <c r="H13516" s="354"/>
      <c r="I13516" s="354" t="s">
        <v>1253</v>
      </c>
      <c r="J13516" s="350" t="s">
        <v>2008</v>
      </c>
      <c r="K13516" s="355"/>
      <c r="L13516" s="355">
        <f t="shared" ref="L13516" si="2039">K13515</f>
        <v>7098.9014285714302</v>
      </c>
    </row>
    <row r="13517" spans="1:15" ht="11.25" customHeight="1" x14ac:dyDescent="0.2">
      <c r="A13517" s="344">
        <v>2026</v>
      </c>
      <c r="B13517" s="344">
        <v>2</v>
      </c>
      <c r="C13517" s="344">
        <v>18</v>
      </c>
      <c r="D13517" s="345">
        <f t="shared" si="2034"/>
        <v>46071</v>
      </c>
      <c r="E13517" s="346">
        <f t="shared" si="2037"/>
        <v>46071</v>
      </c>
      <c r="F13517" s="518" t="s">
        <v>2088</v>
      </c>
      <c r="G13517" s="347" t="s">
        <v>1245</v>
      </c>
      <c r="H13517" s="348"/>
      <c r="I13517" s="348" t="s">
        <v>1253</v>
      </c>
      <c r="J13517" s="344" t="s">
        <v>2086</v>
      </c>
      <c r="K13517" s="349">
        <v>1789.83516483516</v>
      </c>
      <c r="L13517" s="349"/>
      <c r="M13517" s="455"/>
    </row>
    <row r="13518" spans="1:15" ht="11.25" customHeight="1" x14ac:dyDescent="0.2">
      <c r="A13518" s="350">
        <v>2026</v>
      </c>
      <c r="B13518" s="350">
        <v>2</v>
      </c>
      <c r="C13518" s="350">
        <v>18</v>
      </c>
      <c r="D13518" s="351">
        <f t="shared" si="2034"/>
        <v>46071</v>
      </c>
      <c r="E13518" s="352">
        <f t="shared" si="2037"/>
        <v>46071</v>
      </c>
      <c r="F13518" s="519"/>
      <c r="G13518" s="353" t="s">
        <v>1245</v>
      </c>
      <c r="H13518" s="354"/>
      <c r="I13518" s="354" t="s">
        <v>1253</v>
      </c>
      <c r="J13518" s="350" t="s">
        <v>2089</v>
      </c>
      <c r="K13518" s="355"/>
      <c r="L13518" s="355">
        <f>K13517</f>
        <v>1789.83516483516</v>
      </c>
    </row>
    <row r="13519" spans="1:15" ht="11.25" customHeight="1" x14ac:dyDescent="0.2">
      <c r="A13519" s="344">
        <v>2026</v>
      </c>
      <c r="B13519" s="344">
        <v>2</v>
      </c>
      <c r="C13519" s="344">
        <v>18</v>
      </c>
      <c r="D13519" s="345">
        <f t="shared" si="2034"/>
        <v>46071</v>
      </c>
      <c r="E13519" s="346">
        <f>DATE(A13519,B13519,C13519)</f>
        <v>46071</v>
      </c>
      <c r="F13519" s="518" t="s">
        <v>1988</v>
      </c>
      <c r="G13519" s="347" t="s">
        <v>1245</v>
      </c>
      <c r="H13519" s="348"/>
      <c r="I13519" s="348" t="s">
        <v>1253</v>
      </c>
      <c r="J13519" s="344" t="s">
        <v>113</v>
      </c>
      <c r="K13519" s="349">
        <v>4692.3071428571402</v>
      </c>
      <c r="L13519" s="349"/>
      <c r="M13519" s="455"/>
    </row>
    <row r="13520" spans="1:15" ht="11.25" customHeight="1" x14ac:dyDescent="0.2">
      <c r="A13520" s="350">
        <v>2026</v>
      </c>
      <c r="B13520" s="350">
        <v>2</v>
      </c>
      <c r="C13520" s="350">
        <v>18</v>
      </c>
      <c r="D13520" s="351">
        <f t="shared" si="2034"/>
        <v>46071</v>
      </c>
      <c r="E13520" s="352">
        <f>DATE(A13520,B13520,C13520)</f>
        <v>46071</v>
      </c>
      <c r="F13520" s="519"/>
      <c r="G13520" s="353" t="s">
        <v>1245</v>
      </c>
      <c r="H13520" s="354"/>
      <c r="I13520" s="354" t="s">
        <v>1253</v>
      </c>
      <c r="J13520" s="350" t="s">
        <v>153</v>
      </c>
      <c r="K13520" s="355"/>
      <c r="L13520" s="355">
        <f t="shared" ref="L13520" si="2040">K13519</f>
        <v>4692.3071428571402</v>
      </c>
    </row>
    <row r="13521" spans="1:16" ht="11.25" customHeight="1" x14ac:dyDescent="0.2">
      <c r="A13521" s="344">
        <v>2026</v>
      </c>
      <c r="B13521" s="344">
        <v>2</v>
      </c>
      <c r="C13521" s="344">
        <v>18</v>
      </c>
      <c r="D13521" s="345">
        <f t="shared" si="2034"/>
        <v>46071</v>
      </c>
      <c r="E13521" s="346">
        <f t="shared" ref="E13521:E13527" si="2041">DATE(A13521,B13521,C13521)</f>
        <v>46071</v>
      </c>
      <c r="F13521" s="518" t="s">
        <v>1989</v>
      </c>
      <c r="G13521" s="347" t="s">
        <v>1245</v>
      </c>
      <c r="H13521" s="348"/>
      <c r="I13521" s="348" t="s">
        <v>1253</v>
      </c>
      <c r="J13521" s="344" t="s">
        <v>113</v>
      </c>
      <c r="K13521" s="349">
        <v>3351.6483516483499</v>
      </c>
      <c r="L13521" s="349"/>
      <c r="M13521" s="455"/>
    </row>
    <row r="13522" spans="1:16" ht="11.25" customHeight="1" x14ac:dyDescent="0.2">
      <c r="A13522" s="350">
        <v>2026</v>
      </c>
      <c r="B13522" s="350">
        <v>2</v>
      </c>
      <c r="C13522" s="350">
        <v>18</v>
      </c>
      <c r="D13522" s="351">
        <f t="shared" si="2034"/>
        <v>46071</v>
      </c>
      <c r="E13522" s="352">
        <f t="shared" si="2041"/>
        <v>46071</v>
      </c>
      <c r="F13522" s="519"/>
      <c r="G13522" s="353" t="s">
        <v>1245</v>
      </c>
      <c r="H13522" s="354"/>
      <c r="I13522" s="354" t="s">
        <v>1253</v>
      </c>
      <c r="J13522" s="350" t="s">
        <v>153</v>
      </c>
      <c r="K13522" s="355"/>
      <c r="L13522" s="355">
        <f t="shared" ref="L13522" si="2042">K13521</f>
        <v>3351.6483516483499</v>
      </c>
    </row>
    <row r="13523" spans="1:16" ht="11.25" customHeight="1" x14ac:dyDescent="0.2">
      <c r="A13523" s="344">
        <v>2026</v>
      </c>
      <c r="B13523" s="344">
        <v>2</v>
      </c>
      <c r="C13523" s="344">
        <v>18</v>
      </c>
      <c r="D13523" s="345">
        <f t="shared" si="2034"/>
        <v>46071</v>
      </c>
      <c r="E13523" s="346">
        <f t="shared" si="2041"/>
        <v>46071</v>
      </c>
      <c r="F13523" s="518" t="s">
        <v>1990</v>
      </c>
      <c r="G13523" s="347" t="s">
        <v>1245</v>
      </c>
      <c r="H13523" s="348"/>
      <c r="I13523" s="348" t="s">
        <v>1253</v>
      </c>
      <c r="J13523" s="344" t="s">
        <v>113</v>
      </c>
      <c r="K13523" s="349">
        <v>10054.945714285701</v>
      </c>
      <c r="L13523" s="349"/>
      <c r="M13523" s="455"/>
      <c r="N13523" s="251"/>
      <c r="O13523" s="251"/>
      <c r="P13523" s="251"/>
    </row>
    <row r="13524" spans="1:16" ht="11.25" customHeight="1" x14ac:dyDescent="0.2">
      <c r="A13524" s="350">
        <v>2026</v>
      </c>
      <c r="B13524" s="350">
        <v>2</v>
      </c>
      <c r="C13524" s="350">
        <v>18</v>
      </c>
      <c r="D13524" s="351">
        <f t="shared" si="2034"/>
        <v>46071</v>
      </c>
      <c r="E13524" s="352">
        <f t="shared" si="2041"/>
        <v>46071</v>
      </c>
      <c r="F13524" s="519"/>
      <c r="G13524" s="353" t="s">
        <v>1245</v>
      </c>
      <c r="H13524" s="354"/>
      <c r="I13524" s="354" t="s">
        <v>1253</v>
      </c>
      <c r="J13524" s="350" t="s">
        <v>153</v>
      </c>
      <c r="K13524" s="355"/>
      <c r="L13524" s="355">
        <f t="shared" ref="L13524" si="2043">K13523</f>
        <v>10054.945714285701</v>
      </c>
      <c r="M13524" s="455"/>
    </row>
    <row r="13525" spans="1:16" ht="11.25" customHeight="1" x14ac:dyDescent="0.2">
      <c r="A13525" s="344">
        <v>2026</v>
      </c>
      <c r="B13525" s="344">
        <v>2</v>
      </c>
      <c r="C13525" s="344">
        <v>18</v>
      </c>
      <c r="D13525" s="345">
        <f t="shared" si="2034"/>
        <v>46071</v>
      </c>
      <c r="E13525" s="346">
        <f t="shared" si="2041"/>
        <v>46071</v>
      </c>
      <c r="F13525" s="518" t="s">
        <v>2107</v>
      </c>
      <c r="G13525" s="347" t="s">
        <v>1245</v>
      </c>
      <c r="H13525" s="348"/>
      <c r="I13525" s="348" t="s">
        <v>1253</v>
      </c>
      <c r="J13525" s="344" t="s">
        <v>113</v>
      </c>
      <c r="K13525" s="349">
        <v>12370.879120879101</v>
      </c>
      <c r="L13525" s="349"/>
      <c r="M13525" s="455"/>
      <c r="N13525" s="251"/>
      <c r="O13525" s="251"/>
      <c r="P13525" s="251"/>
    </row>
    <row r="13526" spans="1:16" ht="11.25" customHeight="1" x14ac:dyDescent="0.2">
      <c r="A13526" s="350">
        <v>2026</v>
      </c>
      <c r="B13526" s="350">
        <v>2</v>
      </c>
      <c r="C13526" s="350">
        <v>18</v>
      </c>
      <c r="D13526" s="351">
        <f t="shared" si="2034"/>
        <v>46071</v>
      </c>
      <c r="E13526" s="352">
        <f t="shared" si="2041"/>
        <v>46071</v>
      </c>
      <c r="F13526" s="519"/>
      <c r="G13526" s="353" t="s">
        <v>1245</v>
      </c>
      <c r="H13526" s="354"/>
      <c r="I13526" s="354" t="s">
        <v>1253</v>
      </c>
      <c r="J13526" s="350" t="s">
        <v>153</v>
      </c>
      <c r="K13526" s="355"/>
      <c r="L13526" s="355">
        <f t="shared" ref="L13526" si="2044">K13525</f>
        <v>12370.879120879101</v>
      </c>
    </row>
    <row r="13527" spans="1:16" ht="11.25" customHeight="1" x14ac:dyDescent="0.2">
      <c r="A13527" s="210">
        <v>2026</v>
      </c>
      <c r="B13527" s="210">
        <v>2</v>
      </c>
      <c r="C13527" s="210">
        <v>18</v>
      </c>
      <c r="D13527" s="211">
        <f t="shared" si="2034"/>
        <v>46071</v>
      </c>
      <c r="E13527" s="238">
        <f t="shared" si="2041"/>
        <v>46071</v>
      </c>
      <c r="F13527" s="520" t="s">
        <v>1857</v>
      </c>
      <c r="G13527" s="213" t="s">
        <v>1245</v>
      </c>
      <c r="H13527" s="214"/>
      <c r="I13527" s="214" t="s">
        <v>1253</v>
      </c>
      <c r="J13527" s="210" t="s">
        <v>1284</v>
      </c>
      <c r="K13527" s="215">
        <v>334.54448777029398</v>
      </c>
      <c r="L13527" s="215"/>
      <c r="M13527" s="455"/>
    </row>
    <row r="13528" spans="1:16" ht="11.25" customHeight="1" x14ac:dyDescent="0.2">
      <c r="A13528" s="242">
        <v>2026</v>
      </c>
      <c r="B13528" s="242">
        <v>2</v>
      </c>
      <c r="C13528" s="242">
        <v>18</v>
      </c>
      <c r="D13528" s="243">
        <f t="shared" si="2034"/>
        <v>46071</v>
      </c>
      <c r="E13528" s="244">
        <f>DATE(A13528,B13528,C13528)</f>
        <v>46071</v>
      </c>
      <c r="F13528" s="524"/>
      <c r="G13528" s="245" t="s">
        <v>1245</v>
      </c>
      <c r="H13528" s="246"/>
      <c r="I13528" s="246"/>
      <c r="J13528" s="242" t="s">
        <v>1582</v>
      </c>
      <c r="K13528" s="247"/>
      <c r="L13528" s="247">
        <f>K13527</f>
        <v>334.54448777029398</v>
      </c>
    </row>
    <row r="13529" spans="1:16" ht="11.25" customHeight="1" x14ac:dyDescent="0.2">
      <c r="A13529" s="210">
        <v>2026</v>
      </c>
      <c r="B13529" s="210">
        <v>2</v>
      </c>
      <c r="C13529" s="210">
        <v>18</v>
      </c>
      <c r="D13529" s="211">
        <f t="shared" si="2034"/>
        <v>46071</v>
      </c>
      <c r="E13529" s="238">
        <f t="shared" ref="E13529:E13546" si="2045">DATE(A13529,B13529,C13529)</f>
        <v>46071</v>
      </c>
      <c r="F13529" s="520" t="s">
        <v>2055</v>
      </c>
      <c r="G13529" s="213" t="s">
        <v>1245</v>
      </c>
      <c r="H13529" s="214"/>
      <c r="I13529" s="214" t="s">
        <v>1253</v>
      </c>
      <c r="J13529" s="210" t="s">
        <v>58</v>
      </c>
      <c r="K13529" s="215">
        <v>2298.7916477777781</v>
      </c>
      <c r="L13529" s="215"/>
    </row>
    <row r="13530" spans="1:16" ht="11.25" customHeight="1" x14ac:dyDescent="0.2">
      <c r="A13530" s="216">
        <v>2026</v>
      </c>
      <c r="B13530" s="216">
        <v>2</v>
      </c>
      <c r="C13530" s="216">
        <v>18</v>
      </c>
      <c r="D13530" s="217">
        <f t="shared" si="2034"/>
        <v>46071</v>
      </c>
      <c r="E13530" s="239">
        <f t="shared" si="2045"/>
        <v>46071</v>
      </c>
      <c r="F13530" s="521"/>
      <c r="G13530" s="219" t="s">
        <v>1245</v>
      </c>
      <c r="H13530" s="220"/>
      <c r="I13530" s="220" t="s">
        <v>1253</v>
      </c>
      <c r="J13530" s="216" t="s">
        <v>153</v>
      </c>
      <c r="K13530" s="221"/>
      <c r="L13530" s="221">
        <f>K13529</f>
        <v>2298.7916477777781</v>
      </c>
    </row>
    <row r="13531" spans="1:16" ht="11.25" customHeight="1" x14ac:dyDescent="0.2">
      <c r="A13531" s="312">
        <v>2026</v>
      </c>
      <c r="B13531" s="312">
        <v>2</v>
      </c>
      <c r="C13531" s="312">
        <v>18</v>
      </c>
      <c r="D13531" s="313">
        <f t="shared" si="2034"/>
        <v>46071</v>
      </c>
      <c r="E13531" s="314">
        <f t="shared" si="2045"/>
        <v>46071</v>
      </c>
      <c r="F13531" s="522" t="s">
        <v>1595</v>
      </c>
      <c r="G13531" s="315" t="s">
        <v>1245</v>
      </c>
      <c r="H13531" s="316"/>
      <c r="I13531" s="316" t="s">
        <v>1253</v>
      </c>
      <c r="J13531" s="312" t="s">
        <v>1461</v>
      </c>
      <c r="K13531" s="317">
        <v>824313.95500004292</v>
      </c>
      <c r="L13531" s="317"/>
      <c r="M13531" s="328"/>
    </row>
    <row r="13532" spans="1:16" ht="11.25" customHeight="1" x14ac:dyDescent="0.2">
      <c r="A13532" s="318">
        <v>2026</v>
      </c>
      <c r="B13532" s="318">
        <v>2</v>
      </c>
      <c r="C13532" s="318">
        <v>18</v>
      </c>
      <c r="D13532" s="319">
        <f t="shared" si="2034"/>
        <v>46071</v>
      </c>
      <c r="E13532" s="320">
        <f t="shared" si="2045"/>
        <v>46071</v>
      </c>
      <c r="F13532" s="523"/>
      <c r="G13532" s="321" t="s">
        <v>1245</v>
      </c>
      <c r="H13532" s="322"/>
      <c r="I13532" s="322" t="s">
        <v>1253</v>
      </c>
      <c r="J13532" s="318" t="s">
        <v>1459</v>
      </c>
      <c r="K13532" s="323"/>
      <c r="L13532" s="323">
        <f>K13531</f>
        <v>824313.95500004292</v>
      </c>
      <c r="M13532" s="328"/>
    </row>
    <row r="13533" spans="1:16" ht="11.25" customHeight="1" x14ac:dyDescent="0.2">
      <c r="A13533" s="222">
        <v>2026</v>
      </c>
      <c r="B13533" s="222">
        <v>2</v>
      </c>
      <c r="C13533" s="222">
        <v>18</v>
      </c>
      <c r="D13533" s="223">
        <f t="shared" si="2034"/>
        <v>46071</v>
      </c>
      <c r="E13533" s="240">
        <f t="shared" si="2045"/>
        <v>46071</v>
      </c>
      <c r="F13533" s="511" t="s">
        <v>1244</v>
      </c>
      <c r="G13533" s="225" t="s">
        <v>1245</v>
      </c>
      <c r="H13533" s="226"/>
      <c r="I13533" s="226" t="s">
        <v>1253</v>
      </c>
      <c r="J13533" s="222" t="s">
        <v>72</v>
      </c>
      <c r="K13533" s="227">
        <v>36</v>
      </c>
      <c r="L13533" s="227"/>
      <c r="M13533" s="328"/>
    </row>
    <row r="13534" spans="1:16" ht="11.25" customHeight="1" x14ac:dyDescent="0.2">
      <c r="A13534" s="228">
        <v>2026</v>
      </c>
      <c r="B13534" s="228">
        <v>2</v>
      </c>
      <c r="C13534" s="228">
        <v>18</v>
      </c>
      <c r="D13534" s="229">
        <f t="shared" si="2034"/>
        <v>46071</v>
      </c>
      <c r="E13534" s="241">
        <f t="shared" si="2045"/>
        <v>46071</v>
      </c>
      <c r="F13534" s="512"/>
      <c r="G13534" s="231" t="s">
        <v>1245</v>
      </c>
      <c r="H13534" s="232"/>
      <c r="I13534" s="232" t="s">
        <v>1253</v>
      </c>
      <c r="J13534" s="228" t="s">
        <v>87</v>
      </c>
      <c r="K13534" s="233"/>
      <c r="L13534" s="233">
        <f>K13533</f>
        <v>36</v>
      </c>
    </row>
    <row r="13535" spans="1:16" ht="11.25" customHeight="1" x14ac:dyDescent="0.2">
      <c r="A13535" s="222">
        <v>2026</v>
      </c>
      <c r="B13535" s="222">
        <v>2</v>
      </c>
      <c r="C13535" s="222">
        <v>18</v>
      </c>
      <c r="D13535" s="223">
        <f t="shared" si="2034"/>
        <v>46071</v>
      </c>
      <c r="E13535" s="240">
        <f t="shared" si="2045"/>
        <v>46071</v>
      </c>
      <c r="F13535" s="511" t="s">
        <v>2138</v>
      </c>
      <c r="G13535" s="225" t="s">
        <v>1245</v>
      </c>
      <c r="H13535" s="226"/>
      <c r="I13535" s="226" t="s">
        <v>1253</v>
      </c>
      <c r="J13535" s="222" t="s">
        <v>75</v>
      </c>
      <c r="K13535" s="227">
        <v>517.58912087912097</v>
      </c>
      <c r="L13535" s="227"/>
      <c r="M13535" s="455"/>
    </row>
    <row r="13536" spans="1:16" ht="11.25" customHeight="1" x14ac:dyDescent="0.2">
      <c r="A13536" s="228">
        <v>2026</v>
      </c>
      <c r="B13536" s="228">
        <v>2</v>
      </c>
      <c r="C13536" s="228">
        <v>18</v>
      </c>
      <c r="D13536" s="229">
        <f t="shared" si="2034"/>
        <v>46071</v>
      </c>
      <c r="E13536" s="241">
        <f t="shared" si="2045"/>
        <v>46071</v>
      </c>
      <c r="F13536" s="512"/>
      <c r="G13536" s="231" t="s">
        <v>1245</v>
      </c>
      <c r="H13536" s="232"/>
      <c r="I13536" s="232" t="s">
        <v>1253</v>
      </c>
      <c r="J13536" s="228" t="s">
        <v>55</v>
      </c>
      <c r="K13536" s="233"/>
      <c r="L13536" s="233">
        <f>K13535</f>
        <v>517.58912087912097</v>
      </c>
    </row>
    <row r="13537" spans="1:15" ht="11.25" customHeight="1" x14ac:dyDescent="0.2">
      <c r="A13537" s="222">
        <v>2026</v>
      </c>
      <c r="B13537" s="222">
        <v>2</v>
      </c>
      <c r="C13537" s="222">
        <v>18</v>
      </c>
      <c r="D13537" s="223">
        <f t="shared" si="2034"/>
        <v>46071</v>
      </c>
      <c r="E13537" s="240">
        <f t="shared" si="2045"/>
        <v>46071</v>
      </c>
      <c r="F13537" s="511" t="s">
        <v>2137</v>
      </c>
      <c r="G13537" s="225" t="s">
        <v>1245</v>
      </c>
      <c r="H13537" s="226"/>
      <c r="I13537" s="226" t="s">
        <v>1253</v>
      </c>
      <c r="J13537" s="222" t="s">
        <v>77</v>
      </c>
      <c r="K13537" s="227">
        <v>7435.6328269506284</v>
      </c>
      <c r="L13537" s="227"/>
      <c r="M13537" s="478"/>
    </row>
    <row r="13538" spans="1:15" ht="11.25" customHeight="1" x14ac:dyDescent="0.2">
      <c r="A13538" s="228">
        <v>2026</v>
      </c>
      <c r="B13538" s="228">
        <v>2</v>
      </c>
      <c r="C13538" s="228">
        <v>18</v>
      </c>
      <c r="D13538" s="229">
        <f t="shared" si="2034"/>
        <v>46071</v>
      </c>
      <c r="E13538" s="241">
        <f t="shared" si="2045"/>
        <v>46071</v>
      </c>
      <c r="F13538" s="512"/>
      <c r="G13538" s="231" t="s">
        <v>1245</v>
      </c>
      <c r="H13538" s="232"/>
      <c r="I13538" s="232" t="s">
        <v>1253</v>
      </c>
      <c r="J13538" s="228" t="s">
        <v>41</v>
      </c>
      <c r="K13538" s="233"/>
      <c r="L13538" s="233">
        <f>K13537</f>
        <v>7435.6328269506284</v>
      </c>
      <c r="M13538" s="328"/>
      <c r="N13538" s="251"/>
    </row>
    <row r="13539" spans="1:15" ht="11.25" customHeight="1" x14ac:dyDescent="0.2">
      <c r="A13539" s="222">
        <v>2026</v>
      </c>
      <c r="B13539" s="222">
        <v>2</v>
      </c>
      <c r="C13539" s="222">
        <v>18</v>
      </c>
      <c r="D13539" s="223">
        <f t="shared" si="2034"/>
        <v>46071</v>
      </c>
      <c r="E13539" s="240">
        <f t="shared" si="2045"/>
        <v>46071</v>
      </c>
      <c r="F13539" s="511" t="s">
        <v>2136</v>
      </c>
      <c r="G13539" s="225" t="s">
        <v>1245</v>
      </c>
      <c r="H13539" s="226"/>
      <c r="I13539" s="226" t="s">
        <v>1253</v>
      </c>
      <c r="J13539" s="222" t="s">
        <v>80</v>
      </c>
      <c r="K13539" s="227">
        <v>743.56328269506287</v>
      </c>
      <c r="L13539" s="227"/>
      <c r="M13539" s="328"/>
      <c r="N13539" s="251"/>
      <c r="O13539" s="251"/>
    </row>
    <row r="13540" spans="1:15" ht="11.25" customHeight="1" x14ac:dyDescent="0.2">
      <c r="A13540" s="228">
        <v>2026</v>
      </c>
      <c r="B13540" s="228">
        <v>2</v>
      </c>
      <c r="C13540" s="228">
        <v>18</v>
      </c>
      <c r="D13540" s="229">
        <f t="shared" si="2034"/>
        <v>46071</v>
      </c>
      <c r="E13540" s="241">
        <f t="shared" si="2045"/>
        <v>46071</v>
      </c>
      <c r="F13540" s="512"/>
      <c r="G13540" s="231" t="s">
        <v>1245</v>
      </c>
      <c r="H13540" s="232"/>
      <c r="I13540" s="232" t="s">
        <v>1253</v>
      </c>
      <c r="J13540" s="228" t="s">
        <v>42</v>
      </c>
      <c r="K13540" s="233"/>
      <c r="L13540" s="233">
        <f>K13539</f>
        <v>743.56328269506287</v>
      </c>
      <c r="N13540" s="251"/>
    </row>
    <row r="13541" spans="1:15" x14ac:dyDescent="0.2">
      <c r="A13541" s="197">
        <v>2026</v>
      </c>
      <c r="B13541" s="197">
        <v>2</v>
      </c>
      <c r="C13541" s="197">
        <v>19</v>
      </c>
      <c r="D13541" s="198">
        <f t="shared" ref="D13541:D13582" si="2046">DATE(A13541,B13541,C13541)</f>
        <v>46072</v>
      </c>
      <c r="E13541" s="209">
        <f t="shared" si="2045"/>
        <v>46072</v>
      </c>
      <c r="F13541" s="513" t="s">
        <v>1280</v>
      </c>
      <c r="G13541" s="200" t="s">
        <v>1209</v>
      </c>
      <c r="H13541" s="201"/>
      <c r="I13541" s="201"/>
      <c r="J13541" s="197" t="s">
        <v>16</v>
      </c>
      <c r="K13541" s="202">
        <v>270380</v>
      </c>
      <c r="L13541" s="202"/>
    </row>
    <row r="13542" spans="1:15" x14ac:dyDescent="0.2">
      <c r="A13542" s="120">
        <v>2026</v>
      </c>
      <c r="B13542" s="120">
        <v>2</v>
      </c>
      <c r="C13542" s="120">
        <v>19</v>
      </c>
      <c r="D13542" s="208">
        <f t="shared" si="2046"/>
        <v>46072</v>
      </c>
      <c r="E13542" s="209">
        <f t="shared" si="2045"/>
        <v>46072</v>
      </c>
      <c r="F13542" s="515"/>
      <c r="G13542" s="132" t="s">
        <v>1209</v>
      </c>
      <c r="J13542" s="120" t="s">
        <v>47</v>
      </c>
      <c r="K13542" s="207">
        <v>108477.92</v>
      </c>
      <c r="L13542" s="207"/>
    </row>
    <row r="13543" spans="1:15" x14ac:dyDescent="0.2">
      <c r="A13543" s="191">
        <v>2026</v>
      </c>
      <c r="B13543" s="191">
        <v>2</v>
      </c>
      <c r="C13543" s="191">
        <v>19</v>
      </c>
      <c r="D13543" s="192">
        <f t="shared" si="2046"/>
        <v>46072</v>
      </c>
      <c r="E13543" s="193">
        <f t="shared" si="2045"/>
        <v>46072</v>
      </c>
      <c r="F13543" s="514"/>
      <c r="G13543" s="194" t="s">
        <v>1209</v>
      </c>
      <c r="H13543" s="195"/>
      <c r="I13543" s="195"/>
      <c r="J13543" s="191" t="s">
        <v>46</v>
      </c>
      <c r="K13543" s="196"/>
      <c r="L13543" s="196">
        <v>378857.92</v>
      </c>
    </row>
    <row r="13544" spans="1:15" x14ac:dyDescent="0.2">
      <c r="A13544" s="197">
        <v>2026</v>
      </c>
      <c r="B13544" s="197">
        <v>2</v>
      </c>
      <c r="C13544" s="197">
        <v>19</v>
      </c>
      <c r="D13544" s="198">
        <f t="shared" si="2046"/>
        <v>46072</v>
      </c>
      <c r="E13544" s="209">
        <f t="shared" si="2045"/>
        <v>46072</v>
      </c>
      <c r="F13544" s="513" t="s">
        <v>1210</v>
      </c>
      <c r="G13544" s="200" t="s">
        <v>1209</v>
      </c>
      <c r="H13544" s="201"/>
      <c r="I13544" s="201"/>
      <c r="J13544" s="197" t="s">
        <v>46</v>
      </c>
      <c r="K13544" s="202">
        <v>900000</v>
      </c>
      <c r="L13544" s="202"/>
    </row>
    <row r="13545" spans="1:15" x14ac:dyDescent="0.2">
      <c r="A13545" s="120">
        <v>2026</v>
      </c>
      <c r="B13545" s="120">
        <v>2</v>
      </c>
      <c r="C13545" s="120">
        <v>19</v>
      </c>
      <c r="D13545" s="208">
        <f t="shared" si="2046"/>
        <v>46072</v>
      </c>
      <c r="E13545" s="209">
        <f t="shared" si="2045"/>
        <v>46072</v>
      </c>
      <c r="F13545" s="515"/>
      <c r="G13545" s="132" t="s">
        <v>1209</v>
      </c>
      <c r="J13545" s="120" t="s">
        <v>16</v>
      </c>
      <c r="K13545" s="207"/>
      <c r="L13545" s="207">
        <v>640880</v>
      </c>
    </row>
    <row r="13546" spans="1:15" x14ac:dyDescent="0.2">
      <c r="A13546" s="191">
        <v>2026</v>
      </c>
      <c r="B13546" s="191">
        <v>2</v>
      </c>
      <c r="C13546" s="191">
        <v>19</v>
      </c>
      <c r="D13546" s="192">
        <f t="shared" si="2046"/>
        <v>46072</v>
      </c>
      <c r="E13546" s="193">
        <f t="shared" si="2045"/>
        <v>46072</v>
      </c>
      <c r="F13546" s="514"/>
      <c r="G13546" s="194" t="s">
        <v>1209</v>
      </c>
      <c r="H13546" s="195"/>
      <c r="I13546" s="195"/>
      <c r="J13546" s="191" t="s">
        <v>47</v>
      </c>
      <c r="K13546" s="196"/>
      <c r="L13546" s="196">
        <v>259120</v>
      </c>
    </row>
    <row r="13547" spans="1:15" ht="11.25" customHeight="1" x14ac:dyDescent="0.2">
      <c r="A13547" s="197">
        <v>2026</v>
      </c>
      <c r="B13547" s="197">
        <v>2</v>
      </c>
      <c r="C13547" s="197">
        <v>19</v>
      </c>
      <c r="D13547" s="198">
        <f t="shared" si="2046"/>
        <v>46072</v>
      </c>
      <c r="E13547" s="290">
        <f>DATE(A13547,B13547,C13547)</f>
        <v>46072</v>
      </c>
      <c r="F13547" s="513" t="s">
        <v>1514</v>
      </c>
      <c r="G13547" s="200" t="s">
        <v>1209</v>
      </c>
      <c r="H13547" s="201"/>
      <c r="I13547" s="201"/>
      <c r="J13547" s="197" t="s">
        <v>54</v>
      </c>
      <c r="K13547" s="202">
        <f>116</f>
        <v>116</v>
      </c>
      <c r="L13547" s="202"/>
      <c r="O13547" s="251"/>
    </row>
    <row r="13548" spans="1:15" ht="11.25" customHeight="1" x14ac:dyDescent="0.2">
      <c r="A13548" s="191">
        <v>2026</v>
      </c>
      <c r="B13548" s="191">
        <v>2</v>
      </c>
      <c r="C13548" s="191">
        <v>19</v>
      </c>
      <c r="D13548" s="192">
        <f t="shared" si="2046"/>
        <v>46072</v>
      </c>
      <c r="E13548" s="291">
        <f>DATE(A13548,B13548,C13548)</f>
        <v>46072</v>
      </c>
      <c r="F13548" s="514"/>
      <c r="G13548" s="194" t="s">
        <v>1209</v>
      </c>
      <c r="H13548" s="195"/>
      <c r="I13548" s="195"/>
      <c r="J13548" s="191" t="s">
        <v>46</v>
      </c>
      <c r="K13548" s="196"/>
      <c r="L13548" s="196">
        <f>K13547</f>
        <v>116</v>
      </c>
      <c r="O13548" s="251"/>
    </row>
    <row r="13549" spans="1:15" x14ac:dyDescent="0.2">
      <c r="A13549" s="424">
        <v>2026</v>
      </c>
      <c r="B13549" s="424">
        <v>2</v>
      </c>
      <c r="C13549" s="424">
        <v>19</v>
      </c>
      <c r="D13549" s="425">
        <f t="shared" si="2046"/>
        <v>46072</v>
      </c>
      <c r="E13549" s="384">
        <f t="shared" ref="E13549:E13560" si="2047">DATE(A13549,B13549,C13549)</f>
        <v>46072</v>
      </c>
      <c r="F13549" s="516" t="s">
        <v>1850</v>
      </c>
      <c r="G13549" s="426" t="s">
        <v>1209</v>
      </c>
      <c r="H13549" s="427"/>
      <c r="I13549" s="427"/>
      <c r="J13549" s="428" t="s">
        <v>81</v>
      </c>
      <c r="K13549" s="429">
        <v>1595.81736263736</v>
      </c>
      <c r="L13549" s="429"/>
      <c r="M13549" s="455"/>
    </row>
    <row r="13550" spans="1:15" x14ac:dyDescent="0.2">
      <c r="A13550" s="389">
        <v>2026</v>
      </c>
      <c r="B13550" s="389">
        <v>2</v>
      </c>
      <c r="C13550" s="389">
        <v>19</v>
      </c>
      <c r="D13550" s="390">
        <f t="shared" si="2046"/>
        <v>46072</v>
      </c>
      <c r="E13550" s="391">
        <f t="shared" si="2047"/>
        <v>46072</v>
      </c>
      <c r="F13550" s="517"/>
      <c r="G13550" s="392" t="s">
        <v>1209</v>
      </c>
      <c r="H13550" s="393"/>
      <c r="I13550" s="393"/>
      <c r="J13550" s="394" t="s">
        <v>1847</v>
      </c>
      <c r="K13550" s="423"/>
      <c r="L13550" s="423">
        <f>K13549</f>
        <v>1595.81736263736</v>
      </c>
    </row>
    <row r="13551" spans="1:15" ht="11.25" customHeight="1" x14ac:dyDescent="0.2">
      <c r="A13551" s="382">
        <v>2026</v>
      </c>
      <c r="B13551" s="382">
        <v>2</v>
      </c>
      <c r="C13551" s="382">
        <v>19</v>
      </c>
      <c r="D13551" s="383">
        <f t="shared" si="2046"/>
        <v>46072</v>
      </c>
      <c r="E13551" s="384">
        <f t="shared" si="2047"/>
        <v>46072</v>
      </c>
      <c r="F13551" s="516" t="s">
        <v>1892</v>
      </c>
      <c r="G13551" s="385" t="s">
        <v>1209</v>
      </c>
      <c r="H13551" s="386"/>
      <c r="I13551" s="386"/>
      <c r="J13551" s="387" t="s">
        <v>173</v>
      </c>
      <c r="K13551" s="388">
        <v>586.32272151111113</v>
      </c>
      <c r="L13551" s="388"/>
      <c r="M13551" s="455"/>
    </row>
    <row r="13552" spans="1:15" ht="11.25" customHeight="1" x14ac:dyDescent="0.2">
      <c r="A13552" s="389">
        <v>2026</v>
      </c>
      <c r="B13552" s="389">
        <v>2</v>
      </c>
      <c r="C13552" s="389">
        <v>19</v>
      </c>
      <c r="D13552" s="390">
        <f t="shared" si="2046"/>
        <v>46072</v>
      </c>
      <c r="E13552" s="391">
        <f t="shared" si="2047"/>
        <v>46072</v>
      </c>
      <c r="F13552" s="517"/>
      <c r="G13552" s="392" t="s">
        <v>1209</v>
      </c>
      <c r="H13552" s="393"/>
      <c r="I13552" s="393"/>
      <c r="J13552" s="394" t="s">
        <v>43</v>
      </c>
      <c r="K13552" s="388"/>
      <c r="L13552" s="423">
        <f>K13551</f>
        <v>586.32272151111113</v>
      </c>
    </row>
    <row r="13553" spans="1:16" ht="11.25" customHeight="1" x14ac:dyDescent="0.2">
      <c r="A13553" s="344">
        <v>2026</v>
      </c>
      <c r="B13553" s="344">
        <v>2</v>
      </c>
      <c r="C13553" s="344">
        <v>19</v>
      </c>
      <c r="D13553" s="345">
        <f t="shared" si="2046"/>
        <v>46072</v>
      </c>
      <c r="E13553" s="346">
        <f t="shared" si="2047"/>
        <v>46072</v>
      </c>
      <c r="F13553" s="518" t="s">
        <v>1982</v>
      </c>
      <c r="G13553" s="347" t="s">
        <v>1245</v>
      </c>
      <c r="H13553" s="348"/>
      <c r="I13553" s="348" t="s">
        <v>1253</v>
      </c>
      <c r="J13553" s="344" t="s">
        <v>1978</v>
      </c>
      <c r="K13553" s="349">
        <v>20878.176795580108</v>
      </c>
      <c r="L13553" s="349"/>
      <c r="M13553" s="455"/>
    </row>
    <row r="13554" spans="1:16" ht="11.25" customHeight="1" x14ac:dyDescent="0.2">
      <c r="A13554" s="350">
        <v>2026</v>
      </c>
      <c r="B13554" s="350">
        <v>2</v>
      </c>
      <c r="C13554" s="350">
        <v>19</v>
      </c>
      <c r="D13554" s="351">
        <f t="shared" si="2046"/>
        <v>46072</v>
      </c>
      <c r="E13554" s="352">
        <f t="shared" si="2047"/>
        <v>46072</v>
      </c>
      <c r="F13554" s="519"/>
      <c r="G13554" s="353" t="s">
        <v>1245</v>
      </c>
      <c r="H13554" s="354"/>
      <c r="I13554" s="354" t="s">
        <v>1253</v>
      </c>
      <c r="J13554" s="350" t="s">
        <v>1979</v>
      </c>
      <c r="K13554" s="355"/>
      <c r="L13554" s="355">
        <f>K13553</f>
        <v>20878.176795580108</v>
      </c>
    </row>
    <row r="13555" spans="1:16" ht="11.25" customHeight="1" x14ac:dyDescent="0.2">
      <c r="A13555" s="344">
        <v>2026</v>
      </c>
      <c r="B13555" s="344">
        <v>2</v>
      </c>
      <c r="C13555" s="344">
        <v>19</v>
      </c>
      <c r="D13555" s="345">
        <f t="shared" si="2046"/>
        <v>46072</v>
      </c>
      <c r="E13555" s="346">
        <f t="shared" si="2047"/>
        <v>46072</v>
      </c>
      <c r="F13555" s="518" t="s">
        <v>2009</v>
      </c>
      <c r="G13555" s="347" t="s">
        <v>1245</v>
      </c>
      <c r="H13555" s="348"/>
      <c r="I13555" s="348" t="s">
        <v>1253</v>
      </c>
      <c r="J13555" s="344" t="s">
        <v>2004</v>
      </c>
      <c r="K13555" s="349">
        <v>7098.9014285714302</v>
      </c>
      <c r="L13555" s="349"/>
      <c r="M13555" s="455"/>
    </row>
    <row r="13556" spans="1:16" ht="11.25" customHeight="1" x14ac:dyDescent="0.2">
      <c r="A13556" s="350">
        <v>2026</v>
      </c>
      <c r="B13556" s="350">
        <v>2</v>
      </c>
      <c r="C13556" s="350">
        <v>19</v>
      </c>
      <c r="D13556" s="351">
        <f t="shared" si="2046"/>
        <v>46072</v>
      </c>
      <c r="E13556" s="352">
        <f t="shared" si="2047"/>
        <v>46072</v>
      </c>
      <c r="F13556" s="519"/>
      <c r="G13556" s="353" t="s">
        <v>1245</v>
      </c>
      <c r="H13556" s="354"/>
      <c r="I13556" s="354" t="s">
        <v>1253</v>
      </c>
      <c r="J13556" s="350" t="s">
        <v>2008</v>
      </c>
      <c r="K13556" s="355"/>
      <c r="L13556" s="355">
        <f t="shared" ref="L13556" si="2048">K13555</f>
        <v>7098.9014285714302</v>
      </c>
    </row>
    <row r="13557" spans="1:16" ht="11.25" customHeight="1" x14ac:dyDescent="0.2">
      <c r="A13557" s="344">
        <v>2026</v>
      </c>
      <c r="B13557" s="344">
        <v>2</v>
      </c>
      <c r="C13557" s="344">
        <v>19</v>
      </c>
      <c r="D13557" s="345">
        <f t="shared" si="2046"/>
        <v>46072</v>
      </c>
      <c r="E13557" s="346">
        <f t="shared" si="2047"/>
        <v>46072</v>
      </c>
      <c r="F13557" s="518" t="s">
        <v>2009</v>
      </c>
      <c r="G13557" s="347" t="s">
        <v>1245</v>
      </c>
      <c r="H13557" s="348"/>
      <c r="I13557" s="348" t="s">
        <v>1253</v>
      </c>
      <c r="J13557" s="344" t="s">
        <v>2004</v>
      </c>
      <c r="K13557" s="349">
        <v>7098.9014285714302</v>
      </c>
      <c r="L13557" s="349"/>
      <c r="M13557" s="455"/>
    </row>
    <row r="13558" spans="1:16" ht="11.25" customHeight="1" x14ac:dyDescent="0.2">
      <c r="A13558" s="350">
        <v>2026</v>
      </c>
      <c r="B13558" s="350">
        <v>2</v>
      </c>
      <c r="C13558" s="350">
        <v>19</v>
      </c>
      <c r="D13558" s="351">
        <f t="shared" si="2046"/>
        <v>46072</v>
      </c>
      <c r="E13558" s="352">
        <f t="shared" si="2047"/>
        <v>46072</v>
      </c>
      <c r="F13558" s="519"/>
      <c r="G13558" s="353" t="s">
        <v>1245</v>
      </c>
      <c r="H13558" s="354"/>
      <c r="I13558" s="354" t="s">
        <v>1253</v>
      </c>
      <c r="J13558" s="350" t="s">
        <v>2008</v>
      </c>
      <c r="K13558" s="355"/>
      <c r="L13558" s="355">
        <f t="shared" ref="L13558" si="2049">K13557</f>
        <v>7098.9014285714302</v>
      </c>
    </row>
    <row r="13559" spans="1:16" ht="11.25" customHeight="1" x14ac:dyDescent="0.2">
      <c r="A13559" s="344">
        <v>2026</v>
      </c>
      <c r="B13559" s="344">
        <v>2</v>
      </c>
      <c r="C13559" s="344">
        <v>19</v>
      </c>
      <c r="D13559" s="345">
        <f t="shared" si="2046"/>
        <v>46072</v>
      </c>
      <c r="E13559" s="346">
        <f t="shared" si="2047"/>
        <v>46072</v>
      </c>
      <c r="F13559" s="518" t="s">
        <v>2088</v>
      </c>
      <c r="G13559" s="347" t="s">
        <v>1245</v>
      </c>
      <c r="H13559" s="348"/>
      <c r="I13559" s="348" t="s">
        <v>1253</v>
      </c>
      <c r="J13559" s="344" t="s">
        <v>2086</v>
      </c>
      <c r="K13559" s="349">
        <v>1789.83516483516</v>
      </c>
      <c r="L13559" s="349"/>
      <c r="M13559" s="455"/>
    </row>
    <row r="13560" spans="1:16" ht="11.25" customHeight="1" x14ac:dyDescent="0.2">
      <c r="A13560" s="350">
        <v>2026</v>
      </c>
      <c r="B13560" s="350">
        <v>2</v>
      </c>
      <c r="C13560" s="350">
        <v>19</v>
      </c>
      <c r="D13560" s="351">
        <f t="shared" si="2046"/>
        <v>46072</v>
      </c>
      <c r="E13560" s="352">
        <f t="shared" si="2047"/>
        <v>46072</v>
      </c>
      <c r="F13560" s="519"/>
      <c r="G13560" s="353" t="s">
        <v>1245</v>
      </c>
      <c r="H13560" s="354"/>
      <c r="I13560" s="354" t="s">
        <v>1253</v>
      </c>
      <c r="J13560" s="350" t="s">
        <v>2089</v>
      </c>
      <c r="K13560" s="355"/>
      <c r="L13560" s="355">
        <f>K13559</f>
        <v>1789.83516483516</v>
      </c>
    </row>
    <row r="13561" spans="1:16" ht="11.25" customHeight="1" x14ac:dyDescent="0.2">
      <c r="A13561" s="344">
        <v>2026</v>
      </c>
      <c r="B13561" s="344">
        <v>2</v>
      </c>
      <c r="C13561" s="344">
        <v>19</v>
      </c>
      <c r="D13561" s="345">
        <f t="shared" si="2046"/>
        <v>46072</v>
      </c>
      <c r="E13561" s="346">
        <f>DATE(A13561,B13561,C13561)</f>
        <v>46072</v>
      </c>
      <c r="F13561" s="518" t="s">
        <v>1988</v>
      </c>
      <c r="G13561" s="347" t="s">
        <v>1245</v>
      </c>
      <c r="H13561" s="348"/>
      <c r="I13561" s="348" t="s">
        <v>1253</v>
      </c>
      <c r="J13561" s="344" t="s">
        <v>113</v>
      </c>
      <c r="K13561" s="349">
        <v>4692.3071428571402</v>
      </c>
      <c r="L13561" s="349"/>
      <c r="M13561" s="455"/>
    </row>
    <row r="13562" spans="1:16" ht="11.25" customHeight="1" x14ac:dyDescent="0.2">
      <c r="A13562" s="350">
        <v>2026</v>
      </c>
      <c r="B13562" s="350">
        <v>2</v>
      </c>
      <c r="C13562" s="350">
        <v>19</v>
      </c>
      <c r="D13562" s="351">
        <f t="shared" si="2046"/>
        <v>46072</v>
      </c>
      <c r="E13562" s="352">
        <f>DATE(A13562,B13562,C13562)</f>
        <v>46072</v>
      </c>
      <c r="F13562" s="519"/>
      <c r="G13562" s="353" t="s">
        <v>1245</v>
      </c>
      <c r="H13562" s="354"/>
      <c r="I13562" s="354" t="s">
        <v>1253</v>
      </c>
      <c r="J13562" s="350" t="s">
        <v>153</v>
      </c>
      <c r="K13562" s="355"/>
      <c r="L13562" s="355">
        <f t="shared" ref="L13562" si="2050">K13561</f>
        <v>4692.3071428571402</v>
      </c>
    </row>
    <row r="13563" spans="1:16" ht="11.25" customHeight="1" x14ac:dyDescent="0.2">
      <c r="A13563" s="344">
        <v>2026</v>
      </c>
      <c r="B13563" s="344">
        <v>2</v>
      </c>
      <c r="C13563" s="344">
        <v>19</v>
      </c>
      <c r="D13563" s="345">
        <f t="shared" si="2046"/>
        <v>46072</v>
      </c>
      <c r="E13563" s="346">
        <f t="shared" ref="E13563:E13569" si="2051">DATE(A13563,B13563,C13563)</f>
        <v>46072</v>
      </c>
      <c r="F13563" s="518" t="s">
        <v>1989</v>
      </c>
      <c r="G13563" s="347" t="s">
        <v>1245</v>
      </c>
      <c r="H13563" s="348"/>
      <c r="I13563" s="348" t="s">
        <v>1253</v>
      </c>
      <c r="J13563" s="344" t="s">
        <v>113</v>
      </c>
      <c r="K13563" s="349">
        <v>3351.6483516483499</v>
      </c>
      <c r="L13563" s="349"/>
      <c r="M13563" s="455"/>
    </row>
    <row r="13564" spans="1:16" ht="11.25" customHeight="1" x14ac:dyDescent="0.2">
      <c r="A13564" s="350">
        <v>2026</v>
      </c>
      <c r="B13564" s="350">
        <v>2</v>
      </c>
      <c r="C13564" s="350">
        <v>19</v>
      </c>
      <c r="D13564" s="351">
        <f t="shared" si="2046"/>
        <v>46072</v>
      </c>
      <c r="E13564" s="352">
        <f t="shared" si="2051"/>
        <v>46072</v>
      </c>
      <c r="F13564" s="519"/>
      <c r="G13564" s="353" t="s">
        <v>1245</v>
      </c>
      <c r="H13564" s="354"/>
      <c r="I13564" s="354" t="s">
        <v>1253</v>
      </c>
      <c r="J13564" s="350" t="s">
        <v>153</v>
      </c>
      <c r="K13564" s="355"/>
      <c r="L13564" s="355">
        <f t="shared" ref="L13564" si="2052">K13563</f>
        <v>3351.6483516483499</v>
      </c>
    </row>
    <row r="13565" spans="1:16" ht="11.25" customHeight="1" x14ac:dyDescent="0.2">
      <c r="A13565" s="344">
        <v>2026</v>
      </c>
      <c r="B13565" s="344">
        <v>2</v>
      </c>
      <c r="C13565" s="344">
        <v>19</v>
      </c>
      <c r="D13565" s="345">
        <f t="shared" si="2046"/>
        <v>46072</v>
      </c>
      <c r="E13565" s="346">
        <f t="shared" si="2051"/>
        <v>46072</v>
      </c>
      <c r="F13565" s="518" t="s">
        <v>1990</v>
      </c>
      <c r="G13565" s="347" t="s">
        <v>1245</v>
      </c>
      <c r="H13565" s="348"/>
      <c r="I13565" s="348" t="s">
        <v>1253</v>
      </c>
      <c r="J13565" s="344" t="s">
        <v>113</v>
      </c>
      <c r="K13565" s="349">
        <v>10054.945714285701</v>
      </c>
      <c r="L13565" s="349"/>
      <c r="M13565" s="455"/>
      <c r="N13565" s="251"/>
      <c r="O13565" s="251"/>
      <c r="P13565" s="251"/>
    </row>
    <row r="13566" spans="1:16" ht="11.25" customHeight="1" x14ac:dyDescent="0.2">
      <c r="A13566" s="350">
        <v>2026</v>
      </c>
      <c r="B13566" s="350">
        <v>2</v>
      </c>
      <c r="C13566" s="350">
        <v>19</v>
      </c>
      <c r="D13566" s="351">
        <f t="shared" si="2046"/>
        <v>46072</v>
      </c>
      <c r="E13566" s="352">
        <f t="shared" si="2051"/>
        <v>46072</v>
      </c>
      <c r="F13566" s="519"/>
      <c r="G13566" s="353" t="s">
        <v>1245</v>
      </c>
      <c r="H13566" s="354"/>
      <c r="I13566" s="354" t="s">
        <v>1253</v>
      </c>
      <c r="J13566" s="350" t="s">
        <v>153</v>
      </c>
      <c r="K13566" s="355"/>
      <c r="L13566" s="355">
        <f t="shared" ref="L13566" si="2053">K13565</f>
        <v>10054.945714285701</v>
      </c>
      <c r="M13566" s="455"/>
    </row>
    <row r="13567" spans="1:16" ht="11.25" customHeight="1" x14ac:dyDescent="0.2">
      <c r="A13567" s="344">
        <v>2026</v>
      </c>
      <c r="B13567" s="344">
        <v>2</v>
      </c>
      <c r="C13567" s="344">
        <v>19</v>
      </c>
      <c r="D13567" s="345">
        <f t="shared" si="2046"/>
        <v>46072</v>
      </c>
      <c r="E13567" s="346">
        <f t="shared" si="2051"/>
        <v>46072</v>
      </c>
      <c r="F13567" s="518" t="s">
        <v>2107</v>
      </c>
      <c r="G13567" s="347" t="s">
        <v>1245</v>
      </c>
      <c r="H13567" s="348"/>
      <c r="I13567" s="348" t="s">
        <v>1253</v>
      </c>
      <c r="J13567" s="344" t="s">
        <v>113</v>
      </c>
      <c r="K13567" s="349">
        <v>12370.879120879101</v>
      </c>
      <c r="L13567" s="349"/>
      <c r="M13567" s="455"/>
      <c r="N13567" s="251"/>
      <c r="O13567" s="251"/>
      <c r="P13567" s="251"/>
    </row>
    <row r="13568" spans="1:16" ht="11.25" customHeight="1" x14ac:dyDescent="0.2">
      <c r="A13568" s="350">
        <v>2026</v>
      </c>
      <c r="B13568" s="350">
        <v>2</v>
      </c>
      <c r="C13568" s="350">
        <v>19</v>
      </c>
      <c r="D13568" s="351">
        <f t="shared" si="2046"/>
        <v>46072</v>
      </c>
      <c r="E13568" s="352">
        <f t="shared" si="2051"/>
        <v>46072</v>
      </c>
      <c r="F13568" s="519"/>
      <c r="G13568" s="353" t="s">
        <v>1245</v>
      </c>
      <c r="H13568" s="354"/>
      <c r="I13568" s="354" t="s">
        <v>1253</v>
      </c>
      <c r="J13568" s="350" t="s">
        <v>153</v>
      </c>
      <c r="K13568" s="355"/>
      <c r="L13568" s="355">
        <f t="shared" ref="L13568" si="2054">K13567</f>
        <v>12370.879120879101</v>
      </c>
    </row>
    <row r="13569" spans="1:15" ht="11.25" customHeight="1" x14ac:dyDescent="0.2">
      <c r="A13569" s="210">
        <v>2026</v>
      </c>
      <c r="B13569" s="210">
        <v>2</v>
      </c>
      <c r="C13569" s="210">
        <v>19</v>
      </c>
      <c r="D13569" s="211">
        <f t="shared" si="2046"/>
        <v>46072</v>
      </c>
      <c r="E13569" s="238">
        <f t="shared" si="2051"/>
        <v>46072</v>
      </c>
      <c r="F13569" s="520" t="s">
        <v>1857</v>
      </c>
      <c r="G13569" s="213" t="s">
        <v>1245</v>
      </c>
      <c r="H13569" s="214"/>
      <c r="I13569" s="214" t="s">
        <v>1253</v>
      </c>
      <c r="J13569" s="210" t="s">
        <v>1284</v>
      </c>
      <c r="K13569" s="215">
        <v>334.54448777029398</v>
      </c>
      <c r="L13569" s="215"/>
      <c r="M13569" s="455"/>
    </row>
    <row r="13570" spans="1:15" ht="11.25" customHeight="1" x14ac:dyDescent="0.2">
      <c r="A13570" s="242">
        <v>2026</v>
      </c>
      <c r="B13570" s="242">
        <v>2</v>
      </c>
      <c r="C13570" s="242">
        <v>19</v>
      </c>
      <c r="D13570" s="243">
        <f t="shared" si="2046"/>
        <v>46072</v>
      </c>
      <c r="E13570" s="244">
        <f>DATE(A13570,B13570,C13570)</f>
        <v>46072</v>
      </c>
      <c r="F13570" s="524"/>
      <c r="G13570" s="245" t="s">
        <v>1245</v>
      </c>
      <c r="H13570" s="246"/>
      <c r="I13570" s="246"/>
      <c r="J13570" s="242" t="s">
        <v>1582</v>
      </c>
      <c r="K13570" s="247"/>
      <c r="L13570" s="247">
        <f>K13569</f>
        <v>334.54448777029398</v>
      </c>
    </row>
    <row r="13571" spans="1:15" ht="11.25" customHeight="1" x14ac:dyDescent="0.2">
      <c r="A13571" s="210">
        <v>2026</v>
      </c>
      <c r="B13571" s="210">
        <v>2</v>
      </c>
      <c r="C13571" s="210">
        <v>19</v>
      </c>
      <c r="D13571" s="211">
        <f t="shared" si="2046"/>
        <v>46072</v>
      </c>
      <c r="E13571" s="238">
        <f t="shared" ref="E13571:E13585" si="2055">DATE(A13571,B13571,C13571)</f>
        <v>46072</v>
      </c>
      <c r="F13571" s="520" t="s">
        <v>2055</v>
      </c>
      <c r="G13571" s="213" t="s">
        <v>1245</v>
      </c>
      <c r="H13571" s="214"/>
      <c r="I13571" s="214" t="s">
        <v>1253</v>
      </c>
      <c r="J13571" s="210" t="s">
        <v>58</v>
      </c>
      <c r="K13571" s="215">
        <v>2231.9055938888891</v>
      </c>
      <c r="L13571" s="215"/>
    </row>
    <row r="13572" spans="1:15" ht="11.25" customHeight="1" x14ac:dyDescent="0.2">
      <c r="A13572" s="216">
        <v>2026</v>
      </c>
      <c r="B13572" s="216">
        <v>2</v>
      </c>
      <c r="C13572" s="216">
        <v>19</v>
      </c>
      <c r="D13572" s="217">
        <f t="shared" si="2046"/>
        <v>46072</v>
      </c>
      <c r="E13572" s="239">
        <f t="shared" si="2055"/>
        <v>46072</v>
      </c>
      <c r="F13572" s="521"/>
      <c r="G13572" s="219" t="s">
        <v>1245</v>
      </c>
      <c r="H13572" s="220"/>
      <c r="I13572" s="220" t="s">
        <v>1253</v>
      </c>
      <c r="J13572" s="216" t="s">
        <v>153</v>
      </c>
      <c r="K13572" s="221"/>
      <c r="L13572" s="221">
        <f>K13571</f>
        <v>2231.9055938888891</v>
      </c>
    </row>
    <row r="13573" spans="1:15" ht="11.25" customHeight="1" x14ac:dyDescent="0.2">
      <c r="A13573" s="312">
        <v>2026</v>
      </c>
      <c r="B13573" s="312">
        <v>2</v>
      </c>
      <c r="C13573" s="312">
        <v>19</v>
      </c>
      <c r="D13573" s="313">
        <f t="shared" si="2046"/>
        <v>46072</v>
      </c>
      <c r="E13573" s="314">
        <f t="shared" si="2055"/>
        <v>46072</v>
      </c>
      <c r="F13573" s="522" t="s">
        <v>1595</v>
      </c>
      <c r="G13573" s="315" t="s">
        <v>1245</v>
      </c>
      <c r="H13573" s="316"/>
      <c r="I13573" s="316" t="s">
        <v>1253</v>
      </c>
      <c r="J13573" s="312" t="s">
        <v>1461</v>
      </c>
      <c r="K13573" s="317">
        <v>96593.307999968529</v>
      </c>
      <c r="L13573" s="317"/>
      <c r="M13573" s="328"/>
    </row>
    <row r="13574" spans="1:15" ht="11.25" customHeight="1" x14ac:dyDescent="0.2">
      <c r="A13574" s="318">
        <v>2026</v>
      </c>
      <c r="B13574" s="318">
        <v>2</v>
      </c>
      <c r="C13574" s="318">
        <v>19</v>
      </c>
      <c r="D13574" s="319">
        <f t="shared" si="2046"/>
        <v>46072</v>
      </c>
      <c r="E13574" s="320">
        <f t="shared" si="2055"/>
        <v>46072</v>
      </c>
      <c r="F13574" s="523"/>
      <c r="G13574" s="321" t="s">
        <v>1245</v>
      </c>
      <c r="H13574" s="322"/>
      <c r="I13574" s="322" t="s">
        <v>1253</v>
      </c>
      <c r="J13574" s="318" t="s">
        <v>1459</v>
      </c>
      <c r="K13574" s="323"/>
      <c r="L13574" s="323">
        <f>K13573</f>
        <v>96593.307999968529</v>
      </c>
      <c r="M13574" s="328"/>
    </row>
    <row r="13575" spans="1:15" ht="11.25" customHeight="1" x14ac:dyDescent="0.2">
      <c r="A13575" s="222">
        <v>2026</v>
      </c>
      <c r="B13575" s="222">
        <v>2</v>
      </c>
      <c r="C13575" s="222">
        <v>19</v>
      </c>
      <c r="D13575" s="223">
        <f t="shared" si="2046"/>
        <v>46072</v>
      </c>
      <c r="E13575" s="240">
        <f t="shared" si="2055"/>
        <v>46072</v>
      </c>
      <c r="F13575" s="511" t="s">
        <v>1244</v>
      </c>
      <c r="G13575" s="225" t="s">
        <v>1245</v>
      </c>
      <c r="H13575" s="226"/>
      <c r="I13575" s="226" t="s">
        <v>1253</v>
      </c>
      <c r="J13575" s="222" t="s">
        <v>72</v>
      </c>
      <c r="K13575" s="227">
        <v>24</v>
      </c>
      <c r="L13575" s="227"/>
      <c r="M13575" s="328"/>
    </row>
    <row r="13576" spans="1:15" ht="11.25" customHeight="1" x14ac:dyDescent="0.2">
      <c r="A13576" s="228">
        <v>2026</v>
      </c>
      <c r="B13576" s="228">
        <v>2</v>
      </c>
      <c r="C13576" s="228">
        <v>19</v>
      </c>
      <c r="D13576" s="229">
        <f t="shared" si="2046"/>
        <v>46072</v>
      </c>
      <c r="E13576" s="241">
        <f t="shared" si="2055"/>
        <v>46072</v>
      </c>
      <c r="F13576" s="512"/>
      <c r="G13576" s="231" t="s">
        <v>1245</v>
      </c>
      <c r="H13576" s="232"/>
      <c r="I13576" s="232" t="s">
        <v>1253</v>
      </c>
      <c r="J13576" s="228" t="s">
        <v>87</v>
      </c>
      <c r="K13576" s="233"/>
      <c r="L13576" s="233">
        <f>K13575</f>
        <v>24</v>
      </c>
    </row>
    <row r="13577" spans="1:15" ht="11.25" customHeight="1" x14ac:dyDescent="0.2">
      <c r="A13577" s="222">
        <v>2026</v>
      </c>
      <c r="B13577" s="222">
        <v>2</v>
      </c>
      <c r="C13577" s="222">
        <v>19</v>
      </c>
      <c r="D13577" s="223">
        <f t="shared" si="2046"/>
        <v>46072</v>
      </c>
      <c r="E13577" s="240">
        <f t="shared" si="2055"/>
        <v>46072</v>
      </c>
      <c r="F13577" s="511" t="s">
        <v>2138</v>
      </c>
      <c r="G13577" s="225" t="s">
        <v>1245</v>
      </c>
      <c r="H13577" s="226"/>
      <c r="I13577" s="226" t="s">
        <v>1253</v>
      </c>
      <c r="J13577" s="222" t="s">
        <v>75</v>
      </c>
      <c r="K13577" s="227">
        <v>517.58912087912097</v>
      </c>
      <c r="L13577" s="227"/>
      <c r="M13577" s="455"/>
    </row>
    <row r="13578" spans="1:15" ht="11.25" customHeight="1" x14ac:dyDescent="0.2">
      <c r="A13578" s="228">
        <v>2026</v>
      </c>
      <c r="B13578" s="228">
        <v>2</v>
      </c>
      <c r="C13578" s="228">
        <v>19</v>
      </c>
      <c r="D13578" s="229">
        <f t="shared" si="2046"/>
        <v>46072</v>
      </c>
      <c r="E13578" s="241">
        <f t="shared" si="2055"/>
        <v>46072</v>
      </c>
      <c r="F13578" s="512"/>
      <c r="G13578" s="231" t="s">
        <v>1245</v>
      </c>
      <c r="H13578" s="232"/>
      <c r="I13578" s="232" t="s">
        <v>1253</v>
      </c>
      <c r="J13578" s="228" t="s">
        <v>55</v>
      </c>
      <c r="K13578" s="233"/>
      <c r="L13578" s="233">
        <f>K13577</f>
        <v>517.58912087912097</v>
      </c>
    </row>
    <row r="13579" spans="1:15" ht="11.25" customHeight="1" x14ac:dyDescent="0.2">
      <c r="A13579" s="222">
        <v>2026</v>
      </c>
      <c r="B13579" s="222">
        <v>2</v>
      </c>
      <c r="C13579" s="222">
        <v>19</v>
      </c>
      <c r="D13579" s="223">
        <f t="shared" si="2046"/>
        <v>46072</v>
      </c>
      <c r="E13579" s="240">
        <f t="shared" si="2055"/>
        <v>46072</v>
      </c>
      <c r="F13579" s="511" t="s">
        <v>2137</v>
      </c>
      <c r="G13579" s="225" t="s">
        <v>1245</v>
      </c>
      <c r="H13579" s="226"/>
      <c r="I13579" s="226" t="s">
        <v>1253</v>
      </c>
      <c r="J13579" s="222" t="s">
        <v>77</v>
      </c>
      <c r="K13579" s="227">
        <v>7444.5034509604402</v>
      </c>
      <c r="L13579" s="227"/>
      <c r="M13579" s="478"/>
    </row>
    <row r="13580" spans="1:15" ht="11.25" customHeight="1" x14ac:dyDescent="0.2">
      <c r="A13580" s="228">
        <v>2026</v>
      </c>
      <c r="B13580" s="228">
        <v>2</v>
      </c>
      <c r="C13580" s="228">
        <v>19</v>
      </c>
      <c r="D13580" s="229">
        <f t="shared" si="2046"/>
        <v>46072</v>
      </c>
      <c r="E13580" s="241">
        <f t="shared" si="2055"/>
        <v>46072</v>
      </c>
      <c r="F13580" s="512"/>
      <c r="G13580" s="231" t="s">
        <v>1245</v>
      </c>
      <c r="H13580" s="232"/>
      <c r="I13580" s="232" t="s">
        <v>1253</v>
      </c>
      <c r="J13580" s="228" t="s">
        <v>41</v>
      </c>
      <c r="K13580" s="233"/>
      <c r="L13580" s="233">
        <f>K13579</f>
        <v>7444.5034509604402</v>
      </c>
      <c r="M13580" s="328"/>
      <c r="N13580" s="251"/>
    </row>
    <row r="13581" spans="1:15" ht="11.25" customHeight="1" x14ac:dyDescent="0.2">
      <c r="A13581" s="222">
        <v>2026</v>
      </c>
      <c r="B13581" s="222">
        <v>2</v>
      </c>
      <c r="C13581" s="222">
        <v>19</v>
      </c>
      <c r="D13581" s="223">
        <f t="shared" si="2046"/>
        <v>46072</v>
      </c>
      <c r="E13581" s="240">
        <f t="shared" si="2055"/>
        <v>46072</v>
      </c>
      <c r="F13581" s="511" t="s">
        <v>2136</v>
      </c>
      <c r="G13581" s="225" t="s">
        <v>1245</v>
      </c>
      <c r="H13581" s="226"/>
      <c r="I13581" s="226" t="s">
        <v>1253</v>
      </c>
      <c r="J13581" s="222" t="s">
        <v>80</v>
      </c>
      <c r="K13581" s="227">
        <v>744.45034509604397</v>
      </c>
      <c r="L13581" s="227"/>
      <c r="M13581" s="328"/>
      <c r="N13581" s="251"/>
      <c r="O13581" s="251"/>
    </row>
    <row r="13582" spans="1:15" ht="11.25" customHeight="1" x14ac:dyDescent="0.2">
      <c r="A13582" s="228">
        <v>2026</v>
      </c>
      <c r="B13582" s="228">
        <v>2</v>
      </c>
      <c r="C13582" s="228">
        <v>19</v>
      </c>
      <c r="D13582" s="229">
        <f t="shared" si="2046"/>
        <v>46072</v>
      </c>
      <c r="E13582" s="241">
        <f t="shared" si="2055"/>
        <v>46072</v>
      </c>
      <c r="F13582" s="512"/>
      <c r="G13582" s="231" t="s">
        <v>1245</v>
      </c>
      <c r="H13582" s="232"/>
      <c r="I13582" s="232" t="s">
        <v>1253</v>
      </c>
      <c r="J13582" s="228" t="s">
        <v>42</v>
      </c>
      <c r="K13582" s="233"/>
      <c r="L13582" s="233">
        <f>K13581</f>
        <v>744.45034509604397</v>
      </c>
      <c r="N13582" s="251"/>
    </row>
    <row r="13583" spans="1:15" x14ac:dyDescent="0.2">
      <c r="A13583" s="197">
        <v>2026</v>
      </c>
      <c r="B13583" s="197">
        <v>2</v>
      </c>
      <c r="C13583" s="197">
        <v>22</v>
      </c>
      <c r="D13583" s="198">
        <f t="shared" ref="D13583:D13585" si="2056">DATE(A13583,B13583,C13583)</f>
        <v>46075</v>
      </c>
      <c r="E13583" s="209">
        <f t="shared" si="2055"/>
        <v>46075</v>
      </c>
      <c r="F13583" s="513" t="s">
        <v>1280</v>
      </c>
      <c r="G13583" s="200" t="s">
        <v>1209</v>
      </c>
      <c r="H13583" s="201"/>
      <c r="I13583" s="201"/>
      <c r="J13583" s="197" t="s">
        <v>16</v>
      </c>
      <c r="K13583" s="202">
        <v>283590</v>
      </c>
      <c r="L13583" s="202"/>
    </row>
    <row r="13584" spans="1:15" x14ac:dyDescent="0.2">
      <c r="A13584" s="120">
        <v>2026</v>
      </c>
      <c r="B13584" s="120">
        <v>2</v>
      </c>
      <c r="C13584" s="120">
        <v>22</v>
      </c>
      <c r="D13584" s="208">
        <f t="shared" si="2056"/>
        <v>46075</v>
      </c>
      <c r="E13584" s="209">
        <f t="shared" si="2055"/>
        <v>46075</v>
      </c>
      <c r="F13584" s="515"/>
      <c r="G13584" s="132" t="s">
        <v>1209</v>
      </c>
      <c r="J13584" s="120" t="s">
        <v>47</v>
      </c>
      <c r="K13584" s="207">
        <v>115216.64</v>
      </c>
      <c r="L13584" s="207"/>
    </row>
    <row r="13585" spans="1:15" x14ac:dyDescent="0.2">
      <c r="A13585" s="191">
        <v>2026</v>
      </c>
      <c r="B13585" s="191">
        <v>2</v>
      </c>
      <c r="C13585" s="191">
        <v>22</v>
      </c>
      <c r="D13585" s="192">
        <f t="shared" si="2056"/>
        <v>46075</v>
      </c>
      <c r="E13585" s="193">
        <f t="shared" si="2055"/>
        <v>46075</v>
      </c>
      <c r="F13585" s="514"/>
      <c r="G13585" s="194" t="s">
        <v>1209</v>
      </c>
      <c r="H13585" s="195"/>
      <c r="I13585" s="195"/>
      <c r="J13585" s="191" t="s">
        <v>46</v>
      </c>
      <c r="K13585" s="196"/>
      <c r="L13585" s="196">
        <v>398806.64</v>
      </c>
    </row>
    <row r="13586" spans="1:15" x14ac:dyDescent="0.2">
      <c r="A13586" s="197">
        <v>2026</v>
      </c>
      <c r="B13586" s="197">
        <v>2</v>
      </c>
      <c r="C13586" s="197">
        <v>22</v>
      </c>
      <c r="D13586" s="198">
        <f t="shared" ref="D13586:D13649" si="2057">DATE(A13586,B13586,C13586)</f>
        <v>46075</v>
      </c>
      <c r="E13586" s="209">
        <f t="shared" ref="E13586:E13588" si="2058">DATE(A13586,B13586,C13586)</f>
        <v>46075</v>
      </c>
      <c r="F13586" s="513" t="s">
        <v>1423</v>
      </c>
      <c r="G13586" s="200" t="s">
        <v>1209</v>
      </c>
      <c r="H13586" s="201"/>
      <c r="I13586" s="201"/>
      <c r="J13586" s="197" t="s">
        <v>16</v>
      </c>
      <c r="K13586" s="202">
        <v>254170</v>
      </c>
      <c r="L13586" s="202"/>
    </row>
    <row r="13587" spans="1:15" x14ac:dyDescent="0.2">
      <c r="A13587" s="120">
        <v>2026</v>
      </c>
      <c r="B13587" s="120">
        <v>2</v>
      </c>
      <c r="C13587" s="120">
        <v>22</v>
      </c>
      <c r="D13587" s="208">
        <f t="shared" si="2057"/>
        <v>46075</v>
      </c>
      <c r="E13587" s="209">
        <f t="shared" si="2058"/>
        <v>46075</v>
      </c>
      <c r="F13587" s="515"/>
      <c r="G13587" s="132" t="s">
        <v>1209</v>
      </c>
      <c r="J13587" s="120" t="s">
        <v>47</v>
      </c>
      <c r="K13587" s="207">
        <v>103275.36</v>
      </c>
      <c r="L13587" s="207"/>
    </row>
    <row r="13588" spans="1:15" x14ac:dyDescent="0.2">
      <c r="A13588" s="191">
        <v>2026</v>
      </c>
      <c r="B13588" s="191">
        <v>2</v>
      </c>
      <c r="C13588" s="191">
        <v>22</v>
      </c>
      <c r="D13588" s="192">
        <f t="shared" si="2057"/>
        <v>46075</v>
      </c>
      <c r="E13588" s="193">
        <f t="shared" si="2058"/>
        <v>46075</v>
      </c>
      <c r="F13588" s="514"/>
      <c r="G13588" s="194" t="s">
        <v>1209</v>
      </c>
      <c r="H13588" s="195"/>
      <c r="I13588" s="195"/>
      <c r="J13588" s="191" t="s">
        <v>46</v>
      </c>
      <c r="K13588" s="196"/>
      <c r="L13588" s="196">
        <v>357445.36</v>
      </c>
    </row>
    <row r="13589" spans="1:15" ht="11.25" customHeight="1" x14ac:dyDescent="0.2">
      <c r="A13589" s="197">
        <v>2026</v>
      </c>
      <c r="B13589" s="197">
        <v>2</v>
      </c>
      <c r="C13589" s="197">
        <v>22</v>
      </c>
      <c r="D13589" s="198">
        <f t="shared" si="2057"/>
        <v>46075</v>
      </c>
      <c r="E13589" s="290">
        <f>DATE(A13589,B13589,C13589)</f>
        <v>46075</v>
      </c>
      <c r="F13589" s="513" t="s">
        <v>1514</v>
      </c>
      <c r="G13589" s="200" t="s">
        <v>1209</v>
      </c>
      <c r="H13589" s="201"/>
      <c r="I13589" s="201"/>
      <c r="J13589" s="197" t="s">
        <v>54</v>
      </c>
      <c r="K13589" s="202">
        <f>116</f>
        <v>116</v>
      </c>
      <c r="L13589" s="202"/>
      <c r="O13589" s="251"/>
    </row>
    <row r="13590" spans="1:15" ht="11.25" customHeight="1" x14ac:dyDescent="0.2">
      <c r="A13590" s="191">
        <v>2026</v>
      </c>
      <c r="B13590" s="191">
        <v>2</v>
      </c>
      <c r="C13590" s="191">
        <v>22</v>
      </c>
      <c r="D13590" s="192">
        <f t="shared" si="2057"/>
        <v>46075</v>
      </c>
      <c r="E13590" s="291">
        <f>DATE(A13590,B13590,C13590)</f>
        <v>46075</v>
      </c>
      <c r="F13590" s="514"/>
      <c r="G13590" s="194" t="s">
        <v>1209</v>
      </c>
      <c r="H13590" s="195"/>
      <c r="I13590" s="195"/>
      <c r="J13590" s="191" t="s">
        <v>46</v>
      </c>
      <c r="K13590" s="196"/>
      <c r="L13590" s="196">
        <f>K13589</f>
        <v>116</v>
      </c>
      <c r="O13590" s="251"/>
    </row>
    <row r="13591" spans="1:15" ht="11.25" customHeight="1" x14ac:dyDescent="0.2">
      <c r="A13591" s="197">
        <v>2026</v>
      </c>
      <c r="B13591" s="197">
        <v>2</v>
      </c>
      <c r="C13591" s="197">
        <v>22</v>
      </c>
      <c r="D13591" s="198">
        <f>DATE(A13591,B13591,C13591)</f>
        <v>46075</v>
      </c>
      <c r="E13591" s="290">
        <f>DATE(A13591,B13591,C13591)</f>
        <v>46075</v>
      </c>
      <c r="F13591" s="513" t="s">
        <v>2074</v>
      </c>
      <c r="G13591" s="200" t="s">
        <v>1209</v>
      </c>
      <c r="H13591" s="201"/>
      <c r="I13591" s="201" t="s">
        <v>1253</v>
      </c>
      <c r="J13591" s="197" t="s">
        <v>46</v>
      </c>
      <c r="K13591" s="202">
        <v>168700</v>
      </c>
      <c r="L13591" s="202"/>
    </row>
    <row r="13592" spans="1:15" ht="11.25" customHeight="1" x14ac:dyDescent="0.2">
      <c r="A13592" s="191">
        <v>2026</v>
      </c>
      <c r="B13592" s="191">
        <v>2</v>
      </c>
      <c r="C13592" s="191">
        <v>22</v>
      </c>
      <c r="D13592" s="192">
        <f>DATE(A13592,B13592,C13592)</f>
        <v>46075</v>
      </c>
      <c r="E13592" s="291">
        <f>DATE(A13592,B13592,C13592)</f>
        <v>46075</v>
      </c>
      <c r="F13592" s="514"/>
      <c r="G13592" s="194" t="s">
        <v>1209</v>
      </c>
      <c r="H13592" s="195"/>
      <c r="I13592" s="195"/>
      <c r="J13592" s="191" t="s">
        <v>1845</v>
      </c>
      <c r="K13592" s="196"/>
      <c r="L13592" s="196">
        <f>K13591</f>
        <v>168700</v>
      </c>
    </row>
    <row r="13593" spans="1:15" x14ac:dyDescent="0.2">
      <c r="A13593" s="424">
        <v>2026</v>
      </c>
      <c r="B13593" s="424">
        <v>2</v>
      </c>
      <c r="C13593" s="424">
        <v>22</v>
      </c>
      <c r="D13593" s="425">
        <f t="shared" si="2057"/>
        <v>46075</v>
      </c>
      <c r="E13593" s="384">
        <f t="shared" ref="E13593:E13604" si="2059">DATE(A13593,B13593,C13593)</f>
        <v>46075</v>
      </c>
      <c r="F13593" s="516" t="s">
        <v>1850</v>
      </c>
      <c r="G13593" s="426" t="s">
        <v>1245</v>
      </c>
      <c r="H13593" s="427"/>
      <c r="I13593" s="427"/>
      <c r="J13593" s="428" t="s">
        <v>81</v>
      </c>
      <c r="K13593" s="429">
        <v>4787.4520879120801</v>
      </c>
      <c r="L13593" s="429"/>
      <c r="M13593" s="455"/>
    </row>
    <row r="13594" spans="1:15" x14ac:dyDescent="0.2">
      <c r="A13594" s="389">
        <v>2026</v>
      </c>
      <c r="B13594" s="389">
        <v>2</v>
      </c>
      <c r="C13594" s="389">
        <v>22</v>
      </c>
      <c r="D13594" s="390">
        <f t="shared" si="2057"/>
        <v>46075</v>
      </c>
      <c r="E13594" s="391">
        <f t="shared" si="2059"/>
        <v>46075</v>
      </c>
      <c r="F13594" s="517"/>
      <c r="G13594" s="392" t="s">
        <v>1245</v>
      </c>
      <c r="H13594" s="393"/>
      <c r="I13594" s="393"/>
      <c r="J13594" s="394" t="s">
        <v>1847</v>
      </c>
      <c r="K13594" s="423"/>
      <c r="L13594" s="423">
        <f>K13593</f>
        <v>4787.4520879120801</v>
      </c>
    </row>
    <row r="13595" spans="1:15" ht="11.25" customHeight="1" x14ac:dyDescent="0.2">
      <c r="A13595" s="382">
        <v>2026</v>
      </c>
      <c r="B13595" s="382">
        <v>2</v>
      </c>
      <c r="C13595" s="382">
        <v>22</v>
      </c>
      <c r="D13595" s="383">
        <f t="shared" si="2057"/>
        <v>46075</v>
      </c>
      <c r="E13595" s="384">
        <f t="shared" si="2059"/>
        <v>46075</v>
      </c>
      <c r="F13595" s="516" t="s">
        <v>1892</v>
      </c>
      <c r="G13595" s="385" t="s">
        <v>1245</v>
      </c>
      <c r="H13595" s="386"/>
      <c r="I13595" s="386"/>
      <c r="J13595" s="387" t="s">
        <v>173</v>
      </c>
      <c r="K13595" s="388">
        <v>1759.49</v>
      </c>
      <c r="L13595" s="388"/>
      <c r="M13595" s="455"/>
    </row>
    <row r="13596" spans="1:15" ht="11.25" customHeight="1" x14ac:dyDescent="0.2">
      <c r="A13596" s="389">
        <v>2026</v>
      </c>
      <c r="B13596" s="389">
        <v>2</v>
      </c>
      <c r="C13596" s="389">
        <v>22</v>
      </c>
      <c r="D13596" s="390">
        <f t="shared" si="2057"/>
        <v>46075</v>
      </c>
      <c r="E13596" s="391">
        <f t="shared" si="2059"/>
        <v>46075</v>
      </c>
      <c r="F13596" s="517"/>
      <c r="G13596" s="392" t="s">
        <v>1245</v>
      </c>
      <c r="H13596" s="393"/>
      <c r="I13596" s="393"/>
      <c r="J13596" s="394" t="s">
        <v>43</v>
      </c>
      <c r="K13596" s="388"/>
      <c r="L13596" s="423">
        <f>K13595</f>
        <v>1759.49</v>
      </c>
    </row>
    <row r="13597" spans="1:15" ht="11.25" customHeight="1" x14ac:dyDescent="0.2">
      <c r="A13597" s="344">
        <v>2026</v>
      </c>
      <c r="B13597" s="344">
        <v>2</v>
      </c>
      <c r="C13597" s="344">
        <v>22</v>
      </c>
      <c r="D13597" s="345">
        <f t="shared" si="2057"/>
        <v>46075</v>
      </c>
      <c r="E13597" s="346">
        <f t="shared" si="2059"/>
        <v>46075</v>
      </c>
      <c r="F13597" s="518" t="s">
        <v>1982</v>
      </c>
      <c r="G13597" s="347" t="s">
        <v>1245</v>
      </c>
      <c r="H13597" s="348"/>
      <c r="I13597" s="348" t="s">
        <v>1253</v>
      </c>
      <c r="J13597" s="344" t="s">
        <v>1978</v>
      </c>
      <c r="K13597" s="349">
        <v>62634.530386740327</v>
      </c>
      <c r="L13597" s="349"/>
      <c r="M13597" s="455"/>
    </row>
    <row r="13598" spans="1:15" ht="11.25" customHeight="1" x14ac:dyDescent="0.2">
      <c r="A13598" s="350">
        <v>2026</v>
      </c>
      <c r="B13598" s="350">
        <v>2</v>
      </c>
      <c r="C13598" s="350">
        <v>22</v>
      </c>
      <c r="D13598" s="351">
        <f t="shared" si="2057"/>
        <v>46075</v>
      </c>
      <c r="E13598" s="352">
        <f t="shared" si="2059"/>
        <v>46075</v>
      </c>
      <c r="F13598" s="519"/>
      <c r="G13598" s="353" t="s">
        <v>1245</v>
      </c>
      <c r="H13598" s="354"/>
      <c r="I13598" s="354" t="s">
        <v>1253</v>
      </c>
      <c r="J13598" s="350" t="s">
        <v>1979</v>
      </c>
      <c r="K13598" s="355"/>
      <c r="L13598" s="355">
        <f>K13597</f>
        <v>62634.530386740327</v>
      </c>
    </row>
    <row r="13599" spans="1:15" ht="11.25" customHeight="1" x14ac:dyDescent="0.2">
      <c r="A13599" s="344">
        <v>2026</v>
      </c>
      <c r="B13599" s="344">
        <v>2</v>
      </c>
      <c r="C13599" s="344">
        <v>22</v>
      </c>
      <c r="D13599" s="345">
        <f t="shared" si="2057"/>
        <v>46075</v>
      </c>
      <c r="E13599" s="346">
        <f t="shared" si="2059"/>
        <v>46075</v>
      </c>
      <c r="F13599" s="518" t="s">
        <v>2009</v>
      </c>
      <c r="G13599" s="347" t="s">
        <v>1245</v>
      </c>
      <c r="H13599" s="348"/>
      <c r="I13599" s="348" t="s">
        <v>1253</v>
      </c>
      <c r="J13599" s="344" t="s">
        <v>2004</v>
      </c>
      <c r="K13599" s="349">
        <v>21296.704285714291</v>
      </c>
      <c r="L13599" s="349"/>
      <c r="M13599" s="455"/>
    </row>
    <row r="13600" spans="1:15" ht="11.25" customHeight="1" x14ac:dyDescent="0.2">
      <c r="A13600" s="350">
        <v>2026</v>
      </c>
      <c r="B13600" s="350">
        <v>2</v>
      </c>
      <c r="C13600" s="350">
        <v>22</v>
      </c>
      <c r="D13600" s="351">
        <f t="shared" si="2057"/>
        <v>46075</v>
      </c>
      <c r="E13600" s="352">
        <f t="shared" si="2059"/>
        <v>46075</v>
      </c>
      <c r="F13600" s="519"/>
      <c r="G13600" s="353" t="s">
        <v>1245</v>
      </c>
      <c r="H13600" s="354"/>
      <c r="I13600" s="354" t="s">
        <v>1253</v>
      </c>
      <c r="J13600" s="350" t="s">
        <v>2008</v>
      </c>
      <c r="K13600" s="355"/>
      <c r="L13600" s="355">
        <f t="shared" ref="L13600" si="2060">K13599</f>
        <v>21296.704285714291</v>
      </c>
    </row>
    <row r="13601" spans="1:16" ht="11.25" customHeight="1" x14ac:dyDescent="0.2">
      <c r="A13601" s="344">
        <v>2026</v>
      </c>
      <c r="B13601" s="344">
        <v>2</v>
      </c>
      <c r="C13601" s="344">
        <v>22</v>
      </c>
      <c r="D13601" s="345">
        <f t="shared" si="2057"/>
        <v>46075</v>
      </c>
      <c r="E13601" s="346">
        <f t="shared" si="2059"/>
        <v>46075</v>
      </c>
      <c r="F13601" s="518" t="s">
        <v>2009</v>
      </c>
      <c r="G13601" s="347" t="s">
        <v>1245</v>
      </c>
      <c r="H13601" s="348"/>
      <c r="I13601" s="348" t="s">
        <v>1253</v>
      </c>
      <c r="J13601" s="344" t="s">
        <v>2004</v>
      </c>
      <c r="K13601" s="349">
        <v>21296.704285714291</v>
      </c>
      <c r="L13601" s="349"/>
      <c r="M13601" s="455"/>
    </row>
    <row r="13602" spans="1:16" ht="11.25" customHeight="1" x14ac:dyDescent="0.2">
      <c r="A13602" s="350">
        <v>2026</v>
      </c>
      <c r="B13602" s="350">
        <v>2</v>
      </c>
      <c r="C13602" s="350">
        <v>22</v>
      </c>
      <c r="D13602" s="351">
        <f t="shared" si="2057"/>
        <v>46075</v>
      </c>
      <c r="E13602" s="352">
        <f t="shared" si="2059"/>
        <v>46075</v>
      </c>
      <c r="F13602" s="519"/>
      <c r="G13602" s="353" t="s">
        <v>1245</v>
      </c>
      <c r="H13602" s="354"/>
      <c r="I13602" s="354" t="s">
        <v>1253</v>
      </c>
      <c r="J13602" s="350" t="s">
        <v>2008</v>
      </c>
      <c r="K13602" s="355"/>
      <c r="L13602" s="355">
        <f t="shared" ref="L13602" si="2061">K13601</f>
        <v>21296.704285714291</v>
      </c>
    </row>
    <row r="13603" spans="1:16" ht="11.25" customHeight="1" x14ac:dyDescent="0.2">
      <c r="A13603" s="344">
        <v>2026</v>
      </c>
      <c r="B13603" s="344">
        <v>2</v>
      </c>
      <c r="C13603" s="344">
        <v>22</v>
      </c>
      <c r="D13603" s="345">
        <f t="shared" si="2057"/>
        <v>46075</v>
      </c>
      <c r="E13603" s="346">
        <f t="shared" si="2059"/>
        <v>46075</v>
      </c>
      <c r="F13603" s="518" t="s">
        <v>2088</v>
      </c>
      <c r="G13603" s="347" t="s">
        <v>1245</v>
      </c>
      <c r="H13603" s="348"/>
      <c r="I13603" s="348" t="s">
        <v>1253</v>
      </c>
      <c r="J13603" s="344" t="s">
        <v>2086</v>
      </c>
      <c r="K13603" s="349">
        <v>5369.5054945054799</v>
      </c>
      <c r="L13603" s="349"/>
      <c r="M13603" s="455"/>
    </row>
    <row r="13604" spans="1:16" ht="11.25" customHeight="1" x14ac:dyDescent="0.2">
      <c r="A13604" s="350">
        <v>2026</v>
      </c>
      <c r="B13604" s="350">
        <v>2</v>
      </c>
      <c r="C13604" s="350">
        <v>22</v>
      </c>
      <c r="D13604" s="351">
        <f t="shared" si="2057"/>
        <v>46075</v>
      </c>
      <c r="E13604" s="352">
        <f t="shared" si="2059"/>
        <v>46075</v>
      </c>
      <c r="F13604" s="519"/>
      <c r="G13604" s="353" t="s">
        <v>1245</v>
      </c>
      <c r="H13604" s="354"/>
      <c r="I13604" s="354" t="s">
        <v>1253</v>
      </c>
      <c r="J13604" s="350" t="s">
        <v>2089</v>
      </c>
      <c r="K13604" s="355"/>
      <c r="L13604" s="355">
        <f>K13603</f>
        <v>5369.5054945054799</v>
      </c>
    </row>
    <row r="13605" spans="1:16" ht="11.25" customHeight="1" x14ac:dyDescent="0.2">
      <c r="A13605" s="344">
        <v>2026</v>
      </c>
      <c r="B13605" s="344">
        <v>2</v>
      </c>
      <c r="C13605" s="344">
        <v>22</v>
      </c>
      <c r="D13605" s="345">
        <f t="shared" si="2057"/>
        <v>46075</v>
      </c>
      <c r="E13605" s="346">
        <f>DATE(A13605,B13605,C13605)</f>
        <v>46075</v>
      </c>
      <c r="F13605" s="518" t="s">
        <v>1988</v>
      </c>
      <c r="G13605" s="347" t="s">
        <v>1245</v>
      </c>
      <c r="H13605" s="348"/>
      <c r="I13605" s="348" t="s">
        <v>1253</v>
      </c>
      <c r="J13605" s="344" t="s">
        <v>113</v>
      </c>
      <c r="K13605" s="349">
        <v>14076.921428571421</v>
      </c>
      <c r="L13605" s="349"/>
      <c r="M13605" s="455"/>
    </row>
    <row r="13606" spans="1:16" ht="11.25" customHeight="1" x14ac:dyDescent="0.2">
      <c r="A13606" s="350">
        <v>2026</v>
      </c>
      <c r="B13606" s="350">
        <v>2</v>
      </c>
      <c r="C13606" s="350">
        <v>22</v>
      </c>
      <c r="D13606" s="351">
        <f t="shared" si="2057"/>
        <v>46075</v>
      </c>
      <c r="E13606" s="352">
        <f>DATE(A13606,B13606,C13606)</f>
        <v>46075</v>
      </c>
      <c r="F13606" s="519"/>
      <c r="G13606" s="353" t="s">
        <v>1245</v>
      </c>
      <c r="H13606" s="354"/>
      <c r="I13606" s="354" t="s">
        <v>1253</v>
      </c>
      <c r="J13606" s="350" t="s">
        <v>153</v>
      </c>
      <c r="K13606" s="355"/>
      <c r="L13606" s="355">
        <f t="shared" ref="L13606" si="2062">K13605</f>
        <v>14076.921428571421</v>
      </c>
    </row>
    <row r="13607" spans="1:16" ht="11.25" customHeight="1" x14ac:dyDescent="0.2">
      <c r="A13607" s="344">
        <v>2026</v>
      </c>
      <c r="B13607" s="344">
        <v>2</v>
      </c>
      <c r="C13607" s="344">
        <v>22</v>
      </c>
      <c r="D13607" s="345">
        <f t="shared" si="2057"/>
        <v>46075</v>
      </c>
      <c r="E13607" s="346">
        <f t="shared" ref="E13607:E13613" si="2063">DATE(A13607,B13607,C13607)</f>
        <v>46075</v>
      </c>
      <c r="F13607" s="518" t="s">
        <v>1989</v>
      </c>
      <c r="G13607" s="347" t="s">
        <v>1245</v>
      </c>
      <c r="H13607" s="348"/>
      <c r="I13607" s="348" t="s">
        <v>1253</v>
      </c>
      <c r="J13607" s="344" t="s">
        <v>113</v>
      </c>
      <c r="K13607" s="349">
        <v>10054.94505494505</v>
      </c>
      <c r="L13607" s="349"/>
      <c r="M13607" s="455"/>
    </row>
    <row r="13608" spans="1:16" ht="11.25" customHeight="1" x14ac:dyDescent="0.2">
      <c r="A13608" s="350">
        <v>2026</v>
      </c>
      <c r="B13608" s="350">
        <v>2</v>
      </c>
      <c r="C13608" s="350">
        <v>22</v>
      </c>
      <c r="D13608" s="351">
        <f t="shared" si="2057"/>
        <v>46075</v>
      </c>
      <c r="E13608" s="352">
        <f t="shared" si="2063"/>
        <v>46075</v>
      </c>
      <c r="F13608" s="519"/>
      <c r="G13608" s="353" t="s">
        <v>1245</v>
      </c>
      <c r="H13608" s="354"/>
      <c r="I13608" s="354" t="s">
        <v>1253</v>
      </c>
      <c r="J13608" s="350" t="s">
        <v>153</v>
      </c>
      <c r="K13608" s="355"/>
      <c r="L13608" s="355">
        <f t="shared" ref="L13608" si="2064">K13607</f>
        <v>10054.94505494505</v>
      </c>
    </row>
    <row r="13609" spans="1:16" ht="11.25" customHeight="1" x14ac:dyDescent="0.2">
      <c r="A13609" s="344">
        <v>2026</v>
      </c>
      <c r="B13609" s="344">
        <v>2</v>
      </c>
      <c r="C13609" s="344">
        <v>22</v>
      </c>
      <c r="D13609" s="345">
        <f t="shared" si="2057"/>
        <v>46075</v>
      </c>
      <c r="E13609" s="346">
        <f t="shared" si="2063"/>
        <v>46075</v>
      </c>
      <c r="F13609" s="518" t="s">
        <v>1990</v>
      </c>
      <c r="G13609" s="347" t="s">
        <v>1245</v>
      </c>
      <c r="H13609" s="348"/>
      <c r="I13609" s="348" t="s">
        <v>1253</v>
      </c>
      <c r="J13609" s="344" t="s">
        <v>113</v>
      </c>
      <c r="K13609" s="349">
        <v>30164.837142857104</v>
      </c>
      <c r="L13609" s="349"/>
      <c r="M13609" s="455"/>
      <c r="N13609" s="251"/>
      <c r="O13609" s="251"/>
      <c r="P13609" s="251"/>
    </row>
    <row r="13610" spans="1:16" ht="11.25" customHeight="1" x14ac:dyDescent="0.2">
      <c r="A13610" s="350">
        <v>2026</v>
      </c>
      <c r="B13610" s="350">
        <v>2</v>
      </c>
      <c r="C13610" s="350">
        <v>22</v>
      </c>
      <c r="D13610" s="351">
        <f t="shared" si="2057"/>
        <v>46075</v>
      </c>
      <c r="E13610" s="352">
        <f t="shared" si="2063"/>
        <v>46075</v>
      </c>
      <c r="F13610" s="519"/>
      <c r="G13610" s="353" t="s">
        <v>1245</v>
      </c>
      <c r="H13610" s="354"/>
      <c r="I13610" s="354" t="s">
        <v>1253</v>
      </c>
      <c r="J13610" s="350" t="s">
        <v>153</v>
      </c>
      <c r="K13610" s="355"/>
      <c r="L13610" s="355">
        <f t="shared" ref="L13610" si="2065">K13609</f>
        <v>30164.837142857104</v>
      </c>
      <c r="M13610" s="455"/>
    </row>
    <row r="13611" spans="1:16" ht="11.25" customHeight="1" x14ac:dyDescent="0.2">
      <c r="A13611" s="344">
        <v>2026</v>
      </c>
      <c r="B13611" s="344">
        <v>2</v>
      </c>
      <c r="C13611" s="344">
        <v>22</v>
      </c>
      <c r="D13611" s="345">
        <f t="shared" si="2057"/>
        <v>46075</v>
      </c>
      <c r="E13611" s="346">
        <f t="shared" si="2063"/>
        <v>46075</v>
      </c>
      <c r="F13611" s="518" t="s">
        <v>2107</v>
      </c>
      <c r="G13611" s="347" t="s">
        <v>1245</v>
      </c>
      <c r="H13611" s="348"/>
      <c r="I13611" s="348" t="s">
        <v>1253</v>
      </c>
      <c r="J13611" s="344" t="s">
        <v>113</v>
      </c>
      <c r="K13611" s="349">
        <v>37112.637362637302</v>
      </c>
      <c r="L13611" s="349"/>
      <c r="M13611" s="455"/>
      <c r="N13611" s="251"/>
      <c r="O13611" s="251"/>
      <c r="P13611" s="251"/>
    </row>
    <row r="13612" spans="1:16" ht="11.25" customHeight="1" x14ac:dyDescent="0.2">
      <c r="A13612" s="350">
        <v>2026</v>
      </c>
      <c r="B13612" s="350">
        <v>2</v>
      </c>
      <c r="C13612" s="350">
        <v>22</v>
      </c>
      <c r="D13612" s="351">
        <f t="shared" si="2057"/>
        <v>46075</v>
      </c>
      <c r="E13612" s="352">
        <f t="shared" si="2063"/>
        <v>46075</v>
      </c>
      <c r="F13612" s="519"/>
      <c r="G13612" s="353" t="s">
        <v>1245</v>
      </c>
      <c r="H13612" s="354"/>
      <c r="I13612" s="354" t="s">
        <v>1253</v>
      </c>
      <c r="J13612" s="350" t="s">
        <v>153</v>
      </c>
      <c r="K13612" s="355"/>
      <c r="L13612" s="355">
        <f t="shared" ref="L13612" si="2066">K13611</f>
        <v>37112.637362637302</v>
      </c>
    </row>
    <row r="13613" spans="1:16" ht="11.25" customHeight="1" x14ac:dyDescent="0.2">
      <c r="A13613" s="210">
        <v>2026</v>
      </c>
      <c r="B13613" s="210">
        <v>2</v>
      </c>
      <c r="C13613" s="210">
        <v>22</v>
      </c>
      <c r="D13613" s="211">
        <f t="shared" si="2057"/>
        <v>46075</v>
      </c>
      <c r="E13613" s="238">
        <f t="shared" si="2063"/>
        <v>46075</v>
      </c>
      <c r="F13613" s="520" t="s">
        <v>1857</v>
      </c>
      <c r="G13613" s="213" t="s">
        <v>1245</v>
      </c>
      <c r="H13613" s="214"/>
      <c r="I13613" s="214" t="s">
        <v>1253</v>
      </c>
      <c r="J13613" s="210" t="s">
        <v>1284</v>
      </c>
      <c r="K13613" s="215">
        <v>1003.633463310882</v>
      </c>
      <c r="L13613" s="215"/>
      <c r="M13613" s="455"/>
    </row>
    <row r="13614" spans="1:16" ht="11.25" customHeight="1" x14ac:dyDescent="0.2">
      <c r="A13614" s="242">
        <v>2026</v>
      </c>
      <c r="B13614" s="242">
        <v>2</v>
      </c>
      <c r="C13614" s="242">
        <v>22</v>
      </c>
      <c r="D13614" s="243">
        <f t="shared" si="2057"/>
        <v>46075</v>
      </c>
      <c r="E13614" s="244">
        <f>DATE(A13614,B13614,C13614)</f>
        <v>46075</v>
      </c>
      <c r="F13614" s="524"/>
      <c r="G13614" s="245" t="s">
        <v>1245</v>
      </c>
      <c r="H13614" s="246"/>
      <c r="I13614" s="246"/>
      <c r="J13614" s="242" t="s">
        <v>1582</v>
      </c>
      <c r="K13614" s="247"/>
      <c r="L13614" s="247">
        <f>K13613</f>
        <v>1003.633463310882</v>
      </c>
    </row>
    <row r="13615" spans="1:16" ht="11.25" customHeight="1" x14ac:dyDescent="0.2">
      <c r="A13615" s="210">
        <v>2026</v>
      </c>
      <c r="B13615" s="210">
        <v>2</v>
      </c>
      <c r="C13615" s="210">
        <v>22</v>
      </c>
      <c r="D13615" s="211">
        <f t="shared" si="2057"/>
        <v>46075</v>
      </c>
      <c r="E13615" s="238">
        <f t="shared" ref="E13615:E13641" si="2067">DATE(A13615,B13615,C13615)</f>
        <v>46075</v>
      </c>
      <c r="F13615" s="520" t="s">
        <v>2055</v>
      </c>
      <c r="G13615" s="213" t="s">
        <v>1245</v>
      </c>
      <c r="H13615" s="214"/>
      <c r="I13615" s="214" t="s">
        <v>1253</v>
      </c>
      <c r="J13615" s="210" t="s">
        <v>58</v>
      </c>
      <c r="K13615" s="215">
        <v>6538.14</v>
      </c>
      <c r="L13615" s="215"/>
    </row>
    <row r="13616" spans="1:16" ht="11.25" customHeight="1" x14ac:dyDescent="0.2">
      <c r="A13616" s="216">
        <v>2026</v>
      </c>
      <c r="B13616" s="216">
        <v>2</v>
      </c>
      <c r="C13616" s="216">
        <v>22</v>
      </c>
      <c r="D13616" s="217">
        <f t="shared" si="2057"/>
        <v>46075</v>
      </c>
      <c r="E13616" s="239">
        <f t="shared" si="2067"/>
        <v>46075</v>
      </c>
      <c r="F13616" s="521"/>
      <c r="G13616" s="219" t="s">
        <v>1245</v>
      </c>
      <c r="H13616" s="220"/>
      <c r="I13616" s="220" t="s">
        <v>1253</v>
      </c>
      <c r="J13616" s="216" t="s">
        <v>153</v>
      </c>
      <c r="K13616" s="221"/>
      <c r="L13616" s="221">
        <f>K13615</f>
        <v>6538.14</v>
      </c>
    </row>
    <row r="13617" spans="1:15" ht="11.25" customHeight="1" x14ac:dyDescent="0.2">
      <c r="A13617" s="312">
        <v>2026</v>
      </c>
      <c r="B13617" s="312">
        <v>2</v>
      </c>
      <c r="C13617" s="312">
        <v>22</v>
      </c>
      <c r="D13617" s="313">
        <f t="shared" si="2057"/>
        <v>46075</v>
      </c>
      <c r="E13617" s="314">
        <f t="shared" si="2067"/>
        <v>46075</v>
      </c>
      <c r="F13617" s="522" t="s">
        <v>1595</v>
      </c>
      <c r="G13617" s="315" t="s">
        <v>1245</v>
      </c>
      <c r="H13617" s="316"/>
      <c r="I13617" s="316" t="s">
        <v>1253</v>
      </c>
      <c r="J13617" s="312" t="s">
        <v>1461</v>
      </c>
      <c r="K13617" s="317">
        <v>120997.43500000238</v>
      </c>
      <c r="L13617" s="317"/>
      <c r="M13617" s="328"/>
    </row>
    <row r="13618" spans="1:15" ht="11.25" customHeight="1" x14ac:dyDescent="0.2">
      <c r="A13618" s="318">
        <v>2026</v>
      </c>
      <c r="B13618" s="318">
        <v>2</v>
      </c>
      <c r="C13618" s="318">
        <v>22</v>
      </c>
      <c r="D13618" s="319">
        <f t="shared" si="2057"/>
        <v>46075</v>
      </c>
      <c r="E13618" s="320">
        <f t="shared" si="2067"/>
        <v>46075</v>
      </c>
      <c r="F13618" s="523"/>
      <c r="G13618" s="321" t="s">
        <v>1245</v>
      </c>
      <c r="H13618" s="322"/>
      <c r="I13618" s="322" t="s">
        <v>1253</v>
      </c>
      <c r="J13618" s="318" t="s">
        <v>1459</v>
      </c>
      <c r="K13618" s="323"/>
      <c r="L13618" s="323">
        <f>K13617</f>
        <v>120997.43500000238</v>
      </c>
      <c r="M13618" s="328"/>
    </row>
    <row r="13619" spans="1:15" ht="11.25" customHeight="1" x14ac:dyDescent="0.2">
      <c r="A13619" s="222">
        <v>2026</v>
      </c>
      <c r="B13619" s="222">
        <v>2</v>
      </c>
      <c r="C13619" s="222">
        <v>22</v>
      </c>
      <c r="D13619" s="223">
        <f t="shared" si="2057"/>
        <v>46075</v>
      </c>
      <c r="E13619" s="240">
        <f t="shared" si="2067"/>
        <v>46075</v>
      </c>
      <c r="F13619" s="511" t="s">
        <v>1244</v>
      </c>
      <c r="G13619" s="225" t="s">
        <v>1245</v>
      </c>
      <c r="H13619" s="226"/>
      <c r="I13619" s="226" t="s">
        <v>1253</v>
      </c>
      <c r="J13619" s="222" t="s">
        <v>87</v>
      </c>
      <c r="K13619" s="227">
        <v>5210.5</v>
      </c>
      <c r="L13619" s="227"/>
      <c r="M13619" s="328"/>
    </row>
    <row r="13620" spans="1:15" ht="11.25" customHeight="1" x14ac:dyDescent="0.2">
      <c r="A13620" s="228">
        <v>2026</v>
      </c>
      <c r="B13620" s="228">
        <v>2</v>
      </c>
      <c r="C13620" s="228">
        <v>22</v>
      </c>
      <c r="D13620" s="229">
        <f t="shared" si="2057"/>
        <v>46075</v>
      </c>
      <c r="E13620" s="241">
        <f t="shared" si="2067"/>
        <v>46075</v>
      </c>
      <c r="F13620" s="512"/>
      <c r="G13620" s="231" t="s">
        <v>1245</v>
      </c>
      <c r="H13620" s="232"/>
      <c r="I13620" s="232" t="s">
        <v>1253</v>
      </c>
      <c r="J13620" s="228" t="s">
        <v>72</v>
      </c>
      <c r="K13620" s="233"/>
      <c r="L13620" s="233">
        <f>K13619</f>
        <v>5210.5</v>
      </c>
    </row>
    <row r="13621" spans="1:15" ht="11.25" customHeight="1" x14ac:dyDescent="0.2">
      <c r="A13621" s="222">
        <v>2026</v>
      </c>
      <c r="B13621" s="222">
        <v>2</v>
      </c>
      <c r="C13621" s="222">
        <v>22</v>
      </c>
      <c r="D13621" s="223">
        <f t="shared" si="2057"/>
        <v>46075</v>
      </c>
      <c r="E13621" s="240">
        <f t="shared" si="2067"/>
        <v>46075</v>
      </c>
      <c r="F13621" s="511" t="s">
        <v>2138</v>
      </c>
      <c r="G13621" s="225" t="s">
        <v>1245</v>
      </c>
      <c r="H13621" s="226"/>
      <c r="I13621" s="226" t="s">
        <v>1253</v>
      </c>
      <c r="J13621" s="222" t="s">
        <v>75</v>
      </c>
      <c r="K13621" s="227">
        <v>1552.767362637363</v>
      </c>
      <c r="L13621" s="227"/>
      <c r="M13621" s="455"/>
    </row>
    <row r="13622" spans="1:15" ht="11.25" customHeight="1" x14ac:dyDescent="0.2">
      <c r="A13622" s="228">
        <v>2026</v>
      </c>
      <c r="B13622" s="228">
        <v>2</v>
      </c>
      <c r="C13622" s="228">
        <v>22</v>
      </c>
      <c r="D13622" s="229">
        <f t="shared" si="2057"/>
        <v>46075</v>
      </c>
      <c r="E13622" s="241">
        <f t="shared" si="2067"/>
        <v>46075</v>
      </c>
      <c r="F13622" s="512"/>
      <c r="G13622" s="231" t="s">
        <v>1245</v>
      </c>
      <c r="H13622" s="232"/>
      <c r="I13622" s="232" t="s">
        <v>1253</v>
      </c>
      <c r="J13622" s="228" t="s">
        <v>55</v>
      </c>
      <c r="K13622" s="233"/>
      <c r="L13622" s="233">
        <f>K13621</f>
        <v>1552.767362637363</v>
      </c>
    </row>
    <row r="13623" spans="1:15" ht="11.25" customHeight="1" x14ac:dyDescent="0.2">
      <c r="A13623" s="222">
        <v>2026</v>
      </c>
      <c r="B13623" s="222">
        <v>2</v>
      </c>
      <c r="C13623" s="222">
        <v>22</v>
      </c>
      <c r="D13623" s="223">
        <f t="shared" si="2057"/>
        <v>46075</v>
      </c>
      <c r="E13623" s="240">
        <f t="shared" si="2067"/>
        <v>46075</v>
      </c>
      <c r="F13623" s="511" t="s">
        <v>2137</v>
      </c>
      <c r="G13623" s="225" t="s">
        <v>1245</v>
      </c>
      <c r="H13623" s="226"/>
      <c r="I13623" s="226" t="s">
        <v>1253</v>
      </c>
      <c r="J13623" s="222" t="s">
        <v>77</v>
      </c>
      <c r="K13623" s="227">
        <v>22315.506225023833</v>
      </c>
      <c r="L13623" s="227"/>
      <c r="M13623" s="478"/>
    </row>
    <row r="13624" spans="1:15" ht="11.25" customHeight="1" x14ac:dyDescent="0.2">
      <c r="A13624" s="228">
        <v>2026</v>
      </c>
      <c r="B13624" s="228">
        <v>2</v>
      </c>
      <c r="C13624" s="228">
        <v>22</v>
      </c>
      <c r="D13624" s="229">
        <f t="shared" si="2057"/>
        <v>46075</v>
      </c>
      <c r="E13624" s="241">
        <f t="shared" si="2067"/>
        <v>46075</v>
      </c>
      <c r="F13624" s="512"/>
      <c r="G13624" s="231" t="s">
        <v>1245</v>
      </c>
      <c r="H13624" s="232"/>
      <c r="I13624" s="232" t="s">
        <v>1253</v>
      </c>
      <c r="J13624" s="228" t="s">
        <v>41</v>
      </c>
      <c r="K13624" s="233"/>
      <c r="L13624" s="233">
        <f>K13623</f>
        <v>22315.506225023833</v>
      </c>
      <c r="M13624" s="478"/>
      <c r="N13624" s="251"/>
    </row>
    <row r="13625" spans="1:15" ht="11.25" customHeight="1" x14ac:dyDescent="0.2">
      <c r="A13625" s="222">
        <v>2026</v>
      </c>
      <c r="B13625" s="222">
        <v>2</v>
      </c>
      <c r="C13625" s="222">
        <v>22</v>
      </c>
      <c r="D13625" s="223">
        <f t="shared" si="2057"/>
        <v>46075</v>
      </c>
      <c r="E13625" s="240">
        <f t="shared" si="2067"/>
        <v>46075</v>
      </c>
      <c r="F13625" s="511" t="s">
        <v>2136</v>
      </c>
      <c r="G13625" s="225" t="s">
        <v>1245</v>
      </c>
      <c r="H13625" s="226"/>
      <c r="I13625" s="226" t="s">
        <v>1253</v>
      </c>
      <c r="J13625" s="222" t="s">
        <v>80</v>
      </c>
      <c r="K13625" s="227">
        <v>2231.5506225023832</v>
      </c>
      <c r="L13625" s="227"/>
      <c r="M13625" s="328"/>
      <c r="N13625" s="251"/>
      <c r="O13625" s="251"/>
    </row>
    <row r="13626" spans="1:15" ht="11.25" customHeight="1" x14ac:dyDescent="0.2">
      <c r="A13626" s="228">
        <v>2026</v>
      </c>
      <c r="B13626" s="228">
        <v>2</v>
      </c>
      <c r="C13626" s="228">
        <v>22</v>
      </c>
      <c r="D13626" s="229">
        <f t="shared" si="2057"/>
        <v>46075</v>
      </c>
      <c r="E13626" s="241">
        <f t="shared" si="2067"/>
        <v>46075</v>
      </c>
      <c r="F13626" s="512"/>
      <c r="G13626" s="231" t="s">
        <v>1245</v>
      </c>
      <c r="H13626" s="232"/>
      <c r="I13626" s="232" t="s">
        <v>1253</v>
      </c>
      <c r="J13626" s="228" t="s">
        <v>42</v>
      </c>
      <c r="K13626" s="233"/>
      <c r="L13626" s="233">
        <f>K13625</f>
        <v>2231.5506225023832</v>
      </c>
      <c r="N13626" s="251"/>
    </row>
    <row r="13627" spans="1:15" x14ac:dyDescent="0.2">
      <c r="A13627" s="197">
        <v>2026</v>
      </c>
      <c r="B13627" s="197">
        <v>2</v>
      </c>
      <c r="C13627" s="197">
        <v>23</v>
      </c>
      <c r="D13627" s="198">
        <f t="shared" si="2057"/>
        <v>46076</v>
      </c>
      <c r="E13627" s="209">
        <f t="shared" si="2067"/>
        <v>46076</v>
      </c>
      <c r="F13627" s="513" t="s">
        <v>1210</v>
      </c>
      <c r="G13627" s="200" t="s">
        <v>1209</v>
      </c>
      <c r="H13627" s="201"/>
      <c r="I13627" s="201"/>
      <c r="J13627" s="197" t="s">
        <v>46</v>
      </c>
      <c r="K13627" s="202">
        <v>800000</v>
      </c>
      <c r="L13627" s="202"/>
    </row>
    <row r="13628" spans="1:15" x14ac:dyDescent="0.2">
      <c r="A13628" s="120">
        <v>2026</v>
      </c>
      <c r="B13628" s="120">
        <v>2</v>
      </c>
      <c r="C13628" s="120">
        <v>23</v>
      </c>
      <c r="D13628" s="208">
        <f t="shared" si="2057"/>
        <v>46076</v>
      </c>
      <c r="E13628" s="209">
        <f t="shared" si="2067"/>
        <v>46076</v>
      </c>
      <c r="F13628" s="515"/>
      <c r="G13628" s="132" t="s">
        <v>1209</v>
      </c>
      <c r="J13628" s="120" t="s">
        <v>16</v>
      </c>
      <c r="K13628" s="207"/>
      <c r="L13628" s="207">
        <v>568550</v>
      </c>
    </row>
    <row r="13629" spans="1:15" x14ac:dyDescent="0.2">
      <c r="A13629" s="191">
        <v>2026</v>
      </c>
      <c r="B13629" s="191">
        <v>2</v>
      </c>
      <c r="C13629" s="191">
        <v>23</v>
      </c>
      <c r="D13629" s="192">
        <f t="shared" si="2057"/>
        <v>46076</v>
      </c>
      <c r="E13629" s="193">
        <f t="shared" si="2067"/>
        <v>46076</v>
      </c>
      <c r="F13629" s="514"/>
      <c r="G13629" s="194" t="s">
        <v>1209</v>
      </c>
      <c r="H13629" s="195"/>
      <c r="I13629" s="195"/>
      <c r="J13629" s="191" t="s">
        <v>47</v>
      </c>
      <c r="K13629" s="196"/>
      <c r="L13629" s="196">
        <v>231450</v>
      </c>
    </row>
    <row r="13630" spans="1:15" x14ac:dyDescent="0.2">
      <c r="A13630" s="424">
        <v>2026</v>
      </c>
      <c r="B13630" s="424">
        <v>2</v>
      </c>
      <c r="C13630" s="424">
        <v>23</v>
      </c>
      <c r="D13630" s="425">
        <f t="shared" si="2057"/>
        <v>46076</v>
      </c>
      <c r="E13630" s="384">
        <f t="shared" si="2067"/>
        <v>46076</v>
      </c>
      <c r="F13630" s="516" t="s">
        <v>1850</v>
      </c>
      <c r="G13630" s="426" t="s">
        <v>1209</v>
      </c>
      <c r="H13630" s="427"/>
      <c r="I13630" s="427"/>
      <c r="J13630" s="428" t="s">
        <v>81</v>
      </c>
      <c r="K13630" s="429">
        <v>1595.81736263736</v>
      </c>
      <c r="L13630" s="429"/>
      <c r="M13630" s="455"/>
    </row>
    <row r="13631" spans="1:15" x14ac:dyDescent="0.2">
      <c r="A13631" s="389">
        <v>2026</v>
      </c>
      <c r="B13631" s="389">
        <v>2</v>
      </c>
      <c r="C13631" s="389">
        <v>23</v>
      </c>
      <c r="D13631" s="390">
        <f t="shared" si="2057"/>
        <v>46076</v>
      </c>
      <c r="E13631" s="391">
        <f t="shared" si="2067"/>
        <v>46076</v>
      </c>
      <c r="F13631" s="517"/>
      <c r="G13631" s="392" t="s">
        <v>1209</v>
      </c>
      <c r="H13631" s="393"/>
      <c r="I13631" s="393"/>
      <c r="J13631" s="394" t="s">
        <v>1847</v>
      </c>
      <c r="K13631" s="423"/>
      <c r="L13631" s="423">
        <f>K13630</f>
        <v>1595.81736263736</v>
      </c>
    </row>
    <row r="13632" spans="1:15" ht="11.25" customHeight="1" x14ac:dyDescent="0.2">
      <c r="A13632" s="382">
        <v>2026</v>
      </c>
      <c r="B13632" s="382">
        <v>2</v>
      </c>
      <c r="C13632" s="382">
        <v>23</v>
      </c>
      <c r="D13632" s="383">
        <f t="shared" si="2057"/>
        <v>46076</v>
      </c>
      <c r="E13632" s="384">
        <f t="shared" si="2067"/>
        <v>46076</v>
      </c>
      <c r="F13632" s="516" t="s">
        <v>1892</v>
      </c>
      <c r="G13632" s="385" t="s">
        <v>1209</v>
      </c>
      <c r="H13632" s="386"/>
      <c r="I13632" s="386"/>
      <c r="J13632" s="387" t="s">
        <v>173</v>
      </c>
      <c r="K13632" s="388">
        <v>586.63224050833333</v>
      </c>
      <c r="L13632" s="388"/>
      <c r="M13632" s="455"/>
    </row>
    <row r="13633" spans="1:16" ht="11.25" customHeight="1" x14ac:dyDescent="0.2">
      <c r="A13633" s="389">
        <v>2026</v>
      </c>
      <c r="B13633" s="389">
        <v>2</v>
      </c>
      <c r="C13633" s="389">
        <v>23</v>
      </c>
      <c r="D13633" s="390">
        <f t="shared" si="2057"/>
        <v>46076</v>
      </c>
      <c r="E13633" s="391">
        <f t="shared" si="2067"/>
        <v>46076</v>
      </c>
      <c r="F13633" s="517"/>
      <c r="G13633" s="392" t="s">
        <v>1209</v>
      </c>
      <c r="H13633" s="393"/>
      <c r="I13633" s="393"/>
      <c r="J13633" s="394" t="s">
        <v>43</v>
      </c>
      <c r="K13633" s="388"/>
      <c r="L13633" s="423">
        <f>K13632</f>
        <v>586.63224050833333</v>
      </c>
    </row>
    <row r="13634" spans="1:16" ht="11.25" customHeight="1" x14ac:dyDescent="0.2">
      <c r="A13634" s="344">
        <v>2026</v>
      </c>
      <c r="B13634" s="344">
        <v>2</v>
      </c>
      <c r="C13634" s="344">
        <v>23</v>
      </c>
      <c r="D13634" s="345">
        <f t="shared" si="2057"/>
        <v>46076</v>
      </c>
      <c r="E13634" s="346">
        <f t="shared" si="2067"/>
        <v>46076</v>
      </c>
      <c r="F13634" s="518" t="s">
        <v>1982</v>
      </c>
      <c r="G13634" s="347" t="s">
        <v>1245</v>
      </c>
      <c r="H13634" s="348"/>
      <c r="I13634" s="348" t="s">
        <v>1253</v>
      </c>
      <c r="J13634" s="344" t="s">
        <v>1978</v>
      </c>
      <c r="K13634" s="349">
        <v>20878.176795580108</v>
      </c>
      <c r="L13634" s="349"/>
      <c r="M13634" s="455"/>
    </row>
    <row r="13635" spans="1:16" ht="11.25" customHeight="1" x14ac:dyDescent="0.2">
      <c r="A13635" s="350">
        <v>2026</v>
      </c>
      <c r="B13635" s="350">
        <v>2</v>
      </c>
      <c r="C13635" s="350">
        <v>23</v>
      </c>
      <c r="D13635" s="351">
        <f t="shared" si="2057"/>
        <v>46076</v>
      </c>
      <c r="E13635" s="352">
        <f t="shared" si="2067"/>
        <v>46076</v>
      </c>
      <c r="F13635" s="519"/>
      <c r="G13635" s="353" t="s">
        <v>1245</v>
      </c>
      <c r="H13635" s="354"/>
      <c r="I13635" s="354" t="s">
        <v>1253</v>
      </c>
      <c r="J13635" s="350" t="s">
        <v>1979</v>
      </c>
      <c r="K13635" s="355"/>
      <c r="L13635" s="355">
        <f>K13634</f>
        <v>20878.176795580108</v>
      </c>
    </row>
    <row r="13636" spans="1:16" ht="11.25" customHeight="1" x14ac:dyDescent="0.2">
      <c r="A13636" s="344">
        <v>2026</v>
      </c>
      <c r="B13636" s="344">
        <v>2</v>
      </c>
      <c r="C13636" s="344">
        <v>23</v>
      </c>
      <c r="D13636" s="345">
        <f t="shared" si="2057"/>
        <v>46076</v>
      </c>
      <c r="E13636" s="346">
        <f t="shared" si="2067"/>
        <v>46076</v>
      </c>
      <c r="F13636" s="518" t="s">
        <v>2009</v>
      </c>
      <c r="G13636" s="347" t="s">
        <v>1245</v>
      </c>
      <c r="H13636" s="348"/>
      <c r="I13636" s="348" t="s">
        <v>1253</v>
      </c>
      <c r="J13636" s="344" t="s">
        <v>2004</v>
      </c>
      <c r="K13636" s="349">
        <v>7098.9014285714302</v>
      </c>
      <c r="L13636" s="349"/>
      <c r="M13636" s="455"/>
    </row>
    <row r="13637" spans="1:16" ht="11.25" customHeight="1" x14ac:dyDescent="0.2">
      <c r="A13637" s="350">
        <v>2026</v>
      </c>
      <c r="B13637" s="350">
        <v>2</v>
      </c>
      <c r="C13637" s="350">
        <v>23</v>
      </c>
      <c r="D13637" s="351">
        <f t="shared" si="2057"/>
        <v>46076</v>
      </c>
      <c r="E13637" s="352">
        <f t="shared" si="2067"/>
        <v>46076</v>
      </c>
      <c r="F13637" s="519"/>
      <c r="G13637" s="353" t="s">
        <v>1245</v>
      </c>
      <c r="H13637" s="354"/>
      <c r="I13637" s="354" t="s">
        <v>1253</v>
      </c>
      <c r="J13637" s="350" t="s">
        <v>2008</v>
      </c>
      <c r="K13637" s="355"/>
      <c r="L13637" s="355">
        <f t="shared" ref="L13637" si="2068">K13636</f>
        <v>7098.9014285714302</v>
      </c>
    </row>
    <row r="13638" spans="1:16" ht="11.25" customHeight="1" x14ac:dyDescent="0.2">
      <c r="A13638" s="344">
        <v>2026</v>
      </c>
      <c r="B13638" s="344">
        <v>2</v>
      </c>
      <c r="C13638" s="344">
        <v>23</v>
      </c>
      <c r="D13638" s="345">
        <f t="shared" si="2057"/>
        <v>46076</v>
      </c>
      <c r="E13638" s="346">
        <f t="shared" si="2067"/>
        <v>46076</v>
      </c>
      <c r="F13638" s="518" t="s">
        <v>2009</v>
      </c>
      <c r="G13638" s="347" t="s">
        <v>1245</v>
      </c>
      <c r="H13638" s="348"/>
      <c r="I13638" s="348" t="s">
        <v>1253</v>
      </c>
      <c r="J13638" s="344" t="s">
        <v>2004</v>
      </c>
      <c r="K13638" s="349">
        <v>7098.9014285714302</v>
      </c>
      <c r="L13638" s="349"/>
      <c r="M13638" s="455"/>
    </row>
    <row r="13639" spans="1:16" ht="11.25" customHeight="1" x14ac:dyDescent="0.2">
      <c r="A13639" s="350">
        <v>2026</v>
      </c>
      <c r="B13639" s="350">
        <v>2</v>
      </c>
      <c r="C13639" s="350">
        <v>23</v>
      </c>
      <c r="D13639" s="351">
        <f t="shared" si="2057"/>
        <v>46076</v>
      </c>
      <c r="E13639" s="352">
        <f t="shared" si="2067"/>
        <v>46076</v>
      </c>
      <c r="F13639" s="519"/>
      <c r="G13639" s="353" t="s">
        <v>1245</v>
      </c>
      <c r="H13639" s="354"/>
      <c r="I13639" s="354" t="s">
        <v>1253</v>
      </c>
      <c r="J13639" s="350" t="s">
        <v>2008</v>
      </c>
      <c r="K13639" s="355"/>
      <c r="L13639" s="355">
        <f t="shared" ref="L13639" si="2069">K13638</f>
        <v>7098.9014285714302</v>
      </c>
    </row>
    <row r="13640" spans="1:16" ht="11.25" customHeight="1" x14ac:dyDescent="0.2">
      <c r="A13640" s="344">
        <v>2026</v>
      </c>
      <c r="B13640" s="344">
        <v>2</v>
      </c>
      <c r="C13640" s="344">
        <v>23</v>
      </c>
      <c r="D13640" s="345">
        <f t="shared" si="2057"/>
        <v>46076</v>
      </c>
      <c r="E13640" s="346">
        <f t="shared" si="2067"/>
        <v>46076</v>
      </c>
      <c r="F13640" s="518" t="s">
        <v>2088</v>
      </c>
      <c r="G13640" s="347" t="s">
        <v>1245</v>
      </c>
      <c r="H13640" s="348"/>
      <c r="I13640" s="348" t="s">
        <v>1253</v>
      </c>
      <c r="J13640" s="344" t="s">
        <v>2086</v>
      </c>
      <c r="K13640" s="349">
        <v>1789.83516483516</v>
      </c>
      <c r="L13640" s="349"/>
      <c r="M13640" s="455"/>
    </row>
    <row r="13641" spans="1:16" ht="11.25" customHeight="1" x14ac:dyDescent="0.2">
      <c r="A13641" s="350">
        <v>2026</v>
      </c>
      <c r="B13641" s="350">
        <v>2</v>
      </c>
      <c r="C13641" s="350">
        <v>23</v>
      </c>
      <c r="D13641" s="351">
        <f t="shared" si="2057"/>
        <v>46076</v>
      </c>
      <c r="E13641" s="352">
        <f t="shared" si="2067"/>
        <v>46076</v>
      </c>
      <c r="F13641" s="519"/>
      <c r="G13641" s="353" t="s">
        <v>1245</v>
      </c>
      <c r="H13641" s="354"/>
      <c r="I13641" s="354" t="s">
        <v>1253</v>
      </c>
      <c r="J13641" s="350" t="s">
        <v>2089</v>
      </c>
      <c r="K13641" s="355"/>
      <c r="L13641" s="355">
        <f>K13640</f>
        <v>1789.83516483516</v>
      </c>
    </row>
    <row r="13642" spans="1:16" ht="11.25" customHeight="1" x14ac:dyDescent="0.2">
      <c r="A13642" s="344">
        <v>2026</v>
      </c>
      <c r="B13642" s="344">
        <v>2</v>
      </c>
      <c r="C13642" s="344">
        <v>23</v>
      </c>
      <c r="D13642" s="345">
        <f t="shared" si="2057"/>
        <v>46076</v>
      </c>
      <c r="E13642" s="346">
        <f>DATE(A13642,B13642,C13642)</f>
        <v>46076</v>
      </c>
      <c r="F13642" s="518" t="s">
        <v>1988</v>
      </c>
      <c r="G13642" s="347" t="s">
        <v>1245</v>
      </c>
      <c r="H13642" s="348"/>
      <c r="I13642" s="348" t="s">
        <v>1253</v>
      </c>
      <c r="J13642" s="344" t="s">
        <v>113</v>
      </c>
      <c r="K13642" s="349">
        <v>4692.3071428571402</v>
      </c>
      <c r="L13642" s="349"/>
      <c r="M13642" s="455"/>
    </row>
    <row r="13643" spans="1:16" ht="11.25" customHeight="1" x14ac:dyDescent="0.2">
      <c r="A13643" s="350">
        <v>2026</v>
      </c>
      <c r="B13643" s="350">
        <v>2</v>
      </c>
      <c r="C13643" s="350">
        <v>23</v>
      </c>
      <c r="D13643" s="351">
        <f t="shared" si="2057"/>
        <v>46076</v>
      </c>
      <c r="E13643" s="352">
        <f>DATE(A13643,B13643,C13643)</f>
        <v>46076</v>
      </c>
      <c r="F13643" s="519"/>
      <c r="G13643" s="353" t="s">
        <v>1245</v>
      </c>
      <c r="H13643" s="354"/>
      <c r="I13643" s="354" t="s">
        <v>1253</v>
      </c>
      <c r="J13643" s="350" t="s">
        <v>153</v>
      </c>
      <c r="K13643" s="355"/>
      <c r="L13643" s="355">
        <f t="shared" ref="L13643" si="2070">K13642</f>
        <v>4692.3071428571402</v>
      </c>
    </row>
    <row r="13644" spans="1:16" ht="11.25" customHeight="1" x14ac:dyDescent="0.2">
      <c r="A13644" s="344">
        <v>2026</v>
      </c>
      <c r="B13644" s="344">
        <v>2</v>
      </c>
      <c r="C13644" s="344">
        <v>23</v>
      </c>
      <c r="D13644" s="345">
        <f t="shared" si="2057"/>
        <v>46076</v>
      </c>
      <c r="E13644" s="346">
        <f t="shared" ref="E13644:E13650" si="2071">DATE(A13644,B13644,C13644)</f>
        <v>46076</v>
      </c>
      <c r="F13644" s="518" t="s">
        <v>1989</v>
      </c>
      <c r="G13644" s="347" t="s">
        <v>1245</v>
      </c>
      <c r="H13644" s="348"/>
      <c r="I13644" s="348" t="s">
        <v>1253</v>
      </c>
      <c r="J13644" s="344" t="s">
        <v>113</v>
      </c>
      <c r="K13644" s="349">
        <v>3351.6483516483499</v>
      </c>
      <c r="L13644" s="349"/>
      <c r="M13644" s="455"/>
    </row>
    <row r="13645" spans="1:16" ht="11.25" customHeight="1" x14ac:dyDescent="0.2">
      <c r="A13645" s="350">
        <v>2026</v>
      </c>
      <c r="B13645" s="350">
        <v>2</v>
      </c>
      <c r="C13645" s="350">
        <v>23</v>
      </c>
      <c r="D13645" s="351">
        <f t="shared" si="2057"/>
        <v>46076</v>
      </c>
      <c r="E13645" s="352">
        <f t="shared" si="2071"/>
        <v>46076</v>
      </c>
      <c r="F13645" s="519"/>
      <c r="G13645" s="353" t="s">
        <v>1245</v>
      </c>
      <c r="H13645" s="354"/>
      <c r="I13645" s="354" t="s">
        <v>1253</v>
      </c>
      <c r="J13645" s="350" t="s">
        <v>153</v>
      </c>
      <c r="K13645" s="355"/>
      <c r="L13645" s="355">
        <f t="shared" ref="L13645" si="2072">K13644</f>
        <v>3351.6483516483499</v>
      </c>
    </row>
    <row r="13646" spans="1:16" ht="11.25" customHeight="1" x14ac:dyDescent="0.2">
      <c r="A13646" s="344">
        <v>2026</v>
      </c>
      <c r="B13646" s="344">
        <v>2</v>
      </c>
      <c r="C13646" s="344">
        <v>23</v>
      </c>
      <c r="D13646" s="345">
        <f t="shared" si="2057"/>
        <v>46076</v>
      </c>
      <c r="E13646" s="346">
        <f t="shared" si="2071"/>
        <v>46076</v>
      </c>
      <c r="F13646" s="518" t="s">
        <v>1990</v>
      </c>
      <c r="G13646" s="347" t="s">
        <v>1245</v>
      </c>
      <c r="H13646" s="348"/>
      <c r="I13646" s="348" t="s">
        <v>1253</v>
      </c>
      <c r="J13646" s="344" t="s">
        <v>113</v>
      </c>
      <c r="K13646" s="349">
        <v>10054.945714285701</v>
      </c>
      <c r="L13646" s="349"/>
      <c r="M13646" s="455"/>
      <c r="N13646" s="251"/>
      <c r="O13646" s="251"/>
      <c r="P13646" s="251"/>
    </row>
    <row r="13647" spans="1:16" ht="11.25" customHeight="1" x14ac:dyDescent="0.2">
      <c r="A13647" s="350">
        <v>2026</v>
      </c>
      <c r="B13647" s="350">
        <v>2</v>
      </c>
      <c r="C13647" s="350">
        <v>23</v>
      </c>
      <c r="D13647" s="351">
        <f t="shared" si="2057"/>
        <v>46076</v>
      </c>
      <c r="E13647" s="352">
        <f t="shared" si="2071"/>
        <v>46076</v>
      </c>
      <c r="F13647" s="519"/>
      <c r="G13647" s="353" t="s">
        <v>1245</v>
      </c>
      <c r="H13647" s="354"/>
      <c r="I13647" s="354" t="s">
        <v>1253</v>
      </c>
      <c r="J13647" s="350" t="s">
        <v>153</v>
      </c>
      <c r="K13647" s="355"/>
      <c r="L13647" s="355">
        <f t="shared" ref="L13647" si="2073">K13646</f>
        <v>10054.945714285701</v>
      </c>
      <c r="M13647" s="455"/>
    </row>
    <row r="13648" spans="1:16" ht="11.25" customHeight="1" x14ac:dyDescent="0.2">
      <c r="A13648" s="344">
        <v>2026</v>
      </c>
      <c r="B13648" s="344">
        <v>2</v>
      </c>
      <c r="C13648" s="344">
        <v>23</v>
      </c>
      <c r="D13648" s="345">
        <f t="shared" si="2057"/>
        <v>46076</v>
      </c>
      <c r="E13648" s="346">
        <f t="shared" si="2071"/>
        <v>46076</v>
      </c>
      <c r="F13648" s="518" t="s">
        <v>2107</v>
      </c>
      <c r="G13648" s="347" t="s">
        <v>1245</v>
      </c>
      <c r="H13648" s="348"/>
      <c r="I13648" s="348" t="s">
        <v>1253</v>
      </c>
      <c r="J13648" s="344" t="s">
        <v>113</v>
      </c>
      <c r="K13648" s="349">
        <v>12370.879120879101</v>
      </c>
      <c r="L13648" s="349"/>
      <c r="M13648" s="455"/>
      <c r="N13648" s="251"/>
      <c r="O13648" s="251"/>
      <c r="P13648" s="251"/>
    </row>
    <row r="13649" spans="1:15" ht="11.25" customHeight="1" x14ac:dyDescent="0.2">
      <c r="A13649" s="350">
        <v>2026</v>
      </c>
      <c r="B13649" s="350">
        <v>2</v>
      </c>
      <c r="C13649" s="350">
        <v>23</v>
      </c>
      <c r="D13649" s="351">
        <f t="shared" si="2057"/>
        <v>46076</v>
      </c>
      <c r="E13649" s="352">
        <f t="shared" si="2071"/>
        <v>46076</v>
      </c>
      <c r="F13649" s="519"/>
      <c r="G13649" s="353" t="s">
        <v>1245</v>
      </c>
      <c r="H13649" s="354"/>
      <c r="I13649" s="354" t="s">
        <v>1253</v>
      </c>
      <c r="J13649" s="350" t="s">
        <v>153</v>
      </c>
      <c r="K13649" s="355"/>
      <c r="L13649" s="355">
        <f t="shared" ref="L13649" si="2074">K13648</f>
        <v>12370.879120879101</v>
      </c>
    </row>
    <row r="13650" spans="1:15" ht="11.25" customHeight="1" x14ac:dyDescent="0.2">
      <c r="A13650" s="210">
        <v>2026</v>
      </c>
      <c r="B13650" s="210">
        <v>2</v>
      </c>
      <c r="C13650" s="210">
        <v>23</v>
      </c>
      <c r="D13650" s="211">
        <f t="shared" ref="D13650:D13685" si="2075">DATE(A13650,B13650,C13650)</f>
        <v>46076</v>
      </c>
      <c r="E13650" s="238">
        <f t="shared" si="2071"/>
        <v>46076</v>
      </c>
      <c r="F13650" s="520" t="s">
        <v>1857</v>
      </c>
      <c r="G13650" s="213" t="s">
        <v>1245</v>
      </c>
      <c r="H13650" s="214"/>
      <c r="I13650" s="214" t="s">
        <v>1253</v>
      </c>
      <c r="J13650" s="210" t="s">
        <v>1284</v>
      </c>
      <c r="K13650" s="215">
        <v>334.54448777029398</v>
      </c>
      <c r="L13650" s="215"/>
      <c r="M13650" s="455"/>
    </row>
    <row r="13651" spans="1:15" ht="11.25" customHeight="1" x14ac:dyDescent="0.2">
      <c r="A13651" s="242">
        <v>2026</v>
      </c>
      <c r="B13651" s="242">
        <v>2</v>
      </c>
      <c r="C13651" s="242">
        <v>23</v>
      </c>
      <c r="D13651" s="243">
        <f t="shared" si="2075"/>
        <v>46076</v>
      </c>
      <c r="E13651" s="244">
        <f>DATE(A13651,B13651,C13651)</f>
        <v>46076</v>
      </c>
      <c r="F13651" s="524"/>
      <c r="G13651" s="245" t="s">
        <v>1245</v>
      </c>
      <c r="H13651" s="246"/>
      <c r="I13651" s="246"/>
      <c r="J13651" s="242" t="s">
        <v>1582</v>
      </c>
      <c r="K13651" s="247"/>
      <c r="L13651" s="247">
        <f>K13650</f>
        <v>334.54448777029398</v>
      </c>
    </row>
    <row r="13652" spans="1:15" ht="11.25" customHeight="1" x14ac:dyDescent="0.2">
      <c r="A13652" s="210">
        <v>2026</v>
      </c>
      <c r="B13652" s="210">
        <v>2</v>
      </c>
      <c r="C13652" s="210">
        <v>23</v>
      </c>
      <c r="D13652" s="211">
        <f t="shared" si="2075"/>
        <v>46076</v>
      </c>
      <c r="E13652" s="238">
        <f t="shared" ref="E13652:E13677" si="2076">DATE(A13652,B13652,C13652)</f>
        <v>46076</v>
      </c>
      <c r="F13652" s="520" t="s">
        <v>2055</v>
      </c>
      <c r="G13652" s="213" t="s">
        <v>1245</v>
      </c>
      <c r="H13652" s="214"/>
      <c r="I13652" s="214" t="s">
        <v>1253</v>
      </c>
      <c r="J13652" s="210" t="s">
        <v>58</v>
      </c>
      <c r="K13652" s="215">
        <v>2281.5275383333337</v>
      </c>
      <c r="L13652" s="215"/>
    </row>
    <row r="13653" spans="1:15" ht="11.25" customHeight="1" x14ac:dyDescent="0.2">
      <c r="A13653" s="216">
        <v>2026</v>
      </c>
      <c r="B13653" s="216">
        <v>2</v>
      </c>
      <c r="C13653" s="216">
        <v>23</v>
      </c>
      <c r="D13653" s="217">
        <f t="shared" si="2075"/>
        <v>46076</v>
      </c>
      <c r="E13653" s="239">
        <f t="shared" si="2076"/>
        <v>46076</v>
      </c>
      <c r="F13653" s="521"/>
      <c r="G13653" s="219" t="s">
        <v>1245</v>
      </c>
      <c r="H13653" s="220"/>
      <c r="I13653" s="220" t="s">
        <v>1253</v>
      </c>
      <c r="J13653" s="216" t="s">
        <v>153</v>
      </c>
      <c r="K13653" s="221"/>
      <c r="L13653" s="221">
        <f>K13652</f>
        <v>2281.5275383333337</v>
      </c>
    </row>
    <row r="13654" spans="1:15" ht="11.25" customHeight="1" x14ac:dyDescent="0.2">
      <c r="A13654" s="312">
        <v>2026</v>
      </c>
      <c r="B13654" s="312">
        <v>2</v>
      </c>
      <c r="C13654" s="312">
        <v>23</v>
      </c>
      <c r="D13654" s="313">
        <f t="shared" si="2075"/>
        <v>46076</v>
      </c>
      <c r="E13654" s="314">
        <f t="shared" si="2076"/>
        <v>46076</v>
      </c>
      <c r="F13654" s="522" t="s">
        <v>1595</v>
      </c>
      <c r="G13654" s="315" t="s">
        <v>1245</v>
      </c>
      <c r="H13654" s="316"/>
      <c r="I13654" s="316" t="s">
        <v>1253</v>
      </c>
      <c r="J13654" s="312" t="s">
        <v>1461</v>
      </c>
      <c r="K13654" s="317">
        <v>96616.242999970913</v>
      </c>
      <c r="L13654" s="317"/>
      <c r="M13654" s="328"/>
    </row>
    <row r="13655" spans="1:15" ht="11.25" customHeight="1" x14ac:dyDescent="0.2">
      <c r="A13655" s="318">
        <v>2026</v>
      </c>
      <c r="B13655" s="318">
        <v>2</v>
      </c>
      <c r="C13655" s="318">
        <v>23</v>
      </c>
      <c r="D13655" s="319">
        <f t="shared" si="2075"/>
        <v>46076</v>
      </c>
      <c r="E13655" s="320">
        <f t="shared" si="2076"/>
        <v>46076</v>
      </c>
      <c r="F13655" s="523"/>
      <c r="G13655" s="321" t="s">
        <v>1245</v>
      </c>
      <c r="H13655" s="322"/>
      <c r="I13655" s="322" t="s">
        <v>1253</v>
      </c>
      <c r="J13655" s="318" t="s">
        <v>1459</v>
      </c>
      <c r="K13655" s="323"/>
      <c r="L13655" s="323">
        <f>K13654</f>
        <v>96616.242999970913</v>
      </c>
      <c r="M13655" s="328"/>
    </row>
    <row r="13656" spans="1:15" ht="11.25" customHeight="1" x14ac:dyDescent="0.2">
      <c r="A13656" s="222">
        <v>2026</v>
      </c>
      <c r="B13656" s="222">
        <v>2</v>
      </c>
      <c r="C13656" s="222">
        <v>23</v>
      </c>
      <c r="D13656" s="223">
        <f t="shared" si="2075"/>
        <v>46076</v>
      </c>
      <c r="E13656" s="240">
        <f t="shared" si="2076"/>
        <v>46076</v>
      </c>
      <c r="F13656" s="511" t="s">
        <v>1244</v>
      </c>
      <c r="G13656" s="225" t="s">
        <v>1245</v>
      </c>
      <c r="H13656" s="226"/>
      <c r="I13656" s="226" t="s">
        <v>1253</v>
      </c>
      <c r="J13656" s="222" t="s">
        <v>87</v>
      </c>
      <c r="K13656" s="227">
        <v>29.5</v>
      </c>
      <c r="L13656" s="227"/>
      <c r="M13656" s="328"/>
    </row>
    <row r="13657" spans="1:15" ht="11.25" customHeight="1" x14ac:dyDescent="0.2">
      <c r="A13657" s="228">
        <v>2026</v>
      </c>
      <c r="B13657" s="228">
        <v>2</v>
      </c>
      <c r="C13657" s="228">
        <v>23</v>
      </c>
      <c r="D13657" s="229">
        <f t="shared" si="2075"/>
        <v>46076</v>
      </c>
      <c r="E13657" s="241">
        <f t="shared" si="2076"/>
        <v>46076</v>
      </c>
      <c r="F13657" s="512"/>
      <c r="G13657" s="231" t="s">
        <v>1245</v>
      </c>
      <c r="H13657" s="232"/>
      <c r="I13657" s="232" t="s">
        <v>1253</v>
      </c>
      <c r="J13657" s="228" t="s">
        <v>72</v>
      </c>
      <c r="K13657" s="233"/>
      <c r="L13657" s="233">
        <f>K13656</f>
        <v>29.5</v>
      </c>
    </row>
    <row r="13658" spans="1:15" ht="11.25" customHeight="1" x14ac:dyDescent="0.2">
      <c r="A13658" s="222">
        <v>2026</v>
      </c>
      <c r="B13658" s="222">
        <v>2</v>
      </c>
      <c r="C13658" s="222">
        <v>23</v>
      </c>
      <c r="D13658" s="223">
        <f t="shared" si="2075"/>
        <v>46076</v>
      </c>
      <c r="E13658" s="240">
        <f t="shared" si="2076"/>
        <v>46076</v>
      </c>
      <c r="F13658" s="511" t="s">
        <v>2138</v>
      </c>
      <c r="G13658" s="225" t="s">
        <v>1245</v>
      </c>
      <c r="H13658" s="226"/>
      <c r="I13658" s="226" t="s">
        <v>1253</v>
      </c>
      <c r="J13658" s="222" t="s">
        <v>75</v>
      </c>
      <c r="K13658" s="227">
        <v>517.58912087912097</v>
      </c>
      <c r="L13658" s="227"/>
      <c r="M13658" s="455"/>
    </row>
    <row r="13659" spans="1:15" ht="11.25" customHeight="1" x14ac:dyDescent="0.2">
      <c r="A13659" s="228">
        <v>2026</v>
      </c>
      <c r="B13659" s="228">
        <v>2</v>
      </c>
      <c r="C13659" s="228">
        <v>23</v>
      </c>
      <c r="D13659" s="229">
        <f t="shared" si="2075"/>
        <v>46076</v>
      </c>
      <c r="E13659" s="241">
        <f t="shared" si="2076"/>
        <v>46076</v>
      </c>
      <c r="F13659" s="512"/>
      <c r="G13659" s="231" t="s">
        <v>1245</v>
      </c>
      <c r="H13659" s="232"/>
      <c r="I13659" s="232" t="s">
        <v>1253</v>
      </c>
      <c r="J13659" s="228" t="s">
        <v>55</v>
      </c>
      <c r="K13659" s="233"/>
      <c r="L13659" s="233">
        <f>K13658</f>
        <v>517.58912087912097</v>
      </c>
    </row>
    <row r="13660" spans="1:15" ht="11.25" customHeight="1" x14ac:dyDescent="0.2">
      <c r="A13660" s="222">
        <v>2026</v>
      </c>
      <c r="B13660" s="222">
        <v>2</v>
      </c>
      <c r="C13660" s="222">
        <v>23</v>
      </c>
      <c r="D13660" s="223">
        <f t="shared" si="2075"/>
        <v>46076</v>
      </c>
      <c r="E13660" s="240">
        <f t="shared" si="2076"/>
        <v>46076</v>
      </c>
      <c r="F13660" s="511" t="s">
        <v>2137</v>
      </c>
      <c r="G13660" s="225" t="s">
        <v>1245</v>
      </c>
      <c r="H13660" s="226"/>
      <c r="I13660" s="226" t="s">
        <v>1253</v>
      </c>
      <c r="J13660" s="222" t="s">
        <v>77</v>
      </c>
      <c r="K13660" s="227">
        <v>7456.0109902286695</v>
      </c>
      <c r="L13660" s="227"/>
      <c r="M13660" s="478"/>
    </row>
    <row r="13661" spans="1:15" ht="11.25" customHeight="1" x14ac:dyDescent="0.2">
      <c r="A13661" s="228">
        <v>2026</v>
      </c>
      <c r="B13661" s="228">
        <v>2</v>
      </c>
      <c r="C13661" s="228">
        <v>23</v>
      </c>
      <c r="D13661" s="229">
        <f t="shared" si="2075"/>
        <v>46076</v>
      </c>
      <c r="E13661" s="241">
        <f t="shared" si="2076"/>
        <v>46076</v>
      </c>
      <c r="F13661" s="512"/>
      <c r="G13661" s="231" t="s">
        <v>1245</v>
      </c>
      <c r="H13661" s="232"/>
      <c r="I13661" s="232" t="s">
        <v>1253</v>
      </c>
      <c r="J13661" s="228" t="s">
        <v>41</v>
      </c>
      <c r="K13661" s="233"/>
      <c r="L13661" s="233">
        <f>K13660</f>
        <v>7456.0109902286695</v>
      </c>
      <c r="M13661" s="328"/>
      <c r="N13661" s="251"/>
    </row>
    <row r="13662" spans="1:15" ht="11.25" customHeight="1" x14ac:dyDescent="0.2">
      <c r="A13662" s="222">
        <v>2026</v>
      </c>
      <c r="B13662" s="222">
        <v>2</v>
      </c>
      <c r="C13662" s="222">
        <v>23</v>
      </c>
      <c r="D13662" s="223">
        <f t="shared" si="2075"/>
        <v>46076</v>
      </c>
      <c r="E13662" s="240">
        <f t="shared" si="2076"/>
        <v>46076</v>
      </c>
      <c r="F13662" s="511" t="s">
        <v>2136</v>
      </c>
      <c r="G13662" s="225" t="s">
        <v>1245</v>
      </c>
      <c r="H13662" s="226"/>
      <c r="I13662" s="226" t="s">
        <v>1253</v>
      </c>
      <c r="J13662" s="222" t="s">
        <v>80</v>
      </c>
      <c r="K13662" s="227">
        <v>745.60109902286695</v>
      </c>
      <c r="L13662" s="227"/>
      <c r="M13662" s="328"/>
      <c r="N13662" s="251"/>
      <c r="O13662" s="251"/>
    </row>
    <row r="13663" spans="1:15" ht="11.25" customHeight="1" x14ac:dyDescent="0.2">
      <c r="A13663" s="228">
        <v>2026</v>
      </c>
      <c r="B13663" s="228">
        <v>2</v>
      </c>
      <c r="C13663" s="228">
        <v>23</v>
      </c>
      <c r="D13663" s="229">
        <f t="shared" si="2075"/>
        <v>46076</v>
      </c>
      <c r="E13663" s="241">
        <f t="shared" si="2076"/>
        <v>46076</v>
      </c>
      <c r="F13663" s="512"/>
      <c r="G13663" s="231" t="s">
        <v>1245</v>
      </c>
      <c r="H13663" s="232"/>
      <c r="I13663" s="232" t="s">
        <v>1253</v>
      </c>
      <c r="J13663" s="228" t="s">
        <v>42</v>
      </c>
      <c r="K13663" s="233"/>
      <c r="L13663" s="233">
        <f>K13662</f>
        <v>745.60109902286695</v>
      </c>
      <c r="N13663" s="251"/>
    </row>
    <row r="13664" spans="1:15" ht="11.25" customHeight="1" x14ac:dyDescent="0.2">
      <c r="A13664" s="120">
        <v>2026</v>
      </c>
      <c r="B13664" s="197">
        <v>2</v>
      </c>
      <c r="C13664" s="197">
        <v>24</v>
      </c>
      <c r="D13664" s="208">
        <f t="shared" si="2075"/>
        <v>46077</v>
      </c>
      <c r="E13664" s="209">
        <f>DATE(A13664,B13664,C13664)</f>
        <v>46077</v>
      </c>
      <c r="F13664" s="515" t="s">
        <v>1922</v>
      </c>
      <c r="G13664" s="132" t="s">
        <v>1209</v>
      </c>
      <c r="H13664" s="132"/>
      <c r="J13664" s="120" t="s">
        <v>457</v>
      </c>
      <c r="K13664" s="202">
        <v>113378.59</v>
      </c>
      <c r="L13664" s="207"/>
    </row>
    <row r="13665" spans="1:13" ht="11.25" customHeight="1" x14ac:dyDescent="0.2">
      <c r="A13665" s="191">
        <v>2026</v>
      </c>
      <c r="B13665" s="191">
        <v>2</v>
      </c>
      <c r="C13665" s="191">
        <v>24</v>
      </c>
      <c r="D13665" s="192">
        <f t="shared" si="2075"/>
        <v>46077</v>
      </c>
      <c r="E13665" s="291">
        <f t="shared" ref="E13665" si="2077">DATE(A13665,B13665,C13665)</f>
        <v>46077</v>
      </c>
      <c r="F13665" s="514"/>
      <c r="G13665" s="194" t="s">
        <v>1209</v>
      </c>
      <c r="H13665" s="195"/>
      <c r="I13665" s="195" t="s">
        <v>1253</v>
      </c>
      <c r="J13665" s="191" t="s">
        <v>46</v>
      </c>
      <c r="K13665" s="196"/>
      <c r="L13665" s="196">
        <f>K13664</f>
        <v>113378.59</v>
      </c>
    </row>
    <row r="13666" spans="1:13" x14ac:dyDescent="0.2">
      <c r="A13666" s="424">
        <v>2026</v>
      </c>
      <c r="B13666" s="424">
        <v>2</v>
      </c>
      <c r="C13666" s="424">
        <v>24</v>
      </c>
      <c r="D13666" s="425">
        <f t="shared" si="2075"/>
        <v>46077</v>
      </c>
      <c r="E13666" s="384">
        <f t="shared" si="2076"/>
        <v>46077</v>
      </c>
      <c r="F13666" s="516" t="s">
        <v>1850</v>
      </c>
      <c r="G13666" s="426" t="s">
        <v>1209</v>
      </c>
      <c r="H13666" s="427"/>
      <c r="I13666" s="427"/>
      <c r="J13666" s="428" t="s">
        <v>81</v>
      </c>
      <c r="K13666" s="429">
        <v>1595.81736263736</v>
      </c>
      <c r="L13666" s="429"/>
      <c r="M13666" s="455"/>
    </row>
    <row r="13667" spans="1:13" x14ac:dyDescent="0.2">
      <c r="A13667" s="389">
        <v>2026</v>
      </c>
      <c r="B13667" s="389">
        <v>2</v>
      </c>
      <c r="C13667" s="389">
        <v>24</v>
      </c>
      <c r="D13667" s="390">
        <f t="shared" si="2075"/>
        <v>46077</v>
      </c>
      <c r="E13667" s="391">
        <f t="shared" si="2076"/>
        <v>46077</v>
      </c>
      <c r="F13667" s="517"/>
      <c r="G13667" s="392" t="s">
        <v>1209</v>
      </c>
      <c r="H13667" s="393"/>
      <c r="I13667" s="393"/>
      <c r="J13667" s="394" t="s">
        <v>1847</v>
      </c>
      <c r="K13667" s="423"/>
      <c r="L13667" s="423">
        <f>K13666</f>
        <v>1595.81736263736</v>
      </c>
    </row>
    <row r="13668" spans="1:13" ht="11.25" customHeight="1" x14ac:dyDescent="0.2">
      <c r="A13668" s="382">
        <v>2026</v>
      </c>
      <c r="B13668" s="382">
        <v>2</v>
      </c>
      <c r="C13668" s="382">
        <v>24</v>
      </c>
      <c r="D13668" s="383">
        <f t="shared" si="2075"/>
        <v>46077</v>
      </c>
      <c r="E13668" s="384">
        <f t="shared" si="2076"/>
        <v>46077</v>
      </c>
      <c r="F13668" s="516" t="s">
        <v>1892</v>
      </c>
      <c r="G13668" s="385" t="s">
        <v>1209</v>
      </c>
      <c r="H13668" s="386"/>
      <c r="I13668" s="386"/>
      <c r="J13668" s="387" t="s">
        <v>173</v>
      </c>
      <c r="K13668" s="388">
        <v>586.7702227625</v>
      </c>
      <c r="L13668" s="388"/>
      <c r="M13668" s="455"/>
    </row>
    <row r="13669" spans="1:13" ht="11.25" customHeight="1" x14ac:dyDescent="0.2">
      <c r="A13669" s="389">
        <v>2026</v>
      </c>
      <c r="B13669" s="389">
        <v>2</v>
      </c>
      <c r="C13669" s="389">
        <v>24</v>
      </c>
      <c r="D13669" s="390">
        <f t="shared" si="2075"/>
        <v>46077</v>
      </c>
      <c r="E13669" s="391">
        <f t="shared" si="2076"/>
        <v>46077</v>
      </c>
      <c r="F13669" s="517"/>
      <c r="G13669" s="392" t="s">
        <v>1209</v>
      </c>
      <c r="H13669" s="393"/>
      <c r="I13669" s="393"/>
      <c r="J13669" s="394" t="s">
        <v>43</v>
      </c>
      <c r="K13669" s="388"/>
      <c r="L13669" s="423">
        <f>K13668</f>
        <v>586.7702227625</v>
      </c>
    </row>
    <row r="13670" spans="1:13" ht="11.25" customHeight="1" x14ac:dyDescent="0.2">
      <c r="A13670" s="344">
        <v>2026</v>
      </c>
      <c r="B13670" s="344">
        <v>2</v>
      </c>
      <c r="C13670" s="344">
        <v>24</v>
      </c>
      <c r="D13670" s="345">
        <f t="shared" si="2075"/>
        <v>46077</v>
      </c>
      <c r="E13670" s="346">
        <f t="shared" si="2076"/>
        <v>46077</v>
      </c>
      <c r="F13670" s="518" t="s">
        <v>1982</v>
      </c>
      <c r="G13670" s="347" t="s">
        <v>1245</v>
      </c>
      <c r="H13670" s="348"/>
      <c r="I13670" s="348" t="s">
        <v>1253</v>
      </c>
      <c r="J13670" s="344" t="s">
        <v>1978</v>
      </c>
      <c r="K13670" s="349">
        <v>20878.176795580108</v>
      </c>
      <c r="L13670" s="349"/>
      <c r="M13670" s="455"/>
    </row>
    <row r="13671" spans="1:13" ht="11.25" customHeight="1" x14ac:dyDescent="0.2">
      <c r="A13671" s="350">
        <v>2026</v>
      </c>
      <c r="B13671" s="350">
        <v>2</v>
      </c>
      <c r="C13671" s="350">
        <v>24</v>
      </c>
      <c r="D13671" s="351">
        <f t="shared" si="2075"/>
        <v>46077</v>
      </c>
      <c r="E13671" s="352">
        <f t="shared" si="2076"/>
        <v>46077</v>
      </c>
      <c r="F13671" s="519"/>
      <c r="G13671" s="353" t="s">
        <v>1245</v>
      </c>
      <c r="H13671" s="354"/>
      <c r="I13671" s="354" t="s">
        <v>1253</v>
      </c>
      <c r="J13671" s="350" t="s">
        <v>1979</v>
      </c>
      <c r="K13671" s="355"/>
      <c r="L13671" s="355">
        <f>K13670</f>
        <v>20878.176795580108</v>
      </c>
    </row>
    <row r="13672" spans="1:13" ht="11.25" customHeight="1" x14ac:dyDescent="0.2">
      <c r="A13672" s="344">
        <v>2026</v>
      </c>
      <c r="B13672" s="344">
        <v>2</v>
      </c>
      <c r="C13672" s="344">
        <v>24</v>
      </c>
      <c r="D13672" s="345">
        <f t="shared" si="2075"/>
        <v>46077</v>
      </c>
      <c r="E13672" s="346">
        <f t="shared" si="2076"/>
        <v>46077</v>
      </c>
      <c r="F13672" s="518" t="s">
        <v>2009</v>
      </c>
      <c r="G13672" s="347" t="s">
        <v>1245</v>
      </c>
      <c r="H13672" s="348"/>
      <c r="I13672" s="348" t="s">
        <v>1253</v>
      </c>
      <c r="J13672" s="344" t="s">
        <v>2004</v>
      </c>
      <c r="K13672" s="349">
        <v>7098.9014285714302</v>
      </c>
      <c r="L13672" s="349"/>
      <c r="M13672" s="455"/>
    </row>
    <row r="13673" spans="1:13" ht="11.25" customHeight="1" x14ac:dyDescent="0.2">
      <c r="A13673" s="350">
        <v>2026</v>
      </c>
      <c r="B13673" s="350">
        <v>2</v>
      </c>
      <c r="C13673" s="350">
        <v>24</v>
      </c>
      <c r="D13673" s="351">
        <f t="shared" si="2075"/>
        <v>46077</v>
      </c>
      <c r="E13673" s="352">
        <f t="shared" si="2076"/>
        <v>46077</v>
      </c>
      <c r="F13673" s="519"/>
      <c r="G13673" s="353" t="s">
        <v>1245</v>
      </c>
      <c r="H13673" s="354"/>
      <c r="I13673" s="354" t="s">
        <v>1253</v>
      </c>
      <c r="J13673" s="350" t="s">
        <v>2008</v>
      </c>
      <c r="K13673" s="355"/>
      <c r="L13673" s="355">
        <f t="shared" ref="L13673" si="2078">K13672</f>
        <v>7098.9014285714302</v>
      </c>
    </row>
    <row r="13674" spans="1:13" ht="11.25" customHeight="1" x14ac:dyDescent="0.2">
      <c r="A13674" s="344">
        <v>2026</v>
      </c>
      <c r="B13674" s="344">
        <v>2</v>
      </c>
      <c r="C13674" s="344">
        <v>24</v>
      </c>
      <c r="D13674" s="345">
        <f t="shared" si="2075"/>
        <v>46077</v>
      </c>
      <c r="E13674" s="346">
        <f t="shared" si="2076"/>
        <v>46077</v>
      </c>
      <c r="F13674" s="518" t="s">
        <v>2009</v>
      </c>
      <c r="G13674" s="347" t="s">
        <v>1245</v>
      </c>
      <c r="H13674" s="348"/>
      <c r="I13674" s="348" t="s">
        <v>1253</v>
      </c>
      <c r="J13674" s="344" t="s">
        <v>2004</v>
      </c>
      <c r="K13674" s="349">
        <v>7098.9014285714302</v>
      </c>
      <c r="L13674" s="349"/>
      <c r="M13674" s="455"/>
    </row>
    <row r="13675" spans="1:13" ht="11.25" customHeight="1" x14ac:dyDescent="0.2">
      <c r="A13675" s="350">
        <v>2026</v>
      </c>
      <c r="B13675" s="350">
        <v>2</v>
      </c>
      <c r="C13675" s="350">
        <v>24</v>
      </c>
      <c r="D13675" s="351">
        <f t="shared" si="2075"/>
        <v>46077</v>
      </c>
      <c r="E13675" s="352">
        <f t="shared" si="2076"/>
        <v>46077</v>
      </c>
      <c r="F13675" s="519"/>
      <c r="G13675" s="353" t="s">
        <v>1245</v>
      </c>
      <c r="H13675" s="354"/>
      <c r="I13675" s="354" t="s">
        <v>1253</v>
      </c>
      <c r="J13675" s="350" t="s">
        <v>2008</v>
      </c>
      <c r="K13675" s="355"/>
      <c r="L13675" s="355">
        <f t="shared" ref="L13675" si="2079">K13674</f>
        <v>7098.9014285714302</v>
      </c>
    </row>
    <row r="13676" spans="1:13" ht="11.25" customHeight="1" x14ac:dyDescent="0.2">
      <c r="A13676" s="344">
        <v>2026</v>
      </c>
      <c r="B13676" s="344">
        <v>2</v>
      </c>
      <c r="C13676" s="344">
        <v>24</v>
      </c>
      <c r="D13676" s="345">
        <f t="shared" si="2075"/>
        <v>46077</v>
      </c>
      <c r="E13676" s="346">
        <f t="shared" si="2076"/>
        <v>46077</v>
      </c>
      <c r="F13676" s="518" t="s">
        <v>2088</v>
      </c>
      <c r="G13676" s="347" t="s">
        <v>1245</v>
      </c>
      <c r="H13676" s="348"/>
      <c r="I13676" s="348" t="s">
        <v>1253</v>
      </c>
      <c r="J13676" s="344" t="s">
        <v>2086</v>
      </c>
      <c r="K13676" s="349">
        <v>1789.83516483516</v>
      </c>
      <c r="L13676" s="349"/>
      <c r="M13676" s="455"/>
    </row>
    <row r="13677" spans="1:13" ht="11.25" customHeight="1" x14ac:dyDescent="0.2">
      <c r="A13677" s="350">
        <v>2026</v>
      </c>
      <c r="B13677" s="350">
        <v>2</v>
      </c>
      <c r="C13677" s="350">
        <v>24</v>
      </c>
      <c r="D13677" s="351">
        <f t="shared" si="2075"/>
        <v>46077</v>
      </c>
      <c r="E13677" s="352">
        <f t="shared" si="2076"/>
        <v>46077</v>
      </c>
      <c r="F13677" s="519"/>
      <c r="G13677" s="353" t="s">
        <v>1245</v>
      </c>
      <c r="H13677" s="354"/>
      <c r="I13677" s="354" t="s">
        <v>1253</v>
      </c>
      <c r="J13677" s="350" t="s">
        <v>2089</v>
      </c>
      <c r="K13677" s="355"/>
      <c r="L13677" s="355">
        <f>K13676</f>
        <v>1789.83516483516</v>
      </c>
    </row>
    <row r="13678" spans="1:13" ht="11.25" customHeight="1" x14ac:dyDescent="0.2">
      <c r="A13678" s="344">
        <v>2026</v>
      </c>
      <c r="B13678" s="344">
        <v>2</v>
      </c>
      <c r="C13678" s="344">
        <v>24</v>
      </c>
      <c r="D13678" s="345">
        <f t="shared" si="2075"/>
        <v>46077</v>
      </c>
      <c r="E13678" s="346">
        <f>DATE(A13678,B13678,C13678)</f>
        <v>46077</v>
      </c>
      <c r="F13678" s="518" t="s">
        <v>1988</v>
      </c>
      <c r="G13678" s="347" t="s">
        <v>1245</v>
      </c>
      <c r="H13678" s="348"/>
      <c r="I13678" s="348" t="s">
        <v>1253</v>
      </c>
      <c r="J13678" s="344" t="s">
        <v>113</v>
      </c>
      <c r="K13678" s="349">
        <v>4692.3071428571402</v>
      </c>
      <c r="L13678" s="349"/>
      <c r="M13678" s="455"/>
    </row>
    <row r="13679" spans="1:13" ht="11.25" customHeight="1" x14ac:dyDescent="0.2">
      <c r="A13679" s="350">
        <v>2026</v>
      </c>
      <c r="B13679" s="350">
        <v>2</v>
      </c>
      <c r="C13679" s="350">
        <v>24</v>
      </c>
      <c r="D13679" s="351">
        <f t="shared" si="2075"/>
        <v>46077</v>
      </c>
      <c r="E13679" s="352">
        <f>DATE(A13679,B13679,C13679)</f>
        <v>46077</v>
      </c>
      <c r="F13679" s="519"/>
      <c r="G13679" s="353" t="s">
        <v>1245</v>
      </c>
      <c r="H13679" s="354"/>
      <c r="I13679" s="354" t="s">
        <v>1253</v>
      </c>
      <c r="J13679" s="350" t="s">
        <v>153</v>
      </c>
      <c r="K13679" s="355"/>
      <c r="L13679" s="355">
        <f t="shared" ref="L13679" si="2080">K13678</f>
        <v>4692.3071428571402</v>
      </c>
    </row>
    <row r="13680" spans="1:13" ht="11.25" customHeight="1" x14ac:dyDescent="0.2">
      <c r="A13680" s="344">
        <v>2026</v>
      </c>
      <c r="B13680" s="344">
        <v>2</v>
      </c>
      <c r="C13680" s="344">
        <v>24</v>
      </c>
      <c r="D13680" s="345">
        <f t="shared" si="2075"/>
        <v>46077</v>
      </c>
      <c r="E13680" s="346">
        <f t="shared" ref="E13680:E13686" si="2081">DATE(A13680,B13680,C13680)</f>
        <v>46077</v>
      </c>
      <c r="F13680" s="518" t="s">
        <v>1989</v>
      </c>
      <c r="G13680" s="347" t="s">
        <v>1245</v>
      </c>
      <c r="H13680" s="348"/>
      <c r="I13680" s="348" t="s">
        <v>1253</v>
      </c>
      <c r="J13680" s="344" t="s">
        <v>113</v>
      </c>
      <c r="K13680" s="349">
        <v>3351.6483516483499</v>
      </c>
      <c r="L13680" s="349"/>
      <c r="M13680" s="455"/>
    </row>
    <row r="13681" spans="1:16" ht="11.25" customHeight="1" x14ac:dyDescent="0.2">
      <c r="A13681" s="350">
        <v>2026</v>
      </c>
      <c r="B13681" s="350">
        <v>2</v>
      </c>
      <c r="C13681" s="350">
        <v>24</v>
      </c>
      <c r="D13681" s="351">
        <f t="shared" si="2075"/>
        <v>46077</v>
      </c>
      <c r="E13681" s="352">
        <f t="shared" si="2081"/>
        <v>46077</v>
      </c>
      <c r="F13681" s="519"/>
      <c r="G13681" s="353" t="s">
        <v>1245</v>
      </c>
      <c r="H13681" s="354"/>
      <c r="I13681" s="354" t="s">
        <v>1253</v>
      </c>
      <c r="J13681" s="350" t="s">
        <v>153</v>
      </c>
      <c r="K13681" s="355"/>
      <c r="L13681" s="355">
        <f t="shared" ref="L13681" si="2082">K13680</f>
        <v>3351.6483516483499</v>
      </c>
    </row>
    <row r="13682" spans="1:16" ht="11.25" customHeight="1" x14ac:dyDescent="0.2">
      <c r="A13682" s="344">
        <v>2026</v>
      </c>
      <c r="B13682" s="344">
        <v>2</v>
      </c>
      <c r="C13682" s="344">
        <v>24</v>
      </c>
      <c r="D13682" s="345">
        <f t="shared" si="2075"/>
        <v>46077</v>
      </c>
      <c r="E13682" s="346">
        <f t="shared" si="2081"/>
        <v>46077</v>
      </c>
      <c r="F13682" s="518" t="s">
        <v>1990</v>
      </c>
      <c r="G13682" s="347" t="s">
        <v>1245</v>
      </c>
      <c r="H13682" s="348"/>
      <c r="I13682" s="348" t="s">
        <v>1253</v>
      </c>
      <c r="J13682" s="344" t="s">
        <v>113</v>
      </c>
      <c r="K13682" s="349">
        <v>10054.945714285701</v>
      </c>
      <c r="L13682" s="349"/>
      <c r="M13682" s="455"/>
      <c r="N13682" s="251"/>
      <c r="O13682" s="251"/>
      <c r="P13682" s="251"/>
    </row>
    <row r="13683" spans="1:16" ht="11.25" customHeight="1" x14ac:dyDescent="0.2">
      <c r="A13683" s="350">
        <v>2026</v>
      </c>
      <c r="B13683" s="350">
        <v>2</v>
      </c>
      <c r="C13683" s="350">
        <v>24</v>
      </c>
      <c r="D13683" s="351">
        <f t="shared" si="2075"/>
        <v>46077</v>
      </c>
      <c r="E13683" s="352">
        <f t="shared" si="2081"/>
        <v>46077</v>
      </c>
      <c r="F13683" s="519"/>
      <c r="G13683" s="353" t="s">
        <v>1245</v>
      </c>
      <c r="H13683" s="354"/>
      <c r="I13683" s="354" t="s">
        <v>1253</v>
      </c>
      <c r="J13683" s="350" t="s">
        <v>153</v>
      </c>
      <c r="K13683" s="355"/>
      <c r="L13683" s="355">
        <f t="shared" ref="L13683" si="2083">K13682</f>
        <v>10054.945714285701</v>
      </c>
      <c r="M13683" s="455"/>
    </row>
    <row r="13684" spans="1:16" ht="11.25" customHeight="1" x14ac:dyDescent="0.2">
      <c r="A13684" s="344">
        <v>2026</v>
      </c>
      <c r="B13684" s="344">
        <v>2</v>
      </c>
      <c r="C13684" s="344">
        <v>24</v>
      </c>
      <c r="D13684" s="345">
        <f t="shared" si="2075"/>
        <v>46077</v>
      </c>
      <c r="E13684" s="346">
        <f t="shared" si="2081"/>
        <v>46077</v>
      </c>
      <c r="F13684" s="518" t="s">
        <v>2107</v>
      </c>
      <c r="G13684" s="347" t="s">
        <v>1245</v>
      </c>
      <c r="H13684" s="348"/>
      <c r="I13684" s="348" t="s">
        <v>1253</v>
      </c>
      <c r="J13684" s="344" t="s">
        <v>113</v>
      </c>
      <c r="K13684" s="349">
        <v>12370.879120879101</v>
      </c>
      <c r="L13684" s="349"/>
      <c r="M13684" s="455"/>
      <c r="N13684" s="251"/>
      <c r="O13684" s="251"/>
      <c r="P13684" s="251"/>
    </row>
    <row r="13685" spans="1:16" ht="11.25" customHeight="1" x14ac:dyDescent="0.2">
      <c r="A13685" s="350">
        <v>2026</v>
      </c>
      <c r="B13685" s="350">
        <v>2</v>
      </c>
      <c r="C13685" s="350">
        <v>24</v>
      </c>
      <c r="D13685" s="351">
        <f t="shared" si="2075"/>
        <v>46077</v>
      </c>
      <c r="E13685" s="352">
        <f t="shared" si="2081"/>
        <v>46077</v>
      </c>
      <c r="F13685" s="519"/>
      <c r="G13685" s="353" t="s">
        <v>1245</v>
      </c>
      <c r="H13685" s="354"/>
      <c r="I13685" s="354" t="s">
        <v>1253</v>
      </c>
      <c r="J13685" s="350" t="s">
        <v>153</v>
      </c>
      <c r="K13685" s="355"/>
      <c r="L13685" s="355">
        <f t="shared" ref="L13685" si="2084">K13684</f>
        <v>12370.879120879101</v>
      </c>
    </row>
    <row r="13686" spans="1:16" ht="11.25" customHeight="1" x14ac:dyDescent="0.2">
      <c r="A13686" s="210">
        <v>2026</v>
      </c>
      <c r="B13686" s="210">
        <v>2</v>
      </c>
      <c r="C13686" s="210">
        <v>24</v>
      </c>
      <c r="D13686" s="211">
        <f t="shared" ref="D13686:D13726" si="2085">DATE(A13686,B13686,C13686)</f>
        <v>46077</v>
      </c>
      <c r="E13686" s="238">
        <f t="shared" si="2081"/>
        <v>46077</v>
      </c>
      <c r="F13686" s="520" t="s">
        <v>1857</v>
      </c>
      <c r="G13686" s="213" t="s">
        <v>1245</v>
      </c>
      <c r="H13686" s="214"/>
      <c r="I13686" s="214" t="s">
        <v>1253</v>
      </c>
      <c r="J13686" s="210" t="s">
        <v>1284</v>
      </c>
      <c r="K13686" s="215">
        <v>334.54448777029398</v>
      </c>
      <c r="L13686" s="215"/>
      <c r="M13686" s="455"/>
    </row>
    <row r="13687" spans="1:16" ht="11.25" customHeight="1" x14ac:dyDescent="0.2">
      <c r="A13687" s="242">
        <v>2026</v>
      </c>
      <c r="B13687" s="242">
        <v>2</v>
      </c>
      <c r="C13687" s="242">
        <v>24</v>
      </c>
      <c r="D13687" s="243">
        <f t="shared" si="2085"/>
        <v>46077</v>
      </c>
      <c r="E13687" s="244">
        <f>DATE(A13687,B13687,C13687)</f>
        <v>46077</v>
      </c>
      <c r="F13687" s="524"/>
      <c r="G13687" s="245" t="s">
        <v>1245</v>
      </c>
      <c r="H13687" s="246"/>
      <c r="I13687" s="246"/>
      <c r="J13687" s="242" t="s">
        <v>1582</v>
      </c>
      <c r="K13687" s="247"/>
      <c r="L13687" s="247">
        <f>K13686</f>
        <v>334.54448777029398</v>
      </c>
    </row>
    <row r="13688" spans="1:16" ht="11.25" customHeight="1" x14ac:dyDescent="0.2">
      <c r="A13688" s="210">
        <v>2026</v>
      </c>
      <c r="B13688" s="210">
        <v>2</v>
      </c>
      <c r="C13688" s="210">
        <v>24</v>
      </c>
      <c r="D13688" s="211">
        <f t="shared" si="2085"/>
        <v>46077</v>
      </c>
      <c r="E13688" s="238">
        <f t="shared" ref="E13688:E13718" si="2086">DATE(A13688,B13688,C13688)</f>
        <v>46077</v>
      </c>
      <c r="F13688" s="520" t="s">
        <v>2055</v>
      </c>
      <c r="G13688" s="213" t="s">
        <v>1245</v>
      </c>
      <c r="H13688" s="214"/>
      <c r="I13688" s="214" t="s">
        <v>1253</v>
      </c>
      <c r="J13688" s="210" t="s">
        <v>58</v>
      </c>
      <c r="K13688" s="215">
        <v>2281.5275383333337</v>
      </c>
      <c r="L13688" s="215"/>
    </row>
    <row r="13689" spans="1:16" ht="11.25" customHeight="1" x14ac:dyDescent="0.2">
      <c r="A13689" s="216">
        <v>2026</v>
      </c>
      <c r="B13689" s="216">
        <v>2</v>
      </c>
      <c r="C13689" s="216">
        <v>24</v>
      </c>
      <c r="D13689" s="217">
        <f t="shared" si="2085"/>
        <v>46077</v>
      </c>
      <c r="E13689" s="239">
        <f t="shared" si="2086"/>
        <v>46077</v>
      </c>
      <c r="F13689" s="521"/>
      <c r="G13689" s="219" t="s">
        <v>1245</v>
      </c>
      <c r="H13689" s="220"/>
      <c r="I13689" s="220" t="s">
        <v>1253</v>
      </c>
      <c r="J13689" s="216" t="s">
        <v>153</v>
      </c>
      <c r="K13689" s="221"/>
      <c r="L13689" s="221">
        <f>K13688</f>
        <v>2281.5275383333337</v>
      </c>
    </row>
    <row r="13690" spans="1:16" ht="11.25" customHeight="1" x14ac:dyDescent="0.2">
      <c r="A13690" s="312">
        <v>2026</v>
      </c>
      <c r="B13690" s="312">
        <v>2</v>
      </c>
      <c r="C13690" s="312">
        <v>24</v>
      </c>
      <c r="D13690" s="313">
        <f t="shared" si="2085"/>
        <v>46077</v>
      </c>
      <c r="E13690" s="314">
        <f t="shared" si="2086"/>
        <v>46077</v>
      </c>
      <c r="F13690" s="522" t="s">
        <v>1595</v>
      </c>
      <c r="G13690" s="315" t="s">
        <v>1245</v>
      </c>
      <c r="H13690" s="316"/>
      <c r="I13690" s="316" t="s">
        <v>1253</v>
      </c>
      <c r="J13690" s="312" t="s">
        <v>1461</v>
      </c>
      <c r="K13690" s="317">
        <v>96746.722999989986</v>
      </c>
      <c r="L13690" s="317"/>
      <c r="M13690" s="328"/>
    </row>
    <row r="13691" spans="1:16" ht="11.25" customHeight="1" x14ac:dyDescent="0.2">
      <c r="A13691" s="318">
        <v>2026</v>
      </c>
      <c r="B13691" s="318">
        <v>2</v>
      </c>
      <c r="C13691" s="318">
        <v>24</v>
      </c>
      <c r="D13691" s="319">
        <f t="shared" si="2085"/>
        <v>46077</v>
      </c>
      <c r="E13691" s="320">
        <f t="shared" si="2086"/>
        <v>46077</v>
      </c>
      <c r="F13691" s="523"/>
      <c r="G13691" s="321" t="s">
        <v>1245</v>
      </c>
      <c r="H13691" s="322"/>
      <c r="I13691" s="322" t="s">
        <v>1253</v>
      </c>
      <c r="J13691" s="318" t="s">
        <v>1459</v>
      </c>
      <c r="K13691" s="323"/>
      <c r="L13691" s="323">
        <f>K13690</f>
        <v>96746.722999989986</v>
      </c>
      <c r="M13691" s="328"/>
    </row>
    <row r="13692" spans="1:16" ht="11.25" customHeight="1" x14ac:dyDescent="0.2">
      <c r="A13692" s="222">
        <v>2026</v>
      </c>
      <c r="B13692" s="222">
        <v>2</v>
      </c>
      <c r="C13692" s="222">
        <v>24</v>
      </c>
      <c r="D13692" s="223">
        <f t="shared" si="2085"/>
        <v>46077</v>
      </c>
      <c r="E13692" s="240">
        <f t="shared" si="2086"/>
        <v>46077</v>
      </c>
      <c r="F13692" s="511" t="s">
        <v>1244</v>
      </c>
      <c r="G13692" s="225" t="s">
        <v>1245</v>
      </c>
      <c r="H13692" s="226"/>
      <c r="I13692" s="226" t="s">
        <v>1253</v>
      </c>
      <c r="J13692" s="222" t="s">
        <v>87</v>
      </c>
      <c r="K13692" s="227">
        <v>2600.5</v>
      </c>
      <c r="L13692" s="227"/>
      <c r="M13692" s="328"/>
    </row>
    <row r="13693" spans="1:16" ht="11.25" customHeight="1" x14ac:dyDescent="0.2">
      <c r="A13693" s="228">
        <v>2026</v>
      </c>
      <c r="B13693" s="228">
        <v>2</v>
      </c>
      <c r="C13693" s="228">
        <v>24</v>
      </c>
      <c r="D13693" s="229">
        <f t="shared" si="2085"/>
        <v>46077</v>
      </c>
      <c r="E13693" s="241">
        <f t="shared" si="2086"/>
        <v>46077</v>
      </c>
      <c r="F13693" s="512"/>
      <c r="G13693" s="231" t="s">
        <v>1245</v>
      </c>
      <c r="H13693" s="232"/>
      <c r="I13693" s="232" t="s">
        <v>1253</v>
      </c>
      <c r="J13693" s="228" t="s">
        <v>72</v>
      </c>
      <c r="K13693" s="233"/>
      <c r="L13693" s="233">
        <f>K13692</f>
        <v>2600.5</v>
      </c>
    </row>
    <row r="13694" spans="1:16" ht="11.25" customHeight="1" x14ac:dyDescent="0.2">
      <c r="A13694" s="222">
        <v>2026</v>
      </c>
      <c r="B13694" s="222">
        <v>2</v>
      </c>
      <c r="C13694" s="222">
        <v>24</v>
      </c>
      <c r="D13694" s="223">
        <f t="shared" si="2085"/>
        <v>46077</v>
      </c>
      <c r="E13694" s="240">
        <f t="shared" si="2086"/>
        <v>46077</v>
      </c>
      <c r="F13694" s="511" t="s">
        <v>2138</v>
      </c>
      <c r="G13694" s="225" t="s">
        <v>1245</v>
      </c>
      <c r="H13694" s="226"/>
      <c r="I13694" s="226" t="s">
        <v>1253</v>
      </c>
      <c r="J13694" s="222" t="s">
        <v>75</v>
      </c>
      <c r="K13694" s="227">
        <v>517.58912087912097</v>
      </c>
      <c r="L13694" s="227"/>
      <c r="M13694" s="455"/>
    </row>
    <row r="13695" spans="1:16" ht="11.25" customHeight="1" x14ac:dyDescent="0.2">
      <c r="A13695" s="228">
        <v>2026</v>
      </c>
      <c r="B13695" s="228">
        <v>2</v>
      </c>
      <c r="C13695" s="228">
        <v>24</v>
      </c>
      <c r="D13695" s="229">
        <f t="shared" si="2085"/>
        <v>46077</v>
      </c>
      <c r="E13695" s="241">
        <f t="shared" si="2086"/>
        <v>46077</v>
      </c>
      <c r="F13695" s="512"/>
      <c r="G13695" s="231" t="s">
        <v>1245</v>
      </c>
      <c r="H13695" s="232"/>
      <c r="I13695" s="232" t="s">
        <v>1253</v>
      </c>
      <c r="J13695" s="228" t="s">
        <v>55</v>
      </c>
      <c r="K13695" s="233"/>
      <c r="L13695" s="233">
        <f>K13694</f>
        <v>517.58912087912097</v>
      </c>
    </row>
    <row r="13696" spans="1:16" ht="11.25" customHeight="1" x14ac:dyDescent="0.2">
      <c r="A13696" s="222">
        <v>2026</v>
      </c>
      <c r="B13696" s="222">
        <v>2</v>
      </c>
      <c r="C13696" s="222">
        <v>24</v>
      </c>
      <c r="D13696" s="223">
        <f t="shared" si="2085"/>
        <v>46077</v>
      </c>
      <c r="E13696" s="240">
        <f t="shared" si="2086"/>
        <v>46077</v>
      </c>
      <c r="F13696" s="511" t="s">
        <v>2137</v>
      </c>
      <c r="G13696" s="225" t="s">
        <v>1245</v>
      </c>
      <c r="H13696" s="226"/>
      <c r="I13696" s="226" t="s">
        <v>1253</v>
      </c>
      <c r="J13696" s="222" t="s">
        <v>77</v>
      </c>
      <c r="K13696" s="227">
        <v>7455.8983307219505</v>
      </c>
      <c r="L13696" s="227"/>
      <c r="M13696" s="478"/>
    </row>
    <row r="13697" spans="1:15" ht="11.25" customHeight="1" x14ac:dyDescent="0.2">
      <c r="A13697" s="228">
        <v>2026</v>
      </c>
      <c r="B13697" s="228">
        <v>2</v>
      </c>
      <c r="C13697" s="228">
        <v>24</v>
      </c>
      <c r="D13697" s="229">
        <f t="shared" si="2085"/>
        <v>46077</v>
      </c>
      <c r="E13697" s="241">
        <f t="shared" si="2086"/>
        <v>46077</v>
      </c>
      <c r="F13697" s="512"/>
      <c r="G13697" s="231" t="s">
        <v>1245</v>
      </c>
      <c r="H13697" s="232"/>
      <c r="I13697" s="232" t="s">
        <v>1253</v>
      </c>
      <c r="J13697" s="228" t="s">
        <v>41</v>
      </c>
      <c r="K13697" s="233"/>
      <c r="L13697" s="233">
        <f>K13696</f>
        <v>7455.8983307219505</v>
      </c>
      <c r="M13697" s="328"/>
      <c r="N13697" s="251"/>
    </row>
    <row r="13698" spans="1:15" ht="11.25" customHeight="1" x14ac:dyDescent="0.2">
      <c r="A13698" s="222">
        <v>2026</v>
      </c>
      <c r="B13698" s="222">
        <v>2</v>
      </c>
      <c r="C13698" s="222">
        <v>24</v>
      </c>
      <c r="D13698" s="223">
        <f t="shared" si="2085"/>
        <v>46077</v>
      </c>
      <c r="E13698" s="240">
        <f t="shared" si="2086"/>
        <v>46077</v>
      </c>
      <c r="F13698" s="511" t="s">
        <v>2136</v>
      </c>
      <c r="G13698" s="225" t="s">
        <v>1245</v>
      </c>
      <c r="H13698" s="226"/>
      <c r="I13698" s="226" t="s">
        <v>1253</v>
      </c>
      <c r="J13698" s="222" t="s">
        <v>80</v>
      </c>
      <c r="K13698" s="227">
        <v>745.58983307219512</v>
      </c>
      <c r="L13698" s="227"/>
      <c r="M13698" s="328"/>
      <c r="N13698" s="251"/>
      <c r="O13698" s="251"/>
    </row>
    <row r="13699" spans="1:15" ht="11.25" customHeight="1" x14ac:dyDescent="0.2">
      <c r="A13699" s="228">
        <v>2026</v>
      </c>
      <c r="B13699" s="228">
        <v>2</v>
      </c>
      <c r="C13699" s="228">
        <v>24</v>
      </c>
      <c r="D13699" s="229">
        <f t="shared" si="2085"/>
        <v>46077</v>
      </c>
      <c r="E13699" s="241">
        <f t="shared" si="2086"/>
        <v>46077</v>
      </c>
      <c r="F13699" s="512"/>
      <c r="G13699" s="231" t="s">
        <v>1245</v>
      </c>
      <c r="H13699" s="232"/>
      <c r="I13699" s="232" t="s">
        <v>1253</v>
      </c>
      <c r="J13699" s="228" t="s">
        <v>42</v>
      </c>
      <c r="K13699" s="233"/>
      <c r="L13699" s="233">
        <f>K13698</f>
        <v>745.58983307219512</v>
      </c>
      <c r="N13699" s="251"/>
    </row>
    <row r="13700" spans="1:15" ht="11.25" customHeight="1" x14ac:dyDescent="0.2">
      <c r="A13700" s="197">
        <v>2026</v>
      </c>
      <c r="B13700" s="197">
        <v>2</v>
      </c>
      <c r="C13700" s="197">
        <v>25</v>
      </c>
      <c r="D13700" s="198">
        <f t="shared" si="2085"/>
        <v>46078</v>
      </c>
      <c r="E13700" s="199">
        <f t="shared" si="2086"/>
        <v>46078</v>
      </c>
      <c r="F13700" s="513" t="s">
        <v>2023</v>
      </c>
      <c r="G13700" s="200" t="s">
        <v>1245</v>
      </c>
      <c r="H13700" s="201"/>
      <c r="I13700" s="201" t="s">
        <v>1253</v>
      </c>
      <c r="J13700" s="197" t="s">
        <v>1837</v>
      </c>
      <c r="K13700" s="202">
        <v>708191.09</v>
      </c>
      <c r="L13700" s="202"/>
    </row>
    <row r="13701" spans="1:15" ht="11.25" customHeight="1" x14ac:dyDescent="0.2">
      <c r="A13701" s="191">
        <v>2026</v>
      </c>
      <c r="B13701" s="191">
        <v>2</v>
      </c>
      <c r="C13701" s="191">
        <v>25</v>
      </c>
      <c r="D13701" s="192">
        <f t="shared" si="2085"/>
        <v>46078</v>
      </c>
      <c r="E13701" s="193">
        <f t="shared" si="2086"/>
        <v>46078</v>
      </c>
      <c r="F13701" s="514"/>
      <c r="G13701" s="194" t="s">
        <v>1245</v>
      </c>
      <c r="H13701" s="195"/>
      <c r="I13701" s="195" t="s">
        <v>1253</v>
      </c>
      <c r="J13701" s="191" t="s">
        <v>46</v>
      </c>
      <c r="K13701" s="196"/>
      <c r="L13701" s="196">
        <f>K13700</f>
        <v>708191.09</v>
      </c>
      <c r="N13701" s="130"/>
    </row>
    <row r="13702" spans="1:15" x14ac:dyDescent="0.2">
      <c r="A13702" s="197">
        <v>2026</v>
      </c>
      <c r="B13702" s="197">
        <v>2</v>
      </c>
      <c r="C13702" s="197">
        <v>25</v>
      </c>
      <c r="D13702" s="198">
        <f t="shared" si="2085"/>
        <v>46078</v>
      </c>
      <c r="E13702" s="209">
        <f t="shared" si="2086"/>
        <v>46078</v>
      </c>
      <c r="F13702" s="513" t="s">
        <v>1210</v>
      </c>
      <c r="G13702" s="200" t="s">
        <v>1209</v>
      </c>
      <c r="H13702" s="201"/>
      <c r="I13702" s="201"/>
      <c r="J13702" s="197" t="s">
        <v>46</v>
      </c>
      <c r="K13702" s="202">
        <v>3500000</v>
      </c>
      <c r="L13702" s="202"/>
    </row>
    <row r="13703" spans="1:15" x14ac:dyDescent="0.2">
      <c r="A13703" s="120">
        <v>2026</v>
      </c>
      <c r="B13703" s="120">
        <v>2</v>
      </c>
      <c r="C13703" s="120">
        <v>25</v>
      </c>
      <c r="D13703" s="208">
        <f t="shared" si="2085"/>
        <v>46078</v>
      </c>
      <c r="E13703" s="209">
        <f t="shared" si="2086"/>
        <v>46078</v>
      </c>
      <c r="F13703" s="515"/>
      <c r="G13703" s="132" t="s">
        <v>1209</v>
      </c>
      <c r="J13703" s="120" t="s">
        <v>16</v>
      </c>
      <c r="K13703" s="207"/>
      <c r="L13703" s="207">
        <v>2485270</v>
      </c>
    </row>
    <row r="13704" spans="1:15" x14ac:dyDescent="0.2">
      <c r="A13704" s="191">
        <v>2026</v>
      </c>
      <c r="B13704" s="191">
        <v>2</v>
      </c>
      <c r="C13704" s="191">
        <v>25</v>
      </c>
      <c r="D13704" s="192">
        <f t="shared" si="2085"/>
        <v>46078</v>
      </c>
      <c r="E13704" s="193">
        <f t="shared" si="2086"/>
        <v>46078</v>
      </c>
      <c r="F13704" s="514"/>
      <c r="G13704" s="194" t="s">
        <v>1209</v>
      </c>
      <c r="H13704" s="195"/>
      <c r="I13704" s="195"/>
      <c r="J13704" s="191" t="s">
        <v>47</v>
      </c>
      <c r="K13704" s="196"/>
      <c r="L13704" s="196">
        <v>1014730</v>
      </c>
    </row>
    <row r="13705" spans="1:15" ht="11.25" customHeight="1" x14ac:dyDescent="0.2">
      <c r="A13705" s="197">
        <v>2026</v>
      </c>
      <c r="B13705" s="197">
        <v>2</v>
      </c>
      <c r="C13705" s="197">
        <v>25</v>
      </c>
      <c r="D13705" s="198">
        <f t="shared" si="2085"/>
        <v>46078</v>
      </c>
      <c r="E13705" s="290">
        <f>DATE(A13705,B13705,C13705)</f>
        <v>46078</v>
      </c>
      <c r="F13705" s="513" t="s">
        <v>1527</v>
      </c>
      <c r="G13705" s="200" t="s">
        <v>1209</v>
      </c>
      <c r="H13705" s="201"/>
      <c r="I13705" s="201"/>
      <c r="J13705" s="197" t="s">
        <v>54</v>
      </c>
      <c r="K13705" s="202">
        <v>60</v>
      </c>
      <c r="L13705" s="202"/>
      <c r="O13705" s="251"/>
    </row>
    <row r="13706" spans="1:15" ht="11.25" customHeight="1" x14ac:dyDescent="0.2">
      <c r="A13706" s="191">
        <v>2026</v>
      </c>
      <c r="B13706" s="191">
        <v>2</v>
      </c>
      <c r="C13706" s="191">
        <v>25</v>
      </c>
      <c r="D13706" s="192">
        <f t="shared" si="2085"/>
        <v>46078</v>
      </c>
      <c r="E13706" s="291">
        <f>DATE(A13706,B13706,C13706)</f>
        <v>46078</v>
      </c>
      <c r="F13706" s="514"/>
      <c r="G13706" s="194" t="s">
        <v>1209</v>
      </c>
      <c r="H13706" s="195"/>
      <c r="I13706" s="195"/>
      <c r="J13706" s="191" t="s">
        <v>46</v>
      </c>
      <c r="K13706" s="196"/>
      <c r="L13706" s="196">
        <f>K13705</f>
        <v>60</v>
      </c>
      <c r="O13706" s="251"/>
    </row>
    <row r="13707" spans="1:15" x14ac:dyDescent="0.2">
      <c r="A13707" s="424">
        <v>2026</v>
      </c>
      <c r="B13707" s="424">
        <v>2</v>
      </c>
      <c r="C13707" s="424">
        <v>25</v>
      </c>
      <c r="D13707" s="425">
        <f t="shared" si="2085"/>
        <v>46078</v>
      </c>
      <c r="E13707" s="384">
        <f t="shared" si="2086"/>
        <v>46078</v>
      </c>
      <c r="F13707" s="516" t="s">
        <v>1850</v>
      </c>
      <c r="G13707" s="426" t="s">
        <v>1209</v>
      </c>
      <c r="H13707" s="427"/>
      <c r="I13707" s="427"/>
      <c r="J13707" s="428" t="s">
        <v>81</v>
      </c>
      <c r="K13707" s="429">
        <v>1595.81736263736</v>
      </c>
      <c r="L13707" s="429"/>
      <c r="M13707" s="455"/>
    </row>
    <row r="13708" spans="1:15" x14ac:dyDescent="0.2">
      <c r="A13708" s="389">
        <v>2026</v>
      </c>
      <c r="B13708" s="389">
        <v>2</v>
      </c>
      <c r="C13708" s="389">
        <v>25</v>
      </c>
      <c r="D13708" s="390">
        <f t="shared" si="2085"/>
        <v>46078</v>
      </c>
      <c r="E13708" s="391">
        <f t="shared" si="2086"/>
        <v>46078</v>
      </c>
      <c r="F13708" s="517"/>
      <c r="G13708" s="392" t="s">
        <v>1209</v>
      </c>
      <c r="H13708" s="393"/>
      <c r="I13708" s="393"/>
      <c r="J13708" s="394" t="s">
        <v>1847</v>
      </c>
      <c r="K13708" s="423"/>
      <c r="L13708" s="423">
        <f>K13707</f>
        <v>1595.81736263736</v>
      </c>
    </row>
    <row r="13709" spans="1:15" ht="11.25" customHeight="1" x14ac:dyDescent="0.2">
      <c r="A13709" s="382">
        <v>2026</v>
      </c>
      <c r="B13709" s="382">
        <v>2</v>
      </c>
      <c r="C13709" s="382">
        <v>25</v>
      </c>
      <c r="D13709" s="383">
        <f t="shared" si="2085"/>
        <v>46078</v>
      </c>
      <c r="E13709" s="384">
        <f t="shared" si="2086"/>
        <v>46078</v>
      </c>
      <c r="F13709" s="516" t="s">
        <v>1892</v>
      </c>
      <c r="G13709" s="385" t="s">
        <v>1209</v>
      </c>
      <c r="H13709" s="386"/>
      <c r="I13709" s="386"/>
      <c r="J13709" s="387" t="s">
        <v>173</v>
      </c>
      <c r="K13709" s="388">
        <v>586.7702227625</v>
      </c>
      <c r="L13709" s="388"/>
      <c r="M13709" s="455"/>
    </row>
    <row r="13710" spans="1:15" ht="11.25" customHeight="1" x14ac:dyDescent="0.2">
      <c r="A13710" s="389">
        <v>2026</v>
      </c>
      <c r="B13710" s="389">
        <v>2</v>
      </c>
      <c r="C13710" s="389">
        <v>25</v>
      </c>
      <c r="D13710" s="390">
        <f t="shared" si="2085"/>
        <v>46078</v>
      </c>
      <c r="E13710" s="391">
        <f t="shared" si="2086"/>
        <v>46078</v>
      </c>
      <c r="F13710" s="517"/>
      <c r="G13710" s="392" t="s">
        <v>1209</v>
      </c>
      <c r="H13710" s="393"/>
      <c r="I13710" s="393"/>
      <c r="J13710" s="394" t="s">
        <v>43</v>
      </c>
      <c r="K13710" s="388"/>
      <c r="L13710" s="423">
        <f>K13709</f>
        <v>586.7702227625</v>
      </c>
    </row>
    <row r="13711" spans="1:15" ht="11.25" customHeight="1" x14ac:dyDescent="0.2">
      <c r="A13711" s="344">
        <v>2026</v>
      </c>
      <c r="B13711" s="344">
        <v>2</v>
      </c>
      <c r="C13711" s="344">
        <v>25</v>
      </c>
      <c r="D13711" s="345">
        <f t="shared" si="2085"/>
        <v>46078</v>
      </c>
      <c r="E13711" s="346">
        <f t="shared" si="2086"/>
        <v>46078</v>
      </c>
      <c r="F13711" s="518" t="s">
        <v>1982</v>
      </c>
      <c r="G13711" s="347" t="s">
        <v>1245</v>
      </c>
      <c r="H13711" s="348"/>
      <c r="I13711" s="348" t="s">
        <v>1253</v>
      </c>
      <c r="J13711" s="344" t="s">
        <v>1978</v>
      </c>
      <c r="K13711" s="349">
        <v>20878.176795580108</v>
      </c>
      <c r="L13711" s="349"/>
      <c r="M13711" s="455"/>
    </row>
    <row r="13712" spans="1:15" ht="11.25" customHeight="1" x14ac:dyDescent="0.2">
      <c r="A13712" s="350">
        <v>2026</v>
      </c>
      <c r="B13712" s="350">
        <v>2</v>
      </c>
      <c r="C13712" s="350">
        <v>25</v>
      </c>
      <c r="D13712" s="351">
        <f t="shared" si="2085"/>
        <v>46078</v>
      </c>
      <c r="E13712" s="352">
        <f t="shared" si="2086"/>
        <v>46078</v>
      </c>
      <c r="F13712" s="519"/>
      <c r="G13712" s="353" t="s">
        <v>1245</v>
      </c>
      <c r="H13712" s="354"/>
      <c r="I13712" s="354" t="s">
        <v>1253</v>
      </c>
      <c r="J13712" s="350" t="s">
        <v>1979</v>
      </c>
      <c r="K13712" s="355"/>
      <c r="L13712" s="355">
        <f>K13711</f>
        <v>20878.176795580108</v>
      </c>
    </row>
    <row r="13713" spans="1:16" ht="11.25" customHeight="1" x14ac:dyDescent="0.2">
      <c r="A13713" s="344">
        <v>2026</v>
      </c>
      <c r="B13713" s="344">
        <v>2</v>
      </c>
      <c r="C13713" s="344">
        <v>25</v>
      </c>
      <c r="D13713" s="345">
        <f t="shared" si="2085"/>
        <v>46078</v>
      </c>
      <c r="E13713" s="346">
        <f t="shared" si="2086"/>
        <v>46078</v>
      </c>
      <c r="F13713" s="518" t="s">
        <v>2009</v>
      </c>
      <c r="G13713" s="347" t="s">
        <v>1245</v>
      </c>
      <c r="H13713" s="348"/>
      <c r="I13713" s="348" t="s">
        <v>1253</v>
      </c>
      <c r="J13713" s="344" t="s">
        <v>2004</v>
      </c>
      <c r="K13713" s="349">
        <v>7098.9014285714302</v>
      </c>
      <c r="L13713" s="349"/>
      <c r="M13713" s="455"/>
    </row>
    <row r="13714" spans="1:16" ht="11.25" customHeight="1" x14ac:dyDescent="0.2">
      <c r="A13714" s="350">
        <v>2026</v>
      </c>
      <c r="B13714" s="350">
        <v>2</v>
      </c>
      <c r="C13714" s="350">
        <v>25</v>
      </c>
      <c r="D13714" s="351">
        <f t="shared" si="2085"/>
        <v>46078</v>
      </c>
      <c r="E13714" s="352">
        <f t="shared" si="2086"/>
        <v>46078</v>
      </c>
      <c r="F13714" s="519"/>
      <c r="G13714" s="353" t="s">
        <v>1245</v>
      </c>
      <c r="H13714" s="354"/>
      <c r="I13714" s="354" t="s">
        <v>1253</v>
      </c>
      <c r="J13714" s="350" t="s">
        <v>2008</v>
      </c>
      <c r="K13714" s="355"/>
      <c r="L13714" s="355">
        <f t="shared" ref="L13714" si="2087">K13713</f>
        <v>7098.9014285714302</v>
      </c>
    </row>
    <row r="13715" spans="1:16" ht="11.25" customHeight="1" x14ac:dyDescent="0.2">
      <c r="A13715" s="344">
        <v>2026</v>
      </c>
      <c r="B13715" s="344">
        <v>2</v>
      </c>
      <c r="C13715" s="344">
        <v>25</v>
      </c>
      <c r="D13715" s="345">
        <f t="shared" si="2085"/>
        <v>46078</v>
      </c>
      <c r="E13715" s="346">
        <f t="shared" si="2086"/>
        <v>46078</v>
      </c>
      <c r="F13715" s="518" t="s">
        <v>2009</v>
      </c>
      <c r="G13715" s="347" t="s">
        <v>1245</v>
      </c>
      <c r="H13715" s="348"/>
      <c r="I13715" s="348" t="s">
        <v>1253</v>
      </c>
      <c r="J13715" s="344" t="s">
        <v>2004</v>
      </c>
      <c r="K13715" s="349">
        <v>7098.9014285714302</v>
      </c>
      <c r="L13715" s="349"/>
      <c r="M13715" s="455"/>
    </row>
    <row r="13716" spans="1:16" ht="11.25" customHeight="1" x14ac:dyDescent="0.2">
      <c r="A13716" s="350">
        <v>2026</v>
      </c>
      <c r="B13716" s="350">
        <v>2</v>
      </c>
      <c r="C13716" s="350">
        <v>25</v>
      </c>
      <c r="D13716" s="351">
        <f t="shared" si="2085"/>
        <v>46078</v>
      </c>
      <c r="E13716" s="352">
        <f t="shared" si="2086"/>
        <v>46078</v>
      </c>
      <c r="F13716" s="519"/>
      <c r="G13716" s="353" t="s">
        <v>1245</v>
      </c>
      <c r="H13716" s="354"/>
      <c r="I13716" s="354" t="s">
        <v>1253</v>
      </c>
      <c r="J13716" s="350" t="s">
        <v>2008</v>
      </c>
      <c r="K13716" s="355"/>
      <c r="L13716" s="355">
        <f t="shared" ref="L13716" si="2088">K13715</f>
        <v>7098.9014285714302</v>
      </c>
    </row>
    <row r="13717" spans="1:16" ht="11.25" customHeight="1" x14ac:dyDescent="0.2">
      <c r="A13717" s="344">
        <v>2026</v>
      </c>
      <c r="B13717" s="344">
        <v>2</v>
      </c>
      <c r="C13717" s="344">
        <v>25</v>
      </c>
      <c r="D13717" s="345">
        <f t="shared" si="2085"/>
        <v>46078</v>
      </c>
      <c r="E13717" s="346">
        <f t="shared" si="2086"/>
        <v>46078</v>
      </c>
      <c r="F13717" s="518" t="s">
        <v>2088</v>
      </c>
      <c r="G13717" s="347" t="s">
        <v>1245</v>
      </c>
      <c r="H13717" s="348"/>
      <c r="I13717" s="348" t="s">
        <v>1253</v>
      </c>
      <c r="J13717" s="344" t="s">
        <v>2086</v>
      </c>
      <c r="K13717" s="349">
        <v>1789.83516483516</v>
      </c>
      <c r="L13717" s="349"/>
      <c r="M13717" s="455"/>
    </row>
    <row r="13718" spans="1:16" ht="11.25" customHeight="1" x14ac:dyDescent="0.2">
      <c r="A13718" s="350">
        <v>2026</v>
      </c>
      <c r="B13718" s="350">
        <v>2</v>
      </c>
      <c r="C13718" s="350">
        <v>25</v>
      </c>
      <c r="D13718" s="351">
        <f t="shared" si="2085"/>
        <v>46078</v>
      </c>
      <c r="E13718" s="352">
        <f t="shared" si="2086"/>
        <v>46078</v>
      </c>
      <c r="F13718" s="519"/>
      <c r="G13718" s="353" t="s">
        <v>1245</v>
      </c>
      <c r="H13718" s="354"/>
      <c r="I13718" s="354" t="s">
        <v>1253</v>
      </c>
      <c r="J13718" s="350" t="s">
        <v>2089</v>
      </c>
      <c r="K13718" s="355"/>
      <c r="L13718" s="355">
        <f>K13717</f>
        <v>1789.83516483516</v>
      </c>
    </row>
    <row r="13719" spans="1:16" ht="11.25" customHeight="1" x14ac:dyDescent="0.2">
      <c r="A13719" s="344">
        <v>2026</v>
      </c>
      <c r="B13719" s="344">
        <v>2</v>
      </c>
      <c r="C13719" s="344">
        <v>25</v>
      </c>
      <c r="D13719" s="345">
        <f t="shared" si="2085"/>
        <v>46078</v>
      </c>
      <c r="E13719" s="346">
        <f>DATE(A13719,B13719,C13719)</f>
        <v>46078</v>
      </c>
      <c r="F13719" s="518" t="s">
        <v>1988</v>
      </c>
      <c r="G13719" s="347" t="s">
        <v>1245</v>
      </c>
      <c r="H13719" s="348"/>
      <c r="I13719" s="348" t="s">
        <v>1253</v>
      </c>
      <c r="J13719" s="344" t="s">
        <v>113</v>
      </c>
      <c r="K13719" s="349">
        <v>4692.3071428571402</v>
      </c>
      <c r="L13719" s="349"/>
      <c r="M13719" s="455"/>
    </row>
    <row r="13720" spans="1:16" ht="11.25" customHeight="1" x14ac:dyDescent="0.2">
      <c r="A13720" s="350">
        <v>2026</v>
      </c>
      <c r="B13720" s="350">
        <v>2</v>
      </c>
      <c r="C13720" s="350">
        <v>25</v>
      </c>
      <c r="D13720" s="351">
        <f t="shared" si="2085"/>
        <v>46078</v>
      </c>
      <c r="E13720" s="352">
        <f>DATE(A13720,B13720,C13720)</f>
        <v>46078</v>
      </c>
      <c r="F13720" s="519"/>
      <c r="G13720" s="353" t="s">
        <v>1245</v>
      </c>
      <c r="H13720" s="354"/>
      <c r="I13720" s="354" t="s">
        <v>1253</v>
      </c>
      <c r="J13720" s="350" t="s">
        <v>153</v>
      </c>
      <c r="K13720" s="355"/>
      <c r="L13720" s="355">
        <f t="shared" ref="L13720" si="2089">K13719</f>
        <v>4692.3071428571402</v>
      </c>
    </row>
    <row r="13721" spans="1:16" ht="11.25" customHeight="1" x14ac:dyDescent="0.2">
      <c r="A13721" s="344">
        <v>2026</v>
      </c>
      <c r="B13721" s="344">
        <v>2</v>
      </c>
      <c r="C13721" s="344">
        <v>25</v>
      </c>
      <c r="D13721" s="345">
        <f t="shared" si="2085"/>
        <v>46078</v>
      </c>
      <c r="E13721" s="346">
        <f t="shared" ref="E13721:E13727" si="2090">DATE(A13721,B13721,C13721)</f>
        <v>46078</v>
      </c>
      <c r="F13721" s="518" t="s">
        <v>1989</v>
      </c>
      <c r="G13721" s="347" t="s">
        <v>1245</v>
      </c>
      <c r="H13721" s="348"/>
      <c r="I13721" s="348" t="s">
        <v>1253</v>
      </c>
      <c r="J13721" s="344" t="s">
        <v>113</v>
      </c>
      <c r="K13721" s="349">
        <v>3351.6483516483499</v>
      </c>
      <c r="L13721" s="349"/>
      <c r="M13721" s="455"/>
    </row>
    <row r="13722" spans="1:16" ht="11.25" customHeight="1" x14ac:dyDescent="0.2">
      <c r="A13722" s="350">
        <v>2026</v>
      </c>
      <c r="B13722" s="350">
        <v>2</v>
      </c>
      <c r="C13722" s="350">
        <v>25</v>
      </c>
      <c r="D13722" s="351">
        <f t="shared" si="2085"/>
        <v>46078</v>
      </c>
      <c r="E13722" s="352">
        <f t="shared" si="2090"/>
        <v>46078</v>
      </c>
      <c r="F13722" s="519"/>
      <c r="G13722" s="353" t="s">
        <v>1245</v>
      </c>
      <c r="H13722" s="354"/>
      <c r="I13722" s="354" t="s">
        <v>1253</v>
      </c>
      <c r="J13722" s="350" t="s">
        <v>153</v>
      </c>
      <c r="K13722" s="355"/>
      <c r="L13722" s="355">
        <f t="shared" ref="L13722" si="2091">K13721</f>
        <v>3351.6483516483499</v>
      </c>
    </row>
    <row r="13723" spans="1:16" ht="11.25" customHeight="1" x14ac:dyDescent="0.2">
      <c r="A13723" s="344">
        <v>2026</v>
      </c>
      <c r="B13723" s="344">
        <v>2</v>
      </c>
      <c r="C13723" s="344">
        <v>25</v>
      </c>
      <c r="D13723" s="345">
        <f t="shared" si="2085"/>
        <v>46078</v>
      </c>
      <c r="E13723" s="346">
        <f t="shared" si="2090"/>
        <v>46078</v>
      </c>
      <c r="F13723" s="518" t="s">
        <v>1990</v>
      </c>
      <c r="G13723" s="347" t="s">
        <v>1245</v>
      </c>
      <c r="H13723" s="348"/>
      <c r="I13723" s="348" t="s">
        <v>1253</v>
      </c>
      <c r="J13723" s="344" t="s">
        <v>113</v>
      </c>
      <c r="K13723" s="349">
        <v>10054.945714285701</v>
      </c>
      <c r="L13723" s="349"/>
      <c r="M13723" s="455"/>
      <c r="N13723" s="251"/>
      <c r="O13723" s="251"/>
      <c r="P13723" s="251"/>
    </row>
    <row r="13724" spans="1:16" ht="11.25" customHeight="1" x14ac:dyDescent="0.2">
      <c r="A13724" s="350">
        <v>2026</v>
      </c>
      <c r="B13724" s="350">
        <v>2</v>
      </c>
      <c r="C13724" s="350">
        <v>25</v>
      </c>
      <c r="D13724" s="351">
        <f t="shared" si="2085"/>
        <v>46078</v>
      </c>
      <c r="E13724" s="352">
        <f t="shared" si="2090"/>
        <v>46078</v>
      </c>
      <c r="F13724" s="519"/>
      <c r="G13724" s="353" t="s">
        <v>1245</v>
      </c>
      <c r="H13724" s="354"/>
      <c r="I13724" s="354" t="s">
        <v>1253</v>
      </c>
      <c r="J13724" s="350" t="s">
        <v>153</v>
      </c>
      <c r="K13724" s="355"/>
      <c r="L13724" s="355">
        <f t="shared" ref="L13724" si="2092">K13723</f>
        <v>10054.945714285701</v>
      </c>
      <c r="M13724" s="455"/>
    </row>
    <row r="13725" spans="1:16" ht="11.25" customHeight="1" x14ac:dyDescent="0.2">
      <c r="A13725" s="344">
        <v>2026</v>
      </c>
      <c r="B13725" s="344">
        <v>2</v>
      </c>
      <c r="C13725" s="344">
        <v>25</v>
      </c>
      <c r="D13725" s="345">
        <f t="shared" si="2085"/>
        <v>46078</v>
      </c>
      <c r="E13725" s="346">
        <f t="shared" si="2090"/>
        <v>46078</v>
      </c>
      <c r="F13725" s="518" t="s">
        <v>2107</v>
      </c>
      <c r="G13725" s="347" t="s">
        <v>1245</v>
      </c>
      <c r="H13725" s="348"/>
      <c r="I13725" s="348" t="s">
        <v>1253</v>
      </c>
      <c r="J13725" s="344" t="s">
        <v>113</v>
      </c>
      <c r="K13725" s="349">
        <v>12370.879120879101</v>
      </c>
      <c r="L13725" s="349"/>
      <c r="M13725" s="455"/>
      <c r="N13725" s="251"/>
      <c r="O13725" s="251"/>
      <c r="P13725" s="251"/>
    </row>
    <row r="13726" spans="1:16" ht="11.25" customHeight="1" x14ac:dyDescent="0.2">
      <c r="A13726" s="350">
        <v>2026</v>
      </c>
      <c r="B13726" s="350">
        <v>2</v>
      </c>
      <c r="C13726" s="350">
        <v>25</v>
      </c>
      <c r="D13726" s="351">
        <f t="shared" si="2085"/>
        <v>46078</v>
      </c>
      <c r="E13726" s="352">
        <f t="shared" si="2090"/>
        <v>46078</v>
      </c>
      <c r="F13726" s="519"/>
      <c r="G13726" s="353" t="s">
        <v>1245</v>
      </c>
      <c r="H13726" s="354"/>
      <c r="I13726" s="354" t="s">
        <v>1253</v>
      </c>
      <c r="J13726" s="350" t="s">
        <v>153</v>
      </c>
      <c r="K13726" s="355"/>
      <c r="L13726" s="355">
        <f t="shared" ref="L13726" si="2093">K13725</f>
        <v>12370.879120879101</v>
      </c>
    </row>
    <row r="13727" spans="1:16" ht="11.25" customHeight="1" x14ac:dyDescent="0.2">
      <c r="A13727" s="210">
        <v>2026</v>
      </c>
      <c r="B13727" s="210">
        <v>2</v>
      </c>
      <c r="C13727" s="210">
        <v>25</v>
      </c>
      <c r="D13727" s="211">
        <f t="shared" ref="D13727:D13763" si="2094">DATE(A13727,B13727,C13727)</f>
        <v>46078</v>
      </c>
      <c r="E13727" s="238">
        <f t="shared" si="2090"/>
        <v>46078</v>
      </c>
      <c r="F13727" s="520" t="s">
        <v>1857</v>
      </c>
      <c r="G13727" s="213" t="s">
        <v>1245</v>
      </c>
      <c r="H13727" s="214"/>
      <c r="I13727" s="214" t="s">
        <v>1253</v>
      </c>
      <c r="J13727" s="210" t="s">
        <v>1284</v>
      </c>
      <c r="K13727" s="215">
        <v>334.54448777029398</v>
      </c>
      <c r="L13727" s="215"/>
      <c r="M13727" s="455"/>
    </row>
    <row r="13728" spans="1:16" ht="11.25" customHeight="1" x14ac:dyDescent="0.2">
      <c r="A13728" s="242">
        <v>2026</v>
      </c>
      <c r="B13728" s="242">
        <v>2</v>
      </c>
      <c r="C13728" s="242">
        <v>25</v>
      </c>
      <c r="D13728" s="243">
        <f t="shared" si="2094"/>
        <v>46078</v>
      </c>
      <c r="E13728" s="244">
        <f>DATE(A13728,B13728,C13728)</f>
        <v>46078</v>
      </c>
      <c r="F13728" s="524"/>
      <c r="G13728" s="245" t="s">
        <v>1245</v>
      </c>
      <c r="H13728" s="246"/>
      <c r="I13728" s="246"/>
      <c r="J13728" s="242" t="s">
        <v>1582</v>
      </c>
      <c r="K13728" s="247"/>
      <c r="L13728" s="247">
        <f>K13727</f>
        <v>334.54448777029398</v>
      </c>
    </row>
    <row r="13729" spans="1:15" ht="11.25" customHeight="1" x14ac:dyDescent="0.2">
      <c r="A13729" s="210">
        <v>2026</v>
      </c>
      <c r="B13729" s="210">
        <v>2</v>
      </c>
      <c r="C13729" s="210">
        <v>25</v>
      </c>
      <c r="D13729" s="211">
        <f t="shared" si="2094"/>
        <v>46078</v>
      </c>
      <c r="E13729" s="238">
        <f t="shared" ref="E13729:E13755" si="2095">DATE(A13729,B13729,C13729)</f>
        <v>46078</v>
      </c>
      <c r="F13729" s="520" t="s">
        <v>2055</v>
      </c>
      <c r="G13729" s="213" t="s">
        <v>1245</v>
      </c>
      <c r="H13729" s="214"/>
      <c r="I13729" s="214" t="s">
        <v>1253</v>
      </c>
      <c r="J13729" s="210" t="s">
        <v>58</v>
      </c>
      <c r="K13729" s="215">
        <v>2281.5275383333337</v>
      </c>
      <c r="L13729" s="215"/>
    </row>
    <row r="13730" spans="1:15" ht="11.25" customHeight="1" x14ac:dyDescent="0.2">
      <c r="A13730" s="216">
        <v>2026</v>
      </c>
      <c r="B13730" s="216">
        <v>2</v>
      </c>
      <c r="C13730" s="216">
        <v>25</v>
      </c>
      <c r="D13730" s="217">
        <f t="shared" si="2094"/>
        <v>46078</v>
      </c>
      <c r="E13730" s="239">
        <f t="shared" si="2095"/>
        <v>46078</v>
      </c>
      <c r="F13730" s="521"/>
      <c r="G13730" s="219" t="s">
        <v>1245</v>
      </c>
      <c r="H13730" s="220"/>
      <c r="I13730" s="220" t="s">
        <v>1253</v>
      </c>
      <c r="J13730" s="216" t="s">
        <v>153</v>
      </c>
      <c r="K13730" s="221"/>
      <c r="L13730" s="221">
        <f>K13729</f>
        <v>2281.5275383333337</v>
      </c>
    </row>
    <row r="13731" spans="1:15" ht="11.25" customHeight="1" x14ac:dyDescent="0.2">
      <c r="A13731" s="312">
        <v>2026</v>
      </c>
      <c r="B13731" s="312">
        <v>2</v>
      </c>
      <c r="C13731" s="312">
        <v>25</v>
      </c>
      <c r="D13731" s="313">
        <f t="shared" si="2094"/>
        <v>46078</v>
      </c>
      <c r="E13731" s="314">
        <f t="shared" si="2095"/>
        <v>46078</v>
      </c>
      <c r="F13731" s="522" t="s">
        <v>1595</v>
      </c>
      <c r="G13731" s="315" t="s">
        <v>1245</v>
      </c>
      <c r="H13731" s="316"/>
      <c r="I13731" s="316" t="s">
        <v>1253</v>
      </c>
      <c r="J13731" s="312" t="s">
        <v>1461</v>
      </c>
      <c r="K13731" s="317">
        <v>96471.887999951839</v>
      </c>
      <c r="L13731" s="317"/>
      <c r="M13731" s="328"/>
    </row>
    <row r="13732" spans="1:15" ht="11.25" customHeight="1" x14ac:dyDescent="0.2">
      <c r="A13732" s="318">
        <v>2026</v>
      </c>
      <c r="B13732" s="318">
        <v>2</v>
      </c>
      <c r="C13732" s="318">
        <v>25</v>
      </c>
      <c r="D13732" s="319">
        <f t="shared" si="2094"/>
        <v>46078</v>
      </c>
      <c r="E13732" s="320">
        <f t="shared" si="2095"/>
        <v>46078</v>
      </c>
      <c r="F13732" s="523"/>
      <c r="G13732" s="321" t="s">
        <v>1245</v>
      </c>
      <c r="H13732" s="322"/>
      <c r="I13732" s="322" t="s">
        <v>1253</v>
      </c>
      <c r="J13732" s="318" t="s">
        <v>1459</v>
      </c>
      <c r="K13732" s="323"/>
      <c r="L13732" s="323">
        <f>K13731</f>
        <v>96471.887999951839</v>
      </c>
      <c r="M13732" s="328"/>
    </row>
    <row r="13733" spans="1:15" ht="11.25" customHeight="1" x14ac:dyDescent="0.2">
      <c r="A13733" s="222">
        <v>2026</v>
      </c>
      <c r="B13733" s="222">
        <v>2</v>
      </c>
      <c r="C13733" s="222">
        <v>25</v>
      </c>
      <c r="D13733" s="223">
        <f t="shared" si="2094"/>
        <v>46078</v>
      </c>
      <c r="E13733" s="240">
        <f t="shared" si="2095"/>
        <v>46078</v>
      </c>
      <c r="F13733" s="511" t="s">
        <v>1244</v>
      </c>
      <c r="G13733" s="225" t="s">
        <v>1245</v>
      </c>
      <c r="H13733" s="226"/>
      <c r="I13733" s="226" t="s">
        <v>1253</v>
      </c>
      <c r="J13733" s="222" t="s">
        <v>87</v>
      </c>
      <c r="K13733" s="227">
        <v>2602.5</v>
      </c>
      <c r="L13733" s="227"/>
      <c r="M13733" s="328"/>
    </row>
    <row r="13734" spans="1:15" ht="11.25" customHeight="1" x14ac:dyDescent="0.2">
      <c r="A13734" s="228">
        <v>2026</v>
      </c>
      <c r="B13734" s="228">
        <v>2</v>
      </c>
      <c r="C13734" s="228">
        <v>25</v>
      </c>
      <c r="D13734" s="229">
        <f t="shared" si="2094"/>
        <v>46078</v>
      </c>
      <c r="E13734" s="241">
        <f t="shared" si="2095"/>
        <v>46078</v>
      </c>
      <c r="F13734" s="512"/>
      <c r="G13734" s="231" t="s">
        <v>1245</v>
      </c>
      <c r="H13734" s="232"/>
      <c r="I13734" s="232" t="s">
        <v>1253</v>
      </c>
      <c r="J13734" s="228" t="s">
        <v>72</v>
      </c>
      <c r="K13734" s="233"/>
      <c r="L13734" s="233">
        <f>K13733</f>
        <v>2602.5</v>
      </c>
    </row>
    <row r="13735" spans="1:15" ht="11.25" customHeight="1" x14ac:dyDescent="0.2">
      <c r="A13735" s="222">
        <v>2026</v>
      </c>
      <c r="B13735" s="222">
        <v>2</v>
      </c>
      <c r="C13735" s="222">
        <v>25</v>
      </c>
      <c r="D13735" s="223">
        <f t="shared" si="2094"/>
        <v>46078</v>
      </c>
      <c r="E13735" s="240">
        <f t="shared" si="2095"/>
        <v>46078</v>
      </c>
      <c r="F13735" s="511" t="s">
        <v>2138</v>
      </c>
      <c r="G13735" s="225" t="s">
        <v>1245</v>
      </c>
      <c r="H13735" s="226"/>
      <c r="I13735" s="226" t="s">
        <v>1253</v>
      </c>
      <c r="J13735" s="222" t="s">
        <v>75</v>
      </c>
      <c r="K13735" s="227">
        <v>517.58912087912097</v>
      </c>
      <c r="L13735" s="227"/>
      <c r="M13735" s="455"/>
    </row>
    <row r="13736" spans="1:15" ht="11.25" customHeight="1" x14ac:dyDescent="0.2">
      <c r="A13736" s="228">
        <v>2026</v>
      </c>
      <c r="B13736" s="228">
        <v>2</v>
      </c>
      <c r="C13736" s="228">
        <v>25</v>
      </c>
      <c r="D13736" s="229">
        <f t="shared" si="2094"/>
        <v>46078</v>
      </c>
      <c r="E13736" s="241">
        <f t="shared" si="2095"/>
        <v>46078</v>
      </c>
      <c r="F13736" s="512"/>
      <c r="G13736" s="231" t="s">
        <v>1245</v>
      </c>
      <c r="H13736" s="232"/>
      <c r="I13736" s="232" t="s">
        <v>1253</v>
      </c>
      <c r="J13736" s="228" t="s">
        <v>55</v>
      </c>
      <c r="K13736" s="233"/>
      <c r="L13736" s="233">
        <f>K13735</f>
        <v>517.58912087912097</v>
      </c>
    </row>
    <row r="13737" spans="1:15" ht="11.25" customHeight="1" x14ac:dyDescent="0.2">
      <c r="A13737" s="222">
        <v>2026</v>
      </c>
      <c r="B13737" s="222">
        <v>2</v>
      </c>
      <c r="C13737" s="222">
        <v>25</v>
      </c>
      <c r="D13737" s="223">
        <f t="shared" si="2094"/>
        <v>46078</v>
      </c>
      <c r="E13737" s="240">
        <f t="shared" si="2095"/>
        <v>46078</v>
      </c>
      <c r="F13737" s="511" t="s">
        <v>2137</v>
      </c>
      <c r="G13737" s="225" t="s">
        <v>1245</v>
      </c>
      <c r="H13737" s="226"/>
      <c r="I13737" s="226" t="s">
        <v>1253</v>
      </c>
      <c r="J13737" s="222" t="s">
        <v>77</v>
      </c>
      <c r="K13737" s="227">
        <v>7458.0703690502905</v>
      </c>
      <c r="L13737" s="227"/>
      <c r="M13737" s="478"/>
    </row>
    <row r="13738" spans="1:15" ht="11.25" customHeight="1" x14ac:dyDescent="0.2">
      <c r="A13738" s="228">
        <v>2026</v>
      </c>
      <c r="B13738" s="228">
        <v>2</v>
      </c>
      <c r="C13738" s="228">
        <v>25</v>
      </c>
      <c r="D13738" s="229">
        <f t="shared" si="2094"/>
        <v>46078</v>
      </c>
      <c r="E13738" s="241">
        <f t="shared" si="2095"/>
        <v>46078</v>
      </c>
      <c r="F13738" s="512"/>
      <c r="G13738" s="231" t="s">
        <v>1245</v>
      </c>
      <c r="H13738" s="232"/>
      <c r="I13738" s="232" t="s">
        <v>1253</v>
      </c>
      <c r="J13738" s="228" t="s">
        <v>41</v>
      </c>
      <c r="K13738" s="233"/>
      <c r="L13738" s="233">
        <f>K13737</f>
        <v>7458.0703690502905</v>
      </c>
      <c r="M13738" s="328">
        <v>7458.0703690502905</v>
      </c>
      <c r="N13738" s="251"/>
    </row>
    <row r="13739" spans="1:15" ht="11.25" customHeight="1" x14ac:dyDescent="0.2">
      <c r="A13739" s="222">
        <v>2026</v>
      </c>
      <c r="B13739" s="222">
        <v>2</v>
      </c>
      <c r="C13739" s="222">
        <v>25</v>
      </c>
      <c r="D13739" s="223">
        <f t="shared" si="2094"/>
        <v>46078</v>
      </c>
      <c r="E13739" s="240">
        <f t="shared" si="2095"/>
        <v>46078</v>
      </c>
      <c r="F13739" s="511" t="s">
        <v>2136</v>
      </c>
      <c r="G13739" s="225" t="s">
        <v>1245</v>
      </c>
      <c r="H13739" s="226"/>
      <c r="I13739" s="226" t="s">
        <v>1253</v>
      </c>
      <c r="J13739" s="222" t="s">
        <v>80</v>
      </c>
      <c r="K13739" s="227">
        <v>745.80703690502901</v>
      </c>
      <c r="L13739" s="227"/>
      <c r="M13739" s="328">
        <v>745.80703690502901</v>
      </c>
      <c r="N13739" s="251"/>
      <c r="O13739" s="251"/>
    </row>
    <row r="13740" spans="1:15" ht="11.25" customHeight="1" x14ac:dyDescent="0.2">
      <c r="A13740" s="228">
        <v>2026</v>
      </c>
      <c r="B13740" s="228">
        <v>2</v>
      </c>
      <c r="C13740" s="228">
        <v>25</v>
      </c>
      <c r="D13740" s="229">
        <f t="shared" si="2094"/>
        <v>46078</v>
      </c>
      <c r="E13740" s="241">
        <f t="shared" si="2095"/>
        <v>46078</v>
      </c>
      <c r="F13740" s="512"/>
      <c r="G13740" s="231" t="s">
        <v>1245</v>
      </c>
      <c r="H13740" s="232"/>
      <c r="I13740" s="232" t="s">
        <v>1253</v>
      </c>
      <c r="J13740" s="228" t="s">
        <v>42</v>
      </c>
      <c r="K13740" s="233"/>
      <c r="L13740" s="233">
        <f>K13739</f>
        <v>745.80703690502901</v>
      </c>
      <c r="N13740" s="251"/>
    </row>
    <row r="13741" spans="1:15" x14ac:dyDescent="0.2">
      <c r="A13741" s="197">
        <v>2026</v>
      </c>
      <c r="B13741" s="197">
        <v>2</v>
      </c>
      <c r="C13741" s="197">
        <v>26</v>
      </c>
      <c r="D13741" s="198">
        <f t="shared" si="2094"/>
        <v>46079</v>
      </c>
      <c r="E13741" s="209">
        <f t="shared" si="2095"/>
        <v>46079</v>
      </c>
      <c r="F13741" s="513" t="s">
        <v>1296</v>
      </c>
      <c r="G13741" s="200" t="s">
        <v>1209</v>
      </c>
      <c r="H13741" s="201"/>
      <c r="I13741" s="201"/>
      <c r="J13741" s="197" t="s">
        <v>46</v>
      </c>
      <c r="K13741" s="202">
        <v>459140</v>
      </c>
      <c r="L13741" s="202"/>
    </row>
    <row r="13742" spans="1:15" x14ac:dyDescent="0.2">
      <c r="A13742" s="120">
        <v>2026</v>
      </c>
      <c r="B13742" s="120">
        <v>2</v>
      </c>
      <c r="C13742" s="120">
        <v>26</v>
      </c>
      <c r="D13742" s="208">
        <f t="shared" si="2094"/>
        <v>46079</v>
      </c>
      <c r="E13742" s="209">
        <f t="shared" si="2095"/>
        <v>46079</v>
      </c>
      <c r="F13742" s="515"/>
      <c r="G13742" s="132" t="s">
        <v>1209</v>
      </c>
      <c r="J13742" s="120" t="s">
        <v>16</v>
      </c>
      <c r="K13742" s="207"/>
      <c r="L13742" s="207">
        <v>325940</v>
      </c>
    </row>
    <row r="13743" spans="1:15" x14ac:dyDescent="0.2">
      <c r="A13743" s="191">
        <v>2026</v>
      </c>
      <c r="B13743" s="191">
        <v>2</v>
      </c>
      <c r="C13743" s="191">
        <v>26</v>
      </c>
      <c r="D13743" s="192">
        <f t="shared" si="2094"/>
        <v>46079</v>
      </c>
      <c r="E13743" s="193">
        <f t="shared" si="2095"/>
        <v>46079</v>
      </c>
      <c r="F13743" s="514"/>
      <c r="G13743" s="194" t="s">
        <v>1209</v>
      </c>
      <c r="H13743" s="195"/>
      <c r="I13743" s="195"/>
      <c r="J13743" s="191" t="s">
        <v>47</v>
      </c>
      <c r="K13743" s="196"/>
      <c r="L13743" s="196">
        <v>133200</v>
      </c>
    </row>
    <row r="13744" spans="1:15" x14ac:dyDescent="0.2">
      <c r="A13744" s="424">
        <v>2026</v>
      </c>
      <c r="B13744" s="424">
        <v>2</v>
      </c>
      <c r="C13744" s="424">
        <v>26</v>
      </c>
      <c r="D13744" s="425">
        <f t="shared" si="2094"/>
        <v>46079</v>
      </c>
      <c r="E13744" s="384">
        <f t="shared" si="2095"/>
        <v>46079</v>
      </c>
      <c r="F13744" s="516" t="s">
        <v>1850</v>
      </c>
      <c r="G13744" s="426" t="s">
        <v>1209</v>
      </c>
      <c r="H13744" s="427"/>
      <c r="I13744" s="427"/>
      <c r="J13744" s="428" t="s">
        <v>81</v>
      </c>
      <c r="K13744" s="429">
        <v>1595.81736263736</v>
      </c>
      <c r="L13744" s="429"/>
      <c r="M13744" s="455"/>
    </row>
    <row r="13745" spans="1:16" x14ac:dyDescent="0.2">
      <c r="A13745" s="389">
        <v>2026</v>
      </c>
      <c r="B13745" s="389">
        <v>2</v>
      </c>
      <c r="C13745" s="389">
        <v>26</v>
      </c>
      <c r="D13745" s="390">
        <f t="shared" si="2094"/>
        <v>46079</v>
      </c>
      <c r="E13745" s="391">
        <f t="shared" si="2095"/>
        <v>46079</v>
      </c>
      <c r="F13745" s="517"/>
      <c r="G13745" s="392" t="s">
        <v>1209</v>
      </c>
      <c r="H13745" s="393"/>
      <c r="I13745" s="393"/>
      <c r="J13745" s="394" t="s">
        <v>1847</v>
      </c>
      <c r="K13745" s="423"/>
      <c r="L13745" s="423">
        <f>K13744</f>
        <v>1595.81736263736</v>
      </c>
    </row>
    <row r="13746" spans="1:16" ht="11.25" customHeight="1" x14ac:dyDescent="0.2">
      <c r="A13746" s="382">
        <v>2026</v>
      </c>
      <c r="B13746" s="382">
        <v>2</v>
      </c>
      <c r="C13746" s="382">
        <v>26</v>
      </c>
      <c r="D13746" s="383">
        <f t="shared" si="2094"/>
        <v>46079</v>
      </c>
      <c r="E13746" s="384">
        <f t="shared" si="2095"/>
        <v>46079</v>
      </c>
      <c r="F13746" s="516" t="s">
        <v>1892</v>
      </c>
      <c r="G13746" s="385" t="s">
        <v>1209</v>
      </c>
      <c r="H13746" s="386"/>
      <c r="I13746" s="386"/>
      <c r="J13746" s="387" t="s">
        <v>173</v>
      </c>
      <c r="K13746" s="388">
        <v>588.02310123055565</v>
      </c>
      <c r="L13746" s="388"/>
      <c r="M13746" s="455"/>
    </row>
    <row r="13747" spans="1:16" ht="11.25" customHeight="1" x14ac:dyDescent="0.2">
      <c r="A13747" s="389">
        <v>2026</v>
      </c>
      <c r="B13747" s="389">
        <v>2</v>
      </c>
      <c r="C13747" s="389">
        <v>26</v>
      </c>
      <c r="D13747" s="390">
        <f t="shared" si="2094"/>
        <v>46079</v>
      </c>
      <c r="E13747" s="391">
        <f t="shared" si="2095"/>
        <v>46079</v>
      </c>
      <c r="F13747" s="517"/>
      <c r="G13747" s="392" t="s">
        <v>1209</v>
      </c>
      <c r="H13747" s="393"/>
      <c r="I13747" s="393"/>
      <c r="J13747" s="394" t="s">
        <v>43</v>
      </c>
      <c r="K13747" s="388"/>
      <c r="L13747" s="423">
        <f>K13746</f>
        <v>588.02310123055565</v>
      </c>
    </row>
    <row r="13748" spans="1:16" ht="11.25" customHeight="1" x14ac:dyDescent="0.2">
      <c r="A13748" s="344">
        <v>2026</v>
      </c>
      <c r="B13748" s="344">
        <v>2</v>
      </c>
      <c r="C13748" s="344">
        <v>26</v>
      </c>
      <c r="D13748" s="345">
        <f t="shared" si="2094"/>
        <v>46079</v>
      </c>
      <c r="E13748" s="346">
        <f t="shared" si="2095"/>
        <v>46079</v>
      </c>
      <c r="F13748" s="518" t="s">
        <v>1982</v>
      </c>
      <c r="G13748" s="347" t="s">
        <v>1245</v>
      </c>
      <c r="H13748" s="348"/>
      <c r="I13748" s="348" t="s">
        <v>1253</v>
      </c>
      <c r="J13748" s="344" t="s">
        <v>1978</v>
      </c>
      <c r="K13748" s="349">
        <v>20878.176795580108</v>
      </c>
      <c r="L13748" s="349"/>
      <c r="M13748" s="455"/>
    </row>
    <row r="13749" spans="1:16" ht="11.25" customHeight="1" x14ac:dyDescent="0.2">
      <c r="A13749" s="350">
        <v>2026</v>
      </c>
      <c r="B13749" s="350">
        <v>2</v>
      </c>
      <c r="C13749" s="350">
        <v>26</v>
      </c>
      <c r="D13749" s="351">
        <f t="shared" si="2094"/>
        <v>46079</v>
      </c>
      <c r="E13749" s="352">
        <f t="shared" si="2095"/>
        <v>46079</v>
      </c>
      <c r="F13749" s="519"/>
      <c r="G13749" s="353" t="s">
        <v>1245</v>
      </c>
      <c r="H13749" s="354"/>
      <c r="I13749" s="354" t="s">
        <v>1253</v>
      </c>
      <c r="J13749" s="350" t="s">
        <v>1979</v>
      </c>
      <c r="K13749" s="355"/>
      <c r="L13749" s="355">
        <f>K13748</f>
        <v>20878.176795580108</v>
      </c>
    </row>
    <row r="13750" spans="1:16" ht="11.25" customHeight="1" x14ac:dyDescent="0.2">
      <c r="A13750" s="344">
        <v>2026</v>
      </c>
      <c r="B13750" s="344">
        <v>2</v>
      </c>
      <c r="C13750" s="344">
        <v>26</v>
      </c>
      <c r="D13750" s="345">
        <f t="shared" si="2094"/>
        <v>46079</v>
      </c>
      <c r="E13750" s="346">
        <f t="shared" si="2095"/>
        <v>46079</v>
      </c>
      <c r="F13750" s="518" t="s">
        <v>2009</v>
      </c>
      <c r="G13750" s="347" t="s">
        <v>1245</v>
      </c>
      <c r="H13750" s="348"/>
      <c r="I13750" s="348" t="s">
        <v>1253</v>
      </c>
      <c r="J13750" s="344" t="s">
        <v>2004</v>
      </c>
      <c r="K13750" s="349">
        <v>7098.9014285714302</v>
      </c>
      <c r="L13750" s="349"/>
      <c r="M13750" s="455"/>
    </row>
    <row r="13751" spans="1:16" ht="11.25" customHeight="1" x14ac:dyDescent="0.2">
      <c r="A13751" s="350">
        <v>2026</v>
      </c>
      <c r="B13751" s="350">
        <v>2</v>
      </c>
      <c r="C13751" s="350">
        <v>26</v>
      </c>
      <c r="D13751" s="351">
        <f t="shared" si="2094"/>
        <v>46079</v>
      </c>
      <c r="E13751" s="352">
        <f t="shared" si="2095"/>
        <v>46079</v>
      </c>
      <c r="F13751" s="519"/>
      <c r="G13751" s="353" t="s">
        <v>1245</v>
      </c>
      <c r="H13751" s="354"/>
      <c r="I13751" s="354" t="s">
        <v>1253</v>
      </c>
      <c r="J13751" s="350" t="s">
        <v>2008</v>
      </c>
      <c r="K13751" s="355"/>
      <c r="L13751" s="355">
        <f t="shared" ref="L13751" si="2096">K13750</f>
        <v>7098.9014285714302</v>
      </c>
    </row>
    <row r="13752" spans="1:16" ht="11.25" customHeight="1" x14ac:dyDescent="0.2">
      <c r="A13752" s="344">
        <v>2026</v>
      </c>
      <c r="B13752" s="344">
        <v>2</v>
      </c>
      <c r="C13752" s="344">
        <v>26</v>
      </c>
      <c r="D13752" s="345">
        <f t="shared" si="2094"/>
        <v>46079</v>
      </c>
      <c r="E13752" s="346">
        <f t="shared" si="2095"/>
        <v>46079</v>
      </c>
      <c r="F13752" s="518" t="s">
        <v>2009</v>
      </c>
      <c r="G13752" s="347" t="s">
        <v>1245</v>
      </c>
      <c r="H13752" s="348"/>
      <c r="I13752" s="348" t="s">
        <v>1253</v>
      </c>
      <c r="J13752" s="344" t="s">
        <v>2004</v>
      </c>
      <c r="K13752" s="349">
        <v>7098.9014285714302</v>
      </c>
      <c r="L13752" s="349"/>
      <c r="M13752" s="455"/>
    </row>
    <row r="13753" spans="1:16" ht="11.25" customHeight="1" x14ac:dyDescent="0.2">
      <c r="A13753" s="350">
        <v>2026</v>
      </c>
      <c r="B13753" s="350">
        <v>2</v>
      </c>
      <c r="C13753" s="350">
        <v>26</v>
      </c>
      <c r="D13753" s="351">
        <f t="shared" si="2094"/>
        <v>46079</v>
      </c>
      <c r="E13753" s="352">
        <f t="shared" si="2095"/>
        <v>46079</v>
      </c>
      <c r="F13753" s="519"/>
      <c r="G13753" s="353" t="s">
        <v>1245</v>
      </c>
      <c r="H13753" s="354"/>
      <c r="I13753" s="354" t="s">
        <v>1253</v>
      </c>
      <c r="J13753" s="350" t="s">
        <v>2008</v>
      </c>
      <c r="K13753" s="355"/>
      <c r="L13753" s="355">
        <f t="shared" ref="L13753" si="2097">K13752</f>
        <v>7098.9014285714302</v>
      </c>
    </row>
    <row r="13754" spans="1:16" ht="11.25" customHeight="1" x14ac:dyDescent="0.2">
      <c r="A13754" s="344">
        <v>2026</v>
      </c>
      <c r="B13754" s="344">
        <v>2</v>
      </c>
      <c r="C13754" s="344">
        <v>26</v>
      </c>
      <c r="D13754" s="345">
        <f t="shared" si="2094"/>
        <v>46079</v>
      </c>
      <c r="E13754" s="346">
        <f t="shared" si="2095"/>
        <v>46079</v>
      </c>
      <c r="F13754" s="518" t="s">
        <v>2088</v>
      </c>
      <c r="G13754" s="347" t="s">
        <v>1245</v>
      </c>
      <c r="H13754" s="348"/>
      <c r="I13754" s="348" t="s">
        <v>1253</v>
      </c>
      <c r="J13754" s="344" t="s">
        <v>2086</v>
      </c>
      <c r="K13754" s="349">
        <v>1789.83516483516</v>
      </c>
      <c r="L13754" s="349"/>
      <c r="M13754" s="455"/>
    </row>
    <row r="13755" spans="1:16" ht="11.25" customHeight="1" x14ac:dyDescent="0.2">
      <c r="A13755" s="350">
        <v>2026</v>
      </c>
      <c r="B13755" s="350">
        <v>2</v>
      </c>
      <c r="C13755" s="350">
        <v>26</v>
      </c>
      <c r="D13755" s="351">
        <f t="shared" si="2094"/>
        <v>46079</v>
      </c>
      <c r="E13755" s="352">
        <f t="shared" si="2095"/>
        <v>46079</v>
      </c>
      <c r="F13755" s="519"/>
      <c r="G13755" s="353" t="s">
        <v>1245</v>
      </c>
      <c r="H13755" s="354"/>
      <c r="I13755" s="354" t="s">
        <v>1253</v>
      </c>
      <c r="J13755" s="350" t="s">
        <v>2089</v>
      </c>
      <c r="K13755" s="355"/>
      <c r="L13755" s="355">
        <f>K13754</f>
        <v>1789.83516483516</v>
      </c>
    </row>
    <row r="13756" spans="1:16" ht="11.25" customHeight="1" x14ac:dyDescent="0.2">
      <c r="A13756" s="344">
        <v>2026</v>
      </c>
      <c r="B13756" s="344">
        <v>2</v>
      </c>
      <c r="C13756" s="344">
        <v>26</v>
      </c>
      <c r="D13756" s="345">
        <f t="shared" si="2094"/>
        <v>46079</v>
      </c>
      <c r="E13756" s="346">
        <f>DATE(A13756,B13756,C13756)</f>
        <v>46079</v>
      </c>
      <c r="F13756" s="518" t="s">
        <v>1988</v>
      </c>
      <c r="G13756" s="347" t="s">
        <v>1245</v>
      </c>
      <c r="H13756" s="348"/>
      <c r="I13756" s="348" t="s">
        <v>1253</v>
      </c>
      <c r="J13756" s="344" t="s">
        <v>113</v>
      </c>
      <c r="K13756" s="349">
        <v>4692.3071428571402</v>
      </c>
      <c r="L13756" s="349"/>
      <c r="M13756" s="455"/>
    </row>
    <row r="13757" spans="1:16" ht="11.25" customHeight="1" x14ac:dyDescent="0.2">
      <c r="A13757" s="350">
        <v>2026</v>
      </c>
      <c r="B13757" s="350">
        <v>2</v>
      </c>
      <c r="C13757" s="350">
        <v>26</v>
      </c>
      <c r="D13757" s="351">
        <f t="shared" si="2094"/>
        <v>46079</v>
      </c>
      <c r="E13757" s="352">
        <f>DATE(A13757,B13757,C13757)</f>
        <v>46079</v>
      </c>
      <c r="F13757" s="519"/>
      <c r="G13757" s="353" t="s">
        <v>1245</v>
      </c>
      <c r="H13757" s="354"/>
      <c r="I13757" s="354" t="s">
        <v>1253</v>
      </c>
      <c r="J13757" s="350" t="s">
        <v>153</v>
      </c>
      <c r="K13757" s="355"/>
      <c r="L13757" s="355">
        <f t="shared" ref="L13757" si="2098">K13756</f>
        <v>4692.3071428571402</v>
      </c>
    </row>
    <row r="13758" spans="1:16" ht="11.25" customHeight="1" x14ac:dyDescent="0.2">
      <c r="A13758" s="344">
        <v>2026</v>
      </c>
      <c r="B13758" s="344">
        <v>2</v>
      </c>
      <c r="C13758" s="344">
        <v>26</v>
      </c>
      <c r="D13758" s="345">
        <f t="shared" si="2094"/>
        <v>46079</v>
      </c>
      <c r="E13758" s="346">
        <f t="shared" ref="E13758:E13764" si="2099">DATE(A13758,B13758,C13758)</f>
        <v>46079</v>
      </c>
      <c r="F13758" s="518" t="s">
        <v>1989</v>
      </c>
      <c r="G13758" s="347" t="s">
        <v>1245</v>
      </c>
      <c r="H13758" s="348"/>
      <c r="I13758" s="348" t="s">
        <v>1253</v>
      </c>
      <c r="J13758" s="344" t="s">
        <v>113</v>
      </c>
      <c r="K13758" s="349">
        <v>3351.6483516483499</v>
      </c>
      <c r="L13758" s="349"/>
      <c r="M13758" s="455"/>
    </row>
    <row r="13759" spans="1:16" ht="11.25" customHeight="1" x14ac:dyDescent="0.2">
      <c r="A13759" s="350">
        <v>2026</v>
      </c>
      <c r="B13759" s="350">
        <v>2</v>
      </c>
      <c r="C13759" s="350">
        <v>26</v>
      </c>
      <c r="D13759" s="351">
        <f t="shared" si="2094"/>
        <v>46079</v>
      </c>
      <c r="E13759" s="352">
        <f t="shared" si="2099"/>
        <v>46079</v>
      </c>
      <c r="F13759" s="519"/>
      <c r="G13759" s="353" t="s">
        <v>1245</v>
      </c>
      <c r="H13759" s="354"/>
      <c r="I13759" s="354" t="s">
        <v>1253</v>
      </c>
      <c r="J13759" s="350" t="s">
        <v>153</v>
      </c>
      <c r="K13759" s="355"/>
      <c r="L13759" s="355">
        <f t="shared" ref="L13759" si="2100">K13758</f>
        <v>3351.6483516483499</v>
      </c>
    </row>
    <row r="13760" spans="1:16" ht="11.25" customHeight="1" x14ac:dyDescent="0.2">
      <c r="A13760" s="344">
        <v>2026</v>
      </c>
      <c r="B13760" s="344">
        <v>2</v>
      </c>
      <c r="C13760" s="344">
        <v>26</v>
      </c>
      <c r="D13760" s="345">
        <f t="shared" si="2094"/>
        <v>46079</v>
      </c>
      <c r="E13760" s="346">
        <f t="shared" si="2099"/>
        <v>46079</v>
      </c>
      <c r="F13760" s="518" t="s">
        <v>1990</v>
      </c>
      <c r="G13760" s="347" t="s">
        <v>1245</v>
      </c>
      <c r="H13760" s="348"/>
      <c r="I13760" s="348" t="s">
        <v>1253</v>
      </c>
      <c r="J13760" s="344" t="s">
        <v>113</v>
      </c>
      <c r="K13760" s="349">
        <v>10054.945714285701</v>
      </c>
      <c r="L13760" s="349"/>
      <c r="M13760" s="455"/>
      <c r="N13760" s="251"/>
      <c r="O13760" s="251"/>
      <c r="P13760" s="251"/>
    </row>
    <row r="13761" spans="1:16" ht="11.25" customHeight="1" x14ac:dyDescent="0.2">
      <c r="A13761" s="350">
        <v>2026</v>
      </c>
      <c r="B13761" s="350">
        <v>2</v>
      </c>
      <c r="C13761" s="350">
        <v>26</v>
      </c>
      <c r="D13761" s="351">
        <f t="shared" si="2094"/>
        <v>46079</v>
      </c>
      <c r="E13761" s="352">
        <f t="shared" si="2099"/>
        <v>46079</v>
      </c>
      <c r="F13761" s="519"/>
      <c r="G13761" s="353" t="s">
        <v>1245</v>
      </c>
      <c r="H13761" s="354"/>
      <c r="I13761" s="354" t="s">
        <v>1253</v>
      </c>
      <c r="J13761" s="350" t="s">
        <v>153</v>
      </c>
      <c r="K13761" s="355"/>
      <c r="L13761" s="355">
        <f t="shared" ref="L13761" si="2101">K13760</f>
        <v>10054.945714285701</v>
      </c>
      <c r="M13761" s="455"/>
    </row>
    <row r="13762" spans="1:16" ht="11.25" customHeight="1" x14ac:dyDescent="0.2">
      <c r="A13762" s="344">
        <v>2026</v>
      </c>
      <c r="B13762" s="344">
        <v>2</v>
      </c>
      <c r="C13762" s="344">
        <v>26</v>
      </c>
      <c r="D13762" s="345">
        <f t="shared" si="2094"/>
        <v>46079</v>
      </c>
      <c r="E13762" s="346">
        <f t="shared" si="2099"/>
        <v>46079</v>
      </c>
      <c r="F13762" s="518" t="s">
        <v>2107</v>
      </c>
      <c r="G13762" s="347" t="s">
        <v>1245</v>
      </c>
      <c r="H13762" s="348"/>
      <c r="I13762" s="348" t="s">
        <v>1253</v>
      </c>
      <c r="J13762" s="344" t="s">
        <v>113</v>
      </c>
      <c r="K13762" s="349">
        <v>12370.879120879101</v>
      </c>
      <c r="L13762" s="349"/>
      <c r="M13762" s="455"/>
      <c r="N13762" s="251"/>
      <c r="O13762" s="251"/>
      <c r="P13762" s="251"/>
    </row>
    <row r="13763" spans="1:16" ht="11.25" customHeight="1" x14ac:dyDescent="0.2">
      <c r="A13763" s="350">
        <v>2026</v>
      </c>
      <c r="B13763" s="350">
        <v>2</v>
      </c>
      <c r="C13763" s="350">
        <v>26</v>
      </c>
      <c r="D13763" s="351">
        <f t="shared" si="2094"/>
        <v>46079</v>
      </c>
      <c r="E13763" s="352">
        <f t="shared" si="2099"/>
        <v>46079</v>
      </c>
      <c r="F13763" s="519"/>
      <c r="G13763" s="353" t="s">
        <v>1245</v>
      </c>
      <c r="H13763" s="354"/>
      <c r="I13763" s="354" t="s">
        <v>1253</v>
      </c>
      <c r="J13763" s="350" t="s">
        <v>153</v>
      </c>
      <c r="K13763" s="355"/>
      <c r="L13763" s="355">
        <f t="shared" ref="L13763" si="2102">K13762</f>
        <v>12370.879120879101</v>
      </c>
    </row>
    <row r="13764" spans="1:16" ht="11.25" customHeight="1" x14ac:dyDescent="0.2">
      <c r="A13764" s="210">
        <v>2026</v>
      </c>
      <c r="B13764" s="210">
        <v>2</v>
      </c>
      <c r="C13764" s="210">
        <v>26</v>
      </c>
      <c r="D13764" s="211">
        <f t="shared" ref="D13764:D13777" si="2103">DATE(A13764,B13764,C13764)</f>
        <v>46079</v>
      </c>
      <c r="E13764" s="238">
        <f t="shared" si="2099"/>
        <v>46079</v>
      </c>
      <c r="F13764" s="520" t="s">
        <v>1857</v>
      </c>
      <c r="G13764" s="213" t="s">
        <v>1245</v>
      </c>
      <c r="H13764" s="214"/>
      <c r="I13764" s="214" t="s">
        <v>1253</v>
      </c>
      <c r="J13764" s="210" t="s">
        <v>1284</v>
      </c>
      <c r="K13764" s="215">
        <v>334.54448777029398</v>
      </c>
      <c r="L13764" s="215"/>
      <c r="M13764" s="455"/>
    </row>
    <row r="13765" spans="1:16" ht="11.25" customHeight="1" x14ac:dyDescent="0.2">
      <c r="A13765" s="242">
        <v>2026</v>
      </c>
      <c r="B13765" s="242">
        <v>2</v>
      </c>
      <c r="C13765" s="242">
        <v>26</v>
      </c>
      <c r="D13765" s="243">
        <f t="shared" si="2103"/>
        <v>46079</v>
      </c>
      <c r="E13765" s="244">
        <f>DATE(A13765,B13765,C13765)</f>
        <v>46079</v>
      </c>
      <c r="F13765" s="524"/>
      <c r="G13765" s="245" t="s">
        <v>1245</v>
      </c>
      <c r="H13765" s="246"/>
      <c r="I13765" s="246"/>
      <c r="J13765" s="242" t="s">
        <v>1582</v>
      </c>
      <c r="K13765" s="247"/>
      <c r="L13765" s="247">
        <f>K13764</f>
        <v>334.54448777029398</v>
      </c>
    </row>
    <row r="13766" spans="1:16" ht="11.25" customHeight="1" x14ac:dyDescent="0.2">
      <c r="A13766" s="210">
        <v>2026</v>
      </c>
      <c r="B13766" s="210">
        <v>2</v>
      </c>
      <c r="C13766" s="210">
        <v>26</v>
      </c>
      <c r="D13766" s="211">
        <f t="shared" si="2103"/>
        <v>46079</v>
      </c>
      <c r="E13766" s="238">
        <f t="shared" ref="E13766:E13777" si="2104">DATE(A13766,B13766,C13766)</f>
        <v>46079</v>
      </c>
      <c r="F13766" s="520" t="s">
        <v>2055</v>
      </c>
      <c r="G13766" s="213" t="s">
        <v>1245</v>
      </c>
      <c r="H13766" s="214"/>
      <c r="I13766" s="214" t="s">
        <v>1253</v>
      </c>
      <c r="J13766" s="210" t="s">
        <v>58</v>
      </c>
      <c r="K13766" s="215">
        <v>2178.8313283333337</v>
      </c>
      <c r="L13766" s="215"/>
    </row>
    <row r="13767" spans="1:16" ht="11.25" customHeight="1" x14ac:dyDescent="0.2">
      <c r="A13767" s="216">
        <v>2026</v>
      </c>
      <c r="B13767" s="216">
        <v>2</v>
      </c>
      <c r="C13767" s="216">
        <v>26</v>
      </c>
      <c r="D13767" s="217">
        <f t="shared" si="2103"/>
        <v>46079</v>
      </c>
      <c r="E13767" s="239">
        <f t="shared" si="2104"/>
        <v>46079</v>
      </c>
      <c r="F13767" s="521"/>
      <c r="G13767" s="219" t="s">
        <v>1245</v>
      </c>
      <c r="H13767" s="220"/>
      <c r="I13767" s="220" t="s">
        <v>1253</v>
      </c>
      <c r="J13767" s="216" t="s">
        <v>153</v>
      </c>
      <c r="K13767" s="221"/>
      <c r="L13767" s="221">
        <f>K13766</f>
        <v>2178.8313283333337</v>
      </c>
    </row>
    <row r="13768" spans="1:16" ht="11.25" customHeight="1" x14ac:dyDescent="0.2">
      <c r="A13768" s="312">
        <v>2026</v>
      </c>
      <c r="B13768" s="312">
        <v>2</v>
      </c>
      <c r="C13768" s="312">
        <v>26</v>
      </c>
      <c r="D13768" s="313">
        <f t="shared" si="2103"/>
        <v>46079</v>
      </c>
      <c r="E13768" s="314">
        <f t="shared" si="2104"/>
        <v>46079</v>
      </c>
      <c r="F13768" s="522" t="s">
        <v>1595</v>
      </c>
      <c r="G13768" s="315" t="s">
        <v>1245</v>
      </c>
      <c r="H13768" s="316"/>
      <c r="I13768" s="316" t="s">
        <v>1253</v>
      </c>
      <c r="J13768" s="312" t="s">
        <v>1461</v>
      </c>
      <c r="K13768" s="317">
        <v>652273.71900010109</v>
      </c>
      <c r="L13768" s="317"/>
      <c r="M13768" s="328"/>
    </row>
    <row r="13769" spans="1:16" ht="11.25" customHeight="1" x14ac:dyDescent="0.2">
      <c r="A13769" s="318">
        <v>2026</v>
      </c>
      <c r="B13769" s="318">
        <v>2</v>
      </c>
      <c r="C13769" s="318">
        <v>26</v>
      </c>
      <c r="D13769" s="319">
        <f t="shared" si="2103"/>
        <v>46079</v>
      </c>
      <c r="E13769" s="320">
        <f t="shared" si="2104"/>
        <v>46079</v>
      </c>
      <c r="F13769" s="523"/>
      <c r="G13769" s="321" t="s">
        <v>1245</v>
      </c>
      <c r="H13769" s="322"/>
      <c r="I13769" s="322" t="s">
        <v>1253</v>
      </c>
      <c r="J13769" s="318" t="s">
        <v>1459</v>
      </c>
      <c r="K13769" s="323"/>
      <c r="L13769" s="323">
        <f>K13768</f>
        <v>652273.71900010109</v>
      </c>
      <c r="M13769" s="328"/>
    </row>
    <row r="13770" spans="1:16" ht="11.25" customHeight="1" x14ac:dyDescent="0.2">
      <c r="A13770" s="222">
        <v>2026</v>
      </c>
      <c r="B13770" s="222">
        <v>2</v>
      </c>
      <c r="C13770" s="222">
        <v>26</v>
      </c>
      <c r="D13770" s="223">
        <f t="shared" si="2103"/>
        <v>46079</v>
      </c>
      <c r="E13770" s="240">
        <f t="shared" si="2104"/>
        <v>46079</v>
      </c>
      <c r="F13770" s="511" t="s">
        <v>1244</v>
      </c>
      <c r="G13770" s="225" t="s">
        <v>1245</v>
      </c>
      <c r="H13770" s="226"/>
      <c r="I13770" s="226" t="s">
        <v>1253</v>
      </c>
      <c r="J13770" s="222" t="s">
        <v>72</v>
      </c>
      <c r="K13770" s="227">
        <v>20.5</v>
      </c>
      <c r="L13770" s="227"/>
      <c r="M13770" s="328"/>
    </row>
    <row r="13771" spans="1:16" ht="11.25" customHeight="1" x14ac:dyDescent="0.2">
      <c r="A13771" s="228">
        <v>2026</v>
      </c>
      <c r="B13771" s="228">
        <v>2</v>
      </c>
      <c r="C13771" s="228">
        <v>26</v>
      </c>
      <c r="D13771" s="229">
        <f t="shared" si="2103"/>
        <v>46079</v>
      </c>
      <c r="E13771" s="241">
        <f t="shared" si="2104"/>
        <v>46079</v>
      </c>
      <c r="F13771" s="512"/>
      <c r="G13771" s="231" t="s">
        <v>1245</v>
      </c>
      <c r="H13771" s="232"/>
      <c r="I13771" s="232" t="s">
        <v>1253</v>
      </c>
      <c r="J13771" s="228" t="s">
        <v>87</v>
      </c>
      <c r="K13771" s="233"/>
      <c r="L13771" s="233">
        <f>K13770</f>
        <v>20.5</v>
      </c>
    </row>
    <row r="13772" spans="1:16" ht="11.25" customHeight="1" x14ac:dyDescent="0.2">
      <c r="A13772" s="222">
        <v>2026</v>
      </c>
      <c r="B13772" s="222">
        <v>2</v>
      </c>
      <c r="C13772" s="222">
        <v>26</v>
      </c>
      <c r="D13772" s="223">
        <f t="shared" si="2103"/>
        <v>46079</v>
      </c>
      <c r="E13772" s="240">
        <f t="shared" si="2104"/>
        <v>46079</v>
      </c>
      <c r="F13772" s="511" t="s">
        <v>2138</v>
      </c>
      <c r="G13772" s="225" t="s">
        <v>1245</v>
      </c>
      <c r="H13772" s="226"/>
      <c r="I13772" s="226" t="s">
        <v>1253</v>
      </c>
      <c r="J13772" s="222" t="s">
        <v>75</v>
      </c>
      <c r="K13772" s="227">
        <v>517.58912087912097</v>
      </c>
      <c r="L13772" s="227"/>
      <c r="M13772" s="455"/>
    </row>
    <row r="13773" spans="1:16" ht="11.25" customHeight="1" x14ac:dyDescent="0.2">
      <c r="A13773" s="228">
        <v>2026</v>
      </c>
      <c r="B13773" s="228">
        <v>2</v>
      </c>
      <c r="C13773" s="228">
        <v>26</v>
      </c>
      <c r="D13773" s="229">
        <f t="shared" si="2103"/>
        <v>46079</v>
      </c>
      <c r="E13773" s="241">
        <f t="shared" si="2104"/>
        <v>46079</v>
      </c>
      <c r="F13773" s="512"/>
      <c r="G13773" s="231" t="s">
        <v>1245</v>
      </c>
      <c r="H13773" s="232"/>
      <c r="I13773" s="232" t="s">
        <v>1253</v>
      </c>
      <c r="J13773" s="228" t="s">
        <v>55</v>
      </c>
      <c r="K13773" s="233"/>
      <c r="L13773" s="233">
        <f>K13772</f>
        <v>517.58912087912097</v>
      </c>
    </row>
    <row r="13774" spans="1:16" ht="11.25" customHeight="1" x14ac:dyDescent="0.2">
      <c r="A13774" s="222">
        <v>2026</v>
      </c>
      <c r="B13774" s="222">
        <v>2</v>
      </c>
      <c r="C13774" s="222">
        <v>26</v>
      </c>
      <c r="D13774" s="223">
        <f t="shared" si="2103"/>
        <v>46079</v>
      </c>
      <c r="E13774" s="240">
        <f t="shared" si="2104"/>
        <v>46079</v>
      </c>
      <c r="F13774" s="511" t="s">
        <v>2137</v>
      </c>
      <c r="G13774" s="225" t="s">
        <v>1245</v>
      </c>
      <c r="H13774" s="226"/>
      <c r="I13774" s="226" t="s">
        <v>1253</v>
      </c>
      <c r="J13774" s="222" t="s">
        <v>77</v>
      </c>
      <c r="K13774" s="227">
        <f>M13774</f>
        <v>7460.1823289812328</v>
      </c>
      <c r="L13774" s="227"/>
      <c r="M13774" s="478">
        <v>7460.1823289812328</v>
      </c>
    </row>
    <row r="13775" spans="1:16" ht="11.25" customHeight="1" x14ac:dyDescent="0.2">
      <c r="A13775" s="228">
        <v>2026</v>
      </c>
      <c r="B13775" s="228">
        <v>2</v>
      </c>
      <c r="C13775" s="228">
        <v>26</v>
      </c>
      <c r="D13775" s="229">
        <f t="shared" si="2103"/>
        <v>46079</v>
      </c>
      <c r="E13775" s="241">
        <f t="shared" si="2104"/>
        <v>46079</v>
      </c>
      <c r="F13775" s="512"/>
      <c r="G13775" s="231" t="s">
        <v>1245</v>
      </c>
      <c r="H13775" s="232"/>
      <c r="I13775" s="232" t="s">
        <v>1253</v>
      </c>
      <c r="J13775" s="228" t="s">
        <v>41</v>
      </c>
      <c r="K13775" s="233"/>
      <c r="L13775" s="233">
        <f>K13774</f>
        <v>7460.1823289812328</v>
      </c>
      <c r="M13775" s="328">
        <v>746.01823289812341</v>
      </c>
      <c r="N13775" s="251"/>
    </row>
    <row r="13776" spans="1:16" ht="11.25" customHeight="1" x14ac:dyDescent="0.2">
      <c r="A13776" s="222">
        <v>2026</v>
      </c>
      <c r="B13776" s="222">
        <v>2</v>
      </c>
      <c r="C13776" s="222">
        <v>26</v>
      </c>
      <c r="D13776" s="223">
        <f t="shared" si="2103"/>
        <v>46079</v>
      </c>
      <c r="E13776" s="240">
        <f t="shared" si="2104"/>
        <v>46079</v>
      </c>
      <c r="F13776" s="511" t="s">
        <v>2136</v>
      </c>
      <c r="G13776" s="225" t="s">
        <v>1245</v>
      </c>
      <c r="H13776" s="226"/>
      <c r="I13776" s="226" t="s">
        <v>1253</v>
      </c>
      <c r="J13776" s="222" t="s">
        <v>80</v>
      </c>
      <c r="K13776" s="227">
        <f>M13775</f>
        <v>746.01823289812341</v>
      </c>
      <c r="L13776" s="227"/>
      <c r="M13776" s="328"/>
      <c r="N13776" s="251"/>
      <c r="O13776" s="251"/>
    </row>
    <row r="13777" spans="1:15" ht="11.25" customHeight="1" x14ac:dyDescent="0.2">
      <c r="A13777" s="228">
        <v>2026</v>
      </c>
      <c r="B13777" s="228">
        <v>2</v>
      </c>
      <c r="C13777" s="228">
        <v>26</v>
      </c>
      <c r="D13777" s="229">
        <f t="shared" si="2103"/>
        <v>46079</v>
      </c>
      <c r="E13777" s="241">
        <f t="shared" si="2104"/>
        <v>46079</v>
      </c>
      <c r="F13777" s="512"/>
      <c r="G13777" s="231" t="s">
        <v>1245</v>
      </c>
      <c r="H13777" s="232"/>
      <c r="I13777" s="232" t="s">
        <v>1253</v>
      </c>
      <c r="J13777" s="228" t="s">
        <v>42</v>
      </c>
      <c r="K13777" s="233"/>
      <c r="L13777" s="233">
        <f>K13776</f>
        <v>746.01823289812341</v>
      </c>
      <c r="N13777" s="251"/>
    </row>
    <row r="13778" spans="1:15" ht="11.25" customHeight="1" x14ac:dyDescent="0.2">
      <c r="A13778" s="197">
        <v>2026</v>
      </c>
      <c r="B13778" s="197">
        <v>3</v>
      </c>
      <c r="C13778" s="197">
        <v>1</v>
      </c>
      <c r="D13778" s="198">
        <f>DATE(A13778,B13778,C13778)</f>
        <v>46082</v>
      </c>
      <c r="E13778" s="290">
        <f>DATE(A13778,B13778,C13778)</f>
        <v>46082</v>
      </c>
      <c r="F13778" s="513" t="s">
        <v>2139</v>
      </c>
      <c r="G13778" s="200" t="s">
        <v>1209</v>
      </c>
      <c r="H13778" s="201"/>
      <c r="I13778" s="201" t="s">
        <v>1253</v>
      </c>
      <c r="J13778" s="197" t="s">
        <v>46</v>
      </c>
      <c r="K13778" s="202">
        <v>51400</v>
      </c>
      <c r="L13778" s="202"/>
    </row>
    <row r="13779" spans="1:15" ht="11.25" customHeight="1" x14ac:dyDescent="0.2">
      <c r="A13779" s="191">
        <v>2026</v>
      </c>
      <c r="B13779" s="191">
        <v>3</v>
      </c>
      <c r="C13779" s="191">
        <v>1</v>
      </c>
      <c r="D13779" s="192">
        <f>DATE(A13779,B13779,C13779)</f>
        <v>46082</v>
      </c>
      <c r="E13779" s="291">
        <f>DATE(A13779,B13779,C13779)</f>
        <v>46082</v>
      </c>
      <c r="F13779" s="514"/>
      <c r="G13779" s="194" t="s">
        <v>1209</v>
      </c>
      <c r="H13779" s="195"/>
      <c r="I13779" s="195"/>
      <c r="J13779" s="191" t="s">
        <v>1845</v>
      </c>
      <c r="K13779" s="196"/>
      <c r="L13779" s="196">
        <f>K13778</f>
        <v>51400</v>
      </c>
    </row>
    <row r="13780" spans="1:15" x14ac:dyDescent="0.2">
      <c r="A13780" s="197">
        <v>2026</v>
      </c>
      <c r="B13780" s="197">
        <v>3</v>
      </c>
      <c r="C13780" s="197">
        <v>1</v>
      </c>
      <c r="D13780" s="198">
        <f t="shared" ref="D13780:D13782" si="2105">DATE(A13780,B13780,C13780)</f>
        <v>46082</v>
      </c>
      <c r="E13780" s="209">
        <f t="shared" ref="E13780:E13782" si="2106">DATE(A13780,B13780,C13780)</f>
        <v>46082</v>
      </c>
      <c r="F13780" s="513" t="s">
        <v>1280</v>
      </c>
      <c r="G13780" s="200" t="s">
        <v>1209</v>
      </c>
      <c r="H13780" s="201"/>
      <c r="I13780" s="201"/>
      <c r="J13780" s="197" t="s">
        <v>16</v>
      </c>
      <c r="K13780" s="202">
        <v>3901260</v>
      </c>
      <c r="L13780" s="202"/>
    </row>
    <row r="13781" spans="1:15" x14ac:dyDescent="0.2">
      <c r="A13781" s="120">
        <v>2026</v>
      </c>
      <c r="B13781" s="120">
        <v>3</v>
      </c>
      <c r="C13781" s="120">
        <v>1</v>
      </c>
      <c r="D13781" s="208">
        <f t="shared" si="2105"/>
        <v>46082</v>
      </c>
      <c r="E13781" s="209">
        <f t="shared" si="2106"/>
        <v>46082</v>
      </c>
      <c r="F13781" s="515"/>
      <c r="G13781" s="132" t="s">
        <v>1209</v>
      </c>
      <c r="J13781" s="120" t="s">
        <v>47</v>
      </c>
      <c r="K13781" s="207">
        <v>1598740</v>
      </c>
      <c r="L13781" s="207"/>
    </row>
    <row r="13782" spans="1:15" x14ac:dyDescent="0.2">
      <c r="A13782" s="191">
        <v>2026</v>
      </c>
      <c r="B13782" s="191">
        <v>3</v>
      </c>
      <c r="C13782" s="191">
        <v>1</v>
      </c>
      <c r="D13782" s="192">
        <f t="shared" si="2105"/>
        <v>46082</v>
      </c>
      <c r="E13782" s="193">
        <f t="shared" si="2106"/>
        <v>46082</v>
      </c>
      <c r="F13782" s="514"/>
      <c r="G13782" s="194" t="s">
        <v>1209</v>
      </c>
      <c r="H13782" s="195"/>
      <c r="I13782" s="195"/>
      <c r="J13782" s="191" t="s">
        <v>46</v>
      </c>
      <c r="K13782" s="196"/>
      <c r="L13782" s="196">
        <v>5500000</v>
      </c>
    </row>
    <row r="13783" spans="1:15" x14ac:dyDescent="0.2">
      <c r="A13783" s="197">
        <v>2026</v>
      </c>
      <c r="B13783" s="197">
        <v>3</v>
      </c>
      <c r="C13783" s="197">
        <v>1</v>
      </c>
      <c r="D13783" s="198">
        <f t="shared" ref="D13783:D13830" si="2107">DATE(A13783,B13783,C13783)</f>
        <v>46082</v>
      </c>
      <c r="E13783" s="209">
        <f t="shared" ref="E13783:E13785" si="2108">DATE(A13783,B13783,C13783)</f>
        <v>46082</v>
      </c>
      <c r="F13783" s="513" t="s">
        <v>1210</v>
      </c>
      <c r="G13783" s="200" t="s">
        <v>1209</v>
      </c>
      <c r="H13783" s="201"/>
      <c r="I13783" s="201"/>
      <c r="J13783" s="197" t="s">
        <v>46</v>
      </c>
      <c r="K13783" s="202">
        <v>700000</v>
      </c>
      <c r="L13783" s="202"/>
    </row>
    <row r="13784" spans="1:15" x14ac:dyDescent="0.2">
      <c r="A13784" s="120">
        <v>2026</v>
      </c>
      <c r="B13784" s="120">
        <v>3</v>
      </c>
      <c r="C13784" s="120">
        <v>1</v>
      </c>
      <c r="D13784" s="208">
        <f t="shared" si="2107"/>
        <v>46082</v>
      </c>
      <c r="E13784" s="209">
        <f t="shared" si="2108"/>
        <v>46082</v>
      </c>
      <c r="F13784" s="515"/>
      <c r="G13784" s="132" t="s">
        <v>1209</v>
      </c>
      <c r="J13784" s="120" t="s">
        <v>16</v>
      </c>
      <c r="K13784" s="207"/>
      <c r="L13784" s="207">
        <v>496530</v>
      </c>
    </row>
    <row r="13785" spans="1:15" x14ac:dyDescent="0.2">
      <c r="A13785" s="191">
        <v>2026</v>
      </c>
      <c r="B13785" s="191">
        <v>3</v>
      </c>
      <c r="C13785" s="191">
        <v>1</v>
      </c>
      <c r="D13785" s="192">
        <f t="shared" si="2107"/>
        <v>46082</v>
      </c>
      <c r="E13785" s="193">
        <f t="shared" si="2108"/>
        <v>46082</v>
      </c>
      <c r="F13785" s="514"/>
      <c r="G13785" s="194" t="s">
        <v>1209</v>
      </c>
      <c r="H13785" s="195"/>
      <c r="I13785" s="195"/>
      <c r="J13785" s="191" t="s">
        <v>47</v>
      </c>
      <c r="K13785" s="196"/>
      <c r="L13785" s="196">
        <v>203470</v>
      </c>
    </row>
    <row r="13786" spans="1:15" ht="11.25" customHeight="1" x14ac:dyDescent="0.2">
      <c r="A13786" s="197">
        <v>2026</v>
      </c>
      <c r="B13786" s="197">
        <v>3</v>
      </c>
      <c r="C13786" s="197">
        <v>1</v>
      </c>
      <c r="D13786" s="198">
        <f t="shared" si="2107"/>
        <v>46082</v>
      </c>
      <c r="E13786" s="290">
        <f>DATE(A13786,B13786,C13786)</f>
        <v>46082</v>
      </c>
      <c r="F13786" s="513" t="s">
        <v>1514</v>
      </c>
      <c r="G13786" s="200" t="s">
        <v>1209</v>
      </c>
      <c r="H13786" s="201"/>
      <c r="I13786" s="201"/>
      <c r="J13786" s="197" t="s">
        <v>54</v>
      </c>
      <c r="K13786" s="202">
        <v>220</v>
      </c>
      <c r="L13786" s="202"/>
      <c r="O13786" s="251"/>
    </row>
    <row r="13787" spans="1:15" ht="11.25" customHeight="1" x14ac:dyDescent="0.2">
      <c r="A13787" s="191">
        <v>2026</v>
      </c>
      <c r="B13787" s="191">
        <v>3</v>
      </c>
      <c r="C13787" s="191">
        <v>1</v>
      </c>
      <c r="D13787" s="192">
        <f t="shared" si="2107"/>
        <v>46082</v>
      </c>
      <c r="E13787" s="291">
        <f>DATE(A13787,B13787,C13787)</f>
        <v>46082</v>
      </c>
      <c r="F13787" s="514"/>
      <c r="G13787" s="194" t="s">
        <v>1209</v>
      </c>
      <c r="H13787" s="195"/>
      <c r="I13787" s="195"/>
      <c r="J13787" s="191" t="s">
        <v>46</v>
      </c>
      <c r="K13787" s="196"/>
      <c r="L13787" s="196">
        <f>K13786</f>
        <v>220</v>
      </c>
      <c r="O13787" s="251"/>
    </row>
    <row r="13788" spans="1:15" x14ac:dyDescent="0.2">
      <c r="A13788" s="197">
        <v>2026</v>
      </c>
      <c r="B13788" s="197">
        <v>3</v>
      </c>
      <c r="C13788" s="197">
        <v>1</v>
      </c>
      <c r="D13788" s="198">
        <f t="shared" si="2107"/>
        <v>46082</v>
      </c>
      <c r="E13788" s="209">
        <f t="shared" ref="E13788:E13790" si="2109">DATE(A13788,B13788,C13788)</f>
        <v>46082</v>
      </c>
      <c r="F13788" s="513" t="s">
        <v>1423</v>
      </c>
      <c r="G13788" s="200" t="s">
        <v>1209</v>
      </c>
      <c r="H13788" s="201"/>
      <c r="I13788" s="201"/>
      <c r="J13788" s="197" t="s">
        <v>16</v>
      </c>
      <c r="K13788" s="202">
        <v>19520</v>
      </c>
      <c r="L13788" s="202"/>
    </row>
    <row r="13789" spans="1:15" x14ac:dyDescent="0.2">
      <c r="A13789" s="120">
        <v>2026</v>
      </c>
      <c r="B13789" s="120">
        <v>3</v>
      </c>
      <c r="C13789" s="120">
        <v>1</v>
      </c>
      <c r="D13789" s="208">
        <f t="shared" si="2107"/>
        <v>46082</v>
      </c>
      <c r="E13789" s="209">
        <f t="shared" si="2109"/>
        <v>46082</v>
      </c>
      <c r="F13789" s="515"/>
      <c r="G13789" s="132" t="s">
        <v>1209</v>
      </c>
      <c r="J13789" s="120" t="s">
        <v>47</v>
      </c>
      <c r="K13789" s="207">
        <v>7980</v>
      </c>
      <c r="L13789" s="207"/>
    </row>
    <row r="13790" spans="1:15" x14ac:dyDescent="0.2">
      <c r="A13790" s="191">
        <v>2026</v>
      </c>
      <c r="B13790" s="191">
        <v>3</v>
      </c>
      <c r="C13790" s="191">
        <v>1</v>
      </c>
      <c r="D13790" s="192">
        <f t="shared" si="2107"/>
        <v>46082</v>
      </c>
      <c r="E13790" s="193">
        <f t="shared" si="2109"/>
        <v>46082</v>
      </c>
      <c r="F13790" s="514"/>
      <c r="G13790" s="194" t="s">
        <v>1209</v>
      </c>
      <c r="H13790" s="195"/>
      <c r="I13790" s="195"/>
      <c r="J13790" s="191" t="s">
        <v>46</v>
      </c>
      <c r="K13790" s="196"/>
      <c r="L13790" s="196">
        <v>27500</v>
      </c>
    </row>
    <row r="13791" spans="1:15" x14ac:dyDescent="0.2">
      <c r="A13791" s="197">
        <v>2026</v>
      </c>
      <c r="B13791" s="197">
        <v>3</v>
      </c>
      <c r="C13791" s="197">
        <v>1</v>
      </c>
      <c r="D13791" s="198">
        <f t="shared" si="2107"/>
        <v>46082</v>
      </c>
      <c r="E13791" s="209">
        <f t="shared" ref="E13791:E13793" si="2110">DATE(A13791,B13791,C13791)</f>
        <v>46082</v>
      </c>
      <c r="F13791" s="513" t="s">
        <v>1296</v>
      </c>
      <c r="G13791" s="200" t="s">
        <v>1209</v>
      </c>
      <c r="H13791" s="201"/>
      <c r="I13791" s="201"/>
      <c r="J13791" s="197" t="s">
        <v>46</v>
      </c>
      <c r="K13791" s="202">
        <v>15000</v>
      </c>
      <c r="L13791" s="202"/>
    </row>
    <row r="13792" spans="1:15" x14ac:dyDescent="0.2">
      <c r="A13792" s="120">
        <v>2026</v>
      </c>
      <c r="B13792" s="120">
        <v>3</v>
      </c>
      <c r="C13792" s="120">
        <v>1</v>
      </c>
      <c r="D13792" s="208">
        <f t="shared" si="2107"/>
        <v>46082</v>
      </c>
      <c r="E13792" s="209">
        <f t="shared" si="2110"/>
        <v>46082</v>
      </c>
      <c r="F13792" s="515"/>
      <c r="G13792" s="132" t="s">
        <v>1209</v>
      </c>
      <c r="J13792" s="120" t="s">
        <v>16</v>
      </c>
      <c r="K13792" s="207"/>
      <c r="L13792" s="207">
        <v>10640</v>
      </c>
    </row>
    <row r="13793" spans="1:13" x14ac:dyDescent="0.2">
      <c r="A13793" s="191">
        <v>2026</v>
      </c>
      <c r="B13793" s="191">
        <v>3</v>
      </c>
      <c r="C13793" s="191">
        <v>1</v>
      </c>
      <c r="D13793" s="192">
        <f t="shared" si="2107"/>
        <v>46082</v>
      </c>
      <c r="E13793" s="193">
        <f t="shared" si="2110"/>
        <v>46082</v>
      </c>
      <c r="F13793" s="514"/>
      <c r="G13793" s="194" t="s">
        <v>1209</v>
      </c>
      <c r="H13793" s="195"/>
      <c r="I13793" s="195"/>
      <c r="J13793" s="191" t="s">
        <v>47</v>
      </c>
      <c r="K13793" s="196"/>
      <c r="L13793" s="196">
        <v>4360</v>
      </c>
    </row>
    <row r="13794" spans="1:13" x14ac:dyDescent="0.2">
      <c r="A13794" s="424">
        <v>2026</v>
      </c>
      <c r="B13794" s="424">
        <v>3</v>
      </c>
      <c r="C13794" s="424">
        <v>1</v>
      </c>
      <c r="D13794" s="425">
        <f t="shared" si="2107"/>
        <v>46082</v>
      </c>
      <c r="E13794" s="384">
        <f t="shared" ref="E13794:E13805" si="2111">DATE(A13794,B13794,C13794)</f>
        <v>46082</v>
      </c>
      <c r="F13794" s="516" t="s">
        <v>1850</v>
      </c>
      <c r="G13794" s="426" t="s">
        <v>1245</v>
      </c>
      <c r="H13794" s="427"/>
      <c r="I13794" s="427"/>
      <c r="J13794" s="428" t="s">
        <v>81</v>
      </c>
      <c r="K13794" s="429">
        <v>4787.4520879120801</v>
      </c>
      <c r="L13794" s="429"/>
      <c r="M13794" s="455"/>
    </row>
    <row r="13795" spans="1:13" x14ac:dyDescent="0.2">
      <c r="A13795" s="389">
        <v>2026</v>
      </c>
      <c r="B13795" s="389">
        <v>3</v>
      </c>
      <c r="C13795" s="389">
        <v>1</v>
      </c>
      <c r="D13795" s="390">
        <f t="shared" si="2107"/>
        <v>46082</v>
      </c>
      <c r="E13795" s="391">
        <f t="shared" si="2111"/>
        <v>46082</v>
      </c>
      <c r="F13795" s="517"/>
      <c r="G13795" s="392" t="s">
        <v>1245</v>
      </c>
      <c r="H13795" s="393"/>
      <c r="I13795" s="393"/>
      <c r="J13795" s="394" t="s">
        <v>1847</v>
      </c>
      <c r="K13795" s="423"/>
      <c r="L13795" s="423">
        <f>K13794</f>
        <v>4787.4520879120801</v>
      </c>
    </row>
    <row r="13796" spans="1:13" ht="11.25" customHeight="1" x14ac:dyDescent="0.2">
      <c r="A13796" s="382">
        <v>2026</v>
      </c>
      <c r="B13796" s="382">
        <v>3</v>
      </c>
      <c r="C13796" s="382">
        <v>1</v>
      </c>
      <c r="D13796" s="383">
        <f t="shared" si="2107"/>
        <v>46082</v>
      </c>
      <c r="E13796" s="384">
        <f t="shared" si="2111"/>
        <v>46082</v>
      </c>
      <c r="F13796" s="516" t="s">
        <v>1892</v>
      </c>
      <c r="G13796" s="385" t="s">
        <v>1245</v>
      </c>
      <c r="H13796" s="386"/>
      <c r="I13796" s="386"/>
      <c r="J13796" s="387" t="s">
        <v>173</v>
      </c>
      <c r="K13796" s="388">
        <v>1767.4</v>
      </c>
      <c r="L13796" s="388"/>
      <c r="M13796" s="455"/>
    </row>
    <row r="13797" spans="1:13" ht="11.25" customHeight="1" x14ac:dyDescent="0.2">
      <c r="A13797" s="389">
        <v>2026</v>
      </c>
      <c r="B13797" s="389">
        <v>3</v>
      </c>
      <c r="C13797" s="389">
        <v>1</v>
      </c>
      <c r="D13797" s="390">
        <f t="shared" si="2107"/>
        <v>46082</v>
      </c>
      <c r="E13797" s="391">
        <f t="shared" si="2111"/>
        <v>46082</v>
      </c>
      <c r="F13797" s="517"/>
      <c r="G13797" s="392" t="s">
        <v>1245</v>
      </c>
      <c r="H13797" s="393"/>
      <c r="I13797" s="393"/>
      <c r="J13797" s="394" t="s">
        <v>43</v>
      </c>
      <c r="K13797" s="388"/>
      <c r="L13797" s="423">
        <f>K13796</f>
        <v>1767.4</v>
      </c>
    </row>
    <row r="13798" spans="1:13" ht="11.25" customHeight="1" x14ac:dyDescent="0.2">
      <c r="A13798" s="344">
        <v>2026</v>
      </c>
      <c r="B13798" s="344">
        <v>3</v>
      </c>
      <c r="C13798" s="344">
        <v>1</v>
      </c>
      <c r="D13798" s="345">
        <f t="shared" si="2107"/>
        <v>46082</v>
      </c>
      <c r="E13798" s="346">
        <f t="shared" si="2111"/>
        <v>46082</v>
      </c>
      <c r="F13798" s="518" t="s">
        <v>1982</v>
      </c>
      <c r="G13798" s="347" t="s">
        <v>1245</v>
      </c>
      <c r="H13798" s="348"/>
      <c r="I13798" s="348" t="s">
        <v>1253</v>
      </c>
      <c r="J13798" s="344" t="s">
        <v>1978</v>
      </c>
      <c r="K13798" s="349">
        <v>62634.530386740327</v>
      </c>
      <c r="L13798" s="349"/>
      <c r="M13798" s="455"/>
    </row>
    <row r="13799" spans="1:13" ht="11.25" customHeight="1" x14ac:dyDescent="0.2">
      <c r="A13799" s="350">
        <v>2026</v>
      </c>
      <c r="B13799" s="350">
        <v>3</v>
      </c>
      <c r="C13799" s="350">
        <v>1</v>
      </c>
      <c r="D13799" s="351">
        <f t="shared" si="2107"/>
        <v>46082</v>
      </c>
      <c r="E13799" s="352">
        <f t="shared" si="2111"/>
        <v>46082</v>
      </c>
      <c r="F13799" s="519"/>
      <c r="G13799" s="353" t="s">
        <v>1245</v>
      </c>
      <c r="H13799" s="354"/>
      <c r="I13799" s="354" t="s">
        <v>1253</v>
      </c>
      <c r="J13799" s="350" t="s">
        <v>1979</v>
      </c>
      <c r="K13799" s="355"/>
      <c r="L13799" s="355">
        <f>K13798</f>
        <v>62634.530386740327</v>
      </c>
    </row>
    <row r="13800" spans="1:13" ht="11.25" customHeight="1" x14ac:dyDescent="0.2">
      <c r="A13800" s="344">
        <v>2026</v>
      </c>
      <c r="B13800" s="344">
        <v>3</v>
      </c>
      <c r="C13800" s="344">
        <v>1</v>
      </c>
      <c r="D13800" s="345">
        <f t="shared" si="2107"/>
        <v>46082</v>
      </c>
      <c r="E13800" s="346">
        <f t="shared" si="2111"/>
        <v>46082</v>
      </c>
      <c r="F13800" s="518" t="s">
        <v>2009</v>
      </c>
      <c r="G13800" s="347" t="s">
        <v>1245</v>
      </c>
      <c r="H13800" s="348"/>
      <c r="I13800" s="348" t="s">
        <v>1253</v>
      </c>
      <c r="J13800" s="344" t="s">
        <v>2004</v>
      </c>
      <c r="K13800" s="349">
        <v>21296.704285714291</v>
      </c>
      <c r="L13800" s="349"/>
      <c r="M13800" s="455"/>
    </row>
    <row r="13801" spans="1:13" ht="11.25" customHeight="1" x14ac:dyDescent="0.2">
      <c r="A13801" s="350">
        <v>2026</v>
      </c>
      <c r="B13801" s="350">
        <v>3</v>
      </c>
      <c r="C13801" s="350">
        <v>1</v>
      </c>
      <c r="D13801" s="351">
        <f t="shared" si="2107"/>
        <v>46082</v>
      </c>
      <c r="E13801" s="352">
        <f t="shared" si="2111"/>
        <v>46082</v>
      </c>
      <c r="F13801" s="519"/>
      <c r="G13801" s="353" t="s">
        <v>1245</v>
      </c>
      <c r="H13801" s="354"/>
      <c r="I13801" s="354" t="s">
        <v>1253</v>
      </c>
      <c r="J13801" s="350" t="s">
        <v>2008</v>
      </c>
      <c r="K13801" s="355"/>
      <c r="L13801" s="355">
        <f t="shared" ref="L13801" si="2112">K13800</f>
        <v>21296.704285714291</v>
      </c>
    </row>
    <row r="13802" spans="1:13" ht="11.25" customHeight="1" x14ac:dyDescent="0.2">
      <c r="A13802" s="344">
        <v>2026</v>
      </c>
      <c r="B13802" s="344">
        <v>3</v>
      </c>
      <c r="C13802" s="344">
        <v>1</v>
      </c>
      <c r="D13802" s="345">
        <f t="shared" si="2107"/>
        <v>46082</v>
      </c>
      <c r="E13802" s="346">
        <f t="shared" si="2111"/>
        <v>46082</v>
      </c>
      <c r="F13802" s="518" t="s">
        <v>2009</v>
      </c>
      <c r="G13802" s="347" t="s">
        <v>1245</v>
      </c>
      <c r="H13802" s="348"/>
      <c r="I13802" s="348" t="s">
        <v>1253</v>
      </c>
      <c r="J13802" s="344" t="s">
        <v>2004</v>
      </c>
      <c r="K13802" s="349">
        <v>21296.704285714291</v>
      </c>
      <c r="L13802" s="349"/>
      <c r="M13802" s="455"/>
    </row>
    <row r="13803" spans="1:13" ht="11.25" customHeight="1" x14ac:dyDescent="0.2">
      <c r="A13803" s="350">
        <v>2026</v>
      </c>
      <c r="B13803" s="350">
        <v>3</v>
      </c>
      <c r="C13803" s="350">
        <v>1</v>
      </c>
      <c r="D13803" s="351">
        <f t="shared" si="2107"/>
        <v>46082</v>
      </c>
      <c r="E13803" s="352">
        <f t="shared" si="2111"/>
        <v>46082</v>
      </c>
      <c r="F13803" s="519"/>
      <c r="G13803" s="353" t="s">
        <v>1245</v>
      </c>
      <c r="H13803" s="354"/>
      <c r="I13803" s="354" t="s">
        <v>1253</v>
      </c>
      <c r="J13803" s="350" t="s">
        <v>2008</v>
      </c>
      <c r="K13803" s="355"/>
      <c r="L13803" s="355">
        <f t="shared" ref="L13803" si="2113">K13802</f>
        <v>21296.704285714291</v>
      </c>
    </row>
    <row r="13804" spans="1:13" ht="11.25" customHeight="1" x14ac:dyDescent="0.2">
      <c r="A13804" s="344">
        <v>2026</v>
      </c>
      <c r="B13804" s="344">
        <v>3</v>
      </c>
      <c r="C13804" s="344">
        <v>1</v>
      </c>
      <c r="D13804" s="345">
        <f t="shared" si="2107"/>
        <v>46082</v>
      </c>
      <c r="E13804" s="346">
        <f t="shared" si="2111"/>
        <v>46082</v>
      </c>
      <c r="F13804" s="518" t="s">
        <v>2088</v>
      </c>
      <c r="G13804" s="347" t="s">
        <v>1245</v>
      </c>
      <c r="H13804" s="348"/>
      <c r="I13804" s="348" t="s">
        <v>1253</v>
      </c>
      <c r="J13804" s="344" t="s">
        <v>2086</v>
      </c>
      <c r="K13804" s="349">
        <v>5369.5054945054799</v>
      </c>
      <c r="L13804" s="349"/>
      <c r="M13804" s="455"/>
    </row>
    <row r="13805" spans="1:13" ht="11.25" customHeight="1" x14ac:dyDescent="0.2">
      <c r="A13805" s="350">
        <v>2026</v>
      </c>
      <c r="B13805" s="350">
        <v>3</v>
      </c>
      <c r="C13805" s="350">
        <v>1</v>
      </c>
      <c r="D13805" s="351">
        <f t="shared" si="2107"/>
        <v>46082</v>
      </c>
      <c r="E13805" s="352">
        <f t="shared" si="2111"/>
        <v>46082</v>
      </c>
      <c r="F13805" s="519"/>
      <c r="G13805" s="353" t="s">
        <v>1245</v>
      </c>
      <c r="H13805" s="354"/>
      <c r="I13805" s="354" t="s">
        <v>1253</v>
      </c>
      <c r="J13805" s="350" t="s">
        <v>2089</v>
      </c>
      <c r="K13805" s="355"/>
      <c r="L13805" s="355">
        <f>K13804</f>
        <v>5369.5054945054799</v>
      </c>
    </row>
    <row r="13806" spans="1:13" ht="11.25" customHeight="1" x14ac:dyDescent="0.2">
      <c r="A13806" s="344">
        <v>2026</v>
      </c>
      <c r="B13806" s="344">
        <v>3</v>
      </c>
      <c r="C13806" s="344">
        <v>1</v>
      </c>
      <c r="D13806" s="345">
        <f t="shared" si="2107"/>
        <v>46082</v>
      </c>
      <c r="E13806" s="346">
        <f>DATE(A13806,B13806,C13806)</f>
        <v>46082</v>
      </c>
      <c r="F13806" s="518" t="s">
        <v>1988</v>
      </c>
      <c r="G13806" s="347" t="s">
        <v>1245</v>
      </c>
      <c r="H13806" s="348"/>
      <c r="I13806" s="348" t="s">
        <v>1253</v>
      </c>
      <c r="J13806" s="344" t="s">
        <v>113</v>
      </c>
      <c r="K13806" s="349">
        <v>14076.921428571421</v>
      </c>
      <c r="L13806" s="349"/>
      <c r="M13806" s="455"/>
    </row>
    <row r="13807" spans="1:13" ht="11.25" customHeight="1" x14ac:dyDescent="0.2">
      <c r="A13807" s="350">
        <v>2026</v>
      </c>
      <c r="B13807" s="350">
        <v>3</v>
      </c>
      <c r="C13807" s="350">
        <v>1</v>
      </c>
      <c r="D13807" s="351">
        <f t="shared" si="2107"/>
        <v>46082</v>
      </c>
      <c r="E13807" s="352">
        <f>DATE(A13807,B13807,C13807)</f>
        <v>46082</v>
      </c>
      <c r="F13807" s="519"/>
      <c r="G13807" s="353" t="s">
        <v>1245</v>
      </c>
      <c r="H13807" s="354"/>
      <c r="I13807" s="354" t="s">
        <v>1253</v>
      </c>
      <c r="J13807" s="350" t="s">
        <v>153</v>
      </c>
      <c r="K13807" s="355"/>
      <c r="L13807" s="355">
        <f t="shared" ref="L13807" si="2114">K13806</f>
        <v>14076.921428571421</v>
      </c>
    </row>
    <row r="13808" spans="1:13" ht="11.25" customHeight="1" x14ac:dyDescent="0.2">
      <c r="A13808" s="344">
        <v>2026</v>
      </c>
      <c r="B13808" s="344">
        <v>3</v>
      </c>
      <c r="C13808" s="344">
        <v>1</v>
      </c>
      <c r="D13808" s="345">
        <f t="shared" si="2107"/>
        <v>46082</v>
      </c>
      <c r="E13808" s="346">
        <f t="shared" ref="E13808:E13814" si="2115">DATE(A13808,B13808,C13808)</f>
        <v>46082</v>
      </c>
      <c r="F13808" s="518" t="s">
        <v>1989</v>
      </c>
      <c r="G13808" s="347" t="s">
        <v>1245</v>
      </c>
      <c r="H13808" s="348"/>
      <c r="I13808" s="348" t="s">
        <v>1253</v>
      </c>
      <c r="J13808" s="344" t="s">
        <v>113</v>
      </c>
      <c r="K13808" s="349">
        <v>10054.94505494505</v>
      </c>
      <c r="L13808" s="349"/>
      <c r="M13808" s="455"/>
    </row>
    <row r="13809" spans="1:16" ht="11.25" customHeight="1" x14ac:dyDescent="0.2">
      <c r="A13809" s="350">
        <v>2026</v>
      </c>
      <c r="B13809" s="350">
        <v>3</v>
      </c>
      <c r="C13809" s="350">
        <v>1</v>
      </c>
      <c r="D13809" s="351">
        <f t="shared" si="2107"/>
        <v>46082</v>
      </c>
      <c r="E13809" s="352">
        <f t="shared" si="2115"/>
        <v>46082</v>
      </c>
      <c r="F13809" s="519"/>
      <c r="G13809" s="353" t="s">
        <v>1245</v>
      </c>
      <c r="H13809" s="354"/>
      <c r="I13809" s="354" t="s">
        <v>1253</v>
      </c>
      <c r="J13809" s="350" t="s">
        <v>153</v>
      </c>
      <c r="K13809" s="355"/>
      <c r="L13809" s="355">
        <f t="shared" ref="L13809" si="2116">K13808</f>
        <v>10054.94505494505</v>
      </c>
    </row>
    <row r="13810" spans="1:16" ht="11.25" customHeight="1" x14ac:dyDescent="0.2">
      <c r="A13810" s="344">
        <v>2026</v>
      </c>
      <c r="B13810" s="344">
        <v>3</v>
      </c>
      <c r="C13810" s="344">
        <v>1</v>
      </c>
      <c r="D13810" s="345">
        <f t="shared" si="2107"/>
        <v>46082</v>
      </c>
      <c r="E13810" s="346">
        <f t="shared" si="2115"/>
        <v>46082</v>
      </c>
      <c r="F13810" s="518" t="s">
        <v>1990</v>
      </c>
      <c r="G13810" s="347" t="s">
        <v>1245</v>
      </c>
      <c r="H13810" s="348"/>
      <c r="I13810" s="348" t="s">
        <v>1253</v>
      </c>
      <c r="J13810" s="344" t="s">
        <v>113</v>
      </c>
      <c r="K13810" s="349">
        <v>30164.837142857104</v>
      </c>
      <c r="L13810" s="349"/>
      <c r="M13810" s="455"/>
      <c r="N13810" s="251"/>
      <c r="O13810" s="251"/>
      <c r="P13810" s="251"/>
    </row>
    <row r="13811" spans="1:16" ht="11.25" customHeight="1" x14ac:dyDescent="0.2">
      <c r="A13811" s="350">
        <v>2026</v>
      </c>
      <c r="B13811" s="350">
        <v>3</v>
      </c>
      <c r="C13811" s="350">
        <v>1</v>
      </c>
      <c r="D13811" s="351">
        <f t="shared" si="2107"/>
        <v>46082</v>
      </c>
      <c r="E13811" s="352">
        <f t="shared" si="2115"/>
        <v>46082</v>
      </c>
      <c r="F13811" s="519"/>
      <c r="G13811" s="353" t="s">
        <v>1245</v>
      </c>
      <c r="H13811" s="354"/>
      <c r="I13811" s="354" t="s">
        <v>1253</v>
      </c>
      <c r="J13811" s="350" t="s">
        <v>153</v>
      </c>
      <c r="K13811" s="355"/>
      <c r="L13811" s="355">
        <f t="shared" ref="L13811" si="2117">K13810</f>
        <v>30164.837142857104</v>
      </c>
      <c r="M13811" s="455"/>
    </row>
    <row r="13812" spans="1:16" ht="11.25" customHeight="1" x14ac:dyDescent="0.2">
      <c r="A13812" s="344">
        <v>2026</v>
      </c>
      <c r="B13812" s="344">
        <v>3</v>
      </c>
      <c r="C13812" s="344">
        <v>1</v>
      </c>
      <c r="D13812" s="345">
        <f t="shared" si="2107"/>
        <v>46082</v>
      </c>
      <c r="E13812" s="346">
        <f t="shared" si="2115"/>
        <v>46082</v>
      </c>
      <c r="F13812" s="518" t="s">
        <v>2107</v>
      </c>
      <c r="G13812" s="347" t="s">
        <v>1245</v>
      </c>
      <c r="H13812" s="348"/>
      <c r="I13812" s="348" t="s">
        <v>1253</v>
      </c>
      <c r="J13812" s="344" t="s">
        <v>113</v>
      </c>
      <c r="K13812" s="349">
        <v>37112.637362637302</v>
      </c>
      <c r="L13812" s="349"/>
      <c r="M13812" s="455"/>
      <c r="N13812" s="251"/>
      <c r="O13812" s="251"/>
      <c r="P13812" s="251"/>
    </row>
    <row r="13813" spans="1:16" ht="11.25" customHeight="1" x14ac:dyDescent="0.2">
      <c r="A13813" s="350">
        <v>2026</v>
      </c>
      <c r="B13813" s="350">
        <v>3</v>
      </c>
      <c r="C13813" s="350">
        <v>1</v>
      </c>
      <c r="D13813" s="351">
        <f t="shared" si="2107"/>
        <v>46082</v>
      </c>
      <c r="E13813" s="352">
        <f t="shared" si="2115"/>
        <v>46082</v>
      </c>
      <c r="F13813" s="519"/>
      <c r="G13813" s="353" t="s">
        <v>1245</v>
      </c>
      <c r="H13813" s="354"/>
      <c r="I13813" s="354" t="s">
        <v>1253</v>
      </c>
      <c r="J13813" s="350" t="s">
        <v>153</v>
      </c>
      <c r="K13813" s="355"/>
      <c r="L13813" s="355">
        <f t="shared" ref="L13813" si="2118">K13812</f>
        <v>37112.637362637302</v>
      </c>
    </row>
    <row r="13814" spans="1:16" ht="11.25" customHeight="1" x14ac:dyDescent="0.2">
      <c r="A13814" s="210">
        <v>2026</v>
      </c>
      <c r="B13814" s="210">
        <v>3</v>
      </c>
      <c r="C13814" s="210">
        <v>1</v>
      </c>
      <c r="D13814" s="211">
        <f t="shared" si="2107"/>
        <v>46082</v>
      </c>
      <c r="E13814" s="238">
        <f t="shared" si="2115"/>
        <v>46082</v>
      </c>
      <c r="F13814" s="520" t="s">
        <v>1857</v>
      </c>
      <c r="G13814" s="213" t="s">
        <v>1245</v>
      </c>
      <c r="H13814" s="214"/>
      <c r="I13814" s="214" t="s">
        <v>1253</v>
      </c>
      <c r="J13814" s="210" t="s">
        <v>1284</v>
      </c>
      <c r="K13814" s="215">
        <v>1003.633463310882</v>
      </c>
      <c r="L13814" s="215"/>
      <c r="M13814" s="455"/>
    </row>
    <row r="13815" spans="1:16" ht="11.25" customHeight="1" x14ac:dyDescent="0.2">
      <c r="A13815" s="242">
        <v>2026</v>
      </c>
      <c r="B13815" s="242">
        <v>3</v>
      </c>
      <c r="C13815" s="242">
        <v>1</v>
      </c>
      <c r="D13815" s="243">
        <f t="shared" si="2107"/>
        <v>46082</v>
      </c>
      <c r="E13815" s="244">
        <f>DATE(A13815,B13815,C13815)</f>
        <v>46082</v>
      </c>
      <c r="F13815" s="524"/>
      <c r="G13815" s="245" t="s">
        <v>1245</v>
      </c>
      <c r="H13815" s="246"/>
      <c r="I13815" s="246"/>
      <c r="J13815" s="242" t="s">
        <v>1582</v>
      </c>
      <c r="K13815" s="247"/>
      <c r="L13815" s="247">
        <f>K13814</f>
        <v>1003.633463310882</v>
      </c>
    </row>
    <row r="13816" spans="1:16" ht="11.25" customHeight="1" x14ac:dyDescent="0.2">
      <c r="A13816" s="210">
        <v>2026</v>
      </c>
      <c r="B13816" s="210">
        <v>3</v>
      </c>
      <c r="C13816" s="210">
        <v>1</v>
      </c>
      <c r="D13816" s="211">
        <f t="shared" si="2107"/>
        <v>46082</v>
      </c>
      <c r="E13816" s="238">
        <f t="shared" ref="E13816:E13830" si="2119">DATE(A13816,B13816,C13816)</f>
        <v>46082</v>
      </c>
      <c r="F13816" s="520" t="s">
        <v>2055</v>
      </c>
      <c r="G13816" s="213" t="s">
        <v>1245</v>
      </c>
      <c r="H13816" s="214"/>
      <c r="I13816" s="214" t="s">
        <v>1253</v>
      </c>
      <c r="J13816" s="210" t="s">
        <v>58</v>
      </c>
      <c r="K13816" s="215">
        <v>5597.55</v>
      </c>
      <c r="L13816" s="215"/>
    </row>
    <row r="13817" spans="1:16" ht="11.25" customHeight="1" x14ac:dyDescent="0.2">
      <c r="A13817" s="216">
        <v>2026</v>
      </c>
      <c r="B13817" s="216">
        <v>3</v>
      </c>
      <c r="C13817" s="216">
        <v>1</v>
      </c>
      <c r="D13817" s="217">
        <f t="shared" si="2107"/>
        <v>46082</v>
      </c>
      <c r="E13817" s="239">
        <f t="shared" si="2119"/>
        <v>46082</v>
      </c>
      <c r="F13817" s="521"/>
      <c r="G13817" s="219" t="s">
        <v>1245</v>
      </c>
      <c r="H13817" s="220"/>
      <c r="I13817" s="220" t="s">
        <v>1253</v>
      </c>
      <c r="J13817" s="216" t="s">
        <v>153</v>
      </c>
      <c r="K13817" s="221"/>
      <c r="L13817" s="221">
        <f>K13816</f>
        <v>5597.55</v>
      </c>
    </row>
    <row r="13818" spans="1:16" ht="11.25" customHeight="1" x14ac:dyDescent="0.2">
      <c r="A13818" s="312">
        <v>2026</v>
      </c>
      <c r="B13818" s="312">
        <v>3</v>
      </c>
      <c r="C13818" s="312">
        <v>1</v>
      </c>
      <c r="D13818" s="313">
        <f t="shared" si="2107"/>
        <v>46082</v>
      </c>
      <c r="E13818" s="314">
        <f t="shared" si="2119"/>
        <v>46082</v>
      </c>
      <c r="F13818" s="522" t="s">
        <v>1595</v>
      </c>
      <c r="G13818" s="315" t="s">
        <v>1245</v>
      </c>
      <c r="H13818" s="316"/>
      <c r="I13818" s="316" t="s">
        <v>1253</v>
      </c>
      <c r="J13818" s="312" t="s">
        <v>1461</v>
      </c>
      <c r="K13818" s="317">
        <v>238312.0680000782</v>
      </c>
      <c r="L13818" s="317"/>
      <c r="M13818" s="328"/>
    </row>
    <row r="13819" spans="1:16" ht="11.25" customHeight="1" x14ac:dyDescent="0.2">
      <c r="A13819" s="318">
        <v>2026</v>
      </c>
      <c r="B13819" s="318">
        <v>3</v>
      </c>
      <c r="C13819" s="318">
        <v>1</v>
      </c>
      <c r="D13819" s="319">
        <f t="shared" si="2107"/>
        <v>46082</v>
      </c>
      <c r="E13819" s="320">
        <f t="shared" si="2119"/>
        <v>46082</v>
      </c>
      <c r="F13819" s="523"/>
      <c r="G13819" s="321" t="s">
        <v>1245</v>
      </c>
      <c r="H13819" s="322"/>
      <c r="I13819" s="322" t="s">
        <v>1253</v>
      </c>
      <c r="J13819" s="318" t="s">
        <v>1459</v>
      </c>
      <c r="K13819" s="323"/>
      <c r="L13819" s="323">
        <f>K13818</f>
        <v>238312.0680000782</v>
      </c>
      <c r="M13819" s="328"/>
    </row>
    <row r="13820" spans="1:16" ht="11.25" customHeight="1" x14ac:dyDescent="0.2">
      <c r="A13820" s="222">
        <v>2026</v>
      </c>
      <c r="B13820" s="222">
        <v>3</v>
      </c>
      <c r="C13820" s="222">
        <v>1</v>
      </c>
      <c r="D13820" s="223">
        <f t="shared" si="2107"/>
        <v>46082</v>
      </c>
      <c r="E13820" s="240">
        <f t="shared" si="2119"/>
        <v>46082</v>
      </c>
      <c r="F13820" s="511" t="s">
        <v>1244</v>
      </c>
      <c r="G13820" s="225" t="s">
        <v>1245</v>
      </c>
      <c r="H13820" s="226"/>
      <c r="I13820" s="226" t="s">
        <v>1253</v>
      </c>
      <c r="J13820" s="222" t="s">
        <v>87</v>
      </c>
      <c r="K13820" s="227">
        <v>2568</v>
      </c>
      <c r="L13820" s="227"/>
      <c r="M13820" s="328"/>
    </row>
    <row r="13821" spans="1:16" ht="11.25" customHeight="1" x14ac:dyDescent="0.2">
      <c r="A13821" s="228">
        <v>2026</v>
      </c>
      <c r="B13821" s="228">
        <v>3</v>
      </c>
      <c r="C13821" s="228">
        <v>1</v>
      </c>
      <c r="D13821" s="229">
        <f t="shared" si="2107"/>
        <v>46082</v>
      </c>
      <c r="E13821" s="241">
        <f t="shared" si="2119"/>
        <v>46082</v>
      </c>
      <c r="F13821" s="512"/>
      <c r="G13821" s="231" t="s">
        <v>1245</v>
      </c>
      <c r="H13821" s="232"/>
      <c r="I13821" s="232" t="s">
        <v>1253</v>
      </c>
      <c r="J13821" s="228" t="s">
        <v>72</v>
      </c>
      <c r="K13821" s="233"/>
      <c r="L13821" s="233">
        <f>K13820</f>
        <v>2568</v>
      </c>
    </row>
    <row r="13822" spans="1:16" ht="11.25" customHeight="1" x14ac:dyDescent="0.2">
      <c r="A13822" s="222">
        <v>2026</v>
      </c>
      <c r="B13822" s="222">
        <v>3</v>
      </c>
      <c r="C13822" s="222">
        <v>1</v>
      </c>
      <c r="D13822" s="223">
        <f t="shared" si="2107"/>
        <v>46082</v>
      </c>
      <c r="E13822" s="240">
        <f t="shared" si="2119"/>
        <v>46082</v>
      </c>
      <c r="F13822" s="511" t="s">
        <v>2138</v>
      </c>
      <c r="G13822" s="225" t="s">
        <v>1245</v>
      </c>
      <c r="H13822" s="226"/>
      <c r="I13822" s="226" t="s">
        <v>1253</v>
      </c>
      <c r="J13822" s="222" t="s">
        <v>75</v>
      </c>
      <c r="K13822" s="227">
        <v>1552.767362637363</v>
      </c>
      <c r="L13822" s="227"/>
      <c r="M13822" s="455"/>
    </row>
    <row r="13823" spans="1:16" ht="11.25" customHeight="1" x14ac:dyDescent="0.2">
      <c r="A13823" s="228">
        <v>2026</v>
      </c>
      <c r="B13823" s="228">
        <v>3</v>
      </c>
      <c r="C13823" s="228">
        <v>1</v>
      </c>
      <c r="D13823" s="229">
        <f t="shared" si="2107"/>
        <v>46082</v>
      </c>
      <c r="E13823" s="241">
        <f t="shared" si="2119"/>
        <v>46082</v>
      </c>
      <c r="F13823" s="512"/>
      <c r="G13823" s="231" t="s">
        <v>1245</v>
      </c>
      <c r="H13823" s="232"/>
      <c r="I13823" s="232" t="s">
        <v>1253</v>
      </c>
      <c r="J13823" s="228" t="s">
        <v>55</v>
      </c>
      <c r="K13823" s="233"/>
      <c r="L13823" s="233">
        <f>K13822</f>
        <v>1552.767362637363</v>
      </c>
    </row>
    <row r="13824" spans="1:16" ht="11.25" customHeight="1" x14ac:dyDescent="0.2">
      <c r="A13824" s="222">
        <v>2026</v>
      </c>
      <c r="B13824" s="222">
        <v>3</v>
      </c>
      <c r="C13824" s="222">
        <v>1</v>
      </c>
      <c r="D13824" s="223">
        <f t="shared" si="2107"/>
        <v>46082</v>
      </c>
      <c r="E13824" s="240">
        <f t="shared" si="2119"/>
        <v>46082</v>
      </c>
      <c r="F13824" s="511" t="s">
        <v>2137</v>
      </c>
      <c r="G13824" s="225" t="s">
        <v>1245</v>
      </c>
      <c r="H13824" s="226"/>
      <c r="I13824" s="226" t="s">
        <v>1253</v>
      </c>
      <c r="J13824" s="222" t="s">
        <v>77</v>
      </c>
      <c r="K13824" s="227">
        <v>22387.89782829917</v>
      </c>
      <c r="L13824" s="227"/>
      <c r="M13824" s="478"/>
    </row>
    <row r="13825" spans="1:15" ht="11.25" customHeight="1" x14ac:dyDescent="0.2">
      <c r="A13825" s="228">
        <v>2026</v>
      </c>
      <c r="B13825" s="228">
        <v>3</v>
      </c>
      <c r="C13825" s="228">
        <v>1</v>
      </c>
      <c r="D13825" s="229">
        <f t="shared" si="2107"/>
        <v>46082</v>
      </c>
      <c r="E13825" s="241">
        <f t="shared" si="2119"/>
        <v>46082</v>
      </c>
      <c r="F13825" s="512"/>
      <c r="G13825" s="231" t="s">
        <v>1245</v>
      </c>
      <c r="H13825" s="232"/>
      <c r="I13825" s="232" t="s">
        <v>1253</v>
      </c>
      <c r="J13825" s="228" t="s">
        <v>41</v>
      </c>
      <c r="K13825" s="233"/>
      <c r="L13825" s="233">
        <f>K13824</f>
        <v>22387.89782829917</v>
      </c>
      <c r="M13825" s="478"/>
      <c r="N13825" s="251"/>
    </row>
    <row r="13826" spans="1:15" ht="11.25" customHeight="1" x14ac:dyDescent="0.2">
      <c r="A13826" s="222">
        <v>2026</v>
      </c>
      <c r="B13826" s="222">
        <v>3</v>
      </c>
      <c r="C13826" s="222">
        <v>1</v>
      </c>
      <c r="D13826" s="223">
        <f t="shared" si="2107"/>
        <v>46082</v>
      </c>
      <c r="E13826" s="240">
        <f t="shared" si="2119"/>
        <v>46082</v>
      </c>
      <c r="F13826" s="511" t="s">
        <v>2136</v>
      </c>
      <c r="G13826" s="225" t="s">
        <v>1245</v>
      </c>
      <c r="H13826" s="226"/>
      <c r="I13826" s="226" t="s">
        <v>1253</v>
      </c>
      <c r="J13826" s="222" t="s">
        <v>80</v>
      </c>
      <c r="K13826" s="227">
        <v>2238.7897828299169</v>
      </c>
      <c r="L13826" s="227"/>
      <c r="M13826" s="328"/>
      <c r="N13826" s="251"/>
      <c r="O13826" s="251"/>
    </row>
    <row r="13827" spans="1:15" ht="11.25" customHeight="1" x14ac:dyDescent="0.2">
      <c r="A13827" s="228">
        <v>2026</v>
      </c>
      <c r="B13827" s="228">
        <v>3</v>
      </c>
      <c r="C13827" s="228">
        <v>1</v>
      </c>
      <c r="D13827" s="229">
        <f t="shared" si="2107"/>
        <v>46082</v>
      </c>
      <c r="E13827" s="241">
        <f t="shared" si="2119"/>
        <v>46082</v>
      </c>
      <c r="F13827" s="512"/>
      <c r="G13827" s="231" t="s">
        <v>1245</v>
      </c>
      <c r="H13827" s="232"/>
      <c r="I13827" s="232" t="s">
        <v>1253</v>
      </c>
      <c r="J13827" s="228" t="s">
        <v>42</v>
      </c>
      <c r="K13827" s="233"/>
      <c r="L13827" s="233">
        <f>K13826</f>
        <v>2238.7897828299169</v>
      </c>
      <c r="N13827" s="251"/>
    </row>
    <row r="13828" spans="1:15" x14ac:dyDescent="0.2">
      <c r="A13828" s="197">
        <v>2026</v>
      </c>
      <c r="B13828" s="197">
        <v>3</v>
      </c>
      <c r="C13828" s="197">
        <v>2</v>
      </c>
      <c r="D13828" s="198">
        <f t="shared" si="2107"/>
        <v>46083</v>
      </c>
      <c r="E13828" s="209">
        <f t="shared" si="2119"/>
        <v>46083</v>
      </c>
      <c r="F13828" s="513" t="s">
        <v>1280</v>
      </c>
      <c r="G13828" s="200" t="s">
        <v>1209</v>
      </c>
      <c r="H13828" s="201"/>
      <c r="I13828" s="201"/>
      <c r="J13828" s="197" t="s">
        <v>16</v>
      </c>
      <c r="K13828" s="202">
        <v>3840800</v>
      </c>
      <c r="L13828" s="202"/>
    </row>
    <row r="13829" spans="1:15" x14ac:dyDescent="0.2">
      <c r="A13829" s="120">
        <v>2026</v>
      </c>
      <c r="B13829" s="120">
        <v>3</v>
      </c>
      <c r="C13829" s="120">
        <v>2</v>
      </c>
      <c r="D13829" s="208">
        <f t="shared" si="2107"/>
        <v>46083</v>
      </c>
      <c r="E13829" s="209">
        <f t="shared" si="2119"/>
        <v>46083</v>
      </c>
      <c r="F13829" s="515"/>
      <c r="G13829" s="132" t="s">
        <v>1209</v>
      </c>
      <c r="J13829" s="120" t="s">
        <v>47</v>
      </c>
      <c r="K13829" s="207">
        <v>1576272.02</v>
      </c>
      <c r="L13829" s="207"/>
    </row>
    <row r="13830" spans="1:15" x14ac:dyDescent="0.2">
      <c r="A13830" s="191">
        <v>2026</v>
      </c>
      <c r="B13830" s="191">
        <v>3</v>
      </c>
      <c r="C13830" s="191">
        <v>2</v>
      </c>
      <c r="D13830" s="192">
        <f t="shared" si="2107"/>
        <v>46083</v>
      </c>
      <c r="E13830" s="193">
        <f t="shared" si="2119"/>
        <v>46083</v>
      </c>
      <c r="F13830" s="514"/>
      <c r="G13830" s="194" t="s">
        <v>1209</v>
      </c>
      <c r="H13830" s="195"/>
      <c r="I13830" s="195"/>
      <c r="J13830" s="191" t="s">
        <v>46</v>
      </c>
      <c r="K13830" s="196"/>
      <c r="L13830" s="196">
        <v>5417072.0199999996</v>
      </c>
    </row>
    <row r="13831" spans="1:15" ht="11.25" customHeight="1" x14ac:dyDescent="0.2">
      <c r="A13831" s="197">
        <v>2026</v>
      </c>
      <c r="B13831" s="197">
        <v>3</v>
      </c>
      <c r="C13831" s="197">
        <v>2</v>
      </c>
      <c r="D13831" s="198">
        <f t="shared" ref="D13831:D13869" si="2120">DATE(A13831,B13831,C13831)</f>
        <v>46083</v>
      </c>
      <c r="E13831" s="290">
        <f>DATE(A13831,B13831,C13831)</f>
        <v>46083</v>
      </c>
      <c r="F13831" s="513" t="s">
        <v>1514</v>
      </c>
      <c r="G13831" s="200" t="s">
        <v>1209</v>
      </c>
      <c r="H13831" s="201"/>
      <c r="I13831" s="201"/>
      <c r="J13831" s="197" t="s">
        <v>54</v>
      </c>
      <c r="K13831" s="202">
        <f>100+58+58</f>
        <v>216</v>
      </c>
      <c r="L13831" s="202"/>
      <c r="O13831" s="251"/>
    </row>
    <row r="13832" spans="1:15" ht="11.25" customHeight="1" x14ac:dyDescent="0.2">
      <c r="A13832" s="191">
        <v>2026</v>
      </c>
      <c r="B13832" s="191">
        <v>3</v>
      </c>
      <c r="C13832" s="191">
        <v>2</v>
      </c>
      <c r="D13832" s="192">
        <f t="shared" si="2120"/>
        <v>46083</v>
      </c>
      <c r="E13832" s="291">
        <f>DATE(A13832,B13832,C13832)</f>
        <v>46083</v>
      </c>
      <c r="F13832" s="514"/>
      <c r="G13832" s="194" t="s">
        <v>1209</v>
      </c>
      <c r="H13832" s="195"/>
      <c r="I13832" s="195"/>
      <c r="J13832" s="191" t="s">
        <v>46</v>
      </c>
      <c r="K13832" s="196"/>
      <c r="L13832" s="196">
        <f>K13831</f>
        <v>216</v>
      </c>
      <c r="O13832" s="251"/>
    </row>
    <row r="13833" spans="1:15" x14ac:dyDescent="0.2">
      <c r="A13833" s="424">
        <v>2026</v>
      </c>
      <c r="B13833" s="424">
        <v>3</v>
      </c>
      <c r="C13833" s="424">
        <v>2</v>
      </c>
      <c r="D13833" s="425">
        <f t="shared" si="2120"/>
        <v>46083</v>
      </c>
      <c r="E13833" s="384">
        <f t="shared" ref="E13833:E13844" si="2121">DATE(A13833,B13833,C13833)</f>
        <v>46083</v>
      </c>
      <c r="F13833" s="516" t="s">
        <v>1850</v>
      </c>
      <c r="G13833" s="426" t="s">
        <v>1209</v>
      </c>
      <c r="H13833" s="427"/>
      <c r="I13833" s="427"/>
      <c r="J13833" s="428" t="s">
        <v>81</v>
      </c>
      <c r="K13833" s="429">
        <v>1595.81736263736</v>
      </c>
      <c r="L13833" s="429"/>
      <c r="M13833" s="455"/>
    </row>
    <row r="13834" spans="1:15" x14ac:dyDescent="0.2">
      <c r="A13834" s="389">
        <v>2026</v>
      </c>
      <c r="B13834" s="389">
        <v>3</v>
      </c>
      <c r="C13834" s="389">
        <v>2</v>
      </c>
      <c r="D13834" s="390">
        <f t="shared" si="2120"/>
        <v>46083</v>
      </c>
      <c r="E13834" s="391">
        <f t="shared" si="2121"/>
        <v>46083</v>
      </c>
      <c r="F13834" s="517"/>
      <c r="G13834" s="392" t="s">
        <v>1209</v>
      </c>
      <c r="H13834" s="393"/>
      <c r="I13834" s="393"/>
      <c r="J13834" s="394" t="s">
        <v>1847</v>
      </c>
      <c r="K13834" s="423"/>
      <c r="L13834" s="423">
        <f>K13833</f>
        <v>1595.81736263736</v>
      </c>
    </row>
    <row r="13835" spans="1:15" ht="11.25" customHeight="1" x14ac:dyDescent="0.2">
      <c r="A13835" s="382">
        <v>2026</v>
      </c>
      <c r="B13835" s="382">
        <v>3</v>
      </c>
      <c r="C13835" s="382">
        <v>2</v>
      </c>
      <c r="D13835" s="383">
        <f t="shared" si="2120"/>
        <v>46083</v>
      </c>
      <c r="E13835" s="384">
        <f t="shared" si="2121"/>
        <v>46083</v>
      </c>
      <c r="F13835" s="516" t="s">
        <v>1892</v>
      </c>
      <c r="G13835" s="385" t="s">
        <v>1209</v>
      </c>
      <c r="H13835" s="386"/>
      <c r="I13835" s="386"/>
      <c r="J13835" s="387" t="s">
        <v>173</v>
      </c>
      <c r="K13835" s="388">
        <v>589.26995712361122</v>
      </c>
      <c r="L13835" s="388"/>
      <c r="M13835" s="455"/>
    </row>
    <row r="13836" spans="1:15" ht="11.25" customHeight="1" x14ac:dyDescent="0.2">
      <c r="A13836" s="389">
        <v>2026</v>
      </c>
      <c r="B13836" s="389">
        <v>3</v>
      </c>
      <c r="C13836" s="389">
        <v>2</v>
      </c>
      <c r="D13836" s="390">
        <f t="shared" si="2120"/>
        <v>46083</v>
      </c>
      <c r="E13836" s="391">
        <f t="shared" si="2121"/>
        <v>46083</v>
      </c>
      <c r="F13836" s="517"/>
      <c r="G13836" s="392" t="s">
        <v>1209</v>
      </c>
      <c r="H13836" s="393"/>
      <c r="I13836" s="393"/>
      <c r="J13836" s="394" t="s">
        <v>43</v>
      </c>
      <c r="K13836" s="388"/>
      <c r="L13836" s="423">
        <f>K13835</f>
        <v>589.26995712361122</v>
      </c>
    </row>
    <row r="13837" spans="1:15" ht="11.25" customHeight="1" x14ac:dyDescent="0.2">
      <c r="A13837" s="344">
        <v>2026</v>
      </c>
      <c r="B13837" s="344">
        <v>3</v>
      </c>
      <c r="C13837" s="344">
        <v>2</v>
      </c>
      <c r="D13837" s="345">
        <f t="shared" si="2120"/>
        <v>46083</v>
      </c>
      <c r="E13837" s="346">
        <f t="shared" si="2121"/>
        <v>46083</v>
      </c>
      <c r="F13837" s="518" t="s">
        <v>1982</v>
      </c>
      <c r="G13837" s="347" t="s">
        <v>1245</v>
      </c>
      <c r="H13837" s="348"/>
      <c r="I13837" s="348" t="s">
        <v>1253</v>
      </c>
      <c r="J13837" s="344" t="s">
        <v>1978</v>
      </c>
      <c r="K13837" s="349">
        <v>20878.176795580108</v>
      </c>
      <c r="L13837" s="349"/>
      <c r="M13837" s="455"/>
    </row>
    <row r="13838" spans="1:15" ht="11.25" customHeight="1" x14ac:dyDescent="0.2">
      <c r="A13838" s="350">
        <v>2026</v>
      </c>
      <c r="B13838" s="350">
        <v>3</v>
      </c>
      <c r="C13838" s="350">
        <v>2</v>
      </c>
      <c r="D13838" s="351">
        <f t="shared" si="2120"/>
        <v>46083</v>
      </c>
      <c r="E13838" s="352">
        <f t="shared" si="2121"/>
        <v>46083</v>
      </c>
      <c r="F13838" s="519"/>
      <c r="G13838" s="353" t="s">
        <v>1245</v>
      </c>
      <c r="H13838" s="354"/>
      <c r="I13838" s="354" t="s">
        <v>1253</v>
      </c>
      <c r="J13838" s="350" t="s">
        <v>1979</v>
      </c>
      <c r="K13838" s="355"/>
      <c r="L13838" s="355">
        <f>K13837</f>
        <v>20878.176795580108</v>
      </c>
    </row>
    <row r="13839" spans="1:15" ht="11.25" customHeight="1" x14ac:dyDescent="0.2">
      <c r="A13839" s="344">
        <v>2026</v>
      </c>
      <c r="B13839" s="344">
        <v>3</v>
      </c>
      <c r="C13839" s="344">
        <v>2</v>
      </c>
      <c r="D13839" s="345">
        <f t="shared" si="2120"/>
        <v>46083</v>
      </c>
      <c r="E13839" s="346">
        <f t="shared" si="2121"/>
        <v>46083</v>
      </c>
      <c r="F13839" s="518" t="s">
        <v>2009</v>
      </c>
      <c r="G13839" s="347" t="s">
        <v>1245</v>
      </c>
      <c r="H13839" s="348"/>
      <c r="I13839" s="348" t="s">
        <v>1253</v>
      </c>
      <c r="J13839" s="344" t="s">
        <v>2004</v>
      </c>
      <c r="K13839" s="349">
        <v>7098.9014285714302</v>
      </c>
      <c r="L13839" s="349"/>
      <c r="M13839" s="455"/>
    </row>
    <row r="13840" spans="1:15" ht="11.25" customHeight="1" x14ac:dyDescent="0.2">
      <c r="A13840" s="350">
        <v>2026</v>
      </c>
      <c r="B13840" s="350">
        <v>3</v>
      </c>
      <c r="C13840" s="350">
        <v>2</v>
      </c>
      <c r="D13840" s="351">
        <f t="shared" si="2120"/>
        <v>46083</v>
      </c>
      <c r="E13840" s="352">
        <f t="shared" si="2121"/>
        <v>46083</v>
      </c>
      <c r="F13840" s="519"/>
      <c r="G13840" s="353" t="s">
        <v>1245</v>
      </c>
      <c r="H13840" s="354"/>
      <c r="I13840" s="354" t="s">
        <v>1253</v>
      </c>
      <c r="J13840" s="350" t="s">
        <v>2008</v>
      </c>
      <c r="K13840" s="355"/>
      <c r="L13840" s="355">
        <f t="shared" ref="L13840" si="2122">K13839</f>
        <v>7098.9014285714302</v>
      </c>
    </row>
    <row r="13841" spans="1:16" ht="11.25" customHeight="1" x14ac:dyDescent="0.2">
      <c r="A13841" s="344">
        <v>2026</v>
      </c>
      <c r="B13841" s="344">
        <v>3</v>
      </c>
      <c r="C13841" s="344">
        <v>2</v>
      </c>
      <c r="D13841" s="345">
        <f t="shared" si="2120"/>
        <v>46083</v>
      </c>
      <c r="E13841" s="346">
        <f t="shared" si="2121"/>
        <v>46083</v>
      </c>
      <c r="F13841" s="518" t="s">
        <v>2009</v>
      </c>
      <c r="G13841" s="347" t="s">
        <v>1245</v>
      </c>
      <c r="H13841" s="348"/>
      <c r="I13841" s="348" t="s">
        <v>1253</v>
      </c>
      <c r="J13841" s="344" t="s">
        <v>2004</v>
      </c>
      <c r="K13841" s="349">
        <v>7098.9014285714302</v>
      </c>
      <c r="L13841" s="349"/>
      <c r="M13841" s="455"/>
    </row>
    <row r="13842" spans="1:16" ht="11.25" customHeight="1" x14ac:dyDescent="0.2">
      <c r="A13842" s="350">
        <v>2026</v>
      </c>
      <c r="B13842" s="350">
        <v>3</v>
      </c>
      <c r="C13842" s="350">
        <v>2</v>
      </c>
      <c r="D13842" s="351">
        <f t="shared" si="2120"/>
        <v>46083</v>
      </c>
      <c r="E13842" s="352">
        <f t="shared" si="2121"/>
        <v>46083</v>
      </c>
      <c r="F13842" s="519"/>
      <c r="G13842" s="353" t="s">
        <v>1245</v>
      </c>
      <c r="H13842" s="354"/>
      <c r="I13842" s="354" t="s">
        <v>1253</v>
      </c>
      <c r="J13842" s="350" t="s">
        <v>2008</v>
      </c>
      <c r="K13842" s="355"/>
      <c r="L13842" s="355">
        <f t="shared" ref="L13842" si="2123">K13841</f>
        <v>7098.9014285714302</v>
      </c>
    </row>
    <row r="13843" spans="1:16" ht="11.25" customHeight="1" x14ac:dyDescent="0.2">
      <c r="A13843" s="344">
        <v>2026</v>
      </c>
      <c r="B13843" s="344">
        <v>3</v>
      </c>
      <c r="C13843" s="344">
        <v>2</v>
      </c>
      <c r="D13843" s="345">
        <f t="shared" si="2120"/>
        <v>46083</v>
      </c>
      <c r="E13843" s="346">
        <f t="shared" si="2121"/>
        <v>46083</v>
      </c>
      <c r="F13843" s="518" t="s">
        <v>2088</v>
      </c>
      <c r="G13843" s="347" t="s">
        <v>1245</v>
      </c>
      <c r="H13843" s="348"/>
      <c r="I13843" s="348" t="s">
        <v>1253</v>
      </c>
      <c r="J13843" s="344" t="s">
        <v>2086</v>
      </c>
      <c r="K13843" s="349">
        <v>1789.83516483516</v>
      </c>
      <c r="L13843" s="349"/>
      <c r="M13843" s="455"/>
    </row>
    <row r="13844" spans="1:16" ht="11.25" customHeight="1" x14ac:dyDescent="0.2">
      <c r="A13844" s="350">
        <v>2026</v>
      </c>
      <c r="B13844" s="350">
        <v>3</v>
      </c>
      <c r="C13844" s="350">
        <v>2</v>
      </c>
      <c r="D13844" s="351">
        <f t="shared" si="2120"/>
        <v>46083</v>
      </c>
      <c r="E13844" s="352">
        <f t="shared" si="2121"/>
        <v>46083</v>
      </c>
      <c r="F13844" s="519"/>
      <c r="G13844" s="353" t="s">
        <v>1245</v>
      </c>
      <c r="H13844" s="354"/>
      <c r="I13844" s="354" t="s">
        <v>1253</v>
      </c>
      <c r="J13844" s="350" t="s">
        <v>2089</v>
      </c>
      <c r="K13844" s="355"/>
      <c r="L13844" s="355">
        <f>K13843</f>
        <v>1789.83516483516</v>
      </c>
    </row>
    <row r="13845" spans="1:16" ht="11.25" customHeight="1" x14ac:dyDescent="0.2">
      <c r="A13845" s="344">
        <v>2026</v>
      </c>
      <c r="B13845" s="344">
        <v>3</v>
      </c>
      <c r="C13845" s="344">
        <v>2</v>
      </c>
      <c r="D13845" s="345">
        <f t="shared" si="2120"/>
        <v>46083</v>
      </c>
      <c r="E13845" s="346">
        <f>DATE(A13845,B13845,C13845)</f>
        <v>46083</v>
      </c>
      <c r="F13845" s="518" t="s">
        <v>1988</v>
      </c>
      <c r="G13845" s="347" t="s">
        <v>1245</v>
      </c>
      <c r="H13845" s="348"/>
      <c r="I13845" s="348" t="s">
        <v>1253</v>
      </c>
      <c r="J13845" s="344" t="s">
        <v>113</v>
      </c>
      <c r="K13845" s="349">
        <v>4692.3071428571402</v>
      </c>
      <c r="L13845" s="349"/>
      <c r="M13845" s="455"/>
    </row>
    <row r="13846" spans="1:16" ht="11.25" customHeight="1" x14ac:dyDescent="0.2">
      <c r="A13846" s="350">
        <v>2026</v>
      </c>
      <c r="B13846" s="350">
        <v>3</v>
      </c>
      <c r="C13846" s="350">
        <v>2</v>
      </c>
      <c r="D13846" s="351">
        <f t="shared" si="2120"/>
        <v>46083</v>
      </c>
      <c r="E13846" s="352">
        <f>DATE(A13846,B13846,C13846)</f>
        <v>46083</v>
      </c>
      <c r="F13846" s="519"/>
      <c r="G13846" s="353" t="s">
        <v>1245</v>
      </c>
      <c r="H13846" s="354"/>
      <c r="I13846" s="354" t="s">
        <v>1253</v>
      </c>
      <c r="J13846" s="350" t="s">
        <v>153</v>
      </c>
      <c r="K13846" s="355"/>
      <c r="L13846" s="355">
        <f t="shared" ref="L13846" si="2124">K13845</f>
        <v>4692.3071428571402</v>
      </c>
    </row>
    <row r="13847" spans="1:16" ht="11.25" customHeight="1" x14ac:dyDescent="0.2">
      <c r="A13847" s="344">
        <v>2026</v>
      </c>
      <c r="B13847" s="344">
        <v>3</v>
      </c>
      <c r="C13847" s="344">
        <v>2</v>
      </c>
      <c r="D13847" s="345">
        <f t="shared" si="2120"/>
        <v>46083</v>
      </c>
      <c r="E13847" s="346">
        <f t="shared" ref="E13847:E13853" si="2125">DATE(A13847,B13847,C13847)</f>
        <v>46083</v>
      </c>
      <c r="F13847" s="518" t="s">
        <v>1989</v>
      </c>
      <c r="G13847" s="347" t="s">
        <v>1245</v>
      </c>
      <c r="H13847" s="348"/>
      <c r="I13847" s="348" t="s">
        <v>1253</v>
      </c>
      <c r="J13847" s="344" t="s">
        <v>113</v>
      </c>
      <c r="K13847" s="349">
        <v>3351.6483516483499</v>
      </c>
      <c r="L13847" s="349"/>
      <c r="M13847" s="455"/>
    </row>
    <row r="13848" spans="1:16" ht="11.25" customHeight="1" x14ac:dyDescent="0.2">
      <c r="A13848" s="350">
        <v>2026</v>
      </c>
      <c r="B13848" s="350">
        <v>3</v>
      </c>
      <c r="C13848" s="350">
        <v>2</v>
      </c>
      <c r="D13848" s="351">
        <f t="shared" si="2120"/>
        <v>46083</v>
      </c>
      <c r="E13848" s="352">
        <f t="shared" si="2125"/>
        <v>46083</v>
      </c>
      <c r="F13848" s="519"/>
      <c r="G13848" s="353" t="s">
        <v>1245</v>
      </c>
      <c r="H13848" s="354"/>
      <c r="I13848" s="354" t="s">
        <v>1253</v>
      </c>
      <c r="J13848" s="350" t="s">
        <v>153</v>
      </c>
      <c r="K13848" s="355"/>
      <c r="L13848" s="355">
        <f t="shared" ref="L13848" si="2126">K13847</f>
        <v>3351.6483516483499</v>
      </c>
    </row>
    <row r="13849" spans="1:16" ht="11.25" customHeight="1" x14ac:dyDescent="0.2">
      <c r="A13849" s="344">
        <v>2026</v>
      </c>
      <c r="B13849" s="344">
        <v>3</v>
      </c>
      <c r="C13849" s="344">
        <v>2</v>
      </c>
      <c r="D13849" s="345">
        <f t="shared" si="2120"/>
        <v>46083</v>
      </c>
      <c r="E13849" s="346">
        <f t="shared" si="2125"/>
        <v>46083</v>
      </c>
      <c r="F13849" s="518" t="s">
        <v>1990</v>
      </c>
      <c r="G13849" s="347" t="s">
        <v>1245</v>
      </c>
      <c r="H13849" s="348"/>
      <c r="I13849" s="348" t="s">
        <v>1253</v>
      </c>
      <c r="J13849" s="344" t="s">
        <v>113</v>
      </c>
      <c r="K13849" s="349">
        <v>10054.945714285701</v>
      </c>
      <c r="L13849" s="349"/>
      <c r="M13849" s="455"/>
      <c r="N13849" s="251"/>
      <c r="O13849" s="251"/>
      <c r="P13849" s="251"/>
    </row>
    <row r="13850" spans="1:16" ht="11.25" customHeight="1" x14ac:dyDescent="0.2">
      <c r="A13850" s="350">
        <v>2026</v>
      </c>
      <c r="B13850" s="350">
        <v>3</v>
      </c>
      <c r="C13850" s="350">
        <v>2</v>
      </c>
      <c r="D13850" s="351">
        <f t="shared" si="2120"/>
        <v>46083</v>
      </c>
      <c r="E13850" s="352">
        <f t="shared" si="2125"/>
        <v>46083</v>
      </c>
      <c r="F13850" s="519"/>
      <c r="G13850" s="353" t="s">
        <v>1245</v>
      </c>
      <c r="H13850" s="354"/>
      <c r="I13850" s="354" t="s">
        <v>1253</v>
      </c>
      <c r="J13850" s="350" t="s">
        <v>153</v>
      </c>
      <c r="K13850" s="355"/>
      <c r="L13850" s="355">
        <f t="shared" ref="L13850" si="2127">K13849</f>
        <v>10054.945714285701</v>
      </c>
      <c r="M13850" s="455"/>
    </row>
    <row r="13851" spans="1:16" ht="11.25" customHeight="1" x14ac:dyDescent="0.2">
      <c r="A13851" s="344">
        <v>2026</v>
      </c>
      <c r="B13851" s="344">
        <v>3</v>
      </c>
      <c r="C13851" s="344">
        <v>2</v>
      </c>
      <c r="D13851" s="345">
        <f t="shared" si="2120"/>
        <v>46083</v>
      </c>
      <c r="E13851" s="346">
        <f t="shared" si="2125"/>
        <v>46083</v>
      </c>
      <c r="F13851" s="518" t="s">
        <v>2107</v>
      </c>
      <c r="G13851" s="347" t="s">
        <v>1245</v>
      </c>
      <c r="H13851" s="348"/>
      <c r="I13851" s="348" t="s">
        <v>1253</v>
      </c>
      <c r="J13851" s="344" t="s">
        <v>113</v>
      </c>
      <c r="K13851" s="349">
        <v>12370.879120879101</v>
      </c>
      <c r="L13851" s="349"/>
      <c r="M13851" s="455"/>
      <c r="N13851" s="251"/>
      <c r="O13851" s="251"/>
      <c r="P13851" s="251"/>
    </row>
    <row r="13852" spans="1:16" ht="11.25" customHeight="1" x14ac:dyDescent="0.2">
      <c r="A13852" s="350">
        <v>2026</v>
      </c>
      <c r="B13852" s="350">
        <v>3</v>
      </c>
      <c r="C13852" s="350">
        <v>2</v>
      </c>
      <c r="D13852" s="351">
        <f t="shared" si="2120"/>
        <v>46083</v>
      </c>
      <c r="E13852" s="352">
        <f t="shared" si="2125"/>
        <v>46083</v>
      </c>
      <c r="F13852" s="519"/>
      <c r="G13852" s="353" t="s">
        <v>1245</v>
      </c>
      <c r="H13852" s="354"/>
      <c r="I13852" s="354" t="s">
        <v>1253</v>
      </c>
      <c r="J13852" s="350" t="s">
        <v>153</v>
      </c>
      <c r="K13852" s="355"/>
      <c r="L13852" s="355">
        <f t="shared" ref="L13852" si="2128">K13851</f>
        <v>12370.879120879101</v>
      </c>
    </row>
    <row r="13853" spans="1:16" ht="11.25" customHeight="1" x14ac:dyDescent="0.2">
      <c r="A13853" s="210">
        <v>2026</v>
      </c>
      <c r="B13853" s="210">
        <v>3</v>
      </c>
      <c r="C13853" s="210">
        <v>2</v>
      </c>
      <c r="D13853" s="211">
        <f t="shared" si="2120"/>
        <v>46083</v>
      </c>
      <c r="E13853" s="238">
        <f t="shared" si="2125"/>
        <v>46083</v>
      </c>
      <c r="F13853" s="520" t="s">
        <v>1857</v>
      </c>
      <c r="G13853" s="213" t="s">
        <v>1245</v>
      </c>
      <c r="H13853" s="214"/>
      <c r="I13853" s="214" t="s">
        <v>1253</v>
      </c>
      <c r="J13853" s="210" t="s">
        <v>1284</v>
      </c>
      <c r="K13853" s="215">
        <v>334.54448777029398</v>
      </c>
      <c r="L13853" s="215"/>
      <c r="M13853" s="455"/>
    </row>
    <row r="13854" spans="1:16" ht="11.25" customHeight="1" x14ac:dyDescent="0.2">
      <c r="A13854" s="242">
        <v>2026</v>
      </c>
      <c r="B13854" s="242">
        <v>3</v>
      </c>
      <c r="C13854" s="242">
        <v>2</v>
      </c>
      <c r="D13854" s="243">
        <f t="shared" si="2120"/>
        <v>46083</v>
      </c>
      <c r="E13854" s="244">
        <f>DATE(A13854,B13854,C13854)</f>
        <v>46083</v>
      </c>
      <c r="F13854" s="524"/>
      <c r="G13854" s="245" t="s">
        <v>1245</v>
      </c>
      <c r="H13854" s="246"/>
      <c r="I13854" s="246"/>
      <c r="J13854" s="242" t="s">
        <v>1582</v>
      </c>
      <c r="K13854" s="247"/>
      <c r="L13854" s="247">
        <f>K13853</f>
        <v>334.54448777029398</v>
      </c>
    </row>
    <row r="13855" spans="1:16" ht="11.25" customHeight="1" x14ac:dyDescent="0.2">
      <c r="A13855" s="210">
        <v>2026</v>
      </c>
      <c r="B13855" s="210">
        <v>3</v>
      </c>
      <c r="C13855" s="210">
        <v>2</v>
      </c>
      <c r="D13855" s="211">
        <f t="shared" si="2120"/>
        <v>46083</v>
      </c>
      <c r="E13855" s="238">
        <f t="shared" ref="E13855:E13885" si="2129">DATE(A13855,B13855,C13855)</f>
        <v>46083</v>
      </c>
      <c r="F13855" s="520" t="s">
        <v>2055</v>
      </c>
      <c r="G13855" s="213" t="s">
        <v>1245</v>
      </c>
      <c r="H13855" s="214"/>
      <c r="I13855" s="214" t="s">
        <v>1253</v>
      </c>
      <c r="J13855" s="210" t="s">
        <v>58</v>
      </c>
      <c r="K13855" s="215">
        <v>203.08910194444448</v>
      </c>
      <c r="L13855" s="215"/>
    </row>
    <row r="13856" spans="1:16" ht="11.25" customHeight="1" x14ac:dyDescent="0.2">
      <c r="A13856" s="216">
        <v>2026</v>
      </c>
      <c r="B13856" s="216">
        <v>3</v>
      </c>
      <c r="C13856" s="216">
        <v>2</v>
      </c>
      <c r="D13856" s="217">
        <f t="shared" si="2120"/>
        <v>46083</v>
      </c>
      <c r="E13856" s="239">
        <f t="shared" si="2129"/>
        <v>46083</v>
      </c>
      <c r="F13856" s="521"/>
      <c r="G13856" s="219" t="s">
        <v>1245</v>
      </c>
      <c r="H13856" s="220"/>
      <c r="I13856" s="220" t="s">
        <v>1253</v>
      </c>
      <c r="J13856" s="216" t="s">
        <v>153</v>
      </c>
      <c r="K13856" s="221"/>
      <c r="L13856" s="221">
        <f>K13855</f>
        <v>203.08910194444448</v>
      </c>
    </row>
    <row r="13857" spans="1:15" ht="11.25" customHeight="1" x14ac:dyDescent="0.2">
      <c r="A13857" s="312">
        <v>2026</v>
      </c>
      <c r="B13857" s="312">
        <v>3</v>
      </c>
      <c r="C13857" s="312">
        <v>2</v>
      </c>
      <c r="D13857" s="313">
        <f t="shared" si="2120"/>
        <v>46083</v>
      </c>
      <c r="E13857" s="314">
        <f t="shared" si="2129"/>
        <v>46083</v>
      </c>
      <c r="F13857" s="522" t="s">
        <v>1595</v>
      </c>
      <c r="G13857" s="315" t="s">
        <v>1245</v>
      </c>
      <c r="H13857" s="316"/>
      <c r="I13857" s="316" t="s">
        <v>1253</v>
      </c>
      <c r="J13857" s="312" t="s">
        <v>1461</v>
      </c>
      <c r="K13857" s="317">
        <v>96774.974999904633</v>
      </c>
      <c r="L13857" s="317"/>
      <c r="M13857" s="328"/>
    </row>
    <row r="13858" spans="1:15" ht="11.25" customHeight="1" x14ac:dyDescent="0.2">
      <c r="A13858" s="318">
        <v>2026</v>
      </c>
      <c r="B13858" s="318">
        <v>3</v>
      </c>
      <c r="C13858" s="318">
        <v>2</v>
      </c>
      <c r="D13858" s="319">
        <f t="shared" si="2120"/>
        <v>46083</v>
      </c>
      <c r="E13858" s="320">
        <f t="shared" si="2129"/>
        <v>46083</v>
      </c>
      <c r="F13858" s="523"/>
      <c r="G13858" s="321" t="s">
        <v>1245</v>
      </c>
      <c r="H13858" s="322"/>
      <c r="I13858" s="322" t="s">
        <v>1253</v>
      </c>
      <c r="J13858" s="318" t="s">
        <v>1459</v>
      </c>
      <c r="K13858" s="323"/>
      <c r="L13858" s="323">
        <f>K13857</f>
        <v>96774.974999904633</v>
      </c>
      <c r="M13858" s="328"/>
    </row>
    <row r="13859" spans="1:15" ht="11.25" customHeight="1" x14ac:dyDescent="0.2">
      <c r="A13859" s="222">
        <v>2026</v>
      </c>
      <c r="B13859" s="222">
        <v>3</v>
      </c>
      <c r="C13859" s="222">
        <v>2</v>
      </c>
      <c r="D13859" s="223">
        <f t="shared" si="2120"/>
        <v>46083</v>
      </c>
      <c r="E13859" s="240">
        <f t="shared" si="2129"/>
        <v>46083</v>
      </c>
      <c r="F13859" s="511" t="s">
        <v>1244</v>
      </c>
      <c r="G13859" s="225" t="s">
        <v>1245</v>
      </c>
      <c r="H13859" s="226"/>
      <c r="I13859" s="226" t="s">
        <v>1253</v>
      </c>
      <c r="J13859" s="222" t="s">
        <v>87</v>
      </c>
      <c r="K13859" s="227">
        <v>2635</v>
      </c>
      <c r="L13859" s="227"/>
      <c r="M13859" s="328"/>
    </row>
    <row r="13860" spans="1:15" ht="11.25" customHeight="1" x14ac:dyDescent="0.2">
      <c r="A13860" s="228">
        <v>2026</v>
      </c>
      <c r="B13860" s="228">
        <v>3</v>
      </c>
      <c r="C13860" s="228">
        <v>2</v>
      </c>
      <c r="D13860" s="229">
        <f t="shared" si="2120"/>
        <v>46083</v>
      </c>
      <c r="E13860" s="241">
        <f t="shared" si="2129"/>
        <v>46083</v>
      </c>
      <c r="F13860" s="512"/>
      <c r="G13860" s="231" t="s">
        <v>1245</v>
      </c>
      <c r="H13860" s="232"/>
      <c r="I13860" s="232" t="s">
        <v>1253</v>
      </c>
      <c r="J13860" s="228" t="s">
        <v>72</v>
      </c>
      <c r="K13860" s="233"/>
      <c r="L13860" s="233">
        <f>K13859</f>
        <v>2635</v>
      </c>
    </row>
    <row r="13861" spans="1:15" ht="11.25" customHeight="1" x14ac:dyDescent="0.2">
      <c r="A13861" s="222">
        <v>2026</v>
      </c>
      <c r="B13861" s="222">
        <v>3</v>
      </c>
      <c r="C13861" s="222">
        <v>2</v>
      </c>
      <c r="D13861" s="223">
        <f t="shared" si="2120"/>
        <v>46083</v>
      </c>
      <c r="E13861" s="240">
        <f t="shared" si="2129"/>
        <v>46083</v>
      </c>
      <c r="F13861" s="511" t="s">
        <v>2138</v>
      </c>
      <c r="G13861" s="225" t="s">
        <v>1245</v>
      </c>
      <c r="H13861" s="226"/>
      <c r="I13861" s="226" t="s">
        <v>1253</v>
      </c>
      <c r="J13861" s="222" t="s">
        <v>75</v>
      </c>
      <c r="K13861" s="227">
        <v>517.58912087912097</v>
      </c>
      <c r="L13861" s="227"/>
      <c r="M13861" s="455"/>
    </row>
    <row r="13862" spans="1:15" ht="11.25" customHeight="1" x14ac:dyDescent="0.2">
      <c r="A13862" s="228">
        <v>2026</v>
      </c>
      <c r="B13862" s="228">
        <v>3</v>
      </c>
      <c r="C13862" s="228">
        <v>2</v>
      </c>
      <c r="D13862" s="229">
        <f t="shared" si="2120"/>
        <v>46083</v>
      </c>
      <c r="E13862" s="241">
        <f t="shared" si="2129"/>
        <v>46083</v>
      </c>
      <c r="F13862" s="512"/>
      <c r="G13862" s="231" t="s">
        <v>1245</v>
      </c>
      <c r="H13862" s="232"/>
      <c r="I13862" s="232" t="s">
        <v>1253</v>
      </c>
      <c r="J13862" s="228" t="s">
        <v>55</v>
      </c>
      <c r="K13862" s="233"/>
      <c r="L13862" s="233">
        <f>K13861</f>
        <v>517.58912087912097</v>
      </c>
    </row>
    <row r="13863" spans="1:15" ht="11.25" customHeight="1" x14ac:dyDescent="0.2">
      <c r="A13863" s="222">
        <v>2026</v>
      </c>
      <c r="B13863" s="222">
        <v>3</v>
      </c>
      <c r="C13863" s="222">
        <v>2</v>
      </c>
      <c r="D13863" s="223">
        <f t="shared" si="2120"/>
        <v>46083</v>
      </c>
      <c r="E13863" s="240">
        <f t="shared" si="2129"/>
        <v>46083</v>
      </c>
      <c r="F13863" s="511" t="s">
        <v>2137</v>
      </c>
      <c r="G13863" s="225" t="s">
        <v>1245</v>
      </c>
      <c r="H13863" s="226"/>
      <c r="I13863" s="226" t="s">
        <v>1253</v>
      </c>
      <c r="J13863" s="222" t="s">
        <v>77</v>
      </c>
      <c r="K13863" s="227">
        <v>7390.2791179452151</v>
      </c>
      <c r="L13863" s="227"/>
      <c r="M13863" s="478">
        <v>7390.2791179452151</v>
      </c>
    </row>
    <row r="13864" spans="1:15" ht="11.25" customHeight="1" x14ac:dyDescent="0.2">
      <c r="A13864" s="228">
        <v>2026</v>
      </c>
      <c r="B13864" s="228">
        <v>3</v>
      </c>
      <c r="C13864" s="228">
        <v>2</v>
      </c>
      <c r="D13864" s="229">
        <f t="shared" si="2120"/>
        <v>46083</v>
      </c>
      <c r="E13864" s="241">
        <f t="shared" si="2129"/>
        <v>46083</v>
      </c>
      <c r="F13864" s="512"/>
      <c r="G13864" s="231" t="s">
        <v>1245</v>
      </c>
      <c r="H13864" s="232"/>
      <c r="I13864" s="232" t="s">
        <v>1253</v>
      </c>
      <c r="J13864" s="228" t="s">
        <v>41</v>
      </c>
      <c r="K13864" s="233"/>
      <c r="L13864" s="233">
        <f>K13863</f>
        <v>7390.2791179452151</v>
      </c>
      <c r="M13864" s="328">
        <v>739.02791179452163</v>
      </c>
      <c r="N13864" s="251"/>
    </row>
    <row r="13865" spans="1:15" ht="11.25" customHeight="1" x14ac:dyDescent="0.2">
      <c r="A13865" s="222">
        <v>2026</v>
      </c>
      <c r="B13865" s="222">
        <v>3</v>
      </c>
      <c r="C13865" s="222">
        <v>2</v>
      </c>
      <c r="D13865" s="223">
        <f t="shared" si="2120"/>
        <v>46083</v>
      </c>
      <c r="E13865" s="240">
        <f t="shared" si="2129"/>
        <v>46083</v>
      </c>
      <c r="F13865" s="511" t="s">
        <v>2136</v>
      </c>
      <c r="G13865" s="225" t="s">
        <v>1245</v>
      </c>
      <c r="H13865" s="226"/>
      <c r="I13865" s="226" t="s">
        <v>1253</v>
      </c>
      <c r="J13865" s="222" t="s">
        <v>80</v>
      </c>
      <c r="K13865" s="227">
        <v>739.02791179452163</v>
      </c>
      <c r="L13865" s="227"/>
      <c r="M13865" s="328"/>
      <c r="N13865" s="251"/>
      <c r="O13865" s="251"/>
    </row>
    <row r="13866" spans="1:15" ht="11.25" customHeight="1" x14ac:dyDescent="0.2">
      <c r="A13866" s="228">
        <v>2026</v>
      </c>
      <c r="B13866" s="228">
        <v>3</v>
      </c>
      <c r="C13866" s="228">
        <v>2</v>
      </c>
      <c r="D13866" s="229">
        <f t="shared" si="2120"/>
        <v>46083</v>
      </c>
      <c r="E13866" s="241">
        <f t="shared" si="2129"/>
        <v>46083</v>
      </c>
      <c r="F13866" s="512"/>
      <c r="G13866" s="231" t="s">
        <v>1245</v>
      </c>
      <c r="H13866" s="232"/>
      <c r="I13866" s="232" t="s">
        <v>1253</v>
      </c>
      <c r="J13866" s="228" t="s">
        <v>42</v>
      </c>
      <c r="K13866" s="233"/>
      <c r="L13866" s="233">
        <f>K13865</f>
        <v>739.02791179452163</v>
      </c>
      <c r="N13866" s="251"/>
    </row>
    <row r="13867" spans="1:15" x14ac:dyDescent="0.2">
      <c r="A13867" s="197">
        <v>2026</v>
      </c>
      <c r="B13867" s="197">
        <v>3</v>
      </c>
      <c r="C13867" s="197">
        <v>3</v>
      </c>
      <c r="D13867" s="198">
        <f t="shared" si="2120"/>
        <v>46084</v>
      </c>
      <c r="E13867" s="209">
        <f t="shared" si="2129"/>
        <v>46084</v>
      </c>
      <c r="F13867" s="513" t="s">
        <v>1210</v>
      </c>
      <c r="G13867" s="200" t="s">
        <v>1209</v>
      </c>
      <c r="H13867" s="201"/>
      <c r="I13867" s="201"/>
      <c r="J13867" s="197" t="s">
        <v>46</v>
      </c>
      <c r="K13867" s="202">
        <v>18200000</v>
      </c>
      <c r="L13867" s="202"/>
    </row>
    <row r="13868" spans="1:15" x14ac:dyDescent="0.2">
      <c r="A13868" s="120">
        <v>2026</v>
      </c>
      <c r="B13868" s="120">
        <v>3</v>
      </c>
      <c r="C13868" s="120">
        <v>3</v>
      </c>
      <c r="D13868" s="208">
        <f t="shared" si="2120"/>
        <v>46084</v>
      </c>
      <c r="E13868" s="209">
        <f t="shared" si="2129"/>
        <v>46084</v>
      </c>
      <c r="F13868" s="515"/>
      <c r="G13868" s="132" t="s">
        <v>1209</v>
      </c>
      <c r="J13868" s="120" t="s">
        <v>16</v>
      </c>
      <c r="K13868" s="207"/>
      <c r="L13868" s="207">
        <v>12900490</v>
      </c>
    </row>
    <row r="13869" spans="1:15" x14ac:dyDescent="0.2">
      <c r="A13869" s="191">
        <v>2026</v>
      </c>
      <c r="B13869" s="191">
        <v>3</v>
      </c>
      <c r="C13869" s="191">
        <v>3</v>
      </c>
      <c r="D13869" s="192">
        <f t="shared" si="2120"/>
        <v>46084</v>
      </c>
      <c r="E13869" s="193">
        <f t="shared" si="2129"/>
        <v>46084</v>
      </c>
      <c r="F13869" s="514"/>
      <c r="G13869" s="194" t="s">
        <v>1209</v>
      </c>
      <c r="H13869" s="195"/>
      <c r="I13869" s="195"/>
      <c r="J13869" s="191" t="s">
        <v>47</v>
      </c>
      <c r="K13869" s="196"/>
      <c r="L13869" s="196">
        <v>5299510</v>
      </c>
    </row>
    <row r="13870" spans="1:15" ht="11.25" customHeight="1" x14ac:dyDescent="0.2">
      <c r="A13870" s="197">
        <v>2026</v>
      </c>
      <c r="B13870" s="197">
        <v>3</v>
      </c>
      <c r="C13870" s="197">
        <v>3</v>
      </c>
      <c r="D13870" s="198">
        <f t="shared" ref="D13870:D13871" si="2130">DATE(A13870,B13870,C13870)</f>
        <v>46084</v>
      </c>
      <c r="E13870" s="290">
        <f>DATE(A13870,B13870,C13870)</f>
        <v>46084</v>
      </c>
      <c r="F13870" s="513" t="s">
        <v>1514</v>
      </c>
      <c r="G13870" s="200" t="s">
        <v>1209</v>
      </c>
      <c r="H13870" s="201"/>
      <c r="I13870" s="201"/>
      <c r="J13870" s="197" t="s">
        <v>54</v>
      </c>
      <c r="K13870" s="202">
        <v>50</v>
      </c>
      <c r="L13870" s="202"/>
      <c r="O13870" s="251"/>
    </row>
    <row r="13871" spans="1:15" ht="11.25" customHeight="1" x14ac:dyDescent="0.2">
      <c r="A13871" s="191">
        <v>2026</v>
      </c>
      <c r="B13871" s="191">
        <v>3</v>
      </c>
      <c r="C13871" s="191">
        <v>3</v>
      </c>
      <c r="D13871" s="192">
        <f t="shared" si="2130"/>
        <v>46084</v>
      </c>
      <c r="E13871" s="291">
        <f>DATE(A13871,B13871,C13871)</f>
        <v>46084</v>
      </c>
      <c r="F13871" s="514"/>
      <c r="G13871" s="194" t="s">
        <v>1209</v>
      </c>
      <c r="H13871" s="195"/>
      <c r="I13871" s="195"/>
      <c r="J13871" s="191" t="s">
        <v>46</v>
      </c>
      <c r="K13871" s="196"/>
      <c r="L13871" s="196">
        <f>K13870</f>
        <v>50</v>
      </c>
      <c r="O13871" s="251"/>
    </row>
    <row r="13872" spans="1:15" ht="11.25" customHeight="1" x14ac:dyDescent="0.2">
      <c r="A13872" s="197">
        <v>2026</v>
      </c>
      <c r="B13872" s="197">
        <v>3</v>
      </c>
      <c r="C13872" s="197">
        <v>3</v>
      </c>
      <c r="D13872" s="198">
        <f t="shared" ref="D13872:D13873" si="2131">DATE(A13872,B13872,C13872)</f>
        <v>46084</v>
      </c>
      <c r="E13872" s="290">
        <f>DATE(A13872,B13872,C13872)</f>
        <v>46084</v>
      </c>
      <c r="F13872" s="513" t="s">
        <v>1527</v>
      </c>
      <c r="G13872" s="200" t="s">
        <v>1209</v>
      </c>
      <c r="H13872" s="201"/>
      <c r="I13872" s="201"/>
      <c r="J13872" s="197" t="s">
        <v>54</v>
      </c>
      <c r="K13872" s="202">
        <v>60</v>
      </c>
      <c r="L13872" s="202"/>
      <c r="O13872" s="251"/>
    </row>
    <row r="13873" spans="1:15" ht="11.25" customHeight="1" x14ac:dyDescent="0.2">
      <c r="A13873" s="191">
        <v>2026</v>
      </c>
      <c r="B13873" s="191">
        <v>3</v>
      </c>
      <c r="C13873" s="191">
        <v>3</v>
      </c>
      <c r="D13873" s="192">
        <f t="shared" si="2131"/>
        <v>46084</v>
      </c>
      <c r="E13873" s="291">
        <f>DATE(A13873,B13873,C13873)</f>
        <v>46084</v>
      </c>
      <c r="F13873" s="514"/>
      <c r="G13873" s="194" t="s">
        <v>1209</v>
      </c>
      <c r="H13873" s="195"/>
      <c r="I13873" s="195"/>
      <c r="J13873" s="191" t="s">
        <v>46</v>
      </c>
      <c r="K13873" s="196"/>
      <c r="L13873" s="196">
        <f>K13872</f>
        <v>60</v>
      </c>
      <c r="O13873" s="251"/>
    </row>
    <row r="13874" spans="1:15" x14ac:dyDescent="0.2">
      <c r="A13874" s="424">
        <v>2026</v>
      </c>
      <c r="B13874" s="424">
        <v>3</v>
      </c>
      <c r="C13874" s="424">
        <v>3</v>
      </c>
      <c r="D13874" s="425">
        <f t="shared" ref="D13874:D13907" si="2132">DATE(A13874,B13874,C13874)</f>
        <v>46084</v>
      </c>
      <c r="E13874" s="384">
        <f t="shared" si="2129"/>
        <v>46084</v>
      </c>
      <c r="F13874" s="516" t="s">
        <v>1850</v>
      </c>
      <c r="G13874" s="426" t="s">
        <v>1209</v>
      </c>
      <c r="H13874" s="427"/>
      <c r="I13874" s="427"/>
      <c r="J13874" s="428" t="s">
        <v>81</v>
      </c>
      <c r="K13874" s="429">
        <v>1595.81736263736</v>
      </c>
      <c r="L13874" s="429"/>
      <c r="M13874" s="455"/>
    </row>
    <row r="13875" spans="1:15" x14ac:dyDescent="0.2">
      <c r="A13875" s="389">
        <v>2026</v>
      </c>
      <c r="B13875" s="389">
        <v>3</v>
      </c>
      <c r="C13875" s="389">
        <v>3</v>
      </c>
      <c r="D13875" s="390">
        <f t="shared" si="2132"/>
        <v>46084</v>
      </c>
      <c r="E13875" s="391">
        <f t="shared" si="2129"/>
        <v>46084</v>
      </c>
      <c r="F13875" s="517"/>
      <c r="G13875" s="392" t="s">
        <v>1209</v>
      </c>
      <c r="H13875" s="393"/>
      <c r="I13875" s="393"/>
      <c r="J13875" s="394" t="s">
        <v>1847</v>
      </c>
      <c r="K13875" s="423"/>
      <c r="L13875" s="423">
        <f>K13874</f>
        <v>1595.81736263736</v>
      </c>
    </row>
    <row r="13876" spans="1:15" ht="11.25" customHeight="1" x14ac:dyDescent="0.2">
      <c r="A13876" s="382">
        <v>2026</v>
      </c>
      <c r="B13876" s="382">
        <v>3</v>
      </c>
      <c r="C13876" s="382">
        <v>3</v>
      </c>
      <c r="D13876" s="383">
        <f t="shared" si="2132"/>
        <v>46084</v>
      </c>
      <c r="E13876" s="384">
        <f t="shared" si="2129"/>
        <v>46084</v>
      </c>
      <c r="F13876" s="516" t="s">
        <v>1892</v>
      </c>
      <c r="G13876" s="385" t="s">
        <v>1209</v>
      </c>
      <c r="H13876" s="386"/>
      <c r="I13876" s="386"/>
      <c r="J13876" s="387" t="s">
        <v>173</v>
      </c>
      <c r="K13876" s="388">
        <v>589.3896696055557</v>
      </c>
      <c r="L13876" s="388"/>
      <c r="M13876" s="455"/>
    </row>
    <row r="13877" spans="1:15" ht="11.25" customHeight="1" x14ac:dyDescent="0.2">
      <c r="A13877" s="389">
        <v>2026</v>
      </c>
      <c r="B13877" s="389">
        <v>3</v>
      </c>
      <c r="C13877" s="389">
        <v>3</v>
      </c>
      <c r="D13877" s="390">
        <f t="shared" si="2132"/>
        <v>46084</v>
      </c>
      <c r="E13877" s="391">
        <f t="shared" si="2129"/>
        <v>46084</v>
      </c>
      <c r="F13877" s="517"/>
      <c r="G13877" s="392" t="s">
        <v>1209</v>
      </c>
      <c r="H13877" s="393"/>
      <c r="I13877" s="393"/>
      <c r="J13877" s="394" t="s">
        <v>43</v>
      </c>
      <c r="K13877" s="388"/>
      <c r="L13877" s="423">
        <f>K13876</f>
        <v>589.3896696055557</v>
      </c>
    </row>
    <row r="13878" spans="1:15" ht="11.25" customHeight="1" x14ac:dyDescent="0.2">
      <c r="A13878" s="344">
        <v>2026</v>
      </c>
      <c r="B13878" s="344">
        <v>3</v>
      </c>
      <c r="C13878" s="344">
        <v>3</v>
      </c>
      <c r="D13878" s="345">
        <f t="shared" si="2132"/>
        <v>46084</v>
      </c>
      <c r="E13878" s="346">
        <f t="shared" si="2129"/>
        <v>46084</v>
      </c>
      <c r="F13878" s="518" t="s">
        <v>1982</v>
      </c>
      <c r="G13878" s="347" t="s">
        <v>1245</v>
      </c>
      <c r="H13878" s="348"/>
      <c r="I13878" s="348" t="s">
        <v>1253</v>
      </c>
      <c r="J13878" s="344" t="s">
        <v>1978</v>
      </c>
      <c r="K13878" s="349">
        <v>20878.176795580108</v>
      </c>
      <c r="L13878" s="349"/>
      <c r="M13878" s="455"/>
    </row>
    <row r="13879" spans="1:15" ht="11.25" customHeight="1" x14ac:dyDescent="0.2">
      <c r="A13879" s="350">
        <v>2026</v>
      </c>
      <c r="B13879" s="350">
        <v>3</v>
      </c>
      <c r="C13879" s="350">
        <v>3</v>
      </c>
      <c r="D13879" s="351">
        <f t="shared" si="2132"/>
        <v>46084</v>
      </c>
      <c r="E13879" s="352">
        <f t="shared" si="2129"/>
        <v>46084</v>
      </c>
      <c r="F13879" s="519"/>
      <c r="G13879" s="353" t="s">
        <v>1245</v>
      </c>
      <c r="H13879" s="354"/>
      <c r="I13879" s="354" t="s">
        <v>1253</v>
      </c>
      <c r="J13879" s="350" t="s">
        <v>1979</v>
      </c>
      <c r="K13879" s="355"/>
      <c r="L13879" s="355">
        <f>K13878</f>
        <v>20878.176795580108</v>
      </c>
    </row>
    <row r="13880" spans="1:15" ht="11.25" customHeight="1" x14ac:dyDescent="0.2">
      <c r="A13880" s="344">
        <v>2026</v>
      </c>
      <c r="B13880" s="344">
        <v>3</v>
      </c>
      <c r="C13880" s="344">
        <v>3</v>
      </c>
      <c r="D13880" s="345">
        <f t="shared" si="2132"/>
        <v>46084</v>
      </c>
      <c r="E13880" s="346">
        <f t="shared" si="2129"/>
        <v>46084</v>
      </c>
      <c r="F13880" s="518" t="s">
        <v>2009</v>
      </c>
      <c r="G13880" s="347" t="s">
        <v>1245</v>
      </c>
      <c r="H13880" s="348"/>
      <c r="I13880" s="348" t="s">
        <v>1253</v>
      </c>
      <c r="J13880" s="344" t="s">
        <v>2004</v>
      </c>
      <c r="K13880" s="349">
        <v>7098.9014285714302</v>
      </c>
      <c r="L13880" s="349"/>
      <c r="M13880" s="455"/>
    </row>
    <row r="13881" spans="1:15" ht="11.25" customHeight="1" x14ac:dyDescent="0.2">
      <c r="A13881" s="350">
        <v>2026</v>
      </c>
      <c r="B13881" s="350">
        <v>3</v>
      </c>
      <c r="C13881" s="350">
        <v>3</v>
      </c>
      <c r="D13881" s="351">
        <f t="shared" si="2132"/>
        <v>46084</v>
      </c>
      <c r="E13881" s="352">
        <f t="shared" si="2129"/>
        <v>46084</v>
      </c>
      <c r="F13881" s="519"/>
      <c r="G13881" s="353" t="s">
        <v>1245</v>
      </c>
      <c r="H13881" s="354"/>
      <c r="I13881" s="354" t="s">
        <v>1253</v>
      </c>
      <c r="J13881" s="350" t="s">
        <v>2008</v>
      </c>
      <c r="K13881" s="355"/>
      <c r="L13881" s="355">
        <f t="shared" ref="L13881" si="2133">K13880</f>
        <v>7098.9014285714302</v>
      </c>
    </row>
    <row r="13882" spans="1:15" ht="11.25" customHeight="1" x14ac:dyDescent="0.2">
      <c r="A13882" s="344">
        <v>2026</v>
      </c>
      <c r="B13882" s="344">
        <v>3</v>
      </c>
      <c r="C13882" s="344">
        <v>3</v>
      </c>
      <c r="D13882" s="345">
        <f t="shared" si="2132"/>
        <v>46084</v>
      </c>
      <c r="E13882" s="346">
        <f t="shared" si="2129"/>
        <v>46084</v>
      </c>
      <c r="F13882" s="518" t="s">
        <v>2009</v>
      </c>
      <c r="G13882" s="347" t="s">
        <v>1245</v>
      </c>
      <c r="H13882" s="348"/>
      <c r="I13882" s="348" t="s">
        <v>1253</v>
      </c>
      <c r="J13882" s="344" t="s">
        <v>2004</v>
      </c>
      <c r="K13882" s="349">
        <v>7098.9014285714302</v>
      </c>
      <c r="L13882" s="349"/>
      <c r="M13882" s="455"/>
    </row>
    <row r="13883" spans="1:15" ht="11.25" customHeight="1" x14ac:dyDescent="0.2">
      <c r="A13883" s="350">
        <v>2026</v>
      </c>
      <c r="B13883" s="350">
        <v>3</v>
      </c>
      <c r="C13883" s="350">
        <v>3</v>
      </c>
      <c r="D13883" s="351">
        <f t="shared" si="2132"/>
        <v>46084</v>
      </c>
      <c r="E13883" s="352">
        <f t="shared" si="2129"/>
        <v>46084</v>
      </c>
      <c r="F13883" s="519"/>
      <c r="G13883" s="353" t="s">
        <v>1245</v>
      </c>
      <c r="H13883" s="354"/>
      <c r="I13883" s="354" t="s">
        <v>1253</v>
      </c>
      <c r="J13883" s="350" t="s">
        <v>2008</v>
      </c>
      <c r="K13883" s="355"/>
      <c r="L13883" s="355">
        <f t="shared" ref="L13883" si="2134">K13882</f>
        <v>7098.9014285714302</v>
      </c>
    </row>
    <row r="13884" spans="1:15" ht="11.25" customHeight="1" x14ac:dyDescent="0.2">
      <c r="A13884" s="344">
        <v>2026</v>
      </c>
      <c r="B13884" s="344">
        <v>3</v>
      </c>
      <c r="C13884" s="344">
        <v>3</v>
      </c>
      <c r="D13884" s="345">
        <f t="shared" si="2132"/>
        <v>46084</v>
      </c>
      <c r="E13884" s="346">
        <f t="shared" si="2129"/>
        <v>46084</v>
      </c>
      <c r="F13884" s="518" t="s">
        <v>2088</v>
      </c>
      <c r="G13884" s="347" t="s">
        <v>1245</v>
      </c>
      <c r="H13884" s="348"/>
      <c r="I13884" s="348" t="s">
        <v>1253</v>
      </c>
      <c r="J13884" s="344" t="s">
        <v>2086</v>
      </c>
      <c r="K13884" s="349">
        <v>1789.83516483516</v>
      </c>
      <c r="L13884" s="349"/>
      <c r="M13884" s="455"/>
    </row>
    <row r="13885" spans="1:15" ht="11.25" customHeight="1" x14ac:dyDescent="0.2">
      <c r="A13885" s="350">
        <v>2026</v>
      </c>
      <c r="B13885" s="350">
        <v>3</v>
      </c>
      <c r="C13885" s="350">
        <v>3</v>
      </c>
      <c r="D13885" s="351">
        <f t="shared" si="2132"/>
        <v>46084</v>
      </c>
      <c r="E13885" s="352">
        <f t="shared" si="2129"/>
        <v>46084</v>
      </c>
      <c r="F13885" s="519"/>
      <c r="G13885" s="353" t="s">
        <v>1245</v>
      </c>
      <c r="H13885" s="354"/>
      <c r="I13885" s="354" t="s">
        <v>1253</v>
      </c>
      <c r="J13885" s="350" t="s">
        <v>2089</v>
      </c>
      <c r="K13885" s="355"/>
      <c r="L13885" s="355">
        <f>K13884</f>
        <v>1789.83516483516</v>
      </c>
    </row>
    <row r="13886" spans="1:15" ht="11.25" customHeight="1" x14ac:dyDescent="0.2">
      <c r="A13886" s="344">
        <v>2026</v>
      </c>
      <c r="B13886" s="344">
        <v>3</v>
      </c>
      <c r="C13886" s="344">
        <v>3</v>
      </c>
      <c r="D13886" s="345">
        <f t="shared" si="2132"/>
        <v>46084</v>
      </c>
      <c r="E13886" s="346">
        <f>DATE(A13886,B13886,C13886)</f>
        <v>46084</v>
      </c>
      <c r="F13886" s="518" t="s">
        <v>1988</v>
      </c>
      <c r="G13886" s="347" t="s">
        <v>1245</v>
      </c>
      <c r="H13886" s="348"/>
      <c r="I13886" s="348" t="s">
        <v>1253</v>
      </c>
      <c r="J13886" s="344" t="s">
        <v>113</v>
      </c>
      <c r="K13886" s="349">
        <v>4692.3071428571402</v>
      </c>
      <c r="L13886" s="349"/>
      <c r="M13886" s="455"/>
    </row>
    <row r="13887" spans="1:15" ht="11.25" customHeight="1" x14ac:dyDescent="0.2">
      <c r="A13887" s="350">
        <v>2026</v>
      </c>
      <c r="B13887" s="350">
        <v>3</v>
      </c>
      <c r="C13887" s="350">
        <v>3</v>
      </c>
      <c r="D13887" s="351">
        <f t="shared" si="2132"/>
        <v>46084</v>
      </c>
      <c r="E13887" s="352">
        <f>DATE(A13887,B13887,C13887)</f>
        <v>46084</v>
      </c>
      <c r="F13887" s="519"/>
      <c r="G13887" s="353" t="s">
        <v>1245</v>
      </c>
      <c r="H13887" s="354"/>
      <c r="I13887" s="354" t="s">
        <v>1253</v>
      </c>
      <c r="J13887" s="350" t="s">
        <v>153</v>
      </c>
      <c r="K13887" s="355"/>
      <c r="L13887" s="355">
        <f t="shared" ref="L13887" si="2135">K13886</f>
        <v>4692.3071428571402</v>
      </c>
    </row>
    <row r="13888" spans="1:15" ht="11.25" customHeight="1" x14ac:dyDescent="0.2">
      <c r="A13888" s="344">
        <v>2026</v>
      </c>
      <c r="B13888" s="344">
        <v>3</v>
      </c>
      <c r="C13888" s="344">
        <v>3</v>
      </c>
      <c r="D13888" s="345">
        <f t="shared" si="2132"/>
        <v>46084</v>
      </c>
      <c r="E13888" s="346">
        <f t="shared" ref="E13888:E13894" si="2136">DATE(A13888,B13888,C13888)</f>
        <v>46084</v>
      </c>
      <c r="F13888" s="518" t="s">
        <v>1989</v>
      </c>
      <c r="G13888" s="347" t="s">
        <v>1245</v>
      </c>
      <c r="H13888" s="348"/>
      <c r="I13888" s="348" t="s">
        <v>1253</v>
      </c>
      <c r="J13888" s="344" t="s">
        <v>113</v>
      </c>
      <c r="K13888" s="349">
        <v>3351.6483516483499</v>
      </c>
      <c r="L13888" s="349"/>
      <c r="M13888" s="455"/>
    </row>
    <row r="13889" spans="1:16" ht="11.25" customHeight="1" x14ac:dyDescent="0.2">
      <c r="A13889" s="350">
        <v>2026</v>
      </c>
      <c r="B13889" s="350">
        <v>3</v>
      </c>
      <c r="C13889" s="350">
        <v>3</v>
      </c>
      <c r="D13889" s="351">
        <f t="shared" si="2132"/>
        <v>46084</v>
      </c>
      <c r="E13889" s="352">
        <f t="shared" si="2136"/>
        <v>46084</v>
      </c>
      <c r="F13889" s="519"/>
      <c r="G13889" s="353" t="s">
        <v>1245</v>
      </c>
      <c r="H13889" s="354"/>
      <c r="I13889" s="354" t="s">
        <v>1253</v>
      </c>
      <c r="J13889" s="350" t="s">
        <v>153</v>
      </c>
      <c r="K13889" s="355"/>
      <c r="L13889" s="355">
        <f t="shared" ref="L13889" si="2137">K13888</f>
        <v>3351.6483516483499</v>
      </c>
    </row>
    <row r="13890" spans="1:16" ht="11.25" customHeight="1" x14ac:dyDescent="0.2">
      <c r="A13890" s="344">
        <v>2026</v>
      </c>
      <c r="B13890" s="344">
        <v>3</v>
      </c>
      <c r="C13890" s="344">
        <v>3</v>
      </c>
      <c r="D13890" s="345">
        <f t="shared" si="2132"/>
        <v>46084</v>
      </c>
      <c r="E13890" s="346">
        <f t="shared" si="2136"/>
        <v>46084</v>
      </c>
      <c r="F13890" s="518" t="s">
        <v>1990</v>
      </c>
      <c r="G13890" s="347" t="s">
        <v>1245</v>
      </c>
      <c r="H13890" s="348"/>
      <c r="I13890" s="348" t="s">
        <v>1253</v>
      </c>
      <c r="J13890" s="344" t="s">
        <v>113</v>
      </c>
      <c r="K13890" s="349">
        <v>10054.945714285701</v>
      </c>
      <c r="L13890" s="349"/>
      <c r="M13890" s="455"/>
      <c r="N13890" s="251"/>
      <c r="O13890" s="251"/>
      <c r="P13890" s="251"/>
    </row>
    <row r="13891" spans="1:16" ht="11.25" customHeight="1" x14ac:dyDescent="0.2">
      <c r="A13891" s="350">
        <v>2026</v>
      </c>
      <c r="B13891" s="350">
        <v>3</v>
      </c>
      <c r="C13891" s="350">
        <v>3</v>
      </c>
      <c r="D13891" s="351">
        <f t="shared" si="2132"/>
        <v>46084</v>
      </c>
      <c r="E13891" s="352">
        <f t="shared" si="2136"/>
        <v>46084</v>
      </c>
      <c r="F13891" s="519"/>
      <c r="G13891" s="353" t="s">
        <v>1245</v>
      </c>
      <c r="H13891" s="354"/>
      <c r="I13891" s="354" t="s">
        <v>1253</v>
      </c>
      <c r="J13891" s="350" t="s">
        <v>153</v>
      </c>
      <c r="K13891" s="355"/>
      <c r="L13891" s="355">
        <f t="shared" ref="L13891" si="2138">K13890</f>
        <v>10054.945714285701</v>
      </c>
      <c r="M13891" s="455"/>
    </row>
    <row r="13892" spans="1:16" ht="11.25" customHeight="1" x14ac:dyDescent="0.2">
      <c r="A13892" s="344">
        <v>2026</v>
      </c>
      <c r="B13892" s="344">
        <v>3</v>
      </c>
      <c r="C13892" s="344">
        <v>3</v>
      </c>
      <c r="D13892" s="345">
        <f t="shared" si="2132"/>
        <v>46084</v>
      </c>
      <c r="E13892" s="346">
        <f t="shared" si="2136"/>
        <v>46084</v>
      </c>
      <c r="F13892" s="518" t="s">
        <v>2107</v>
      </c>
      <c r="G13892" s="347" t="s">
        <v>1245</v>
      </c>
      <c r="H13892" s="348"/>
      <c r="I13892" s="348" t="s">
        <v>1253</v>
      </c>
      <c r="J13892" s="344" t="s">
        <v>113</v>
      </c>
      <c r="K13892" s="349">
        <v>12370.879120879101</v>
      </c>
      <c r="L13892" s="349"/>
      <c r="M13892" s="455"/>
      <c r="N13892" s="251"/>
      <c r="O13892" s="251"/>
      <c r="P13892" s="251"/>
    </row>
    <row r="13893" spans="1:16" ht="11.25" customHeight="1" x14ac:dyDescent="0.2">
      <c r="A13893" s="350">
        <v>2026</v>
      </c>
      <c r="B13893" s="350">
        <v>3</v>
      </c>
      <c r="C13893" s="350">
        <v>3</v>
      </c>
      <c r="D13893" s="351">
        <f t="shared" si="2132"/>
        <v>46084</v>
      </c>
      <c r="E13893" s="352">
        <f t="shared" si="2136"/>
        <v>46084</v>
      </c>
      <c r="F13893" s="519"/>
      <c r="G13893" s="353" t="s">
        <v>1245</v>
      </c>
      <c r="H13893" s="354"/>
      <c r="I13893" s="354" t="s">
        <v>1253</v>
      </c>
      <c r="J13893" s="350" t="s">
        <v>153</v>
      </c>
      <c r="K13893" s="355"/>
      <c r="L13893" s="355">
        <f t="shared" ref="L13893" si="2139">K13892</f>
        <v>12370.879120879101</v>
      </c>
    </row>
    <row r="13894" spans="1:16" ht="11.25" customHeight="1" x14ac:dyDescent="0.2">
      <c r="A13894" s="210">
        <v>2026</v>
      </c>
      <c r="B13894" s="210">
        <v>3</v>
      </c>
      <c r="C13894" s="210">
        <v>3</v>
      </c>
      <c r="D13894" s="211">
        <f t="shared" si="2132"/>
        <v>46084</v>
      </c>
      <c r="E13894" s="238">
        <f t="shared" si="2136"/>
        <v>46084</v>
      </c>
      <c r="F13894" s="520" t="s">
        <v>1857</v>
      </c>
      <c r="G13894" s="213" t="s">
        <v>1245</v>
      </c>
      <c r="H13894" s="214"/>
      <c r="I13894" s="214" t="s">
        <v>1253</v>
      </c>
      <c r="J13894" s="210" t="s">
        <v>1284</v>
      </c>
      <c r="K13894" s="215">
        <v>334.54448777029398</v>
      </c>
      <c r="L13894" s="215"/>
      <c r="M13894" s="455"/>
    </row>
    <row r="13895" spans="1:16" ht="11.25" customHeight="1" x14ac:dyDescent="0.2">
      <c r="A13895" s="242">
        <v>2026</v>
      </c>
      <c r="B13895" s="242">
        <v>3</v>
      </c>
      <c r="C13895" s="242">
        <v>3</v>
      </c>
      <c r="D13895" s="243">
        <f t="shared" si="2132"/>
        <v>46084</v>
      </c>
      <c r="E13895" s="244">
        <f>DATE(A13895,B13895,C13895)</f>
        <v>46084</v>
      </c>
      <c r="F13895" s="524"/>
      <c r="G13895" s="245" t="s">
        <v>1245</v>
      </c>
      <c r="H13895" s="246"/>
      <c r="I13895" s="246"/>
      <c r="J13895" s="242" t="s">
        <v>1582</v>
      </c>
      <c r="K13895" s="247"/>
      <c r="L13895" s="247">
        <f>K13894</f>
        <v>334.54448777029398</v>
      </c>
    </row>
    <row r="13896" spans="1:16" ht="11.25" customHeight="1" x14ac:dyDescent="0.2">
      <c r="A13896" s="210">
        <v>2026</v>
      </c>
      <c r="B13896" s="210">
        <v>3</v>
      </c>
      <c r="C13896" s="210">
        <v>3</v>
      </c>
      <c r="D13896" s="211">
        <f t="shared" si="2132"/>
        <v>46084</v>
      </c>
      <c r="E13896" s="238">
        <f t="shared" ref="E13896:E13907" si="2140">DATE(A13896,B13896,C13896)</f>
        <v>46084</v>
      </c>
      <c r="F13896" s="520" t="s">
        <v>2055</v>
      </c>
      <c r="G13896" s="213" t="s">
        <v>1245</v>
      </c>
      <c r="H13896" s="214"/>
      <c r="I13896" s="214" t="s">
        <v>1253</v>
      </c>
      <c r="J13896" s="210" t="s">
        <v>58</v>
      </c>
      <c r="K13896" s="215">
        <v>348.92243527777782</v>
      </c>
      <c r="L13896" s="215"/>
    </row>
    <row r="13897" spans="1:16" ht="11.25" customHeight="1" x14ac:dyDescent="0.2">
      <c r="A13897" s="216">
        <v>2026</v>
      </c>
      <c r="B13897" s="216">
        <v>3</v>
      </c>
      <c r="C13897" s="216">
        <v>3</v>
      </c>
      <c r="D13897" s="217">
        <f t="shared" si="2132"/>
        <v>46084</v>
      </c>
      <c r="E13897" s="239">
        <f t="shared" si="2140"/>
        <v>46084</v>
      </c>
      <c r="F13897" s="521"/>
      <c r="G13897" s="219" t="s">
        <v>1245</v>
      </c>
      <c r="H13897" s="220"/>
      <c r="I13897" s="220" t="s">
        <v>1253</v>
      </c>
      <c r="J13897" s="216" t="s">
        <v>153</v>
      </c>
      <c r="K13897" s="221"/>
      <c r="L13897" s="221">
        <f>K13896</f>
        <v>348.92243527777782</v>
      </c>
    </row>
    <row r="13898" spans="1:16" ht="11.25" customHeight="1" x14ac:dyDescent="0.2">
      <c r="A13898" s="312">
        <v>2026</v>
      </c>
      <c r="B13898" s="312">
        <v>3</v>
      </c>
      <c r="C13898" s="312">
        <v>3</v>
      </c>
      <c r="D13898" s="313">
        <f t="shared" si="2132"/>
        <v>46084</v>
      </c>
      <c r="E13898" s="314">
        <f t="shared" si="2140"/>
        <v>46084</v>
      </c>
      <c r="F13898" s="522" t="s">
        <v>1595</v>
      </c>
      <c r="G13898" s="315" t="s">
        <v>1245</v>
      </c>
      <c r="H13898" s="316"/>
      <c r="I13898" s="316" t="s">
        <v>1253</v>
      </c>
      <c r="J13898" s="312" t="s">
        <v>1461</v>
      </c>
      <c r="K13898" s="317">
        <v>86284.487000048161</v>
      </c>
      <c r="L13898" s="317"/>
      <c r="M13898" s="328"/>
    </row>
    <row r="13899" spans="1:16" ht="11.25" customHeight="1" x14ac:dyDescent="0.2">
      <c r="A13899" s="486">
        <v>2026</v>
      </c>
      <c r="B13899" s="486">
        <v>3</v>
      </c>
      <c r="C13899" s="486">
        <v>3</v>
      </c>
      <c r="D13899" s="487">
        <f t="shared" si="2132"/>
        <v>46084</v>
      </c>
      <c r="E13899" s="488">
        <f t="shared" si="2140"/>
        <v>46084</v>
      </c>
      <c r="F13899" s="525"/>
      <c r="G13899" s="489" t="s">
        <v>1245</v>
      </c>
      <c r="H13899" s="490"/>
      <c r="I13899" s="490" t="s">
        <v>1253</v>
      </c>
      <c r="J13899" s="486" t="s">
        <v>1459</v>
      </c>
      <c r="K13899" s="491"/>
      <c r="L13899" s="491">
        <f>K13898</f>
        <v>86284.487000048161</v>
      </c>
      <c r="M13899" s="328"/>
    </row>
    <row r="13900" spans="1:16" ht="11.25" customHeight="1" x14ac:dyDescent="0.2">
      <c r="A13900" s="222">
        <v>2026</v>
      </c>
      <c r="B13900" s="222">
        <v>3</v>
      </c>
      <c r="C13900" s="222">
        <v>3</v>
      </c>
      <c r="D13900" s="223">
        <f t="shared" si="2132"/>
        <v>46084</v>
      </c>
      <c r="E13900" s="240">
        <f t="shared" si="2140"/>
        <v>46084</v>
      </c>
      <c r="F13900" s="511" t="s">
        <v>1244</v>
      </c>
      <c r="G13900" s="225" t="s">
        <v>1245</v>
      </c>
      <c r="H13900" s="226"/>
      <c r="I13900" s="226" t="s">
        <v>1253</v>
      </c>
      <c r="J13900" s="222" t="s">
        <v>72</v>
      </c>
      <c r="K13900" s="227">
        <v>91.5</v>
      </c>
      <c r="L13900" s="227"/>
      <c r="M13900" s="328"/>
    </row>
    <row r="13901" spans="1:16" ht="11.25" customHeight="1" x14ac:dyDescent="0.2">
      <c r="A13901" s="228">
        <v>2026</v>
      </c>
      <c r="B13901" s="228">
        <v>3</v>
      </c>
      <c r="C13901" s="228">
        <v>3</v>
      </c>
      <c r="D13901" s="229">
        <f t="shared" si="2132"/>
        <v>46084</v>
      </c>
      <c r="E13901" s="241">
        <f t="shared" si="2140"/>
        <v>46084</v>
      </c>
      <c r="F13901" s="512"/>
      <c r="G13901" s="231" t="s">
        <v>1245</v>
      </c>
      <c r="H13901" s="232"/>
      <c r="I13901" s="232" t="s">
        <v>1253</v>
      </c>
      <c r="J13901" s="228" t="s">
        <v>87</v>
      </c>
      <c r="K13901" s="233"/>
      <c r="L13901" s="233">
        <f>K13900</f>
        <v>91.5</v>
      </c>
    </row>
    <row r="13902" spans="1:16" ht="11.25" customHeight="1" x14ac:dyDescent="0.2">
      <c r="A13902" s="492">
        <v>2026</v>
      </c>
      <c r="B13902" s="492">
        <v>3</v>
      </c>
      <c r="C13902" s="492">
        <v>3</v>
      </c>
      <c r="D13902" s="493">
        <f t="shared" si="2132"/>
        <v>46084</v>
      </c>
      <c r="E13902" s="494">
        <f t="shared" si="2140"/>
        <v>46084</v>
      </c>
      <c r="F13902" s="526" t="s">
        <v>2138</v>
      </c>
      <c r="G13902" s="495" t="s">
        <v>1245</v>
      </c>
      <c r="H13902" s="496"/>
      <c r="I13902" s="496" t="s">
        <v>1253</v>
      </c>
      <c r="J13902" s="492" t="s">
        <v>75</v>
      </c>
      <c r="K13902" s="497">
        <v>517.58912087912097</v>
      </c>
      <c r="L13902" s="497"/>
      <c r="M13902" s="455"/>
    </row>
    <row r="13903" spans="1:16" ht="11.25" customHeight="1" x14ac:dyDescent="0.2">
      <c r="A13903" s="228">
        <v>2026</v>
      </c>
      <c r="B13903" s="228">
        <v>3</v>
      </c>
      <c r="C13903" s="228">
        <v>3</v>
      </c>
      <c r="D13903" s="229">
        <f t="shared" si="2132"/>
        <v>46084</v>
      </c>
      <c r="E13903" s="241">
        <f t="shared" si="2140"/>
        <v>46084</v>
      </c>
      <c r="F13903" s="512"/>
      <c r="G13903" s="231" t="s">
        <v>1245</v>
      </c>
      <c r="H13903" s="232"/>
      <c r="I13903" s="232" t="s">
        <v>1253</v>
      </c>
      <c r="J13903" s="228" t="s">
        <v>55</v>
      </c>
      <c r="K13903" s="233"/>
      <c r="L13903" s="233">
        <f>K13902</f>
        <v>517.58912087912097</v>
      </c>
    </row>
    <row r="13904" spans="1:16" ht="11.25" customHeight="1" x14ac:dyDescent="0.2">
      <c r="A13904" s="222">
        <v>2026</v>
      </c>
      <c r="B13904" s="222">
        <v>3</v>
      </c>
      <c r="C13904" s="222">
        <v>3</v>
      </c>
      <c r="D13904" s="223">
        <f t="shared" si="2132"/>
        <v>46084</v>
      </c>
      <c r="E13904" s="240">
        <f t="shared" si="2140"/>
        <v>46084</v>
      </c>
      <c r="F13904" s="511" t="s">
        <v>2137</v>
      </c>
      <c r="G13904" s="225" t="s">
        <v>1245</v>
      </c>
      <c r="H13904" s="226"/>
      <c r="I13904" s="226" t="s">
        <v>1253</v>
      </c>
      <c r="J13904" s="222" t="s">
        <v>77</v>
      </c>
      <c r="K13904" s="227">
        <v>7401.8640073118004</v>
      </c>
      <c r="L13904" s="227"/>
      <c r="M13904" s="478">
        <v>7401.8640073118004</v>
      </c>
    </row>
    <row r="13905" spans="1:15" ht="11.25" customHeight="1" x14ac:dyDescent="0.2">
      <c r="A13905" s="228">
        <v>2026</v>
      </c>
      <c r="B13905" s="228">
        <v>3</v>
      </c>
      <c r="C13905" s="228">
        <v>3</v>
      </c>
      <c r="D13905" s="229">
        <f t="shared" si="2132"/>
        <v>46084</v>
      </c>
      <c r="E13905" s="241">
        <f t="shared" si="2140"/>
        <v>46084</v>
      </c>
      <c r="F13905" s="512"/>
      <c r="G13905" s="231" t="s">
        <v>1245</v>
      </c>
      <c r="H13905" s="232"/>
      <c r="I13905" s="232" t="s">
        <v>1253</v>
      </c>
      <c r="J13905" s="228" t="s">
        <v>41</v>
      </c>
      <c r="K13905" s="233"/>
      <c r="L13905" s="233">
        <f>K13904</f>
        <v>7401.8640073118004</v>
      </c>
      <c r="M13905" s="328">
        <v>740.18640073118002</v>
      </c>
      <c r="N13905" s="251"/>
    </row>
    <row r="13906" spans="1:15" ht="11.25" customHeight="1" x14ac:dyDescent="0.2">
      <c r="A13906" s="222">
        <v>2026</v>
      </c>
      <c r="B13906" s="222">
        <v>3</v>
      </c>
      <c r="C13906" s="222">
        <v>3</v>
      </c>
      <c r="D13906" s="223">
        <f t="shared" si="2132"/>
        <v>46084</v>
      </c>
      <c r="E13906" s="240">
        <f t="shared" si="2140"/>
        <v>46084</v>
      </c>
      <c r="F13906" s="511" t="s">
        <v>2136</v>
      </c>
      <c r="G13906" s="225" t="s">
        <v>1245</v>
      </c>
      <c r="H13906" s="226"/>
      <c r="I13906" s="226" t="s">
        <v>1253</v>
      </c>
      <c r="J13906" s="222" t="s">
        <v>80</v>
      </c>
      <c r="K13906" s="227">
        <v>740.18640073118002</v>
      </c>
      <c r="L13906" s="227"/>
      <c r="M13906" s="328"/>
      <c r="N13906" s="251"/>
      <c r="O13906" s="251"/>
    </row>
    <row r="13907" spans="1:15" ht="11.25" customHeight="1" x14ac:dyDescent="0.2">
      <c r="A13907" s="228">
        <v>2026</v>
      </c>
      <c r="B13907" s="228">
        <v>3</v>
      </c>
      <c r="C13907" s="228">
        <v>3</v>
      </c>
      <c r="D13907" s="229">
        <f t="shared" si="2132"/>
        <v>46084</v>
      </c>
      <c r="E13907" s="241">
        <f t="shared" si="2140"/>
        <v>46084</v>
      </c>
      <c r="F13907" s="512"/>
      <c r="G13907" s="231" t="s">
        <v>1245</v>
      </c>
      <c r="H13907" s="232"/>
      <c r="I13907" s="232" t="s">
        <v>1253</v>
      </c>
      <c r="J13907" s="228" t="s">
        <v>42</v>
      </c>
      <c r="K13907" s="233"/>
      <c r="L13907" s="233">
        <f>K13906</f>
        <v>740.18640073118002</v>
      </c>
      <c r="N13907" s="251"/>
    </row>
    <row r="13908" spans="1:15" ht="11.25" customHeight="1" x14ac:dyDescent="0.2">
      <c r="A13908" s="197">
        <v>2026</v>
      </c>
      <c r="B13908" s="197">
        <v>3</v>
      </c>
      <c r="C13908" s="197">
        <v>4</v>
      </c>
      <c r="D13908" s="198">
        <f>DATE(A13908,B13908,C13908)</f>
        <v>46085</v>
      </c>
      <c r="E13908" s="290">
        <f>DATE(A13908,B13908,C13908)</f>
        <v>46085</v>
      </c>
      <c r="F13908" s="513" t="s">
        <v>2140</v>
      </c>
      <c r="G13908" s="200" t="s">
        <v>1209</v>
      </c>
      <c r="H13908" s="201"/>
      <c r="I13908" s="201" t="s">
        <v>1253</v>
      </c>
      <c r="J13908" s="197" t="s">
        <v>46</v>
      </c>
      <c r="K13908" s="202">
        <v>10170</v>
      </c>
      <c r="L13908" s="202"/>
    </row>
    <row r="13909" spans="1:15" ht="11.25" customHeight="1" x14ac:dyDescent="0.2">
      <c r="A13909" s="191">
        <v>2026</v>
      </c>
      <c r="B13909" s="191">
        <v>3</v>
      </c>
      <c r="C13909" s="191">
        <v>4</v>
      </c>
      <c r="D13909" s="192">
        <f>DATE(A13909,B13909,C13909)</f>
        <v>46085</v>
      </c>
      <c r="E13909" s="291">
        <f>DATE(A13909,B13909,C13909)</f>
        <v>46085</v>
      </c>
      <c r="F13909" s="514"/>
      <c r="G13909" s="194" t="s">
        <v>1209</v>
      </c>
      <c r="H13909" s="195"/>
      <c r="I13909" s="195"/>
      <c r="J13909" s="191" t="s">
        <v>1845</v>
      </c>
      <c r="K13909" s="196"/>
      <c r="L13909" s="196">
        <f>K13908</f>
        <v>10170</v>
      </c>
    </row>
    <row r="13910" spans="1:15" x14ac:dyDescent="0.2">
      <c r="A13910" s="424">
        <v>2026</v>
      </c>
      <c r="B13910" s="424">
        <v>3</v>
      </c>
      <c r="C13910" s="424">
        <v>4</v>
      </c>
      <c r="D13910" s="425">
        <f t="shared" ref="D13910:D13956" si="2141">DATE(A13910,B13910,C13910)</f>
        <v>46085</v>
      </c>
      <c r="E13910" s="384">
        <f t="shared" ref="E13910:E13921" si="2142">DATE(A13910,B13910,C13910)</f>
        <v>46085</v>
      </c>
      <c r="F13910" s="516" t="s">
        <v>1850</v>
      </c>
      <c r="G13910" s="426" t="s">
        <v>1209</v>
      </c>
      <c r="H13910" s="427"/>
      <c r="I13910" s="427"/>
      <c r="J13910" s="428" t="s">
        <v>81</v>
      </c>
      <c r="K13910" s="429">
        <v>1595.81736263736</v>
      </c>
      <c r="L13910" s="429"/>
      <c r="M13910" s="455"/>
    </row>
    <row r="13911" spans="1:15" x14ac:dyDescent="0.2">
      <c r="A13911" s="389">
        <v>2026</v>
      </c>
      <c r="B13911" s="389">
        <v>3</v>
      </c>
      <c r="C13911" s="389">
        <v>4</v>
      </c>
      <c r="D13911" s="390">
        <f t="shared" si="2141"/>
        <v>46085</v>
      </c>
      <c r="E13911" s="391">
        <f t="shared" si="2142"/>
        <v>46085</v>
      </c>
      <c r="F13911" s="517"/>
      <c r="G13911" s="392" t="s">
        <v>1209</v>
      </c>
      <c r="H13911" s="393"/>
      <c r="I13911" s="393"/>
      <c r="J13911" s="394" t="s">
        <v>1847</v>
      </c>
      <c r="K13911" s="423"/>
      <c r="L13911" s="423">
        <f>K13910</f>
        <v>1595.81736263736</v>
      </c>
    </row>
    <row r="13912" spans="1:15" ht="11.25" customHeight="1" x14ac:dyDescent="0.2">
      <c r="A13912" s="382">
        <v>2026</v>
      </c>
      <c r="B13912" s="382">
        <v>3</v>
      </c>
      <c r="C13912" s="382">
        <v>4</v>
      </c>
      <c r="D13912" s="383">
        <f t="shared" si="2141"/>
        <v>46085</v>
      </c>
      <c r="E13912" s="384">
        <f t="shared" si="2142"/>
        <v>46085</v>
      </c>
      <c r="F13912" s="516" t="s">
        <v>1892</v>
      </c>
      <c r="G13912" s="385" t="s">
        <v>1209</v>
      </c>
      <c r="H13912" s="386"/>
      <c r="I13912" s="386"/>
      <c r="J13912" s="387" t="s">
        <v>173</v>
      </c>
      <c r="K13912" s="388">
        <v>590.47168173611101</v>
      </c>
      <c r="L13912" s="388"/>
      <c r="M13912" s="455"/>
    </row>
    <row r="13913" spans="1:15" ht="11.25" customHeight="1" x14ac:dyDescent="0.2">
      <c r="A13913" s="389">
        <v>2026</v>
      </c>
      <c r="B13913" s="389">
        <v>3</v>
      </c>
      <c r="C13913" s="389">
        <v>4</v>
      </c>
      <c r="D13913" s="390">
        <f t="shared" si="2141"/>
        <v>46085</v>
      </c>
      <c r="E13913" s="391">
        <f t="shared" si="2142"/>
        <v>46085</v>
      </c>
      <c r="F13913" s="517"/>
      <c r="G13913" s="392" t="s">
        <v>1209</v>
      </c>
      <c r="H13913" s="393"/>
      <c r="I13913" s="393"/>
      <c r="J13913" s="394" t="s">
        <v>43</v>
      </c>
      <c r="K13913" s="388"/>
      <c r="L13913" s="423">
        <f>K13912</f>
        <v>590.47168173611101</v>
      </c>
    </row>
    <row r="13914" spans="1:15" ht="11.25" customHeight="1" x14ac:dyDescent="0.2">
      <c r="A13914" s="344">
        <v>2026</v>
      </c>
      <c r="B13914" s="344">
        <v>3</v>
      </c>
      <c r="C13914" s="344">
        <v>4</v>
      </c>
      <c r="D13914" s="345">
        <f t="shared" si="2141"/>
        <v>46085</v>
      </c>
      <c r="E13914" s="346">
        <f t="shared" si="2142"/>
        <v>46085</v>
      </c>
      <c r="F13914" s="518" t="s">
        <v>1982</v>
      </c>
      <c r="G13914" s="347" t="s">
        <v>1245</v>
      </c>
      <c r="H13914" s="348"/>
      <c r="I13914" s="348" t="s">
        <v>1253</v>
      </c>
      <c r="J13914" s="344" t="s">
        <v>1978</v>
      </c>
      <c r="K13914" s="349">
        <v>20878.176795580108</v>
      </c>
      <c r="L13914" s="349"/>
      <c r="M13914" s="455"/>
    </row>
    <row r="13915" spans="1:15" ht="11.25" customHeight="1" x14ac:dyDescent="0.2">
      <c r="A13915" s="350">
        <v>2026</v>
      </c>
      <c r="B13915" s="350">
        <v>3</v>
      </c>
      <c r="C13915" s="350">
        <v>4</v>
      </c>
      <c r="D13915" s="351">
        <f t="shared" si="2141"/>
        <v>46085</v>
      </c>
      <c r="E13915" s="352">
        <f t="shared" si="2142"/>
        <v>46085</v>
      </c>
      <c r="F13915" s="519"/>
      <c r="G13915" s="353" t="s">
        <v>1245</v>
      </c>
      <c r="H13915" s="354"/>
      <c r="I13915" s="354" t="s">
        <v>1253</v>
      </c>
      <c r="J13915" s="350" t="s">
        <v>1979</v>
      </c>
      <c r="K13915" s="355"/>
      <c r="L13915" s="355">
        <f>K13914</f>
        <v>20878.176795580108</v>
      </c>
    </row>
    <row r="13916" spans="1:15" ht="11.25" customHeight="1" x14ac:dyDescent="0.2">
      <c r="A13916" s="344">
        <v>2026</v>
      </c>
      <c r="B13916" s="344">
        <v>3</v>
      </c>
      <c r="C13916" s="344">
        <v>4</v>
      </c>
      <c r="D13916" s="345">
        <f t="shared" si="2141"/>
        <v>46085</v>
      </c>
      <c r="E13916" s="346">
        <f t="shared" si="2142"/>
        <v>46085</v>
      </c>
      <c r="F13916" s="518" t="s">
        <v>2009</v>
      </c>
      <c r="G13916" s="347" t="s">
        <v>1245</v>
      </c>
      <c r="H13916" s="348"/>
      <c r="I13916" s="348" t="s">
        <v>1253</v>
      </c>
      <c r="J13916" s="344" t="s">
        <v>2004</v>
      </c>
      <c r="K13916" s="349">
        <v>7098.9014285714302</v>
      </c>
      <c r="L13916" s="349"/>
      <c r="M13916" s="455"/>
    </row>
    <row r="13917" spans="1:15" ht="11.25" customHeight="1" x14ac:dyDescent="0.2">
      <c r="A13917" s="350">
        <v>2026</v>
      </c>
      <c r="B13917" s="350">
        <v>3</v>
      </c>
      <c r="C13917" s="350">
        <v>4</v>
      </c>
      <c r="D13917" s="351">
        <f t="shared" si="2141"/>
        <v>46085</v>
      </c>
      <c r="E13917" s="352">
        <f t="shared" si="2142"/>
        <v>46085</v>
      </c>
      <c r="F13917" s="519"/>
      <c r="G13917" s="353" t="s">
        <v>1245</v>
      </c>
      <c r="H13917" s="354"/>
      <c r="I13917" s="354" t="s">
        <v>1253</v>
      </c>
      <c r="J13917" s="350" t="s">
        <v>2008</v>
      </c>
      <c r="K13917" s="355"/>
      <c r="L13917" s="355">
        <f t="shared" ref="L13917" si="2143">K13916</f>
        <v>7098.9014285714302</v>
      </c>
    </row>
    <row r="13918" spans="1:15" ht="11.25" customHeight="1" x14ac:dyDescent="0.2">
      <c r="A13918" s="344">
        <v>2026</v>
      </c>
      <c r="B13918" s="344">
        <v>3</v>
      </c>
      <c r="C13918" s="344">
        <v>4</v>
      </c>
      <c r="D13918" s="345">
        <f t="shared" si="2141"/>
        <v>46085</v>
      </c>
      <c r="E13918" s="346">
        <f t="shared" si="2142"/>
        <v>46085</v>
      </c>
      <c r="F13918" s="518" t="s">
        <v>2009</v>
      </c>
      <c r="G13918" s="347" t="s">
        <v>1245</v>
      </c>
      <c r="H13918" s="348"/>
      <c r="I13918" s="348" t="s">
        <v>1253</v>
      </c>
      <c r="J13918" s="344" t="s">
        <v>2004</v>
      </c>
      <c r="K13918" s="349">
        <v>7098.9014285714302</v>
      </c>
      <c r="L13918" s="349"/>
      <c r="M13918" s="455"/>
    </row>
    <row r="13919" spans="1:15" ht="11.25" customHeight="1" x14ac:dyDescent="0.2">
      <c r="A13919" s="350">
        <v>2026</v>
      </c>
      <c r="B13919" s="350">
        <v>3</v>
      </c>
      <c r="C13919" s="350">
        <v>4</v>
      </c>
      <c r="D13919" s="351">
        <f t="shared" si="2141"/>
        <v>46085</v>
      </c>
      <c r="E13919" s="352">
        <f t="shared" si="2142"/>
        <v>46085</v>
      </c>
      <c r="F13919" s="519"/>
      <c r="G13919" s="353" t="s">
        <v>1245</v>
      </c>
      <c r="H13919" s="354"/>
      <c r="I13919" s="354" t="s">
        <v>1253</v>
      </c>
      <c r="J13919" s="350" t="s">
        <v>2008</v>
      </c>
      <c r="K13919" s="355"/>
      <c r="L13919" s="355">
        <f t="shared" ref="L13919" si="2144">K13918</f>
        <v>7098.9014285714302</v>
      </c>
    </row>
    <row r="13920" spans="1:15" ht="11.25" customHeight="1" x14ac:dyDescent="0.2">
      <c r="A13920" s="344">
        <v>2026</v>
      </c>
      <c r="B13920" s="344">
        <v>3</v>
      </c>
      <c r="C13920" s="344">
        <v>4</v>
      </c>
      <c r="D13920" s="345">
        <f t="shared" si="2141"/>
        <v>46085</v>
      </c>
      <c r="E13920" s="346">
        <f t="shared" si="2142"/>
        <v>46085</v>
      </c>
      <c r="F13920" s="518" t="s">
        <v>2088</v>
      </c>
      <c r="G13920" s="347" t="s">
        <v>1245</v>
      </c>
      <c r="H13920" s="348"/>
      <c r="I13920" s="348" t="s">
        <v>1253</v>
      </c>
      <c r="J13920" s="344" t="s">
        <v>2086</v>
      </c>
      <c r="K13920" s="349">
        <v>1789.83516483516</v>
      </c>
      <c r="L13920" s="349"/>
      <c r="M13920" s="455"/>
    </row>
    <row r="13921" spans="1:16" ht="11.25" customHeight="1" x14ac:dyDescent="0.2">
      <c r="A13921" s="350">
        <v>2026</v>
      </c>
      <c r="B13921" s="350">
        <v>3</v>
      </c>
      <c r="C13921" s="350">
        <v>4</v>
      </c>
      <c r="D13921" s="351">
        <f t="shared" si="2141"/>
        <v>46085</v>
      </c>
      <c r="E13921" s="352">
        <f t="shared" si="2142"/>
        <v>46085</v>
      </c>
      <c r="F13921" s="519"/>
      <c r="G13921" s="353" t="s">
        <v>1245</v>
      </c>
      <c r="H13921" s="354"/>
      <c r="I13921" s="354" t="s">
        <v>1253</v>
      </c>
      <c r="J13921" s="350" t="s">
        <v>2089</v>
      </c>
      <c r="K13921" s="355"/>
      <c r="L13921" s="355">
        <f>K13920</f>
        <v>1789.83516483516</v>
      </c>
    </row>
    <row r="13922" spans="1:16" ht="11.25" customHeight="1" x14ac:dyDescent="0.2">
      <c r="A13922" s="344">
        <v>2026</v>
      </c>
      <c r="B13922" s="344">
        <v>3</v>
      </c>
      <c r="C13922" s="344">
        <v>4</v>
      </c>
      <c r="D13922" s="345">
        <f t="shared" si="2141"/>
        <v>46085</v>
      </c>
      <c r="E13922" s="346">
        <f>DATE(A13922,B13922,C13922)</f>
        <v>46085</v>
      </c>
      <c r="F13922" s="518" t="s">
        <v>1988</v>
      </c>
      <c r="G13922" s="347" t="s">
        <v>1245</v>
      </c>
      <c r="H13922" s="348"/>
      <c r="I13922" s="348" t="s">
        <v>1253</v>
      </c>
      <c r="J13922" s="344" t="s">
        <v>113</v>
      </c>
      <c r="K13922" s="349">
        <v>4692.3071428571402</v>
      </c>
      <c r="L13922" s="349"/>
      <c r="M13922" s="455"/>
    </row>
    <row r="13923" spans="1:16" ht="11.25" customHeight="1" x14ac:dyDescent="0.2">
      <c r="A13923" s="350">
        <v>2026</v>
      </c>
      <c r="B13923" s="350">
        <v>3</v>
      </c>
      <c r="C13923" s="350">
        <v>4</v>
      </c>
      <c r="D13923" s="351">
        <f t="shared" si="2141"/>
        <v>46085</v>
      </c>
      <c r="E13923" s="352">
        <f>DATE(A13923,B13923,C13923)</f>
        <v>46085</v>
      </c>
      <c r="F13923" s="519"/>
      <c r="G13923" s="353" t="s">
        <v>1245</v>
      </c>
      <c r="H13923" s="354"/>
      <c r="I13923" s="354" t="s">
        <v>1253</v>
      </c>
      <c r="J13923" s="350" t="s">
        <v>153</v>
      </c>
      <c r="K13923" s="355"/>
      <c r="L13923" s="355">
        <f t="shared" ref="L13923" si="2145">K13922</f>
        <v>4692.3071428571402</v>
      </c>
    </row>
    <row r="13924" spans="1:16" ht="11.25" customHeight="1" x14ac:dyDescent="0.2">
      <c r="A13924" s="344">
        <v>2026</v>
      </c>
      <c r="B13924" s="344">
        <v>3</v>
      </c>
      <c r="C13924" s="344">
        <v>4</v>
      </c>
      <c r="D13924" s="345">
        <f t="shared" si="2141"/>
        <v>46085</v>
      </c>
      <c r="E13924" s="346">
        <f t="shared" ref="E13924:E13930" si="2146">DATE(A13924,B13924,C13924)</f>
        <v>46085</v>
      </c>
      <c r="F13924" s="518" t="s">
        <v>1989</v>
      </c>
      <c r="G13924" s="347" t="s">
        <v>1245</v>
      </c>
      <c r="H13924" s="348"/>
      <c r="I13924" s="348" t="s">
        <v>1253</v>
      </c>
      <c r="J13924" s="344" t="s">
        <v>113</v>
      </c>
      <c r="K13924" s="349">
        <v>3351.6483516483499</v>
      </c>
      <c r="L13924" s="349"/>
      <c r="M13924" s="455"/>
    </row>
    <row r="13925" spans="1:16" ht="11.25" customHeight="1" x14ac:dyDescent="0.2">
      <c r="A13925" s="350">
        <v>2026</v>
      </c>
      <c r="B13925" s="350">
        <v>3</v>
      </c>
      <c r="C13925" s="350">
        <v>4</v>
      </c>
      <c r="D13925" s="351">
        <f t="shared" si="2141"/>
        <v>46085</v>
      </c>
      <c r="E13925" s="352">
        <f t="shared" si="2146"/>
        <v>46085</v>
      </c>
      <c r="F13925" s="519"/>
      <c r="G13925" s="353" t="s">
        <v>1245</v>
      </c>
      <c r="H13925" s="354"/>
      <c r="I13925" s="354" t="s">
        <v>1253</v>
      </c>
      <c r="J13925" s="350" t="s">
        <v>153</v>
      </c>
      <c r="K13925" s="355"/>
      <c r="L13925" s="355">
        <f t="shared" ref="L13925" si="2147">K13924</f>
        <v>3351.6483516483499</v>
      </c>
    </row>
    <row r="13926" spans="1:16" ht="11.25" customHeight="1" x14ac:dyDescent="0.2">
      <c r="A13926" s="344">
        <v>2026</v>
      </c>
      <c r="B13926" s="344">
        <v>3</v>
      </c>
      <c r="C13926" s="344">
        <v>4</v>
      </c>
      <c r="D13926" s="345">
        <f t="shared" si="2141"/>
        <v>46085</v>
      </c>
      <c r="E13926" s="346">
        <f t="shared" si="2146"/>
        <v>46085</v>
      </c>
      <c r="F13926" s="518" t="s">
        <v>1990</v>
      </c>
      <c r="G13926" s="347" t="s">
        <v>1245</v>
      </c>
      <c r="H13926" s="348"/>
      <c r="I13926" s="348" t="s">
        <v>1253</v>
      </c>
      <c r="J13926" s="344" t="s">
        <v>113</v>
      </c>
      <c r="K13926" s="349">
        <v>10054.945714285701</v>
      </c>
      <c r="L13926" s="349"/>
      <c r="M13926" s="455"/>
      <c r="N13926" s="251"/>
      <c r="O13926" s="251"/>
      <c r="P13926" s="251"/>
    </row>
    <row r="13927" spans="1:16" ht="11.25" customHeight="1" x14ac:dyDescent="0.2">
      <c r="A13927" s="350">
        <v>2026</v>
      </c>
      <c r="B13927" s="350">
        <v>3</v>
      </c>
      <c r="C13927" s="350">
        <v>4</v>
      </c>
      <c r="D13927" s="351">
        <f t="shared" si="2141"/>
        <v>46085</v>
      </c>
      <c r="E13927" s="352">
        <f t="shared" si="2146"/>
        <v>46085</v>
      </c>
      <c r="F13927" s="519"/>
      <c r="G13927" s="353" t="s">
        <v>1245</v>
      </c>
      <c r="H13927" s="354"/>
      <c r="I13927" s="354" t="s">
        <v>1253</v>
      </c>
      <c r="J13927" s="350" t="s">
        <v>153</v>
      </c>
      <c r="K13927" s="355"/>
      <c r="L13927" s="355">
        <f t="shared" ref="L13927" si="2148">K13926</f>
        <v>10054.945714285701</v>
      </c>
      <c r="M13927" s="455"/>
    </row>
    <row r="13928" spans="1:16" ht="11.25" customHeight="1" x14ac:dyDescent="0.2">
      <c r="A13928" s="344">
        <v>2026</v>
      </c>
      <c r="B13928" s="344">
        <v>3</v>
      </c>
      <c r="C13928" s="344">
        <v>4</v>
      </c>
      <c r="D13928" s="345">
        <f t="shared" si="2141"/>
        <v>46085</v>
      </c>
      <c r="E13928" s="346">
        <f t="shared" si="2146"/>
        <v>46085</v>
      </c>
      <c r="F13928" s="518" t="s">
        <v>2107</v>
      </c>
      <c r="G13928" s="347" t="s">
        <v>1245</v>
      </c>
      <c r="H13928" s="348"/>
      <c r="I13928" s="348" t="s">
        <v>1253</v>
      </c>
      <c r="J13928" s="344" t="s">
        <v>113</v>
      </c>
      <c r="K13928" s="349">
        <v>12370.879120879101</v>
      </c>
      <c r="L13928" s="349"/>
      <c r="M13928" s="455"/>
      <c r="N13928" s="251"/>
      <c r="O13928" s="251"/>
      <c r="P13928" s="251"/>
    </row>
    <row r="13929" spans="1:16" ht="11.25" customHeight="1" x14ac:dyDescent="0.2">
      <c r="A13929" s="350">
        <v>2026</v>
      </c>
      <c r="B13929" s="350">
        <v>3</v>
      </c>
      <c r="C13929" s="350">
        <v>4</v>
      </c>
      <c r="D13929" s="351">
        <f t="shared" si="2141"/>
        <v>46085</v>
      </c>
      <c r="E13929" s="352">
        <f t="shared" si="2146"/>
        <v>46085</v>
      </c>
      <c r="F13929" s="519"/>
      <c r="G13929" s="353" t="s">
        <v>1245</v>
      </c>
      <c r="H13929" s="354"/>
      <c r="I13929" s="354" t="s">
        <v>1253</v>
      </c>
      <c r="J13929" s="350" t="s">
        <v>153</v>
      </c>
      <c r="K13929" s="355"/>
      <c r="L13929" s="355">
        <f t="shared" ref="L13929" si="2149">K13928</f>
        <v>12370.879120879101</v>
      </c>
    </row>
    <row r="13930" spans="1:16" ht="11.25" customHeight="1" x14ac:dyDescent="0.2">
      <c r="A13930" s="210">
        <v>2026</v>
      </c>
      <c r="B13930" s="210">
        <v>3</v>
      </c>
      <c r="C13930" s="210">
        <v>4</v>
      </c>
      <c r="D13930" s="211">
        <f t="shared" si="2141"/>
        <v>46085</v>
      </c>
      <c r="E13930" s="238">
        <f t="shared" si="2146"/>
        <v>46085</v>
      </c>
      <c r="F13930" s="520" t="s">
        <v>1857</v>
      </c>
      <c r="G13930" s="213" t="s">
        <v>1245</v>
      </c>
      <c r="H13930" s="214"/>
      <c r="I13930" s="214" t="s">
        <v>1253</v>
      </c>
      <c r="J13930" s="210" t="s">
        <v>1284</v>
      </c>
      <c r="K13930" s="215">
        <v>334.54448777029398</v>
      </c>
      <c r="L13930" s="215"/>
      <c r="M13930" s="455"/>
    </row>
    <row r="13931" spans="1:16" ht="11.25" customHeight="1" x14ac:dyDescent="0.2">
      <c r="A13931" s="242">
        <v>2026</v>
      </c>
      <c r="B13931" s="242">
        <v>3</v>
      </c>
      <c r="C13931" s="242">
        <v>4</v>
      </c>
      <c r="D13931" s="243">
        <f t="shared" si="2141"/>
        <v>46085</v>
      </c>
      <c r="E13931" s="244">
        <f>DATE(A13931,B13931,C13931)</f>
        <v>46085</v>
      </c>
      <c r="F13931" s="524"/>
      <c r="G13931" s="245" t="s">
        <v>1245</v>
      </c>
      <c r="H13931" s="246"/>
      <c r="I13931" s="246"/>
      <c r="J13931" s="242" t="s">
        <v>1582</v>
      </c>
      <c r="K13931" s="247"/>
      <c r="L13931" s="247">
        <f>K13930</f>
        <v>334.54448777029398</v>
      </c>
    </row>
    <row r="13932" spans="1:16" ht="11.25" customHeight="1" x14ac:dyDescent="0.2">
      <c r="A13932" s="210">
        <v>2026</v>
      </c>
      <c r="B13932" s="210">
        <v>3</v>
      </c>
      <c r="C13932" s="210">
        <v>4</v>
      </c>
      <c r="D13932" s="211">
        <f t="shared" si="2141"/>
        <v>46085</v>
      </c>
      <c r="E13932" s="238">
        <f t="shared" ref="E13932:E13968" si="2150">DATE(A13932,B13932,C13932)</f>
        <v>46085</v>
      </c>
      <c r="F13932" s="520" t="s">
        <v>2055</v>
      </c>
      <c r="G13932" s="213" t="s">
        <v>1245</v>
      </c>
      <c r="H13932" s="214"/>
      <c r="I13932" s="214" t="s">
        <v>1253</v>
      </c>
      <c r="J13932" s="210" t="s">
        <v>58</v>
      </c>
      <c r="K13932" s="215">
        <v>1079.3491019444441</v>
      </c>
      <c r="L13932" s="215"/>
    </row>
    <row r="13933" spans="1:16" ht="11.25" customHeight="1" x14ac:dyDescent="0.2">
      <c r="A13933" s="216">
        <v>2026</v>
      </c>
      <c r="B13933" s="216">
        <v>3</v>
      </c>
      <c r="C13933" s="216">
        <v>4</v>
      </c>
      <c r="D13933" s="217">
        <f t="shared" si="2141"/>
        <v>46085</v>
      </c>
      <c r="E13933" s="239">
        <f t="shared" si="2150"/>
        <v>46085</v>
      </c>
      <c r="F13933" s="521"/>
      <c r="G13933" s="219" t="s">
        <v>1245</v>
      </c>
      <c r="H13933" s="220"/>
      <c r="I13933" s="220" t="s">
        <v>1253</v>
      </c>
      <c r="J13933" s="216" t="s">
        <v>153</v>
      </c>
      <c r="K13933" s="221"/>
      <c r="L13933" s="221">
        <f>K13932</f>
        <v>1079.3491019444441</v>
      </c>
    </row>
    <row r="13934" spans="1:16" ht="11.25" customHeight="1" x14ac:dyDescent="0.2">
      <c r="A13934" s="312">
        <v>2026</v>
      </c>
      <c r="B13934" s="312">
        <v>3</v>
      </c>
      <c r="C13934" s="312">
        <v>4</v>
      </c>
      <c r="D13934" s="313">
        <f t="shared" si="2141"/>
        <v>46085</v>
      </c>
      <c r="E13934" s="314">
        <f t="shared" si="2150"/>
        <v>46085</v>
      </c>
      <c r="F13934" s="522" t="s">
        <v>1595</v>
      </c>
      <c r="G13934" s="315" t="s">
        <v>1245</v>
      </c>
      <c r="H13934" s="316"/>
      <c r="I13934" s="316" t="s">
        <v>1253</v>
      </c>
      <c r="J13934" s="312" t="s">
        <v>1461</v>
      </c>
      <c r="K13934" s="317">
        <v>771189.73399978876</v>
      </c>
      <c r="L13934" s="317"/>
      <c r="M13934" s="328"/>
    </row>
    <row r="13935" spans="1:16" ht="11.25" customHeight="1" x14ac:dyDescent="0.2">
      <c r="A13935" s="486">
        <v>2026</v>
      </c>
      <c r="B13935" s="486">
        <v>3</v>
      </c>
      <c r="C13935" s="486">
        <v>4</v>
      </c>
      <c r="D13935" s="487">
        <f t="shared" si="2141"/>
        <v>46085</v>
      </c>
      <c r="E13935" s="488">
        <f t="shared" si="2150"/>
        <v>46085</v>
      </c>
      <c r="F13935" s="525"/>
      <c r="G13935" s="489" t="s">
        <v>1245</v>
      </c>
      <c r="H13935" s="490"/>
      <c r="I13935" s="490" t="s">
        <v>1253</v>
      </c>
      <c r="J13935" s="486" t="s">
        <v>1459</v>
      </c>
      <c r="K13935" s="491"/>
      <c r="L13935" s="491">
        <f>K13934</f>
        <v>771189.73399978876</v>
      </c>
      <c r="M13935" s="328"/>
    </row>
    <row r="13936" spans="1:16" ht="11.25" customHeight="1" x14ac:dyDescent="0.2">
      <c r="A13936" s="222">
        <v>2026</v>
      </c>
      <c r="B13936" s="222">
        <v>3</v>
      </c>
      <c r="C13936" s="222">
        <v>4</v>
      </c>
      <c r="D13936" s="223">
        <f t="shared" si="2141"/>
        <v>46085</v>
      </c>
      <c r="E13936" s="240">
        <f t="shared" si="2150"/>
        <v>46085</v>
      </c>
      <c r="F13936" s="511" t="s">
        <v>1244</v>
      </c>
      <c r="G13936" s="225" t="s">
        <v>1245</v>
      </c>
      <c r="H13936" s="226"/>
      <c r="I13936" s="226" t="s">
        <v>1253</v>
      </c>
      <c r="J13936" s="222" t="s">
        <v>87</v>
      </c>
      <c r="K13936" s="227">
        <v>7859</v>
      </c>
      <c r="L13936" s="227"/>
      <c r="M13936" s="328"/>
    </row>
    <row r="13937" spans="1:15" ht="11.25" customHeight="1" x14ac:dyDescent="0.2">
      <c r="A13937" s="228">
        <v>2026</v>
      </c>
      <c r="B13937" s="228">
        <v>3</v>
      </c>
      <c r="C13937" s="228">
        <v>4</v>
      </c>
      <c r="D13937" s="229">
        <f t="shared" si="2141"/>
        <v>46085</v>
      </c>
      <c r="E13937" s="241">
        <f t="shared" si="2150"/>
        <v>46085</v>
      </c>
      <c r="F13937" s="512"/>
      <c r="G13937" s="231" t="s">
        <v>1245</v>
      </c>
      <c r="H13937" s="232"/>
      <c r="I13937" s="232" t="s">
        <v>1253</v>
      </c>
      <c r="J13937" s="228" t="s">
        <v>72</v>
      </c>
      <c r="K13937" s="233"/>
      <c r="L13937" s="233">
        <f>K13936</f>
        <v>7859</v>
      </c>
    </row>
    <row r="13938" spans="1:15" ht="11.25" customHeight="1" x14ac:dyDescent="0.2">
      <c r="A13938" s="492">
        <v>2026</v>
      </c>
      <c r="B13938" s="492">
        <v>3</v>
      </c>
      <c r="C13938" s="492">
        <v>4</v>
      </c>
      <c r="D13938" s="493">
        <f t="shared" si="2141"/>
        <v>46085</v>
      </c>
      <c r="E13938" s="494">
        <f t="shared" si="2150"/>
        <v>46085</v>
      </c>
      <c r="F13938" s="526" t="s">
        <v>2138</v>
      </c>
      <c r="G13938" s="495" t="s">
        <v>1245</v>
      </c>
      <c r="H13938" s="496"/>
      <c r="I13938" s="496" t="s">
        <v>1253</v>
      </c>
      <c r="J13938" s="492" t="s">
        <v>75</v>
      </c>
      <c r="K13938" s="497">
        <v>517.58912087912097</v>
      </c>
      <c r="L13938" s="497"/>
      <c r="M13938" s="455"/>
    </row>
    <row r="13939" spans="1:15" ht="11.25" customHeight="1" x14ac:dyDescent="0.2">
      <c r="A13939" s="228">
        <v>2026</v>
      </c>
      <c r="B13939" s="228">
        <v>3</v>
      </c>
      <c r="C13939" s="228">
        <v>4</v>
      </c>
      <c r="D13939" s="229">
        <f t="shared" si="2141"/>
        <v>46085</v>
      </c>
      <c r="E13939" s="241">
        <f t="shared" si="2150"/>
        <v>46085</v>
      </c>
      <c r="F13939" s="512"/>
      <c r="G13939" s="231" t="s">
        <v>1245</v>
      </c>
      <c r="H13939" s="232"/>
      <c r="I13939" s="232" t="s">
        <v>1253</v>
      </c>
      <c r="J13939" s="228" t="s">
        <v>55</v>
      </c>
      <c r="K13939" s="233"/>
      <c r="L13939" s="233">
        <f>K13938</f>
        <v>517.58912087912097</v>
      </c>
    </row>
    <row r="13940" spans="1:15" ht="11.25" customHeight="1" x14ac:dyDescent="0.2">
      <c r="A13940" s="222">
        <v>2026</v>
      </c>
      <c r="B13940" s="222">
        <v>3</v>
      </c>
      <c r="C13940" s="222">
        <v>4</v>
      </c>
      <c r="D13940" s="223">
        <f t="shared" si="2141"/>
        <v>46085</v>
      </c>
      <c r="E13940" s="240">
        <f t="shared" si="2150"/>
        <v>46085</v>
      </c>
      <c r="F13940" s="511" t="s">
        <v>2137</v>
      </c>
      <c r="G13940" s="225" t="s">
        <v>1245</v>
      </c>
      <c r="H13940" s="226"/>
      <c r="I13940" s="226" t="s">
        <v>1253</v>
      </c>
      <c r="J13940" s="222" t="s">
        <v>77</v>
      </c>
      <c r="K13940" s="227">
        <f>M13940</f>
        <v>7653.8834069569039</v>
      </c>
      <c r="L13940" s="227"/>
      <c r="M13940" s="478">
        <v>7653.8834069569039</v>
      </c>
    </row>
    <row r="13941" spans="1:15" ht="11.25" customHeight="1" x14ac:dyDescent="0.2">
      <c r="A13941" s="228">
        <v>2026</v>
      </c>
      <c r="B13941" s="228">
        <v>3</v>
      </c>
      <c r="C13941" s="228">
        <v>4</v>
      </c>
      <c r="D13941" s="229">
        <f t="shared" si="2141"/>
        <v>46085</v>
      </c>
      <c r="E13941" s="241">
        <f t="shared" si="2150"/>
        <v>46085</v>
      </c>
      <c r="F13941" s="512"/>
      <c r="G13941" s="231" t="s">
        <v>1245</v>
      </c>
      <c r="H13941" s="232"/>
      <c r="I13941" s="232" t="s">
        <v>1253</v>
      </c>
      <c r="J13941" s="228" t="s">
        <v>41</v>
      </c>
      <c r="K13941" s="233"/>
      <c r="L13941" s="233">
        <f>K13940</f>
        <v>7653.8834069569039</v>
      </c>
      <c r="M13941" s="328">
        <v>765.38834069569032</v>
      </c>
      <c r="N13941" s="251"/>
    </row>
    <row r="13942" spans="1:15" ht="11.25" customHeight="1" x14ac:dyDescent="0.2">
      <c r="A13942" s="222">
        <v>2026</v>
      </c>
      <c r="B13942" s="222">
        <v>3</v>
      </c>
      <c r="C13942" s="222">
        <v>4</v>
      </c>
      <c r="D13942" s="223">
        <f t="shared" si="2141"/>
        <v>46085</v>
      </c>
      <c r="E13942" s="240">
        <f t="shared" si="2150"/>
        <v>46085</v>
      </c>
      <c r="F13942" s="511" t="s">
        <v>2136</v>
      </c>
      <c r="G13942" s="225" t="s">
        <v>1245</v>
      </c>
      <c r="H13942" s="226"/>
      <c r="I13942" s="226" t="s">
        <v>1253</v>
      </c>
      <c r="J13942" s="222" t="s">
        <v>80</v>
      </c>
      <c r="K13942" s="227">
        <f>M13941</f>
        <v>765.38834069569032</v>
      </c>
      <c r="L13942" s="227"/>
      <c r="M13942" s="328"/>
      <c r="N13942" s="251"/>
      <c r="O13942" s="251"/>
    </row>
    <row r="13943" spans="1:15" ht="11.25" customHeight="1" x14ac:dyDescent="0.2">
      <c r="A13943" s="228">
        <v>2026</v>
      </c>
      <c r="B13943" s="228">
        <v>3</v>
      </c>
      <c r="C13943" s="228">
        <v>4</v>
      </c>
      <c r="D13943" s="229">
        <f t="shared" si="2141"/>
        <v>46085</v>
      </c>
      <c r="E13943" s="241">
        <f t="shared" si="2150"/>
        <v>46085</v>
      </c>
      <c r="F13943" s="512"/>
      <c r="G13943" s="231" t="s">
        <v>1245</v>
      </c>
      <c r="H13943" s="232"/>
      <c r="I13943" s="232" t="s">
        <v>1253</v>
      </c>
      <c r="J13943" s="228" t="s">
        <v>42</v>
      </c>
      <c r="K13943" s="233"/>
      <c r="L13943" s="233">
        <f>K13942</f>
        <v>765.38834069569032</v>
      </c>
      <c r="N13943" s="251"/>
    </row>
    <row r="13944" spans="1:15" ht="11.25" customHeight="1" x14ac:dyDescent="0.2">
      <c r="A13944" s="197">
        <v>2026</v>
      </c>
      <c r="B13944" s="197">
        <v>3</v>
      </c>
      <c r="C13944" s="197">
        <v>5</v>
      </c>
      <c r="D13944" s="198">
        <f t="shared" si="2141"/>
        <v>46086</v>
      </c>
      <c r="E13944" s="290">
        <f>DATE(A13944,B13944,C13944)</f>
        <v>46086</v>
      </c>
      <c r="F13944" s="513" t="s">
        <v>1514</v>
      </c>
      <c r="G13944" s="200" t="s">
        <v>1209</v>
      </c>
      <c r="H13944" s="201"/>
      <c r="I13944" s="201"/>
      <c r="J13944" s="197" t="s">
        <v>54</v>
      </c>
      <c r="K13944" s="202">
        <v>58</v>
      </c>
      <c r="L13944" s="202"/>
      <c r="O13944" s="251"/>
    </row>
    <row r="13945" spans="1:15" ht="11.25" customHeight="1" x14ac:dyDescent="0.2">
      <c r="A13945" s="191">
        <v>2026</v>
      </c>
      <c r="B13945" s="191">
        <v>3</v>
      </c>
      <c r="C13945" s="191">
        <v>5</v>
      </c>
      <c r="D13945" s="192">
        <f t="shared" si="2141"/>
        <v>46086</v>
      </c>
      <c r="E13945" s="291">
        <f>DATE(A13945,B13945,C13945)</f>
        <v>46086</v>
      </c>
      <c r="F13945" s="514"/>
      <c r="G13945" s="194" t="s">
        <v>1209</v>
      </c>
      <c r="H13945" s="195"/>
      <c r="I13945" s="195"/>
      <c r="J13945" s="191" t="s">
        <v>46</v>
      </c>
      <c r="K13945" s="196"/>
      <c r="L13945" s="196">
        <f>K13944</f>
        <v>58</v>
      </c>
      <c r="O13945" s="251"/>
    </row>
    <row r="13946" spans="1:15" x14ac:dyDescent="0.2">
      <c r="A13946" s="197">
        <v>2026</v>
      </c>
      <c r="B13946" s="197">
        <v>3</v>
      </c>
      <c r="C13946" s="197">
        <v>5</v>
      </c>
      <c r="D13946" s="198">
        <f t="shared" si="2141"/>
        <v>46086</v>
      </c>
      <c r="E13946" s="209">
        <f t="shared" ref="E13946:E13949" si="2151">DATE(A13946,B13946,C13946)</f>
        <v>46086</v>
      </c>
      <c r="F13946" s="513" t="s">
        <v>1280</v>
      </c>
      <c r="G13946" s="200" t="s">
        <v>1209</v>
      </c>
      <c r="H13946" s="201"/>
      <c r="I13946" s="201"/>
      <c r="J13946" s="197" t="s">
        <v>16</v>
      </c>
      <c r="K13946" s="202">
        <v>424900</v>
      </c>
      <c r="L13946" s="202"/>
    </row>
    <row r="13947" spans="1:15" x14ac:dyDescent="0.2">
      <c r="A13947" s="120">
        <v>2026</v>
      </c>
      <c r="B13947" s="120">
        <v>3</v>
      </c>
      <c r="C13947" s="120">
        <v>5</v>
      </c>
      <c r="D13947" s="208">
        <f t="shared" si="2141"/>
        <v>46086</v>
      </c>
      <c r="E13947" s="209">
        <f t="shared" si="2151"/>
        <v>46086</v>
      </c>
      <c r="F13947" s="515"/>
      <c r="G13947" s="132" t="s">
        <v>1209</v>
      </c>
      <c r="J13947" s="120" t="s">
        <v>47</v>
      </c>
      <c r="K13947" s="207">
        <v>175100</v>
      </c>
      <c r="L13947" s="207"/>
    </row>
    <row r="13948" spans="1:15" x14ac:dyDescent="0.2">
      <c r="A13948" s="191">
        <v>2026</v>
      </c>
      <c r="B13948" s="191">
        <v>3</v>
      </c>
      <c r="C13948" s="191">
        <v>5</v>
      </c>
      <c r="D13948" s="192">
        <f t="shared" si="2141"/>
        <v>46086</v>
      </c>
      <c r="E13948" s="193">
        <f t="shared" si="2151"/>
        <v>46086</v>
      </c>
      <c r="F13948" s="514"/>
      <c r="G13948" s="194" t="s">
        <v>1209</v>
      </c>
      <c r="H13948" s="195"/>
      <c r="I13948" s="195"/>
      <c r="J13948" s="191" t="s">
        <v>46</v>
      </c>
      <c r="K13948" s="196"/>
      <c r="L13948" s="196">
        <v>600000</v>
      </c>
    </row>
    <row r="13949" spans="1:15" ht="11.25" customHeight="1" x14ac:dyDescent="0.2">
      <c r="A13949" s="197">
        <v>2026</v>
      </c>
      <c r="B13949" s="197">
        <v>3</v>
      </c>
      <c r="C13949" s="197">
        <v>5</v>
      </c>
      <c r="D13949" s="198">
        <f t="shared" si="2141"/>
        <v>46086</v>
      </c>
      <c r="E13949" s="290">
        <f t="shared" si="2151"/>
        <v>46086</v>
      </c>
      <c r="F13949" s="513" t="s">
        <v>1485</v>
      </c>
      <c r="G13949" s="200" t="s">
        <v>1209</v>
      </c>
      <c r="H13949" s="201"/>
      <c r="I13949" s="201" t="s">
        <v>1253</v>
      </c>
      <c r="J13949" s="197" t="s">
        <v>41</v>
      </c>
      <c r="K13949" s="202">
        <f>L13951/0.85</f>
        <v>670268.49411764706</v>
      </c>
      <c r="L13949" s="202"/>
      <c r="M13949" s="130"/>
      <c r="N13949" s="130"/>
    </row>
    <row r="13950" spans="1:15" ht="11.25" customHeight="1" x14ac:dyDescent="0.2">
      <c r="A13950" s="120">
        <v>2026</v>
      </c>
      <c r="B13950" s="120">
        <v>3</v>
      </c>
      <c r="C13950" s="120">
        <v>5</v>
      </c>
      <c r="D13950" s="208">
        <f t="shared" si="2141"/>
        <v>46086</v>
      </c>
      <c r="E13950" s="209">
        <f>DATE(A13950,B13950,C13950)</f>
        <v>46086</v>
      </c>
      <c r="F13950" s="515"/>
      <c r="G13950" s="132" t="s">
        <v>1209</v>
      </c>
      <c r="H13950" s="132"/>
      <c r="J13950" s="120" t="s">
        <v>457</v>
      </c>
      <c r="K13950" s="120"/>
      <c r="L13950" s="207">
        <f>K13949-L13951</f>
        <v>100540.27411764709</v>
      </c>
      <c r="M13950" s="455"/>
    </row>
    <row r="13951" spans="1:15" ht="11.25" customHeight="1" x14ac:dyDescent="0.2">
      <c r="A13951" s="191">
        <v>2026</v>
      </c>
      <c r="B13951" s="191">
        <v>3</v>
      </c>
      <c r="C13951" s="191">
        <v>5</v>
      </c>
      <c r="D13951" s="192">
        <f t="shared" si="2141"/>
        <v>46086</v>
      </c>
      <c r="E13951" s="291">
        <f t="shared" ref="E13951:E13956" si="2152">DATE(A13951,B13951,C13951)</f>
        <v>46086</v>
      </c>
      <c r="F13951" s="514"/>
      <c r="G13951" s="194" t="s">
        <v>1209</v>
      </c>
      <c r="H13951" s="195"/>
      <c r="I13951" s="195" t="s">
        <v>1253</v>
      </c>
      <c r="J13951" s="191" t="s">
        <v>46</v>
      </c>
      <c r="K13951" s="196"/>
      <c r="L13951" s="196">
        <v>569728.22</v>
      </c>
    </row>
    <row r="13952" spans="1:15" x14ac:dyDescent="0.2">
      <c r="A13952" s="197">
        <v>2026</v>
      </c>
      <c r="B13952" s="197">
        <v>3</v>
      </c>
      <c r="C13952" s="197">
        <v>5</v>
      </c>
      <c r="D13952" s="198">
        <f t="shared" si="2141"/>
        <v>46086</v>
      </c>
      <c r="E13952" s="209">
        <f t="shared" si="2152"/>
        <v>46086</v>
      </c>
      <c r="F13952" s="513" t="s">
        <v>1210</v>
      </c>
      <c r="G13952" s="200" t="s">
        <v>1209</v>
      </c>
      <c r="H13952" s="201"/>
      <c r="I13952" s="201"/>
      <c r="J13952" s="197" t="s">
        <v>46</v>
      </c>
      <c r="K13952" s="202">
        <v>1500000</v>
      </c>
      <c r="L13952" s="202"/>
    </row>
    <row r="13953" spans="1:13" x14ac:dyDescent="0.2">
      <c r="A13953" s="120">
        <v>2026</v>
      </c>
      <c r="B13953" s="120">
        <v>3</v>
      </c>
      <c r="C13953" s="120">
        <v>5</v>
      </c>
      <c r="D13953" s="208">
        <f t="shared" si="2141"/>
        <v>46086</v>
      </c>
      <c r="E13953" s="209">
        <f t="shared" si="2152"/>
        <v>46086</v>
      </c>
      <c r="F13953" s="515"/>
      <c r="G13953" s="132" t="s">
        <v>1209</v>
      </c>
      <c r="J13953" s="120" t="s">
        <v>16</v>
      </c>
      <c r="K13953" s="207"/>
      <c r="L13953" s="207">
        <v>1063080</v>
      </c>
    </row>
    <row r="13954" spans="1:13" x14ac:dyDescent="0.2">
      <c r="A13954" s="191">
        <v>2026</v>
      </c>
      <c r="B13954" s="191">
        <v>3</v>
      </c>
      <c r="C13954" s="191">
        <v>5</v>
      </c>
      <c r="D13954" s="192">
        <f t="shared" si="2141"/>
        <v>46086</v>
      </c>
      <c r="E13954" s="193">
        <f t="shared" si="2152"/>
        <v>46086</v>
      </c>
      <c r="F13954" s="514"/>
      <c r="G13954" s="194" t="s">
        <v>1209</v>
      </c>
      <c r="H13954" s="195"/>
      <c r="I13954" s="195"/>
      <c r="J13954" s="191" t="s">
        <v>47</v>
      </c>
      <c r="K13954" s="196"/>
      <c r="L13954" s="196">
        <v>436920</v>
      </c>
    </row>
    <row r="13955" spans="1:13" ht="11.25" customHeight="1" x14ac:dyDescent="0.2">
      <c r="A13955" s="197">
        <v>2026</v>
      </c>
      <c r="B13955" s="197">
        <v>3</v>
      </c>
      <c r="C13955" s="197">
        <v>5</v>
      </c>
      <c r="D13955" s="198">
        <f t="shared" si="2141"/>
        <v>46086</v>
      </c>
      <c r="E13955" s="290">
        <f t="shared" si="2152"/>
        <v>46086</v>
      </c>
      <c r="F13955" s="513" t="s">
        <v>2035</v>
      </c>
      <c r="G13955" s="200" t="s">
        <v>1209</v>
      </c>
      <c r="H13955" s="201"/>
      <c r="I13955" s="201" t="s">
        <v>1253</v>
      </c>
      <c r="J13955" s="197" t="s">
        <v>46</v>
      </c>
      <c r="K13955" s="202">
        <v>142333.24</v>
      </c>
      <c r="L13955" s="202"/>
      <c r="M13955" s="130"/>
    </row>
    <row r="13956" spans="1:13" ht="11.25" customHeight="1" x14ac:dyDescent="0.2">
      <c r="A13956" s="191">
        <v>2026</v>
      </c>
      <c r="B13956" s="191">
        <v>3</v>
      </c>
      <c r="C13956" s="191">
        <v>5</v>
      </c>
      <c r="D13956" s="192">
        <f t="shared" si="2141"/>
        <v>46086</v>
      </c>
      <c r="E13956" s="291">
        <f t="shared" si="2152"/>
        <v>46086</v>
      </c>
      <c r="F13956" s="527"/>
      <c r="G13956" s="194" t="s">
        <v>1209</v>
      </c>
      <c r="H13956" s="195"/>
      <c r="I13956" s="195" t="s">
        <v>1253</v>
      </c>
      <c r="J13956" s="191" t="s">
        <v>113</v>
      </c>
      <c r="K13956" s="196"/>
      <c r="L13956" s="196">
        <v>142333.24</v>
      </c>
    </row>
    <row r="13957" spans="1:13" x14ac:dyDescent="0.2">
      <c r="A13957" s="424">
        <v>2026</v>
      </c>
      <c r="B13957" s="424">
        <v>3</v>
      </c>
      <c r="C13957" s="424">
        <v>5</v>
      </c>
      <c r="D13957" s="425">
        <f t="shared" ref="D13957:D13993" si="2153">DATE(A13957,B13957,C13957)</f>
        <v>46086</v>
      </c>
      <c r="E13957" s="384">
        <f t="shared" si="2150"/>
        <v>46086</v>
      </c>
      <c r="F13957" s="516" t="s">
        <v>1850</v>
      </c>
      <c r="G13957" s="426" t="s">
        <v>1209</v>
      </c>
      <c r="H13957" s="427"/>
      <c r="I13957" s="427"/>
      <c r="J13957" s="428" t="s">
        <v>81</v>
      </c>
      <c r="K13957" s="429">
        <v>1595.81736263736</v>
      </c>
      <c r="L13957" s="429"/>
      <c r="M13957" s="455"/>
    </row>
    <row r="13958" spans="1:13" x14ac:dyDescent="0.2">
      <c r="A13958" s="389">
        <v>2026</v>
      </c>
      <c r="B13958" s="389">
        <v>3</v>
      </c>
      <c r="C13958" s="389">
        <v>5</v>
      </c>
      <c r="D13958" s="390">
        <f t="shared" si="2153"/>
        <v>46086</v>
      </c>
      <c r="E13958" s="391">
        <f t="shared" si="2150"/>
        <v>46086</v>
      </c>
      <c r="F13958" s="517"/>
      <c r="G13958" s="392" t="s">
        <v>1209</v>
      </c>
      <c r="H13958" s="393"/>
      <c r="I13958" s="393"/>
      <c r="J13958" s="394" t="s">
        <v>1847</v>
      </c>
      <c r="K13958" s="423"/>
      <c r="L13958" s="423">
        <f>K13957</f>
        <v>1595.81736263736</v>
      </c>
    </row>
    <row r="13959" spans="1:13" ht="11.25" customHeight="1" x14ac:dyDescent="0.2">
      <c r="A13959" s="382">
        <v>2026</v>
      </c>
      <c r="B13959" s="382">
        <v>3</v>
      </c>
      <c r="C13959" s="382">
        <v>5</v>
      </c>
      <c r="D13959" s="383">
        <f t="shared" si="2153"/>
        <v>46086</v>
      </c>
      <c r="E13959" s="384">
        <f t="shared" si="2150"/>
        <v>46086</v>
      </c>
      <c r="F13959" s="516" t="s">
        <v>1892</v>
      </c>
      <c r="G13959" s="385" t="s">
        <v>1209</v>
      </c>
      <c r="H13959" s="386"/>
      <c r="I13959" s="386"/>
      <c r="J13959" s="387" t="s">
        <v>173</v>
      </c>
      <c r="K13959" s="388">
        <v>590.60299150277785</v>
      </c>
      <c r="L13959" s="388"/>
      <c r="M13959" s="455"/>
    </row>
    <row r="13960" spans="1:13" ht="11.25" customHeight="1" x14ac:dyDescent="0.2">
      <c r="A13960" s="389">
        <v>2026</v>
      </c>
      <c r="B13960" s="389">
        <v>3</v>
      </c>
      <c r="C13960" s="389">
        <v>5</v>
      </c>
      <c r="D13960" s="390">
        <f t="shared" si="2153"/>
        <v>46086</v>
      </c>
      <c r="E13960" s="391">
        <f t="shared" si="2150"/>
        <v>46086</v>
      </c>
      <c r="F13960" s="517"/>
      <c r="G13960" s="392" t="s">
        <v>1209</v>
      </c>
      <c r="H13960" s="393"/>
      <c r="I13960" s="393"/>
      <c r="J13960" s="394" t="s">
        <v>43</v>
      </c>
      <c r="K13960" s="388"/>
      <c r="L13960" s="423">
        <f>K13959</f>
        <v>590.60299150277785</v>
      </c>
    </row>
    <row r="13961" spans="1:13" ht="11.25" customHeight="1" x14ac:dyDescent="0.2">
      <c r="A13961" s="344">
        <v>2026</v>
      </c>
      <c r="B13961" s="344">
        <v>3</v>
      </c>
      <c r="C13961" s="344">
        <v>5</v>
      </c>
      <c r="D13961" s="345">
        <f t="shared" si="2153"/>
        <v>46086</v>
      </c>
      <c r="E13961" s="346">
        <f t="shared" si="2150"/>
        <v>46086</v>
      </c>
      <c r="F13961" s="518" t="s">
        <v>1982</v>
      </c>
      <c r="G13961" s="347" t="s">
        <v>1245</v>
      </c>
      <c r="H13961" s="348"/>
      <c r="I13961" s="348" t="s">
        <v>1253</v>
      </c>
      <c r="J13961" s="344" t="s">
        <v>1978</v>
      </c>
      <c r="K13961" s="349">
        <v>20878.176795580108</v>
      </c>
      <c r="L13961" s="349"/>
      <c r="M13961" s="455"/>
    </row>
    <row r="13962" spans="1:13" ht="11.25" customHeight="1" x14ac:dyDescent="0.2">
      <c r="A13962" s="350">
        <v>2026</v>
      </c>
      <c r="B13962" s="350">
        <v>3</v>
      </c>
      <c r="C13962" s="350">
        <v>5</v>
      </c>
      <c r="D13962" s="351">
        <f t="shared" si="2153"/>
        <v>46086</v>
      </c>
      <c r="E13962" s="352">
        <f t="shared" si="2150"/>
        <v>46086</v>
      </c>
      <c r="F13962" s="519"/>
      <c r="G13962" s="353" t="s">
        <v>1245</v>
      </c>
      <c r="H13962" s="354"/>
      <c r="I13962" s="354" t="s">
        <v>1253</v>
      </c>
      <c r="J13962" s="350" t="s">
        <v>1979</v>
      </c>
      <c r="K13962" s="355"/>
      <c r="L13962" s="355">
        <f>K13961</f>
        <v>20878.176795580108</v>
      </c>
    </row>
    <row r="13963" spans="1:13" ht="11.25" customHeight="1" x14ac:dyDescent="0.2">
      <c r="A13963" s="344">
        <v>2026</v>
      </c>
      <c r="B13963" s="344">
        <v>3</v>
      </c>
      <c r="C13963" s="344">
        <v>5</v>
      </c>
      <c r="D13963" s="345">
        <f t="shared" si="2153"/>
        <v>46086</v>
      </c>
      <c r="E13963" s="346">
        <f t="shared" si="2150"/>
        <v>46086</v>
      </c>
      <c r="F13963" s="518" t="s">
        <v>2009</v>
      </c>
      <c r="G13963" s="347" t="s">
        <v>1245</v>
      </c>
      <c r="H13963" s="348"/>
      <c r="I13963" s="348" t="s">
        <v>1253</v>
      </c>
      <c r="J13963" s="344" t="s">
        <v>2004</v>
      </c>
      <c r="K13963" s="349">
        <v>7098.9014285714302</v>
      </c>
      <c r="L13963" s="349"/>
      <c r="M13963" s="455"/>
    </row>
    <row r="13964" spans="1:13" ht="11.25" customHeight="1" x14ac:dyDescent="0.2">
      <c r="A13964" s="350">
        <v>2026</v>
      </c>
      <c r="B13964" s="350">
        <v>3</v>
      </c>
      <c r="C13964" s="350">
        <v>5</v>
      </c>
      <c r="D13964" s="351">
        <f t="shared" si="2153"/>
        <v>46086</v>
      </c>
      <c r="E13964" s="352">
        <f t="shared" si="2150"/>
        <v>46086</v>
      </c>
      <c r="F13964" s="519"/>
      <c r="G13964" s="353" t="s">
        <v>1245</v>
      </c>
      <c r="H13964" s="354"/>
      <c r="I13964" s="354" t="s">
        <v>1253</v>
      </c>
      <c r="J13964" s="350" t="s">
        <v>2008</v>
      </c>
      <c r="K13964" s="355"/>
      <c r="L13964" s="355">
        <f t="shared" ref="L13964" si="2154">K13963</f>
        <v>7098.9014285714302</v>
      </c>
    </row>
    <row r="13965" spans="1:13" ht="11.25" customHeight="1" x14ac:dyDescent="0.2">
      <c r="A13965" s="344">
        <v>2026</v>
      </c>
      <c r="B13965" s="344">
        <v>3</v>
      </c>
      <c r="C13965" s="344">
        <v>5</v>
      </c>
      <c r="D13965" s="345">
        <f t="shared" si="2153"/>
        <v>46086</v>
      </c>
      <c r="E13965" s="346">
        <f t="shared" si="2150"/>
        <v>46086</v>
      </c>
      <c r="F13965" s="518" t="s">
        <v>2009</v>
      </c>
      <c r="G13965" s="347" t="s">
        <v>1245</v>
      </c>
      <c r="H13965" s="348"/>
      <c r="I13965" s="348" t="s">
        <v>1253</v>
      </c>
      <c r="J13965" s="344" t="s">
        <v>2004</v>
      </c>
      <c r="K13965" s="349">
        <v>7098.9014285714302</v>
      </c>
      <c r="L13965" s="349"/>
      <c r="M13965" s="455"/>
    </row>
    <row r="13966" spans="1:13" ht="11.25" customHeight="1" x14ac:dyDescent="0.2">
      <c r="A13966" s="350">
        <v>2026</v>
      </c>
      <c r="B13966" s="350">
        <v>3</v>
      </c>
      <c r="C13966" s="350">
        <v>5</v>
      </c>
      <c r="D13966" s="351">
        <f t="shared" si="2153"/>
        <v>46086</v>
      </c>
      <c r="E13966" s="352">
        <f t="shared" si="2150"/>
        <v>46086</v>
      </c>
      <c r="F13966" s="519"/>
      <c r="G13966" s="353" t="s">
        <v>1245</v>
      </c>
      <c r="H13966" s="354"/>
      <c r="I13966" s="354" t="s">
        <v>1253</v>
      </c>
      <c r="J13966" s="350" t="s">
        <v>2008</v>
      </c>
      <c r="K13966" s="355"/>
      <c r="L13966" s="355">
        <f t="shared" ref="L13966" si="2155">K13965</f>
        <v>7098.9014285714302</v>
      </c>
    </row>
    <row r="13967" spans="1:13" ht="11.25" customHeight="1" x14ac:dyDescent="0.2">
      <c r="A13967" s="344">
        <v>2026</v>
      </c>
      <c r="B13967" s="344">
        <v>3</v>
      </c>
      <c r="C13967" s="344">
        <v>5</v>
      </c>
      <c r="D13967" s="345">
        <f t="shared" si="2153"/>
        <v>46086</v>
      </c>
      <c r="E13967" s="346">
        <f t="shared" si="2150"/>
        <v>46086</v>
      </c>
      <c r="F13967" s="518" t="s">
        <v>2088</v>
      </c>
      <c r="G13967" s="347" t="s">
        <v>1245</v>
      </c>
      <c r="H13967" s="348"/>
      <c r="I13967" s="348" t="s">
        <v>1253</v>
      </c>
      <c r="J13967" s="344" t="s">
        <v>2086</v>
      </c>
      <c r="K13967" s="349">
        <v>1789.83516483516</v>
      </c>
      <c r="L13967" s="349"/>
      <c r="M13967" s="455"/>
    </row>
    <row r="13968" spans="1:13" ht="11.25" customHeight="1" x14ac:dyDescent="0.2">
      <c r="A13968" s="350">
        <v>2026</v>
      </c>
      <c r="B13968" s="350">
        <v>3</v>
      </c>
      <c r="C13968" s="350">
        <v>5</v>
      </c>
      <c r="D13968" s="351">
        <f t="shared" si="2153"/>
        <v>46086</v>
      </c>
      <c r="E13968" s="352">
        <f t="shared" si="2150"/>
        <v>46086</v>
      </c>
      <c r="F13968" s="519"/>
      <c r="G13968" s="353" t="s">
        <v>1245</v>
      </c>
      <c r="H13968" s="354"/>
      <c r="I13968" s="354" t="s">
        <v>1253</v>
      </c>
      <c r="J13968" s="350" t="s">
        <v>2089</v>
      </c>
      <c r="K13968" s="355"/>
      <c r="L13968" s="355">
        <f>K13967</f>
        <v>1789.83516483516</v>
      </c>
    </row>
    <row r="13969" spans="1:16" ht="11.25" customHeight="1" x14ac:dyDescent="0.2">
      <c r="A13969" s="344">
        <v>2026</v>
      </c>
      <c r="B13969" s="344">
        <v>3</v>
      </c>
      <c r="C13969" s="344">
        <v>5</v>
      </c>
      <c r="D13969" s="345">
        <f t="shared" si="2153"/>
        <v>46086</v>
      </c>
      <c r="E13969" s="346">
        <f>DATE(A13969,B13969,C13969)</f>
        <v>46086</v>
      </c>
      <c r="F13969" s="518" t="s">
        <v>1988</v>
      </c>
      <c r="G13969" s="347" t="s">
        <v>1245</v>
      </c>
      <c r="H13969" s="348"/>
      <c r="I13969" s="348" t="s">
        <v>1253</v>
      </c>
      <c r="J13969" s="344" t="s">
        <v>113</v>
      </c>
      <c r="K13969" s="349">
        <v>4692.3071428571402</v>
      </c>
      <c r="L13969" s="349"/>
      <c r="M13969" s="455"/>
    </row>
    <row r="13970" spans="1:16" ht="11.25" customHeight="1" x14ac:dyDescent="0.2">
      <c r="A13970" s="350">
        <v>2026</v>
      </c>
      <c r="B13970" s="350">
        <v>3</v>
      </c>
      <c r="C13970" s="350">
        <v>5</v>
      </c>
      <c r="D13970" s="351">
        <f t="shared" si="2153"/>
        <v>46086</v>
      </c>
      <c r="E13970" s="352">
        <f>DATE(A13970,B13970,C13970)</f>
        <v>46086</v>
      </c>
      <c r="F13970" s="519"/>
      <c r="G13970" s="353" t="s">
        <v>1245</v>
      </c>
      <c r="H13970" s="354"/>
      <c r="I13970" s="354" t="s">
        <v>1253</v>
      </c>
      <c r="J13970" s="350" t="s">
        <v>153</v>
      </c>
      <c r="K13970" s="355"/>
      <c r="L13970" s="355">
        <f t="shared" ref="L13970" si="2156">K13969</f>
        <v>4692.3071428571402</v>
      </c>
    </row>
    <row r="13971" spans="1:16" ht="11.25" customHeight="1" x14ac:dyDescent="0.2">
      <c r="A13971" s="344">
        <v>2026</v>
      </c>
      <c r="B13971" s="344">
        <v>3</v>
      </c>
      <c r="C13971" s="344">
        <v>5</v>
      </c>
      <c r="D13971" s="345">
        <f t="shared" si="2153"/>
        <v>46086</v>
      </c>
      <c r="E13971" s="346">
        <f t="shared" ref="E13971:E13977" si="2157">DATE(A13971,B13971,C13971)</f>
        <v>46086</v>
      </c>
      <c r="F13971" s="518" t="s">
        <v>1989</v>
      </c>
      <c r="G13971" s="347" t="s">
        <v>1245</v>
      </c>
      <c r="H13971" s="348"/>
      <c r="I13971" s="348" t="s">
        <v>1253</v>
      </c>
      <c r="J13971" s="344" t="s">
        <v>113</v>
      </c>
      <c r="K13971" s="349">
        <v>3351.6483516483499</v>
      </c>
      <c r="L13971" s="349"/>
      <c r="M13971" s="455"/>
    </row>
    <row r="13972" spans="1:16" ht="11.25" customHeight="1" x14ac:dyDescent="0.2">
      <c r="A13972" s="350">
        <v>2026</v>
      </c>
      <c r="B13972" s="350">
        <v>3</v>
      </c>
      <c r="C13972" s="350">
        <v>5</v>
      </c>
      <c r="D13972" s="351">
        <f t="shared" si="2153"/>
        <v>46086</v>
      </c>
      <c r="E13972" s="352">
        <f t="shared" si="2157"/>
        <v>46086</v>
      </c>
      <c r="F13972" s="519"/>
      <c r="G13972" s="353" t="s">
        <v>1245</v>
      </c>
      <c r="H13972" s="354"/>
      <c r="I13972" s="354" t="s">
        <v>1253</v>
      </c>
      <c r="J13972" s="350" t="s">
        <v>153</v>
      </c>
      <c r="K13972" s="355"/>
      <c r="L13972" s="355">
        <f t="shared" ref="L13972" si="2158">K13971</f>
        <v>3351.6483516483499</v>
      </c>
    </row>
    <row r="13973" spans="1:16" ht="11.25" customHeight="1" x14ac:dyDescent="0.2">
      <c r="A13973" s="344">
        <v>2026</v>
      </c>
      <c r="B13973" s="344">
        <v>3</v>
      </c>
      <c r="C13973" s="344">
        <v>5</v>
      </c>
      <c r="D13973" s="345">
        <f t="shared" si="2153"/>
        <v>46086</v>
      </c>
      <c r="E13973" s="346">
        <f t="shared" si="2157"/>
        <v>46086</v>
      </c>
      <c r="F13973" s="518" t="s">
        <v>1990</v>
      </c>
      <c r="G13973" s="347" t="s">
        <v>1245</v>
      </c>
      <c r="H13973" s="348"/>
      <c r="I13973" s="348" t="s">
        <v>1253</v>
      </c>
      <c r="J13973" s="344" t="s">
        <v>113</v>
      </c>
      <c r="K13973" s="349">
        <v>10054.945714285701</v>
      </c>
      <c r="L13973" s="349"/>
      <c r="M13973" s="455"/>
      <c r="N13973" s="251"/>
      <c r="O13973" s="251"/>
      <c r="P13973" s="251"/>
    </row>
    <row r="13974" spans="1:16" ht="11.25" customHeight="1" x14ac:dyDescent="0.2">
      <c r="A13974" s="350">
        <v>2026</v>
      </c>
      <c r="B13974" s="350">
        <v>3</v>
      </c>
      <c r="C13974" s="350">
        <v>5</v>
      </c>
      <c r="D13974" s="351">
        <f t="shared" si="2153"/>
        <v>46086</v>
      </c>
      <c r="E13974" s="352">
        <f t="shared" si="2157"/>
        <v>46086</v>
      </c>
      <c r="F13974" s="519"/>
      <c r="G13974" s="353" t="s">
        <v>1245</v>
      </c>
      <c r="H13974" s="354"/>
      <c r="I13974" s="354" t="s">
        <v>1253</v>
      </c>
      <c r="J13974" s="350" t="s">
        <v>153</v>
      </c>
      <c r="K13974" s="355"/>
      <c r="L13974" s="355">
        <f t="shared" ref="L13974" si="2159">K13973</f>
        <v>10054.945714285701</v>
      </c>
      <c r="M13974" s="455"/>
    </row>
    <row r="13975" spans="1:16" ht="11.25" customHeight="1" x14ac:dyDescent="0.2">
      <c r="A13975" s="344">
        <v>2026</v>
      </c>
      <c r="B13975" s="344">
        <v>3</v>
      </c>
      <c r="C13975" s="344">
        <v>5</v>
      </c>
      <c r="D13975" s="345">
        <f t="shared" si="2153"/>
        <v>46086</v>
      </c>
      <c r="E13975" s="346">
        <f t="shared" si="2157"/>
        <v>46086</v>
      </c>
      <c r="F13975" s="518" t="s">
        <v>2107</v>
      </c>
      <c r="G13975" s="347" t="s">
        <v>1245</v>
      </c>
      <c r="H13975" s="348"/>
      <c r="I13975" s="348" t="s">
        <v>1253</v>
      </c>
      <c r="J13975" s="344" t="s">
        <v>113</v>
      </c>
      <c r="K13975" s="349">
        <v>12370.879120879101</v>
      </c>
      <c r="L13975" s="349"/>
      <c r="M13975" s="455"/>
      <c r="N13975" s="251"/>
      <c r="O13975" s="251"/>
      <c r="P13975" s="251"/>
    </row>
    <row r="13976" spans="1:16" ht="11.25" customHeight="1" x14ac:dyDescent="0.2">
      <c r="A13976" s="350">
        <v>2026</v>
      </c>
      <c r="B13976" s="350">
        <v>3</v>
      </c>
      <c r="C13976" s="350">
        <v>5</v>
      </c>
      <c r="D13976" s="351">
        <f t="shared" si="2153"/>
        <v>46086</v>
      </c>
      <c r="E13976" s="352">
        <f t="shared" si="2157"/>
        <v>46086</v>
      </c>
      <c r="F13976" s="519"/>
      <c r="G13976" s="353" t="s">
        <v>1245</v>
      </c>
      <c r="H13976" s="354"/>
      <c r="I13976" s="354" t="s">
        <v>1253</v>
      </c>
      <c r="J13976" s="350" t="s">
        <v>153</v>
      </c>
      <c r="K13976" s="355"/>
      <c r="L13976" s="355">
        <f t="shared" ref="L13976" si="2160">K13975</f>
        <v>12370.879120879101</v>
      </c>
    </row>
    <row r="13977" spans="1:16" ht="11.25" customHeight="1" x14ac:dyDescent="0.2">
      <c r="A13977" s="210">
        <v>2026</v>
      </c>
      <c r="B13977" s="210">
        <v>3</v>
      </c>
      <c r="C13977" s="210">
        <v>5</v>
      </c>
      <c r="D13977" s="211">
        <f t="shared" si="2153"/>
        <v>46086</v>
      </c>
      <c r="E13977" s="238">
        <f t="shared" si="2157"/>
        <v>46086</v>
      </c>
      <c r="F13977" s="520" t="s">
        <v>1857</v>
      </c>
      <c r="G13977" s="213" t="s">
        <v>1245</v>
      </c>
      <c r="H13977" s="214"/>
      <c r="I13977" s="214" t="s">
        <v>1253</v>
      </c>
      <c r="J13977" s="210" t="s">
        <v>1284</v>
      </c>
      <c r="K13977" s="215">
        <v>334.54448777029398</v>
      </c>
      <c r="L13977" s="215"/>
      <c r="M13977" s="455"/>
    </row>
    <row r="13978" spans="1:16" ht="11.25" customHeight="1" x14ac:dyDescent="0.2">
      <c r="A13978" s="242">
        <v>2026</v>
      </c>
      <c r="B13978" s="242">
        <v>3</v>
      </c>
      <c r="C13978" s="242">
        <v>5</v>
      </c>
      <c r="D13978" s="243">
        <f t="shared" si="2153"/>
        <v>46086</v>
      </c>
      <c r="E13978" s="244">
        <f>DATE(A13978,B13978,C13978)</f>
        <v>46086</v>
      </c>
      <c r="F13978" s="524"/>
      <c r="G13978" s="245" t="s">
        <v>1245</v>
      </c>
      <c r="H13978" s="246"/>
      <c r="I13978" s="246"/>
      <c r="J13978" s="242" t="s">
        <v>1582</v>
      </c>
      <c r="K13978" s="247"/>
      <c r="L13978" s="247">
        <f>K13977</f>
        <v>334.54448777029398</v>
      </c>
    </row>
    <row r="13979" spans="1:16" ht="11.25" customHeight="1" x14ac:dyDescent="0.2">
      <c r="A13979" s="210">
        <v>2026</v>
      </c>
      <c r="B13979" s="210">
        <v>3</v>
      </c>
      <c r="C13979" s="210">
        <v>5</v>
      </c>
      <c r="D13979" s="211">
        <f t="shared" si="2153"/>
        <v>46086</v>
      </c>
      <c r="E13979" s="238">
        <f t="shared" ref="E13979:E14016" si="2161">DATE(A13979,B13979,C13979)</f>
        <v>46086</v>
      </c>
      <c r="F13979" s="520" t="s">
        <v>2055</v>
      </c>
      <c r="G13979" s="213" t="s">
        <v>1245</v>
      </c>
      <c r="H13979" s="214"/>
      <c r="I13979" s="214" t="s">
        <v>1253</v>
      </c>
      <c r="J13979" s="210" t="s">
        <v>58</v>
      </c>
      <c r="K13979" s="215">
        <v>4752.3015349999996</v>
      </c>
      <c r="L13979" s="215"/>
    </row>
    <row r="13980" spans="1:16" ht="11.25" customHeight="1" x14ac:dyDescent="0.2">
      <c r="A13980" s="216">
        <v>2026</v>
      </c>
      <c r="B13980" s="216">
        <v>3</v>
      </c>
      <c r="C13980" s="216">
        <v>5</v>
      </c>
      <c r="D13980" s="217">
        <f t="shared" si="2153"/>
        <v>46086</v>
      </c>
      <c r="E13980" s="239">
        <f t="shared" si="2161"/>
        <v>46086</v>
      </c>
      <c r="F13980" s="521"/>
      <c r="G13980" s="219" t="s">
        <v>1245</v>
      </c>
      <c r="H13980" s="220"/>
      <c r="I13980" s="220" t="s">
        <v>1253</v>
      </c>
      <c r="J13980" s="216" t="s">
        <v>153</v>
      </c>
      <c r="K13980" s="221"/>
      <c r="L13980" s="221">
        <f>K13979</f>
        <v>4752.3015349999996</v>
      </c>
    </row>
    <row r="13981" spans="1:16" ht="11.25" customHeight="1" x14ac:dyDescent="0.2">
      <c r="A13981" s="312">
        <v>2026</v>
      </c>
      <c r="B13981" s="312">
        <v>3</v>
      </c>
      <c r="C13981" s="312">
        <v>5</v>
      </c>
      <c r="D13981" s="313">
        <f t="shared" si="2153"/>
        <v>46086</v>
      </c>
      <c r="E13981" s="314">
        <f t="shared" si="2161"/>
        <v>46086</v>
      </c>
      <c r="F13981" s="522" t="s">
        <v>1595</v>
      </c>
      <c r="G13981" s="315" t="s">
        <v>1245</v>
      </c>
      <c r="H13981" s="316"/>
      <c r="I13981" s="316" t="s">
        <v>1253</v>
      </c>
      <c r="J13981" s="312" t="s">
        <v>1461</v>
      </c>
      <c r="K13981" s="317">
        <v>97177.532000184059</v>
      </c>
      <c r="L13981" s="317"/>
      <c r="M13981" s="328"/>
    </row>
    <row r="13982" spans="1:16" ht="11.25" customHeight="1" x14ac:dyDescent="0.2">
      <c r="A13982" s="486">
        <v>2026</v>
      </c>
      <c r="B13982" s="486">
        <v>3</v>
      </c>
      <c r="C13982" s="486">
        <v>5</v>
      </c>
      <c r="D13982" s="487">
        <f t="shared" si="2153"/>
        <v>46086</v>
      </c>
      <c r="E13982" s="488">
        <f t="shared" si="2161"/>
        <v>46086</v>
      </c>
      <c r="F13982" s="525"/>
      <c r="G13982" s="489" t="s">
        <v>1245</v>
      </c>
      <c r="H13982" s="490"/>
      <c r="I13982" s="490" t="s">
        <v>1253</v>
      </c>
      <c r="J13982" s="486" t="s">
        <v>1459</v>
      </c>
      <c r="K13982" s="491"/>
      <c r="L13982" s="491">
        <f>K13981</f>
        <v>97177.532000184059</v>
      </c>
      <c r="M13982" s="328"/>
    </row>
    <row r="13983" spans="1:16" ht="11.25" customHeight="1" x14ac:dyDescent="0.2">
      <c r="A13983" s="222">
        <v>2026</v>
      </c>
      <c r="B13983" s="222">
        <v>3</v>
      </c>
      <c r="C13983" s="222">
        <v>5</v>
      </c>
      <c r="D13983" s="223">
        <f t="shared" si="2153"/>
        <v>46086</v>
      </c>
      <c r="E13983" s="240">
        <f t="shared" si="2161"/>
        <v>46086</v>
      </c>
      <c r="F13983" s="511" t="s">
        <v>1244</v>
      </c>
      <c r="G13983" s="225" t="s">
        <v>1245</v>
      </c>
      <c r="H13983" s="226"/>
      <c r="I13983" s="226" t="s">
        <v>1253</v>
      </c>
      <c r="J13983" s="222" t="s">
        <v>72</v>
      </c>
      <c r="K13983" s="227">
        <v>2634.5</v>
      </c>
      <c r="L13983" s="227"/>
      <c r="M13983" s="328"/>
    </row>
    <row r="13984" spans="1:16" ht="11.25" customHeight="1" x14ac:dyDescent="0.2">
      <c r="A13984" s="228">
        <v>2026</v>
      </c>
      <c r="B13984" s="228">
        <v>3</v>
      </c>
      <c r="C13984" s="228">
        <v>5</v>
      </c>
      <c r="D13984" s="229">
        <f t="shared" si="2153"/>
        <v>46086</v>
      </c>
      <c r="E13984" s="241">
        <f t="shared" si="2161"/>
        <v>46086</v>
      </c>
      <c r="F13984" s="512"/>
      <c r="G13984" s="231" t="s">
        <v>1245</v>
      </c>
      <c r="H13984" s="232"/>
      <c r="I13984" s="232" t="s">
        <v>1253</v>
      </c>
      <c r="J13984" s="228" t="s">
        <v>87</v>
      </c>
      <c r="K13984" s="233"/>
      <c r="L13984" s="233">
        <f>K13983</f>
        <v>2634.5</v>
      </c>
    </row>
    <row r="13985" spans="1:15" ht="11.25" customHeight="1" x14ac:dyDescent="0.2">
      <c r="A13985" s="492">
        <v>2026</v>
      </c>
      <c r="B13985" s="492">
        <v>3</v>
      </c>
      <c r="C13985" s="492">
        <v>5</v>
      </c>
      <c r="D13985" s="493">
        <f t="shared" si="2153"/>
        <v>46086</v>
      </c>
      <c r="E13985" s="494">
        <f t="shared" si="2161"/>
        <v>46086</v>
      </c>
      <c r="F13985" s="526" t="s">
        <v>2138</v>
      </c>
      <c r="G13985" s="495" t="s">
        <v>1245</v>
      </c>
      <c r="H13985" s="496"/>
      <c r="I13985" s="496" t="s">
        <v>1253</v>
      </c>
      <c r="J13985" s="492" t="s">
        <v>75</v>
      </c>
      <c r="K13985" s="497">
        <v>517.58912087912097</v>
      </c>
      <c r="L13985" s="497"/>
      <c r="M13985" s="455"/>
    </row>
    <row r="13986" spans="1:15" ht="11.25" customHeight="1" x14ac:dyDescent="0.2">
      <c r="A13986" s="228">
        <v>2026</v>
      </c>
      <c r="B13986" s="228">
        <v>3</v>
      </c>
      <c r="C13986" s="228">
        <v>5</v>
      </c>
      <c r="D13986" s="229">
        <f t="shared" si="2153"/>
        <v>46086</v>
      </c>
      <c r="E13986" s="241">
        <f t="shared" si="2161"/>
        <v>46086</v>
      </c>
      <c r="F13986" s="512"/>
      <c r="G13986" s="231" t="s">
        <v>1245</v>
      </c>
      <c r="H13986" s="232"/>
      <c r="I13986" s="232" t="s">
        <v>1253</v>
      </c>
      <c r="J13986" s="228" t="s">
        <v>55</v>
      </c>
      <c r="K13986" s="233"/>
      <c r="L13986" s="233">
        <f>K13985</f>
        <v>517.58912087912097</v>
      </c>
    </row>
    <row r="13987" spans="1:15" ht="11.25" customHeight="1" x14ac:dyDescent="0.2">
      <c r="A13987" s="222">
        <v>2026</v>
      </c>
      <c r="B13987" s="222">
        <v>3</v>
      </c>
      <c r="C13987" s="222">
        <v>5</v>
      </c>
      <c r="D13987" s="223">
        <f t="shared" si="2153"/>
        <v>46086</v>
      </c>
      <c r="E13987" s="240">
        <f t="shared" si="2161"/>
        <v>46086</v>
      </c>
      <c r="F13987" s="511" t="s">
        <v>2137</v>
      </c>
      <c r="G13987" s="225" t="s">
        <v>1245</v>
      </c>
      <c r="H13987" s="226"/>
      <c r="I13987" s="226" t="s">
        <v>1253</v>
      </c>
      <c r="J13987" s="222" t="s">
        <v>77</v>
      </c>
      <c r="K13987" s="227">
        <v>7668.3940497445265</v>
      </c>
      <c r="L13987" s="227"/>
      <c r="M13987" s="478">
        <v>7668.3940497445265</v>
      </c>
    </row>
    <row r="13988" spans="1:15" ht="11.25" customHeight="1" x14ac:dyDescent="0.2">
      <c r="A13988" s="228">
        <v>2026</v>
      </c>
      <c r="B13988" s="228">
        <v>3</v>
      </c>
      <c r="C13988" s="228">
        <v>5</v>
      </c>
      <c r="D13988" s="229">
        <f t="shared" si="2153"/>
        <v>46086</v>
      </c>
      <c r="E13988" s="241">
        <f t="shared" si="2161"/>
        <v>46086</v>
      </c>
      <c r="F13988" s="512"/>
      <c r="G13988" s="231" t="s">
        <v>1245</v>
      </c>
      <c r="H13988" s="232"/>
      <c r="I13988" s="232" t="s">
        <v>1253</v>
      </c>
      <c r="J13988" s="228" t="s">
        <v>41</v>
      </c>
      <c r="K13988" s="233"/>
      <c r="L13988" s="233">
        <f>K13987</f>
        <v>7668.3940497445265</v>
      </c>
      <c r="M13988" s="328">
        <v>766.83940497445269</v>
      </c>
      <c r="N13988" s="251"/>
    </row>
    <row r="13989" spans="1:15" ht="11.25" customHeight="1" x14ac:dyDescent="0.2">
      <c r="A13989" s="222">
        <v>2026</v>
      </c>
      <c r="B13989" s="222">
        <v>3</v>
      </c>
      <c r="C13989" s="222">
        <v>5</v>
      </c>
      <c r="D13989" s="223">
        <f t="shared" si="2153"/>
        <v>46086</v>
      </c>
      <c r="E13989" s="240">
        <f t="shared" si="2161"/>
        <v>46086</v>
      </c>
      <c r="F13989" s="511" t="s">
        <v>2136</v>
      </c>
      <c r="G13989" s="225" t="s">
        <v>1245</v>
      </c>
      <c r="H13989" s="226"/>
      <c r="I13989" s="226" t="s">
        <v>1253</v>
      </c>
      <c r="J13989" s="222" t="s">
        <v>80</v>
      </c>
      <c r="K13989" s="227">
        <v>766.83940497445269</v>
      </c>
      <c r="L13989" s="227"/>
      <c r="M13989" s="328"/>
      <c r="N13989" s="251"/>
      <c r="O13989" s="251"/>
    </row>
    <row r="13990" spans="1:15" ht="11.25" customHeight="1" x14ac:dyDescent="0.2">
      <c r="A13990" s="228">
        <v>2026</v>
      </c>
      <c r="B13990" s="228">
        <v>3</v>
      </c>
      <c r="C13990" s="228">
        <v>5</v>
      </c>
      <c r="D13990" s="229">
        <f t="shared" si="2153"/>
        <v>46086</v>
      </c>
      <c r="E13990" s="241">
        <f t="shared" si="2161"/>
        <v>46086</v>
      </c>
      <c r="F13990" s="512"/>
      <c r="G13990" s="231" t="s">
        <v>1245</v>
      </c>
      <c r="H13990" s="232"/>
      <c r="I13990" s="232" t="s">
        <v>1253</v>
      </c>
      <c r="J13990" s="228" t="s">
        <v>42</v>
      </c>
      <c r="K13990" s="233"/>
      <c r="L13990" s="233">
        <f>K13989</f>
        <v>766.83940497445269</v>
      </c>
      <c r="N13990" s="251"/>
    </row>
    <row r="13991" spans="1:15" x14ac:dyDescent="0.2">
      <c r="A13991" s="197">
        <v>2026</v>
      </c>
      <c r="B13991" s="197">
        <v>3</v>
      </c>
      <c r="C13991" s="197">
        <v>8</v>
      </c>
      <c r="D13991" s="198">
        <f t="shared" si="2153"/>
        <v>46089</v>
      </c>
      <c r="E13991" s="209">
        <f t="shared" si="2161"/>
        <v>46089</v>
      </c>
      <c r="F13991" s="513" t="s">
        <v>1210</v>
      </c>
      <c r="G13991" s="200" t="s">
        <v>1209</v>
      </c>
      <c r="H13991" s="201"/>
      <c r="I13991" s="201"/>
      <c r="J13991" s="197" t="s">
        <v>46</v>
      </c>
      <c r="K13991" s="202">
        <v>100000</v>
      </c>
      <c r="L13991" s="202"/>
    </row>
    <row r="13992" spans="1:15" x14ac:dyDescent="0.2">
      <c r="A13992" s="120">
        <v>2026</v>
      </c>
      <c r="B13992" s="120">
        <v>3</v>
      </c>
      <c r="C13992" s="120">
        <v>8</v>
      </c>
      <c r="D13992" s="208">
        <f t="shared" si="2153"/>
        <v>46089</v>
      </c>
      <c r="E13992" s="209">
        <f t="shared" si="2161"/>
        <v>46089</v>
      </c>
      <c r="F13992" s="515"/>
      <c r="G13992" s="132" t="s">
        <v>1209</v>
      </c>
      <c r="J13992" s="120" t="s">
        <v>16</v>
      </c>
      <c r="K13992" s="207"/>
      <c r="L13992" s="207">
        <v>70800</v>
      </c>
    </row>
    <row r="13993" spans="1:15" x14ac:dyDescent="0.2">
      <c r="A13993" s="191">
        <v>2026</v>
      </c>
      <c r="B13993" s="191">
        <v>3</v>
      </c>
      <c r="C13993" s="191">
        <v>8</v>
      </c>
      <c r="D13993" s="192">
        <f t="shared" si="2153"/>
        <v>46089</v>
      </c>
      <c r="E13993" s="193">
        <f t="shared" si="2161"/>
        <v>46089</v>
      </c>
      <c r="F13993" s="514"/>
      <c r="G13993" s="194" t="s">
        <v>1209</v>
      </c>
      <c r="H13993" s="195"/>
      <c r="I13993" s="195"/>
      <c r="J13993" s="191" t="s">
        <v>47</v>
      </c>
      <c r="K13993" s="196"/>
      <c r="L13993" s="196">
        <v>29200</v>
      </c>
    </row>
    <row r="13994" spans="1:15" x14ac:dyDescent="0.2">
      <c r="A13994" s="197">
        <v>2026</v>
      </c>
      <c r="B13994" s="197">
        <v>3</v>
      </c>
      <c r="C13994" s="197">
        <v>8</v>
      </c>
      <c r="D13994" s="198">
        <f t="shared" ref="D13994:D14002" si="2162">DATE(A13994,B13994,C13994)</f>
        <v>46089</v>
      </c>
      <c r="E13994" s="209">
        <f t="shared" ref="E13994:E13999" si="2163">DATE(A13994,B13994,C13994)</f>
        <v>46089</v>
      </c>
      <c r="F13994" s="513" t="s">
        <v>1296</v>
      </c>
      <c r="G13994" s="200" t="s">
        <v>1209</v>
      </c>
      <c r="H13994" s="201"/>
      <c r="I13994" s="201"/>
      <c r="J13994" s="197" t="s">
        <v>46</v>
      </c>
      <c r="K13994" s="202">
        <v>260500</v>
      </c>
      <c r="L13994" s="202"/>
    </row>
    <row r="13995" spans="1:15" x14ac:dyDescent="0.2">
      <c r="A13995" s="120">
        <v>2026</v>
      </c>
      <c r="B13995" s="120">
        <v>3</v>
      </c>
      <c r="C13995" s="120">
        <v>8</v>
      </c>
      <c r="D13995" s="208">
        <f t="shared" si="2162"/>
        <v>46089</v>
      </c>
      <c r="E13995" s="209">
        <f t="shared" si="2163"/>
        <v>46089</v>
      </c>
      <c r="F13995" s="515"/>
      <c r="G13995" s="132" t="s">
        <v>1209</v>
      </c>
      <c r="J13995" s="120" t="s">
        <v>16</v>
      </c>
      <c r="K13995" s="207"/>
      <c r="L13995" s="207">
        <v>184450</v>
      </c>
    </row>
    <row r="13996" spans="1:15" x14ac:dyDescent="0.2">
      <c r="A13996" s="191">
        <v>2026</v>
      </c>
      <c r="B13996" s="191">
        <v>3</v>
      </c>
      <c r="C13996" s="191">
        <v>8</v>
      </c>
      <c r="D13996" s="192">
        <f t="shared" si="2162"/>
        <v>46089</v>
      </c>
      <c r="E13996" s="193">
        <f t="shared" si="2163"/>
        <v>46089</v>
      </c>
      <c r="F13996" s="514"/>
      <c r="G13996" s="194" t="s">
        <v>1209</v>
      </c>
      <c r="H13996" s="195"/>
      <c r="I13996" s="195"/>
      <c r="J13996" s="191" t="s">
        <v>47</v>
      </c>
      <c r="K13996" s="196"/>
      <c r="L13996" s="196">
        <v>76050</v>
      </c>
    </row>
    <row r="13997" spans="1:15" x14ac:dyDescent="0.2">
      <c r="A13997" s="197">
        <v>2026</v>
      </c>
      <c r="B13997" s="197">
        <v>3</v>
      </c>
      <c r="C13997" s="197">
        <v>8</v>
      </c>
      <c r="D13997" s="198">
        <f t="shared" si="2162"/>
        <v>46089</v>
      </c>
      <c r="E13997" s="209">
        <f t="shared" si="2163"/>
        <v>46089</v>
      </c>
      <c r="F13997" s="513" t="s">
        <v>1280</v>
      </c>
      <c r="G13997" s="200" t="s">
        <v>1209</v>
      </c>
      <c r="H13997" s="201"/>
      <c r="I13997" s="201"/>
      <c r="J13997" s="197" t="s">
        <v>16</v>
      </c>
      <c r="K13997" s="202">
        <v>80730</v>
      </c>
      <c r="L13997" s="202"/>
    </row>
    <row r="13998" spans="1:15" x14ac:dyDescent="0.2">
      <c r="A13998" s="120">
        <v>2026</v>
      </c>
      <c r="B13998" s="120">
        <v>3</v>
      </c>
      <c r="C13998" s="120">
        <v>8</v>
      </c>
      <c r="D13998" s="208">
        <f t="shared" si="2162"/>
        <v>46089</v>
      </c>
      <c r="E13998" s="209">
        <f t="shared" si="2163"/>
        <v>46089</v>
      </c>
      <c r="F13998" s="515"/>
      <c r="G13998" s="132" t="s">
        <v>1209</v>
      </c>
      <c r="J13998" s="120" t="s">
        <v>47</v>
      </c>
      <c r="K13998" s="207">
        <v>33298.14</v>
      </c>
      <c r="L13998" s="207"/>
    </row>
    <row r="13999" spans="1:15" x14ac:dyDescent="0.2">
      <c r="A13999" s="191">
        <v>2026</v>
      </c>
      <c r="B13999" s="191">
        <v>3</v>
      </c>
      <c r="C13999" s="191">
        <v>8</v>
      </c>
      <c r="D13999" s="192">
        <f t="shared" si="2162"/>
        <v>46089</v>
      </c>
      <c r="E13999" s="193">
        <f t="shared" si="2163"/>
        <v>46089</v>
      </c>
      <c r="F13999" s="514"/>
      <c r="G13999" s="194" t="s">
        <v>1209</v>
      </c>
      <c r="H13999" s="195"/>
      <c r="I13999" s="195"/>
      <c r="J13999" s="191" t="s">
        <v>46</v>
      </c>
      <c r="K13999" s="196"/>
      <c r="L13999" s="196">
        <v>114028.14</v>
      </c>
    </row>
    <row r="14000" spans="1:15" ht="11.25" customHeight="1" x14ac:dyDescent="0.2">
      <c r="A14000" s="197">
        <v>2026</v>
      </c>
      <c r="B14000" s="197">
        <v>3</v>
      </c>
      <c r="C14000" s="197">
        <v>8</v>
      </c>
      <c r="D14000" s="198">
        <f t="shared" si="2162"/>
        <v>46089</v>
      </c>
      <c r="E14000" s="290">
        <f>DATE(A14000,B14000,C14000)</f>
        <v>46089</v>
      </c>
      <c r="F14000" s="513" t="s">
        <v>2141</v>
      </c>
      <c r="G14000" s="200" t="s">
        <v>1209</v>
      </c>
      <c r="H14000" s="201"/>
      <c r="I14000" s="201"/>
      <c r="J14000" s="197" t="s">
        <v>54</v>
      </c>
      <c r="K14000" s="202">
        <f>25</f>
        <v>25</v>
      </c>
      <c r="L14000" s="202"/>
      <c r="O14000" s="251"/>
    </row>
    <row r="14001" spans="1:15" ht="11.25" customHeight="1" x14ac:dyDescent="0.2">
      <c r="A14001" s="120">
        <v>2026</v>
      </c>
      <c r="B14001" s="120">
        <v>3</v>
      </c>
      <c r="C14001" s="120">
        <v>8</v>
      </c>
      <c r="D14001" s="208">
        <f t="shared" si="2162"/>
        <v>46089</v>
      </c>
      <c r="E14001" s="293">
        <f>DATE(A14001,B14001,C14001)</f>
        <v>46089</v>
      </c>
      <c r="F14001" s="515"/>
      <c r="G14001" s="132" t="s">
        <v>1209</v>
      </c>
      <c r="J14001" s="120" t="s">
        <v>46</v>
      </c>
      <c r="K14001" s="207"/>
      <c r="L14001" s="207">
        <f>K14000</f>
        <v>25</v>
      </c>
      <c r="O14001" s="251"/>
    </row>
    <row r="14002" spans="1:15" ht="11.25" customHeight="1" x14ac:dyDescent="0.2">
      <c r="A14002" s="197">
        <v>2026</v>
      </c>
      <c r="B14002" s="197">
        <v>3</v>
      </c>
      <c r="C14002" s="197">
        <v>8</v>
      </c>
      <c r="D14002" s="198">
        <f t="shared" si="2162"/>
        <v>46089</v>
      </c>
      <c r="E14002" s="199">
        <f t="shared" ref="E14002" si="2164">DATE(A14002,B14002,C14002)</f>
        <v>46089</v>
      </c>
      <c r="F14002" s="513" t="s">
        <v>2098</v>
      </c>
      <c r="G14002" s="200" t="s">
        <v>1245</v>
      </c>
      <c r="H14002" s="201"/>
      <c r="I14002" s="201"/>
      <c r="J14002" s="197" t="s">
        <v>70</v>
      </c>
      <c r="K14002" s="202">
        <v>180000</v>
      </c>
      <c r="L14002" s="202"/>
    </row>
    <row r="14003" spans="1:15" ht="11.25" customHeight="1" x14ac:dyDescent="0.2">
      <c r="A14003" s="120">
        <v>2026</v>
      </c>
      <c r="B14003" s="120">
        <v>3</v>
      </c>
      <c r="C14003" s="120">
        <v>8</v>
      </c>
      <c r="D14003" s="208">
        <f t="shared" ref="D14003:D14004" si="2165">DATE(A14003,B14003,C14003)</f>
        <v>46089</v>
      </c>
      <c r="E14003" s="209">
        <f t="shared" ref="E14003:E14004" si="2166">DATE(A14003,B14003,C14003)</f>
        <v>46089</v>
      </c>
      <c r="F14003" s="515"/>
      <c r="G14003" s="132" t="s">
        <v>1245</v>
      </c>
      <c r="J14003" s="120" t="s">
        <v>71</v>
      </c>
      <c r="K14003" s="207">
        <v>324</v>
      </c>
      <c r="L14003" s="207"/>
    </row>
    <row r="14004" spans="1:15" ht="11.25" customHeight="1" x14ac:dyDescent="0.2">
      <c r="A14004" s="191">
        <v>2026</v>
      </c>
      <c r="B14004" s="191">
        <v>3</v>
      </c>
      <c r="C14004" s="191">
        <v>8</v>
      </c>
      <c r="D14004" s="192">
        <f t="shared" si="2165"/>
        <v>46089</v>
      </c>
      <c r="E14004" s="193">
        <f t="shared" si="2166"/>
        <v>46089</v>
      </c>
      <c r="F14004" s="514"/>
      <c r="G14004" s="194" t="s">
        <v>1245</v>
      </c>
      <c r="H14004" s="195"/>
      <c r="I14004" s="195"/>
      <c r="J14004" s="191" t="s">
        <v>1251</v>
      </c>
      <c r="K14004" s="196"/>
      <c r="L14004" s="196">
        <v>180324</v>
      </c>
    </row>
    <row r="14005" spans="1:15" x14ac:dyDescent="0.2">
      <c r="A14005" s="424">
        <v>2026</v>
      </c>
      <c r="B14005" s="424">
        <v>3</v>
      </c>
      <c r="C14005" s="424">
        <v>8</v>
      </c>
      <c r="D14005" s="425">
        <f t="shared" ref="D14005:D14052" si="2167">DATE(A14005,B14005,C14005)</f>
        <v>46089</v>
      </c>
      <c r="E14005" s="384">
        <f t="shared" si="2161"/>
        <v>46089</v>
      </c>
      <c r="F14005" s="528" t="s">
        <v>1850</v>
      </c>
      <c r="G14005" s="426" t="s">
        <v>1209</v>
      </c>
      <c r="H14005" s="427"/>
      <c r="I14005" s="427"/>
      <c r="J14005" s="428" t="s">
        <v>81</v>
      </c>
      <c r="K14005" s="429">
        <f>3*1595.81736263736</f>
        <v>4787.4520879120801</v>
      </c>
      <c r="L14005" s="429"/>
      <c r="M14005" s="455"/>
    </row>
    <row r="14006" spans="1:15" x14ac:dyDescent="0.2">
      <c r="A14006" s="389">
        <v>2026</v>
      </c>
      <c r="B14006" s="389">
        <v>3</v>
      </c>
      <c r="C14006" s="389">
        <v>8</v>
      </c>
      <c r="D14006" s="390">
        <f t="shared" si="2167"/>
        <v>46089</v>
      </c>
      <c r="E14006" s="391">
        <f t="shared" si="2161"/>
        <v>46089</v>
      </c>
      <c r="F14006" s="517"/>
      <c r="G14006" s="392" t="s">
        <v>1209</v>
      </c>
      <c r="H14006" s="393"/>
      <c r="I14006" s="393"/>
      <c r="J14006" s="394" t="s">
        <v>1847</v>
      </c>
      <c r="K14006" s="423"/>
      <c r="L14006" s="423">
        <f>K14005</f>
        <v>4787.4520879120801</v>
      </c>
    </row>
    <row r="14007" spans="1:15" ht="11.25" customHeight="1" x14ac:dyDescent="0.2">
      <c r="A14007" s="382">
        <v>2026</v>
      </c>
      <c r="B14007" s="382">
        <v>3</v>
      </c>
      <c r="C14007" s="382">
        <v>8</v>
      </c>
      <c r="D14007" s="383">
        <f t="shared" si="2167"/>
        <v>46089</v>
      </c>
      <c r="E14007" s="384">
        <f t="shared" si="2161"/>
        <v>46089</v>
      </c>
      <c r="F14007" s="516" t="s">
        <v>1892</v>
      </c>
      <c r="G14007" s="385" t="s">
        <v>1209</v>
      </c>
      <c r="H14007" s="386"/>
      <c r="I14007" s="386"/>
      <c r="J14007" s="387" t="s">
        <v>173</v>
      </c>
      <c r="K14007" s="388">
        <f>3*591.0120762125</f>
        <v>1773.0362286375</v>
      </c>
      <c r="L14007" s="388"/>
      <c r="M14007" s="455"/>
    </row>
    <row r="14008" spans="1:15" ht="11.25" customHeight="1" x14ac:dyDescent="0.2">
      <c r="A14008" s="389">
        <v>2026</v>
      </c>
      <c r="B14008" s="389">
        <v>3</v>
      </c>
      <c r="C14008" s="389">
        <v>8</v>
      </c>
      <c r="D14008" s="390">
        <f t="shared" si="2167"/>
        <v>46089</v>
      </c>
      <c r="E14008" s="391">
        <f t="shared" si="2161"/>
        <v>46089</v>
      </c>
      <c r="F14008" s="517"/>
      <c r="G14008" s="392" t="s">
        <v>1209</v>
      </c>
      <c r="H14008" s="393"/>
      <c r="I14008" s="393"/>
      <c r="J14008" s="394" t="s">
        <v>43</v>
      </c>
      <c r="K14008" s="388"/>
      <c r="L14008" s="423">
        <f>K14007</f>
        <v>1773.0362286375</v>
      </c>
    </row>
    <row r="14009" spans="1:15" ht="11.25" customHeight="1" x14ac:dyDescent="0.2">
      <c r="A14009" s="344">
        <v>2026</v>
      </c>
      <c r="B14009" s="344">
        <v>3</v>
      </c>
      <c r="C14009" s="344">
        <v>8</v>
      </c>
      <c r="D14009" s="345">
        <f t="shared" si="2167"/>
        <v>46089</v>
      </c>
      <c r="E14009" s="346">
        <f t="shared" si="2161"/>
        <v>46089</v>
      </c>
      <c r="F14009" s="518" t="s">
        <v>1982</v>
      </c>
      <c r="G14009" s="347" t="s">
        <v>1245</v>
      </c>
      <c r="H14009" s="348"/>
      <c r="I14009" s="348" t="s">
        <v>1253</v>
      </c>
      <c r="J14009" s="344" t="s">
        <v>1978</v>
      </c>
      <c r="K14009" s="349">
        <f>3*20878.1767955801</f>
        <v>62634.530386740298</v>
      </c>
      <c r="L14009" s="349"/>
      <c r="M14009" s="455"/>
    </row>
    <row r="14010" spans="1:15" ht="11.25" customHeight="1" x14ac:dyDescent="0.2">
      <c r="A14010" s="350">
        <v>2026</v>
      </c>
      <c r="B14010" s="350">
        <v>3</v>
      </c>
      <c r="C14010" s="350">
        <v>8</v>
      </c>
      <c r="D14010" s="351">
        <f t="shared" si="2167"/>
        <v>46089</v>
      </c>
      <c r="E14010" s="352">
        <f t="shared" si="2161"/>
        <v>46089</v>
      </c>
      <c r="F14010" s="519"/>
      <c r="G14010" s="353" t="s">
        <v>1245</v>
      </c>
      <c r="H14010" s="354"/>
      <c r="I14010" s="354" t="s">
        <v>1253</v>
      </c>
      <c r="J14010" s="350" t="s">
        <v>1979</v>
      </c>
      <c r="K14010" s="355"/>
      <c r="L14010" s="355">
        <f>K14009</f>
        <v>62634.530386740298</v>
      </c>
    </row>
    <row r="14011" spans="1:15" ht="11.25" customHeight="1" x14ac:dyDescent="0.2">
      <c r="A14011" s="344">
        <v>2026</v>
      </c>
      <c r="B14011" s="344">
        <v>3</v>
      </c>
      <c r="C14011" s="344">
        <v>8</v>
      </c>
      <c r="D14011" s="345">
        <f t="shared" si="2167"/>
        <v>46089</v>
      </c>
      <c r="E14011" s="346">
        <f t="shared" si="2161"/>
        <v>46089</v>
      </c>
      <c r="F14011" s="518" t="s">
        <v>2009</v>
      </c>
      <c r="G14011" s="347" t="s">
        <v>1245</v>
      </c>
      <c r="H14011" s="348"/>
      <c r="I14011" s="348" t="s">
        <v>1253</v>
      </c>
      <c r="J14011" s="344" t="s">
        <v>2004</v>
      </c>
      <c r="K14011" s="349">
        <f>3*7098.90142857143</f>
        <v>21296.704285714291</v>
      </c>
      <c r="L14011" s="349"/>
      <c r="M14011" s="455"/>
    </row>
    <row r="14012" spans="1:15" ht="11.25" customHeight="1" x14ac:dyDescent="0.2">
      <c r="A14012" s="350">
        <v>2026</v>
      </c>
      <c r="B14012" s="350">
        <v>3</v>
      </c>
      <c r="C14012" s="350">
        <v>8</v>
      </c>
      <c r="D14012" s="351">
        <f t="shared" si="2167"/>
        <v>46089</v>
      </c>
      <c r="E14012" s="352">
        <f t="shared" si="2161"/>
        <v>46089</v>
      </c>
      <c r="F14012" s="519"/>
      <c r="G14012" s="353" t="s">
        <v>1245</v>
      </c>
      <c r="H14012" s="354"/>
      <c r="I14012" s="354" t="s">
        <v>1253</v>
      </c>
      <c r="J14012" s="350" t="s">
        <v>2008</v>
      </c>
      <c r="K14012" s="355"/>
      <c r="L14012" s="355">
        <f t="shared" ref="L14012" si="2168">K14011</f>
        <v>21296.704285714291</v>
      </c>
    </row>
    <row r="14013" spans="1:15" ht="11.25" customHeight="1" x14ac:dyDescent="0.2">
      <c r="A14013" s="344">
        <v>2026</v>
      </c>
      <c r="B14013" s="344">
        <v>3</v>
      </c>
      <c r="C14013" s="344">
        <v>8</v>
      </c>
      <c r="D14013" s="345">
        <f t="shared" si="2167"/>
        <v>46089</v>
      </c>
      <c r="E14013" s="346">
        <f t="shared" si="2161"/>
        <v>46089</v>
      </c>
      <c r="F14013" s="518" t="s">
        <v>2009</v>
      </c>
      <c r="G14013" s="347" t="s">
        <v>1245</v>
      </c>
      <c r="H14013" s="348"/>
      <c r="I14013" s="348" t="s">
        <v>1253</v>
      </c>
      <c r="J14013" s="344" t="s">
        <v>2004</v>
      </c>
      <c r="K14013" s="349">
        <f>3*7098.90142857143</f>
        <v>21296.704285714291</v>
      </c>
      <c r="L14013" s="349"/>
      <c r="M14013" s="455"/>
    </row>
    <row r="14014" spans="1:15" ht="11.25" customHeight="1" x14ac:dyDescent="0.2">
      <c r="A14014" s="350">
        <v>2026</v>
      </c>
      <c r="B14014" s="350">
        <v>3</v>
      </c>
      <c r="C14014" s="350">
        <v>8</v>
      </c>
      <c r="D14014" s="351">
        <f t="shared" si="2167"/>
        <v>46089</v>
      </c>
      <c r="E14014" s="352">
        <f t="shared" si="2161"/>
        <v>46089</v>
      </c>
      <c r="F14014" s="519"/>
      <c r="G14014" s="353" t="s">
        <v>1245</v>
      </c>
      <c r="H14014" s="354"/>
      <c r="I14014" s="354" t="s">
        <v>1253</v>
      </c>
      <c r="J14014" s="350" t="s">
        <v>2008</v>
      </c>
      <c r="K14014" s="355"/>
      <c r="L14014" s="355">
        <f t="shared" ref="L14014" si="2169">K14013</f>
        <v>21296.704285714291</v>
      </c>
    </row>
    <row r="14015" spans="1:15" ht="11.25" customHeight="1" x14ac:dyDescent="0.2">
      <c r="A14015" s="344">
        <v>2026</v>
      </c>
      <c r="B14015" s="344">
        <v>3</v>
      </c>
      <c r="C14015" s="344">
        <v>8</v>
      </c>
      <c r="D14015" s="345">
        <f t="shared" si="2167"/>
        <v>46089</v>
      </c>
      <c r="E14015" s="346">
        <f t="shared" si="2161"/>
        <v>46089</v>
      </c>
      <c r="F14015" s="518" t="s">
        <v>2088</v>
      </c>
      <c r="G14015" s="347" t="s">
        <v>1245</v>
      </c>
      <c r="H14015" s="348"/>
      <c r="I14015" s="348" t="s">
        <v>1253</v>
      </c>
      <c r="J14015" s="344" t="s">
        <v>2086</v>
      </c>
      <c r="K14015" s="349">
        <f>3*1789.83516483516</f>
        <v>5369.5054945054799</v>
      </c>
      <c r="L14015" s="349"/>
      <c r="M14015" s="455"/>
    </row>
    <row r="14016" spans="1:15" ht="11.25" customHeight="1" x14ac:dyDescent="0.2">
      <c r="A14016" s="350">
        <v>2026</v>
      </c>
      <c r="B14016" s="350">
        <v>3</v>
      </c>
      <c r="C14016" s="350">
        <v>8</v>
      </c>
      <c r="D14016" s="351">
        <f t="shared" si="2167"/>
        <v>46089</v>
      </c>
      <c r="E14016" s="352">
        <f t="shared" si="2161"/>
        <v>46089</v>
      </c>
      <c r="F14016" s="519"/>
      <c r="G14016" s="353" t="s">
        <v>1245</v>
      </c>
      <c r="H14016" s="354"/>
      <c r="I14016" s="354" t="s">
        <v>1253</v>
      </c>
      <c r="J14016" s="350" t="s">
        <v>2089</v>
      </c>
      <c r="K14016" s="355"/>
      <c r="L14016" s="355">
        <f>K14015</f>
        <v>5369.5054945054799</v>
      </c>
    </row>
    <row r="14017" spans="1:16" ht="11.25" customHeight="1" x14ac:dyDescent="0.2">
      <c r="A14017" s="344">
        <v>2026</v>
      </c>
      <c r="B14017" s="344">
        <v>3</v>
      </c>
      <c r="C14017" s="344">
        <v>8</v>
      </c>
      <c r="D14017" s="345">
        <f t="shared" si="2167"/>
        <v>46089</v>
      </c>
      <c r="E14017" s="346">
        <f>DATE(A14017,B14017,C14017)</f>
        <v>46089</v>
      </c>
      <c r="F14017" s="518" t="s">
        <v>1988</v>
      </c>
      <c r="G14017" s="347" t="s">
        <v>1245</v>
      </c>
      <c r="H14017" s="348"/>
      <c r="I14017" s="348" t="s">
        <v>1253</v>
      </c>
      <c r="J14017" s="344" t="s">
        <v>113</v>
      </c>
      <c r="K14017" s="349">
        <f>3*4692.30714285714</f>
        <v>14076.921428571421</v>
      </c>
      <c r="L14017" s="349"/>
      <c r="M14017" s="455"/>
    </row>
    <row r="14018" spans="1:16" ht="11.25" customHeight="1" x14ac:dyDescent="0.2">
      <c r="A14018" s="350">
        <v>2026</v>
      </c>
      <c r="B14018" s="350">
        <v>3</v>
      </c>
      <c r="C14018" s="350">
        <v>8</v>
      </c>
      <c r="D14018" s="351">
        <f t="shared" si="2167"/>
        <v>46089</v>
      </c>
      <c r="E14018" s="352">
        <f>DATE(A14018,B14018,C14018)</f>
        <v>46089</v>
      </c>
      <c r="F14018" s="519"/>
      <c r="G14018" s="353" t="s">
        <v>1245</v>
      </c>
      <c r="H14018" s="354"/>
      <c r="I14018" s="354" t="s">
        <v>1253</v>
      </c>
      <c r="J14018" s="350" t="s">
        <v>153</v>
      </c>
      <c r="K14018" s="355"/>
      <c r="L14018" s="355">
        <f t="shared" ref="L14018" si="2170">K14017</f>
        <v>14076.921428571421</v>
      </c>
    </row>
    <row r="14019" spans="1:16" ht="11.25" customHeight="1" x14ac:dyDescent="0.2">
      <c r="A14019" s="344">
        <v>2026</v>
      </c>
      <c r="B14019" s="344">
        <v>3</v>
      </c>
      <c r="C14019" s="344">
        <v>8</v>
      </c>
      <c r="D14019" s="345">
        <f t="shared" si="2167"/>
        <v>46089</v>
      </c>
      <c r="E14019" s="346">
        <f t="shared" ref="E14019:E14025" si="2171">DATE(A14019,B14019,C14019)</f>
        <v>46089</v>
      </c>
      <c r="F14019" s="518" t="s">
        <v>1989</v>
      </c>
      <c r="G14019" s="347" t="s">
        <v>1245</v>
      </c>
      <c r="H14019" s="348"/>
      <c r="I14019" s="348" t="s">
        <v>1253</v>
      </c>
      <c r="J14019" s="344" t="s">
        <v>113</v>
      </c>
      <c r="K14019" s="349">
        <f>3*3351.64835164835</f>
        <v>10054.94505494505</v>
      </c>
      <c r="L14019" s="349"/>
      <c r="M14019" s="455"/>
    </row>
    <row r="14020" spans="1:16" ht="11.25" customHeight="1" x14ac:dyDescent="0.2">
      <c r="A14020" s="350">
        <v>2026</v>
      </c>
      <c r="B14020" s="350">
        <v>3</v>
      </c>
      <c r="C14020" s="350">
        <v>8</v>
      </c>
      <c r="D14020" s="351">
        <f t="shared" si="2167"/>
        <v>46089</v>
      </c>
      <c r="E14020" s="352">
        <f t="shared" si="2171"/>
        <v>46089</v>
      </c>
      <c r="F14020" s="519"/>
      <c r="G14020" s="353" t="s">
        <v>1245</v>
      </c>
      <c r="H14020" s="354"/>
      <c r="I14020" s="354" t="s">
        <v>1253</v>
      </c>
      <c r="J14020" s="350" t="s">
        <v>153</v>
      </c>
      <c r="K14020" s="355"/>
      <c r="L14020" s="355">
        <f t="shared" ref="L14020" si="2172">K14019</f>
        <v>10054.94505494505</v>
      </c>
    </row>
    <row r="14021" spans="1:16" ht="11.25" customHeight="1" x14ac:dyDescent="0.2">
      <c r="A14021" s="344">
        <v>2026</v>
      </c>
      <c r="B14021" s="344">
        <v>3</v>
      </c>
      <c r="C14021" s="344">
        <v>8</v>
      </c>
      <c r="D14021" s="345">
        <f t="shared" si="2167"/>
        <v>46089</v>
      </c>
      <c r="E14021" s="346">
        <f t="shared" si="2171"/>
        <v>46089</v>
      </c>
      <c r="F14021" s="518" t="s">
        <v>1990</v>
      </c>
      <c r="G14021" s="347" t="s">
        <v>1245</v>
      </c>
      <c r="H14021" s="348"/>
      <c r="I14021" s="348" t="s">
        <v>1253</v>
      </c>
      <c r="J14021" s="344" t="s">
        <v>113</v>
      </c>
      <c r="K14021" s="349">
        <f>3*10054.9457142857</f>
        <v>30164.837142857104</v>
      </c>
      <c r="L14021" s="349"/>
      <c r="M14021" s="455"/>
      <c r="N14021" s="251"/>
      <c r="O14021" s="251"/>
      <c r="P14021" s="251"/>
    </row>
    <row r="14022" spans="1:16" ht="11.25" customHeight="1" x14ac:dyDescent="0.2">
      <c r="A14022" s="350">
        <v>2026</v>
      </c>
      <c r="B14022" s="350">
        <v>3</v>
      </c>
      <c r="C14022" s="350">
        <v>8</v>
      </c>
      <c r="D14022" s="351">
        <f t="shared" si="2167"/>
        <v>46089</v>
      </c>
      <c r="E14022" s="352">
        <f t="shared" si="2171"/>
        <v>46089</v>
      </c>
      <c r="F14022" s="519"/>
      <c r="G14022" s="353" t="s">
        <v>1245</v>
      </c>
      <c r="H14022" s="354"/>
      <c r="I14022" s="354" t="s">
        <v>1253</v>
      </c>
      <c r="J14022" s="350" t="s">
        <v>153</v>
      </c>
      <c r="K14022" s="355"/>
      <c r="L14022" s="355">
        <f t="shared" ref="L14022" si="2173">K14021</f>
        <v>30164.837142857104</v>
      </c>
      <c r="M14022" s="455"/>
    </row>
    <row r="14023" spans="1:16" ht="11.25" customHeight="1" x14ac:dyDescent="0.2">
      <c r="A14023" s="344">
        <v>2026</v>
      </c>
      <c r="B14023" s="344">
        <v>3</v>
      </c>
      <c r="C14023" s="344">
        <v>8</v>
      </c>
      <c r="D14023" s="345">
        <f t="shared" si="2167"/>
        <v>46089</v>
      </c>
      <c r="E14023" s="346">
        <f t="shared" si="2171"/>
        <v>46089</v>
      </c>
      <c r="F14023" s="518" t="s">
        <v>2107</v>
      </c>
      <c r="G14023" s="347" t="s">
        <v>1245</v>
      </c>
      <c r="H14023" s="348"/>
      <c r="I14023" s="348" t="s">
        <v>1253</v>
      </c>
      <c r="J14023" s="344" t="s">
        <v>113</v>
      </c>
      <c r="K14023" s="349">
        <f>3*12370.8791208791</f>
        <v>37112.637362637302</v>
      </c>
      <c r="L14023" s="349"/>
      <c r="M14023" s="455"/>
      <c r="N14023" s="251"/>
      <c r="O14023" s="251"/>
      <c r="P14023" s="251"/>
    </row>
    <row r="14024" spans="1:16" ht="11.25" customHeight="1" x14ac:dyDescent="0.2">
      <c r="A14024" s="350">
        <v>2026</v>
      </c>
      <c r="B14024" s="350">
        <v>3</v>
      </c>
      <c r="C14024" s="350">
        <v>8</v>
      </c>
      <c r="D14024" s="351">
        <f t="shared" si="2167"/>
        <v>46089</v>
      </c>
      <c r="E14024" s="352">
        <f t="shared" si="2171"/>
        <v>46089</v>
      </c>
      <c r="F14024" s="519"/>
      <c r="G14024" s="353" t="s">
        <v>1245</v>
      </c>
      <c r="H14024" s="354"/>
      <c r="I14024" s="354" t="s">
        <v>1253</v>
      </c>
      <c r="J14024" s="350" t="s">
        <v>153</v>
      </c>
      <c r="K14024" s="355"/>
      <c r="L14024" s="355">
        <f t="shared" ref="L14024" si="2174">K14023</f>
        <v>37112.637362637302</v>
      </c>
    </row>
    <row r="14025" spans="1:16" ht="11.25" customHeight="1" x14ac:dyDescent="0.2">
      <c r="A14025" s="210">
        <v>2026</v>
      </c>
      <c r="B14025" s="210">
        <v>3</v>
      </c>
      <c r="C14025" s="210">
        <v>8</v>
      </c>
      <c r="D14025" s="211">
        <f t="shared" si="2167"/>
        <v>46089</v>
      </c>
      <c r="E14025" s="238">
        <f t="shared" si="2171"/>
        <v>46089</v>
      </c>
      <c r="F14025" s="520" t="s">
        <v>1857</v>
      </c>
      <c r="G14025" s="213" t="s">
        <v>1245</v>
      </c>
      <c r="H14025" s="214"/>
      <c r="I14025" s="214" t="s">
        <v>1253</v>
      </c>
      <c r="J14025" s="210" t="s">
        <v>1284</v>
      </c>
      <c r="K14025" s="215">
        <f>3*334.544487770294</f>
        <v>1003.633463310882</v>
      </c>
      <c r="L14025" s="215"/>
      <c r="M14025" s="455"/>
    </row>
    <row r="14026" spans="1:16" ht="11.25" customHeight="1" x14ac:dyDescent="0.2">
      <c r="A14026" s="242">
        <v>2026</v>
      </c>
      <c r="B14026" s="242">
        <v>3</v>
      </c>
      <c r="C14026" s="242">
        <v>8</v>
      </c>
      <c r="D14026" s="243">
        <f t="shared" si="2167"/>
        <v>46089</v>
      </c>
      <c r="E14026" s="244">
        <f>DATE(A14026,B14026,C14026)</f>
        <v>46089</v>
      </c>
      <c r="F14026" s="524"/>
      <c r="G14026" s="245" t="s">
        <v>1245</v>
      </c>
      <c r="H14026" s="246"/>
      <c r="I14026" s="246"/>
      <c r="J14026" s="242" t="s">
        <v>1582</v>
      </c>
      <c r="K14026" s="247"/>
      <c r="L14026" s="247">
        <f>K14025</f>
        <v>1003.633463310882</v>
      </c>
    </row>
    <row r="14027" spans="1:16" ht="11.25" customHeight="1" x14ac:dyDescent="0.2">
      <c r="A14027" s="210">
        <v>2026</v>
      </c>
      <c r="B14027" s="210">
        <v>3</v>
      </c>
      <c r="C14027" s="210">
        <v>8</v>
      </c>
      <c r="D14027" s="211">
        <f t="shared" si="2167"/>
        <v>46089</v>
      </c>
      <c r="E14027" s="238">
        <f t="shared" ref="E14027:E14066" si="2175">DATE(A14027,B14027,C14027)</f>
        <v>46089</v>
      </c>
      <c r="F14027" s="520" t="s">
        <v>2055</v>
      </c>
      <c r="G14027" s="213" t="s">
        <v>1245</v>
      </c>
      <c r="H14027" s="214"/>
      <c r="I14027" s="214" t="s">
        <v>1253</v>
      </c>
      <c r="J14027" s="210" t="s">
        <v>58</v>
      </c>
      <c r="K14027" s="215">
        <v>14238.16</v>
      </c>
      <c r="L14027" s="215"/>
    </row>
    <row r="14028" spans="1:16" ht="11.25" customHeight="1" x14ac:dyDescent="0.2">
      <c r="A14028" s="216">
        <v>2026</v>
      </c>
      <c r="B14028" s="216">
        <v>3</v>
      </c>
      <c r="C14028" s="216">
        <v>8</v>
      </c>
      <c r="D14028" s="217">
        <f t="shared" si="2167"/>
        <v>46089</v>
      </c>
      <c r="E14028" s="239">
        <f t="shared" si="2175"/>
        <v>46089</v>
      </c>
      <c r="F14028" s="521"/>
      <c r="G14028" s="219" t="s">
        <v>1245</v>
      </c>
      <c r="H14028" s="220"/>
      <c r="I14028" s="220" t="s">
        <v>1253</v>
      </c>
      <c r="J14028" s="216" t="s">
        <v>153</v>
      </c>
      <c r="K14028" s="221"/>
      <c r="L14028" s="221">
        <f>K14027</f>
        <v>14238.16</v>
      </c>
    </row>
    <row r="14029" spans="1:16" ht="11.25" customHeight="1" x14ac:dyDescent="0.2">
      <c r="A14029" s="312">
        <v>2026</v>
      </c>
      <c r="B14029" s="312">
        <v>3</v>
      </c>
      <c r="C14029" s="312">
        <v>8</v>
      </c>
      <c r="D14029" s="313">
        <f t="shared" si="2167"/>
        <v>46089</v>
      </c>
      <c r="E14029" s="314">
        <f t="shared" si="2175"/>
        <v>46089</v>
      </c>
      <c r="F14029" s="522" t="s">
        <v>1595</v>
      </c>
      <c r="G14029" s="315" t="s">
        <v>1245</v>
      </c>
      <c r="H14029" s="316"/>
      <c r="I14029" s="316" t="s">
        <v>1253</v>
      </c>
      <c r="J14029" s="312" t="s">
        <v>1461</v>
      </c>
      <c r="K14029" s="317">
        <v>291998.49100005627</v>
      </c>
      <c r="L14029" s="317"/>
      <c r="M14029" s="328"/>
    </row>
    <row r="14030" spans="1:16" ht="11.25" customHeight="1" x14ac:dyDescent="0.2">
      <c r="A14030" s="486">
        <v>2026</v>
      </c>
      <c r="B14030" s="486">
        <v>3</v>
      </c>
      <c r="C14030" s="486">
        <v>8</v>
      </c>
      <c r="D14030" s="487">
        <f t="shared" si="2167"/>
        <v>46089</v>
      </c>
      <c r="E14030" s="488">
        <f t="shared" si="2175"/>
        <v>46089</v>
      </c>
      <c r="F14030" s="525"/>
      <c r="G14030" s="489" t="s">
        <v>1245</v>
      </c>
      <c r="H14030" s="490"/>
      <c r="I14030" s="490" t="s">
        <v>1253</v>
      </c>
      <c r="J14030" s="486" t="s">
        <v>1459</v>
      </c>
      <c r="K14030" s="491"/>
      <c r="L14030" s="491">
        <f>K14029</f>
        <v>291998.49100005627</v>
      </c>
      <c r="M14030" s="328"/>
    </row>
    <row r="14031" spans="1:16" ht="11.25" customHeight="1" x14ac:dyDescent="0.2">
      <c r="A14031" s="222">
        <v>2026</v>
      </c>
      <c r="B14031" s="222">
        <v>3</v>
      </c>
      <c r="C14031" s="222">
        <v>8</v>
      </c>
      <c r="D14031" s="223">
        <f t="shared" si="2167"/>
        <v>46089</v>
      </c>
      <c r="E14031" s="240">
        <f t="shared" si="2175"/>
        <v>46089</v>
      </c>
      <c r="F14031" s="511" t="s">
        <v>1244</v>
      </c>
      <c r="G14031" s="225" t="s">
        <v>1245</v>
      </c>
      <c r="H14031" s="226"/>
      <c r="I14031" s="226" t="s">
        <v>1253</v>
      </c>
      <c r="J14031" s="222" t="s">
        <v>72</v>
      </c>
      <c r="K14031" s="227">
        <v>707.5</v>
      </c>
      <c r="L14031" s="227"/>
      <c r="M14031" s="328"/>
    </row>
    <row r="14032" spans="1:16" ht="11.25" customHeight="1" x14ac:dyDescent="0.2">
      <c r="A14032" s="228">
        <v>2026</v>
      </c>
      <c r="B14032" s="228">
        <v>3</v>
      </c>
      <c r="C14032" s="228">
        <v>8</v>
      </c>
      <c r="D14032" s="229">
        <f t="shared" si="2167"/>
        <v>46089</v>
      </c>
      <c r="E14032" s="241">
        <f t="shared" si="2175"/>
        <v>46089</v>
      </c>
      <c r="F14032" s="512"/>
      <c r="G14032" s="231" t="s">
        <v>1245</v>
      </c>
      <c r="H14032" s="232"/>
      <c r="I14032" s="232" t="s">
        <v>1253</v>
      </c>
      <c r="J14032" s="228" t="s">
        <v>87</v>
      </c>
      <c r="K14032" s="233"/>
      <c r="L14032" s="233">
        <f>K14031</f>
        <v>707.5</v>
      </c>
    </row>
    <row r="14033" spans="1:15" ht="11.25" customHeight="1" x14ac:dyDescent="0.2">
      <c r="A14033" s="492">
        <v>2026</v>
      </c>
      <c r="B14033" s="492">
        <v>3</v>
      </c>
      <c r="C14033" s="492">
        <v>8</v>
      </c>
      <c r="D14033" s="493">
        <f t="shared" si="2167"/>
        <v>46089</v>
      </c>
      <c r="E14033" s="494">
        <f t="shared" si="2175"/>
        <v>46089</v>
      </c>
      <c r="F14033" s="526" t="s">
        <v>2138</v>
      </c>
      <c r="G14033" s="495" t="s">
        <v>1245</v>
      </c>
      <c r="H14033" s="496"/>
      <c r="I14033" s="496" t="s">
        <v>1253</v>
      </c>
      <c r="J14033" s="492" t="s">
        <v>75</v>
      </c>
      <c r="K14033" s="497">
        <f>3*517.589120879121</f>
        <v>1552.767362637363</v>
      </c>
      <c r="L14033" s="497"/>
      <c r="M14033" s="455"/>
    </row>
    <row r="14034" spans="1:15" ht="11.25" customHeight="1" x14ac:dyDescent="0.2">
      <c r="A14034" s="228">
        <v>2026</v>
      </c>
      <c r="B14034" s="228">
        <v>3</v>
      </c>
      <c r="C14034" s="228">
        <v>8</v>
      </c>
      <c r="D14034" s="229">
        <f t="shared" si="2167"/>
        <v>46089</v>
      </c>
      <c r="E14034" s="241">
        <f t="shared" si="2175"/>
        <v>46089</v>
      </c>
      <c r="F14034" s="512"/>
      <c r="G14034" s="231" t="s">
        <v>1245</v>
      </c>
      <c r="H14034" s="232"/>
      <c r="I14034" s="232" t="s">
        <v>1253</v>
      </c>
      <c r="J14034" s="228" t="s">
        <v>55</v>
      </c>
      <c r="K14034" s="233"/>
      <c r="L14034" s="233">
        <f>K14033</f>
        <v>1552.767362637363</v>
      </c>
    </row>
    <row r="14035" spans="1:15" ht="11.25" customHeight="1" x14ac:dyDescent="0.2">
      <c r="A14035" s="222">
        <v>2026</v>
      </c>
      <c r="B14035" s="222">
        <v>3</v>
      </c>
      <c r="C14035" s="222">
        <v>8</v>
      </c>
      <c r="D14035" s="223">
        <f t="shared" si="2167"/>
        <v>46089</v>
      </c>
      <c r="E14035" s="240">
        <f t="shared" si="2175"/>
        <v>46089</v>
      </c>
      <c r="F14035" s="511" t="s">
        <v>2137</v>
      </c>
      <c r="G14035" s="225" t="s">
        <v>1245</v>
      </c>
      <c r="H14035" s="226"/>
      <c r="I14035" s="226" t="s">
        <v>1253</v>
      </c>
      <c r="J14035" s="222" t="s">
        <v>77</v>
      </c>
      <c r="K14035" s="227">
        <f>3*7674.9931200437</f>
        <v>23024.979360131103</v>
      </c>
      <c r="L14035" s="227"/>
      <c r="M14035" s="478">
        <v>7674.9931200436977</v>
      </c>
    </row>
    <row r="14036" spans="1:15" ht="11.25" customHeight="1" x14ac:dyDescent="0.2">
      <c r="A14036" s="228">
        <v>2026</v>
      </c>
      <c r="B14036" s="228">
        <v>3</v>
      </c>
      <c r="C14036" s="228">
        <v>8</v>
      </c>
      <c r="D14036" s="229">
        <f t="shared" si="2167"/>
        <v>46089</v>
      </c>
      <c r="E14036" s="241">
        <f t="shared" si="2175"/>
        <v>46089</v>
      </c>
      <c r="F14036" s="512"/>
      <c r="G14036" s="231" t="s">
        <v>1245</v>
      </c>
      <c r="H14036" s="232"/>
      <c r="I14036" s="232" t="s">
        <v>1253</v>
      </c>
      <c r="J14036" s="228" t="s">
        <v>41</v>
      </c>
      <c r="K14036" s="233"/>
      <c r="L14036" s="233">
        <f>K14035</f>
        <v>23024.979360131103</v>
      </c>
      <c r="M14036" s="328">
        <v>767.4993120043697</v>
      </c>
      <c r="N14036" s="251"/>
    </row>
    <row r="14037" spans="1:15" ht="11.25" customHeight="1" x14ac:dyDescent="0.2">
      <c r="A14037" s="222">
        <v>2026</v>
      </c>
      <c r="B14037" s="222">
        <v>3</v>
      </c>
      <c r="C14037" s="222">
        <v>8</v>
      </c>
      <c r="D14037" s="223">
        <f t="shared" si="2167"/>
        <v>46089</v>
      </c>
      <c r="E14037" s="240">
        <f t="shared" si="2175"/>
        <v>46089</v>
      </c>
      <c r="F14037" s="511" t="s">
        <v>2136</v>
      </c>
      <c r="G14037" s="225" t="s">
        <v>1245</v>
      </c>
      <c r="H14037" s="226"/>
      <c r="I14037" s="226" t="s">
        <v>1253</v>
      </c>
      <c r="J14037" s="222" t="s">
        <v>80</v>
      </c>
      <c r="K14037" s="227">
        <f>3*767.49931200437</f>
        <v>2302.4979360131101</v>
      </c>
      <c r="L14037" s="227"/>
      <c r="M14037" s="328"/>
      <c r="N14037" s="251"/>
      <c r="O14037" s="251"/>
    </row>
    <row r="14038" spans="1:15" ht="11.25" customHeight="1" x14ac:dyDescent="0.2">
      <c r="A14038" s="228">
        <v>2026</v>
      </c>
      <c r="B14038" s="228">
        <v>3</v>
      </c>
      <c r="C14038" s="228">
        <v>8</v>
      </c>
      <c r="D14038" s="229">
        <f t="shared" si="2167"/>
        <v>46089</v>
      </c>
      <c r="E14038" s="241">
        <f t="shared" si="2175"/>
        <v>46089</v>
      </c>
      <c r="F14038" s="512"/>
      <c r="G14038" s="231" t="s">
        <v>1245</v>
      </c>
      <c r="H14038" s="232"/>
      <c r="I14038" s="232" t="s">
        <v>1253</v>
      </c>
      <c r="J14038" s="228" t="s">
        <v>42</v>
      </c>
      <c r="K14038" s="233"/>
      <c r="L14038" s="233">
        <f>K14037</f>
        <v>2302.4979360131101</v>
      </c>
      <c r="N14038" s="251"/>
    </row>
    <row r="14039" spans="1:15" x14ac:dyDescent="0.2">
      <c r="A14039" s="197">
        <v>2026</v>
      </c>
      <c r="B14039" s="197">
        <v>3</v>
      </c>
      <c r="C14039" s="197">
        <v>9</v>
      </c>
      <c r="D14039" s="198">
        <f t="shared" si="2167"/>
        <v>46090</v>
      </c>
      <c r="E14039" s="209">
        <f t="shared" si="2175"/>
        <v>46090</v>
      </c>
      <c r="F14039" s="513" t="s">
        <v>1210</v>
      </c>
      <c r="G14039" s="200" t="s">
        <v>1209</v>
      </c>
      <c r="H14039" s="201"/>
      <c r="I14039" s="201"/>
      <c r="J14039" s="197" t="s">
        <v>46</v>
      </c>
      <c r="K14039" s="202">
        <v>1680000</v>
      </c>
      <c r="L14039" s="202"/>
    </row>
    <row r="14040" spans="1:15" x14ac:dyDescent="0.2">
      <c r="A14040" s="120">
        <v>2026</v>
      </c>
      <c r="B14040" s="120">
        <v>3</v>
      </c>
      <c r="C14040" s="120">
        <v>9</v>
      </c>
      <c r="D14040" s="208">
        <f t="shared" si="2167"/>
        <v>46090</v>
      </c>
      <c r="E14040" s="209">
        <f t="shared" si="2175"/>
        <v>46090</v>
      </c>
      <c r="F14040" s="515"/>
      <c r="G14040" s="132" t="s">
        <v>1209</v>
      </c>
      <c r="J14040" s="120" t="s">
        <v>16</v>
      </c>
      <c r="K14040" s="207"/>
      <c r="L14040" s="207">
        <v>1188380</v>
      </c>
    </row>
    <row r="14041" spans="1:15" x14ac:dyDescent="0.2">
      <c r="A14041" s="191">
        <v>2026</v>
      </c>
      <c r="B14041" s="191">
        <v>3</v>
      </c>
      <c r="C14041" s="191">
        <v>9</v>
      </c>
      <c r="D14041" s="192">
        <f t="shared" si="2167"/>
        <v>46090</v>
      </c>
      <c r="E14041" s="193">
        <f t="shared" si="2175"/>
        <v>46090</v>
      </c>
      <c r="F14041" s="514"/>
      <c r="G14041" s="194" t="s">
        <v>1209</v>
      </c>
      <c r="H14041" s="195"/>
      <c r="I14041" s="195"/>
      <c r="J14041" s="191" t="s">
        <v>47</v>
      </c>
      <c r="K14041" s="196"/>
      <c r="L14041" s="196">
        <v>491620</v>
      </c>
    </row>
    <row r="14042" spans="1:15" x14ac:dyDescent="0.2">
      <c r="A14042" s="197">
        <v>2026</v>
      </c>
      <c r="B14042" s="197">
        <v>3</v>
      </c>
      <c r="C14042" s="197">
        <v>9</v>
      </c>
      <c r="D14042" s="198">
        <f t="shared" ref="D14042:D14044" si="2176">DATE(A14042,B14042,C14042)</f>
        <v>46090</v>
      </c>
      <c r="E14042" s="209">
        <f t="shared" ref="E14042:E14044" si="2177">DATE(A14042,B14042,C14042)</f>
        <v>46090</v>
      </c>
      <c r="F14042" s="513" t="s">
        <v>1296</v>
      </c>
      <c r="G14042" s="200" t="s">
        <v>1209</v>
      </c>
      <c r="H14042" s="201"/>
      <c r="I14042" s="201"/>
      <c r="J14042" s="197" t="s">
        <v>46</v>
      </c>
      <c r="K14042" s="202">
        <v>2000</v>
      </c>
      <c r="L14042" s="202"/>
    </row>
    <row r="14043" spans="1:15" x14ac:dyDescent="0.2">
      <c r="A14043" s="120">
        <v>2026</v>
      </c>
      <c r="B14043" s="120">
        <v>3</v>
      </c>
      <c r="C14043" s="120">
        <v>9</v>
      </c>
      <c r="D14043" s="208">
        <f t="shared" si="2176"/>
        <v>46090</v>
      </c>
      <c r="E14043" s="209">
        <f t="shared" si="2177"/>
        <v>46090</v>
      </c>
      <c r="F14043" s="515"/>
      <c r="G14043" s="132" t="s">
        <v>1209</v>
      </c>
      <c r="J14043" s="120" t="s">
        <v>16</v>
      </c>
      <c r="K14043" s="207"/>
      <c r="L14043" s="207">
        <v>1420</v>
      </c>
    </row>
    <row r="14044" spans="1:15" x14ac:dyDescent="0.2">
      <c r="A14044" s="191">
        <v>2026</v>
      </c>
      <c r="B14044" s="191">
        <v>3</v>
      </c>
      <c r="C14044" s="191">
        <v>9</v>
      </c>
      <c r="D14044" s="192">
        <f t="shared" si="2176"/>
        <v>46090</v>
      </c>
      <c r="E14044" s="193">
        <f t="shared" si="2177"/>
        <v>46090</v>
      </c>
      <c r="F14044" s="514"/>
      <c r="G14044" s="194" t="s">
        <v>1209</v>
      </c>
      <c r="H14044" s="195"/>
      <c r="I14044" s="195"/>
      <c r="J14044" s="191" t="s">
        <v>47</v>
      </c>
      <c r="K14044" s="196"/>
      <c r="L14044" s="196">
        <v>580</v>
      </c>
    </row>
    <row r="14045" spans="1:15" x14ac:dyDescent="0.2">
      <c r="A14045" s="197">
        <v>2026</v>
      </c>
      <c r="B14045" s="197">
        <v>3</v>
      </c>
      <c r="C14045" s="197">
        <v>9</v>
      </c>
      <c r="D14045" s="198">
        <f t="shared" si="2167"/>
        <v>46090</v>
      </c>
      <c r="E14045" s="209">
        <f t="shared" si="2175"/>
        <v>46090</v>
      </c>
      <c r="F14045" s="513" t="s">
        <v>1423</v>
      </c>
      <c r="G14045" s="200" t="s">
        <v>1209</v>
      </c>
      <c r="H14045" s="201"/>
      <c r="I14045" s="201"/>
      <c r="J14045" s="197" t="s">
        <v>16</v>
      </c>
      <c r="K14045" s="202">
        <v>128150</v>
      </c>
      <c r="L14045" s="202"/>
    </row>
    <row r="14046" spans="1:15" x14ac:dyDescent="0.2">
      <c r="A14046" s="120">
        <v>2026</v>
      </c>
      <c r="B14046" s="120">
        <v>3</v>
      </c>
      <c r="C14046" s="120">
        <v>9</v>
      </c>
      <c r="D14046" s="208">
        <f t="shared" si="2167"/>
        <v>46090</v>
      </c>
      <c r="E14046" s="209">
        <f t="shared" si="2175"/>
        <v>46090</v>
      </c>
      <c r="F14046" s="515"/>
      <c r="G14046" s="132" t="s">
        <v>1209</v>
      </c>
      <c r="J14046" s="120" t="s">
        <v>47</v>
      </c>
      <c r="K14046" s="207">
        <v>52981.48</v>
      </c>
      <c r="L14046" s="207"/>
    </row>
    <row r="14047" spans="1:15" x14ac:dyDescent="0.2">
      <c r="A14047" s="191">
        <v>2026</v>
      </c>
      <c r="B14047" s="191">
        <v>3</v>
      </c>
      <c r="C14047" s="191">
        <v>9</v>
      </c>
      <c r="D14047" s="192">
        <f t="shared" si="2167"/>
        <v>46090</v>
      </c>
      <c r="E14047" s="193">
        <f t="shared" si="2175"/>
        <v>46090</v>
      </c>
      <c r="F14047" s="514"/>
      <c r="G14047" s="194" t="s">
        <v>1209</v>
      </c>
      <c r="H14047" s="195"/>
      <c r="I14047" s="195"/>
      <c r="J14047" s="191" t="s">
        <v>46</v>
      </c>
      <c r="K14047" s="196"/>
      <c r="L14047" s="196">
        <v>181131.48</v>
      </c>
    </row>
    <row r="14048" spans="1:15" x14ac:dyDescent="0.2">
      <c r="A14048" s="197">
        <v>2026</v>
      </c>
      <c r="B14048" s="197">
        <v>3</v>
      </c>
      <c r="C14048" s="197">
        <v>9</v>
      </c>
      <c r="D14048" s="198">
        <f t="shared" ref="D14048:D14050" si="2178">DATE(A14048,B14048,C14048)</f>
        <v>46090</v>
      </c>
      <c r="E14048" s="209">
        <f t="shared" ref="E14048:E14050" si="2179">DATE(A14048,B14048,C14048)</f>
        <v>46090</v>
      </c>
      <c r="F14048" s="513" t="s">
        <v>1280</v>
      </c>
      <c r="G14048" s="200" t="s">
        <v>1209</v>
      </c>
      <c r="H14048" s="201"/>
      <c r="I14048" s="201"/>
      <c r="J14048" s="197" t="s">
        <v>16</v>
      </c>
      <c r="K14048" s="202">
        <v>212210</v>
      </c>
      <c r="L14048" s="202"/>
    </row>
    <row r="14049" spans="1:15" x14ac:dyDescent="0.2">
      <c r="A14049" s="120">
        <v>2026</v>
      </c>
      <c r="B14049" s="120">
        <v>3</v>
      </c>
      <c r="C14049" s="120">
        <v>9</v>
      </c>
      <c r="D14049" s="208">
        <f t="shared" si="2178"/>
        <v>46090</v>
      </c>
      <c r="E14049" s="209">
        <f t="shared" si="2179"/>
        <v>46090</v>
      </c>
      <c r="F14049" s="515"/>
      <c r="G14049" s="132" t="s">
        <v>1209</v>
      </c>
      <c r="J14049" s="120" t="s">
        <v>47</v>
      </c>
      <c r="K14049" s="207">
        <v>87790</v>
      </c>
      <c r="L14049" s="207"/>
    </row>
    <row r="14050" spans="1:15" x14ac:dyDescent="0.2">
      <c r="A14050" s="191">
        <v>2026</v>
      </c>
      <c r="B14050" s="191">
        <v>3</v>
      </c>
      <c r="C14050" s="191">
        <v>9</v>
      </c>
      <c r="D14050" s="192">
        <f t="shared" si="2178"/>
        <v>46090</v>
      </c>
      <c r="E14050" s="193">
        <f t="shared" si="2179"/>
        <v>46090</v>
      </c>
      <c r="F14050" s="514"/>
      <c r="G14050" s="194" t="s">
        <v>1209</v>
      </c>
      <c r="H14050" s="195"/>
      <c r="I14050" s="195"/>
      <c r="J14050" s="191" t="s">
        <v>46</v>
      </c>
      <c r="K14050" s="196"/>
      <c r="L14050" s="196">
        <v>300000</v>
      </c>
    </row>
    <row r="14051" spans="1:15" ht="11.25" customHeight="1" x14ac:dyDescent="0.2">
      <c r="A14051" s="197">
        <v>2026</v>
      </c>
      <c r="B14051" s="197">
        <v>3</v>
      </c>
      <c r="C14051" s="197">
        <v>9</v>
      </c>
      <c r="D14051" s="198">
        <f t="shared" si="2167"/>
        <v>46090</v>
      </c>
      <c r="E14051" s="290">
        <f>DATE(A14051,B14051,C14051)</f>
        <v>46090</v>
      </c>
      <c r="F14051" s="513" t="s">
        <v>1514</v>
      </c>
      <c r="G14051" s="200" t="s">
        <v>1209</v>
      </c>
      <c r="H14051" s="201"/>
      <c r="I14051" s="201"/>
      <c r="J14051" s="197" t="s">
        <v>54</v>
      </c>
      <c r="K14051" s="202">
        <v>58</v>
      </c>
      <c r="L14051" s="202"/>
      <c r="O14051" s="251"/>
    </row>
    <row r="14052" spans="1:15" ht="11.25" customHeight="1" x14ac:dyDescent="0.2">
      <c r="A14052" s="191">
        <v>2026</v>
      </c>
      <c r="B14052" s="191">
        <v>3</v>
      </c>
      <c r="C14052" s="191">
        <v>9</v>
      </c>
      <c r="D14052" s="192">
        <f t="shared" si="2167"/>
        <v>46090</v>
      </c>
      <c r="E14052" s="291">
        <f>DATE(A14052,B14052,C14052)</f>
        <v>46090</v>
      </c>
      <c r="F14052" s="514"/>
      <c r="G14052" s="194" t="s">
        <v>1209</v>
      </c>
      <c r="H14052" s="195"/>
      <c r="I14052" s="195"/>
      <c r="J14052" s="191" t="s">
        <v>46</v>
      </c>
      <c r="K14052" s="196"/>
      <c r="L14052" s="196">
        <f>K14051</f>
        <v>58</v>
      </c>
      <c r="O14052" s="251"/>
    </row>
    <row r="14053" spans="1:15" ht="11.25" customHeight="1" x14ac:dyDescent="0.2">
      <c r="A14053" s="197">
        <v>2026</v>
      </c>
      <c r="B14053" s="197">
        <v>3</v>
      </c>
      <c r="C14053" s="197">
        <v>9</v>
      </c>
      <c r="D14053" s="198">
        <f>DATE(A14053,B14053,C14053)</f>
        <v>46090</v>
      </c>
      <c r="E14053" s="290">
        <f>DATE(A14053,B14053,C14053)</f>
        <v>46090</v>
      </c>
      <c r="F14053" s="513" t="s">
        <v>2033</v>
      </c>
      <c r="G14053" s="200" t="s">
        <v>1245</v>
      </c>
      <c r="H14053" s="201"/>
      <c r="I14053" s="201" t="s">
        <v>1253</v>
      </c>
      <c r="J14053" s="197" t="s">
        <v>46</v>
      </c>
      <c r="K14053" s="202">
        <v>101666.67</v>
      </c>
      <c r="L14053" s="202"/>
      <c r="M14053" s="130"/>
      <c r="N14053" s="251"/>
    </row>
    <row r="14054" spans="1:15" ht="11.25" customHeight="1" x14ac:dyDescent="0.2">
      <c r="A14054" s="191">
        <v>2026</v>
      </c>
      <c r="B14054" s="191">
        <v>3</v>
      </c>
      <c r="C14054" s="191">
        <v>9</v>
      </c>
      <c r="D14054" s="192">
        <f>DATE(A14054,B14054,C14054)</f>
        <v>46090</v>
      </c>
      <c r="E14054" s="291">
        <f>DATE(A14054,B14054,C14054)</f>
        <v>46090</v>
      </c>
      <c r="F14054" s="527"/>
      <c r="G14054" s="194" t="s">
        <v>1245</v>
      </c>
      <c r="H14054" s="195"/>
      <c r="I14054" s="195" t="s">
        <v>1253</v>
      </c>
      <c r="J14054" s="191" t="s">
        <v>113</v>
      </c>
      <c r="K14054" s="196"/>
      <c r="L14054" s="196">
        <v>101666.67</v>
      </c>
      <c r="N14054" s="251"/>
    </row>
    <row r="14055" spans="1:15" x14ac:dyDescent="0.2">
      <c r="A14055" s="424">
        <v>2026</v>
      </c>
      <c r="B14055" s="424">
        <v>3</v>
      </c>
      <c r="C14055" s="424">
        <v>9</v>
      </c>
      <c r="D14055" s="425">
        <f t="shared" ref="D14055:D14096" si="2180">DATE(A14055,B14055,C14055)</f>
        <v>46090</v>
      </c>
      <c r="E14055" s="384">
        <f t="shared" si="2175"/>
        <v>46090</v>
      </c>
      <c r="F14055" s="528" t="s">
        <v>1850</v>
      </c>
      <c r="G14055" s="426" t="s">
        <v>1209</v>
      </c>
      <c r="H14055" s="427"/>
      <c r="I14055" s="427"/>
      <c r="J14055" s="428" t="s">
        <v>81</v>
      </c>
      <c r="K14055" s="429">
        <v>1595.81736263736</v>
      </c>
      <c r="L14055" s="429"/>
      <c r="M14055" s="455"/>
    </row>
    <row r="14056" spans="1:15" x14ac:dyDescent="0.2">
      <c r="A14056" s="389">
        <v>2026</v>
      </c>
      <c r="B14056" s="389">
        <v>3</v>
      </c>
      <c r="C14056" s="389">
        <v>9</v>
      </c>
      <c r="D14056" s="390">
        <f t="shared" si="2180"/>
        <v>46090</v>
      </c>
      <c r="E14056" s="391">
        <f t="shared" si="2175"/>
        <v>46090</v>
      </c>
      <c r="F14056" s="517"/>
      <c r="G14056" s="392" t="s">
        <v>1209</v>
      </c>
      <c r="H14056" s="393"/>
      <c r="I14056" s="393"/>
      <c r="J14056" s="394" t="s">
        <v>1847</v>
      </c>
      <c r="K14056" s="423"/>
      <c r="L14056" s="423">
        <f>K14055</f>
        <v>1595.81736263736</v>
      </c>
    </row>
    <row r="14057" spans="1:15" ht="11.25" customHeight="1" x14ac:dyDescent="0.2">
      <c r="A14057" s="382">
        <v>2026</v>
      </c>
      <c r="B14057" s="382">
        <v>3</v>
      </c>
      <c r="C14057" s="382">
        <v>9</v>
      </c>
      <c r="D14057" s="383">
        <f t="shared" si="2180"/>
        <v>46090</v>
      </c>
      <c r="E14057" s="384">
        <f t="shared" si="2175"/>
        <v>46090</v>
      </c>
      <c r="F14057" s="516" t="s">
        <v>1892</v>
      </c>
      <c r="G14057" s="385" t="s">
        <v>1209</v>
      </c>
      <c r="H14057" s="386"/>
      <c r="I14057" s="386"/>
      <c r="J14057" s="387" t="s">
        <v>173</v>
      </c>
      <c r="K14057" s="388">
        <v>591.39243451666653</v>
      </c>
      <c r="L14057" s="388"/>
      <c r="M14057" s="455"/>
    </row>
    <row r="14058" spans="1:15" ht="11.25" customHeight="1" x14ac:dyDescent="0.2">
      <c r="A14058" s="389">
        <v>2026</v>
      </c>
      <c r="B14058" s="389">
        <v>3</v>
      </c>
      <c r="C14058" s="389">
        <v>9</v>
      </c>
      <c r="D14058" s="390">
        <f t="shared" si="2180"/>
        <v>46090</v>
      </c>
      <c r="E14058" s="391">
        <f t="shared" si="2175"/>
        <v>46090</v>
      </c>
      <c r="F14058" s="517"/>
      <c r="G14058" s="392" t="s">
        <v>1209</v>
      </c>
      <c r="H14058" s="393"/>
      <c r="I14058" s="393"/>
      <c r="J14058" s="394" t="s">
        <v>43</v>
      </c>
      <c r="K14058" s="388"/>
      <c r="L14058" s="423">
        <f>K14057</f>
        <v>591.39243451666653</v>
      </c>
    </row>
    <row r="14059" spans="1:15" ht="11.25" customHeight="1" x14ac:dyDescent="0.2">
      <c r="A14059" s="344">
        <v>2026</v>
      </c>
      <c r="B14059" s="344">
        <v>3</v>
      </c>
      <c r="C14059" s="344">
        <v>9</v>
      </c>
      <c r="D14059" s="345">
        <f t="shared" si="2180"/>
        <v>46090</v>
      </c>
      <c r="E14059" s="346">
        <f t="shared" si="2175"/>
        <v>46090</v>
      </c>
      <c r="F14059" s="518" t="s">
        <v>1982</v>
      </c>
      <c r="G14059" s="347" t="s">
        <v>1245</v>
      </c>
      <c r="H14059" s="348"/>
      <c r="I14059" s="348" t="s">
        <v>1253</v>
      </c>
      <c r="J14059" s="344" t="s">
        <v>1978</v>
      </c>
      <c r="K14059" s="349">
        <v>20878.176795580101</v>
      </c>
      <c r="L14059" s="349"/>
      <c r="M14059" s="455"/>
    </row>
    <row r="14060" spans="1:15" ht="11.25" customHeight="1" x14ac:dyDescent="0.2">
      <c r="A14060" s="350">
        <v>2026</v>
      </c>
      <c r="B14060" s="350">
        <v>3</v>
      </c>
      <c r="C14060" s="350">
        <v>9</v>
      </c>
      <c r="D14060" s="351">
        <f t="shared" si="2180"/>
        <v>46090</v>
      </c>
      <c r="E14060" s="352">
        <f t="shared" si="2175"/>
        <v>46090</v>
      </c>
      <c r="F14060" s="519"/>
      <c r="G14060" s="353" t="s">
        <v>1245</v>
      </c>
      <c r="H14060" s="354"/>
      <c r="I14060" s="354" t="s">
        <v>1253</v>
      </c>
      <c r="J14060" s="350" t="s">
        <v>1979</v>
      </c>
      <c r="K14060" s="355"/>
      <c r="L14060" s="355">
        <f>K14059</f>
        <v>20878.176795580101</v>
      </c>
    </row>
    <row r="14061" spans="1:15" ht="11.25" customHeight="1" x14ac:dyDescent="0.2">
      <c r="A14061" s="344">
        <v>2026</v>
      </c>
      <c r="B14061" s="344">
        <v>3</v>
      </c>
      <c r="C14061" s="344">
        <v>9</v>
      </c>
      <c r="D14061" s="345">
        <f t="shared" si="2180"/>
        <v>46090</v>
      </c>
      <c r="E14061" s="346">
        <f t="shared" si="2175"/>
        <v>46090</v>
      </c>
      <c r="F14061" s="518" t="s">
        <v>2009</v>
      </c>
      <c r="G14061" s="347" t="s">
        <v>1245</v>
      </c>
      <c r="H14061" s="348"/>
      <c r="I14061" s="348" t="s">
        <v>1253</v>
      </c>
      <c r="J14061" s="344" t="s">
        <v>2004</v>
      </c>
      <c r="K14061" s="349">
        <v>7098.9014285714302</v>
      </c>
      <c r="L14061" s="349"/>
      <c r="M14061" s="455"/>
    </row>
    <row r="14062" spans="1:15" ht="11.25" customHeight="1" x14ac:dyDescent="0.2">
      <c r="A14062" s="350">
        <v>2026</v>
      </c>
      <c r="B14062" s="350">
        <v>3</v>
      </c>
      <c r="C14062" s="350">
        <v>9</v>
      </c>
      <c r="D14062" s="351">
        <f t="shared" si="2180"/>
        <v>46090</v>
      </c>
      <c r="E14062" s="352">
        <f t="shared" si="2175"/>
        <v>46090</v>
      </c>
      <c r="F14062" s="519"/>
      <c r="G14062" s="353" t="s">
        <v>1245</v>
      </c>
      <c r="H14062" s="354"/>
      <c r="I14062" s="354" t="s">
        <v>1253</v>
      </c>
      <c r="J14062" s="350" t="s">
        <v>2008</v>
      </c>
      <c r="K14062" s="355"/>
      <c r="L14062" s="355">
        <f t="shared" ref="L14062" si="2181">K14061</f>
        <v>7098.9014285714302</v>
      </c>
    </row>
    <row r="14063" spans="1:15" ht="11.25" customHeight="1" x14ac:dyDescent="0.2">
      <c r="A14063" s="344">
        <v>2026</v>
      </c>
      <c r="B14063" s="344">
        <v>3</v>
      </c>
      <c r="C14063" s="344">
        <v>9</v>
      </c>
      <c r="D14063" s="345">
        <f t="shared" si="2180"/>
        <v>46090</v>
      </c>
      <c r="E14063" s="346">
        <f t="shared" si="2175"/>
        <v>46090</v>
      </c>
      <c r="F14063" s="518" t="s">
        <v>2009</v>
      </c>
      <c r="G14063" s="347" t="s">
        <v>1245</v>
      </c>
      <c r="H14063" s="348"/>
      <c r="I14063" s="348" t="s">
        <v>1253</v>
      </c>
      <c r="J14063" s="344" t="s">
        <v>2004</v>
      </c>
      <c r="K14063" s="349">
        <v>7098.9014285714302</v>
      </c>
      <c r="L14063" s="349"/>
      <c r="M14063" s="455"/>
    </row>
    <row r="14064" spans="1:15" ht="11.25" customHeight="1" x14ac:dyDescent="0.2">
      <c r="A14064" s="350">
        <v>2026</v>
      </c>
      <c r="B14064" s="350">
        <v>3</v>
      </c>
      <c r="C14064" s="350">
        <v>9</v>
      </c>
      <c r="D14064" s="351">
        <f t="shared" si="2180"/>
        <v>46090</v>
      </c>
      <c r="E14064" s="352">
        <f t="shared" si="2175"/>
        <v>46090</v>
      </c>
      <c r="F14064" s="519"/>
      <c r="G14064" s="353" t="s">
        <v>1245</v>
      </c>
      <c r="H14064" s="354"/>
      <c r="I14064" s="354" t="s">
        <v>1253</v>
      </c>
      <c r="J14064" s="350" t="s">
        <v>2008</v>
      </c>
      <c r="K14064" s="355"/>
      <c r="L14064" s="355">
        <f t="shared" ref="L14064" si="2182">K14063</f>
        <v>7098.9014285714302</v>
      </c>
    </row>
    <row r="14065" spans="1:16" ht="11.25" customHeight="1" x14ac:dyDescent="0.2">
      <c r="A14065" s="344">
        <v>2026</v>
      </c>
      <c r="B14065" s="344">
        <v>3</v>
      </c>
      <c r="C14065" s="344">
        <v>9</v>
      </c>
      <c r="D14065" s="345">
        <f t="shared" si="2180"/>
        <v>46090</v>
      </c>
      <c r="E14065" s="346">
        <f t="shared" si="2175"/>
        <v>46090</v>
      </c>
      <c r="F14065" s="518" t="s">
        <v>2088</v>
      </c>
      <c r="G14065" s="347" t="s">
        <v>1245</v>
      </c>
      <c r="H14065" s="348"/>
      <c r="I14065" s="348" t="s">
        <v>1253</v>
      </c>
      <c r="J14065" s="344" t="s">
        <v>2086</v>
      </c>
      <c r="K14065" s="349">
        <v>1789.83516483516</v>
      </c>
      <c r="L14065" s="349"/>
      <c r="M14065" s="455"/>
    </row>
    <row r="14066" spans="1:16" ht="11.25" customHeight="1" x14ac:dyDescent="0.2">
      <c r="A14066" s="350">
        <v>2026</v>
      </c>
      <c r="B14066" s="350">
        <v>3</v>
      </c>
      <c r="C14066" s="350">
        <v>9</v>
      </c>
      <c r="D14066" s="351">
        <f t="shared" si="2180"/>
        <v>46090</v>
      </c>
      <c r="E14066" s="352">
        <f t="shared" si="2175"/>
        <v>46090</v>
      </c>
      <c r="F14066" s="519"/>
      <c r="G14066" s="353" t="s">
        <v>1245</v>
      </c>
      <c r="H14066" s="354"/>
      <c r="I14066" s="354" t="s">
        <v>1253</v>
      </c>
      <c r="J14066" s="350" t="s">
        <v>2089</v>
      </c>
      <c r="K14066" s="355"/>
      <c r="L14066" s="355">
        <f>K14065</f>
        <v>1789.83516483516</v>
      </c>
    </row>
    <row r="14067" spans="1:16" ht="11.25" customHeight="1" x14ac:dyDescent="0.2">
      <c r="A14067" s="344">
        <v>2026</v>
      </c>
      <c r="B14067" s="344">
        <v>3</v>
      </c>
      <c r="C14067" s="344">
        <v>9</v>
      </c>
      <c r="D14067" s="345">
        <f t="shared" si="2180"/>
        <v>46090</v>
      </c>
      <c r="E14067" s="346">
        <f>DATE(A14067,B14067,C14067)</f>
        <v>46090</v>
      </c>
      <c r="F14067" s="518" t="s">
        <v>1988</v>
      </c>
      <c r="G14067" s="347" t="s">
        <v>1245</v>
      </c>
      <c r="H14067" s="348"/>
      <c r="I14067" s="348" t="s">
        <v>1253</v>
      </c>
      <c r="J14067" s="344" t="s">
        <v>113</v>
      </c>
      <c r="K14067" s="349">
        <v>4692.3071428571402</v>
      </c>
      <c r="L14067" s="349"/>
      <c r="M14067" s="455"/>
    </row>
    <row r="14068" spans="1:16" ht="11.25" customHeight="1" x14ac:dyDescent="0.2">
      <c r="A14068" s="350">
        <v>2026</v>
      </c>
      <c r="B14068" s="350">
        <v>3</v>
      </c>
      <c r="C14068" s="350">
        <v>9</v>
      </c>
      <c r="D14068" s="351">
        <f t="shared" si="2180"/>
        <v>46090</v>
      </c>
      <c r="E14068" s="352">
        <f>DATE(A14068,B14068,C14068)</f>
        <v>46090</v>
      </c>
      <c r="F14068" s="519"/>
      <c r="G14068" s="353" t="s">
        <v>1245</v>
      </c>
      <c r="H14068" s="354"/>
      <c r="I14068" s="354" t="s">
        <v>1253</v>
      </c>
      <c r="J14068" s="350" t="s">
        <v>153</v>
      </c>
      <c r="K14068" s="355"/>
      <c r="L14068" s="355">
        <f t="shared" ref="L14068" si="2183">K14067</f>
        <v>4692.3071428571402</v>
      </c>
    </row>
    <row r="14069" spans="1:16" ht="11.25" customHeight="1" x14ac:dyDescent="0.2">
      <c r="A14069" s="344">
        <v>2026</v>
      </c>
      <c r="B14069" s="344">
        <v>3</v>
      </c>
      <c r="C14069" s="344">
        <v>9</v>
      </c>
      <c r="D14069" s="345">
        <f t="shared" si="2180"/>
        <v>46090</v>
      </c>
      <c r="E14069" s="346">
        <f t="shared" ref="E14069:E14075" si="2184">DATE(A14069,B14069,C14069)</f>
        <v>46090</v>
      </c>
      <c r="F14069" s="518" t="s">
        <v>1989</v>
      </c>
      <c r="G14069" s="347" t="s">
        <v>1245</v>
      </c>
      <c r="H14069" s="348"/>
      <c r="I14069" s="348" t="s">
        <v>1253</v>
      </c>
      <c r="J14069" s="344" t="s">
        <v>113</v>
      </c>
      <c r="K14069" s="349">
        <v>3351.6483516483499</v>
      </c>
      <c r="L14069" s="349"/>
      <c r="M14069" s="455"/>
    </row>
    <row r="14070" spans="1:16" ht="11.25" customHeight="1" x14ac:dyDescent="0.2">
      <c r="A14070" s="350">
        <v>2026</v>
      </c>
      <c r="B14070" s="350">
        <v>3</v>
      </c>
      <c r="C14070" s="350">
        <v>9</v>
      </c>
      <c r="D14070" s="351">
        <f t="shared" si="2180"/>
        <v>46090</v>
      </c>
      <c r="E14070" s="352">
        <f t="shared" si="2184"/>
        <v>46090</v>
      </c>
      <c r="F14070" s="519"/>
      <c r="G14070" s="353" t="s">
        <v>1245</v>
      </c>
      <c r="H14070" s="354"/>
      <c r="I14070" s="354" t="s">
        <v>1253</v>
      </c>
      <c r="J14070" s="350" t="s">
        <v>153</v>
      </c>
      <c r="K14070" s="355"/>
      <c r="L14070" s="355">
        <f t="shared" ref="L14070" si="2185">K14069</f>
        <v>3351.6483516483499</v>
      </c>
    </row>
    <row r="14071" spans="1:16" ht="11.25" customHeight="1" x14ac:dyDescent="0.2">
      <c r="A14071" s="344">
        <v>2026</v>
      </c>
      <c r="B14071" s="344">
        <v>3</v>
      </c>
      <c r="C14071" s="344">
        <v>9</v>
      </c>
      <c r="D14071" s="345">
        <f t="shared" si="2180"/>
        <v>46090</v>
      </c>
      <c r="E14071" s="346">
        <f t="shared" si="2184"/>
        <v>46090</v>
      </c>
      <c r="F14071" s="518" t="s">
        <v>1990</v>
      </c>
      <c r="G14071" s="347" t="s">
        <v>1245</v>
      </c>
      <c r="H14071" s="348"/>
      <c r="I14071" s="348" t="s">
        <v>1253</v>
      </c>
      <c r="J14071" s="344" t="s">
        <v>113</v>
      </c>
      <c r="K14071" s="349">
        <v>10054.945714285701</v>
      </c>
      <c r="L14071" s="349"/>
      <c r="M14071" s="455"/>
      <c r="N14071" s="251"/>
      <c r="O14071" s="251"/>
      <c r="P14071" s="251"/>
    </row>
    <row r="14072" spans="1:16" ht="11.25" customHeight="1" x14ac:dyDescent="0.2">
      <c r="A14072" s="350">
        <v>2026</v>
      </c>
      <c r="B14072" s="350">
        <v>3</v>
      </c>
      <c r="C14072" s="350">
        <v>9</v>
      </c>
      <c r="D14072" s="351">
        <f t="shared" si="2180"/>
        <v>46090</v>
      </c>
      <c r="E14072" s="352">
        <f t="shared" si="2184"/>
        <v>46090</v>
      </c>
      <c r="F14072" s="519"/>
      <c r="G14072" s="353" t="s">
        <v>1245</v>
      </c>
      <c r="H14072" s="354"/>
      <c r="I14072" s="354" t="s">
        <v>1253</v>
      </c>
      <c r="J14072" s="350" t="s">
        <v>153</v>
      </c>
      <c r="K14072" s="355"/>
      <c r="L14072" s="355">
        <f t="shared" ref="L14072" si="2186">K14071</f>
        <v>10054.945714285701</v>
      </c>
      <c r="M14072" s="455"/>
    </row>
    <row r="14073" spans="1:16" ht="11.25" customHeight="1" x14ac:dyDescent="0.2">
      <c r="A14073" s="344">
        <v>2026</v>
      </c>
      <c r="B14073" s="344">
        <v>3</v>
      </c>
      <c r="C14073" s="344">
        <v>9</v>
      </c>
      <c r="D14073" s="345">
        <f t="shared" si="2180"/>
        <v>46090</v>
      </c>
      <c r="E14073" s="346">
        <f t="shared" si="2184"/>
        <v>46090</v>
      </c>
      <c r="F14073" s="518" t="s">
        <v>2107</v>
      </c>
      <c r="G14073" s="347" t="s">
        <v>1245</v>
      </c>
      <c r="H14073" s="348"/>
      <c r="I14073" s="348" t="s">
        <v>1253</v>
      </c>
      <c r="J14073" s="344" t="s">
        <v>113</v>
      </c>
      <c r="K14073" s="349">
        <v>12370.879120879101</v>
      </c>
      <c r="L14073" s="349"/>
      <c r="M14073" s="455"/>
      <c r="N14073" s="251"/>
      <c r="O14073" s="251"/>
      <c r="P14073" s="251"/>
    </row>
    <row r="14074" spans="1:16" ht="11.25" customHeight="1" x14ac:dyDescent="0.2">
      <c r="A14074" s="350">
        <v>2026</v>
      </c>
      <c r="B14074" s="350">
        <v>3</v>
      </c>
      <c r="C14074" s="350">
        <v>9</v>
      </c>
      <c r="D14074" s="351">
        <f t="shared" si="2180"/>
        <v>46090</v>
      </c>
      <c r="E14074" s="352">
        <f t="shared" si="2184"/>
        <v>46090</v>
      </c>
      <c r="F14074" s="519"/>
      <c r="G14074" s="353" t="s">
        <v>1245</v>
      </c>
      <c r="H14074" s="354"/>
      <c r="I14074" s="354" t="s">
        <v>1253</v>
      </c>
      <c r="J14074" s="350" t="s">
        <v>153</v>
      </c>
      <c r="K14074" s="355"/>
      <c r="L14074" s="355">
        <f t="shared" ref="L14074" si="2187">K14073</f>
        <v>12370.879120879101</v>
      </c>
    </row>
    <row r="14075" spans="1:16" ht="11.25" customHeight="1" x14ac:dyDescent="0.2">
      <c r="A14075" s="210">
        <v>2026</v>
      </c>
      <c r="B14075" s="210">
        <v>3</v>
      </c>
      <c r="C14075" s="210">
        <v>9</v>
      </c>
      <c r="D14075" s="211">
        <f t="shared" si="2180"/>
        <v>46090</v>
      </c>
      <c r="E14075" s="238">
        <f t="shared" si="2184"/>
        <v>46090</v>
      </c>
      <c r="F14075" s="520" t="s">
        <v>1857</v>
      </c>
      <c r="G14075" s="213" t="s">
        <v>1245</v>
      </c>
      <c r="H14075" s="214"/>
      <c r="I14075" s="214" t="s">
        <v>1253</v>
      </c>
      <c r="J14075" s="210" t="s">
        <v>1284</v>
      </c>
      <c r="K14075" s="215">
        <v>334.54448777029398</v>
      </c>
      <c r="L14075" s="215"/>
      <c r="M14075" s="455"/>
    </row>
    <row r="14076" spans="1:16" ht="11.25" customHeight="1" x14ac:dyDescent="0.2">
      <c r="A14076" s="242">
        <v>2026</v>
      </c>
      <c r="B14076" s="242">
        <v>3</v>
      </c>
      <c r="C14076" s="242">
        <v>9</v>
      </c>
      <c r="D14076" s="243">
        <f t="shared" si="2180"/>
        <v>46090</v>
      </c>
      <c r="E14076" s="244">
        <f>DATE(A14076,B14076,C14076)</f>
        <v>46090</v>
      </c>
      <c r="F14076" s="524"/>
      <c r="G14076" s="245" t="s">
        <v>1245</v>
      </c>
      <c r="H14076" s="246"/>
      <c r="I14076" s="246"/>
      <c r="J14076" s="242" t="s">
        <v>1582</v>
      </c>
      <c r="K14076" s="247"/>
      <c r="L14076" s="247">
        <f>K14075</f>
        <v>334.54448777029398</v>
      </c>
    </row>
    <row r="14077" spans="1:16" ht="11.25" customHeight="1" x14ac:dyDescent="0.2">
      <c r="A14077" s="210">
        <v>2026</v>
      </c>
      <c r="B14077" s="210">
        <v>3</v>
      </c>
      <c r="C14077" s="210">
        <v>9</v>
      </c>
      <c r="D14077" s="211">
        <f t="shared" si="2180"/>
        <v>46090</v>
      </c>
      <c r="E14077" s="238">
        <f t="shared" ref="E14077:E14111" si="2188">DATE(A14077,B14077,C14077)</f>
        <v>46090</v>
      </c>
      <c r="F14077" s="520" t="s">
        <v>2055</v>
      </c>
      <c r="G14077" s="213" t="s">
        <v>1245</v>
      </c>
      <c r="H14077" s="214"/>
      <c r="I14077" s="214" t="s">
        <v>1253</v>
      </c>
      <c r="J14077" s="210" t="s">
        <v>58</v>
      </c>
      <c r="K14077" s="215">
        <v>5365.4850173611112</v>
      </c>
      <c r="L14077" s="215"/>
    </row>
    <row r="14078" spans="1:16" ht="11.25" customHeight="1" x14ac:dyDescent="0.2">
      <c r="A14078" s="216">
        <v>2026</v>
      </c>
      <c r="B14078" s="216">
        <v>3</v>
      </c>
      <c r="C14078" s="216">
        <v>9</v>
      </c>
      <c r="D14078" s="217">
        <f t="shared" si="2180"/>
        <v>46090</v>
      </c>
      <c r="E14078" s="239">
        <f t="shared" si="2188"/>
        <v>46090</v>
      </c>
      <c r="F14078" s="521"/>
      <c r="G14078" s="219" t="s">
        <v>1245</v>
      </c>
      <c r="H14078" s="220"/>
      <c r="I14078" s="220" t="s">
        <v>1253</v>
      </c>
      <c r="J14078" s="216" t="s">
        <v>153</v>
      </c>
      <c r="K14078" s="221"/>
      <c r="L14078" s="221">
        <f>K14077</f>
        <v>5365.4850173611112</v>
      </c>
    </row>
    <row r="14079" spans="1:16" ht="11.25" customHeight="1" x14ac:dyDescent="0.2">
      <c r="A14079" s="312">
        <v>2026</v>
      </c>
      <c r="B14079" s="312">
        <v>3</v>
      </c>
      <c r="C14079" s="312">
        <v>9</v>
      </c>
      <c r="D14079" s="313">
        <f t="shared" si="2180"/>
        <v>46090</v>
      </c>
      <c r="E14079" s="314">
        <f t="shared" si="2188"/>
        <v>46090</v>
      </c>
      <c r="F14079" s="522" t="s">
        <v>1595</v>
      </c>
      <c r="G14079" s="315" t="s">
        <v>1245</v>
      </c>
      <c r="H14079" s="316"/>
      <c r="I14079" s="316" t="s">
        <v>1253</v>
      </c>
      <c r="J14079" s="312" t="s">
        <v>1461</v>
      </c>
      <c r="K14079" s="317">
        <v>97107.97899979353</v>
      </c>
      <c r="L14079" s="317"/>
      <c r="M14079" s="328"/>
    </row>
    <row r="14080" spans="1:16" ht="11.25" customHeight="1" x14ac:dyDescent="0.2">
      <c r="A14080" s="486">
        <v>2026</v>
      </c>
      <c r="B14080" s="486">
        <v>3</v>
      </c>
      <c r="C14080" s="486">
        <v>9</v>
      </c>
      <c r="D14080" s="487">
        <f t="shared" si="2180"/>
        <v>46090</v>
      </c>
      <c r="E14080" s="488">
        <f t="shared" si="2188"/>
        <v>46090</v>
      </c>
      <c r="F14080" s="525"/>
      <c r="G14080" s="489" t="s">
        <v>1245</v>
      </c>
      <c r="H14080" s="490"/>
      <c r="I14080" s="490" t="s">
        <v>1253</v>
      </c>
      <c r="J14080" s="486" t="s">
        <v>1459</v>
      </c>
      <c r="K14080" s="491"/>
      <c r="L14080" s="491">
        <f>K14079</f>
        <v>97107.97899979353</v>
      </c>
      <c r="M14080" s="328"/>
    </row>
    <row r="14081" spans="1:15" ht="11.25" customHeight="1" x14ac:dyDescent="0.2">
      <c r="A14081" s="222">
        <v>2026</v>
      </c>
      <c r="B14081" s="222">
        <v>3</v>
      </c>
      <c r="C14081" s="222">
        <v>9</v>
      </c>
      <c r="D14081" s="223">
        <f t="shared" si="2180"/>
        <v>46090</v>
      </c>
      <c r="E14081" s="240">
        <f t="shared" si="2188"/>
        <v>46090</v>
      </c>
      <c r="F14081" s="511" t="s">
        <v>1244</v>
      </c>
      <c r="G14081" s="225" t="s">
        <v>1245</v>
      </c>
      <c r="H14081" s="226"/>
      <c r="I14081" s="226" t="s">
        <v>1253</v>
      </c>
      <c r="J14081" s="222" t="s">
        <v>87</v>
      </c>
      <c r="K14081" s="227">
        <v>11647.5</v>
      </c>
      <c r="L14081" s="227"/>
      <c r="M14081" s="328"/>
    </row>
    <row r="14082" spans="1:15" ht="11.25" customHeight="1" x14ac:dyDescent="0.2">
      <c r="A14082" s="228">
        <v>2026</v>
      </c>
      <c r="B14082" s="228">
        <v>3</v>
      </c>
      <c r="C14082" s="228">
        <v>9</v>
      </c>
      <c r="D14082" s="229">
        <f t="shared" si="2180"/>
        <v>46090</v>
      </c>
      <c r="E14082" s="241">
        <f t="shared" si="2188"/>
        <v>46090</v>
      </c>
      <c r="F14082" s="512"/>
      <c r="G14082" s="231" t="s">
        <v>1245</v>
      </c>
      <c r="H14082" s="232"/>
      <c r="I14082" s="232" t="s">
        <v>1253</v>
      </c>
      <c r="J14082" s="228" t="s">
        <v>72</v>
      </c>
      <c r="K14082" s="233"/>
      <c r="L14082" s="233">
        <f>K14081</f>
        <v>11647.5</v>
      </c>
    </row>
    <row r="14083" spans="1:15" ht="11.25" customHeight="1" x14ac:dyDescent="0.2">
      <c r="A14083" s="492">
        <v>2026</v>
      </c>
      <c r="B14083" s="492">
        <v>3</v>
      </c>
      <c r="C14083" s="492">
        <v>9</v>
      </c>
      <c r="D14083" s="493">
        <f t="shared" si="2180"/>
        <v>46090</v>
      </c>
      <c r="E14083" s="494">
        <f t="shared" si="2188"/>
        <v>46090</v>
      </c>
      <c r="F14083" s="526" t="s">
        <v>2138</v>
      </c>
      <c r="G14083" s="495" t="s">
        <v>1245</v>
      </c>
      <c r="H14083" s="496"/>
      <c r="I14083" s="496" t="s">
        <v>1253</v>
      </c>
      <c r="J14083" s="492" t="s">
        <v>75</v>
      </c>
      <c r="K14083" s="497">
        <v>517.58912087912097</v>
      </c>
      <c r="L14083" s="497"/>
      <c r="M14083" s="455"/>
    </row>
    <row r="14084" spans="1:15" ht="11.25" customHeight="1" x14ac:dyDescent="0.2">
      <c r="A14084" s="228">
        <v>2026</v>
      </c>
      <c r="B14084" s="228">
        <v>3</v>
      </c>
      <c r="C14084" s="228">
        <v>9</v>
      </c>
      <c r="D14084" s="229">
        <f t="shared" si="2180"/>
        <v>46090</v>
      </c>
      <c r="E14084" s="241">
        <f t="shared" si="2188"/>
        <v>46090</v>
      </c>
      <c r="F14084" s="512"/>
      <c r="G14084" s="231" t="s">
        <v>1245</v>
      </c>
      <c r="H14084" s="232"/>
      <c r="I14084" s="232" t="s">
        <v>1253</v>
      </c>
      <c r="J14084" s="228" t="s">
        <v>55</v>
      </c>
      <c r="K14084" s="233"/>
      <c r="L14084" s="233">
        <f>K14083</f>
        <v>517.58912087912097</v>
      </c>
    </row>
    <row r="14085" spans="1:15" ht="11.25" customHeight="1" x14ac:dyDescent="0.2">
      <c r="A14085" s="222">
        <v>2026</v>
      </c>
      <c r="B14085" s="222">
        <v>3</v>
      </c>
      <c r="C14085" s="222">
        <v>9</v>
      </c>
      <c r="D14085" s="223">
        <f t="shared" si="2180"/>
        <v>46090</v>
      </c>
      <c r="E14085" s="240">
        <f t="shared" si="2188"/>
        <v>46090</v>
      </c>
      <c r="F14085" s="511" t="s">
        <v>2137</v>
      </c>
      <c r="G14085" s="225" t="s">
        <v>1245</v>
      </c>
      <c r="H14085" s="226"/>
      <c r="I14085" s="226" t="s">
        <v>1253</v>
      </c>
      <c r="J14085" s="222" t="s">
        <v>77</v>
      </c>
      <c r="K14085" s="227">
        <v>7697.1904055165078</v>
      </c>
      <c r="L14085" s="227"/>
      <c r="M14085" s="478">
        <v>7697.1904055165078</v>
      </c>
    </row>
    <row r="14086" spans="1:15" ht="11.25" customHeight="1" x14ac:dyDescent="0.2">
      <c r="A14086" s="228">
        <v>2026</v>
      </c>
      <c r="B14086" s="228">
        <v>3</v>
      </c>
      <c r="C14086" s="228">
        <v>9</v>
      </c>
      <c r="D14086" s="229">
        <f t="shared" si="2180"/>
        <v>46090</v>
      </c>
      <c r="E14086" s="241">
        <f t="shared" si="2188"/>
        <v>46090</v>
      </c>
      <c r="F14086" s="512"/>
      <c r="G14086" s="231" t="s">
        <v>1245</v>
      </c>
      <c r="H14086" s="232"/>
      <c r="I14086" s="232" t="s">
        <v>1253</v>
      </c>
      <c r="J14086" s="228" t="s">
        <v>41</v>
      </c>
      <c r="K14086" s="233"/>
      <c r="L14086" s="233">
        <f>K14085</f>
        <v>7697.1904055165078</v>
      </c>
      <c r="M14086" s="328">
        <v>769.71904055165089</v>
      </c>
      <c r="N14086" s="251"/>
    </row>
    <row r="14087" spans="1:15" ht="11.25" customHeight="1" x14ac:dyDescent="0.2">
      <c r="A14087" s="222">
        <v>2026</v>
      </c>
      <c r="B14087" s="222">
        <v>3</v>
      </c>
      <c r="C14087" s="222">
        <v>9</v>
      </c>
      <c r="D14087" s="223">
        <f t="shared" si="2180"/>
        <v>46090</v>
      </c>
      <c r="E14087" s="240">
        <f t="shared" si="2188"/>
        <v>46090</v>
      </c>
      <c r="F14087" s="511" t="s">
        <v>2136</v>
      </c>
      <c r="G14087" s="225" t="s">
        <v>1245</v>
      </c>
      <c r="H14087" s="226"/>
      <c r="I14087" s="226" t="s">
        <v>1253</v>
      </c>
      <c r="J14087" s="222" t="s">
        <v>80</v>
      </c>
      <c r="K14087" s="227">
        <v>769.71904055165089</v>
      </c>
      <c r="L14087" s="227"/>
      <c r="M14087" s="328"/>
      <c r="N14087" s="251"/>
      <c r="O14087" s="251"/>
    </row>
    <row r="14088" spans="1:15" ht="11.25" customHeight="1" x14ac:dyDescent="0.2">
      <c r="A14088" s="228">
        <v>2026</v>
      </c>
      <c r="B14088" s="228">
        <v>3</v>
      </c>
      <c r="C14088" s="228">
        <v>9</v>
      </c>
      <c r="D14088" s="229">
        <f t="shared" si="2180"/>
        <v>46090</v>
      </c>
      <c r="E14088" s="241">
        <f t="shared" si="2188"/>
        <v>46090</v>
      </c>
      <c r="F14088" s="512"/>
      <c r="G14088" s="231" t="s">
        <v>1245</v>
      </c>
      <c r="H14088" s="232"/>
      <c r="I14088" s="232" t="s">
        <v>1253</v>
      </c>
      <c r="J14088" s="228" t="s">
        <v>42</v>
      </c>
      <c r="K14088" s="233"/>
      <c r="L14088" s="233">
        <f>K14087</f>
        <v>769.71904055165089</v>
      </c>
      <c r="N14088" s="251"/>
    </row>
    <row r="14089" spans="1:15" x14ac:dyDescent="0.2">
      <c r="A14089" s="197">
        <v>2026</v>
      </c>
      <c r="B14089" s="197">
        <v>3</v>
      </c>
      <c r="C14089" s="197">
        <v>10</v>
      </c>
      <c r="D14089" s="198">
        <f t="shared" si="2180"/>
        <v>46091</v>
      </c>
      <c r="E14089" s="209">
        <f t="shared" si="2188"/>
        <v>46091</v>
      </c>
      <c r="F14089" s="513" t="s">
        <v>1210</v>
      </c>
      <c r="G14089" s="200" t="s">
        <v>1209</v>
      </c>
      <c r="H14089" s="201"/>
      <c r="I14089" s="201"/>
      <c r="J14089" s="197" t="s">
        <v>46</v>
      </c>
      <c r="K14089" s="202">
        <v>550000</v>
      </c>
      <c r="L14089" s="202"/>
    </row>
    <row r="14090" spans="1:15" x14ac:dyDescent="0.2">
      <c r="A14090" s="120">
        <v>2026</v>
      </c>
      <c r="B14090" s="120">
        <v>3</v>
      </c>
      <c r="C14090" s="120">
        <v>10</v>
      </c>
      <c r="D14090" s="208">
        <f t="shared" si="2180"/>
        <v>46091</v>
      </c>
      <c r="E14090" s="209">
        <f t="shared" si="2188"/>
        <v>46091</v>
      </c>
      <c r="F14090" s="515"/>
      <c r="G14090" s="132" t="s">
        <v>1209</v>
      </c>
      <c r="J14090" s="120" t="s">
        <v>16</v>
      </c>
      <c r="K14090" s="207"/>
      <c r="L14090" s="207">
        <v>388910</v>
      </c>
    </row>
    <row r="14091" spans="1:15" x14ac:dyDescent="0.2">
      <c r="A14091" s="191">
        <v>2026</v>
      </c>
      <c r="B14091" s="191">
        <v>3</v>
      </c>
      <c r="C14091" s="191">
        <v>10</v>
      </c>
      <c r="D14091" s="192">
        <f t="shared" si="2180"/>
        <v>46091</v>
      </c>
      <c r="E14091" s="193">
        <f t="shared" si="2188"/>
        <v>46091</v>
      </c>
      <c r="F14091" s="514"/>
      <c r="G14091" s="194" t="s">
        <v>1209</v>
      </c>
      <c r="H14091" s="195"/>
      <c r="I14091" s="195"/>
      <c r="J14091" s="191" t="s">
        <v>47</v>
      </c>
      <c r="K14091" s="196"/>
      <c r="L14091" s="196">
        <v>161090</v>
      </c>
    </row>
    <row r="14092" spans="1:15" x14ac:dyDescent="0.2">
      <c r="A14092" s="197">
        <v>2026</v>
      </c>
      <c r="B14092" s="197">
        <v>3</v>
      </c>
      <c r="C14092" s="197">
        <v>10</v>
      </c>
      <c r="D14092" s="198">
        <f t="shared" si="2180"/>
        <v>46091</v>
      </c>
      <c r="E14092" s="209">
        <f t="shared" si="2188"/>
        <v>46091</v>
      </c>
      <c r="F14092" s="513" t="s">
        <v>1423</v>
      </c>
      <c r="G14092" s="200" t="s">
        <v>1209</v>
      </c>
      <c r="H14092" s="201"/>
      <c r="I14092" s="201"/>
      <c r="J14092" s="197" t="s">
        <v>16</v>
      </c>
      <c r="K14092" s="202">
        <v>383610</v>
      </c>
      <c r="L14092" s="202"/>
    </row>
    <row r="14093" spans="1:15" x14ac:dyDescent="0.2">
      <c r="A14093" s="120">
        <v>2026</v>
      </c>
      <c r="B14093" s="120">
        <v>3</v>
      </c>
      <c r="C14093" s="120">
        <v>10</v>
      </c>
      <c r="D14093" s="208">
        <f t="shared" si="2180"/>
        <v>46091</v>
      </c>
      <c r="E14093" s="209">
        <f t="shared" si="2188"/>
        <v>46091</v>
      </c>
      <c r="F14093" s="515"/>
      <c r="G14093" s="132" t="s">
        <v>1209</v>
      </c>
      <c r="J14093" s="120" t="s">
        <v>47</v>
      </c>
      <c r="K14093" s="207">
        <v>158891.26</v>
      </c>
      <c r="L14093" s="207"/>
    </row>
    <row r="14094" spans="1:15" x14ac:dyDescent="0.2">
      <c r="A14094" s="191">
        <v>2026</v>
      </c>
      <c r="B14094" s="191">
        <v>3</v>
      </c>
      <c r="C14094" s="191">
        <v>10</v>
      </c>
      <c r="D14094" s="192">
        <f t="shared" si="2180"/>
        <v>46091</v>
      </c>
      <c r="E14094" s="193">
        <f t="shared" si="2188"/>
        <v>46091</v>
      </c>
      <c r="F14094" s="514"/>
      <c r="G14094" s="194" t="s">
        <v>1209</v>
      </c>
      <c r="H14094" s="195"/>
      <c r="I14094" s="195"/>
      <c r="J14094" s="191" t="s">
        <v>46</v>
      </c>
      <c r="K14094" s="196"/>
      <c r="L14094" s="196">
        <v>542501.26</v>
      </c>
    </row>
    <row r="14095" spans="1:15" ht="11.25" customHeight="1" x14ac:dyDescent="0.2">
      <c r="A14095" s="197">
        <v>2026</v>
      </c>
      <c r="B14095" s="197">
        <v>3</v>
      </c>
      <c r="C14095" s="197">
        <v>10</v>
      </c>
      <c r="D14095" s="198">
        <f t="shared" si="2180"/>
        <v>46091</v>
      </c>
      <c r="E14095" s="290">
        <f>DATE(A14095,B14095,C14095)</f>
        <v>46091</v>
      </c>
      <c r="F14095" s="513" t="s">
        <v>1514</v>
      </c>
      <c r="G14095" s="200" t="s">
        <v>1209</v>
      </c>
      <c r="H14095" s="201"/>
      <c r="I14095" s="201"/>
      <c r="J14095" s="197" t="s">
        <v>54</v>
      </c>
      <c r="K14095" s="202">
        <v>100</v>
      </c>
      <c r="L14095" s="202"/>
      <c r="O14095" s="251"/>
    </row>
    <row r="14096" spans="1:15" ht="11.25" customHeight="1" x14ac:dyDescent="0.2">
      <c r="A14096" s="191">
        <v>2026</v>
      </c>
      <c r="B14096" s="191">
        <v>3</v>
      </c>
      <c r="C14096" s="191">
        <v>10</v>
      </c>
      <c r="D14096" s="192">
        <f t="shared" si="2180"/>
        <v>46091</v>
      </c>
      <c r="E14096" s="291">
        <f>DATE(A14096,B14096,C14096)</f>
        <v>46091</v>
      </c>
      <c r="F14096" s="514"/>
      <c r="G14096" s="194" t="s">
        <v>1209</v>
      </c>
      <c r="H14096" s="195"/>
      <c r="I14096" s="195"/>
      <c r="J14096" s="191" t="s">
        <v>46</v>
      </c>
      <c r="K14096" s="196"/>
      <c r="L14096" s="196">
        <f>K14095</f>
        <v>100</v>
      </c>
      <c r="O14096" s="251"/>
    </row>
    <row r="14097" spans="1:13" x14ac:dyDescent="0.2">
      <c r="A14097" s="197">
        <v>2026</v>
      </c>
      <c r="B14097" s="197">
        <v>3</v>
      </c>
      <c r="C14097" s="197">
        <v>10</v>
      </c>
      <c r="D14097" s="198">
        <f t="shared" ref="D14097:D14099" si="2189">DATE(A14097,B14097,C14097)</f>
        <v>46091</v>
      </c>
      <c r="E14097" s="209">
        <f t="shared" ref="E14097:E14099" si="2190">DATE(A14097,B14097,C14097)</f>
        <v>46091</v>
      </c>
      <c r="F14097" s="513" t="s">
        <v>1296</v>
      </c>
      <c r="G14097" s="200" t="s">
        <v>1209</v>
      </c>
      <c r="H14097" s="201"/>
      <c r="I14097" s="201"/>
      <c r="J14097" s="197" t="s">
        <v>46</v>
      </c>
      <c r="K14097" s="202">
        <v>10000</v>
      </c>
      <c r="L14097" s="202"/>
    </row>
    <row r="14098" spans="1:13" x14ac:dyDescent="0.2">
      <c r="A14098" s="120">
        <v>2026</v>
      </c>
      <c r="B14098" s="120">
        <v>3</v>
      </c>
      <c r="C14098" s="120">
        <v>10</v>
      </c>
      <c r="D14098" s="208">
        <f t="shared" si="2189"/>
        <v>46091</v>
      </c>
      <c r="E14098" s="209">
        <f t="shared" si="2190"/>
        <v>46091</v>
      </c>
      <c r="F14098" s="515"/>
      <c r="G14098" s="132" t="s">
        <v>1209</v>
      </c>
      <c r="J14098" s="120" t="s">
        <v>16</v>
      </c>
      <c r="K14098" s="207"/>
      <c r="L14098" s="207">
        <v>7080</v>
      </c>
    </row>
    <row r="14099" spans="1:13" x14ac:dyDescent="0.2">
      <c r="A14099" s="191">
        <v>2026</v>
      </c>
      <c r="B14099" s="191">
        <v>3</v>
      </c>
      <c r="C14099" s="191">
        <v>10</v>
      </c>
      <c r="D14099" s="192">
        <f t="shared" si="2189"/>
        <v>46091</v>
      </c>
      <c r="E14099" s="193">
        <f t="shared" si="2190"/>
        <v>46091</v>
      </c>
      <c r="F14099" s="514"/>
      <c r="G14099" s="194" t="s">
        <v>1209</v>
      </c>
      <c r="H14099" s="195"/>
      <c r="I14099" s="195"/>
      <c r="J14099" s="191" t="s">
        <v>47</v>
      </c>
      <c r="K14099" s="196"/>
      <c r="L14099" s="196">
        <v>2920</v>
      </c>
    </row>
    <row r="14100" spans="1:13" x14ac:dyDescent="0.2">
      <c r="A14100" s="424">
        <v>2026</v>
      </c>
      <c r="B14100" s="424">
        <v>3</v>
      </c>
      <c r="C14100" s="424">
        <v>10</v>
      </c>
      <c r="D14100" s="425">
        <f t="shared" ref="D14100:D14140" si="2191">DATE(A14100,B14100,C14100)</f>
        <v>46091</v>
      </c>
      <c r="E14100" s="384">
        <f t="shared" si="2188"/>
        <v>46091</v>
      </c>
      <c r="F14100" s="516" t="s">
        <v>1850</v>
      </c>
      <c r="G14100" s="426" t="s">
        <v>1209</v>
      </c>
      <c r="H14100" s="427"/>
      <c r="I14100" s="427"/>
      <c r="J14100" s="428" t="s">
        <v>81</v>
      </c>
      <c r="K14100" s="429">
        <v>1595.81736263736</v>
      </c>
      <c r="L14100" s="429"/>
      <c r="M14100" s="455"/>
    </row>
    <row r="14101" spans="1:13" x14ac:dyDescent="0.2">
      <c r="A14101" s="389">
        <v>2026</v>
      </c>
      <c r="B14101" s="389">
        <v>3</v>
      </c>
      <c r="C14101" s="389">
        <v>10</v>
      </c>
      <c r="D14101" s="390">
        <f t="shared" si="2191"/>
        <v>46091</v>
      </c>
      <c r="E14101" s="391">
        <f t="shared" si="2188"/>
        <v>46091</v>
      </c>
      <c r="F14101" s="517"/>
      <c r="G14101" s="392" t="s">
        <v>1209</v>
      </c>
      <c r="H14101" s="393"/>
      <c r="I14101" s="393"/>
      <c r="J14101" s="394" t="s">
        <v>1847</v>
      </c>
      <c r="K14101" s="423"/>
      <c r="L14101" s="423">
        <f>K14100</f>
        <v>1595.81736263736</v>
      </c>
    </row>
    <row r="14102" spans="1:13" ht="11.25" customHeight="1" x14ac:dyDescent="0.2">
      <c r="A14102" s="382">
        <v>2026</v>
      </c>
      <c r="B14102" s="382">
        <v>3</v>
      </c>
      <c r="C14102" s="382">
        <v>10</v>
      </c>
      <c r="D14102" s="383">
        <f t="shared" si="2191"/>
        <v>46091</v>
      </c>
      <c r="E14102" s="384">
        <f t="shared" si="2188"/>
        <v>46091</v>
      </c>
      <c r="F14102" s="516" t="s">
        <v>1892</v>
      </c>
      <c r="G14102" s="385" t="s">
        <v>1209</v>
      </c>
      <c r="H14102" s="386"/>
      <c r="I14102" s="386"/>
      <c r="J14102" s="387" t="s">
        <v>173</v>
      </c>
      <c r="K14102" s="388">
        <v>591.56016564166669</v>
      </c>
      <c r="L14102" s="388"/>
      <c r="M14102" s="455"/>
    </row>
    <row r="14103" spans="1:13" ht="11.25" customHeight="1" x14ac:dyDescent="0.2">
      <c r="A14103" s="389">
        <v>2026</v>
      </c>
      <c r="B14103" s="389">
        <v>3</v>
      </c>
      <c r="C14103" s="389">
        <v>10</v>
      </c>
      <c r="D14103" s="390">
        <f t="shared" si="2191"/>
        <v>46091</v>
      </c>
      <c r="E14103" s="391">
        <f t="shared" si="2188"/>
        <v>46091</v>
      </c>
      <c r="F14103" s="517"/>
      <c r="G14103" s="392" t="s">
        <v>1209</v>
      </c>
      <c r="H14103" s="393"/>
      <c r="I14103" s="393"/>
      <c r="J14103" s="394" t="s">
        <v>43</v>
      </c>
      <c r="K14103" s="388"/>
      <c r="L14103" s="423">
        <f>K14102</f>
        <v>591.56016564166669</v>
      </c>
    </row>
    <row r="14104" spans="1:13" ht="11.25" customHeight="1" x14ac:dyDescent="0.2">
      <c r="A14104" s="344">
        <v>2026</v>
      </c>
      <c r="B14104" s="344">
        <v>3</v>
      </c>
      <c r="C14104" s="344">
        <v>10</v>
      </c>
      <c r="D14104" s="345">
        <f t="shared" si="2191"/>
        <v>46091</v>
      </c>
      <c r="E14104" s="346">
        <f t="shared" si="2188"/>
        <v>46091</v>
      </c>
      <c r="F14104" s="518" t="s">
        <v>1982</v>
      </c>
      <c r="G14104" s="347" t="s">
        <v>1245</v>
      </c>
      <c r="H14104" s="348"/>
      <c r="I14104" s="348" t="s">
        <v>1253</v>
      </c>
      <c r="J14104" s="344" t="s">
        <v>1978</v>
      </c>
      <c r="K14104" s="349">
        <v>20878.176795580101</v>
      </c>
      <c r="L14104" s="349"/>
      <c r="M14104" s="455"/>
    </row>
    <row r="14105" spans="1:13" ht="11.25" customHeight="1" x14ac:dyDescent="0.2">
      <c r="A14105" s="350">
        <v>2026</v>
      </c>
      <c r="B14105" s="350">
        <v>3</v>
      </c>
      <c r="C14105" s="350">
        <v>10</v>
      </c>
      <c r="D14105" s="351">
        <f t="shared" si="2191"/>
        <v>46091</v>
      </c>
      <c r="E14105" s="352">
        <f t="shared" si="2188"/>
        <v>46091</v>
      </c>
      <c r="F14105" s="519"/>
      <c r="G14105" s="353" t="s">
        <v>1245</v>
      </c>
      <c r="H14105" s="354"/>
      <c r="I14105" s="354" t="s">
        <v>1253</v>
      </c>
      <c r="J14105" s="350" t="s">
        <v>1979</v>
      </c>
      <c r="K14105" s="355"/>
      <c r="L14105" s="355">
        <f>K14104</f>
        <v>20878.176795580101</v>
      </c>
    </row>
    <row r="14106" spans="1:13" ht="11.25" customHeight="1" x14ac:dyDescent="0.2">
      <c r="A14106" s="344">
        <v>2026</v>
      </c>
      <c r="B14106" s="344">
        <v>3</v>
      </c>
      <c r="C14106" s="344">
        <v>10</v>
      </c>
      <c r="D14106" s="345">
        <f t="shared" si="2191"/>
        <v>46091</v>
      </c>
      <c r="E14106" s="346">
        <f t="shared" si="2188"/>
        <v>46091</v>
      </c>
      <c r="F14106" s="518" t="s">
        <v>2009</v>
      </c>
      <c r="G14106" s="347" t="s">
        <v>1245</v>
      </c>
      <c r="H14106" s="348"/>
      <c r="I14106" s="348" t="s">
        <v>1253</v>
      </c>
      <c r="J14106" s="344" t="s">
        <v>2004</v>
      </c>
      <c r="K14106" s="349">
        <v>7098.9014285714302</v>
      </c>
      <c r="L14106" s="349"/>
      <c r="M14106" s="455"/>
    </row>
    <row r="14107" spans="1:13" ht="11.25" customHeight="1" x14ac:dyDescent="0.2">
      <c r="A14107" s="350">
        <v>2026</v>
      </c>
      <c r="B14107" s="350">
        <v>3</v>
      </c>
      <c r="C14107" s="350">
        <v>10</v>
      </c>
      <c r="D14107" s="351">
        <f t="shared" si="2191"/>
        <v>46091</v>
      </c>
      <c r="E14107" s="352">
        <f t="shared" si="2188"/>
        <v>46091</v>
      </c>
      <c r="F14107" s="519"/>
      <c r="G14107" s="353" t="s">
        <v>1245</v>
      </c>
      <c r="H14107" s="354"/>
      <c r="I14107" s="354" t="s">
        <v>1253</v>
      </c>
      <c r="J14107" s="350" t="s">
        <v>2008</v>
      </c>
      <c r="K14107" s="355"/>
      <c r="L14107" s="355">
        <f t="shared" ref="L14107" si="2192">K14106</f>
        <v>7098.9014285714302</v>
      </c>
    </row>
    <row r="14108" spans="1:13" ht="11.25" customHeight="1" x14ac:dyDescent="0.2">
      <c r="A14108" s="344">
        <v>2026</v>
      </c>
      <c r="B14108" s="344">
        <v>3</v>
      </c>
      <c r="C14108" s="344">
        <v>10</v>
      </c>
      <c r="D14108" s="345">
        <f t="shared" si="2191"/>
        <v>46091</v>
      </c>
      <c r="E14108" s="346">
        <f t="shared" si="2188"/>
        <v>46091</v>
      </c>
      <c r="F14108" s="518" t="s">
        <v>2009</v>
      </c>
      <c r="G14108" s="347" t="s">
        <v>1245</v>
      </c>
      <c r="H14108" s="348"/>
      <c r="I14108" s="348" t="s">
        <v>1253</v>
      </c>
      <c r="J14108" s="344" t="s">
        <v>2004</v>
      </c>
      <c r="K14108" s="349">
        <v>7098.9014285714302</v>
      </c>
      <c r="L14108" s="349"/>
      <c r="M14108" s="455"/>
    </row>
    <row r="14109" spans="1:13" ht="11.25" customHeight="1" x14ac:dyDescent="0.2">
      <c r="A14109" s="350">
        <v>2026</v>
      </c>
      <c r="B14109" s="350">
        <v>3</v>
      </c>
      <c r="C14109" s="350">
        <v>10</v>
      </c>
      <c r="D14109" s="351">
        <f t="shared" si="2191"/>
        <v>46091</v>
      </c>
      <c r="E14109" s="352">
        <f t="shared" si="2188"/>
        <v>46091</v>
      </c>
      <c r="F14109" s="519"/>
      <c r="G14109" s="353" t="s">
        <v>1245</v>
      </c>
      <c r="H14109" s="354"/>
      <c r="I14109" s="354" t="s">
        <v>1253</v>
      </c>
      <c r="J14109" s="350" t="s">
        <v>2008</v>
      </c>
      <c r="K14109" s="355"/>
      <c r="L14109" s="355">
        <f t="shared" ref="L14109" si="2193">K14108</f>
        <v>7098.9014285714302</v>
      </c>
    </row>
    <row r="14110" spans="1:13" ht="11.25" customHeight="1" x14ac:dyDescent="0.2">
      <c r="A14110" s="344">
        <v>2026</v>
      </c>
      <c r="B14110" s="344">
        <v>3</v>
      </c>
      <c r="C14110" s="344">
        <v>10</v>
      </c>
      <c r="D14110" s="345">
        <f t="shared" si="2191"/>
        <v>46091</v>
      </c>
      <c r="E14110" s="346">
        <f t="shared" si="2188"/>
        <v>46091</v>
      </c>
      <c r="F14110" s="518" t="s">
        <v>2088</v>
      </c>
      <c r="G14110" s="347" t="s">
        <v>1245</v>
      </c>
      <c r="H14110" s="348"/>
      <c r="I14110" s="348" t="s">
        <v>1253</v>
      </c>
      <c r="J14110" s="344" t="s">
        <v>2086</v>
      </c>
      <c r="K14110" s="349">
        <v>1789.83516483516</v>
      </c>
      <c r="L14110" s="349"/>
      <c r="M14110" s="455"/>
    </row>
    <row r="14111" spans="1:13" ht="11.25" customHeight="1" x14ac:dyDescent="0.2">
      <c r="A14111" s="350">
        <v>2026</v>
      </c>
      <c r="B14111" s="350">
        <v>3</v>
      </c>
      <c r="C14111" s="350">
        <v>10</v>
      </c>
      <c r="D14111" s="351">
        <f t="shared" si="2191"/>
        <v>46091</v>
      </c>
      <c r="E14111" s="352">
        <f t="shared" si="2188"/>
        <v>46091</v>
      </c>
      <c r="F14111" s="519"/>
      <c r="G14111" s="353" t="s">
        <v>1245</v>
      </c>
      <c r="H14111" s="354"/>
      <c r="I14111" s="354" t="s">
        <v>1253</v>
      </c>
      <c r="J14111" s="350" t="s">
        <v>2089</v>
      </c>
      <c r="K14111" s="355"/>
      <c r="L14111" s="355">
        <f>K14110</f>
        <v>1789.83516483516</v>
      </c>
    </row>
    <row r="14112" spans="1:13" ht="11.25" customHeight="1" x14ac:dyDescent="0.2">
      <c r="A14112" s="344">
        <v>2026</v>
      </c>
      <c r="B14112" s="344">
        <v>3</v>
      </c>
      <c r="C14112" s="344">
        <v>10</v>
      </c>
      <c r="D14112" s="345">
        <f t="shared" si="2191"/>
        <v>46091</v>
      </c>
      <c r="E14112" s="346">
        <f>DATE(A14112,B14112,C14112)</f>
        <v>46091</v>
      </c>
      <c r="F14112" s="518" t="s">
        <v>1988</v>
      </c>
      <c r="G14112" s="347" t="s">
        <v>1245</v>
      </c>
      <c r="H14112" s="348"/>
      <c r="I14112" s="348" t="s">
        <v>1253</v>
      </c>
      <c r="J14112" s="344" t="s">
        <v>113</v>
      </c>
      <c r="K14112" s="349">
        <v>4692.3071428571402</v>
      </c>
      <c r="L14112" s="349"/>
      <c r="M14112" s="455"/>
    </row>
    <row r="14113" spans="1:16" ht="11.25" customHeight="1" x14ac:dyDescent="0.2">
      <c r="A14113" s="350">
        <v>2026</v>
      </c>
      <c r="B14113" s="350">
        <v>3</v>
      </c>
      <c r="C14113" s="350">
        <v>10</v>
      </c>
      <c r="D14113" s="351">
        <f t="shared" si="2191"/>
        <v>46091</v>
      </c>
      <c r="E14113" s="352">
        <f>DATE(A14113,B14113,C14113)</f>
        <v>46091</v>
      </c>
      <c r="F14113" s="519"/>
      <c r="G14113" s="353" t="s">
        <v>1245</v>
      </c>
      <c r="H14113" s="354"/>
      <c r="I14113" s="354" t="s">
        <v>1253</v>
      </c>
      <c r="J14113" s="350" t="s">
        <v>153</v>
      </c>
      <c r="K14113" s="355"/>
      <c r="L14113" s="355">
        <f t="shared" ref="L14113" si="2194">K14112</f>
        <v>4692.3071428571402</v>
      </c>
    </row>
    <row r="14114" spans="1:16" ht="11.25" customHeight="1" x14ac:dyDescent="0.2">
      <c r="A14114" s="344">
        <v>2026</v>
      </c>
      <c r="B14114" s="344">
        <v>3</v>
      </c>
      <c r="C14114" s="344">
        <v>10</v>
      </c>
      <c r="D14114" s="345">
        <f t="shared" si="2191"/>
        <v>46091</v>
      </c>
      <c r="E14114" s="346">
        <f t="shared" ref="E14114:E14120" si="2195">DATE(A14114,B14114,C14114)</f>
        <v>46091</v>
      </c>
      <c r="F14114" s="518" t="s">
        <v>1989</v>
      </c>
      <c r="G14114" s="347" t="s">
        <v>1245</v>
      </c>
      <c r="H14114" s="348"/>
      <c r="I14114" s="348" t="s">
        <v>1253</v>
      </c>
      <c r="J14114" s="344" t="s">
        <v>113</v>
      </c>
      <c r="K14114" s="349">
        <v>3351.6483516483499</v>
      </c>
      <c r="L14114" s="349"/>
      <c r="M14114" s="455"/>
    </row>
    <row r="14115" spans="1:16" ht="11.25" customHeight="1" x14ac:dyDescent="0.2">
      <c r="A14115" s="350">
        <v>2026</v>
      </c>
      <c r="B14115" s="350">
        <v>3</v>
      </c>
      <c r="C14115" s="350">
        <v>10</v>
      </c>
      <c r="D14115" s="351">
        <f t="shared" si="2191"/>
        <v>46091</v>
      </c>
      <c r="E14115" s="352">
        <f t="shared" si="2195"/>
        <v>46091</v>
      </c>
      <c r="F14115" s="519"/>
      <c r="G14115" s="353" t="s">
        <v>1245</v>
      </c>
      <c r="H14115" s="354"/>
      <c r="I14115" s="354" t="s">
        <v>1253</v>
      </c>
      <c r="J14115" s="350" t="s">
        <v>153</v>
      </c>
      <c r="K14115" s="355"/>
      <c r="L14115" s="355">
        <f t="shared" ref="L14115" si="2196">K14114</f>
        <v>3351.6483516483499</v>
      </c>
    </row>
    <row r="14116" spans="1:16" ht="11.25" customHeight="1" x14ac:dyDescent="0.2">
      <c r="A14116" s="344">
        <v>2026</v>
      </c>
      <c r="B14116" s="344">
        <v>3</v>
      </c>
      <c r="C14116" s="344">
        <v>10</v>
      </c>
      <c r="D14116" s="345">
        <f t="shared" si="2191"/>
        <v>46091</v>
      </c>
      <c r="E14116" s="346">
        <f t="shared" si="2195"/>
        <v>46091</v>
      </c>
      <c r="F14116" s="518" t="s">
        <v>1990</v>
      </c>
      <c r="G14116" s="347" t="s">
        <v>1245</v>
      </c>
      <c r="H14116" s="348"/>
      <c r="I14116" s="348" t="s">
        <v>1253</v>
      </c>
      <c r="J14116" s="344" t="s">
        <v>113</v>
      </c>
      <c r="K14116" s="349">
        <v>10054.945714285701</v>
      </c>
      <c r="L14116" s="349"/>
      <c r="M14116" s="455"/>
      <c r="N14116" s="251"/>
      <c r="O14116" s="251"/>
      <c r="P14116" s="251"/>
    </row>
    <row r="14117" spans="1:16" ht="11.25" customHeight="1" x14ac:dyDescent="0.2">
      <c r="A14117" s="350">
        <v>2026</v>
      </c>
      <c r="B14117" s="350">
        <v>3</v>
      </c>
      <c r="C14117" s="350">
        <v>10</v>
      </c>
      <c r="D14117" s="351">
        <f t="shared" si="2191"/>
        <v>46091</v>
      </c>
      <c r="E14117" s="352">
        <f t="shared" si="2195"/>
        <v>46091</v>
      </c>
      <c r="F14117" s="519"/>
      <c r="G14117" s="353" t="s">
        <v>1245</v>
      </c>
      <c r="H14117" s="354"/>
      <c r="I14117" s="354" t="s">
        <v>1253</v>
      </c>
      <c r="J14117" s="350" t="s">
        <v>153</v>
      </c>
      <c r="K14117" s="355"/>
      <c r="L14117" s="355">
        <f t="shared" ref="L14117" si="2197">K14116</f>
        <v>10054.945714285701</v>
      </c>
      <c r="M14117" s="455"/>
    </row>
    <row r="14118" spans="1:16" ht="11.25" customHeight="1" x14ac:dyDescent="0.2">
      <c r="A14118" s="344">
        <v>2026</v>
      </c>
      <c r="B14118" s="344">
        <v>3</v>
      </c>
      <c r="C14118" s="344">
        <v>10</v>
      </c>
      <c r="D14118" s="345">
        <f t="shared" si="2191"/>
        <v>46091</v>
      </c>
      <c r="E14118" s="346">
        <f t="shared" si="2195"/>
        <v>46091</v>
      </c>
      <c r="F14118" s="518" t="s">
        <v>2107</v>
      </c>
      <c r="G14118" s="347" t="s">
        <v>1245</v>
      </c>
      <c r="H14118" s="348"/>
      <c r="I14118" s="348" t="s">
        <v>1253</v>
      </c>
      <c r="J14118" s="344" t="s">
        <v>113</v>
      </c>
      <c r="K14118" s="349">
        <v>12370.879120879101</v>
      </c>
      <c r="L14118" s="349"/>
      <c r="M14118" s="455"/>
      <c r="N14118" s="251"/>
      <c r="O14118" s="251"/>
      <c r="P14118" s="251"/>
    </row>
    <row r="14119" spans="1:16" ht="11.25" customHeight="1" x14ac:dyDescent="0.2">
      <c r="A14119" s="350">
        <v>2026</v>
      </c>
      <c r="B14119" s="350">
        <v>3</v>
      </c>
      <c r="C14119" s="350">
        <v>10</v>
      </c>
      <c r="D14119" s="351">
        <f t="shared" si="2191"/>
        <v>46091</v>
      </c>
      <c r="E14119" s="352">
        <f t="shared" si="2195"/>
        <v>46091</v>
      </c>
      <c r="F14119" s="519"/>
      <c r="G14119" s="353" t="s">
        <v>1245</v>
      </c>
      <c r="H14119" s="354"/>
      <c r="I14119" s="354" t="s">
        <v>1253</v>
      </c>
      <c r="J14119" s="350" t="s">
        <v>153</v>
      </c>
      <c r="K14119" s="355"/>
      <c r="L14119" s="355">
        <f t="shared" ref="L14119" si="2198">K14118</f>
        <v>12370.879120879101</v>
      </c>
    </row>
    <row r="14120" spans="1:16" ht="11.25" customHeight="1" x14ac:dyDescent="0.2">
      <c r="A14120" s="210">
        <v>2026</v>
      </c>
      <c r="B14120" s="210">
        <v>3</v>
      </c>
      <c r="C14120" s="210">
        <v>10</v>
      </c>
      <c r="D14120" s="211">
        <f t="shared" si="2191"/>
        <v>46091</v>
      </c>
      <c r="E14120" s="238">
        <f t="shared" si="2195"/>
        <v>46091</v>
      </c>
      <c r="F14120" s="520" t="s">
        <v>1857</v>
      </c>
      <c r="G14120" s="213" t="s">
        <v>1245</v>
      </c>
      <c r="H14120" s="214"/>
      <c r="I14120" s="214" t="s">
        <v>1253</v>
      </c>
      <c r="J14120" s="210" t="s">
        <v>1284</v>
      </c>
      <c r="K14120" s="215">
        <v>334.54448777029398</v>
      </c>
      <c r="L14120" s="215"/>
      <c r="M14120" s="455"/>
    </row>
    <row r="14121" spans="1:16" ht="11.25" customHeight="1" x14ac:dyDescent="0.2">
      <c r="A14121" s="242">
        <v>2026</v>
      </c>
      <c r="B14121" s="242">
        <v>3</v>
      </c>
      <c r="C14121" s="242">
        <v>10</v>
      </c>
      <c r="D14121" s="243">
        <f t="shared" si="2191"/>
        <v>46091</v>
      </c>
      <c r="E14121" s="244">
        <f>DATE(A14121,B14121,C14121)</f>
        <v>46091</v>
      </c>
      <c r="F14121" s="521"/>
      <c r="G14121" s="245" t="s">
        <v>1245</v>
      </c>
      <c r="H14121" s="246"/>
      <c r="I14121" s="246"/>
      <c r="J14121" s="242" t="s">
        <v>1582</v>
      </c>
      <c r="K14121" s="247"/>
      <c r="L14121" s="247">
        <f>K14120</f>
        <v>334.54448777029398</v>
      </c>
    </row>
    <row r="14122" spans="1:16" ht="11.25" customHeight="1" x14ac:dyDescent="0.2">
      <c r="A14122" s="210">
        <v>2026</v>
      </c>
      <c r="B14122" s="210">
        <v>3</v>
      </c>
      <c r="C14122" s="210">
        <v>10</v>
      </c>
      <c r="D14122" s="211">
        <f t="shared" si="2191"/>
        <v>46091</v>
      </c>
      <c r="E14122" s="238">
        <f t="shared" ref="E14122:E14135" si="2199">DATE(A14122,B14122,C14122)</f>
        <v>46091</v>
      </c>
      <c r="F14122" s="520" t="s">
        <v>2055</v>
      </c>
      <c r="G14122" s="213" t="s">
        <v>1245</v>
      </c>
      <c r="H14122" s="214"/>
      <c r="I14122" s="214" t="s">
        <v>1253</v>
      </c>
      <c r="J14122" s="210" t="s">
        <v>58</v>
      </c>
      <c r="K14122" s="215">
        <v>5367.1653104166662</v>
      </c>
      <c r="L14122" s="215"/>
    </row>
    <row r="14123" spans="1:16" ht="11.25" customHeight="1" x14ac:dyDescent="0.2">
      <c r="A14123" s="216">
        <v>2026</v>
      </c>
      <c r="B14123" s="216">
        <v>3</v>
      </c>
      <c r="C14123" s="216">
        <v>10</v>
      </c>
      <c r="D14123" s="217">
        <f t="shared" si="2191"/>
        <v>46091</v>
      </c>
      <c r="E14123" s="239">
        <f t="shared" si="2199"/>
        <v>46091</v>
      </c>
      <c r="F14123" s="521"/>
      <c r="G14123" s="219" t="s">
        <v>1245</v>
      </c>
      <c r="H14123" s="220"/>
      <c r="I14123" s="220" t="s">
        <v>1253</v>
      </c>
      <c r="J14123" s="216" t="s">
        <v>153</v>
      </c>
      <c r="K14123" s="221"/>
      <c r="L14123" s="221">
        <f>K14122</f>
        <v>5367.1653104166662</v>
      </c>
    </row>
    <row r="14124" spans="1:16" ht="11.25" customHeight="1" x14ac:dyDescent="0.2">
      <c r="A14124" s="312">
        <v>2026</v>
      </c>
      <c r="B14124" s="312">
        <v>3</v>
      </c>
      <c r="C14124" s="312">
        <v>10</v>
      </c>
      <c r="D14124" s="313">
        <f t="shared" si="2191"/>
        <v>46091</v>
      </c>
      <c r="E14124" s="314">
        <f t="shared" si="2199"/>
        <v>46091</v>
      </c>
      <c r="F14124" s="522" t="s">
        <v>1595</v>
      </c>
      <c r="G14124" s="315" t="s">
        <v>1245</v>
      </c>
      <c r="H14124" s="316"/>
      <c r="I14124" s="316" t="s">
        <v>1253</v>
      </c>
      <c r="J14124" s="312" t="s">
        <v>1461</v>
      </c>
      <c r="K14124" s="317">
        <v>97573.910000026226</v>
      </c>
      <c r="L14124" s="317"/>
      <c r="M14124" s="328"/>
    </row>
    <row r="14125" spans="1:16" ht="11.25" customHeight="1" x14ac:dyDescent="0.2">
      <c r="A14125" s="486">
        <v>2026</v>
      </c>
      <c r="B14125" s="486">
        <v>3</v>
      </c>
      <c r="C14125" s="486">
        <v>10</v>
      </c>
      <c r="D14125" s="487">
        <f t="shared" si="2191"/>
        <v>46091</v>
      </c>
      <c r="E14125" s="488">
        <f t="shared" si="2199"/>
        <v>46091</v>
      </c>
      <c r="F14125" s="523"/>
      <c r="G14125" s="489" t="s">
        <v>1245</v>
      </c>
      <c r="H14125" s="490"/>
      <c r="I14125" s="490" t="s">
        <v>1253</v>
      </c>
      <c r="J14125" s="486" t="s">
        <v>1459</v>
      </c>
      <c r="K14125" s="491"/>
      <c r="L14125" s="491">
        <f>K14124</f>
        <v>97573.910000026226</v>
      </c>
      <c r="M14125" s="328"/>
    </row>
    <row r="14126" spans="1:16" ht="11.25" customHeight="1" x14ac:dyDescent="0.2">
      <c r="A14126" s="222">
        <v>2026</v>
      </c>
      <c r="B14126" s="222">
        <v>3</v>
      </c>
      <c r="C14126" s="222">
        <v>10</v>
      </c>
      <c r="D14126" s="223">
        <f t="shared" si="2191"/>
        <v>46091</v>
      </c>
      <c r="E14126" s="240">
        <f t="shared" si="2199"/>
        <v>46091</v>
      </c>
      <c r="F14126" s="511" t="s">
        <v>1244</v>
      </c>
      <c r="G14126" s="225" t="s">
        <v>1245</v>
      </c>
      <c r="H14126" s="226"/>
      <c r="I14126" s="226" t="s">
        <v>1253</v>
      </c>
      <c r="J14126" s="222" t="s">
        <v>87</v>
      </c>
      <c r="K14126" s="227">
        <v>11545</v>
      </c>
      <c r="L14126" s="227"/>
      <c r="M14126" s="328"/>
    </row>
    <row r="14127" spans="1:16" ht="11.25" customHeight="1" x14ac:dyDescent="0.2">
      <c r="A14127" s="228">
        <v>2026</v>
      </c>
      <c r="B14127" s="228">
        <v>3</v>
      </c>
      <c r="C14127" s="228">
        <v>10</v>
      </c>
      <c r="D14127" s="229">
        <f t="shared" si="2191"/>
        <v>46091</v>
      </c>
      <c r="E14127" s="241">
        <f t="shared" si="2199"/>
        <v>46091</v>
      </c>
      <c r="F14127" s="512"/>
      <c r="G14127" s="231" t="s">
        <v>1245</v>
      </c>
      <c r="H14127" s="232"/>
      <c r="I14127" s="232" t="s">
        <v>1253</v>
      </c>
      <c r="J14127" s="228" t="s">
        <v>72</v>
      </c>
      <c r="K14127" s="233"/>
      <c r="L14127" s="233">
        <f>K14126</f>
        <v>11545</v>
      </c>
    </row>
    <row r="14128" spans="1:16" ht="11.25" customHeight="1" x14ac:dyDescent="0.2">
      <c r="A14128" s="492">
        <v>2026</v>
      </c>
      <c r="B14128" s="492">
        <v>3</v>
      </c>
      <c r="C14128" s="492">
        <v>10</v>
      </c>
      <c r="D14128" s="493">
        <f t="shared" si="2191"/>
        <v>46091</v>
      </c>
      <c r="E14128" s="494">
        <f t="shared" si="2199"/>
        <v>46091</v>
      </c>
      <c r="F14128" s="511" t="s">
        <v>2138</v>
      </c>
      <c r="G14128" s="495" t="s">
        <v>1245</v>
      </c>
      <c r="H14128" s="496"/>
      <c r="I14128" s="496" t="s">
        <v>1253</v>
      </c>
      <c r="J14128" s="492" t="s">
        <v>75</v>
      </c>
      <c r="K14128" s="497">
        <v>517.58912087912097</v>
      </c>
      <c r="L14128" s="497"/>
      <c r="M14128" s="455"/>
    </row>
    <row r="14129" spans="1:15" ht="11.25" customHeight="1" x14ac:dyDescent="0.2">
      <c r="A14129" s="228">
        <v>2026</v>
      </c>
      <c r="B14129" s="228">
        <v>3</v>
      </c>
      <c r="C14129" s="228">
        <v>10</v>
      </c>
      <c r="D14129" s="229">
        <f t="shared" si="2191"/>
        <v>46091</v>
      </c>
      <c r="E14129" s="241">
        <f t="shared" si="2199"/>
        <v>46091</v>
      </c>
      <c r="F14129" s="512"/>
      <c r="G14129" s="231" t="s">
        <v>1245</v>
      </c>
      <c r="H14129" s="232"/>
      <c r="I14129" s="232" t="s">
        <v>1253</v>
      </c>
      <c r="J14129" s="228" t="s">
        <v>55</v>
      </c>
      <c r="K14129" s="233"/>
      <c r="L14129" s="233">
        <f>K14128</f>
        <v>517.58912087912097</v>
      </c>
    </row>
    <row r="14130" spans="1:15" ht="11.25" customHeight="1" x14ac:dyDescent="0.2">
      <c r="A14130" s="222">
        <v>2026</v>
      </c>
      <c r="B14130" s="222">
        <v>3</v>
      </c>
      <c r="C14130" s="222">
        <v>10</v>
      </c>
      <c r="D14130" s="223">
        <f t="shared" si="2191"/>
        <v>46091</v>
      </c>
      <c r="E14130" s="240">
        <f t="shared" si="2199"/>
        <v>46091</v>
      </c>
      <c r="F14130" s="511" t="s">
        <v>2137</v>
      </c>
      <c r="G14130" s="225" t="s">
        <v>1245</v>
      </c>
      <c r="H14130" s="226"/>
      <c r="I14130" s="226" t="s">
        <v>1253</v>
      </c>
      <c r="J14130" s="222" t="s">
        <v>77</v>
      </c>
      <c r="K14130" s="227">
        <v>7699.6681931533394</v>
      </c>
      <c r="L14130" s="227"/>
      <c r="M14130" s="478">
        <v>7699.6681931533394</v>
      </c>
    </row>
    <row r="14131" spans="1:15" ht="11.25" customHeight="1" x14ac:dyDescent="0.2">
      <c r="A14131" s="228">
        <v>2026</v>
      </c>
      <c r="B14131" s="228">
        <v>3</v>
      </c>
      <c r="C14131" s="228">
        <v>10</v>
      </c>
      <c r="D14131" s="229">
        <f t="shared" si="2191"/>
        <v>46091</v>
      </c>
      <c r="E14131" s="241">
        <f t="shared" si="2199"/>
        <v>46091</v>
      </c>
      <c r="F14131" s="512"/>
      <c r="G14131" s="231" t="s">
        <v>1245</v>
      </c>
      <c r="H14131" s="232"/>
      <c r="I14131" s="232" t="s">
        <v>1253</v>
      </c>
      <c r="J14131" s="228" t="s">
        <v>41</v>
      </c>
      <c r="K14131" s="233"/>
      <c r="L14131" s="233">
        <f>K14130</f>
        <v>7699.6681931533394</v>
      </c>
      <c r="M14131" s="328">
        <v>769.96681931533396</v>
      </c>
      <c r="N14131" s="251"/>
    </row>
    <row r="14132" spans="1:15" ht="11.25" customHeight="1" x14ac:dyDescent="0.2">
      <c r="A14132" s="222">
        <v>2026</v>
      </c>
      <c r="B14132" s="222">
        <v>3</v>
      </c>
      <c r="C14132" s="222">
        <v>10</v>
      </c>
      <c r="D14132" s="223">
        <f t="shared" si="2191"/>
        <v>46091</v>
      </c>
      <c r="E14132" s="240">
        <f t="shared" si="2199"/>
        <v>46091</v>
      </c>
      <c r="F14132" s="511" t="s">
        <v>2136</v>
      </c>
      <c r="G14132" s="225" t="s">
        <v>1245</v>
      </c>
      <c r="H14132" s="226"/>
      <c r="I14132" s="226" t="s">
        <v>1253</v>
      </c>
      <c r="J14132" s="222" t="s">
        <v>80</v>
      </c>
      <c r="K14132" s="227">
        <v>769.96681931533396</v>
      </c>
      <c r="L14132" s="227"/>
      <c r="M14132" s="328"/>
      <c r="N14132" s="251"/>
      <c r="O14132" s="251"/>
    </row>
    <row r="14133" spans="1:15" ht="11.25" customHeight="1" x14ac:dyDescent="0.2">
      <c r="A14133" s="228">
        <v>2026</v>
      </c>
      <c r="B14133" s="228">
        <v>3</v>
      </c>
      <c r="C14133" s="228">
        <v>10</v>
      </c>
      <c r="D14133" s="229">
        <f t="shared" si="2191"/>
        <v>46091</v>
      </c>
      <c r="E14133" s="241">
        <f t="shared" si="2199"/>
        <v>46091</v>
      </c>
      <c r="F14133" s="512"/>
      <c r="G14133" s="231" t="s">
        <v>1245</v>
      </c>
      <c r="H14133" s="232"/>
      <c r="I14133" s="232" t="s">
        <v>1253</v>
      </c>
      <c r="J14133" s="228" t="s">
        <v>42</v>
      </c>
      <c r="K14133" s="233"/>
      <c r="L14133" s="233">
        <f>K14132</f>
        <v>769.96681931533396</v>
      </c>
      <c r="N14133" s="251"/>
    </row>
    <row r="14134" spans="1:15" ht="11.25" customHeight="1" x14ac:dyDescent="0.2">
      <c r="A14134" s="197">
        <v>2026</v>
      </c>
      <c r="B14134" s="197">
        <v>3</v>
      </c>
      <c r="C14134" s="197">
        <v>11</v>
      </c>
      <c r="D14134" s="198">
        <f t="shared" si="2191"/>
        <v>46092</v>
      </c>
      <c r="E14134" s="199">
        <f t="shared" si="2199"/>
        <v>46092</v>
      </c>
      <c r="F14134" s="513" t="s">
        <v>2097</v>
      </c>
      <c r="G14134" s="200" t="s">
        <v>1209</v>
      </c>
      <c r="H14134" s="201"/>
      <c r="I14134" s="201"/>
      <c r="J14134" s="197" t="s">
        <v>1251</v>
      </c>
      <c r="K14134" s="202">
        <v>180324</v>
      </c>
      <c r="L14134" s="202"/>
    </row>
    <row r="14135" spans="1:15" ht="11.25" customHeight="1" x14ac:dyDescent="0.2">
      <c r="A14135" s="191">
        <v>2026</v>
      </c>
      <c r="B14135" s="191">
        <v>3</v>
      </c>
      <c r="C14135" s="191">
        <v>11</v>
      </c>
      <c r="D14135" s="192">
        <f t="shared" si="2191"/>
        <v>46092</v>
      </c>
      <c r="E14135" s="193">
        <f t="shared" si="2199"/>
        <v>46092</v>
      </c>
      <c r="F14135" s="514"/>
      <c r="G14135" s="194" t="s">
        <v>1209</v>
      </c>
      <c r="H14135" s="195"/>
      <c r="I14135" s="195"/>
      <c r="J14135" s="191" t="s">
        <v>46</v>
      </c>
      <c r="K14135" s="196"/>
      <c r="L14135" s="196">
        <f>K14134</f>
        <v>180324</v>
      </c>
    </row>
    <row r="14136" spans="1:15" ht="11.25" customHeight="1" x14ac:dyDescent="0.2">
      <c r="A14136" s="197">
        <v>2026</v>
      </c>
      <c r="B14136" s="197">
        <v>3</v>
      </c>
      <c r="C14136" s="197">
        <v>11</v>
      </c>
      <c r="D14136" s="198">
        <f t="shared" si="2191"/>
        <v>46092</v>
      </c>
      <c r="E14136" s="290">
        <f>DATE(A14136,B14136,C14136)</f>
        <v>46092</v>
      </c>
      <c r="F14136" s="513" t="s">
        <v>1514</v>
      </c>
      <c r="G14136" s="200" t="s">
        <v>1209</v>
      </c>
      <c r="H14136" s="201"/>
      <c r="I14136" s="201"/>
      <c r="J14136" s="197" t="s">
        <v>54</v>
      </c>
      <c r="K14136" s="202">
        <v>58</v>
      </c>
      <c r="L14136" s="202"/>
      <c r="O14136" s="251"/>
    </row>
    <row r="14137" spans="1:15" ht="11.25" customHeight="1" x14ac:dyDescent="0.2">
      <c r="A14137" s="191">
        <v>2026</v>
      </c>
      <c r="B14137" s="191">
        <v>3</v>
      </c>
      <c r="C14137" s="191">
        <v>11</v>
      </c>
      <c r="D14137" s="192">
        <f t="shared" si="2191"/>
        <v>46092</v>
      </c>
      <c r="E14137" s="291">
        <f>DATE(A14137,B14137,C14137)</f>
        <v>46092</v>
      </c>
      <c r="F14137" s="514"/>
      <c r="G14137" s="194" t="s">
        <v>1209</v>
      </c>
      <c r="H14137" s="195"/>
      <c r="I14137" s="195"/>
      <c r="J14137" s="191" t="s">
        <v>46</v>
      </c>
      <c r="K14137" s="196"/>
      <c r="L14137" s="196">
        <f>K14136</f>
        <v>58</v>
      </c>
      <c r="O14137" s="251"/>
    </row>
    <row r="14138" spans="1:15" x14ac:dyDescent="0.2">
      <c r="A14138" s="197">
        <v>2026</v>
      </c>
      <c r="B14138" s="197">
        <v>3</v>
      </c>
      <c r="C14138" s="197">
        <v>11</v>
      </c>
      <c r="D14138" s="198">
        <f t="shared" si="2191"/>
        <v>46092</v>
      </c>
      <c r="E14138" s="209">
        <f t="shared" ref="E14138:E14152" si="2200">DATE(A14138,B14138,C14138)</f>
        <v>46092</v>
      </c>
      <c r="F14138" s="513" t="s">
        <v>1210</v>
      </c>
      <c r="G14138" s="200" t="s">
        <v>1209</v>
      </c>
      <c r="H14138" s="201"/>
      <c r="I14138" s="201"/>
      <c r="J14138" s="197" t="s">
        <v>46</v>
      </c>
      <c r="K14138" s="202">
        <v>500000</v>
      </c>
      <c r="L14138" s="202"/>
    </row>
    <row r="14139" spans="1:15" x14ac:dyDescent="0.2">
      <c r="A14139" s="120">
        <v>2026</v>
      </c>
      <c r="B14139" s="120">
        <v>3</v>
      </c>
      <c r="C14139" s="120">
        <v>11</v>
      </c>
      <c r="D14139" s="208">
        <f t="shared" si="2191"/>
        <v>46092</v>
      </c>
      <c r="E14139" s="209">
        <f t="shared" si="2200"/>
        <v>46092</v>
      </c>
      <c r="F14139" s="515"/>
      <c r="G14139" s="132" t="s">
        <v>1209</v>
      </c>
      <c r="J14139" s="120" t="s">
        <v>16</v>
      </c>
      <c r="K14139" s="207"/>
      <c r="L14139" s="207">
        <v>353430</v>
      </c>
    </row>
    <row r="14140" spans="1:15" x14ac:dyDescent="0.2">
      <c r="A14140" s="191">
        <v>2026</v>
      </c>
      <c r="B14140" s="191">
        <v>3</v>
      </c>
      <c r="C14140" s="191">
        <v>11</v>
      </c>
      <c r="D14140" s="192">
        <f t="shared" si="2191"/>
        <v>46092</v>
      </c>
      <c r="E14140" s="193">
        <f t="shared" si="2200"/>
        <v>46092</v>
      </c>
      <c r="F14140" s="514"/>
      <c r="G14140" s="194" t="s">
        <v>1209</v>
      </c>
      <c r="H14140" s="195"/>
      <c r="I14140" s="195"/>
      <c r="J14140" s="191" t="s">
        <v>47</v>
      </c>
      <c r="K14140" s="196"/>
      <c r="L14140" s="196">
        <v>146570</v>
      </c>
    </row>
    <row r="14141" spans="1:15" x14ac:dyDescent="0.2">
      <c r="A14141" s="424">
        <v>2026</v>
      </c>
      <c r="B14141" s="424">
        <v>3</v>
      </c>
      <c r="C14141" s="424">
        <v>11</v>
      </c>
      <c r="D14141" s="425">
        <f t="shared" ref="D14141:D14186" si="2201">DATE(A14141,B14141,C14141)</f>
        <v>46092</v>
      </c>
      <c r="E14141" s="384">
        <f t="shared" si="2200"/>
        <v>46092</v>
      </c>
      <c r="F14141" s="516" t="s">
        <v>1850</v>
      </c>
      <c r="G14141" s="426" t="s">
        <v>1209</v>
      </c>
      <c r="H14141" s="427"/>
      <c r="I14141" s="427"/>
      <c r="J14141" s="428" t="s">
        <v>81</v>
      </c>
      <c r="K14141" s="429">
        <v>1595.81736263736</v>
      </c>
      <c r="L14141" s="429"/>
      <c r="M14141" s="455"/>
    </row>
    <row r="14142" spans="1:15" x14ac:dyDescent="0.2">
      <c r="A14142" s="389">
        <v>2026</v>
      </c>
      <c r="B14142" s="389">
        <v>3</v>
      </c>
      <c r="C14142" s="389">
        <v>11</v>
      </c>
      <c r="D14142" s="390">
        <f t="shared" si="2201"/>
        <v>46092</v>
      </c>
      <c r="E14142" s="391">
        <f t="shared" si="2200"/>
        <v>46092</v>
      </c>
      <c r="F14142" s="517"/>
      <c r="G14142" s="392" t="s">
        <v>1209</v>
      </c>
      <c r="H14142" s="393"/>
      <c r="I14142" s="393"/>
      <c r="J14142" s="394" t="s">
        <v>1847</v>
      </c>
      <c r="K14142" s="423"/>
      <c r="L14142" s="423">
        <f>K14141</f>
        <v>1595.81736263736</v>
      </c>
    </row>
    <row r="14143" spans="1:15" ht="11.25" customHeight="1" x14ac:dyDescent="0.2">
      <c r="A14143" s="382">
        <v>2026</v>
      </c>
      <c r="B14143" s="382">
        <v>3</v>
      </c>
      <c r="C14143" s="382">
        <v>11</v>
      </c>
      <c r="D14143" s="383">
        <f t="shared" si="2201"/>
        <v>46092</v>
      </c>
      <c r="E14143" s="384">
        <f t="shared" si="2200"/>
        <v>46092</v>
      </c>
      <c r="F14143" s="516" t="s">
        <v>1892</v>
      </c>
      <c r="G14143" s="385" t="s">
        <v>1209</v>
      </c>
      <c r="H14143" s="386"/>
      <c r="I14143" s="386"/>
      <c r="J14143" s="387" t="s">
        <v>173</v>
      </c>
      <c r="K14143" s="388">
        <v>592.06658594861119</v>
      </c>
      <c r="L14143" s="388"/>
      <c r="M14143" s="455"/>
    </row>
    <row r="14144" spans="1:15" ht="11.25" customHeight="1" x14ac:dyDescent="0.2">
      <c r="A14144" s="389">
        <v>2026</v>
      </c>
      <c r="B14144" s="389">
        <v>3</v>
      </c>
      <c r="C14144" s="389">
        <v>11</v>
      </c>
      <c r="D14144" s="390">
        <f t="shared" si="2201"/>
        <v>46092</v>
      </c>
      <c r="E14144" s="391">
        <f t="shared" si="2200"/>
        <v>46092</v>
      </c>
      <c r="F14144" s="517"/>
      <c r="G14144" s="392" t="s">
        <v>1209</v>
      </c>
      <c r="H14144" s="393"/>
      <c r="I14144" s="393"/>
      <c r="J14144" s="394" t="s">
        <v>43</v>
      </c>
      <c r="K14144" s="388"/>
      <c r="L14144" s="423">
        <f>K14143</f>
        <v>592.06658594861119</v>
      </c>
    </row>
    <row r="14145" spans="1:16" ht="11.25" customHeight="1" x14ac:dyDescent="0.2">
      <c r="A14145" s="344">
        <v>2026</v>
      </c>
      <c r="B14145" s="344">
        <v>3</v>
      </c>
      <c r="C14145" s="344">
        <v>11</v>
      </c>
      <c r="D14145" s="345">
        <f t="shared" si="2201"/>
        <v>46092</v>
      </c>
      <c r="E14145" s="346">
        <f t="shared" si="2200"/>
        <v>46092</v>
      </c>
      <c r="F14145" s="518" t="s">
        <v>1982</v>
      </c>
      <c r="G14145" s="347" t="s">
        <v>1245</v>
      </c>
      <c r="H14145" s="348"/>
      <c r="I14145" s="348" t="s">
        <v>1253</v>
      </c>
      <c r="J14145" s="344" t="s">
        <v>1978</v>
      </c>
      <c r="K14145" s="349">
        <v>20878.176795580101</v>
      </c>
      <c r="L14145" s="349"/>
      <c r="M14145" s="455"/>
    </row>
    <row r="14146" spans="1:16" ht="11.25" customHeight="1" x14ac:dyDescent="0.2">
      <c r="A14146" s="350">
        <v>2026</v>
      </c>
      <c r="B14146" s="350">
        <v>3</v>
      </c>
      <c r="C14146" s="350">
        <v>11</v>
      </c>
      <c r="D14146" s="351">
        <f t="shared" si="2201"/>
        <v>46092</v>
      </c>
      <c r="E14146" s="352">
        <f t="shared" si="2200"/>
        <v>46092</v>
      </c>
      <c r="F14146" s="519"/>
      <c r="G14146" s="353" t="s">
        <v>1245</v>
      </c>
      <c r="H14146" s="354"/>
      <c r="I14146" s="354" t="s">
        <v>1253</v>
      </c>
      <c r="J14146" s="350" t="s">
        <v>1979</v>
      </c>
      <c r="K14146" s="355"/>
      <c r="L14146" s="355">
        <f>K14145</f>
        <v>20878.176795580101</v>
      </c>
    </row>
    <row r="14147" spans="1:16" ht="11.25" customHeight="1" x14ac:dyDescent="0.2">
      <c r="A14147" s="344">
        <v>2026</v>
      </c>
      <c r="B14147" s="344">
        <v>3</v>
      </c>
      <c r="C14147" s="344">
        <v>11</v>
      </c>
      <c r="D14147" s="345">
        <f t="shared" si="2201"/>
        <v>46092</v>
      </c>
      <c r="E14147" s="346">
        <f t="shared" si="2200"/>
        <v>46092</v>
      </c>
      <c r="F14147" s="518" t="s">
        <v>2009</v>
      </c>
      <c r="G14147" s="347" t="s">
        <v>1245</v>
      </c>
      <c r="H14147" s="348"/>
      <c r="I14147" s="348" t="s">
        <v>1253</v>
      </c>
      <c r="J14147" s="344" t="s">
        <v>2004</v>
      </c>
      <c r="K14147" s="349">
        <v>7098.9014285714302</v>
      </c>
      <c r="L14147" s="349"/>
      <c r="M14147" s="455"/>
    </row>
    <row r="14148" spans="1:16" ht="11.25" customHeight="1" x14ac:dyDescent="0.2">
      <c r="A14148" s="350">
        <v>2026</v>
      </c>
      <c r="B14148" s="350">
        <v>3</v>
      </c>
      <c r="C14148" s="350">
        <v>11</v>
      </c>
      <c r="D14148" s="351">
        <f t="shared" si="2201"/>
        <v>46092</v>
      </c>
      <c r="E14148" s="352">
        <f t="shared" si="2200"/>
        <v>46092</v>
      </c>
      <c r="F14148" s="519"/>
      <c r="G14148" s="353" t="s">
        <v>1245</v>
      </c>
      <c r="H14148" s="354"/>
      <c r="I14148" s="354" t="s">
        <v>1253</v>
      </c>
      <c r="J14148" s="350" t="s">
        <v>2008</v>
      </c>
      <c r="K14148" s="355"/>
      <c r="L14148" s="355">
        <f t="shared" ref="L14148" si="2202">K14147</f>
        <v>7098.9014285714302</v>
      </c>
    </row>
    <row r="14149" spans="1:16" ht="11.25" customHeight="1" x14ac:dyDescent="0.2">
      <c r="A14149" s="344">
        <v>2026</v>
      </c>
      <c r="B14149" s="344">
        <v>3</v>
      </c>
      <c r="C14149" s="344">
        <v>11</v>
      </c>
      <c r="D14149" s="345">
        <f t="shared" si="2201"/>
        <v>46092</v>
      </c>
      <c r="E14149" s="346">
        <f t="shared" si="2200"/>
        <v>46092</v>
      </c>
      <c r="F14149" s="518" t="s">
        <v>2009</v>
      </c>
      <c r="G14149" s="347" t="s">
        <v>1245</v>
      </c>
      <c r="H14149" s="348"/>
      <c r="I14149" s="348" t="s">
        <v>1253</v>
      </c>
      <c r="J14149" s="344" t="s">
        <v>2004</v>
      </c>
      <c r="K14149" s="349">
        <v>7098.9014285714302</v>
      </c>
      <c r="L14149" s="349"/>
      <c r="M14149" s="455"/>
    </row>
    <row r="14150" spans="1:16" ht="11.25" customHeight="1" x14ac:dyDescent="0.2">
      <c r="A14150" s="350">
        <v>2026</v>
      </c>
      <c r="B14150" s="350">
        <v>3</v>
      </c>
      <c r="C14150" s="350">
        <v>11</v>
      </c>
      <c r="D14150" s="351">
        <f t="shared" si="2201"/>
        <v>46092</v>
      </c>
      <c r="E14150" s="352">
        <f t="shared" si="2200"/>
        <v>46092</v>
      </c>
      <c r="F14150" s="519"/>
      <c r="G14150" s="353" t="s">
        <v>1245</v>
      </c>
      <c r="H14150" s="354"/>
      <c r="I14150" s="354" t="s">
        <v>1253</v>
      </c>
      <c r="J14150" s="350" t="s">
        <v>2008</v>
      </c>
      <c r="K14150" s="355"/>
      <c r="L14150" s="355">
        <f t="shared" ref="L14150" si="2203">K14149</f>
        <v>7098.9014285714302</v>
      </c>
    </row>
    <row r="14151" spans="1:16" ht="11.25" customHeight="1" x14ac:dyDescent="0.2">
      <c r="A14151" s="344">
        <v>2026</v>
      </c>
      <c r="B14151" s="344">
        <v>3</v>
      </c>
      <c r="C14151" s="344">
        <v>11</v>
      </c>
      <c r="D14151" s="345">
        <f t="shared" si="2201"/>
        <v>46092</v>
      </c>
      <c r="E14151" s="346">
        <f t="shared" si="2200"/>
        <v>46092</v>
      </c>
      <c r="F14151" s="518" t="s">
        <v>2088</v>
      </c>
      <c r="G14151" s="347" t="s">
        <v>1245</v>
      </c>
      <c r="H14151" s="348"/>
      <c r="I14151" s="348" t="s">
        <v>1253</v>
      </c>
      <c r="J14151" s="344" t="s">
        <v>2086</v>
      </c>
      <c r="K14151" s="349">
        <v>1789.83516483516</v>
      </c>
      <c r="L14151" s="349"/>
      <c r="M14151" s="455"/>
    </row>
    <row r="14152" spans="1:16" ht="11.25" customHeight="1" x14ac:dyDescent="0.2">
      <c r="A14152" s="350">
        <v>2026</v>
      </c>
      <c r="B14152" s="350">
        <v>3</v>
      </c>
      <c r="C14152" s="350">
        <v>11</v>
      </c>
      <c r="D14152" s="351">
        <f t="shared" si="2201"/>
        <v>46092</v>
      </c>
      <c r="E14152" s="352">
        <f t="shared" si="2200"/>
        <v>46092</v>
      </c>
      <c r="F14152" s="519"/>
      <c r="G14152" s="353" t="s">
        <v>1245</v>
      </c>
      <c r="H14152" s="354"/>
      <c r="I14152" s="354" t="s">
        <v>1253</v>
      </c>
      <c r="J14152" s="350" t="s">
        <v>2089</v>
      </c>
      <c r="K14152" s="355"/>
      <c r="L14152" s="355">
        <f>K14151</f>
        <v>1789.83516483516</v>
      </c>
    </row>
    <row r="14153" spans="1:16" ht="11.25" customHeight="1" x14ac:dyDescent="0.2">
      <c r="A14153" s="344">
        <v>2026</v>
      </c>
      <c r="B14153" s="344">
        <v>3</v>
      </c>
      <c r="C14153" s="344">
        <v>11</v>
      </c>
      <c r="D14153" s="345">
        <f t="shared" si="2201"/>
        <v>46092</v>
      </c>
      <c r="E14153" s="346">
        <f>DATE(A14153,B14153,C14153)</f>
        <v>46092</v>
      </c>
      <c r="F14153" s="518" t="s">
        <v>1988</v>
      </c>
      <c r="G14153" s="347" t="s">
        <v>1245</v>
      </c>
      <c r="H14153" s="348"/>
      <c r="I14153" s="348" t="s">
        <v>1253</v>
      </c>
      <c r="J14153" s="344" t="s">
        <v>113</v>
      </c>
      <c r="K14153" s="349">
        <v>4692.3071428571402</v>
      </c>
      <c r="L14153" s="349"/>
      <c r="M14153" s="455"/>
    </row>
    <row r="14154" spans="1:16" ht="11.25" customHeight="1" x14ac:dyDescent="0.2">
      <c r="A14154" s="350">
        <v>2026</v>
      </c>
      <c r="B14154" s="350">
        <v>3</v>
      </c>
      <c r="C14154" s="350">
        <v>11</v>
      </c>
      <c r="D14154" s="351">
        <f t="shared" si="2201"/>
        <v>46092</v>
      </c>
      <c r="E14154" s="352">
        <f>DATE(A14154,B14154,C14154)</f>
        <v>46092</v>
      </c>
      <c r="F14154" s="519"/>
      <c r="G14154" s="353" t="s">
        <v>1245</v>
      </c>
      <c r="H14154" s="354"/>
      <c r="I14154" s="354" t="s">
        <v>1253</v>
      </c>
      <c r="J14154" s="350" t="s">
        <v>153</v>
      </c>
      <c r="K14154" s="355"/>
      <c r="L14154" s="355">
        <f t="shared" ref="L14154" si="2204">K14153</f>
        <v>4692.3071428571402</v>
      </c>
    </row>
    <row r="14155" spans="1:16" ht="11.25" customHeight="1" x14ac:dyDescent="0.2">
      <c r="A14155" s="344">
        <v>2026</v>
      </c>
      <c r="B14155" s="344">
        <v>3</v>
      </c>
      <c r="C14155" s="344">
        <v>11</v>
      </c>
      <c r="D14155" s="345">
        <f t="shared" si="2201"/>
        <v>46092</v>
      </c>
      <c r="E14155" s="346">
        <f t="shared" ref="E14155:E14161" si="2205">DATE(A14155,B14155,C14155)</f>
        <v>46092</v>
      </c>
      <c r="F14155" s="518" t="s">
        <v>1989</v>
      </c>
      <c r="G14155" s="347" t="s">
        <v>1245</v>
      </c>
      <c r="H14155" s="348"/>
      <c r="I14155" s="348" t="s">
        <v>1253</v>
      </c>
      <c r="J14155" s="344" t="s">
        <v>113</v>
      </c>
      <c r="K14155" s="349">
        <v>3351.6483516483499</v>
      </c>
      <c r="L14155" s="349"/>
      <c r="M14155" s="455"/>
    </row>
    <row r="14156" spans="1:16" ht="11.25" customHeight="1" x14ac:dyDescent="0.2">
      <c r="A14156" s="350">
        <v>2026</v>
      </c>
      <c r="B14156" s="350">
        <v>3</v>
      </c>
      <c r="C14156" s="350">
        <v>11</v>
      </c>
      <c r="D14156" s="351">
        <f t="shared" si="2201"/>
        <v>46092</v>
      </c>
      <c r="E14156" s="352">
        <f t="shared" si="2205"/>
        <v>46092</v>
      </c>
      <c r="F14156" s="519"/>
      <c r="G14156" s="353" t="s">
        <v>1245</v>
      </c>
      <c r="H14156" s="354"/>
      <c r="I14156" s="354" t="s">
        <v>1253</v>
      </c>
      <c r="J14156" s="350" t="s">
        <v>153</v>
      </c>
      <c r="K14156" s="355"/>
      <c r="L14156" s="355">
        <f t="shared" ref="L14156" si="2206">K14155</f>
        <v>3351.6483516483499</v>
      </c>
    </row>
    <row r="14157" spans="1:16" ht="11.25" customHeight="1" x14ac:dyDescent="0.2">
      <c r="A14157" s="344">
        <v>2026</v>
      </c>
      <c r="B14157" s="344">
        <v>3</v>
      </c>
      <c r="C14157" s="344">
        <v>11</v>
      </c>
      <c r="D14157" s="345">
        <f t="shared" si="2201"/>
        <v>46092</v>
      </c>
      <c r="E14157" s="346">
        <f t="shared" si="2205"/>
        <v>46092</v>
      </c>
      <c r="F14157" s="518" t="s">
        <v>1990</v>
      </c>
      <c r="G14157" s="347" t="s">
        <v>1245</v>
      </c>
      <c r="H14157" s="348"/>
      <c r="I14157" s="348" t="s">
        <v>1253</v>
      </c>
      <c r="J14157" s="344" t="s">
        <v>113</v>
      </c>
      <c r="K14157" s="349">
        <v>10054.945714285701</v>
      </c>
      <c r="L14157" s="349"/>
      <c r="M14157" s="455"/>
      <c r="N14157" s="251"/>
      <c r="O14157" s="251"/>
      <c r="P14157" s="251"/>
    </row>
    <row r="14158" spans="1:16" ht="11.25" customHeight="1" x14ac:dyDescent="0.2">
      <c r="A14158" s="350">
        <v>2026</v>
      </c>
      <c r="B14158" s="350">
        <v>3</v>
      </c>
      <c r="C14158" s="350">
        <v>11</v>
      </c>
      <c r="D14158" s="351">
        <f t="shared" si="2201"/>
        <v>46092</v>
      </c>
      <c r="E14158" s="352">
        <f t="shared" si="2205"/>
        <v>46092</v>
      </c>
      <c r="F14158" s="519"/>
      <c r="G14158" s="353" t="s">
        <v>1245</v>
      </c>
      <c r="H14158" s="354"/>
      <c r="I14158" s="354" t="s">
        <v>1253</v>
      </c>
      <c r="J14158" s="350" t="s">
        <v>153</v>
      </c>
      <c r="K14158" s="355"/>
      <c r="L14158" s="355">
        <f t="shared" ref="L14158" si="2207">K14157</f>
        <v>10054.945714285701</v>
      </c>
      <c r="M14158" s="455"/>
    </row>
    <row r="14159" spans="1:16" ht="11.25" customHeight="1" x14ac:dyDescent="0.2">
      <c r="A14159" s="344">
        <v>2026</v>
      </c>
      <c r="B14159" s="344">
        <v>3</v>
      </c>
      <c r="C14159" s="344">
        <v>11</v>
      </c>
      <c r="D14159" s="345">
        <f t="shared" si="2201"/>
        <v>46092</v>
      </c>
      <c r="E14159" s="346">
        <f t="shared" si="2205"/>
        <v>46092</v>
      </c>
      <c r="F14159" s="518" t="s">
        <v>2107</v>
      </c>
      <c r="G14159" s="347" t="s">
        <v>1245</v>
      </c>
      <c r="H14159" s="348"/>
      <c r="I14159" s="348" t="s">
        <v>1253</v>
      </c>
      <c r="J14159" s="344" t="s">
        <v>113</v>
      </c>
      <c r="K14159" s="349">
        <v>12370.879120879101</v>
      </c>
      <c r="L14159" s="349"/>
      <c r="M14159" s="455"/>
      <c r="N14159" s="251"/>
      <c r="O14159" s="251"/>
      <c r="P14159" s="251"/>
    </row>
    <row r="14160" spans="1:16" ht="11.25" customHeight="1" x14ac:dyDescent="0.2">
      <c r="A14160" s="350">
        <v>2026</v>
      </c>
      <c r="B14160" s="350">
        <v>3</v>
      </c>
      <c r="C14160" s="350">
        <v>11</v>
      </c>
      <c r="D14160" s="351">
        <f t="shared" si="2201"/>
        <v>46092</v>
      </c>
      <c r="E14160" s="352">
        <f t="shared" si="2205"/>
        <v>46092</v>
      </c>
      <c r="F14160" s="519"/>
      <c r="G14160" s="353" t="s">
        <v>1245</v>
      </c>
      <c r="H14160" s="354"/>
      <c r="I14160" s="354" t="s">
        <v>1253</v>
      </c>
      <c r="J14160" s="350" t="s">
        <v>153</v>
      </c>
      <c r="K14160" s="355"/>
      <c r="L14160" s="355">
        <f t="shared" ref="L14160" si="2208">K14159</f>
        <v>12370.879120879101</v>
      </c>
    </row>
    <row r="14161" spans="1:15" ht="11.25" customHeight="1" x14ac:dyDescent="0.2">
      <c r="A14161" s="210">
        <v>2026</v>
      </c>
      <c r="B14161" s="210">
        <v>3</v>
      </c>
      <c r="C14161" s="210">
        <v>11</v>
      </c>
      <c r="D14161" s="211">
        <f t="shared" si="2201"/>
        <v>46092</v>
      </c>
      <c r="E14161" s="238">
        <f t="shared" si="2205"/>
        <v>46092</v>
      </c>
      <c r="F14161" s="520" t="s">
        <v>1857</v>
      </c>
      <c r="G14161" s="213" t="s">
        <v>1245</v>
      </c>
      <c r="H14161" s="214"/>
      <c r="I14161" s="214" t="s">
        <v>1253</v>
      </c>
      <c r="J14161" s="210" t="s">
        <v>1284</v>
      </c>
      <c r="K14161" s="215">
        <v>334.54448777029398</v>
      </c>
      <c r="L14161" s="215"/>
      <c r="M14161" s="455"/>
    </row>
    <row r="14162" spans="1:15" ht="11.25" customHeight="1" x14ac:dyDescent="0.2">
      <c r="A14162" s="242">
        <v>2026</v>
      </c>
      <c r="B14162" s="242">
        <v>3</v>
      </c>
      <c r="C14162" s="242">
        <v>11</v>
      </c>
      <c r="D14162" s="243">
        <f t="shared" si="2201"/>
        <v>46092</v>
      </c>
      <c r="E14162" s="244">
        <f>DATE(A14162,B14162,C14162)</f>
        <v>46092</v>
      </c>
      <c r="F14162" s="521"/>
      <c r="G14162" s="245" t="s">
        <v>1245</v>
      </c>
      <c r="H14162" s="246"/>
      <c r="I14162" s="246"/>
      <c r="J14162" s="242" t="s">
        <v>1582</v>
      </c>
      <c r="K14162" s="247"/>
      <c r="L14162" s="247">
        <f>K14161</f>
        <v>334.54448777029398</v>
      </c>
    </row>
    <row r="14163" spans="1:15" ht="11.25" customHeight="1" x14ac:dyDescent="0.2">
      <c r="A14163" s="210">
        <v>2026</v>
      </c>
      <c r="B14163" s="210">
        <v>3</v>
      </c>
      <c r="C14163" s="210">
        <v>11</v>
      </c>
      <c r="D14163" s="211">
        <f t="shared" si="2201"/>
        <v>46092</v>
      </c>
      <c r="E14163" s="238">
        <f t="shared" ref="E14163:E14180" si="2209">DATE(A14163,B14163,C14163)</f>
        <v>46092</v>
      </c>
      <c r="F14163" s="520" t="s">
        <v>2055</v>
      </c>
      <c r="G14163" s="213" t="s">
        <v>1245</v>
      </c>
      <c r="H14163" s="214"/>
      <c r="I14163" s="214" t="s">
        <v>1253</v>
      </c>
      <c r="J14163" s="210" t="s">
        <v>58</v>
      </c>
      <c r="K14163" s="215">
        <v>5448.7842270833326</v>
      </c>
      <c r="L14163" s="215"/>
    </row>
    <row r="14164" spans="1:15" ht="11.25" customHeight="1" x14ac:dyDescent="0.2">
      <c r="A14164" s="216">
        <v>2026</v>
      </c>
      <c r="B14164" s="216">
        <v>3</v>
      </c>
      <c r="C14164" s="216">
        <v>11</v>
      </c>
      <c r="D14164" s="217">
        <f t="shared" si="2201"/>
        <v>46092</v>
      </c>
      <c r="E14164" s="239">
        <f t="shared" si="2209"/>
        <v>46092</v>
      </c>
      <c r="F14164" s="521"/>
      <c r="G14164" s="219" t="s">
        <v>1245</v>
      </c>
      <c r="H14164" s="220"/>
      <c r="I14164" s="220" t="s">
        <v>1253</v>
      </c>
      <c r="J14164" s="216" t="s">
        <v>153</v>
      </c>
      <c r="K14164" s="221"/>
      <c r="L14164" s="221">
        <f>K14163</f>
        <v>5448.7842270833326</v>
      </c>
    </row>
    <row r="14165" spans="1:15" ht="11.25" customHeight="1" x14ac:dyDescent="0.2">
      <c r="A14165" s="312">
        <v>2026</v>
      </c>
      <c r="B14165" s="312">
        <v>3</v>
      </c>
      <c r="C14165" s="312">
        <v>11</v>
      </c>
      <c r="D14165" s="313">
        <f t="shared" si="2201"/>
        <v>46092</v>
      </c>
      <c r="E14165" s="314">
        <f t="shared" si="2209"/>
        <v>46092</v>
      </c>
      <c r="F14165" s="522" t="s">
        <v>1595</v>
      </c>
      <c r="G14165" s="315" t="s">
        <v>1245</v>
      </c>
      <c r="H14165" s="316"/>
      <c r="I14165" s="316" t="s">
        <v>1253</v>
      </c>
      <c r="J14165" s="312" t="s">
        <v>1461</v>
      </c>
      <c r="K14165" s="317">
        <v>367007.1210000515</v>
      </c>
      <c r="L14165" s="317"/>
      <c r="M14165" s="328"/>
    </row>
    <row r="14166" spans="1:15" ht="11.25" customHeight="1" x14ac:dyDescent="0.2">
      <c r="A14166" s="486">
        <v>2026</v>
      </c>
      <c r="B14166" s="486">
        <v>3</v>
      </c>
      <c r="C14166" s="486">
        <v>11</v>
      </c>
      <c r="D14166" s="487">
        <f t="shared" si="2201"/>
        <v>46092</v>
      </c>
      <c r="E14166" s="488">
        <f t="shared" si="2209"/>
        <v>46092</v>
      </c>
      <c r="F14166" s="523"/>
      <c r="G14166" s="489" t="s">
        <v>1245</v>
      </c>
      <c r="H14166" s="490"/>
      <c r="I14166" s="490" t="s">
        <v>1253</v>
      </c>
      <c r="J14166" s="486" t="s">
        <v>1459</v>
      </c>
      <c r="K14166" s="491"/>
      <c r="L14166" s="491">
        <f>K14165</f>
        <v>367007.1210000515</v>
      </c>
      <c r="M14166" s="328"/>
    </row>
    <row r="14167" spans="1:15" ht="11.25" customHeight="1" x14ac:dyDescent="0.2">
      <c r="A14167" s="222">
        <v>2026</v>
      </c>
      <c r="B14167" s="222">
        <v>3</v>
      </c>
      <c r="C14167" s="222">
        <v>11</v>
      </c>
      <c r="D14167" s="223">
        <f t="shared" si="2201"/>
        <v>46092</v>
      </c>
      <c r="E14167" s="240">
        <f t="shared" si="2209"/>
        <v>46092</v>
      </c>
      <c r="F14167" s="511" t="s">
        <v>1244</v>
      </c>
      <c r="G14167" s="225" t="s">
        <v>1245</v>
      </c>
      <c r="H14167" s="226"/>
      <c r="I14167" s="226" t="s">
        <v>1253</v>
      </c>
      <c r="J14167" s="222" t="s">
        <v>72</v>
      </c>
      <c r="K14167" s="227">
        <v>2384.5</v>
      </c>
      <c r="L14167" s="227"/>
      <c r="M14167" s="328"/>
    </row>
    <row r="14168" spans="1:15" ht="11.25" customHeight="1" x14ac:dyDescent="0.2">
      <c r="A14168" s="228">
        <v>2026</v>
      </c>
      <c r="B14168" s="228">
        <v>3</v>
      </c>
      <c r="C14168" s="228">
        <v>11</v>
      </c>
      <c r="D14168" s="229">
        <f t="shared" si="2201"/>
        <v>46092</v>
      </c>
      <c r="E14168" s="241">
        <f t="shared" si="2209"/>
        <v>46092</v>
      </c>
      <c r="F14168" s="512"/>
      <c r="G14168" s="231" t="s">
        <v>1245</v>
      </c>
      <c r="H14168" s="232"/>
      <c r="I14168" s="232" t="s">
        <v>1253</v>
      </c>
      <c r="J14168" s="228" t="s">
        <v>87</v>
      </c>
      <c r="K14168" s="233"/>
      <c r="L14168" s="233">
        <f>K14167</f>
        <v>2384.5</v>
      </c>
    </row>
    <row r="14169" spans="1:15" ht="11.25" customHeight="1" x14ac:dyDescent="0.2">
      <c r="A14169" s="492">
        <v>2026</v>
      </c>
      <c r="B14169" s="492">
        <v>3</v>
      </c>
      <c r="C14169" s="492">
        <v>11</v>
      </c>
      <c r="D14169" s="493">
        <f t="shared" si="2201"/>
        <v>46092</v>
      </c>
      <c r="E14169" s="494">
        <f t="shared" si="2209"/>
        <v>46092</v>
      </c>
      <c r="F14169" s="511" t="s">
        <v>2138</v>
      </c>
      <c r="G14169" s="495" t="s">
        <v>1245</v>
      </c>
      <c r="H14169" s="496"/>
      <c r="I14169" s="496" t="s">
        <v>1253</v>
      </c>
      <c r="J14169" s="492" t="s">
        <v>75</v>
      </c>
      <c r="K14169" s="497">
        <v>517.58912087912097</v>
      </c>
      <c r="L14169" s="497"/>
      <c r="M14169" s="455"/>
    </row>
    <row r="14170" spans="1:15" ht="11.25" customHeight="1" x14ac:dyDescent="0.2">
      <c r="A14170" s="228">
        <v>2026</v>
      </c>
      <c r="B14170" s="228">
        <v>3</v>
      </c>
      <c r="C14170" s="228">
        <v>11</v>
      </c>
      <c r="D14170" s="229">
        <f t="shared" si="2201"/>
        <v>46092</v>
      </c>
      <c r="E14170" s="241">
        <f t="shared" si="2209"/>
        <v>46092</v>
      </c>
      <c r="F14170" s="512"/>
      <c r="G14170" s="231" t="s">
        <v>1245</v>
      </c>
      <c r="H14170" s="232"/>
      <c r="I14170" s="232" t="s">
        <v>1253</v>
      </c>
      <c r="J14170" s="228" t="s">
        <v>55</v>
      </c>
      <c r="K14170" s="233"/>
      <c r="L14170" s="233">
        <f>K14169</f>
        <v>517.58912087912097</v>
      </c>
    </row>
    <row r="14171" spans="1:15" ht="11.25" customHeight="1" x14ac:dyDescent="0.2">
      <c r="A14171" s="222">
        <v>2026</v>
      </c>
      <c r="B14171" s="222">
        <v>3</v>
      </c>
      <c r="C14171" s="222">
        <v>11</v>
      </c>
      <c r="D14171" s="223">
        <f t="shared" si="2201"/>
        <v>46092</v>
      </c>
      <c r="E14171" s="240">
        <f t="shared" si="2209"/>
        <v>46092</v>
      </c>
      <c r="F14171" s="511" t="s">
        <v>2137</v>
      </c>
      <c r="G14171" s="225" t="s">
        <v>1245</v>
      </c>
      <c r="H14171" s="226"/>
      <c r="I14171" s="226" t="s">
        <v>1253</v>
      </c>
      <c r="J14171" s="222" t="s">
        <v>77</v>
      </c>
      <c r="K14171" s="227">
        <v>7712.4460305254061</v>
      </c>
      <c r="L14171" s="227"/>
      <c r="M14171" s="478"/>
    </row>
    <row r="14172" spans="1:15" ht="11.25" customHeight="1" x14ac:dyDescent="0.2">
      <c r="A14172" s="228">
        <v>2026</v>
      </c>
      <c r="B14172" s="228">
        <v>3</v>
      </c>
      <c r="C14172" s="228">
        <v>11</v>
      </c>
      <c r="D14172" s="229">
        <f t="shared" si="2201"/>
        <v>46092</v>
      </c>
      <c r="E14172" s="241">
        <f t="shared" si="2209"/>
        <v>46092</v>
      </c>
      <c r="F14172" s="512"/>
      <c r="G14172" s="231" t="s">
        <v>1245</v>
      </c>
      <c r="H14172" s="232"/>
      <c r="I14172" s="232" t="s">
        <v>1253</v>
      </c>
      <c r="J14172" s="228" t="s">
        <v>41</v>
      </c>
      <c r="K14172" s="233"/>
      <c r="L14172" s="233">
        <f>K14171</f>
        <v>7712.4460305254061</v>
      </c>
      <c r="M14172" s="328"/>
      <c r="N14172" s="251"/>
    </row>
    <row r="14173" spans="1:15" ht="11.25" customHeight="1" x14ac:dyDescent="0.2">
      <c r="A14173" s="222">
        <v>2026</v>
      </c>
      <c r="B14173" s="222">
        <v>3</v>
      </c>
      <c r="C14173" s="222">
        <v>11</v>
      </c>
      <c r="D14173" s="223">
        <f t="shared" si="2201"/>
        <v>46092</v>
      </c>
      <c r="E14173" s="240">
        <f t="shared" si="2209"/>
        <v>46092</v>
      </c>
      <c r="F14173" s="511" t="s">
        <v>2136</v>
      </c>
      <c r="G14173" s="225" t="s">
        <v>1245</v>
      </c>
      <c r="H14173" s="226"/>
      <c r="I14173" s="226" t="s">
        <v>1253</v>
      </c>
      <c r="J14173" s="222" t="s">
        <v>80</v>
      </c>
      <c r="K14173" s="227">
        <v>771.2446030525407</v>
      </c>
      <c r="L14173" s="227"/>
      <c r="M14173" s="328"/>
      <c r="N14173" s="251"/>
      <c r="O14173" s="251"/>
    </row>
    <row r="14174" spans="1:15" ht="11.25" customHeight="1" x14ac:dyDescent="0.2">
      <c r="A14174" s="228">
        <v>2026</v>
      </c>
      <c r="B14174" s="228">
        <v>3</v>
      </c>
      <c r="C14174" s="228">
        <v>11</v>
      </c>
      <c r="D14174" s="229">
        <f t="shared" si="2201"/>
        <v>46092</v>
      </c>
      <c r="E14174" s="241">
        <f t="shared" si="2209"/>
        <v>46092</v>
      </c>
      <c r="F14174" s="512"/>
      <c r="G14174" s="231" t="s">
        <v>1245</v>
      </c>
      <c r="H14174" s="232"/>
      <c r="I14174" s="232" t="s">
        <v>1253</v>
      </c>
      <c r="J14174" s="228" t="s">
        <v>42</v>
      </c>
      <c r="K14174" s="233"/>
      <c r="L14174" s="233">
        <f>K14173</f>
        <v>771.2446030525407</v>
      </c>
      <c r="N14174" s="251"/>
    </row>
    <row r="14175" spans="1:15" x14ac:dyDescent="0.2">
      <c r="A14175" s="197">
        <v>2026</v>
      </c>
      <c r="B14175" s="197">
        <v>3</v>
      </c>
      <c r="C14175" s="197">
        <v>12</v>
      </c>
      <c r="D14175" s="198">
        <f t="shared" si="2201"/>
        <v>46093</v>
      </c>
      <c r="E14175" s="209">
        <f t="shared" si="2209"/>
        <v>46093</v>
      </c>
      <c r="F14175" s="513" t="s">
        <v>1210</v>
      </c>
      <c r="G14175" s="200" t="s">
        <v>1209</v>
      </c>
      <c r="H14175" s="201"/>
      <c r="I14175" s="201"/>
      <c r="J14175" s="197" t="s">
        <v>46</v>
      </c>
      <c r="K14175" s="202">
        <v>1225000</v>
      </c>
      <c r="L14175" s="202"/>
    </row>
    <row r="14176" spans="1:15" x14ac:dyDescent="0.2">
      <c r="A14176" s="120">
        <v>2026</v>
      </c>
      <c r="B14176" s="120">
        <v>3</v>
      </c>
      <c r="C14176" s="120">
        <v>12</v>
      </c>
      <c r="D14176" s="208">
        <f t="shared" si="2201"/>
        <v>46093</v>
      </c>
      <c r="E14176" s="209">
        <f t="shared" si="2209"/>
        <v>46093</v>
      </c>
      <c r="F14176" s="515"/>
      <c r="G14176" s="132" t="s">
        <v>1209</v>
      </c>
      <c r="J14176" s="120" t="s">
        <v>16</v>
      </c>
      <c r="K14176" s="207"/>
      <c r="L14176" s="207">
        <v>865540</v>
      </c>
    </row>
    <row r="14177" spans="1:15" x14ac:dyDescent="0.2">
      <c r="A14177" s="191">
        <v>2026</v>
      </c>
      <c r="B14177" s="191">
        <v>3</v>
      </c>
      <c r="C14177" s="191">
        <v>12</v>
      </c>
      <c r="D14177" s="192">
        <f t="shared" si="2201"/>
        <v>46093</v>
      </c>
      <c r="E14177" s="193">
        <f t="shared" si="2209"/>
        <v>46093</v>
      </c>
      <c r="F14177" s="514"/>
      <c r="G14177" s="194" t="s">
        <v>1209</v>
      </c>
      <c r="H14177" s="195"/>
      <c r="I14177" s="195"/>
      <c r="J14177" s="191" t="s">
        <v>47</v>
      </c>
      <c r="K14177" s="196"/>
      <c r="L14177" s="196">
        <v>359460</v>
      </c>
    </row>
    <row r="14178" spans="1:15" x14ac:dyDescent="0.2">
      <c r="A14178" s="197">
        <v>2026</v>
      </c>
      <c r="B14178" s="197">
        <v>3</v>
      </c>
      <c r="C14178" s="197">
        <v>12</v>
      </c>
      <c r="D14178" s="198">
        <f t="shared" si="2201"/>
        <v>46093</v>
      </c>
      <c r="E14178" s="209">
        <f t="shared" si="2209"/>
        <v>46093</v>
      </c>
      <c r="F14178" s="513" t="s">
        <v>1423</v>
      </c>
      <c r="G14178" s="200" t="s">
        <v>1209</v>
      </c>
      <c r="H14178" s="201"/>
      <c r="I14178" s="201"/>
      <c r="J14178" s="197" t="s">
        <v>16</v>
      </c>
      <c r="K14178" s="202">
        <v>382320</v>
      </c>
      <c r="L14178" s="202"/>
    </row>
    <row r="14179" spans="1:15" x14ac:dyDescent="0.2">
      <c r="A14179" s="120">
        <v>2026</v>
      </c>
      <c r="B14179" s="120">
        <v>3</v>
      </c>
      <c r="C14179" s="120">
        <v>12</v>
      </c>
      <c r="D14179" s="208">
        <f t="shared" si="2201"/>
        <v>46093</v>
      </c>
      <c r="E14179" s="209">
        <f t="shared" si="2209"/>
        <v>46093</v>
      </c>
      <c r="F14179" s="515"/>
      <c r="G14179" s="132" t="s">
        <v>1209</v>
      </c>
      <c r="J14179" s="120" t="s">
        <v>47</v>
      </c>
      <c r="K14179" s="207">
        <v>158781.45000000001</v>
      </c>
      <c r="L14179" s="207"/>
    </row>
    <row r="14180" spans="1:15" x14ac:dyDescent="0.2">
      <c r="A14180" s="191">
        <v>2026</v>
      </c>
      <c r="B14180" s="191">
        <v>3</v>
      </c>
      <c r="C14180" s="191">
        <v>12</v>
      </c>
      <c r="D14180" s="192">
        <f t="shared" si="2201"/>
        <v>46093</v>
      </c>
      <c r="E14180" s="193">
        <f t="shared" si="2209"/>
        <v>46093</v>
      </c>
      <c r="F14180" s="514"/>
      <c r="G14180" s="194" t="s">
        <v>1209</v>
      </c>
      <c r="H14180" s="195"/>
      <c r="I14180" s="195"/>
      <c r="J14180" s="191" t="s">
        <v>46</v>
      </c>
      <c r="K14180" s="196"/>
      <c r="L14180" s="196">
        <v>541101.44999999995</v>
      </c>
    </row>
    <row r="14181" spans="1:15" ht="11.25" customHeight="1" x14ac:dyDescent="0.2">
      <c r="A14181" s="197">
        <v>2026</v>
      </c>
      <c r="B14181" s="197">
        <v>3</v>
      </c>
      <c r="C14181" s="197">
        <v>12</v>
      </c>
      <c r="D14181" s="198">
        <f t="shared" si="2201"/>
        <v>46093</v>
      </c>
      <c r="E14181" s="290">
        <f>DATE(A14181,B14181,C14181)</f>
        <v>46093</v>
      </c>
      <c r="F14181" s="513" t="s">
        <v>1514</v>
      </c>
      <c r="G14181" s="200" t="s">
        <v>1209</v>
      </c>
      <c r="H14181" s="201"/>
      <c r="I14181" s="201"/>
      <c r="J14181" s="197" t="s">
        <v>54</v>
      </c>
      <c r="K14181" s="202">
        <f>316+25+100</f>
        <v>441</v>
      </c>
      <c r="L14181" s="202"/>
      <c r="O14181" s="251"/>
    </row>
    <row r="14182" spans="1:15" ht="11.25" customHeight="1" x14ac:dyDescent="0.2">
      <c r="A14182" s="191">
        <v>2026</v>
      </c>
      <c r="B14182" s="191">
        <v>3</v>
      </c>
      <c r="C14182" s="191">
        <v>12</v>
      </c>
      <c r="D14182" s="192">
        <f t="shared" si="2201"/>
        <v>46093</v>
      </c>
      <c r="E14182" s="291">
        <f>DATE(A14182,B14182,C14182)</f>
        <v>46093</v>
      </c>
      <c r="F14182" s="514"/>
      <c r="G14182" s="194" t="s">
        <v>1209</v>
      </c>
      <c r="H14182" s="195"/>
      <c r="I14182" s="195"/>
      <c r="J14182" s="191" t="s">
        <v>46</v>
      </c>
      <c r="K14182" s="196"/>
      <c r="L14182" s="196">
        <f>K14181</f>
        <v>441</v>
      </c>
      <c r="O14182" s="251"/>
    </row>
    <row r="14183" spans="1:15" ht="11.25" customHeight="1" x14ac:dyDescent="0.2">
      <c r="A14183" s="197">
        <v>2026</v>
      </c>
      <c r="B14183" s="197">
        <v>3</v>
      </c>
      <c r="C14183" s="197">
        <v>12</v>
      </c>
      <c r="D14183" s="198">
        <f t="shared" si="2201"/>
        <v>46093</v>
      </c>
      <c r="E14183" s="290">
        <f t="shared" ref="E14183:E14186" si="2210">DATE(A14183,B14183,C14183)</f>
        <v>46093</v>
      </c>
      <c r="F14183" s="513" t="s">
        <v>2034</v>
      </c>
      <c r="G14183" s="200" t="s">
        <v>1209</v>
      </c>
      <c r="H14183" s="201"/>
      <c r="I14183" s="201" t="s">
        <v>1253</v>
      </c>
      <c r="J14183" s="197" t="s">
        <v>46</v>
      </c>
      <c r="K14183" s="202">
        <v>305000</v>
      </c>
      <c r="L14183" s="202"/>
      <c r="M14183" s="130"/>
    </row>
    <row r="14184" spans="1:15" ht="11.25" customHeight="1" x14ac:dyDescent="0.2">
      <c r="A14184" s="191">
        <v>2026</v>
      </c>
      <c r="B14184" s="191">
        <v>3</v>
      </c>
      <c r="C14184" s="191">
        <v>12</v>
      </c>
      <c r="D14184" s="192">
        <f t="shared" si="2201"/>
        <v>46093</v>
      </c>
      <c r="E14184" s="291">
        <f t="shared" si="2210"/>
        <v>46093</v>
      </c>
      <c r="F14184" s="527"/>
      <c r="G14184" s="194" t="s">
        <v>1209</v>
      </c>
      <c r="H14184" s="195"/>
      <c r="I14184" s="195" t="s">
        <v>1253</v>
      </c>
      <c r="J14184" s="191" t="s">
        <v>113</v>
      </c>
      <c r="K14184" s="196"/>
      <c r="L14184" s="196">
        <v>305000</v>
      </c>
      <c r="N14184" s="251"/>
    </row>
    <row r="14185" spans="1:15" ht="11.25" customHeight="1" x14ac:dyDescent="0.2">
      <c r="A14185" s="197">
        <v>2026</v>
      </c>
      <c r="B14185" s="197">
        <v>3</v>
      </c>
      <c r="C14185" s="197">
        <v>12</v>
      </c>
      <c r="D14185" s="198">
        <f t="shared" si="2201"/>
        <v>46093</v>
      </c>
      <c r="E14185" s="290">
        <f t="shared" si="2210"/>
        <v>46093</v>
      </c>
      <c r="F14185" s="513" t="s">
        <v>2142</v>
      </c>
      <c r="G14185" s="200" t="s">
        <v>1209</v>
      </c>
      <c r="H14185" s="201"/>
      <c r="I14185" s="201" t="s">
        <v>1253</v>
      </c>
      <c r="J14185" s="197" t="s">
        <v>2003</v>
      </c>
      <c r="K14185" s="202">
        <v>10000000</v>
      </c>
      <c r="L14185" s="202"/>
    </row>
    <row r="14186" spans="1:15" ht="11.25" customHeight="1" x14ac:dyDescent="0.2">
      <c r="A14186" s="191">
        <v>2026</v>
      </c>
      <c r="B14186" s="191">
        <v>3</v>
      </c>
      <c r="C14186" s="191">
        <v>12</v>
      </c>
      <c r="D14186" s="192">
        <f t="shared" si="2201"/>
        <v>46093</v>
      </c>
      <c r="E14186" s="291">
        <f t="shared" si="2210"/>
        <v>46093</v>
      </c>
      <c r="F14186" s="514"/>
      <c r="G14186" s="194" t="s">
        <v>1209</v>
      </c>
      <c r="H14186" s="195"/>
      <c r="I14186" s="195" t="s">
        <v>1253</v>
      </c>
      <c r="J14186" s="191" t="s">
        <v>46</v>
      </c>
      <c r="K14186" s="196"/>
      <c r="L14186" s="196">
        <f t="shared" ref="L14186" si="2211">K14185</f>
        <v>10000000</v>
      </c>
    </row>
    <row r="14187" spans="1:15" ht="11.25" customHeight="1" x14ac:dyDescent="0.2">
      <c r="A14187" s="197">
        <v>2026</v>
      </c>
      <c r="B14187" s="197">
        <v>3</v>
      </c>
      <c r="C14187" s="197">
        <v>12</v>
      </c>
      <c r="D14187" s="198">
        <f t="shared" ref="D14187:D14227" si="2212">DATE(A14187,B14187,C14187)</f>
        <v>46093</v>
      </c>
      <c r="E14187" s="290">
        <f t="shared" ref="E14187:E14200" si="2213">DATE(A14187,B14187,C14187)</f>
        <v>46093</v>
      </c>
      <c r="F14187" s="513" t="s">
        <v>2142</v>
      </c>
      <c r="G14187" s="200" t="s">
        <v>1209</v>
      </c>
      <c r="H14187" s="201"/>
      <c r="I14187" s="201" t="s">
        <v>1253</v>
      </c>
      <c r="J14187" s="197" t="s">
        <v>2003</v>
      </c>
      <c r="K14187" s="202">
        <v>10000000</v>
      </c>
      <c r="L14187" s="202"/>
    </row>
    <row r="14188" spans="1:15" ht="11.25" customHeight="1" x14ac:dyDescent="0.2">
      <c r="A14188" s="191">
        <v>2026</v>
      </c>
      <c r="B14188" s="191">
        <v>3</v>
      </c>
      <c r="C14188" s="191">
        <v>12</v>
      </c>
      <c r="D14188" s="192">
        <f t="shared" si="2212"/>
        <v>46093</v>
      </c>
      <c r="E14188" s="291">
        <f t="shared" si="2213"/>
        <v>46093</v>
      </c>
      <c r="F14188" s="514"/>
      <c r="G14188" s="194" t="s">
        <v>1209</v>
      </c>
      <c r="H14188" s="195"/>
      <c r="I14188" s="195" t="s">
        <v>1253</v>
      </c>
      <c r="J14188" s="191" t="s">
        <v>46</v>
      </c>
      <c r="K14188" s="196"/>
      <c r="L14188" s="196">
        <f t="shared" ref="L14188" si="2214">K14187</f>
        <v>10000000</v>
      </c>
      <c r="M14188" s="498">
        <v>0.12590000000000001</v>
      </c>
    </row>
    <row r="14189" spans="1:15" x14ac:dyDescent="0.2">
      <c r="A14189" s="424">
        <v>2026</v>
      </c>
      <c r="B14189" s="424">
        <v>3</v>
      </c>
      <c r="C14189" s="424">
        <v>12</v>
      </c>
      <c r="D14189" s="425">
        <f t="shared" si="2212"/>
        <v>46093</v>
      </c>
      <c r="E14189" s="384">
        <f t="shared" si="2213"/>
        <v>46093</v>
      </c>
      <c r="F14189" s="516" t="s">
        <v>1850</v>
      </c>
      <c r="G14189" s="426" t="s">
        <v>1209</v>
      </c>
      <c r="H14189" s="427"/>
      <c r="I14189" s="427"/>
      <c r="J14189" s="428" t="s">
        <v>81</v>
      </c>
      <c r="K14189" s="429">
        <v>1595.81736263736</v>
      </c>
      <c r="L14189" s="429"/>
      <c r="M14189" s="455"/>
    </row>
    <row r="14190" spans="1:15" x14ac:dyDescent="0.2">
      <c r="A14190" s="389">
        <v>2026</v>
      </c>
      <c r="B14190" s="389">
        <v>3</v>
      </c>
      <c r="C14190" s="389">
        <v>12</v>
      </c>
      <c r="D14190" s="390">
        <f t="shared" si="2212"/>
        <v>46093</v>
      </c>
      <c r="E14190" s="391">
        <f t="shared" si="2213"/>
        <v>46093</v>
      </c>
      <c r="F14190" s="517"/>
      <c r="G14190" s="392" t="s">
        <v>1209</v>
      </c>
      <c r="H14190" s="393"/>
      <c r="I14190" s="393"/>
      <c r="J14190" s="394" t="s">
        <v>1847</v>
      </c>
      <c r="K14190" s="423"/>
      <c r="L14190" s="423">
        <f>K14189</f>
        <v>1595.81736263736</v>
      </c>
    </row>
    <row r="14191" spans="1:15" ht="11.25" customHeight="1" x14ac:dyDescent="0.2">
      <c r="A14191" s="382">
        <v>2026</v>
      </c>
      <c r="B14191" s="382">
        <v>3</v>
      </c>
      <c r="C14191" s="382">
        <v>12</v>
      </c>
      <c r="D14191" s="383">
        <f t="shared" si="2212"/>
        <v>46093</v>
      </c>
      <c r="E14191" s="384">
        <f t="shared" si="2213"/>
        <v>46093</v>
      </c>
      <c r="F14191" s="516" t="s">
        <v>1892</v>
      </c>
      <c r="G14191" s="385" t="s">
        <v>1209</v>
      </c>
      <c r="H14191" s="386"/>
      <c r="I14191" s="386"/>
      <c r="J14191" s="387" t="s">
        <v>173</v>
      </c>
      <c r="K14191" s="388">
        <v>592.20623338472228</v>
      </c>
      <c r="L14191" s="388"/>
      <c r="M14191" s="455"/>
    </row>
    <row r="14192" spans="1:15" ht="11.25" customHeight="1" x14ac:dyDescent="0.2">
      <c r="A14192" s="389">
        <v>2026</v>
      </c>
      <c r="B14192" s="389">
        <v>3</v>
      </c>
      <c r="C14192" s="389">
        <v>12</v>
      </c>
      <c r="D14192" s="390">
        <f t="shared" si="2212"/>
        <v>46093</v>
      </c>
      <c r="E14192" s="391">
        <f t="shared" si="2213"/>
        <v>46093</v>
      </c>
      <c r="F14192" s="517"/>
      <c r="G14192" s="392" t="s">
        <v>1209</v>
      </c>
      <c r="H14192" s="393"/>
      <c r="I14192" s="393"/>
      <c r="J14192" s="394" t="s">
        <v>43</v>
      </c>
      <c r="K14192" s="388"/>
      <c r="L14192" s="423">
        <f>K14191</f>
        <v>592.20623338472228</v>
      </c>
    </row>
    <row r="14193" spans="1:16" ht="11.25" customHeight="1" x14ac:dyDescent="0.2">
      <c r="A14193" s="344">
        <v>2026</v>
      </c>
      <c r="B14193" s="344">
        <v>3</v>
      </c>
      <c r="C14193" s="344">
        <v>12</v>
      </c>
      <c r="D14193" s="345">
        <f t="shared" si="2212"/>
        <v>46093</v>
      </c>
      <c r="E14193" s="346">
        <f t="shared" si="2213"/>
        <v>46093</v>
      </c>
      <c r="F14193" s="518" t="s">
        <v>1982</v>
      </c>
      <c r="G14193" s="347" t="s">
        <v>1245</v>
      </c>
      <c r="H14193" s="348"/>
      <c r="I14193" s="348" t="s">
        <v>1253</v>
      </c>
      <c r="J14193" s="344" t="s">
        <v>1978</v>
      </c>
      <c r="K14193" s="349">
        <v>20878.176795580101</v>
      </c>
      <c r="L14193" s="349"/>
      <c r="M14193" s="455"/>
    </row>
    <row r="14194" spans="1:16" ht="11.25" customHeight="1" x14ac:dyDescent="0.2">
      <c r="A14194" s="350">
        <v>2026</v>
      </c>
      <c r="B14194" s="350">
        <v>3</v>
      </c>
      <c r="C14194" s="350">
        <v>12</v>
      </c>
      <c r="D14194" s="351">
        <f t="shared" si="2212"/>
        <v>46093</v>
      </c>
      <c r="E14194" s="352">
        <f t="shared" si="2213"/>
        <v>46093</v>
      </c>
      <c r="F14194" s="519"/>
      <c r="G14194" s="353" t="s">
        <v>1245</v>
      </c>
      <c r="H14194" s="354"/>
      <c r="I14194" s="354" t="s">
        <v>1253</v>
      </c>
      <c r="J14194" s="350" t="s">
        <v>1979</v>
      </c>
      <c r="K14194" s="355"/>
      <c r="L14194" s="355">
        <f>K14193</f>
        <v>20878.176795580101</v>
      </c>
    </row>
    <row r="14195" spans="1:16" ht="11.25" customHeight="1" x14ac:dyDescent="0.2">
      <c r="A14195" s="344">
        <v>2026</v>
      </c>
      <c r="B14195" s="344">
        <v>3</v>
      </c>
      <c r="C14195" s="344">
        <v>12</v>
      </c>
      <c r="D14195" s="345">
        <f t="shared" si="2212"/>
        <v>46093</v>
      </c>
      <c r="E14195" s="346">
        <f t="shared" si="2213"/>
        <v>46093</v>
      </c>
      <c r="F14195" s="518" t="s">
        <v>2009</v>
      </c>
      <c r="G14195" s="347" t="s">
        <v>1245</v>
      </c>
      <c r="H14195" s="348"/>
      <c r="I14195" s="348" t="s">
        <v>1253</v>
      </c>
      <c r="J14195" s="344" t="s">
        <v>2004</v>
      </c>
      <c r="K14195" s="349">
        <v>7098.9014285714302</v>
      </c>
      <c r="L14195" s="349"/>
      <c r="M14195" s="455"/>
    </row>
    <row r="14196" spans="1:16" ht="11.25" customHeight="1" x14ac:dyDescent="0.2">
      <c r="A14196" s="350">
        <v>2026</v>
      </c>
      <c r="B14196" s="350">
        <v>3</v>
      </c>
      <c r="C14196" s="350">
        <v>12</v>
      </c>
      <c r="D14196" s="351">
        <f t="shared" si="2212"/>
        <v>46093</v>
      </c>
      <c r="E14196" s="352">
        <f t="shared" si="2213"/>
        <v>46093</v>
      </c>
      <c r="F14196" s="519"/>
      <c r="G14196" s="353" t="s">
        <v>1245</v>
      </c>
      <c r="H14196" s="354"/>
      <c r="I14196" s="354" t="s">
        <v>1253</v>
      </c>
      <c r="J14196" s="350" t="s">
        <v>2008</v>
      </c>
      <c r="K14196" s="355"/>
      <c r="L14196" s="355">
        <f t="shared" ref="L14196" si="2215">K14195</f>
        <v>7098.9014285714302</v>
      </c>
    </row>
    <row r="14197" spans="1:16" ht="11.25" customHeight="1" x14ac:dyDescent="0.2">
      <c r="A14197" s="344">
        <v>2026</v>
      </c>
      <c r="B14197" s="344">
        <v>3</v>
      </c>
      <c r="C14197" s="344">
        <v>12</v>
      </c>
      <c r="D14197" s="345">
        <f t="shared" si="2212"/>
        <v>46093</v>
      </c>
      <c r="E14197" s="346">
        <f t="shared" si="2213"/>
        <v>46093</v>
      </c>
      <c r="F14197" s="518" t="s">
        <v>2009</v>
      </c>
      <c r="G14197" s="347" t="s">
        <v>1245</v>
      </c>
      <c r="H14197" s="348"/>
      <c r="I14197" s="348" t="s">
        <v>1253</v>
      </c>
      <c r="J14197" s="344" t="s">
        <v>2004</v>
      </c>
      <c r="K14197" s="349">
        <v>7098.9014285714302</v>
      </c>
      <c r="L14197" s="349"/>
      <c r="M14197" s="455"/>
    </row>
    <row r="14198" spans="1:16" ht="11.25" customHeight="1" x14ac:dyDescent="0.2">
      <c r="A14198" s="350">
        <v>2026</v>
      </c>
      <c r="B14198" s="350">
        <v>3</v>
      </c>
      <c r="C14198" s="350">
        <v>12</v>
      </c>
      <c r="D14198" s="351">
        <f t="shared" si="2212"/>
        <v>46093</v>
      </c>
      <c r="E14198" s="352">
        <f t="shared" si="2213"/>
        <v>46093</v>
      </c>
      <c r="F14198" s="519"/>
      <c r="G14198" s="353" t="s">
        <v>1245</v>
      </c>
      <c r="H14198" s="354"/>
      <c r="I14198" s="354" t="s">
        <v>1253</v>
      </c>
      <c r="J14198" s="350" t="s">
        <v>2008</v>
      </c>
      <c r="K14198" s="355"/>
      <c r="L14198" s="355">
        <f t="shared" ref="L14198" si="2216">K14197</f>
        <v>7098.9014285714302</v>
      </c>
    </row>
    <row r="14199" spans="1:16" ht="11.25" customHeight="1" x14ac:dyDescent="0.2">
      <c r="A14199" s="344">
        <v>2026</v>
      </c>
      <c r="B14199" s="344">
        <v>3</v>
      </c>
      <c r="C14199" s="344">
        <v>12</v>
      </c>
      <c r="D14199" s="345">
        <f t="shared" si="2212"/>
        <v>46093</v>
      </c>
      <c r="E14199" s="346">
        <f t="shared" si="2213"/>
        <v>46093</v>
      </c>
      <c r="F14199" s="518" t="s">
        <v>2088</v>
      </c>
      <c r="G14199" s="347" t="s">
        <v>1245</v>
      </c>
      <c r="H14199" s="348"/>
      <c r="I14199" s="348" t="s">
        <v>1253</v>
      </c>
      <c r="J14199" s="344" t="s">
        <v>2086</v>
      </c>
      <c r="K14199" s="349">
        <v>1789.83516483516</v>
      </c>
      <c r="L14199" s="349"/>
      <c r="M14199" s="455"/>
    </row>
    <row r="14200" spans="1:16" ht="11.25" customHeight="1" x14ac:dyDescent="0.2">
      <c r="A14200" s="350">
        <v>2026</v>
      </c>
      <c r="B14200" s="350">
        <v>3</v>
      </c>
      <c r="C14200" s="350">
        <v>12</v>
      </c>
      <c r="D14200" s="351">
        <f t="shared" si="2212"/>
        <v>46093</v>
      </c>
      <c r="E14200" s="352">
        <f t="shared" si="2213"/>
        <v>46093</v>
      </c>
      <c r="F14200" s="519"/>
      <c r="G14200" s="353" t="s">
        <v>1245</v>
      </c>
      <c r="H14200" s="354"/>
      <c r="I14200" s="354" t="s">
        <v>1253</v>
      </c>
      <c r="J14200" s="350" t="s">
        <v>2089</v>
      </c>
      <c r="K14200" s="355"/>
      <c r="L14200" s="355">
        <f>K14199</f>
        <v>1789.83516483516</v>
      </c>
    </row>
    <row r="14201" spans="1:16" ht="11.25" customHeight="1" x14ac:dyDescent="0.2">
      <c r="A14201" s="344">
        <v>2026</v>
      </c>
      <c r="B14201" s="344">
        <v>3</v>
      </c>
      <c r="C14201" s="344">
        <v>12</v>
      </c>
      <c r="D14201" s="345">
        <f t="shared" ref="D14201:D14202" si="2217">DATE(A14201,B14201,C14201)</f>
        <v>46093</v>
      </c>
      <c r="E14201" s="346">
        <f t="shared" ref="E14201:E14202" si="2218">DATE(A14201,B14201,C14201)</f>
        <v>46093</v>
      </c>
      <c r="F14201" s="518" t="s">
        <v>2143</v>
      </c>
      <c r="G14201" s="347" t="s">
        <v>1245</v>
      </c>
      <c r="H14201" s="348"/>
      <c r="I14201" s="348" t="s">
        <v>1253</v>
      </c>
      <c r="J14201" s="344" t="s">
        <v>2086</v>
      </c>
      <c r="K14201" s="349">
        <v>6898.6301369863022</v>
      </c>
      <c r="L14201" s="349"/>
      <c r="M14201" s="455"/>
    </row>
    <row r="14202" spans="1:16" ht="11.25" customHeight="1" x14ac:dyDescent="0.2">
      <c r="A14202" s="350">
        <v>2026</v>
      </c>
      <c r="B14202" s="350">
        <v>3</v>
      </c>
      <c r="C14202" s="350">
        <v>12</v>
      </c>
      <c r="D14202" s="351">
        <f t="shared" si="2217"/>
        <v>46093</v>
      </c>
      <c r="E14202" s="352">
        <f t="shared" si="2218"/>
        <v>46093</v>
      </c>
      <c r="F14202" s="519"/>
      <c r="G14202" s="353" t="s">
        <v>1245</v>
      </c>
      <c r="H14202" s="354"/>
      <c r="I14202" s="354" t="s">
        <v>1253</v>
      </c>
      <c r="J14202" s="350" t="s">
        <v>2089</v>
      </c>
      <c r="K14202" s="355"/>
      <c r="L14202" s="355">
        <f>K14201</f>
        <v>6898.6301369863022</v>
      </c>
    </row>
    <row r="14203" spans="1:16" ht="11.25" customHeight="1" x14ac:dyDescent="0.2">
      <c r="A14203" s="344">
        <v>2026</v>
      </c>
      <c r="B14203" s="344">
        <v>3</v>
      </c>
      <c r="C14203" s="344">
        <v>12</v>
      </c>
      <c r="D14203" s="345">
        <f t="shared" si="2212"/>
        <v>46093</v>
      </c>
      <c r="E14203" s="346">
        <f>DATE(A14203,B14203,C14203)</f>
        <v>46093</v>
      </c>
      <c r="F14203" s="518" t="s">
        <v>1988</v>
      </c>
      <c r="G14203" s="347" t="s">
        <v>1245</v>
      </c>
      <c r="H14203" s="348"/>
      <c r="I14203" s="348" t="s">
        <v>1253</v>
      </c>
      <c r="J14203" s="344" t="s">
        <v>113</v>
      </c>
      <c r="K14203" s="349">
        <v>4692.3071428571402</v>
      </c>
      <c r="L14203" s="349"/>
      <c r="M14203" s="455"/>
    </row>
    <row r="14204" spans="1:16" ht="11.25" customHeight="1" x14ac:dyDescent="0.2">
      <c r="A14204" s="350">
        <v>2026</v>
      </c>
      <c r="B14204" s="350">
        <v>3</v>
      </c>
      <c r="C14204" s="350">
        <v>12</v>
      </c>
      <c r="D14204" s="351">
        <f t="shared" si="2212"/>
        <v>46093</v>
      </c>
      <c r="E14204" s="352">
        <f>DATE(A14204,B14204,C14204)</f>
        <v>46093</v>
      </c>
      <c r="F14204" s="519"/>
      <c r="G14204" s="353" t="s">
        <v>1245</v>
      </c>
      <c r="H14204" s="354"/>
      <c r="I14204" s="354" t="s">
        <v>1253</v>
      </c>
      <c r="J14204" s="350" t="s">
        <v>153</v>
      </c>
      <c r="K14204" s="355"/>
      <c r="L14204" s="355">
        <f t="shared" ref="L14204" si="2219">K14203</f>
        <v>4692.3071428571402</v>
      </c>
    </row>
    <row r="14205" spans="1:16" ht="11.25" customHeight="1" x14ac:dyDescent="0.2">
      <c r="A14205" s="344">
        <v>2026</v>
      </c>
      <c r="B14205" s="344">
        <v>3</v>
      </c>
      <c r="C14205" s="344">
        <v>12</v>
      </c>
      <c r="D14205" s="345">
        <f t="shared" si="2212"/>
        <v>46093</v>
      </c>
      <c r="E14205" s="346">
        <f t="shared" ref="E14205:E14211" si="2220">DATE(A14205,B14205,C14205)</f>
        <v>46093</v>
      </c>
      <c r="F14205" s="518" t="s">
        <v>1989</v>
      </c>
      <c r="G14205" s="347" t="s">
        <v>1245</v>
      </c>
      <c r="H14205" s="348"/>
      <c r="I14205" s="348" t="s">
        <v>1253</v>
      </c>
      <c r="J14205" s="344" t="s">
        <v>113</v>
      </c>
      <c r="K14205" s="349">
        <v>3351.6483516483499</v>
      </c>
      <c r="L14205" s="349"/>
      <c r="M14205" s="455"/>
    </row>
    <row r="14206" spans="1:16" ht="11.25" customHeight="1" x14ac:dyDescent="0.2">
      <c r="A14206" s="350">
        <v>2026</v>
      </c>
      <c r="B14206" s="350">
        <v>3</v>
      </c>
      <c r="C14206" s="350">
        <v>12</v>
      </c>
      <c r="D14206" s="351">
        <f t="shared" si="2212"/>
        <v>46093</v>
      </c>
      <c r="E14206" s="352">
        <f t="shared" si="2220"/>
        <v>46093</v>
      </c>
      <c r="F14206" s="519"/>
      <c r="G14206" s="353" t="s">
        <v>1245</v>
      </c>
      <c r="H14206" s="354"/>
      <c r="I14206" s="354" t="s">
        <v>1253</v>
      </c>
      <c r="J14206" s="350" t="s">
        <v>153</v>
      </c>
      <c r="K14206" s="355"/>
      <c r="L14206" s="355">
        <f t="shared" ref="L14206" si="2221">K14205</f>
        <v>3351.6483516483499</v>
      </c>
    </row>
    <row r="14207" spans="1:16" ht="11.25" customHeight="1" x14ac:dyDescent="0.2">
      <c r="A14207" s="344">
        <v>2026</v>
      </c>
      <c r="B14207" s="344">
        <v>3</v>
      </c>
      <c r="C14207" s="344">
        <v>12</v>
      </c>
      <c r="D14207" s="345">
        <f t="shared" si="2212"/>
        <v>46093</v>
      </c>
      <c r="E14207" s="346">
        <f t="shared" si="2220"/>
        <v>46093</v>
      </c>
      <c r="F14207" s="518" t="s">
        <v>1990</v>
      </c>
      <c r="G14207" s="347" t="s">
        <v>1245</v>
      </c>
      <c r="H14207" s="348"/>
      <c r="I14207" s="348" t="s">
        <v>1253</v>
      </c>
      <c r="J14207" s="344" t="s">
        <v>113</v>
      </c>
      <c r="K14207" s="349">
        <v>10054.945714285701</v>
      </c>
      <c r="L14207" s="349"/>
      <c r="M14207" s="455"/>
      <c r="N14207" s="251"/>
      <c r="O14207" s="251"/>
      <c r="P14207" s="251"/>
    </row>
    <row r="14208" spans="1:16" ht="11.25" customHeight="1" x14ac:dyDescent="0.2">
      <c r="A14208" s="350">
        <v>2026</v>
      </c>
      <c r="B14208" s="350">
        <v>3</v>
      </c>
      <c r="C14208" s="350">
        <v>12</v>
      </c>
      <c r="D14208" s="351">
        <f t="shared" si="2212"/>
        <v>46093</v>
      </c>
      <c r="E14208" s="352">
        <f t="shared" si="2220"/>
        <v>46093</v>
      </c>
      <c r="F14208" s="519"/>
      <c r="G14208" s="353" t="s">
        <v>1245</v>
      </c>
      <c r="H14208" s="354"/>
      <c r="I14208" s="354" t="s">
        <v>1253</v>
      </c>
      <c r="J14208" s="350" t="s">
        <v>153</v>
      </c>
      <c r="K14208" s="355"/>
      <c r="L14208" s="355">
        <f t="shared" ref="L14208" si="2222">K14207</f>
        <v>10054.945714285701</v>
      </c>
      <c r="M14208" s="455"/>
    </row>
    <row r="14209" spans="1:16" ht="11.25" customHeight="1" x14ac:dyDescent="0.2">
      <c r="A14209" s="344">
        <v>2026</v>
      </c>
      <c r="B14209" s="344">
        <v>3</v>
      </c>
      <c r="C14209" s="344">
        <v>12</v>
      </c>
      <c r="D14209" s="345">
        <f t="shared" si="2212"/>
        <v>46093</v>
      </c>
      <c r="E14209" s="346">
        <f t="shared" si="2220"/>
        <v>46093</v>
      </c>
      <c r="F14209" s="518" t="s">
        <v>2107</v>
      </c>
      <c r="G14209" s="347" t="s">
        <v>1245</v>
      </c>
      <c r="H14209" s="348"/>
      <c r="I14209" s="348" t="s">
        <v>1253</v>
      </c>
      <c r="J14209" s="344" t="s">
        <v>113</v>
      </c>
      <c r="K14209" s="349">
        <v>12370.879120879101</v>
      </c>
      <c r="L14209" s="349"/>
      <c r="M14209" s="455"/>
      <c r="N14209" s="251"/>
      <c r="O14209" s="251"/>
      <c r="P14209" s="251"/>
    </row>
    <row r="14210" spans="1:16" ht="11.25" customHeight="1" x14ac:dyDescent="0.2">
      <c r="A14210" s="350">
        <v>2026</v>
      </c>
      <c r="B14210" s="350">
        <v>3</v>
      </c>
      <c r="C14210" s="350">
        <v>12</v>
      </c>
      <c r="D14210" s="351">
        <f t="shared" si="2212"/>
        <v>46093</v>
      </c>
      <c r="E14210" s="352">
        <f t="shared" si="2220"/>
        <v>46093</v>
      </c>
      <c r="F14210" s="519"/>
      <c r="G14210" s="353" t="s">
        <v>1245</v>
      </c>
      <c r="H14210" s="354"/>
      <c r="I14210" s="354" t="s">
        <v>1253</v>
      </c>
      <c r="J14210" s="350" t="s">
        <v>153</v>
      </c>
      <c r="K14210" s="355"/>
      <c r="L14210" s="355">
        <f t="shared" ref="L14210" si="2223">K14209</f>
        <v>12370.879120879101</v>
      </c>
    </row>
    <row r="14211" spans="1:16" ht="11.25" customHeight="1" x14ac:dyDescent="0.2">
      <c r="A14211" s="210">
        <v>2026</v>
      </c>
      <c r="B14211" s="210">
        <v>3</v>
      </c>
      <c r="C14211" s="210">
        <v>12</v>
      </c>
      <c r="D14211" s="211">
        <f t="shared" si="2212"/>
        <v>46093</v>
      </c>
      <c r="E14211" s="238">
        <f t="shared" si="2220"/>
        <v>46093</v>
      </c>
      <c r="F14211" s="520" t="s">
        <v>1857</v>
      </c>
      <c r="G14211" s="213" t="s">
        <v>1245</v>
      </c>
      <c r="H14211" s="214"/>
      <c r="I14211" s="214" t="s">
        <v>1253</v>
      </c>
      <c r="J14211" s="210" t="s">
        <v>1284</v>
      </c>
      <c r="K14211" s="215">
        <v>334.54448777029398</v>
      </c>
      <c r="L14211" s="215"/>
      <c r="M14211" s="455"/>
    </row>
    <row r="14212" spans="1:16" ht="11.25" customHeight="1" x14ac:dyDescent="0.2">
      <c r="A14212" s="242">
        <v>2026</v>
      </c>
      <c r="B14212" s="242">
        <v>3</v>
      </c>
      <c r="C14212" s="242">
        <v>12</v>
      </c>
      <c r="D14212" s="243">
        <f t="shared" si="2212"/>
        <v>46093</v>
      </c>
      <c r="E14212" s="244">
        <f>DATE(A14212,B14212,C14212)</f>
        <v>46093</v>
      </c>
      <c r="F14212" s="521"/>
      <c r="G14212" s="245" t="s">
        <v>1245</v>
      </c>
      <c r="H14212" s="246"/>
      <c r="I14212" s="246"/>
      <c r="J14212" s="242" t="s">
        <v>1582</v>
      </c>
      <c r="K14212" s="247"/>
      <c r="L14212" s="247">
        <f>K14211</f>
        <v>334.54448777029398</v>
      </c>
    </row>
    <row r="14213" spans="1:16" ht="11.25" customHeight="1" x14ac:dyDescent="0.2">
      <c r="A14213" s="210">
        <v>2026</v>
      </c>
      <c r="B14213" s="210">
        <v>3</v>
      </c>
      <c r="C14213" s="210">
        <v>12</v>
      </c>
      <c r="D14213" s="211">
        <f t="shared" si="2212"/>
        <v>46093</v>
      </c>
      <c r="E14213" s="238">
        <f t="shared" ref="E14213:E14250" si="2224">DATE(A14213,B14213,C14213)</f>
        <v>46093</v>
      </c>
      <c r="F14213" s="520" t="s">
        <v>2055</v>
      </c>
      <c r="G14213" s="213" t="s">
        <v>1245</v>
      </c>
      <c r="H14213" s="214"/>
      <c r="I14213" s="214" t="s">
        <v>1253</v>
      </c>
      <c r="J14213" s="210" t="s">
        <v>58</v>
      </c>
      <c r="K14213" s="215">
        <v>1396.9764944444444</v>
      </c>
      <c r="L14213" s="215"/>
    </row>
    <row r="14214" spans="1:16" ht="11.25" customHeight="1" x14ac:dyDescent="0.2">
      <c r="A14214" s="216">
        <v>2026</v>
      </c>
      <c r="B14214" s="216">
        <v>3</v>
      </c>
      <c r="C14214" s="216">
        <v>12</v>
      </c>
      <c r="D14214" s="217">
        <f t="shared" si="2212"/>
        <v>46093</v>
      </c>
      <c r="E14214" s="239">
        <f t="shared" si="2224"/>
        <v>46093</v>
      </c>
      <c r="F14214" s="521"/>
      <c r="G14214" s="219" t="s">
        <v>1245</v>
      </c>
      <c r="H14214" s="220"/>
      <c r="I14214" s="220" t="s">
        <v>1253</v>
      </c>
      <c r="J14214" s="216" t="s">
        <v>153</v>
      </c>
      <c r="K14214" s="221"/>
      <c r="L14214" s="221">
        <f>K14213</f>
        <v>1396.9764944444444</v>
      </c>
    </row>
    <row r="14215" spans="1:16" ht="11.25" customHeight="1" x14ac:dyDescent="0.2">
      <c r="A14215" s="312">
        <v>2026</v>
      </c>
      <c r="B14215" s="312">
        <v>3</v>
      </c>
      <c r="C14215" s="312">
        <v>12</v>
      </c>
      <c r="D14215" s="313">
        <f t="shared" si="2212"/>
        <v>46093</v>
      </c>
      <c r="E14215" s="314">
        <f t="shared" si="2224"/>
        <v>46093</v>
      </c>
      <c r="F14215" s="522" t="s">
        <v>1595</v>
      </c>
      <c r="G14215" s="315" t="s">
        <v>1245</v>
      </c>
      <c r="H14215" s="316"/>
      <c r="I14215" s="316" t="s">
        <v>1253</v>
      </c>
      <c r="J14215" s="312" t="s">
        <v>1461</v>
      </c>
      <c r="K14215" s="317">
        <v>97277.653999984264</v>
      </c>
      <c r="L14215" s="317"/>
      <c r="M14215" s="328"/>
    </row>
    <row r="14216" spans="1:16" ht="11.25" customHeight="1" x14ac:dyDescent="0.2">
      <c r="A14216" s="486">
        <v>2026</v>
      </c>
      <c r="B14216" s="486">
        <v>3</v>
      </c>
      <c r="C14216" s="486">
        <v>12</v>
      </c>
      <c r="D14216" s="487">
        <f t="shared" si="2212"/>
        <v>46093</v>
      </c>
      <c r="E14216" s="488">
        <f t="shared" si="2224"/>
        <v>46093</v>
      </c>
      <c r="F14216" s="523"/>
      <c r="G14216" s="489" t="s">
        <v>1245</v>
      </c>
      <c r="H14216" s="490"/>
      <c r="I14216" s="490" t="s">
        <v>1253</v>
      </c>
      <c r="J14216" s="486" t="s">
        <v>1459</v>
      </c>
      <c r="K14216" s="491"/>
      <c r="L14216" s="491">
        <f>K14215</f>
        <v>97277.653999984264</v>
      </c>
      <c r="M14216" s="328"/>
    </row>
    <row r="14217" spans="1:16" ht="11.25" customHeight="1" x14ac:dyDescent="0.2">
      <c r="A14217" s="222">
        <v>2026</v>
      </c>
      <c r="B14217" s="222">
        <v>3</v>
      </c>
      <c r="C14217" s="222">
        <v>12</v>
      </c>
      <c r="D14217" s="223">
        <f t="shared" si="2212"/>
        <v>46093</v>
      </c>
      <c r="E14217" s="240">
        <f t="shared" si="2224"/>
        <v>46093</v>
      </c>
      <c r="F14217" s="511" t="s">
        <v>1244</v>
      </c>
      <c r="G14217" s="225" t="s">
        <v>1245</v>
      </c>
      <c r="H14217" s="226"/>
      <c r="I14217" s="226" t="s">
        <v>1253</v>
      </c>
      <c r="J14217" s="222" t="s">
        <v>87</v>
      </c>
      <c r="K14217" s="227">
        <v>3268.5</v>
      </c>
      <c r="L14217" s="227"/>
      <c r="M14217" s="328"/>
    </row>
    <row r="14218" spans="1:16" ht="11.25" customHeight="1" x14ac:dyDescent="0.2">
      <c r="A14218" s="228">
        <v>2026</v>
      </c>
      <c r="B14218" s="228">
        <v>3</v>
      </c>
      <c r="C14218" s="228">
        <v>12</v>
      </c>
      <c r="D14218" s="229">
        <f t="shared" si="2212"/>
        <v>46093</v>
      </c>
      <c r="E14218" s="241">
        <f t="shared" si="2224"/>
        <v>46093</v>
      </c>
      <c r="F14218" s="512"/>
      <c r="G14218" s="231" t="s">
        <v>1245</v>
      </c>
      <c r="H14218" s="232"/>
      <c r="I14218" s="232" t="s">
        <v>1253</v>
      </c>
      <c r="J14218" s="228" t="s">
        <v>72</v>
      </c>
      <c r="K14218" s="233"/>
      <c r="L14218" s="233">
        <f>K14217</f>
        <v>3268.5</v>
      </c>
    </row>
    <row r="14219" spans="1:16" ht="11.25" customHeight="1" x14ac:dyDescent="0.2">
      <c r="A14219" s="492">
        <v>2026</v>
      </c>
      <c r="B14219" s="492">
        <v>3</v>
      </c>
      <c r="C14219" s="492">
        <v>12</v>
      </c>
      <c r="D14219" s="493">
        <f t="shared" si="2212"/>
        <v>46093</v>
      </c>
      <c r="E14219" s="494">
        <f t="shared" si="2224"/>
        <v>46093</v>
      </c>
      <c r="F14219" s="511" t="s">
        <v>2138</v>
      </c>
      <c r="G14219" s="495" t="s">
        <v>1245</v>
      </c>
      <c r="H14219" s="496"/>
      <c r="I14219" s="496" t="s">
        <v>1253</v>
      </c>
      <c r="J14219" s="492" t="s">
        <v>75</v>
      </c>
      <c r="K14219" s="497">
        <v>517.58912087912097</v>
      </c>
      <c r="L14219" s="497"/>
      <c r="M14219" s="455"/>
    </row>
    <row r="14220" spans="1:16" ht="11.25" customHeight="1" x14ac:dyDescent="0.2">
      <c r="A14220" s="228">
        <v>2026</v>
      </c>
      <c r="B14220" s="228">
        <v>3</v>
      </c>
      <c r="C14220" s="228">
        <v>12</v>
      </c>
      <c r="D14220" s="229">
        <f t="shared" si="2212"/>
        <v>46093</v>
      </c>
      <c r="E14220" s="241">
        <f t="shared" si="2224"/>
        <v>46093</v>
      </c>
      <c r="F14220" s="512"/>
      <c r="G14220" s="231" t="s">
        <v>1245</v>
      </c>
      <c r="H14220" s="232"/>
      <c r="I14220" s="232" t="s">
        <v>1253</v>
      </c>
      <c r="J14220" s="228" t="s">
        <v>55</v>
      </c>
      <c r="K14220" s="233"/>
      <c r="L14220" s="233">
        <f>K14219</f>
        <v>517.58912087912097</v>
      </c>
    </row>
    <row r="14221" spans="1:16" ht="11.25" customHeight="1" x14ac:dyDescent="0.2">
      <c r="A14221" s="222">
        <v>2026</v>
      </c>
      <c r="B14221" s="222">
        <v>3</v>
      </c>
      <c r="C14221" s="222">
        <v>12</v>
      </c>
      <c r="D14221" s="223">
        <f t="shared" si="2212"/>
        <v>46093</v>
      </c>
      <c r="E14221" s="240">
        <f t="shared" si="2224"/>
        <v>46093</v>
      </c>
      <c r="F14221" s="511" t="s">
        <v>2137</v>
      </c>
      <c r="G14221" s="225" t="s">
        <v>1245</v>
      </c>
      <c r="H14221" s="226"/>
      <c r="I14221" s="226" t="s">
        <v>1253</v>
      </c>
      <c r="J14221" s="222" t="s">
        <v>77</v>
      </c>
      <c r="K14221" s="227">
        <v>7717.1439222394029</v>
      </c>
      <c r="L14221" s="227"/>
      <c r="M14221" s="478"/>
    </row>
    <row r="14222" spans="1:16" ht="11.25" customHeight="1" x14ac:dyDescent="0.2">
      <c r="A14222" s="228">
        <v>2026</v>
      </c>
      <c r="B14222" s="228">
        <v>3</v>
      </c>
      <c r="C14222" s="228">
        <v>12</v>
      </c>
      <c r="D14222" s="229">
        <f t="shared" si="2212"/>
        <v>46093</v>
      </c>
      <c r="E14222" s="241">
        <f t="shared" si="2224"/>
        <v>46093</v>
      </c>
      <c r="F14222" s="512"/>
      <c r="G14222" s="231" t="s">
        <v>1245</v>
      </c>
      <c r="H14222" s="232"/>
      <c r="I14222" s="232" t="s">
        <v>1253</v>
      </c>
      <c r="J14222" s="228" t="s">
        <v>41</v>
      </c>
      <c r="K14222" s="233"/>
      <c r="L14222" s="233">
        <f>K14221</f>
        <v>7717.1439222394029</v>
      </c>
      <c r="M14222" s="328"/>
      <c r="N14222" s="251"/>
    </row>
    <row r="14223" spans="1:16" ht="11.25" customHeight="1" x14ac:dyDescent="0.2">
      <c r="A14223" s="222">
        <v>2026</v>
      </c>
      <c r="B14223" s="222">
        <v>3</v>
      </c>
      <c r="C14223" s="222">
        <v>12</v>
      </c>
      <c r="D14223" s="223">
        <f t="shared" si="2212"/>
        <v>46093</v>
      </c>
      <c r="E14223" s="240">
        <f t="shared" si="2224"/>
        <v>46093</v>
      </c>
      <c r="F14223" s="511" t="s">
        <v>2136</v>
      </c>
      <c r="G14223" s="225" t="s">
        <v>1245</v>
      </c>
      <c r="H14223" s="226"/>
      <c r="I14223" s="226" t="s">
        <v>1253</v>
      </c>
      <c r="J14223" s="222" t="s">
        <v>80</v>
      </c>
      <c r="K14223" s="227">
        <v>771.71439222394019</v>
      </c>
      <c r="L14223" s="227"/>
      <c r="M14223" s="328"/>
      <c r="N14223" s="251"/>
      <c r="O14223" s="251"/>
    </row>
    <row r="14224" spans="1:16" ht="11.25" customHeight="1" x14ac:dyDescent="0.2">
      <c r="A14224" s="228">
        <v>2026</v>
      </c>
      <c r="B14224" s="228">
        <v>3</v>
      </c>
      <c r="C14224" s="228">
        <v>12</v>
      </c>
      <c r="D14224" s="229">
        <f t="shared" si="2212"/>
        <v>46093</v>
      </c>
      <c r="E14224" s="241">
        <f t="shared" si="2224"/>
        <v>46093</v>
      </c>
      <c r="F14224" s="512"/>
      <c r="G14224" s="231" t="s">
        <v>1245</v>
      </c>
      <c r="H14224" s="232"/>
      <c r="I14224" s="232" t="s">
        <v>1253</v>
      </c>
      <c r="J14224" s="228" t="s">
        <v>42</v>
      </c>
      <c r="K14224" s="233"/>
      <c r="L14224" s="233">
        <f>K14223</f>
        <v>771.71439222394019</v>
      </c>
      <c r="N14224" s="251"/>
    </row>
    <row r="14225" spans="1:13" x14ac:dyDescent="0.2">
      <c r="A14225" s="197">
        <v>2026</v>
      </c>
      <c r="B14225" s="197">
        <v>3</v>
      </c>
      <c r="C14225" s="197">
        <v>15</v>
      </c>
      <c r="D14225" s="198">
        <f t="shared" si="2212"/>
        <v>46096</v>
      </c>
      <c r="E14225" s="209">
        <f t="shared" si="2224"/>
        <v>46096</v>
      </c>
      <c r="F14225" s="513" t="s">
        <v>1423</v>
      </c>
      <c r="G14225" s="200" t="s">
        <v>1209</v>
      </c>
      <c r="H14225" s="201"/>
      <c r="I14225" s="201"/>
      <c r="J14225" s="197" t="s">
        <v>16</v>
      </c>
      <c r="K14225" s="202">
        <v>34530</v>
      </c>
      <c r="L14225" s="202"/>
    </row>
    <row r="14226" spans="1:13" x14ac:dyDescent="0.2">
      <c r="A14226" s="120">
        <v>2026</v>
      </c>
      <c r="B14226" s="120">
        <v>3</v>
      </c>
      <c r="C14226" s="120">
        <v>15</v>
      </c>
      <c r="D14226" s="208">
        <f t="shared" si="2212"/>
        <v>46096</v>
      </c>
      <c r="E14226" s="209">
        <f t="shared" si="2224"/>
        <v>46096</v>
      </c>
      <c r="F14226" s="515"/>
      <c r="G14226" s="132" t="s">
        <v>1209</v>
      </c>
      <c r="J14226" s="120" t="s">
        <v>47</v>
      </c>
      <c r="K14226" s="207">
        <v>14359.84</v>
      </c>
      <c r="L14226" s="207"/>
    </row>
    <row r="14227" spans="1:13" x14ac:dyDescent="0.2">
      <c r="A14227" s="191">
        <v>2026</v>
      </c>
      <c r="B14227" s="191">
        <v>3</v>
      </c>
      <c r="C14227" s="191">
        <v>15</v>
      </c>
      <c r="D14227" s="192">
        <f t="shared" si="2212"/>
        <v>46096</v>
      </c>
      <c r="E14227" s="193">
        <f t="shared" si="2224"/>
        <v>46096</v>
      </c>
      <c r="F14227" s="514"/>
      <c r="G14227" s="194" t="s">
        <v>1209</v>
      </c>
      <c r="H14227" s="195"/>
      <c r="I14227" s="195"/>
      <c r="J14227" s="191" t="s">
        <v>46</v>
      </c>
      <c r="K14227" s="196"/>
      <c r="L14227" s="196">
        <v>48889.84</v>
      </c>
    </row>
    <row r="14228" spans="1:13" x14ac:dyDescent="0.2">
      <c r="A14228" s="197">
        <v>2026</v>
      </c>
      <c r="B14228" s="197">
        <v>3</v>
      </c>
      <c r="C14228" s="197">
        <v>15</v>
      </c>
      <c r="D14228" s="198">
        <f t="shared" ref="D14228:D14233" si="2225">DATE(A14228,B14228,C14228)</f>
        <v>46096</v>
      </c>
      <c r="E14228" s="209">
        <f t="shared" ref="E14228:E14233" si="2226">DATE(A14228,B14228,C14228)</f>
        <v>46096</v>
      </c>
      <c r="F14228" s="513" t="s">
        <v>1280</v>
      </c>
      <c r="G14228" s="200" t="s">
        <v>1209</v>
      </c>
      <c r="H14228" s="201"/>
      <c r="I14228" s="201"/>
      <c r="J14228" s="197" t="s">
        <v>16</v>
      </c>
      <c r="K14228" s="202">
        <v>3630</v>
      </c>
      <c r="L14228" s="202"/>
    </row>
    <row r="14229" spans="1:13" x14ac:dyDescent="0.2">
      <c r="A14229" s="120">
        <v>2026</v>
      </c>
      <c r="B14229" s="120">
        <v>3</v>
      </c>
      <c r="C14229" s="120">
        <v>15</v>
      </c>
      <c r="D14229" s="208">
        <f t="shared" si="2225"/>
        <v>46096</v>
      </c>
      <c r="E14229" s="209">
        <f t="shared" si="2226"/>
        <v>46096</v>
      </c>
      <c r="F14229" s="515"/>
      <c r="G14229" s="132" t="s">
        <v>1209</v>
      </c>
      <c r="J14229" s="120" t="s">
        <v>47</v>
      </c>
      <c r="K14229" s="207">
        <v>1510.08</v>
      </c>
      <c r="L14229" s="207"/>
    </row>
    <row r="14230" spans="1:13" x14ac:dyDescent="0.2">
      <c r="A14230" s="191">
        <v>2026</v>
      </c>
      <c r="B14230" s="191">
        <v>3</v>
      </c>
      <c r="C14230" s="191">
        <v>15</v>
      </c>
      <c r="D14230" s="192">
        <f t="shared" si="2225"/>
        <v>46096</v>
      </c>
      <c r="E14230" s="193">
        <f t="shared" si="2226"/>
        <v>46096</v>
      </c>
      <c r="F14230" s="514"/>
      <c r="G14230" s="194" t="s">
        <v>1209</v>
      </c>
      <c r="H14230" s="195"/>
      <c r="I14230" s="195"/>
      <c r="J14230" s="191" t="s">
        <v>46</v>
      </c>
      <c r="K14230" s="196"/>
      <c r="L14230" s="196">
        <v>5140.08</v>
      </c>
    </row>
    <row r="14231" spans="1:13" x14ac:dyDescent="0.2">
      <c r="A14231" s="197">
        <v>2026</v>
      </c>
      <c r="B14231" s="197">
        <v>3</v>
      </c>
      <c r="C14231" s="197">
        <v>15</v>
      </c>
      <c r="D14231" s="198">
        <f t="shared" si="2225"/>
        <v>46096</v>
      </c>
      <c r="E14231" s="209">
        <f t="shared" si="2226"/>
        <v>46096</v>
      </c>
      <c r="F14231" s="513" t="s">
        <v>1210</v>
      </c>
      <c r="G14231" s="200" t="s">
        <v>1209</v>
      </c>
      <c r="H14231" s="201"/>
      <c r="I14231" s="201"/>
      <c r="J14231" s="197" t="s">
        <v>46</v>
      </c>
      <c r="K14231" s="202">
        <v>500000</v>
      </c>
      <c r="L14231" s="202"/>
    </row>
    <row r="14232" spans="1:13" x14ac:dyDescent="0.2">
      <c r="A14232" s="120">
        <v>2026</v>
      </c>
      <c r="B14232" s="120">
        <v>3</v>
      </c>
      <c r="C14232" s="120">
        <v>15</v>
      </c>
      <c r="D14232" s="208">
        <f t="shared" si="2225"/>
        <v>46096</v>
      </c>
      <c r="E14232" s="209">
        <f t="shared" si="2226"/>
        <v>46096</v>
      </c>
      <c r="F14232" s="515"/>
      <c r="G14232" s="132" t="s">
        <v>1209</v>
      </c>
      <c r="J14232" s="120" t="s">
        <v>16</v>
      </c>
      <c r="K14232" s="207"/>
      <c r="L14232" s="207">
        <v>353110</v>
      </c>
    </row>
    <row r="14233" spans="1:13" x14ac:dyDescent="0.2">
      <c r="A14233" s="191">
        <v>2026</v>
      </c>
      <c r="B14233" s="191">
        <v>3</v>
      </c>
      <c r="C14233" s="191">
        <v>15</v>
      </c>
      <c r="D14233" s="192">
        <f t="shared" si="2225"/>
        <v>46096</v>
      </c>
      <c r="E14233" s="193">
        <f t="shared" si="2226"/>
        <v>46096</v>
      </c>
      <c r="F14233" s="514"/>
      <c r="G14233" s="194" t="s">
        <v>1209</v>
      </c>
      <c r="H14233" s="195"/>
      <c r="I14233" s="195"/>
      <c r="J14233" s="191" t="s">
        <v>47</v>
      </c>
      <c r="K14233" s="196"/>
      <c r="L14233" s="196">
        <v>146890</v>
      </c>
    </row>
    <row r="14234" spans="1:13" x14ac:dyDescent="0.2">
      <c r="A14234" s="197">
        <v>2026</v>
      </c>
      <c r="B14234" s="197">
        <v>3</v>
      </c>
      <c r="C14234" s="197">
        <v>15</v>
      </c>
      <c r="D14234" s="198">
        <f t="shared" ref="D14234:D14236" si="2227">DATE(A14234,B14234,C14234)</f>
        <v>46096</v>
      </c>
      <c r="E14234" s="209">
        <f t="shared" ref="E14234:E14236" si="2228">DATE(A14234,B14234,C14234)</f>
        <v>46096</v>
      </c>
      <c r="F14234" s="513" t="s">
        <v>1296</v>
      </c>
      <c r="G14234" s="200" t="s">
        <v>1209</v>
      </c>
      <c r="H14234" s="201"/>
      <c r="I14234" s="201"/>
      <c r="J14234" s="197" t="s">
        <v>46</v>
      </c>
      <c r="K14234" s="202">
        <v>123000</v>
      </c>
      <c r="L14234" s="202"/>
    </row>
    <row r="14235" spans="1:13" x14ac:dyDescent="0.2">
      <c r="A14235" s="120">
        <v>2026</v>
      </c>
      <c r="B14235" s="120">
        <v>3</v>
      </c>
      <c r="C14235" s="120">
        <v>15</v>
      </c>
      <c r="D14235" s="208">
        <f t="shared" si="2227"/>
        <v>46096</v>
      </c>
      <c r="E14235" s="209">
        <f t="shared" si="2228"/>
        <v>46096</v>
      </c>
      <c r="F14235" s="515"/>
      <c r="G14235" s="132" t="s">
        <v>1209</v>
      </c>
      <c r="J14235" s="120" t="s">
        <v>16</v>
      </c>
      <c r="K14235" s="207"/>
      <c r="L14235" s="207">
        <v>86850</v>
      </c>
    </row>
    <row r="14236" spans="1:13" x14ac:dyDescent="0.2">
      <c r="A14236" s="191">
        <v>2026</v>
      </c>
      <c r="B14236" s="191">
        <v>3</v>
      </c>
      <c r="C14236" s="191">
        <v>15</v>
      </c>
      <c r="D14236" s="192">
        <f t="shared" si="2227"/>
        <v>46096</v>
      </c>
      <c r="E14236" s="193">
        <f t="shared" si="2228"/>
        <v>46096</v>
      </c>
      <c r="F14236" s="514"/>
      <c r="G14236" s="194" t="s">
        <v>1209</v>
      </c>
      <c r="H14236" s="195"/>
      <c r="I14236" s="195"/>
      <c r="J14236" s="191" t="s">
        <v>47</v>
      </c>
      <c r="K14236" s="196"/>
      <c r="L14236" s="196">
        <v>36150</v>
      </c>
    </row>
    <row r="14237" spans="1:13" x14ac:dyDescent="0.2">
      <c r="A14237" s="424">
        <v>2026</v>
      </c>
      <c r="B14237" s="424">
        <v>3</v>
      </c>
      <c r="C14237" s="424">
        <v>15</v>
      </c>
      <c r="D14237" s="425">
        <f t="shared" ref="D14237:D14275" si="2229">DATE(A14237,B14237,C14237)</f>
        <v>46096</v>
      </c>
      <c r="E14237" s="384">
        <f t="shared" si="2224"/>
        <v>46096</v>
      </c>
      <c r="F14237" s="516" t="s">
        <v>1850</v>
      </c>
      <c r="G14237" s="426" t="s">
        <v>1209</v>
      </c>
      <c r="H14237" s="427"/>
      <c r="I14237" s="427"/>
      <c r="J14237" s="428" t="s">
        <v>81</v>
      </c>
      <c r="K14237" s="429">
        <f>3*1595.81736263736</f>
        <v>4787.4520879120801</v>
      </c>
      <c r="L14237" s="429"/>
      <c r="M14237" s="455"/>
    </row>
    <row r="14238" spans="1:13" x14ac:dyDescent="0.2">
      <c r="A14238" s="389">
        <v>2026</v>
      </c>
      <c r="B14238" s="389">
        <v>3</v>
      </c>
      <c r="C14238" s="389">
        <v>15</v>
      </c>
      <c r="D14238" s="390">
        <f t="shared" si="2229"/>
        <v>46096</v>
      </c>
      <c r="E14238" s="391">
        <f t="shared" si="2224"/>
        <v>46096</v>
      </c>
      <c r="F14238" s="517"/>
      <c r="G14238" s="392" t="s">
        <v>1209</v>
      </c>
      <c r="H14238" s="393"/>
      <c r="I14238" s="393"/>
      <c r="J14238" s="394" t="s">
        <v>1847</v>
      </c>
      <c r="K14238" s="423"/>
      <c r="L14238" s="423">
        <f>K14237</f>
        <v>4787.4520879120801</v>
      </c>
    </row>
    <row r="14239" spans="1:13" ht="11.25" customHeight="1" x14ac:dyDescent="0.2">
      <c r="A14239" s="382">
        <v>2026</v>
      </c>
      <c r="B14239" s="382">
        <v>3</v>
      </c>
      <c r="C14239" s="382">
        <v>15</v>
      </c>
      <c r="D14239" s="383">
        <f t="shared" si="2229"/>
        <v>46096</v>
      </c>
      <c r="E14239" s="384">
        <f t="shared" si="2224"/>
        <v>46096</v>
      </c>
      <c r="F14239" s="516" t="s">
        <v>1892</v>
      </c>
      <c r="G14239" s="385" t="s">
        <v>1209</v>
      </c>
      <c r="H14239" s="386"/>
      <c r="I14239" s="386"/>
      <c r="J14239" s="387" t="s">
        <v>173</v>
      </c>
      <c r="K14239" s="388">
        <v>1777.8231539999999</v>
      </c>
      <c r="L14239" s="388"/>
      <c r="M14239" s="455"/>
    </row>
    <row r="14240" spans="1:13" ht="11.25" customHeight="1" x14ac:dyDescent="0.2">
      <c r="A14240" s="389">
        <v>2026</v>
      </c>
      <c r="B14240" s="389">
        <v>3</v>
      </c>
      <c r="C14240" s="389">
        <v>15</v>
      </c>
      <c r="D14240" s="390">
        <f t="shared" si="2229"/>
        <v>46096</v>
      </c>
      <c r="E14240" s="391">
        <f t="shared" si="2224"/>
        <v>46096</v>
      </c>
      <c r="F14240" s="517"/>
      <c r="G14240" s="392" t="s">
        <v>1209</v>
      </c>
      <c r="H14240" s="393"/>
      <c r="I14240" s="393"/>
      <c r="J14240" s="394" t="s">
        <v>43</v>
      </c>
      <c r="K14240" s="388"/>
      <c r="L14240" s="423">
        <f>K14239</f>
        <v>1777.8231539999999</v>
      </c>
    </row>
    <row r="14241" spans="1:16" ht="11.25" customHeight="1" x14ac:dyDescent="0.2">
      <c r="A14241" s="344">
        <v>2026</v>
      </c>
      <c r="B14241" s="344">
        <v>3</v>
      </c>
      <c r="C14241" s="344">
        <v>15</v>
      </c>
      <c r="D14241" s="345">
        <f t="shared" si="2229"/>
        <v>46096</v>
      </c>
      <c r="E14241" s="346">
        <f t="shared" si="2224"/>
        <v>46096</v>
      </c>
      <c r="F14241" s="518" t="s">
        <v>1982</v>
      </c>
      <c r="G14241" s="347" t="s">
        <v>1245</v>
      </c>
      <c r="H14241" s="348"/>
      <c r="I14241" s="348" t="s">
        <v>1253</v>
      </c>
      <c r="J14241" s="344" t="s">
        <v>1978</v>
      </c>
      <c r="K14241" s="349">
        <f>3*20878.1767955801</f>
        <v>62634.530386740298</v>
      </c>
      <c r="L14241" s="349"/>
      <c r="M14241" s="455"/>
    </row>
    <row r="14242" spans="1:16" ht="11.25" customHeight="1" x14ac:dyDescent="0.2">
      <c r="A14242" s="350">
        <v>2026</v>
      </c>
      <c r="B14242" s="350">
        <v>3</v>
      </c>
      <c r="C14242" s="350">
        <v>15</v>
      </c>
      <c r="D14242" s="351">
        <f t="shared" si="2229"/>
        <v>46096</v>
      </c>
      <c r="E14242" s="352">
        <f t="shared" si="2224"/>
        <v>46096</v>
      </c>
      <c r="F14242" s="519"/>
      <c r="G14242" s="353" t="s">
        <v>1245</v>
      </c>
      <c r="H14242" s="354"/>
      <c r="I14242" s="354" t="s">
        <v>1253</v>
      </c>
      <c r="J14242" s="350" t="s">
        <v>1979</v>
      </c>
      <c r="K14242" s="355"/>
      <c r="L14242" s="355">
        <f>K14241</f>
        <v>62634.530386740298</v>
      </c>
    </row>
    <row r="14243" spans="1:16" ht="11.25" customHeight="1" x14ac:dyDescent="0.2">
      <c r="A14243" s="344">
        <v>2026</v>
      </c>
      <c r="B14243" s="344">
        <v>3</v>
      </c>
      <c r="C14243" s="344">
        <v>15</v>
      </c>
      <c r="D14243" s="345">
        <f t="shared" si="2229"/>
        <v>46096</v>
      </c>
      <c r="E14243" s="346">
        <f t="shared" si="2224"/>
        <v>46096</v>
      </c>
      <c r="F14243" s="518" t="s">
        <v>2009</v>
      </c>
      <c r="G14243" s="347" t="s">
        <v>1245</v>
      </c>
      <c r="H14243" s="348"/>
      <c r="I14243" s="348" t="s">
        <v>1253</v>
      </c>
      <c r="J14243" s="344" t="s">
        <v>2004</v>
      </c>
      <c r="K14243" s="349">
        <f>3*7098.90142857143</f>
        <v>21296.704285714291</v>
      </c>
      <c r="L14243" s="349"/>
      <c r="M14243" s="455"/>
    </row>
    <row r="14244" spans="1:16" ht="11.25" customHeight="1" x14ac:dyDescent="0.2">
      <c r="A14244" s="350">
        <v>2026</v>
      </c>
      <c r="B14244" s="350">
        <v>3</v>
      </c>
      <c r="C14244" s="350">
        <v>15</v>
      </c>
      <c r="D14244" s="351">
        <f t="shared" si="2229"/>
        <v>46096</v>
      </c>
      <c r="E14244" s="352">
        <f t="shared" si="2224"/>
        <v>46096</v>
      </c>
      <c r="F14244" s="519"/>
      <c r="G14244" s="353" t="s">
        <v>1245</v>
      </c>
      <c r="H14244" s="354"/>
      <c r="I14244" s="354" t="s">
        <v>1253</v>
      </c>
      <c r="J14244" s="350" t="s">
        <v>2008</v>
      </c>
      <c r="K14244" s="355"/>
      <c r="L14244" s="355">
        <f t="shared" ref="L14244" si="2230">K14243</f>
        <v>21296.704285714291</v>
      </c>
    </row>
    <row r="14245" spans="1:16" ht="11.25" customHeight="1" x14ac:dyDescent="0.2">
      <c r="A14245" s="344">
        <v>2026</v>
      </c>
      <c r="B14245" s="344">
        <v>3</v>
      </c>
      <c r="C14245" s="344">
        <v>15</v>
      </c>
      <c r="D14245" s="345">
        <f t="shared" si="2229"/>
        <v>46096</v>
      </c>
      <c r="E14245" s="346">
        <f t="shared" si="2224"/>
        <v>46096</v>
      </c>
      <c r="F14245" s="518" t="s">
        <v>2009</v>
      </c>
      <c r="G14245" s="347" t="s">
        <v>1245</v>
      </c>
      <c r="H14245" s="348"/>
      <c r="I14245" s="348" t="s">
        <v>1253</v>
      </c>
      <c r="J14245" s="344" t="s">
        <v>2004</v>
      </c>
      <c r="K14245" s="349">
        <f>3*7098.90142857143</f>
        <v>21296.704285714291</v>
      </c>
      <c r="L14245" s="349"/>
      <c r="M14245" s="455"/>
    </row>
    <row r="14246" spans="1:16" ht="11.25" customHeight="1" x14ac:dyDescent="0.2">
      <c r="A14246" s="350">
        <v>2026</v>
      </c>
      <c r="B14246" s="350">
        <v>3</v>
      </c>
      <c r="C14246" s="350">
        <v>15</v>
      </c>
      <c r="D14246" s="351">
        <f t="shared" si="2229"/>
        <v>46096</v>
      </c>
      <c r="E14246" s="352">
        <f t="shared" si="2224"/>
        <v>46096</v>
      </c>
      <c r="F14246" s="519"/>
      <c r="G14246" s="353" t="s">
        <v>1245</v>
      </c>
      <c r="H14246" s="354"/>
      <c r="I14246" s="354" t="s">
        <v>1253</v>
      </c>
      <c r="J14246" s="350" t="s">
        <v>2008</v>
      </c>
      <c r="K14246" s="355"/>
      <c r="L14246" s="355">
        <f t="shared" ref="L14246" si="2231">K14245</f>
        <v>21296.704285714291</v>
      </c>
    </row>
    <row r="14247" spans="1:16" ht="11.25" customHeight="1" x14ac:dyDescent="0.2">
      <c r="A14247" s="344">
        <v>2026</v>
      </c>
      <c r="B14247" s="344">
        <v>3</v>
      </c>
      <c r="C14247" s="344">
        <v>15</v>
      </c>
      <c r="D14247" s="345">
        <f t="shared" si="2229"/>
        <v>46096</v>
      </c>
      <c r="E14247" s="346">
        <f t="shared" si="2224"/>
        <v>46096</v>
      </c>
      <c r="F14247" s="518" t="s">
        <v>2088</v>
      </c>
      <c r="G14247" s="347" t="s">
        <v>1245</v>
      </c>
      <c r="H14247" s="348"/>
      <c r="I14247" s="348" t="s">
        <v>1253</v>
      </c>
      <c r="J14247" s="344" t="s">
        <v>2086</v>
      </c>
      <c r="K14247" s="349">
        <f>3*1789.83516483516</f>
        <v>5369.5054945054799</v>
      </c>
      <c r="L14247" s="349"/>
      <c r="M14247" s="455"/>
    </row>
    <row r="14248" spans="1:16" ht="11.25" customHeight="1" x14ac:dyDescent="0.2">
      <c r="A14248" s="350">
        <v>2026</v>
      </c>
      <c r="B14248" s="350">
        <v>3</v>
      </c>
      <c r="C14248" s="350">
        <v>15</v>
      </c>
      <c r="D14248" s="351">
        <f t="shared" si="2229"/>
        <v>46096</v>
      </c>
      <c r="E14248" s="352">
        <f t="shared" si="2224"/>
        <v>46096</v>
      </c>
      <c r="F14248" s="519"/>
      <c r="G14248" s="353" t="s">
        <v>1245</v>
      </c>
      <c r="H14248" s="354"/>
      <c r="I14248" s="354" t="s">
        <v>1253</v>
      </c>
      <c r="J14248" s="350" t="s">
        <v>2089</v>
      </c>
      <c r="K14248" s="355"/>
      <c r="L14248" s="355">
        <f>K14247</f>
        <v>5369.5054945054799</v>
      </c>
    </row>
    <row r="14249" spans="1:16" ht="11.25" customHeight="1" x14ac:dyDescent="0.2">
      <c r="A14249" s="344">
        <v>2026</v>
      </c>
      <c r="B14249" s="344">
        <v>3</v>
      </c>
      <c r="C14249" s="344">
        <v>15</v>
      </c>
      <c r="D14249" s="345">
        <f t="shared" si="2229"/>
        <v>46096</v>
      </c>
      <c r="E14249" s="346">
        <f t="shared" si="2224"/>
        <v>46096</v>
      </c>
      <c r="F14249" s="518" t="s">
        <v>2143</v>
      </c>
      <c r="G14249" s="347" t="s">
        <v>1245</v>
      </c>
      <c r="H14249" s="348"/>
      <c r="I14249" s="348" t="s">
        <v>1253</v>
      </c>
      <c r="J14249" s="344" t="s">
        <v>2086</v>
      </c>
      <c r="K14249" s="349">
        <v>20695.890410958906</v>
      </c>
      <c r="L14249" s="349"/>
      <c r="M14249" s="455"/>
    </row>
    <row r="14250" spans="1:16" ht="11.25" customHeight="1" x14ac:dyDescent="0.2">
      <c r="A14250" s="350">
        <v>2026</v>
      </c>
      <c r="B14250" s="350">
        <v>3</v>
      </c>
      <c r="C14250" s="350">
        <v>15</v>
      </c>
      <c r="D14250" s="351">
        <f t="shared" si="2229"/>
        <v>46096</v>
      </c>
      <c r="E14250" s="352">
        <f t="shared" si="2224"/>
        <v>46096</v>
      </c>
      <c r="F14250" s="519"/>
      <c r="G14250" s="353" t="s">
        <v>1245</v>
      </c>
      <c r="H14250" s="354"/>
      <c r="I14250" s="354" t="s">
        <v>1253</v>
      </c>
      <c r="J14250" s="350" t="s">
        <v>2089</v>
      </c>
      <c r="K14250" s="355"/>
      <c r="L14250" s="355">
        <f>K14249</f>
        <v>20695.890410958906</v>
      </c>
    </row>
    <row r="14251" spans="1:16" ht="11.25" customHeight="1" x14ac:dyDescent="0.2">
      <c r="A14251" s="344">
        <v>2026</v>
      </c>
      <c r="B14251" s="344">
        <v>3</v>
      </c>
      <c r="C14251" s="344">
        <v>15</v>
      </c>
      <c r="D14251" s="345">
        <f t="shared" si="2229"/>
        <v>46096</v>
      </c>
      <c r="E14251" s="346">
        <f>DATE(A14251,B14251,C14251)</f>
        <v>46096</v>
      </c>
      <c r="F14251" s="518" t="s">
        <v>1988</v>
      </c>
      <c r="G14251" s="347" t="s">
        <v>1245</v>
      </c>
      <c r="H14251" s="348"/>
      <c r="I14251" s="348" t="s">
        <v>1253</v>
      </c>
      <c r="J14251" s="344" t="s">
        <v>113</v>
      </c>
      <c r="K14251" s="349">
        <f>3*4692.30714285714</f>
        <v>14076.921428571421</v>
      </c>
      <c r="L14251" s="349"/>
      <c r="M14251" s="455"/>
    </row>
    <row r="14252" spans="1:16" ht="11.25" customHeight="1" x14ac:dyDescent="0.2">
      <c r="A14252" s="350">
        <v>2026</v>
      </c>
      <c r="B14252" s="350">
        <v>3</v>
      </c>
      <c r="C14252" s="350">
        <v>15</v>
      </c>
      <c r="D14252" s="351">
        <f t="shared" si="2229"/>
        <v>46096</v>
      </c>
      <c r="E14252" s="352">
        <f>DATE(A14252,B14252,C14252)</f>
        <v>46096</v>
      </c>
      <c r="F14252" s="519"/>
      <c r="G14252" s="353" t="s">
        <v>1245</v>
      </c>
      <c r="H14252" s="354"/>
      <c r="I14252" s="354" t="s">
        <v>1253</v>
      </c>
      <c r="J14252" s="350" t="s">
        <v>153</v>
      </c>
      <c r="K14252" s="355"/>
      <c r="L14252" s="355">
        <f t="shared" ref="L14252" si="2232">K14251</f>
        <v>14076.921428571421</v>
      </c>
    </row>
    <row r="14253" spans="1:16" ht="11.25" customHeight="1" x14ac:dyDescent="0.2">
      <c r="A14253" s="344">
        <v>2026</v>
      </c>
      <c r="B14253" s="344">
        <v>3</v>
      </c>
      <c r="C14253" s="344">
        <v>15</v>
      </c>
      <c r="D14253" s="345">
        <f t="shared" si="2229"/>
        <v>46096</v>
      </c>
      <c r="E14253" s="346">
        <f t="shared" ref="E14253:E14259" si="2233">DATE(A14253,B14253,C14253)</f>
        <v>46096</v>
      </c>
      <c r="F14253" s="518" t="s">
        <v>1989</v>
      </c>
      <c r="G14253" s="347" t="s">
        <v>1245</v>
      </c>
      <c r="H14253" s="348"/>
      <c r="I14253" s="348" t="s">
        <v>1253</v>
      </c>
      <c r="J14253" s="344" t="s">
        <v>113</v>
      </c>
      <c r="K14253" s="349">
        <f>3*3351.64835164835</f>
        <v>10054.94505494505</v>
      </c>
      <c r="L14253" s="349"/>
      <c r="M14253" s="455"/>
    </row>
    <row r="14254" spans="1:16" ht="11.25" customHeight="1" x14ac:dyDescent="0.2">
      <c r="A14254" s="350">
        <v>2026</v>
      </c>
      <c r="B14254" s="350">
        <v>3</v>
      </c>
      <c r="C14254" s="350">
        <v>15</v>
      </c>
      <c r="D14254" s="351">
        <f t="shared" si="2229"/>
        <v>46096</v>
      </c>
      <c r="E14254" s="352">
        <f t="shared" si="2233"/>
        <v>46096</v>
      </c>
      <c r="F14254" s="519"/>
      <c r="G14254" s="353" t="s">
        <v>1245</v>
      </c>
      <c r="H14254" s="354"/>
      <c r="I14254" s="354" t="s">
        <v>1253</v>
      </c>
      <c r="J14254" s="350" t="s">
        <v>153</v>
      </c>
      <c r="K14254" s="355"/>
      <c r="L14254" s="355">
        <f t="shared" ref="L14254" si="2234">K14253</f>
        <v>10054.94505494505</v>
      </c>
    </row>
    <row r="14255" spans="1:16" ht="11.25" customHeight="1" x14ac:dyDescent="0.2">
      <c r="A14255" s="344">
        <v>2026</v>
      </c>
      <c r="B14255" s="344">
        <v>3</v>
      </c>
      <c r="C14255" s="344">
        <v>15</v>
      </c>
      <c r="D14255" s="345">
        <f t="shared" si="2229"/>
        <v>46096</v>
      </c>
      <c r="E14255" s="346">
        <f t="shared" si="2233"/>
        <v>46096</v>
      </c>
      <c r="F14255" s="518" t="s">
        <v>1990</v>
      </c>
      <c r="G14255" s="347" t="s">
        <v>1245</v>
      </c>
      <c r="H14255" s="348"/>
      <c r="I14255" s="348" t="s">
        <v>1253</v>
      </c>
      <c r="J14255" s="344" t="s">
        <v>113</v>
      </c>
      <c r="K14255" s="349">
        <f>3*10054.9457142857</f>
        <v>30164.837142857104</v>
      </c>
      <c r="L14255" s="349"/>
      <c r="M14255" s="455"/>
      <c r="N14255" s="251"/>
      <c r="O14255" s="251"/>
      <c r="P14255" s="251"/>
    </row>
    <row r="14256" spans="1:16" ht="11.25" customHeight="1" x14ac:dyDescent="0.2">
      <c r="A14256" s="350">
        <v>2026</v>
      </c>
      <c r="B14256" s="350">
        <v>3</v>
      </c>
      <c r="C14256" s="350">
        <v>15</v>
      </c>
      <c r="D14256" s="351">
        <f t="shared" si="2229"/>
        <v>46096</v>
      </c>
      <c r="E14256" s="352">
        <f t="shared" si="2233"/>
        <v>46096</v>
      </c>
      <c r="F14256" s="519"/>
      <c r="G14256" s="353" t="s">
        <v>1245</v>
      </c>
      <c r="H14256" s="354"/>
      <c r="I14256" s="354" t="s">
        <v>1253</v>
      </c>
      <c r="J14256" s="350" t="s">
        <v>153</v>
      </c>
      <c r="K14256" s="355"/>
      <c r="L14256" s="355">
        <f t="shared" ref="L14256" si="2235">K14255</f>
        <v>30164.837142857104</v>
      </c>
      <c r="M14256" s="455"/>
    </row>
    <row r="14257" spans="1:16" ht="11.25" customHeight="1" x14ac:dyDescent="0.2">
      <c r="A14257" s="344">
        <v>2026</v>
      </c>
      <c r="B14257" s="344">
        <v>3</v>
      </c>
      <c r="C14257" s="344">
        <v>15</v>
      </c>
      <c r="D14257" s="345">
        <f t="shared" si="2229"/>
        <v>46096</v>
      </c>
      <c r="E14257" s="346">
        <f t="shared" si="2233"/>
        <v>46096</v>
      </c>
      <c r="F14257" s="518" t="s">
        <v>2107</v>
      </c>
      <c r="G14257" s="347" t="s">
        <v>1245</v>
      </c>
      <c r="H14257" s="348"/>
      <c r="I14257" s="348" t="s">
        <v>1253</v>
      </c>
      <c r="J14257" s="344" t="s">
        <v>113</v>
      </c>
      <c r="K14257" s="349">
        <f>3*12370.8791208791</f>
        <v>37112.637362637302</v>
      </c>
      <c r="L14257" s="349"/>
      <c r="M14257" s="455"/>
      <c r="N14257" s="251"/>
      <c r="O14257" s="251"/>
      <c r="P14257" s="251"/>
    </row>
    <row r="14258" spans="1:16" ht="11.25" customHeight="1" x14ac:dyDescent="0.2">
      <c r="A14258" s="350">
        <v>2026</v>
      </c>
      <c r="B14258" s="350">
        <v>3</v>
      </c>
      <c r="C14258" s="350">
        <v>15</v>
      </c>
      <c r="D14258" s="351">
        <f t="shared" si="2229"/>
        <v>46096</v>
      </c>
      <c r="E14258" s="352">
        <f t="shared" si="2233"/>
        <v>46096</v>
      </c>
      <c r="F14258" s="519"/>
      <c r="G14258" s="353" t="s">
        <v>1245</v>
      </c>
      <c r="H14258" s="354"/>
      <c r="I14258" s="354" t="s">
        <v>1253</v>
      </c>
      <c r="J14258" s="350" t="s">
        <v>153</v>
      </c>
      <c r="K14258" s="355"/>
      <c r="L14258" s="355">
        <f t="shared" ref="L14258" si="2236">K14257</f>
        <v>37112.637362637302</v>
      </c>
    </row>
    <row r="14259" spans="1:16" ht="11.25" customHeight="1" x14ac:dyDescent="0.2">
      <c r="A14259" s="210">
        <v>2026</v>
      </c>
      <c r="B14259" s="210">
        <v>3</v>
      </c>
      <c r="C14259" s="210">
        <v>15</v>
      </c>
      <c r="D14259" s="211">
        <f t="shared" si="2229"/>
        <v>46096</v>
      </c>
      <c r="E14259" s="238">
        <f t="shared" si="2233"/>
        <v>46096</v>
      </c>
      <c r="F14259" s="520" t="s">
        <v>1857</v>
      </c>
      <c r="G14259" s="213" t="s">
        <v>1245</v>
      </c>
      <c r="H14259" s="214"/>
      <c r="I14259" s="214" t="s">
        <v>1253</v>
      </c>
      <c r="J14259" s="210" t="s">
        <v>1284</v>
      </c>
      <c r="K14259" s="215">
        <f>3*334.544487770294</f>
        <v>1003.633463310882</v>
      </c>
      <c r="L14259" s="215"/>
      <c r="M14259" s="455"/>
    </row>
    <row r="14260" spans="1:16" ht="11.25" customHeight="1" x14ac:dyDescent="0.2">
      <c r="A14260" s="242">
        <v>2026</v>
      </c>
      <c r="B14260" s="242">
        <v>3</v>
      </c>
      <c r="C14260" s="242">
        <v>15</v>
      </c>
      <c r="D14260" s="243">
        <f t="shared" si="2229"/>
        <v>46096</v>
      </c>
      <c r="E14260" s="244">
        <f>DATE(A14260,B14260,C14260)</f>
        <v>46096</v>
      </c>
      <c r="F14260" s="521"/>
      <c r="G14260" s="245" t="s">
        <v>1245</v>
      </c>
      <c r="H14260" s="246"/>
      <c r="I14260" s="246"/>
      <c r="J14260" s="242" t="s">
        <v>1582</v>
      </c>
      <c r="K14260" s="247"/>
      <c r="L14260" s="247">
        <f>K14259</f>
        <v>1003.633463310882</v>
      </c>
    </row>
    <row r="14261" spans="1:16" ht="11.25" customHeight="1" x14ac:dyDescent="0.2">
      <c r="A14261" s="210">
        <v>2026</v>
      </c>
      <c r="B14261" s="210">
        <v>3</v>
      </c>
      <c r="C14261" s="210">
        <v>15</v>
      </c>
      <c r="D14261" s="211">
        <f t="shared" si="2229"/>
        <v>46096</v>
      </c>
      <c r="E14261" s="238">
        <f t="shared" ref="E14261:E14289" si="2237">DATE(A14261,B14261,C14261)</f>
        <v>46096</v>
      </c>
      <c r="F14261" s="520" t="s">
        <v>2055</v>
      </c>
      <c r="G14261" s="213" t="s">
        <v>1245</v>
      </c>
      <c r="H14261" s="214"/>
      <c r="I14261" s="214" t="s">
        <v>1253</v>
      </c>
      <c r="J14261" s="210" t="s">
        <v>58</v>
      </c>
      <c r="K14261" s="215">
        <v>4193.8900000000003</v>
      </c>
      <c r="L14261" s="215"/>
    </row>
    <row r="14262" spans="1:16" ht="11.25" customHeight="1" x14ac:dyDescent="0.2">
      <c r="A14262" s="216">
        <v>2026</v>
      </c>
      <c r="B14262" s="216">
        <v>3</v>
      </c>
      <c r="C14262" s="216">
        <v>15</v>
      </c>
      <c r="D14262" s="217">
        <f t="shared" si="2229"/>
        <v>46096</v>
      </c>
      <c r="E14262" s="239">
        <f t="shared" si="2237"/>
        <v>46096</v>
      </c>
      <c r="F14262" s="521"/>
      <c r="G14262" s="219" t="s">
        <v>1245</v>
      </c>
      <c r="H14262" s="220"/>
      <c r="I14262" s="220" t="s">
        <v>1253</v>
      </c>
      <c r="J14262" s="216" t="s">
        <v>153</v>
      </c>
      <c r="K14262" s="221"/>
      <c r="L14262" s="221">
        <f>K14261</f>
        <v>4193.8900000000003</v>
      </c>
    </row>
    <row r="14263" spans="1:16" ht="11.25" customHeight="1" x14ac:dyDescent="0.2">
      <c r="A14263" s="312">
        <v>2026</v>
      </c>
      <c r="B14263" s="312">
        <v>3</v>
      </c>
      <c r="C14263" s="312">
        <v>15</v>
      </c>
      <c r="D14263" s="313">
        <f t="shared" si="2229"/>
        <v>46096</v>
      </c>
      <c r="E14263" s="314">
        <f t="shared" si="2237"/>
        <v>46096</v>
      </c>
      <c r="F14263" s="522" t="s">
        <v>1595</v>
      </c>
      <c r="G14263" s="315" t="s">
        <v>1245</v>
      </c>
      <c r="H14263" s="316"/>
      <c r="I14263" s="316" t="s">
        <v>1253</v>
      </c>
      <c r="J14263" s="312" t="s">
        <v>1461</v>
      </c>
      <c r="K14263" s="317">
        <v>292970.49900001287</v>
      </c>
      <c r="L14263" s="317"/>
      <c r="M14263" s="328"/>
    </row>
    <row r="14264" spans="1:16" ht="11.25" customHeight="1" x14ac:dyDescent="0.2">
      <c r="A14264" s="486">
        <v>2026</v>
      </c>
      <c r="B14264" s="486">
        <v>3</v>
      </c>
      <c r="C14264" s="486">
        <v>15</v>
      </c>
      <c r="D14264" s="487">
        <f t="shared" si="2229"/>
        <v>46096</v>
      </c>
      <c r="E14264" s="488">
        <f t="shared" si="2237"/>
        <v>46096</v>
      </c>
      <c r="F14264" s="523"/>
      <c r="G14264" s="489" t="s">
        <v>1245</v>
      </c>
      <c r="H14264" s="490"/>
      <c r="I14264" s="490" t="s">
        <v>1253</v>
      </c>
      <c r="J14264" s="486" t="s">
        <v>1459</v>
      </c>
      <c r="K14264" s="491"/>
      <c r="L14264" s="491">
        <f>K14263</f>
        <v>292970.49900001287</v>
      </c>
      <c r="M14264" s="328"/>
    </row>
    <row r="14265" spans="1:16" ht="11.25" customHeight="1" x14ac:dyDescent="0.2">
      <c r="A14265" s="222">
        <v>2026</v>
      </c>
      <c r="B14265" s="222">
        <v>3</v>
      </c>
      <c r="C14265" s="222">
        <v>15</v>
      </c>
      <c r="D14265" s="223">
        <f t="shared" si="2229"/>
        <v>46096</v>
      </c>
      <c r="E14265" s="240">
        <f t="shared" si="2237"/>
        <v>46096</v>
      </c>
      <c r="F14265" s="511" t="s">
        <v>1244</v>
      </c>
      <c r="G14265" s="225" t="s">
        <v>1245</v>
      </c>
      <c r="H14265" s="226"/>
      <c r="I14265" s="226" t="s">
        <v>1253</v>
      </c>
      <c r="J14265" s="222" t="s">
        <v>72</v>
      </c>
      <c r="K14265" s="227">
        <v>3901.5</v>
      </c>
      <c r="L14265" s="227"/>
      <c r="M14265" s="328"/>
    </row>
    <row r="14266" spans="1:16" ht="11.25" customHeight="1" x14ac:dyDescent="0.2">
      <c r="A14266" s="228">
        <v>2026</v>
      </c>
      <c r="B14266" s="228">
        <v>3</v>
      </c>
      <c r="C14266" s="228">
        <v>15</v>
      </c>
      <c r="D14266" s="229">
        <f t="shared" si="2229"/>
        <v>46096</v>
      </c>
      <c r="E14266" s="241">
        <f t="shared" si="2237"/>
        <v>46096</v>
      </c>
      <c r="F14266" s="512"/>
      <c r="G14266" s="231" t="s">
        <v>1245</v>
      </c>
      <c r="H14266" s="232"/>
      <c r="I14266" s="232" t="s">
        <v>1253</v>
      </c>
      <c r="J14266" s="228" t="s">
        <v>87</v>
      </c>
      <c r="K14266" s="233"/>
      <c r="L14266" s="233">
        <f>K14265</f>
        <v>3901.5</v>
      </c>
    </row>
    <row r="14267" spans="1:16" ht="11.25" customHeight="1" x14ac:dyDescent="0.2">
      <c r="A14267" s="492">
        <v>2026</v>
      </c>
      <c r="B14267" s="492">
        <v>3</v>
      </c>
      <c r="C14267" s="492">
        <v>15</v>
      </c>
      <c r="D14267" s="493">
        <f t="shared" si="2229"/>
        <v>46096</v>
      </c>
      <c r="E14267" s="494">
        <f t="shared" si="2237"/>
        <v>46096</v>
      </c>
      <c r="F14267" s="511" t="s">
        <v>2138</v>
      </c>
      <c r="G14267" s="495" t="s">
        <v>1245</v>
      </c>
      <c r="H14267" s="496"/>
      <c r="I14267" s="496" t="s">
        <v>1253</v>
      </c>
      <c r="J14267" s="492" t="s">
        <v>75</v>
      </c>
      <c r="K14267" s="497">
        <f>3*517.589120879121</f>
        <v>1552.767362637363</v>
      </c>
      <c r="L14267" s="497"/>
      <c r="M14267" s="455"/>
    </row>
    <row r="14268" spans="1:16" ht="11.25" customHeight="1" x14ac:dyDescent="0.2">
      <c r="A14268" s="228">
        <v>2026</v>
      </c>
      <c r="B14268" s="228">
        <v>3</v>
      </c>
      <c r="C14268" s="228">
        <v>15</v>
      </c>
      <c r="D14268" s="229">
        <f t="shared" si="2229"/>
        <v>46096</v>
      </c>
      <c r="E14268" s="241">
        <f t="shared" si="2237"/>
        <v>46096</v>
      </c>
      <c r="F14268" s="512"/>
      <c r="G14268" s="231" t="s">
        <v>1245</v>
      </c>
      <c r="H14268" s="232"/>
      <c r="I14268" s="232" t="s">
        <v>1253</v>
      </c>
      <c r="J14268" s="228" t="s">
        <v>55</v>
      </c>
      <c r="K14268" s="233"/>
      <c r="L14268" s="233">
        <f>K14267</f>
        <v>1552.767362637363</v>
      </c>
    </row>
    <row r="14269" spans="1:16" ht="11.25" customHeight="1" x14ac:dyDescent="0.2">
      <c r="A14269" s="222">
        <v>2026</v>
      </c>
      <c r="B14269" s="222">
        <v>3</v>
      </c>
      <c r="C14269" s="222">
        <v>15</v>
      </c>
      <c r="D14269" s="223">
        <f t="shared" si="2229"/>
        <v>46096</v>
      </c>
      <c r="E14269" s="240">
        <f t="shared" si="2237"/>
        <v>46096</v>
      </c>
      <c r="F14269" s="511" t="s">
        <v>2137</v>
      </c>
      <c r="G14269" s="225" t="s">
        <v>1245</v>
      </c>
      <c r="H14269" s="226"/>
      <c r="I14269" s="226" t="s">
        <v>1253</v>
      </c>
      <c r="J14269" s="222" t="s">
        <v>77</v>
      </c>
      <c r="K14269" s="227">
        <f>3*7730.33762178591</f>
        <v>23191.01286535773</v>
      </c>
      <c r="L14269" s="227"/>
      <c r="M14269" s="478"/>
    </row>
    <row r="14270" spans="1:16" ht="11.25" customHeight="1" x14ac:dyDescent="0.2">
      <c r="A14270" s="228">
        <v>2026</v>
      </c>
      <c r="B14270" s="228">
        <v>3</v>
      </c>
      <c r="C14270" s="228">
        <v>15</v>
      </c>
      <c r="D14270" s="229">
        <f t="shared" si="2229"/>
        <v>46096</v>
      </c>
      <c r="E14270" s="241">
        <f t="shared" si="2237"/>
        <v>46096</v>
      </c>
      <c r="F14270" s="512"/>
      <c r="G14270" s="231" t="s">
        <v>1245</v>
      </c>
      <c r="H14270" s="232"/>
      <c r="I14270" s="232" t="s">
        <v>1253</v>
      </c>
      <c r="J14270" s="228" t="s">
        <v>41</v>
      </c>
      <c r="K14270" s="233"/>
      <c r="L14270" s="233">
        <f>K14269</f>
        <v>23191.01286535773</v>
      </c>
      <c r="M14270" s="328">
        <v>7730.3376217859141</v>
      </c>
      <c r="N14270" s="251"/>
    </row>
    <row r="14271" spans="1:16" ht="11.25" customHeight="1" x14ac:dyDescent="0.2">
      <c r="A14271" s="222">
        <v>2026</v>
      </c>
      <c r="B14271" s="222">
        <v>3</v>
      </c>
      <c r="C14271" s="222">
        <v>15</v>
      </c>
      <c r="D14271" s="223">
        <f t="shared" si="2229"/>
        <v>46096</v>
      </c>
      <c r="E14271" s="240">
        <f t="shared" si="2237"/>
        <v>46096</v>
      </c>
      <c r="F14271" s="511" t="s">
        <v>2136</v>
      </c>
      <c r="G14271" s="225" t="s">
        <v>1245</v>
      </c>
      <c r="H14271" s="226"/>
      <c r="I14271" s="226" t="s">
        <v>1253</v>
      </c>
      <c r="J14271" s="222" t="s">
        <v>80</v>
      </c>
      <c r="K14271" s="227">
        <f>3*773.033762178591</f>
        <v>2319.1012865357729</v>
      </c>
      <c r="L14271" s="227"/>
      <c r="M14271" s="328">
        <v>773.03376217859136</v>
      </c>
      <c r="N14271" s="251"/>
      <c r="O14271" s="251"/>
    </row>
    <row r="14272" spans="1:16" ht="11.25" customHeight="1" x14ac:dyDescent="0.2">
      <c r="A14272" s="228">
        <v>2026</v>
      </c>
      <c r="B14272" s="228">
        <v>3</v>
      </c>
      <c r="C14272" s="228">
        <v>15</v>
      </c>
      <c r="D14272" s="229">
        <f t="shared" si="2229"/>
        <v>46096</v>
      </c>
      <c r="E14272" s="241">
        <f t="shared" si="2237"/>
        <v>46096</v>
      </c>
      <c r="F14272" s="512"/>
      <c r="G14272" s="231" t="s">
        <v>1245</v>
      </c>
      <c r="H14272" s="232"/>
      <c r="I14272" s="232" t="s">
        <v>1253</v>
      </c>
      <c r="J14272" s="228" t="s">
        <v>42</v>
      </c>
      <c r="K14272" s="233"/>
      <c r="L14272" s="233">
        <f>K14271</f>
        <v>2319.1012865357729</v>
      </c>
      <c r="N14272" s="251"/>
    </row>
    <row r="14273" spans="1:13" x14ac:dyDescent="0.2">
      <c r="A14273" s="197">
        <v>2026</v>
      </c>
      <c r="B14273" s="197">
        <v>3</v>
      </c>
      <c r="C14273" s="197">
        <v>16</v>
      </c>
      <c r="D14273" s="198">
        <f t="shared" si="2229"/>
        <v>46097</v>
      </c>
      <c r="E14273" s="209">
        <f t="shared" si="2237"/>
        <v>46097</v>
      </c>
      <c r="F14273" s="513" t="s">
        <v>1210</v>
      </c>
      <c r="G14273" s="200" t="s">
        <v>1209</v>
      </c>
      <c r="H14273" s="201"/>
      <c r="I14273" s="201"/>
      <c r="J14273" s="197" t="s">
        <v>46</v>
      </c>
      <c r="K14273" s="202">
        <v>22300000</v>
      </c>
      <c r="L14273" s="202"/>
    </row>
    <row r="14274" spans="1:13" x14ac:dyDescent="0.2">
      <c r="A14274" s="120">
        <v>2026</v>
      </c>
      <c r="B14274" s="120">
        <v>3</v>
      </c>
      <c r="C14274" s="120">
        <v>16</v>
      </c>
      <c r="D14274" s="208">
        <f t="shared" si="2229"/>
        <v>46097</v>
      </c>
      <c r="E14274" s="209">
        <f t="shared" si="2237"/>
        <v>46097</v>
      </c>
      <c r="F14274" s="515"/>
      <c r="G14274" s="132" t="s">
        <v>1209</v>
      </c>
      <c r="J14274" s="120" t="s">
        <v>16</v>
      </c>
      <c r="K14274" s="207"/>
      <c r="L14274" s="207">
        <v>15734140</v>
      </c>
    </row>
    <row r="14275" spans="1:13" x14ac:dyDescent="0.2">
      <c r="A14275" s="191">
        <v>2026</v>
      </c>
      <c r="B14275" s="191">
        <v>3</v>
      </c>
      <c r="C14275" s="191">
        <v>16</v>
      </c>
      <c r="D14275" s="192">
        <f t="shared" si="2229"/>
        <v>46097</v>
      </c>
      <c r="E14275" s="193">
        <f t="shared" si="2237"/>
        <v>46097</v>
      </c>
      <c r="F14275" s="514"/>
      <c r="G14275" s="194" t="s">
        <v>1209</v>
      </c>
      <c r="H14275" s="195"/>
      <c r="I14275" s="195"/>
      <c r="J14275" s="191" t="s">
        <v>47</v>
      </c>
      <c r="K14275" s="196"/>
      <c r="L14275" s="196">
        <v>6565860</v>
      </c>
    </row>
    <row r="14276" spans="1:13" x14ac:dyDescent="0.2">
      <c r="A14276" s="424">
        <v>2026</v>
      </c>
      <c r="B14276" s="424">
        <v>3</v>
      </c>
      <c r="C14276" s="424">
        <v>16</v>
      </c>
      <c r="D14276" s="425">
        <f t="shared" ref="D14276:D14337" si="2238">DATE(A14276,B14276,C14276)</f>
        <v>46097</v>
      </c>
      <c r="E14276" s="384">
        <f t="shared" si="2237"/>
        <v>46097</v>
      </c>
      <c r="F14276" s="516" t="s">
        <v>1850</v>
      </c>
      <c r="G14276" s="426" t="s">
        <v>1209</v>
      </c>
      <c r="H14276" s="427"/>
      <c r="I14276" s="427"/>
      <c r="J14276" s="428" t="s">
        <v>81</v>
      </c>
      <c r="K14276" s="429">
        <v>12766.53890109888</v>
      </c>
      <c r="L14276" s="429"/>
      <c r="M14276" s="455">
        <f>K14276*8</f>
        <v>102132.31120879104</v>
      </c>
    </row>
    <row r="14277" spans="1:13" x14ac:dyDescent="0.2">
      <c r="A14277" s="389">
        <v>2026</v>
      </c>
      <c r="B14277" s="389">
        <v>3</v>
      </c>
      <c r="C14277" s="389">
        <v>16</v>
      </c>
      <c r="D14277" s="390">
        <f t="shared" si="2238"/>
        <v>46097</v>
      </c>
      <c r="E14277" s="391">
        <f t="shared" si="2237"/>
        <v>46097</v>
      </c>
      <c r="F14277" s="517"/>
      <c r="G14277" s="392" t="s">
        <v>1209</v>
      </c>
      <c r="H14277" s="393"/>
      <c r="I14277" s="393"/>
      <c r="J14277" s="394" t="s">
        <v>1847</v>
      </c>
      <c r="K14277" s="423"/>
      <c r="L14277" s="423">
        <f>K14276</f>
        <v>12766.53890109888</v>
      </c>
    </row>
    <row r="14278" spans="1:13" ht="11.25" customHeight="1" x14ac:dyDescent="0.2">
      <c r="A14278" s="382">
        <v>2026</v>
      </c>
      <c r="B14278" s="382">
        <v>3</v>
      </c>
      <c r="C14278" s="382">
        <v>16</v>
      </c>
      <c r="D14278" s="383">
        <f t="shared" si="2238"/>
        <v>46097</v>
      </c>
      <c r="E14278" s="384">
        <f t="shared" si="2237"/>
        <v>46097</v>
      </c>
      <c r="F14278" s="516" t="s">
        <v>1892</v>
      </c>
      <c r="G14278" s="385" t="s">
        <v>1209</v>
      </c>
      <c r="H14278" s="386"/>
      <c r="I14278" s="386"/>
      <c r="J14278" s="387" t="s">
        <v>173</v>
      </c>
      <c r="K14278" s="388">
        <v>4741.9671801222221</v>
      </c>
      <c r="L14278" s="388"/>
      <c r="M14278" s="455">
        <f>K14278*8</f>
        <v>37935.737440977777</v>
      </c>
    </row>
    <row r="14279" spans="1:13" ht="11.25" customHeight="1" x14ac:dyDescent="0.2">
      <c r="A14279" s="389">
        <v>2026</v>
      </c>
      <c r="B14279" s="389">
        <v>3</v>
      </c>
      <c r="C14279" s="389">
        <v>16</v>
      </c>
      <c r="D14279" s="390">
        <f t="shared" si="2238"/>
        <v>46097</v>
      </c>
      <c r="E14279" s="391">
        <f t="shared" si="2237"/>
        <v>46097</v>
      </c>
      <c r="F14279" s="517"/>
      <c r="G14279" s="392" t="s">
        <v>1209</v>
      </c>
      <c r="H14279" s="393"/>
      <c r="I14279" s="393"/>
      <c r="J14279" s="394" t="s">
        <v>43</v>
      </c>
      <c r="K14279" s="388"/>
      <c r="L14279" s="423">
        <f>K14278</f>
        <v>4741.9671801222221</v>
      </c>
    </row>
    <row r="14280" spans="1:13" ht="11.25" customHeight="1" x14ac:dyDescent="0.2">
      <c r="A14280" s="344">
        <v>2026</v>
      </c>
      <c r="B14280" s="344">
        <v>3</v>
      </c>
      <c r="C14280" s="344">
        <v>16</v>
      </c>
      <c r="D14280" s="345">
        <f t="shared" si="2238"/>
        <v>46097</v>
      </c>
      <c r="E14280" s="346">
        <f t="shared" si="2237"/>
        <v>46097</v>
      </c>
      <c r="F14280" s="518" t="s">
        <v>1982</v>
      </c>
      <c r="G14280" s="347" t="s">
        <v>1245</v>
      </c>
      <c r="H14280" s="348"/>
      <c r="I14280" s="348" t="s">
        <v>1253</v>
      </c>
      <c r="J14280" s="344" t="s">
        <v>1978</v>
      </c>
      <c r="K14280" s="349">
        <v>167025.4143646408</v>
      </c>
      <c r="L14280" s="349"/>
      <c r="M14280" s="455">
        <f>K14280*8</f>
        <v>1336203.3149171264</v>
      </c>
    </row>
    <row r="14281" spans="1:13" ht="11.25" customHeight="1" x14ac:dyDescent="0.2">
      <c r="A14281" s="350">
        <v>2026</v>
      </c>
      <c r="B14281" s="350">
        <v>3</v>
      </c>
      <c r="C14281" s="350">
        <v>16</v>
      </c>
      <c r="D14281" s="351">
        <f t="shared" si="2238"/>
        <v>46097</v>
      </c>
      <c r="E14281" s="352">
        <f t="shared" si="2237"/>
        <v>46097</v>
      </c>
      <c r="F14281" s="519"/>
      <c r="G14281" s="353" t="s">
        <v>1245</v>
      </c>
      <c r="H14281" s="354"/>
      <c r="I14281" s="354" t="s">
        <v>1253</v>
      </c>
      <c r="J14281" s="350" t="s">
        <v>1979</v>
      </c>
      <c r="K14281" s="355"/>
      <c r="L14281" s="355">
        <f>K14280</f>
        <v>167025.4143646408</v>
      </c>
    </row>
    <row r="14282" spans="1:13" ht="11.25" customHeight="1" x14ac:dyDescent="0.2">
      <c r="A14282" s="344">
        <v>2026</v>
      </c>
      <c r="B14282" s="344">
        <v>3</v>
      </c>
      <c r="C14282" s="344">
        <v>16</v>
      </c>
      <c r="D14282" s="345">
        <f t="shared" si="2238"/>
        <v>46097</v>
      </c>
      <c r="E14282" s="346">
        <f t="shared" si="2237"/>
        <v>46097</v>
      </c>
      <c r="F14282" s="518" t="s">
        <v>2009</v>
      </c>
      <c r="G14282" s="347" t="s">
        <v>1245</v>
      </c>
      <c r="H14282" s="348"/>
      <c r="I14282" s="348" t="s">
        <v>1253</v>
      </c>
      <c r="J14282" s="344" t="s">
        <v>2004</v>
      </c>
      <c r="K14282" s="349">
        <v>56791.211428571442</v>
      </c>
      <c r="L14282" s="349"/>
      <c r="M14282" s="455">
        <f>K14282*8</f>
        <v>454329.69142857153</v>
      </c>
    </row>
    <row r="14283" spans="1:13" ht="11.25" customHeight="1" x14ac:dyDescent="0.2">
      <c r="A14283" s="350">
        <v>2026</v>
      </c>
      <c r="B14283" s="350">
        <v>3</v>
      </c>
      <c r="C14283" s="350">
        <v>16</v>
      </c>
      <c r="D14283" s="351">
        <f t="shared" si="2238"/>
        <v>46097</v>
      </c>
      <c r="E14283" s="352">
        <f t="shared" si="2237"/>
        <v>46097</v>
      </c>
      <c r="F14283" s="519"/>
      <c r="G14283" s="353" t="s">
        <v>1245</v>
      </c>
      <c r="H14283" s="354"/>
      <c r="I14283" s="354" t="s">
        <v>1253</v>
      </c>
      <c r="J14283" s="350" t="s">
        <v>2008</v>
      </c>
      <c r="K14283" s="355"/>
      <c r="L14283" s="355">
        <f t="shared" ref="L14283" si="2239">K14282</f>
        <v>56791.211428571442</v>
      </c>
    </row>
    <row r="14284" spans="1:13" ht="11.25" customHeight="1" x14ac:dyDescent="0.2">
      <c r="A14284" s="344">
        <v>2026</v>
      </c>
      <c r="B14284" s="344">
        <v>3</v>
      </c>
      <c r="C14284" s="344">
        <v>16</v>
      </c>
      <c r="D14284" s="345">
        <f t="shared" si="2238"/>
        <v>46097</v>
      </c>
      <c r="E14284" s="346">
        <f t="shared" si="2237"/>
        <v>46097</v>
      </c>
      <c r="F14284" s="518" t="s">
        <v>2009</v>
      </c>
      <c r="G14284" s="347" t="s">
        <v>1245</v>
      </c>
      <c r="H14284" s="348"/>
      <c r="I14284" s="348" t="s">
        <v>1253</v>
      </c>
      <c r="J14284" s="344" t="s">
        <v>2004</v>
      </c>
      <c r="K14284" s="349">
        <v>56791.211428571442</v>
      </c>
      <c r="L14284" s="349"/>
      <c r="M14284" s="455">
        <f>K14284*8</f>
        <v>454329.69142857153</v>
      </c>
    </row>
    <row r="14285" spans="1:13" ht="11.25" customHeight="1" x14ac:dyDescent="0.2">
      <c r="A14285" s="350">
        <v>2026</v>
      </c>
      <c r="B14285" s="350">
        <v>3</v>
      </c>
      <c r="C14285" s="350">
        <v>16</v>
      </c>
      <c r="D14285" s="351">
        <f t="shared" si="2238"/>
        <v>46097</v>
      </c>
      <c r="E14285" s="352">
        <f t="shared" si="2237"/>
        <v>46097</v>
      </c>
      <c r="F14285" s="519"/>
      <c r="G14285" s="353" t="s">
        <v>1245</v>
      </c>
      <c r="H14285" s="354"/>
      <c r="I14285" s="354" t="s">
        <v>1253</v>
      </c>
      <c r="J14285" s="350" t="s">
        <v>2008</v>
      </c>
      <c r="K14285" s="355"/>
      <c r="L14285" s="355">
        <f t="shared" ref="L14285" si="2240">K14284</f>
        <v>56791.211428571442</v>
      </c>
    </row>
    <row r="14286" spans="1:13" ht="11.25" customHeight="1" x14ac:dyDescent="0.2">
      <c r="A14286" s="344">
        <v>2026</v>
      </c>
      <c r="B14286" s="344">
        <v>3</v>
      </c>
      <c r="C14286" s="344">
        <v>16</v>
      </c>
      <c r="D14286" s="345">
        <f t="shared" si="2238"/>
        <v>46097</v>
      </c>
      <c r="E14286" s="346">
        <f t="shared" si="2237"/>
        <v>46097</v>
      </c>
      <c r="F14286" s="518" t="s">
        <v>2088</v>
      </c>
      <c r="G14286" s="347" t="s">
        <v>1245</v>
      </c>
      <c r="H14286" s="348"/>
      <c r="I14286" s="348" t="s">
        <v>1253</v>
      </c>
      <c r="J14286" s="344" t="s">
        <v>2086</v>
      </c>
      <c r="K14286" s="349">
        <v>14318.68131868128</v>
      </c>
      <c r="L14286" s="349"/>
      <c r="M14286" s="455">
        <f>K14286*8</f>
        <v>114549.45054945024</v>
      </c>
    </row>
    <row r="14287" spans="1:13" ht="11.25" customHeight="1" x14ac:dyDescent="0.2">
      <c r="A14287" s="350">
        <v>2026</v>
      </c>
      <c r="B14287" s="350">
        <v>3</v>
      </c>
      <c r="C14287" s="350">
        <v>16</v>
      </c>
      <c r="D14287" s="351">
        <f t="shared" si="2238"/>
        <v>46097</v>
      </c>
      <c r="E14287" s="352">
        <f t="shared" si="2237"/>
        <v>46097</v>
      </c>
      <c r="F14287" s="519"/>
      <c r="G14287" s="353" t="s">
        <v>1245</v>
      </c>
      <c r="H14287" s="354"/>
      <c r="I14287" s="354" t="s">
        <v>1253</v>
      </c>
      <c r="J14287" s="350" t="s">
        <v>2089</v>
      </c>
      <c r="K14287" s="355"/>
      <c r="L14287" s="355">
        <f>K14286</f>
        <v>14318.68131868128</v>
      </c>
    </row>
    <row r="14288" spans="1:13" ht="11.25" customHeight="1" x14ac:dyDescent="0.2">
      <c r="A14288" s="344">
        <v>2026</v>
      </c>
      <c r="B14288" s="344">
        <v>3</v>
      </c>
      <c r="C14288" s="344">
        <v>16</v>
      </c>
      <c r="D14288" s="345">
        <f t="shared" si="2238"/>
        <v>46097</v>
      </c>
      <c r="E14288" s="346">
        <f t="shared" si="2237"/>
        <v>46097</v>
      </c>
      <c r="F14288" s="518" t="s">
        <v>2143</v>
      </c>
      <c r="G14288" s="347" t="s">
        <v>1245</v>
      </c>
      <c r="H14288" s="348"/>
      <c r="I14288" s="348" t="s">
        <v>1253</v>
      </c>
      <c r="J14288" s="344" t="s">
        <v>2086</v>
      </c>
      <c r="K14288" s="349">
        <v>55189.041095890418</v>
      </c>
      <c r="L14288" s="349"/>
      <c r="M14288" s="455">
        <f>K14288*8</f>
        <v>441512.32876712334</v>
      </c>
    </row>
    <row r="14289" spans="1:16" ht="11.25" customHeight="1" x14ac:dyDescent="0.2">
      <c r="A14289" s="350">
        <v>2026</v>
      </c>
      <c r="B14289" s="350">
        <v>3</v>
      </c>
      <c r="C14289" s="350">
        <v>16</v>
      </c>
      <c r="D14289" s="351">
        <f t="shared" si="2238"/>
        <v>46097</v>
      </c>
      <c r="E14289" s="352">
        <f t="shared" si="2237"/>
        <v>46097</v>
      </c>
      <c r="F14289" s="519"/>
      <c r="G14289" s="353" t="s">
        <v>1245</v>
      </c>
      <c r="H14289" s="354"/>
      <c r="I14289" s="354" t="s">
        <v>1253</v>
      </c>
      <c r="J14289" s="350" t="s">
        <v>2089</v>
      </c>
      <c r="K14289" s="355"/>
      <c r="L14289" s="355">
        <f>K14288</f>
        <v>55189.041095890418</v>
      </c>
    </row>
    <row r="14290" spans="1:16" ht="11.25" customHeight="1" x14ac:dyDescent="0.2">
      <c r="A14290" s="344">
        <v>2026</v>
      </c>
      <c r="B14290" s="344">
        <v>3</v>
      </c>
      <c r="C14290" s="344">
        <v>16</v>
      </c>
      <c r="D14290" s="345">
        <f t="shared" si="2238"/>
        <v>46097</v>
      </c>
      <c r="E14290" s="346">
        <f>DATE(A14290,B14290,C14290)</f>
        <v>46097</v>
      </c>
      <c r="F14290" s="518" t="s">
        <v>1988</v>
      </c>
      <c r="G14290" s="347" t="s">
        <v>1245</v>
      </c>
      <c r="H14290" s="348"/>
      <c r="I14290" s="348" t="s">
        <v>1253</v>
      </c>
      <c r="J14290" s="344" t="s">
        <v>113</v>
      </c>
      <c r="K14290" s="349">
        <v>37538.457142857122</v>
      </c>
      <c r="L14290" s="349"/>
      <c r="M14290" s="455">
        <f>K14290*8</f>
        <v>300307.65714285697</v>
      </c>
    </row>
    <row r="14291" spans="1:16" ht="11.25" customHeight="1" x14ac:dyDescent="0.2">
      <c r="A14291" s="350">
        <v>2026</v>
      </c>
      <c r="B14291" s="350">
        <v>3</v>
      </c>
      <c r="C14291" s="350">
        <v>16</v>
      </c>
      <c r="D14291" s="351">
        <f t="shared" si="2238"/>
        <v>46097</v>
      </c>
      <c r="E14291" s="352">
        <f>DATE(A14291,B14291,C14291)</f>
        <v>46097</v>
      </c>
      <c r="F14291" s="519"/>
      <c r="G14291" s="353" t="s">
        <v>1245</v>
      </c>
      <c r="H14291" s="354"/>
      <c r="I14291" s="354" t="s">
        <v>1253</v>
      </c>
      <c r="J14291" s="350" t="s">
        <v>153</v>
      </c>
      <c r="K14291" s="355"/>
      <c r="L14291" s="355">
        <f t="shared" ref="L14291" si="2241">K14290</f>
        <v>37538.457142857122</v>
      </c>
    </row>
    <row r="14292" spans="1:16" ht="11.25" customHeight="1" x14ac:dyDescent="0.2">
      <c r="A14292" s="344">
        <v>2026</v>
      </c>
      <c r="B14292" s="344">
        <v>3</v>
      </c>
      <c r="C14292" s="344">
        <v>16</v>
      </c>
      <c r="D14292" s="345">
        <f t="shared" si="2238"/>
        <v>46097</v>
      </c>
      <c r="E14292" s="346">
        <f t="shared" ref="E14292:E14298" si="2242">DATE(A14292,B14292,C14292)</f>
        <v>46097</v>
      </c>
      <c r="F14292" s="518" t="s">
        <v>1989</v>
      </c>
      <c r="G14292" s="347" t="s">
        <v>1245</v>
      </c>
      <c r="H14292" s="348"/>
      <c r="I14292" s="348" t="s">
        <v>1253</v>
      </c>
      <c r="J14292" s="344" t="s">
        <v>113</v>
      </c>
      <c r="K14292" s="349">
        <v>26813.1868131868</v>
      </c>
      <c r="L14292" s="349"/>
      <c r="M14292" s="455">
        <f>K14292*8</f>
        <v>214505.4945054944</v>
      </c>
    </row>
    <row r="14293" spans="1:16" ht="11.25" customHeight="1" x14ac:dyDescent="0.2">
      <c r="A14293" s="350">
        <v>2026</v>
      </c>
      <c r="B14293" s="350">
        <v>3</v>
      </c>
      <c r="C14293" s="350">
        <v>16</v>
      </c>
      <c r="D14293" s="351">
        <f t="shared" si="2238"/>
        <v>46097</v>
      </c>
      <c r="E14293" s="352">
        <f t="shared" si="2242"/>
        <v>46097</v>
      </c>
      <c r="F14293" s="519"/>
      <c r="G14293" s="353" t="s">
        <v>1245</v>
      </c>
      <c r="H14293" s="354"/>
      <c r="I14293" s="354" t="s">
        <v>1253</v>
      </c>
      <c r="J14293" s="350" t="s">
        <v>153</v>
      </c>
      <c r="K14293" s="355"/>
      <c r="L14293" s="355">
        <f t="shared" ref="L14293" si="2243">K14292</f>
        <v>26813.1868131868</v>
      </c>
    </row>
    <row r="14294" spans="1:16" ht="11.25" customHeight="1" x14ac:dyDescent="0.2">
      <c r="A14294" s="344">
        <v>2026</v>
      </c>
      <c r="B14294" s="344">
        <v>3</v>
      </c>
      <c r="C14294" s="344">
        <v>16</v>
      </c>
      <c r="D14294" s="345">
        <f t="shared" si="2238"/>
        <v>46097</v>
      </c>
      <c r="E14294" s="346">
        <f t="shared" si="2242"/>
        <v>46097</v>
      </c>
      <c r="F14294" s="518" t="s">
        <v>1990</v>
      </c>
      <c r="G14294" s="347" t="s">
        <v>1245</v>
      </c>
      <c r="H14294" s="348"/>
      <c r="I14294" s="348" t="s">
        <v>1253</v>
      </c>
      <c r="J14294" s="344" t="s">
        <v>113</v>
      </c>
      <c r="K14294" s="349">
        <v>80439.565714285607</v>
      </c>
      <c r="L14294" s="349"/>
      <c r="M14294" s="455">
        <f>K14294*8</f>
        <v>643516.52571428486</v>
      </c>
      <c r="N14294" s="251"/>
      <c r="O14294" s="251"/>
      <c r="P14294" s="251"/>
    </row>
    <row r="14295" spans="1:16" ht="11.25" customHeight="1" x14ac:dyDescent="0.2">
      <c r="A14295" s="350">
        <v>2026</v>
      </c>
      <c r="B14295" s="350">
        <v>3</v>
      </c>
      <c r="C14295" s="350">
        <v>16</v>
      </c>
      <c r="D14295" s="351">
        <f t="shared" si="2238"/>
        <v>46097</v>
      </c>
      <c r="E14295" s="352">
        <f t="shared" si="2242"/>
        <v>46097</v>
      </c>
      <c r="F14295" s="519"/>
      <c r="G14295" s="353" t="s">
        <v>1245</v>
      </c>
      <c r="H14295" s="354"/>
      <c r="I14295" s="354" t="s">
        <v>1253</v>
      </c>
      <c r="J14295" s="350" t="s">
        <v>153</v>
      </c>
      <c r="K14295" s="355"/>
      <c r="L14295" s="355">
        <f t="shared" ref="L14295" si="2244">K14294</f>
        <v>80439.565714285607</v>
      </c>
    </row>
    <row r="14296" spans="1:16" ht="11.25" customHeight="1" x14ac:dyDescent="0.2">
      <c r="A14296" s="344">
        <v>2026</v>
      </c>
      <c r="B14296" s="344">
        <v>3</v>
      </c>
      <c r="C14296" s="344">
        <v>16</v>
      </c>
      <c r="D14296" s="345">
        <f t="shared" si="2238"/>
        <v>46097</v>
      </c>
      <c r="E14296" s="346">
        <f t="shared" si="2242"/>
        <v>46097</v>
      </c>
      <c r="F14296" s="518" t="s">
        <v>2107</v>
      </c>
      <c r="G14296" s="347" t="s">
        <v>1245</v>
      </c>
      <c r="H14296" s="348"/>
      <c r="I14296" s="348" t="s">
        <v>1253</v>
      </c>
      <c r="J14296" s="344" t="s">
        <v>113</v>
      </c>
      <c r="K14296" s="349">
        <v>98967.032967032806</v>
      </c>
      <c r="L14296" s="349"/>
      <c r="M14296" s="455">
        <f>K14296*8</f>
        <v>791736.26373626245</v>
      </c>
      <c r="N14296" s="251"/>
      <c r="O14296" s="251"/>
      <c r="P14296" s="251"/>
    </row>
    <row r="14297" spans="1:16" ht="11.25" customHeight="1" x14ac:dyDescent="0.2">
      <c r="A14297" s="350">
        <v>2026</v>
      </c>
      <c r="B14297" s="350">
        <v>3</v>
      </c>
      <c r="C14297" s="350">
        <v>16</v>
      </c>
      <c r="D14297" s="351">
        <f t="shared" si="2238"/>
        <v>46097</v>
      </c>
      <c r="E14297" s="352">
        <f t="shared" si="2242"/>
        <v>46097</v>
      </c>
      <c r="F14297" s="519"/>
      <c r="G14297" s="353" t="s">
        <v>1245</v>
      </c>
      <c r="H14297" s="354"/>
      <c r="I14297" s="354" t="s">
        <v>1253</v>
      </c>
      <c r="J14297" s="350" t="s">
        <v>153</v>
      </c>
      <c r="K14297" s="355"/>
      <c r="L14297" s="355">
        <f t="shared" ref="L14297" si="2245">K14296</f>
        <v>98967.032967032806</v>
      </c>
    </row>
    <row r="14298" spans="1:16" ht="11.25" customHeight="1" x14ac:dyDescent="0.2">
      <c r="A14298" s="210">
        <v>2026</v>
      </c>
      <c r="B14298" s="210">
        <v>3</v>
      </c>
      <c r="C14298" s="210">
        <v>16</v>
      </c>
      <c r="D14298" s="211">
        <f t="shared" si="2238"/>
        <v>46097</v>
      </c>
      <c r="E14298" s="238">
        <f t="shared" si="2242"/>
        <v>46097</v>
      </c>
      <c r="F14298" s="520" t="s">
        <v>1857</v>
      </c>
      <c r="G14298" s="213" t="s">
        <v>1245</v>
      </c>
      <c r="H14298" s="214"/>
      <c r="I14298" s="214" t="s">
        <v>1253</v>
      </c>
      <c r="J14298" s="210" t="s">
        <v>1284</v>
      </c>
      <c r="K14298" s="215">
        <v>2676.3559021623519</v>
      </c>
      <c r="L14298" s="215"/>
      <c r="M14298" s="455">
        <f>K14298*8</f>
        <v>21410.847217298815</v>
      </c>
    </row>
    <row r="14299" spans="1:16" ht="11.25" customHeight="1" x14ac:dyDescent="0.2">
      <c r="A14299" s="242">
        <v>2026</v>
      </c>
      <c r="B14299" s="242">
        <v>3</v>
      </c>
      <c r="C14299" s="242">
        <v>16</v>
      </c>
      <c r="D14299" s="243">
        <f t="shared" si="2238"/>
        <v>46097</v>
      </c>
      <c r="E14299" s="244">
        <f>DATE(A14299,B14299,C14299)</f>
        <v>46097</v>
      </c>
      <c r="F14299" s="521"/>
      <c r="G14299" s="245" t="s">
        <v>1245</v>
      </c>
      <c r="H14299" s="246"/>
      <c r="I14299" s="246"/>
      <c r="J14299" s="242" t="s">
        <v>1582</v>
      </c>
      <c r="K14299" s="247"/>
      <c r="L14299" s="247">
        <f>K14298</f>
        <v>2676.3559021623519</v>
      </c>
    </row>
    <row r="14300" spans="1:16" ht="11.25" customHeight="1" x14ac:dyDescent="0.2">
      <c r="A14300" s="210">
        <v>2026</v>
      </c>
      <c r="B14300" s="210">
        <v>3</v>
      </c>
      <c r="C14300" s="210">
        <v>16</v>
      </c>
      <c r="D14300" s="211">
        <f t="shared" si="2238"/>
        <v>46097</v>
      </c>
      <c r="E14300" s="238">
        <f t="shared" ref="E14300:E14327" si="2246">DATE(A14300,B14300,C14300)</f>
        <v>46097</v>
      </c>
      <c r="F14300" s="520" t="s">
        <v>2055</v>
      </c>
      <c r="G14300" s="213" t="s">
        <v>1245</v>
      </c>
      <c r="H14300" s="214"/>
      <c r="I14300" s="214" t="s">
        <v>1253</v>
      </c>
      <c r="J14300" s="210" t="s">
        <v>58</v>
      </c>
      <c r="K14300" s="215">
        <v>11299.025728888886</v>
      </c>
      <c r="L14300" s="215"/>
      <c r="M14300" s="455">
        <f>K14300*8</f>
        <v>90392.205831111089</v>
      </c>
    </row>
    <row r="14301" spans="1:16" ht="11.25" customHeight="1" x14ac:dyDescent="0.2">
      <c r="A14301" s="216">
        <v>2026</v>
      </c>
      <c r="B14301" s="216">
        <v>3</v>
      </c>
      <c r="C14301" s="216">
        <v>16</v>
      </c>
      <c r="D14301" s="217">
        <f t="shared" si="2238"/>
        <v>46097</v>
      </c>
      <c r="E14301" s="239">
        <f t="shared" si="2246"/>
        <v>46097</v>
      </c>
      <c r="F14301" s="521"/>
      <c r="G14301" s="219" t="s">
        <v>1245</v>
      </c>
      <c r="H14301" s="220"/>
      <c r="I14301" s="220" t="s">
        <v>1253</v>
      </c>
      <c r="J14301" s="216" t="s">
        <v>153</v>
      </c>
      <c r="K14301" s="221"/>
      <c r="L14301" s="221">
        <f>K14300</f>
        <v>11299.025728888886</v>
      </c>
    </row>
    <row r="14302" spans="1:16" ht="11.25" customHeight="1" x14ac:dyDescent="0.2">
      <c r="A14302" s="312">
        <v>2026</v>
      </c>
      <c r="B14302" s="312">
        <v>3</v>
      </c>
      <c r="C14302" s="312">
        <v>16</v>
      </c>
      <c r="D14302" s="313">
        <f t="shared" si="2238"/>
        <v>46097</v>
      </c>
      <c r="E14302" s="314">
        <f t="shared" si="2246"/>
        <v>46097</v>
      </c>
      <c r="F14302" s="522" t="s">
        <v>1595</v>
      </c>
      <c r="G14302" s="315" t="s">
        <v>1245</v>
      </c>
      <c r="H14302" s="316"/>
      <c r="I14302" s="316" t="s">
        <v>1253</v>
      </c>
      <c r="J14302" s="312" t="s">
        <v>1461</v>
      </c>
      <c r="K14302" s="317">
        <v>780771.96400004625</v>
      </c>
      <c r="L14302" s="317"/>
      <c r="M14302" s="328"/>
    </row>
    <row r="14303" spans="1:16" ht="11.25" customHeight="1" x14ac:dyDescent="0.2">
      <c r="A14303" s="486">
        <v>2026</v>
      </c>
      <c r="B14303" s="486">
        <v>3</v>
      </c>
      <c r="C14303" s="486">
        <v>16</v>
      </c>
      <c r="D14303" s="487">
        <f t="shared" si="2238"/>
        <v>46097</v>
      </c>
      <c r="E14303" s="488">
        <f t="shared" si="2246"/>
        <v>46097</v>
      </c>
      <c r="F14303" s="523"/>
      <c r="G14303" s="489" t="s">
        <v>1245</v>
      </c>
      <c r="H14303" s="490"/>
      <c r="I14303" s="490" t="s">
        <v>1253</v>
      </c>
      <c r="J14303" s="486" t="s">
        <v>1459</v>
      </c>
      <c r="K14303" s="491"/>
      <c r="L14303" s="491">
        <f>K14302</f>
        <v>780771.96400004625</v>
      </c>
      <c r="M14303" s="328"/>
    </row>
    <row r="14304" spans="1:16" ht="11.25" customHeight="1" x14ac:dyDescent="0.2">
      <c r="A14304" s="222">
        <v>2026</v>
      </c>
      <c r="B14304" s="222">
        <v>3</v>
      </c>
      <c r="C14304" s="222">
        <v>16</v>
      </c>
      <c r="D14304" s="223">
        <f t="shared" si="2238"/>
        <v>46097</v>
      </c>
      <c r="E14304" s="240">
        <f t="shared" si="2246"/>
        <v>46097</v>
      </c>
      <c r="F14304" s="511" t="s">
        <v>1244</v>
      </c>
      <c r="G14304" s="225" t="s">
        <v>1245</v>
      </c>
      <c r="H14304" s="226"/>
      <c r="I14304" s="226" t="s">
        <v>1253</v>
      </c>
      <c r="J14304" s="222" t="s">
        <v>87</v>
      </c>
      <c r="K14304" s="227">
        <v>1881</v>
      </c>
      <c r="L14304" s="227"/>
      <c r="M14304" s="328"/>
    </row>
    <row r="14305" spans="1:15" ht="11.25" customHeight="1" x14ac:dyDescent="0.2">
      <c r="A14305" s="228">
        <v>2026</v>
      </c>
      <c r="B14305" s="228">
        <v>3</v>
      </c>
      <c r="C14305" s="228">
        <v>16</v>
      </c>
      <c r="D14305" s="229">
        <f t="shared" si="2238"/>
        <v>46097</v>
      </c>
      <c r="E14305" s="241">
        <f t="shared" si="2246"/>
        <v>46097</v>
      </c>
      <c r="F14305" s="512"/>
      <c r="G14305" s="231" t="s">
        <v>1245</v>
      </c>
      <c r="H14305" s="232"/>
      <c r="I14305" s="232" t="s">
        <v>1253</v>
      </c>
      <c r="J14305" s="228" t="s">
        <v>72</v>
      </c>
      <c r="K14305" s="233"/>
      <c r="L14305" s="233">
        <f>K14304</f>
        <v>1881</v>
      </c>
    </row>
    <row r="14306" spans="1:15" ht="11.25" customHeight="1" x14ac:dyDescent="0.2">
      <c r="A14306" s="492">
        <v>2026</v>
      </c>
      <c r="B14306" s="492">
        <v>3</v>
      </c>
      <c r="C14306" s="492">
        <v>16</v>
      </c>
      <c r="D14306" s="493">
        <f t="shared" si="2238"/>
        <v>46097</v>
      </c>
      <c r="E14306" s="494">
        <f t="shared" si="2246"/>
        <v>46097</v>
      </c>
      <c r="F14306" s="511" t="s">
        <v>2138</v>
      </c>
      <c r="G14306" s="495" t="s">
        <v>1245</v>
      </c>
      <c r="H14306" s="496"/>
      <c r="I14306" s="496" t="s">
        <v>1253</v>
      </c>
      <c r="J14306" s="492" t="s">
        <v>75</v>
      </c>
      <c r="K14306" s="497">
        <v>4140.7129670329678</v>
      </c>
      <c r="L14306" s="497"/>
      <c r="M14306" s="455">
        <f>K14306*8</f>
        <v>33125.703736263742</v>
      </c>
    </row>
    <row r="14307" spans="1:15" ht="11.25" customHeight="1" x14ac:dyDescent="0.2">
      <c r="A14307" s="228">
        <v>2026</v>
      </c>
      <c r="B14307" s="228">
        <v>3</v>
      </c>
      <c r="C14307" s="228">
        <v>16</v>
      </c>
      <c r="D14307" s="229">
        <f t="shared" si="2238"/>
        <v>46097</v>
      </c>
      <c r="E14307" s="241">
        <f t="shared" si="2246"/>
        <v>46097</v>
      </c>
      <c r="F14307" s="512"/>
      <c r="G14307" s="231" t="s">
        <v>1245</v>
      </c>
      <c r="H14307" s="232"/>
      <c r="I14307" s="232" t="s">
        <v>1253</v>
      </c>
      <c r="J14307" s="228" t="s">
        <v>55</v>
      </c>
      <c r="K14307" s="233"/>
      <c r="L14307" s="233">
        <f>K14306</f>
        <v>4140.7129670329678</v>
      </c>
    </row>
    <row r="14308" spans="1:15" ht="11.25" customHeight="1" x14ac:dyDescent="0.2">
      <c r="A14308" s="222">
        <v>2026</v>
      </c>
      <c r="B14308" s="222">
        <v>3</v>
      </c>
      <c r="C14308" s="222">
        <v>16</v>
      </c>
      <c r="D14308" s="223">
        <f t="shared" si="2238"/>
        <v>46097</v>
      </c>
      <c r="E14308" s="240">
        <f t="shared" si="2246"/>
        <v>46097</v>
      </c>
      <c r="F14308" s="511" t="s">
        <v>2137</v>
      </c>
      <c r="G14308" s="225" t="s">
        <v>1245</v>
      </c>
      <c r="H14308" s="226"/>
      <c r="I14308" s="226" t="s">
        <v>1253</v>
      </c>
      <c r="J14308" s="222" t="s">
        <v>77</v>
      </c>
      <c r="K14308" s="227">
        <v>61955.719170586017</v>
      </c>
      <c r="L14308" s="227"/>
      <c r="M14308" s="455">
        <f>K14308*8</f>
        <v>495645.75336468813</v>
      </c>
    </row>
    <row r="14309" spans="1:15" ht="11.25" customHeight="1" x14ac:dyDescent="0.2">
      <c r="A14309" s="228">
        <v>2026</v>
      </c>
      <c r="B14309" s="228">
        <v>3</v>
      </c>
      <c r="C14309" s="228">
        <v>16</v>
      </c>
      <c r="D14309" s="229">
        <f t="shared" si="2238"/>
        <v>46097</v>
      </c>
      <c r="E14309" s="241">
        <f t="shared" si="2246"/>
        <v>46097</v>
      </c>
      <c r="F14309" s="512"/>
      <c r="G14309" s="231" t="s">
        <v>1245</v>
      </c>
      <c r="H14309" s="232"/>
      <c r="I14309" s="232" t="s">
        <v>1253</v>
      </c>
      <c r="J14309" s="228" t="s">
        <v>41</v>
      </c>
      <c r="K14309" s="233"/>
      <c r="L14309" s="233">
        <f>K14308</f>
        <v>61955.719170586017</v>
      </c>
      <c r="M14309" s="328"/>
      <c r="N14309" s="251"/>
    </row>
    <row r="14310" spans="1:15" ht="11.25" customHeight="1" x14ac:dyDescent="0.2">
      <c r="A14310" s="222">
        <v>2026</v>
      </c>
      <c r="B14310" s="222">
        <v>3</v>
      </c>
      <c r="C14310" s="222">
        <v>16</v>
      </c>
      <c r="D14310" s="223">
        <f t="shared" si="2238"/>
        <v>46097</v>
      </c>
      <c r="E14310" s="240">
        <f t="shared" si="2246"/>
        <v>46097</v>
      </c>
      <c r="F14310" s="511" t="s">
        <v>2136</v>
      </c>
      <c r="G14310" s="225" t="s">
        <v>1245</v>
      </c>
      <c r="H14310" s="226"/>
      <c r="I14310" s="226" t="s">
        <v>1253</v>
      </c>
      <c r="J14310" s="222" t="s">
        <v>80</v>
      </c>
      <c r="K14310" s="227">
        <v>6195.5719170586017</v>
      </c>
      <c r="L14310" s="227"/>
      <c r="M14310" s="455">
        <f>K14310*8</f>
        <v>49564.575336468813</v>
      </c>
      <c r="N14310" s="251"/>
      <c r="O14310" s="251"/>
    </row>
    <row r="14311" spans="1:15" ht="11.25" customHeight="1" x14ac:dyDescent="0.2">
      <c r="A14311" s="228">
        <v>2026</v>
      </c>
      <c r="B14311" s="228">
        <v>3</v>
      </c>
      <c r="C14311" s="228">
        <v>16</v>
      </c>
      <c r="D14311" s="229">
        <f t="shared" si="2238"/>
        <v>46097</v>
      </c>
      <c r="E14311" s="241">
        <f t="shared" si="2246"/>
        <v>46097</v>
      </c>
      <c r="F14311" s="512"/>
      <c r="G14311" s="231" t="s">
        <v>1245</v>
      </c>
      <c r="H14311" s="232"/>
      <c r="I14311" s="232" t="s">
        <v>1253</v>
      </c>
      <c r="J14311" s="228" t="s">
        <v>42</v>
      </c>
      <c r="K14311" s="233"/>
      <c r="L14311" s="233">
        <f>K14310</f>
        <v>6195.5719170586017</v>
      </c>
      <c r="N14311" s="251"/>
    </row>
    <row r="14312" spans="1:15" ht="11.25" customHeight="1" x14ac:dyDescent="0.2">
      <c r="A14312" s="197">
        <v>2026</v>
      </c>
      <c r="B14312" s="197">
        <v>3</v>
      </c>
      <c r="C14312" s="197">
        <v>24</v>
      </c>
      <c r="D14312" s="198">
        <f t="shared" si="2238"/>
        <v>46105</v>
      </c>
      <c r="E14312" s="290">
        <f t="shared" si="2246"/>
        <v>46105</v>
      </c>
      <c r="F14312" s="513" t="s">
        <v>2087</v>
      </c>
      <c r="G14312" s="200" t="s">
        <v>1209</v>
      </c>
      <c r="H14312" s="201"/>
      <c r="I14312" s="201" t="s">
        <v>1253</v>
      </c>
      <c r="J14312" s="197" t="s">
        <v>46</v>
      </c>
      <c r="K14312" s="202">
        <v>885675</v>
      </c>
      <c r="L14312" s="202"/>
    </row>
    <row r="14313" spans="1:15" ht="11.25" customHeight="1" x14ac:dyDescent="0.2">
      <c r="A14313" s="191">
        <v>2026</v>
      </c>
      <c r="B14313" s="191">
        <v>3</v>
      </c>
      <c r="C14313" s="191">
        <v>24</v>
      </c>
      <c r="D14313" s="192">
        <f t="shared" si="2238"/>
        <v>46105</v>
      </c>
      <c r="E14313" s="291">
        <f t="shared" si="2246"/>
        <v>46105</v>
      </c>
      <c r="F14313" s="514"/>
      <c r="G14313" s="194" t="s">
        <v>1209</v>
      </c>
      <c r="H14313" s="195"/>
      <c r="I14313" s="195"/>
      <c r="J14313" s="191" t="s">
        <v>1845</v>
      </c>
      <c r="K14313" s="196"/>
      <c r="L14313" s="196">
        <v>885675</v>
      </c>
    </row>
    <row r="14314" spans="1:15" x14ac:dyDescent="0.2">
      <c r="A14314" s="424">
        <v>2026</v>
      </c>
      <c r="B14314" s="424">
        <v>3</v>
      </c>
      <c r="C14314" s="424">
        <v>24</v>
      </c>
      <c r="D14314" s="425">
        <f t="shared" si="2238"/>
        <v>46105</v>
      </c>
      <c r="E14314" s="384">
        <f t="shared" si="2246"/>
        <v>46105</v>
      </c>
      <c r="F14314" s="516" t="s">
        <v>1850</v>
      </c>
      <c r="G14314" s="426" t="s">
        <v>1209</v>
      </c>
      <c r="H14314" s="427"/>
      <c r="I14314" s="427"/>
      <c r="J14314" s="428" t="s">
        <v>81</v>
      </c>
      <c r="K14314" s="429">
        <v>1595.81736263736</v>
      </c>
      <c r="L14314" s="429"/>
      <c r="M14314" s="455"/>
    </row>
    <row r="14315" spans="1:15" x14ac:dyDescent="0.2">
      <c r="A14315" s="389">
        <v>2026</v>
      </c>
      <c r="B14315" s="389">
        <v>3</v>
      </c>
      <c r="C14315" s="389">
        <v>24</v>
      </c>
      <c r="D14315" s="390">
        <f t="shared" si="2238"/>
        <v>46105</v>
      </c>
      <c r="E14315" s="391">
        <f t="shared" si="2246"/>
        <v>46105</v>
      </c>
      <c r="F14315" s="517"/>
      <c r="G14315" s="392" t="s">
        <v>1209</v>
      </c>
      <c r="H14315" s="393"/>
      <c r="I14315" s="393"/>
      <c r="J14315" s="394" t="s">
        <v>1847</v>
      </c>
      <c r="K14315" s="423"/>
      <c r="L14315" s="423">
        <f>K14314</f>
        <v>1595.81736263736</v>
      </c>
    </row>
    <row r="14316" spans="1:15" ht="11.25" customHeight="1" x14ac:dyDescent="0.2">
      <c r="A14316" s="382">
        <v>2026</v>
      </c>
      <c r="B14316" s="382">
        <v>3</v>
      </c>
      <c r="C14316" s="382">
        <v>24</v>
      </c>
      <c r="D14316" s="383">
        <f t="shared" si="2238"/>
        <v>46105</v>
      </c>
      <c r="E14316" s="384">
        <f t="shared" si="2246"/>
        <v>46105</v>
      </c>
      <c r="F14316" s="516" t="s">
        <v>1892</v>
      </c>
      <c r="G14316" s="385" t="s">
        <v>1209</v>
      </c>
      <c r="H14316" s="386"/>
      <c r="I14316" s="386"/>
      <c r="J14316" s="387" t="s">
        <v>173</v>
      </c>
      <c r="K14316" s="388">
        <v>593.69473611111118</v>
      </c>
      <c r="L14316" s="388"/>
      <c r="M14316" s="455"/>
    </row>
    <row r="14317" spans="1:15" ht="11.25" customHeight="1" x14ac:dyDescent="0.2">
      <c r="A14317" s="389">
        <v>2026</v>
      </c>
      <c r="B14317" s="389">
        <v>3</v>
      </c>
      <c r="C14317" s="389">
        <v>24</v>
      </c>
      <c r="D14317" s="390">
        <f t="shared" si="2238"/>
        <v>46105</v>
      </c>
      <c r="E14317" s="391">
        <f t="shared" si="2246"/>
        <v>46105</v>
      </c>
      <c r="F14317" s="517"/>
      <c r="G14317" s="392" t="s">
        <v>1209</v>
      </c>
      <c r="H14317" s="393"/>
      <c r="I14317" s="393"/>
      <c r="J14317" s="394" t="s">
        <v>43</v>
      </c>
      <c r="K14317" s="388"/>
      <c r="L14317" s="423">
        <f>K14316</f>
        <v>593.69473611111118</v>
      </c>
    </row>
    <row r="14318" spans="1:15" ht="11.25" customHeight="1" x14ac:dyDescent="0.2">
      <c r="A14318" s="344">
        <v>2026</v>
      </c>
      <c r="B14318" s="344">
        <v>3</v>
      </c>
      <c r="C14318" s="344">
        <v>24</v>
      </c>
      <c r="D14318" s="345">
        <f t="shared" si="2238"/>
        <v>46105</v>
      </c>
      <c r="E14318" s="346">
        <f t="shared" si="2246"/>
        <v>46105</v>
      </c>
      <c r="F14318" s="518" t="s">
        <v>1982</v>
      </c>
      <c r="G14318" s="347" t="s">
        <v>1245</v>
      </c>
      <c r="H14318" s="348"/>
      <c r="I14318" s="348" t="s">
        <v>1253</v>
      </c>
      <c r="J14318" s="344" t="s">
        <v>1978</v>
      </c>
      <c r="K14318" s="349">
        <v>20878.176795580101</v>
      </c>
      <c r="L14318" s="349"/>
      <c r="M14318" s="455"/>
    </row>
    <row r="14319" spans="1:15" ht="11.25" customHeight="1" x14ac:dyDescent="0.2">
      <c r="A14319" s="350">
        <v>2026</v>
      </c>
      <c r="B14319" s="350">
        <v>3</v>
      </c>
      <c r="C14319" s="350">
        <v>24</v>
      </c>
      <c r="D14319" s="351">
        <f t="shared" si="2238"/>
        <v>46105</v>
      </c>
      <c r="E14319" s="352">
        <f t="shared" si="2246"/>
        <v>46105</v>
      </c>
      <c r="F14319" s="519"/>
      <c r="G14319" s="353" t="s">
        <v>1245</v>
      </c>
      <c r="H14319" s="354"/>
      <c r="I14319" s="354" t="s">
        <v>1253</v>
      </c>
      <c r="J14319" s="350" t="s">
        <v>1979</v>
      </c>
      <c r="K14319" s="355"/>
      <c r="L14319" s="355">
        <f>K14318</f>
        <v>20878.176795580101</v>
      </c>
    </row>
    <row r="14320" spans="1:15" ht="11.25" customHeight="1" x14ac:dyDescent="0.2">
      <c r="A14320" s="344">
        <v>2026</v>
      </c>
      <c r="B14320" s="344">
        <v>3</v>
      </c>
      <c r="C14320" s="344">
        <v>24</v>
      </c>
      <c r="D14320" s="345">
        <f t="shared" si="2238"/>
        <v>46105</v>
      </c>
      <c r="E14320" s="346">
        <f t="shared" si="2246"/>
        <v>46105</v>
      </c>
      <c r="F14320" s="518" t="s">
        <v>2009</v>
      </c>
      <c r="G14320" s="347" t="s">
        <v>1245</v>
      </c>
      <c r="H14320" s="348"/>
      <c r="I14320" s="348" t="s">
        <v>1253</v>
      </c>
      <c r="J14320" s="344" t="s">
        <v>2004</v>
      </c>
      <c r="K14320" s="349">
        <v>7098.9014285714302</v>
      </c>
      <c r="L14320" s="349"/>
      <c r="M14320" s="455"/>
    </row>
    <row r="14321" spans="1:16" ht="11.25" customHeight="1" x14ac:dyDescent="0.2">
      <c r="A14321" s="350">
        <v>2026</v>
      </c>
      <c r="B14321" s="350">
        <v>3</v>
      </c>
      <c r="C14321" s="350">
        <v>24</v>
      </c>
      <c r="D14321" s="351">
        <f t="shared" si="2238"/>
        <v>46105</v>
      </c>
      <c r="E14321" s="352">
        <f t="shared" si="2246"/>
        <v>46105</v>
      </c>
      <c r="F14321" s="519"/>
      <c r="G14321" s="353" t="s">
        <v>1245</v>
      </c>
      <c r="H14321" s="354"/>
      <c r="I14321" s="354" t="s">
        <v>1253</v>
      </c>
      <c r="J14321" s="350" t="s">
        <v>2008</v>
      </c>
      <c r="K14321" s="355"/>
      <c r="L14321" s="355">
        <f t="shared" ref="L14321" si="2247">K14320</f>
        <v>7098.9014285714302</v>
      </c>
    </row>
    <row r="14322" spans="1:16" ht="11.25" customHeight="1" x14ac:dyDescent="0.2">
      <c r="A14322" s="344">
        <v>2026</v>
      </c>
      <c r="B14322" s="344">
        <v>3</v>
      </c>
      <c r="C14322" s="344">
        <v>24</v>
      </c>
      <c r="D14322" s="345">
        <f t="shared" si="2238"/>
        <v>46105</v>
      </c>
      <c r="E14322" s="346">
        <f t="shared" si="2246"/>
        <v>46105</v>
      </c>
      <c r="F14322" s="518" t="s">
        <v>2009</v>
      </c>
      <c r="G14322" s="347" t="s">
        <v>1245</v>
      </c>
      <c r="H14322" s="348"/>
      <c r="I14322" s="348" t="s">
        <v>1253</v>
      </c>
      <c r="J14322" s="344" t="s">
        <v>2004</v>
      </c>
      <c r="K14322" s="349">
        <v>7098.9014285714302</v>
      </c>
      <c r="L14322" s="349"/>
      <c r="M14322" s="455"/>
    </row>
    <row r="14323" spans="1:16" ht="11.25" customHeight="1" x14ac:dyDescent="0.2">
      <c r="A14323" s="350">
        <v>2026</v>
      </c>
      <c r="B14323" s="350">
        <v>3</v>
      </c>
      <c r="C14323" s="350">
        <v>24</v>
      </c>
      <c r="D14323" s="351">
        <f t="shared" si="2238"/>
        <v>46105</v>
      </c>
      <c r="E14323" s="352">
        <f t="shared" si="2246"/>
        <v>46105</v>
      </c>
      <c r="F14323" s="519"/>
      <c r="G14323" s="353" t="s">
        <v>1245</v>
      </c>
      <c r="H14323" s="354"/>
      <c r="I14323" s="354" t="s">
        <v>1253</v>
      </c>
      <c r="J14323" s="350" t="s">
        <v>2008</v>
      </c>
      <c r="K14323" s="355"/>
      <c r="L14323" s="355">
        <f t="shared" ref="L14323" si="2248">K14322</f>
        <v>7098.9014285714302</v>
      </c>
    </row>
    <row r="14324" spans="1:16" ht="11.25" customHeight="1" x14ac:dyDescent="0.2">
      <c r="A14324" s="344">
        <v>2026</v>
      </c>
      <c r="B14324" s="344">
        <v>3</v>
      </c>
      <c r="C14324" s="344">
        <v>24</v>
      </c>
      <c r="D14324" s="345">
        <f t="shared" si="2238"/>
        <v>46105</v>
      </c>
      <c r="E14324" s="346">
        <f t="shared" si="2246"/>
        <v>46105</v>
      </c>
      <c r="F14324" s="518" t="s">
        <v>2088</v>
      </c>
      <c r="G14324" s="347" t="s">
        <v>1245</v>
      </c>
      <c r="H14324" s="348"/>
      <c r="I14324" s="348" t="s">
        <v>1253</v>
      </c>
      <c r="J14324" s="344" t="s">
        <v>2086</v>
      </c>
      <c r="K14324" s="349">
        <v>1789.83516483516</v>
      </c>
      <c r="L14324" s="349"/>
      <c r="M14324" s="455"/>
    </row>
    <row r="14325" spans="1:16" ht="11.25" customHeight="1" x14ac:dyDescent="0.2">
      <c r="A14325" s="350">
        <v>2026</v>
      </c>
      <c r="B14325" s="350">
        <v>3</v>
      </c>
      <c r="C14325" s="350">
        <v>24</v>
      </c>
      <c r="D14325" s="351">
        <f t="shared" si="2238"/>
        <v>46105</v>
      </c>
      <c r="E14325" s="352">
        <f t="shared" si="2246"/>
        <v>46105</v>
      </c>
      <c r="F14325" s="519"/>
      <c r="G14325" s="353" t="s">
        <v>1245</v>
      </c>
      <c r="H14325" s="354"/>
      <c r="I14325" s="354" t="s">
        <v>1253</v>
      </c>
      <c r="J14325" s="350" t="s">
        <v>2089</v>
      </c>
      <c r="K14325" s="355"/>
      <c r="L14325" s="355">
        <f>K14324</f>
        <v>1789.83516483516</v>
      </c>
    </row>
    <row r="14326" spans="1:16" ht="11.25" customHeight="1" x14ac:dyDescent="0.2">
      <c r="A14326" s="344">
        <v>2026</v>
      </c>
      <c r="B14326" s="344">
        <v>3</v>
      </c>
      <c r="C14326" s="344">
        <v>24</v>
      </c>
      <c r="D14326" s="345">
        <f t="shared" si="2238"/>
        <v>46105</v>
      </c>
      <c r="E14326" s="346">
        <f t="shared" si="2246"/>
        <v>46105</v>
      </c>
      <c r="F14326" s="518" t="s">
        <v>2143</v>
      </c>
      <c r="G14326" s="347" t="s">
        <v>1245</v>
      </c>
      <c r="H14326" s="348"/>
      <c r="I14326" s="348" t="s">
        <v>1253</v>
      </c>
      <c r="J14326" s="344" t="s">
        <v>2086</v>
      </c>
      <c r="K14326" s="349">
        <v>6898.6301369863022</v>
      </c>
      <c r="L14326" s="349"/>
      <c r="M14326" s="455"/>
    </row>
    <row r="14327" spans="1:16" ht="11.25" customHeight="1" x14ac:dyDescent="0.2">
      <c r="A14327" s="350">
        <v>2026</v>
      </c>
      <c r="B14327" s="350">
        <v>3</v>
      </c>
      <c r="C14327" s="350">
        <v>24</v>
      </c>
      <c r="D14327" s="351">
        <f t="shared" si="2238"/>
        <v>46105</v>
      </c>
      <c r="E14327" s="352">
        <f t="shared" si="2246"/>
        <v>46105</v>
      </c>
      <c r="F14327" s="519"/>
      <c r="G14327" s="353" t="s">
        <v>1245</v>
      </c>
      <c r="H14327" s="354"/>
      <c r="I14327" s="354" t="s">
        <v>1253</v>
      </c>
      <c r="J14327" s="350" t="s">
        <v>2089</v>
      </c>
      <c r="K14327" s="355"/>
      <c r="L14327" s="355">
        <f>K14326</f>
        <v>6898.6301369863022</v>
      </c>
    </row>
    <row r="14328" spans="1:16" ht="11.25" customHeight="1" x14ac:dyDescent="0.2">
      <c r="A14328" s="344">
        <v>2026</v>
      </c>
      <c r="B14328" s="344">
        <v>3</v>
      </c>
      <c r="C14328" s="344">
        <v>24</v>
      </c>
      <c r="D14328" s="345">
        <f t="shared" si="2238"/>
        <v>46105</v>
      </c>
      <c r="E14328" s="346">
        <f>DATE(A14328,B14328,C14328)</f>
        <v>46105</v>
      </c>
      <c r="F14328" s="518" t="s">
        <v>1988</v>
      </c>
      <c r="G14328" s="347" t="s">
        <v>1245</v>
      </c>
      <c r="H14328" s="348"/>
      <c r="I14328" s="348" t="s">
        <v>1253</v>
      </c>
      <c r="J14328" s="344" t="s">
        <v>113</v>
      </c>
      <c r="K14328" s="349">
        <v>4692.3071428571402</v>
      </c>
      <c r="L14328" s="349"/>
      <c r="M14328" s="455"/>
    </row>
    <row r="14329" spans="1:16" ht="11.25" customHeight="1" x14ac:dyDescent="0.2">
      <c r="A14329" s="350">
        <v>2026</v>
      </c>
      <c r="B14329" s="350">
        <v>3</v>
      </c>
      <c r="C14329" s="350">
        <v>24</v>
      </c>
      <c r="D14329" s="351">
        <f t="shared" si="2238"/>
        <v>46105</v>
      </c>
      <c r="E14329" s="352">
        <f>DATE(A14329,B14329,C14329)</f>
        <v>46105</v>
      </c>
      <c r="F14329" s="519"/>
      <c r="G14329" s="353" t="s">
        <v>1245</v>
      </c>
      <c r="H14329" s="354"/>
      <c r="I14329" s="354" t="s">
        <v>1253</v>
      </c>
      <c r="J14329" s="350" t="s">
        <v>153</v>
      </c>
      <c r="K14329" s="355"/>
      <c r="L14329" s="355">
        <f t="shared" ref="L14329" si="2249">K14328</f>
        <v>4692.3071428571402</v>
      </c>
    </row>
    <row r="14330" spans="1:16" ht="11.25" customHeight="1" x14ac:dyDescent="0.2">
      <c r="A14330" s="344">
        <v>2026</v>
      </c>
      <c r="B14330" s="344">
        <v>3</v>
      </c>
      <c r="C14330" s="344">
        <v>24</v>
      </c>
      <c r="D14330" s="345">
        <f t="shared" si="2238"/>
        <v>46105</v>
      </c>
      <c r="E14330" s="346">
        <f t="shared" ref="E14330:E14336" si="2250">DATE(A14330,B14330,C14330)</f>
        <v>46105</v>
      </c>
      <c r="F14330" s="518" t="s">
        <v>1989</v>
      </c>
      <c r="G14330" s="347" t="s">
        <v>1245</v>
      </c>
      <c r="H14330" s="348"/>
      <c r="I14330" s="348" t="s">
        <v>1253</v>
      </c>
      <c r="J14330" s="344" t="s">
        <v>113</v>
      </c>
      <c r="K14330" s="349">
        <v>3351.6483516483499</v>
      </c>
      <c r="L14330" s="349"/>
      <c r="M14330" s="455"/>
    </row>
    <row r="14331" spans="1:16" ht="11.25" customHeight="1" x14ac:dyDescent="0.2">
      <c r="A14331" s="350">
        <v>2026</v>
      </c>
      <c r="B14331" s="350">
        <v>3</v>
      </c>
      <c r="C14331" s="350">
        <v>24</v>
      </c>
      <c r="D14331" s="351">
        <f t="shared" si="2238"/>
        <v>46105</v>
      </c>
      <c r="E14331" s="352">
        <f t="shared" si="2250"/>
        <v>46105</v>
      </c>
      <c r="F14331" s="519"/>
      <c r="G14331" s="353" t="s">
        <v>1245</v>
      </c>
      <c r="H14331" s="354"/>
      <c r="I14331" s="354" t="s">
        <v>1253</v>
      </c>
      <c r="J14331" s="350" t="s">
        <v>153</v>
      </c>
      <c r="K14331" s="355"/>
      <c r="L14331" s="355">
        <f t="shared" ref="L14331" si="2251">K14330</f>
        <v>3351.6483516483499</v>
      </c>
    </row>
    <row r="14332" spans="1:16" ht="11.25" customHeight="1" x14ac:dyDescent="0.2">
      <c r="A14332" s="344">
        <v>2026</v>
      </c>
      <c r="B14332" s="344">
        <v>3</v>
      </c>
      <c r="C14332" s="344">
        <v>24</v>
      </c>
      <c r="D14332" s="345">
        <f t="shared" si="2238"/>
        <v>46105</v>
      </c>
      <c r="E14332" s="346">
        <f t="shared" si="2250"/>
        <v>46105</v>
      </c>
      <c r="F14332" s="518" t="s">
        <v>1990</v>
      </c>
      <c r="G14332" s="347" t="s">
        <v>1245</v>
      </c>
      <c r="H14332" s="348"/>
      <c r="I14332" s="348" t="s">
        <v>1253</v>
      </c>
      <c r="J14332" s="344" t="s">
        <v>113</v>
      </c>
      <c r="K14332" s="349">
        <v>10054.945714285701</v>
      </c>
      <c r="L14332" s="349"/>
      <c r="M14332" s="455"/>
      <c r="N14332" s="251"/>
      <c r="O14332" s="251"/>
      <c r="P14332" s="251"/>
    </row>
    <row r="14333" spans="1:16" ht="11.25" customHeight="1" x14ac:dyDescent="0.2">
      <c r="A14333" s="350">
        <v>2026</v>
      </c>
      <c r="B14333" s="350">
        <v>3</v>
      </c>
      <c r="C14333" s="350">
        <v>24</v>
      </c>
      <c r="D14333" s="351">
        <f t="shared" si="2238"/>
        <v>46105</v>
      </c>
      <c r="E14333" s="352">
        <f t="shared" si="2250"/>
        <v>46105</v>
      </c>
      <c r="F14333" s="519"/>
      <c r="G14333" s="353" t="s">
        <v>1245</v>
      </c>
      <c r="H14333" s="354"/>
      <c r="I14333" s="354" t="s">
        <v>1253</v>
      </c>
      <c r="J14333" s="350" t="s">
        <v>153</v>
      </c>
      <c r="K14333" s="355"/>
      <c r="L14333" s="355">
        <f t="shared" ref="L14333" si="2252">K14332</f>
        <v>10054.945714285701</v>
      </c>
      <c r="M14333" s="455"/>
    </row>
    <row r="14334" spans="1:16" ht="11.25" customHeight="1" x14ac:dyDescent="0.2">
      <c r="A14334" s="344">
        <v>2026</v>
      </c>
      <c r="B14334" s="344">
        <v>3</v>
      </c>
      <c r="C14334" s="344">
        <v>24</v>
      </c>
      <c r="D14334" s="345">
        <f t="shared" si="2238"/>
        <v>46105</v>
      </c>
      <c r="E14334" s="346">
        <f t="shared" si="2250"/>
        <v>46105</v>
      </c>
      <c r="F14334" s="518" t="s">
        <v>2107</v>
      </c>
      <c r="G14334" s="347" t="s">
        <v>1245</v>
      </c>
      <c r="H14334" s="348"/>
      <c r="I14334" s="348" t="s">
        <v>1253</v>
      </c>
      <c r="J14334" s="344" t="s">
        <v>113</v>
      </c>
      <c r="K14334" s="349">
        <v>12370.879120879101</v>
      </c>
      <c r="L14334" s="349"/>
      <c r="M14334" s="455"/>
      <c r="N14334" s="251"/>
      <c r="O14334" s="251"/>
      <c r="P14334" s="251"/>
    </row>
    <row r="14335" spans="1:16" ht="11.25" customHeight="1" x14ac:dyDescent="0.2">
      <c r="A14335" s="350">
        <v>2026</v>
      </c>
      <c r="B14335" s="350">
        <v>3</v>
      </c>
      <c r="C14335" s="350">
        <v>24</v>
      </c>
      <c r="D14335" s="351">
        <f t="shared" si="2238"/>
        <v>46105</v>
      </c>
      <c r="E14335" s="352">
        <f t="shared" si="2250"/>
        <v>46105</v>
      </c>
      <c r="F14335" s="519"/>
      <c r="G14335" s="353" t="s">
        <v>1245</v>
      </c>
      <c r="H14335" s="354"/>
      <c r="I14335" s="354" t="s">
        <v>1253</v>
      </c>
      <c r="J14335" s="350" t="s">
        <v>153</v>
      </c>
      <c r="K14335" s="355"/>
      <c r="L14335" s="355">
        <f t="shared" ref="L14335" si="2253">K14334</f>
        <v>12370.879120879101</v>
      </c>
    </row>
    <row r="14336" spans="1:16" ht="11.25" customHeight="1" x14ac:dyDescent="0.2">
      <c r="A14336" s="210">
        <v>2026</v>
      </c>
      <c r="B14336" s="210">
        <v>3</v>
      </c>
      <c r="C14336" s="210">
        <v>24</v>
      </c>
      <c r="D14336" s="211">
        <f t="shared" si="2238"/>
        <v>46105</v>
      </c>
      <c r="E14336" s="238">
        <f t="shared" si="2250"/>
        <v>46105</v>
      </c>
      <c r="F14336" s="520" t="s">
        <v>1857</v>
      </c>
      <c r="G14336" s="213" t="s">
        <v>1245</v>
      </c>
      <c r="H14336" s="214"/>
      <c r="I14336" s="214" t="s">
        <v>1253</v>
      </c>
      <c r="J14336" s="210" t="s">
        <v>1284</v>
      </c>
      <c r="K14336" s="215">
        <v>334.54448777029398</v>
      </c>
      <c r="L14336" s="215"/>
      <c r="M14336" s="455"/>
    </row>
    <row r="14337" spans="1:15" ht="11.25" customHeight="1" x14ac:dyDescent="0.2">
      <c r="A14337" s="242">
        <v>2026</v>
      </c>
      <c r="B14337" s="242">
        <v>3</v>
      </c>
      <c r="C14337" s="242">
        <v>24</v>
      </c>
      <c r="D14337" s="243">
        <f t="shared" si="2238"/>
        <v>46105</v>
      </c>
      <c r="E14337" s="244">
        <f>DATE(A14337,B14337,C14337)</f>
        <v>46105</v>
      </c>
      <c r="F14337" s="521"/>
      <c r="G14337" s="245" t="s">
        <v>1245</v>
      </c>
      <c r="H14337" s="246"/>
      <c r="I14337" s="246"/>
      <c r="J14337" s="242" t="s">
        <v>1582</v>
      </c>
      <c r="K14337" s="247"/>
      <c r="L14337" s="247">
        <f>K14336</f>
        <v>334.54448777029398</v>
      </c>
    </row>
    <row r="14338" spans="1:15" ht="11.25" customHeight="1" x14ac:dyDescent="0.2">
      <c r="A14338" s="210">
        <v>2026</v>
      </c>
      <c r="B14338" s="210">
        <v>3</v>
      </c>
      <c r="C14338" s="210">
        <v>24</v>
      </c>
      <c r="D14338" s="211">
        <f t="shared" ref="D14338:D14378" si="2254">DATE(A14338,B14338,C14338)</f>
        <v>46105</v>
      </c>
      <c r="E14338" s="238">
        <f t="shared" ref="E14338:E14368" si="2255">DATE(A14338,B14338,C14338)</f>
        <v>46105</v>
      </c>
      <c r="F14338" s="520" t="s">
        <v>2055</v>
      </c>
      <c r="G14338" s="213" t="s">
        <v>1245</v>
      </c>
      <c r="H14338" s="214"/>
      <c r="I14338" s="214" t="s">
        <v>1253</v>
      </c>
      <c r="J14338" s="210" t="s">
        <v>58</v>
      </c>
      <c r="K14338" s="215">
        <v>1828.6431466666666</v>
      </c>
      <c r="L14338" s="215"/>
      <c r="M14338" s="455">
        <f>K14338*8</f>
        <v>14629.145173333332</v>
      </c>
    </row>
    <row r="14339" spans="1:15" ht="11.25" customHeight="1" x14ac:dyDescent="0.2">
      <c r="A14339" s="216">
        <v>2026</v>
      </c>
      <c r="B14339" s="216">
        <v>3</v>
      </c>
      <c r="C14339" s="216">
        <v>24</v>
      </c>
      <c r="D14339" s="217">
        <f t="shared" si="2254"/>
        <v>46105</v>
      </c>
      <c r="E14339" s="239">
        <f t="shared" si="2255"/>
        <v>46105</v>
      </c>
      <c r="F14339" s="521"/>
      <c r="G14339" s="219" t="s">
        <v>1245</v>
      </c>
      <c r="H14339" s="220"/>
      <c r="I14339" s="220" t="s">
        <v>1253</v>
      </c>
      <c r="J14339" s="216" t="s">
        <v>153</v>
      </c>
      <c r="K14339" s="221"/>
      <c r="L14339" s="221">
        <f>K14338</f>
        <v>1828.6431466666666</v>
      </c>
    </row>
    <row r="14340" spans="1:15" ht="11.25" customHeight="1" x14ac:dyDescent="0.2">
      <c r="A14340" s="312">
        <v>2026</v>
      </c>
      <c r="B14340" s="312">
        <v>3</v>
      </c>
      <c r="C14340" s="312">
        <v>24</v>
      </c>
      <c r="D14340" s="313">
        <f t="shared" si="2254"/>
        <v>46105</v>
      </c>
      <c r="E14340" s="314">
        <f t="shared" si="2255"/>
        <v>46105</v>
      </c>
      <c r="F14340" s="522" t="s">
        <v>1595</v>
      </c>
      <c r="G14340" s="315" t="s">
        <v>1245</v>
      </c>
      <c r="H14340" s="316"/>
      <c r="I14340" s="316" t="s">
        <v>1253</v>
      </c>
      <c r="J14340" s="312" t="s">
        <v>1459</v>
      </c>
      <c r="K14340" s="317">
        <v>788187.04200005531</v>
      </c>
      <c r="L14340" s="317"/>
      <c r="M14340" s="328"/>
    </row>
    <row r="14341" spans="1:15" ht="11.25" customHeight="1" x14ac:dyDescent="0.2">
      <c r="A14341" s="486">
        <v>2026</v>
      </c>
      <c r="B14341" s="486">
        <v>3</v>
      </c>
      <c r="C14341" s="486">
        <v>24</v>
      </c>
      <c r="D14341" s="487">
        <f t="shared" si="2254"/>
        <v>46105</v>
      </c>
      <c r="E14341" s="488">
        <f t="shared" si="2255"/>
        <v>46105</v>
      </c>
      <c r="F14341" s="523"/>
      <c r="G14341" s="489" t="s">
        <v>1245</v>
      </c>
      <c r="H14341" s="490"/>
      <c r="I14341" s="490" t="s">
        <v>1253</v>
      </c>
      <c r="J14341" s="486" t="s">
        <v>1461</v>
      </c>
      <c r="K14341" s="491"/>
      <c r="L14341" s="491">
        <f>K14340</f>
        <v>788187.04200005531</v>
      </c>
      <c r="M14341" s="328"/>
    </row>
    <row r="14342" spans="1:15" ht="11.25" customHeight="1" x14ac:dyDescent="0.2">
      <c r="A14342" s="222">
        <v>2026</v>
      </c>
      <c r="B14342" s="222">
        <v>3</v>
      </c>
      <c r="C14342" s="222">
        <v>24</v>
      </c>
      <c r="D14342" s="223">
        <f t="shared" si="2254"/>
        <v>46105</v>
      </c>
      <c r="E14342" s="240">
        <f t="shared" si="2255"/>
        <v>46105</v>
      </c>
      <c r="F14342" s="511" t="s">
        <v>1244</v>
      </c>
      <c r="G14342" s="225" t="s">
        <v>1245</v>
      </c>
      <c r="H14342" s="226"/>
      <c r="I14342" s="226" t="s">
        <v>1253</v>
      </c>
      <c r="J14342" s="222" t="s">
        <v>72</v>
      </c>
      <c r="K14342" s="227">
        <v>11519</v>
      </c>
      <c r="L14342" s="227"/>
      <c r="M14342" s="328"/>
    </row>
    <row r="14343" spans="1:15" ht="11.25" customHeight="1" x14ac:dyDescent="0.2">
      <c r="A14343" s="228">
        <v>2026</v>
      </c>
      <c r="B14343" s="228">
        <v>3</v>
      </c>
      <c r="C14343" s="228">
        <v>24</v>
      </c>
      <c r="D14343" s="229">
        <f t="shared" si="2254"/>
        <v>46105</v>
      </c>
      <c r="E14343" s="241">
        <f t="shared" si="2255"/>
        <v>46105</v>
      </c>
      <c r="F14343" s="512"/>
      <c r="G14343" s="231" t="s">
        <v>1245</v>
      </c>
      <c r="H14343" s="232"/>
      <c r="I14343" s="232" t="s">
        <v>1253</v>
      </c>
      <c r="J14343" s="228" t="s">
        <v>87</v>
      </c>
      <c r="K14343" s="233"/>
      <c r="L14343" s="233">
        <f>K14342</f>
        <v>11519</v>
      </c>
    </row>
    <row r="14344" spans="1:15" ht="11.25" customHeight="1" x14ac:dyDescent="0.2">
      <c r="A14344" s="492">
        <v>2026</v>
      </c>
      <c r="B14344" s="492">
        <v>3</v>
      </c>
      <c r="C14344" s="492">
        <v>24</v>
      </c>
      <c r="D14344" s="493">
        <f t="shared" si="2254"/>
        <v>46105</v>
      </c>
      <c r="E14344" s="494">
        <f t="shared" si="2255"/>
        <v>46105</v>
      </c>
      <c r="F14344" s="511" t="s">
        <v>2138</v>
      </c>
      <c r="G14344" s="495" t="s">
        <v>1245</v>
      </c>
      <c r="H14344" s="496"/>
      <c r="I14344" s="496" t="s">
        <v>1253</v>
      </c>
      <c r="J14344" s="492" t="s">
        <v>75</v>
      </c>
      <c r="K14344" s="497">
        <v>517.58912087912097</v>
      </c>
      <c r="L14344" s="497"/>
      <c r="M14344" s="455">
        <f>K14344*8</f>
        <v>4140.7129670329678</v>
      </c>
    </row>
    <row r="14345" spans="1:15" ht="11.25" customHeight="1" x14ac:dyDescent="0.2">
      <c r="A14345" s="228">
        <v>2026</v>
      </c>
      <c r="B14345" s="228">
        <v>3</v>
      </c>
      <c r="C14345" s="228">
        <v>24</v>
      </c>
      <c r="D14345" s="229">
        <f t="shared" si="2254"/>
        <v>46105</v>
      </c>
      <c r="E14345" s="241">
        <f t="shared" si="2255"/>
        <v>46105</v>
      </c>
      <c r="F14345" s="512"/>
      <c r="G14345" s="231" t="s">
        <v>1245</v>
      </c>
      <c r="H14345" s="232"/>
      <c r="I14345" s="232" t="s">
        <v>1253</v>
      </c>
      <c r="J14345" s="228" t="s">
        <v>55</v>
      </c>
      <c r="K14345" s="233"/>
      <c r="L14345" s="233">
        <f>K14344</f>
        <v>517.58912087912097</v>
      </c>
    </row>
    <row r="14346" spans="1:15" ht="11.25" customHeight="1" x14ac:dyDescent="0.2">
      <c r="A14346" s="222">
        <v>2026</v>
      </c>
      <c r="B14346" s="222">
        <v>3</v>
      </c>
      <c r="C14346" s="222">
        <v>24</v>
      </c>
      <c r="D14346" s="223">
        <f t="shared" si="2254"/>
        <v>46105</v>
      </c>
      <c r="E14346" s="240">
        <f t="shared" si="2255"/>
        <v>46105</v>
      </c>
      <c r="F14346" s="511" t="s">
        <v>2137</v>
      </c>
      <c r="G14346" s="225" t="s">
        <v>1245</v>
      </c>
      <c r="H14346" s="226"/>
      <c r="I14346" s="226" t="s">
        <v>1253</v>
      </c>
      <c r="J14346" s="222" t="s">
        <v>77</v>
      </c>
      <c r="K14346" s="227">
        <v>8127.6331305048388</v>
      </c>
      <c r="L14346" s="227"/>
      <c r="M14346" s="455">
        <v>8127.6331305048388</v>
      </c>
    </row>
    <row r="14347" spans="1:15" ht="11.25" customHeight="1" x14ac:dyDescent="0.2">
      <c r="A14347" s="228">
        <v>2026</v>
      </c>
      <c r="B14347" s="228">
        <v>3</v>
      </c>
      <c r="C14347" s="228">
        <v>24</v>
      </c>
      <c r="D14347" s="229">
        <f t="shared" si="2254"/>
        <v>46105</v>
      </c>
      <c r="E14347" s="241">
        <f t="shared" si="2255"/>
        <v>46105</v>
      </c>
      <c r="F14347" s="512"/>
      <c r="G14347" s="231" t="s">
        <v>1245</v>
      </c>
      <c r="H14347" s="232"/>
      <c r="I14347" s="232" t="s">
        <v>1253</v>
      </c>
      <c r="J14347" s="228" t="s">
        <v>41</v>
      </c>
      <c r="K14347" s="233"/>
      <c r="L14347" s="233">
        <f>K14346</f>
        <v>8127.6331305048388</v>
      </c>
      <c r="M14347" s="328">
        <v>812.76331305048393</v>
      </c>
      <c r="N14347" s="251"/>
    </row>
    <row r="14348" spans="1:15" ht="11.25" customHeight="1" x14ac:dyDescent="0.2">
      <c r="A14348" s="222">
        <v>2026</v>
      </c>
      <c r="B14348" s="222">
        <v>3</v>
      </c>
      <c r="C14348" s="222">
        <v>24</v>
      </c>
      <c r="D14348" s="223">
        <f t="shared" si="2254"/>
        <v>46105</v>
      </c>
      <c r="E14348" s="240">
        <f t="shared" si="2255"/>
        <v>46105</v>
      </c>
      <c r="F14348" s="511" t="s">
        <v>2136</v>
      </c>
      <c r="G14348" s="225" t="s">
        <v>1245</v>
      </c>
      <c r="H14348" s="226"/>
      <c r="I14348" s="226" t="s">
        <v>1253</v>
      </c>
      <c r="J14348" s="222" t="s">
        <v>80</v>
      </c>
      <c r="K14348" s="227">
        <v>812.76331305048393</v>
      </c>
      <c r="L14348" s="227"/>
      <c r="M14348" s="455">
        <f>K14348*8</f>
        <v>6502.1065044038714</v>
      </c>
      <c r="N14348" s="251"/>
      <c r="O14348" s="251"/>
    </row>
    <row r="14349" spans="1:15" ht="11.25" customHeight="1" x14ac:dyDescent="0.2">
      <c r="A14349" s="228">
        <v>2026</v>
      </c>
      <c r="B14349" s="228">
        <v>3</v>
      </c>
      <c r="C14349" s="228">
        <v>24</v>
      </c>
      <c r="D14349" s="229">
        <f t="shared" si="2254"/>
        <v>46105</v>
      </c>
      <c r="E14349" s="241">
        <f t="shared" si="2255"/>
        <v>46105</v>
      </c>
      <c r="F14349" s="512"/>
      <c r="G14349" s="231" t="s">
        <v>1245</v>
      </c>
      <c r="H14349" s="232"/>
      <c r="I14349" s="232" t="s">
        <v>1253</v>
      </c>
      <c r="J14349" s="228" t="s">
        <v>42</v>
      </c>
      <c r="K14349" s="233"/>
      <c r="L14349" s="233">
        <f>K14348</f>
        <v>812.76331305048393</v>
      </c>
      <c r="N14349" s="251"/>
    </row>
    <row r="14350" spans="1:15" ht="11.25" customHeight="1" x14ac:dyDescent="0.2">
      <c r="A14350" s="197">
        <v>2026</v>
      </c>
      <c r="B14350" s="197">
        <v>3</v>
      </c>
      <c r="C14350" s="197">
        <v>25</v>
      </c>
      <c r="D14350" s="198">
        <f t="shared" si="2254"/>
        <v>46106</v>
      </c>
      <c r="E14350" s="290">
        <f t="shared" si="2255"/>
        <v>46106</v>
      </c>
      <c r="F14350" s="513" t="s">
        <v>2087</v>
      </c>
      <c r="G14350" s="200" t="s">
        <v>1209</v>
      </c>
      <c r="H14350" s="201"/>
      <c r="I14350" s="201" t="s">
        <v>1253</v>
      </c>
      <c r="J14350" s="197" t="s">
        <v>46</v>
      </c>
      <c r="K14350" s="202">
        <v>326893.15000000002</v>
      </c>
      <c r="L14350" s="202"/>
    </row>
    <row r="14351" spans="1:15" ht="11.25" customHeight="1" x14ac:dyDescent="0.2">
      <c r="A14351" s="191">
        <v>2026</v>
      </c>
      <c r="B14351" s="191">
        <v>3</v>
      </c>
      <c r="C14351" s="191">
        <v>25</v>
      </c>
      <c r="D14351" s="192">
        <f t="shared" si="2254"/>
        <v>46106</v>
      </c>
      <c r="E14351" s="291">
        <f t="shared" si="2255"/>
        <v>46106</v>
      </c>
      <c r="F14351" s="514"/>
      <c r="G14351" s="194" t="s">
        <v>1209</v>
      </c>
      <c r="H14351" s="195"/>
      <c r="I14351" s="195"/>
      <c r="J14351" s="191" t="s">
        <v>1845</v>
      </c>
      <c r="K14351" s="196"/>
      <c r="L14351" s="196">
        <f>K14350</f>
        <v>326893.15000000002</v>
      </c>
    </row>
    <row r="14352" spans="1:15" x14ac:dyDescent="0.2">
      <c r="A14352" s="197">
        <v>2026</v>
      </c>
      <c r="B14352" s="197">
        <v>3</v>
      </c>
      <c r="C14352" s="197">
        <v>25</v>
      </c>
      <c r="D14352" s="198">
        <f t="shared" si="2254"/>
        <v>46106</v>
      </c>
      <c r="E14352" s="209">
        <f t="shared" si="2255"/>
        <v>46106</v>
      </c>
      <c r="F14352" s="513" t="s">
        <v>1210</v>
      </c>
      <c r="G14352" s="200" t="s">
        <v>1209</v>
      </c>
      <c r="H14352" s="201"/>
      <c r="I14352" s="201"/>
      <c r="J14352" s="197" t="s">
        <v>46</v>
      </c>
      <c r="K14352" s="202">
        <v>91586</v>
      </c>
      <c r="L14352" s="202"/>
    </row>
    <row r="14353" spans="1:13" x14ac:dyDescent="0.2">
      <c r="A14353" s="120">
        <v>2026</v>
      </c>
      <c r="B14353" s="120">
        <v>3</v>
      </c>
      <c r="C14353" s="120">
        <v>25</v>
      </c>
      <c r="D14353" s="208">
        <f t="shared" si="2254"/>
        <v>46106</v>
      </c>
      <c r="E14353" s="209">
        <f t="shared" si="2255"/>
        <v>46106</v>
      </c>
      <c r="F14353" s="515"/>
      <c r="G14353" s="132" t="s">
        <v>1209</v>
      </c>
      <c r="J14353" s="120" t="s">
        <v>16</v>
      </c>
      <c r="K14353" s="207"/>
      <c r="L14353" s="207">
        <v>64470</v>
      </c>
    </row>
    <row r="14354" spans="1:13" x14ac:dyDescent="0.2">
      <c r="A14354" s="191">
        <v>2026</v>
      </c>
      <c r="B14354" s="191">
        <v>3</v>
      </c>
      <c r="C14354" s="191">
        <v>25</v>
      </c>
      <c r="D14354" s="192">
        <f t="shared" si="2254"/>
        <v>46106</v>
      </c>
      <c r="E14354" s="193">
        <f t="shared" si="2255"/>
        <v>46106</v>
      </c>
      <c r="F14354" s="514"/>
      <c r="G14354" s="194" t="s">
        <v>1209</v>
      </c>
      <c r="H14354" s="195"/>
      <c r="I14354" s="195"/>
      <c r="J14354" s="191" t="s">
        <v>47</v>
      </c>
      <c r="K14354" s="196"/>
      <c r="L14354" s="196">
        <v>27116</v>
      </c>
    </row>
    <row r="14355" spans="1:13" x14ac:dyDescent="0.2">
      <c r="A14355" s="424">
        <v>2026</v>
      </c>
      <c r="B14355" s="424">
        <v>3</v>
      </c>
      <c r="C14355" s="424">
        <v>25</v>
      </c>
      <c r="D14355" s="425">
        <f t="shared" si="2254"/>
        <v>46106</v>
      </c>
      <c r="E14355" s="384">
        <f t="shared" si="2255"/>
        <v>46106</v>
      </c>
      <c r="F14355" s="516" t="s">
        <v>1850</v>
      </c>
      <c r="G14355" s="426" t="s">
        <v>1209</v>
      </c>
      <c r="H14355" s="427"/>
      <c r="I14355" s="427"/>
      <c r="J14355" s="428" t="s">
        <v>81</v>
      </c>
      <c r="K14355" s="429">
        <v>1595.81736263736</v>
      </c>
      <c r="L14355" s="429"/>
      <c r="M14355" s="455"/>
    </row>
    <row r="14356" spans="1:13" x14ac:dyDescent="0.2">
      <c r="A14356" s="389">
        <v>2026</v>
      </c>
      <c r="B14356" s="389">
        <v>3</v>
      </c>
      <c r="C14356" s="389">
        <v>25</v>
      </c>
      <c r="D14356" s="390">
        <f t="shared" si="2254"/>
        <v>46106</v>
      </c>
      <c r="E14356" s="391">
        <f t="shared" si="2255"/>
        <v>46106</v>
      </c>
      <c r="F14356" s="517"/>
      <c r="G14356" s="392" t="s">
        <v>1209</v>
      </c>
      <c r="H14356" s="393"/>
      <c r="I14356" s="393"/>
      <c r="J14356" s="394" t="s">
        <v>1847</v>
      </c>
      <c r="K14356" s="423"/>
      <c r="L14356" s="423">
        <f>K14355</f>
        <v>1595.81736263736</v>
      </c>
    </row>
    <row r="14357" spans="1:13" ht="11.25" customHeight="1" x14ac:dyDescent="0.2">
      <c r="A14357" s="382">
        <v>2026</v>
      </c>
      <c r="B14357" s="382">
        <v>3</v>
      </c>
      <c r="C14357" s="382">
        <v>25</v>
      </c>
      <c r="D14357" s="383">
        <f t="shared" si="2254"/>
        <v>46106</v>
      </c>
      <c r="E14357" s="384">
        <f t="shared" si="2255"/>
        <v>46106</v>
      </c>
      <c r="F14357" s="516" t="s">
        <v>1892</v>
      </c>
      <c r="G14357" s="385" t="s">
        <v>1209</v>
      </c>
      <c r="H14357" s="386"/>
      <c r="I14357" s="386"/>
      <c r="J14357" s="387" t="s">
        <v>173</v>
      </c>
      <c r="K14357" s="388">
        <v>592.732719825</v>
      </c>
      <c r="L14357" s="388"/>
      <c r="M14357" s="455"/>
    </row>
    <row r="14358" spans="1:13" ht="11.25" customHeight="1" x14ac:dyDescent="0.2">
      <c r="A14358" s="389">
        <v>2026</v>
      </c>
      <c r="B14358" s="389">
        <v>3</v>
      </c>
      <c r="C14358" s="389">
        <v>25</v>
      </c>
      <c r="D14358" s="390">
        <f t="shared" si="2254"/>
        <v>46106</v>
      </c>
      <c r="E14358" s="391">
        <f t="shared" si="2255"/>
        <v>46106</v>
      </c>
      <c r="F14358" s="517"/>
      <c r="G14358" s="392" t="s">
        <v>1209</v>
      </c>
      <c r="H14358" s="393"/>
      <c r="I14358" s="393"/>
      <c r="J14358" s="394" t="s">
        <v>43</v>
      </c>
      <c r="K14358" s="388"/>
      <c r="L14358" s="423">
        <f>K14357</f>
        <v>592.732719825</v>
      </c>
    </row>
    <row r="14359" spans="1:13" ht="11.25" customHeight="1" x14ac:dyDescent="0.2">
      <c r="A14359" s="344">
        <v>2026</v>
      </c>
      <c r="B14359" s="344">
        <v>3</v>
      </c>
      <c r="C14359" s="344">
        <v>25</v>
      </c>
      <c r="D14359" s="345">
        <f t="shared" si="2254"/>
        <v>46106</v>
      </c>
      <c r="E14359" s="346">
        <f t="shared" si="2255"/>
        <v>46106</v>
      </c>
      <c r="F14359" s="518" t="s">
        <v>1982</v>
      </c>
      <c r="G14359" s="347" t="s">
        <v>1245</v>
      </c>
      <c r="H14359" s="348"/>
      <c r="I14359" s="348" t="s">
        <v>1253</v>
      </c>
      <c r="J14359" s="344" t="s">
        <v>1978</v>
      </c>
      <c r="K14359" s="349">
        <v>20878.176795580101</v>
      </c>
      <c r="L14359" s="349"/>
      <c r="M14359" s="455"/>
    </row>
    <row r="14360" spans="1:13" ht="11.25" customHeight="1" x14ac:dyDescent="0.2">
      <c r="A14360" s="350">
        <v>2026</v>
      </c>
      <c r="B14360" s="350">
        <v>3</v>
      </c>
      <c r="C14360" s="350">
        <v>25</v>
      </c>
      <c r="D14360" s="351">
        <f t="shared" si="2254"/>
        <v>46106</v>
      </c>
      <c r="E14360" s="352">
        <f t="shared" si="2255"/>
        <v>46106</v>
      </c>
      <c r="F14360" s="519"/>
      <c r="G14360" s="353" t="s">
        <v>1245</v>
      </c>
      <c r="H14360" s="354"/>
      <c r="I14360" s="354" t="s">
        <v>1253</v>
      </c>
      <c r="J14360" s="350" t="s">
        <v>1979</v>
      </c>
      <c r="K14360" s="355"/>
      <c r="L14360" s="355">
        <f>K14359</f>
        <v>20878.176795580101</v>
      </c>
    </row>
    <row r="14361" spans="1:13" ht="11.25" customHeight="1" x14ac:dyDescent="0.2">
      <c r="A14361" s="344">
        <v>2026</v>
      </c>
      <c r="B14361" s="344">
        <v>3</v>
      </c>
      <c r="C14361" s="344">
        <v>25</v>
      </c>
      <c r="D14361" s="345">
        <f t="shared" si="2254"/>
        <v>46106</v>
      </c>
      <c r="E14361" s="346">
        <f t="shared" si="2255"/>
        <v>46106</v>
      </c>
      <c r="F14361" s="518" t="s">
        <v>2009</v>
      </c>
      <c r="G14361" s="347" t="s">
        <v>1245</v>
      </c>
      <c r="H14361" s="348"/>
      <c r="I14361" s="348" t="s">
        <v>1253</v>
      </c>
      <c r="J14361" s="344" t="s">
        <v>2004</v>
      </c>
      <c r="K14361" s="349">
        <v>7098.9014285714302</v>
      </c>
      <c r="L14361" s="349"/>
      <c r="M14361" s="455"/>
    </row>
    <row r="14362" spans="1:13" ht="11.25" customHeight="1" x14ac:dyDescent="0.2">
      <c r="A14362" s="350">
        <v>2026</v>
      </c>
      <c r="B14362" s="350">
        <v>3</v>
      </c>
      <c r="C14362" s="350">
        <v>25</v>
      </c>
      <c r="D14362" s="351">
        <f t="shared" si="2254"/>
        <v>46106</v>
      </c>
      <c r="E14362" s="352">
        <f t="shared" si="2255"/>
        <v>46106</v>
      </c>
      <c r="F14362" s="519"/>
      <c r="G14362" s="353" t="s">
        <v>1245</v>
      </c>
      <c r="H14362" s="354"/>
      <c r="I14362" s="354" t="s">
        <v>1253</v>
      </c>
      <c r="J14362" s="350" t="s">
        <v>2008</v>
      </c>
      <c r="K14362" s="355"/>
      <c r="L14362" s="355">
        <f t="shared" ref="L14362" si="2256">K14361</f>
        <v>7098.9014285714302</v>
      </c>
    </row>
    <row r="14363" spans="1:13" ht="11.25" customHeight="1" x14ac:dyDescent="0.2">
      <c r="A14363" s="344">
        <v>2026</v>
      </c>
      <c r="B14363" s="344">
        <v>3</v>
      </c>
      <c r="C14363" s="344">
        <v>25</v>
      </c>
      <c r="D14363" s="345">
        <f t="shared" si="2254"/>
        <v>46106</v>
      </c>
      <c r="E14363" s="346">
        <f t="shared" si="2255"/>
        <v>46106</v>
      </c>
      <c r="F14363" s="518" t="s">
        <v>2009</v>
      </c>
      <c r="G14363" s="347" t="s">
        <v>1245</v>
      </c>
      <c r="H14363" s="348"/>
      <c r="I14363" s="348" t="s">
        <v>1253</v>
      </c>
      <c r="J14363" s="344" t="s">
        <v>2004</v>
      </c>
      <c r="K14363" s="349">
        <v>7098.9014285714302</v>
      </c>
      <c r="L14363" s="349"/>
      <c r="M14363" s="455"/>
    </row>
    <row r="14364" spans="1:13" ht="11.25" customHeight="1" x14ac:dyDescent="0.2">
      <c r="A14364" s="350">
        <v>2026</v>
      </c>
      <c r="B14364" s="350">
        <v>3</v>
      </c>
      <c r="C14364" s="350">
        <v>25</v>
      </c>
      <c r="D14364" s="351">
        <f t="shared" si="2254"/>
        <v>46106</v>
      </c>
      <c r="E14364" s="352">
        <f t="shared" si="2255"/>
        <v>46106</v>
      </c>
      <c r="F14364" s="519"/>
      <c r="G14364" s="353" t="s">
        <v>1245</v>
      </c>
      <c r="H14364" s="354"/>
      <c r="I14364" s="354" t="s">
        <v>1253</v>
      </c>
      <c r="J14364" s="350" t="s">
        <v>2008</v>
      </c>
      <c r="K14364" s="355"/>
      <c r="L14364" s="355">
        <f t="shared" ref="L14364" si="2257">K14363</f>
        <v>7098.9014285714302</v>
      </c>
    </row>
    <row r="14365" spans="1:13" ht="11.25" customHeight="1" x14ac:dyDescent="0.2">
      <c r="A14365" s="344">
        <v>2026</v>
      </c>
      <c r="B14365" s="344">
        <v>3</v>
      </c>
      <c r="C14365" s="344">
        <v>25</v>
      </c>
      <c r="D14365" s="345">
        <f t="shared" si="2254"/>
        <v>46106</v>
      </c>
      <c r="E14365" s="346">
        <f t="shared" si="2255"/>
        <v>46106</v>
      </c>
      <c r="F14365" s="518" t="s">
        <v>2088</v>
      </c>
      <c r="G14365" s="347" t="s">
        <v>1245</v>
      </c>
      <c r="H14365" s="348"/>
      <c r="I14365" s="348" t="s">
        <v>1253</v>
      </c>
      <c r="J14365" s="344" t="s">
        <v>2086</v>
      </c>
      <c r="K14365" s="349">
        <v>1789.83516483516</v>
      </c>
      <c r="L14365" s="349"/>
      <c r="M14365" s="455"/>
    </row>
    <row r="14366" spans="1:13" ht="11.25" customHeight="1" x14ac:dyDescent="0.2">
      <c r="A14366" s="350">
        <v>2026</v>
      </c>
      <c r="B14366" s="350">
        <v>3</v>
      </c>
      <c r="C14366" s="350">
        <v>25</v>
      </c>
      <c r="D14366" s="351">
        <f t="shared" si="2254"/>
        <v>46106</v>
      </c>
      <c r="E14366" s="352">
        <f t="shared" si="2255"/>
        <v>46106</v>
      </c>
      <c r="F14366" s="519"/>
      <c r="G14366" s="353" t="s">
        <v>1245</v>
      </c>
      <c r="H14366" s="354"/>
      <c r="I14366" s="354" t="s">
        <v>1253</v>
      </c>
      <c r="J14366" s="350" t="s">
        <v>2089</v>
      </c>
      <c r="K14366" s="355"/>
      <c r="L14366" s="355">
        <f>K14365</f>
        <v>1789.83516483516</v>
      </c>
    </row>
    <row r="14367" spans="1:13" ht="11.25" customHeight="1" x14ac:dyDescent="0.2">
      <c r="A14367" s="344">
        <v>2026</v>
      </c>
      <c r="B14367" s="344">
        <v>3</v>
      </c>
      <c r="C14367" s="344">
        <v>25</v>
      </c>
      <c r="D14367" s="345">
        <f t="shared" si="2254"/>
        <v>46106</v>
      </c>
      <c r="E14367" s="346">
        <f t="shared" si="2255"/>
        <v>46106</v>
      </c>
      <c r="F14367" s="518" t="s">
        <v>2143</v>
      </c>
      <c r="G14367" s="347" t="s">
        <v>1245</v>
      </c>
      <c r="H14367" s="348"/>
      <c r="I14367" s="348" t="s">
        <v>1253</v>
      </c>
      <c r="J14367" s="344" t="s">
        <v>2086</v>
      </c>
      <c r="K14367" s="349">
        <v>6898.6301369863022</v>
      </c>
      <c r="L14367" s="349"/>
      <c r="M14367" s="455"/>
    </row>
    <row r="14368" spans="1:13" ht="11.25" customHeight="1" x14ac:dyDescent="0.2">
      <c r="A14368" s="350">
        <v>2026</v>
      </c>
      <c r="B14368" s="350">
        <v>3</v>
      </c>
      <c r="C14368" s="350">
        <v>25</v>
      </c>
      <c r="D14368" s="351">
        <f t="shared" si="2254"/>
        <v>46106</v>
      </c>
      <c r="E14368" s="352">
        <f t="shared" si="2255"/>
        <v>46106</v>
      </c>
      <c r="F14368" s="519"/>
      <c r="G14368" s="353" t="s">
        <v>1245</v>
      </c>
      <c r="H14368" s="354"/>
      <c r="I14368" s="354" t="s">
        <v>1253</v>
      </c>
      <c r="J14368" s="350" t="s">
        <v>2089</v>
      </c>
      <c r="K14368" s="355"/>
      <c r="L14368" s="355">
        <f>K14367</f>
        <v>6898.6301369863022</v>
      </c>
    </row>
    <row r="14369" spans="1:16" ht="11.25" customHeight="1" x14ac:dyDescent="0.2">
      <c r="A14369" s="344">
        <v>2026</v>
      </c>
      <c r="B14369" s="344">
        <v>3</v>
      </c>
      <c r="C14369" s="344">
        <v>25</v>
      </c>
      <c r="D14369" s="345">
        <f t="shared" si="2254"/>
        <v>46106</v>
      </c>
      <c r="E14369" s="346">
        <f>DATE(A14369,B14369,C14369)</f>
        <v>46106</v>
      </c>
      <c r="F14369" s="518" t="s">
        <v>1988</v>
      </c>
      <c r="G14369" s="347" t="s">
        <v>1245</v>
      </c>
      <c r="H14369" s="348"/>
      <c r="I14369" s="348" t="s">
        <v>1253</v>
      </c>
      <c r="J14369" s="344" t="s">
        <v>113</v>
      </c>
      <c r="K14369" s="349">
        <v>4692.3071428571402</v>
      </c>
      <c r="L14369" s="349"/>
      <c r="M14369" s="455"/>
    </row>
    <row r="14370" spans="1:16" ht="11.25" customHeight="1" x14ac:dyDescent="0.2">
      <c r="A14370" s="350">
        <v>2026</v>
      </c>
      <c r="B14370" s="350">
        <v>3</v>
      </c>
      <c r="C14370" s="350">
        <v>25</v>
      </c>
      <c r="D14370" s="351">
        <f t="shared" si="2254"/>
        <v>46106</v>
      </c>
      <c r="E14370" s="352">
        <f>DATE(A14370,B14370,C14370)</f>
        <v>46106</v>
      </c>
      <c r="F14370" s="519"/>
      <c r="G14370" s="353" t="s">
        <v>1245</v>
      </c>
      <c r="H14370" s="354"/>
      <c r="I14370" s="354" t="s">
        <v>1253</v>
      </c>
      <c r="J14370" s="350" t="s">
        <v>153</v>
      </c>
      <c r="K14370" s="355"/>
      <c r="L14370" s="355">
        <f t="shared" ref="L14370" si="2258">K14369</f>
        <v>4692.3071428571402</v>
      </c>
    </row>
    <row r="14371" spans="1:16" ht="11.25" customHeight="1" x14ac:dyDescent="0.2">
      <c r="A14371" s="344">
        <v>2026</v>
      </c>
      <c r="B14371" s="344">
        <v>3</v>
      </c>
      <c r="C14371" s="344">
        <v>25</v>
      </c>
      <c r="D14371" s="345">
        <f t="shared" si="2254"/>
        <v>46106</v>
      </c>
      <c r="E14371" s="346">
        <f t="shared" ref="E14371:E14377" si="2259">DATE(A14371,B14371,C14371)</f>
        <v>46106</v>
      </c>
      <c r="F14371" s="518" t="s">
        <v>1989</v>
      </c>
      <c r="G14371" s="347" t="s">
        <v>1245</v>
      </c>
      <c r="H14371" s="348"/>
      <c r="I14371" s="348" t="s">
        <v>1253</v>
      </c>
      <c r="J14371" s="344" t="s">
        <v>113</v>
      </c>
      <c r="K14371" s="349">
        <v>3351.6483516483499</v>
      </c>
      <c r="L14371" s="349"/>
      <c r="M14371" s="455"/>
    </row>
    <row r="14372" spans="1:16" ht="11.25" customHeight="1" x14ac:dyDescent="0.2">
      <c r="A14372" s="350">
        <v>2026</v>
      </c>
      <c r="B14372" s="350">
        <v>3</v>
      </c>
      <c r="C14372" s="350">
        <v>25</v>
      </c>
      <c r="D14372" s="351">
        <f t="shared" si="2254"/>
        <v>46106</v>
      </c>
      <c r="E14372" s="352">
        <f t="shared" si="2259"/>
        <v>46106</v>
      </c>
      <c r="F14372" s="519"/>
      <c r="G14372" s="353" t="s">
        <v>1245</v>
      </c>
      <c r="H14372" s="354"/>
      <c r="I14372" s="354" t="s">
        <v>1253</v>
      </c>
      <c r="J14372" s="350" t="s">
        <v>153</v>
      </c>
      <c r="K14372" s="355"/>
      <c r="L14372" s="355">
        <f t="shared" ref="L14372" si="2260">K14371</f>
        <v>3351.6483516483499</v>
      </c>
    </row>
    <row r="14373" spans="1:16" ht="11.25" customHeight="1" x14ac:dyDescent="0.2">
      <c r="A14373" s="344">
        <v>2026</v>
      </c>
      <c r="B14373" s="344">
        <v>3</v>
      </c>
      <c r="C14373" s="344">
        <v>25</v>
      </c>
      <c r="D14373" s="345">
        <f t="shared" si="2254"/>
        <v>46106</v>
      </c>
      <c r="E14373" s="346">
        <f t="shared" si="2259"/>
        <v>46106</v>
      </c>
      <c r="F14373" s="518" t="s">
        <v>1990</v>
      </c>
      <c r="G14373" s="347" t="s">
        <v>1245</v>
      </c>
      <c r="H14373" s="348"/>
      <c r="I14373" s="348" t="s">
        <v>1253</v>
      </c>
      <c r="J14373" s="344" t="s">
        <v>113</v>
      </c>
      <c r="K14373" s="349">
        <v>10054.945714285701</v>
      </c>
      <c r="L14373" s="349"/>
      <c r="M14373" s="455"/>
      <c r="N14373" s="251"/>
      <c r="O14373" s="251"/>
      <c r="P14373" s="251"/>
    </row>
    <row r="14374" spans="1:16" ht="11.25" customHeight="1" x14ac:dyDescent="0.2">
      <c r="A14374" s="350">
        <v>2026</v>
      </c>
      <c r="B14374" s="350">
        <v>3</v>
      </c>
      <c r="C14374" s="350">
        <v>25</v>
      </c>
      <c r="D14374" s="351">
        <f t="shared" si="2254"/>
        <v>46106</v>
      </c>
      <c r="E14374" s="352">
        <f t="shared" si="2259"/>
        <v>46106</v>
      </c>
      <c r="F14374" s="519"/>
      <c r="G14374" s="353" t="s">
        <v>1245</v>
      </c>
      <c r="H14374" s="354"/>
      <c r="I14374" s="354" t="s">
        <v>1253</v>
      </c>
      <c r="J14374" s="350" t="s">
        <v>153</v>
      </c>
      <c r="K14374" s="355"/>
      <c r="L14374" s="355">
        <f t="shared" ref="L14374" si="2261">K14373</f>
        <v>10054.945714285701</v>
      </c>
      <c r="M14374" s="455"/>
    </row>
    <row r="14375" spans="1:16" ht="11.25" customHeight="1" x14ac:dyDescent="0.2">
      <c r="A14375" s="344">
        <v>2026</v>
      </c>
      <c r="B14375" s="344">
        <v>3</v>
      </c>
      <c r="C14375" s="344">
        <v>25</v>
      </c>
      <c r="D14375" s="345">
        <f t="shared" si="2254"/>
        <v>46106</v>
      </c>
      <c r="E14375" s="346">
        <f t="shared" si="2259"/>
        <v>46106</v>
      </c>
      <c r="F14375" s="518" t="s">
        <v>2107</v>
      </c>
      <c r="G14375" s="347" t="s">
        <v>1245</v>
      </c>
      <c r="H14375" s="348"/>
      <c r="I14375" s="348" t="s">
        <v>1253</v>
      </c>
      <c r="J14375" s="344" t="s">
        <v>113</v>
      </c>
      <c r="K14375" s="349">
        <v>12370.879120879101</v>
      </c>
      <c r="L14375" s="349"/>
      <c r="M14375" s="455"/>
      <c r="N14375" s="251"/>
      <c r="O14375" s="251"/>
      <c r="P14375" s="251"/>
    </row>
    <row r="14376" spans="1:16" ht="11.25" customHeight="1" x14ac:dyDescent="0.2">
      <c r="A14376" s="350">
        <v>2026</v>
      </c>
      <c r="B14376" s="350">
        <v>3</v>
      </c>
      <c r="C14376" s="350">
        <v>25</v>
      </c>
      <c r="D14376" s="351">
        <f t="shared" si="2254"/>
        <v>46106</v>
      </c>
      <c r="E14376" s="352">
        <f t="shared" si="2259"/>
        <v>46106</v>
      </c>
      <c r="F14376" s="519"/>
      <c r="G14376" s="353" t="s">
        <v>1245</v>
      </c>
      <c r="H14376" s="354"/>
      <c r="I14376" s="354" t="s">
        <v>1253</v>
      </c>
      <c r="J14376" s="350" t="s">
        <v>153</v>
      </c>
      <c r="K14376" s="355"/>
      <c r="L14376" s="355">
        <f t="shared" ref="L14376" si="2262">K14375</f>
        <v>12370.879120879101</v>
      </c>
    </row>
    <row r="14377" spans="1:16" ht="11.25" customHeight="1" x14ac:dyDescent="0.2">
      <c r="A14377" s="210">
        <v>2026</v>
      </c>
      <c r="B14377" s="210">
        <v>3</v>
      </c>
      <c r="C14377" s="210">
        <v>25</v>
      </c>
      <c r="D14377" s="211">
        <f t="shared" si="2254"/>
        <v>46106</v>
      </c>
      <c r="E14377" s="238">
        <f t="shared" si="2259"/>
        <v>46106</v>
      </c>
      <c r="F14377" s="520" t="s">
        <v>1857</v>
      </c>
      <c r="G14377" s="213" t="s">
        <v>1245</v>
      </c>
      <c r="H14377" s="214"/>
      <c r="I14377" s="214" t="s">
        <v>1253</v>
      </c>
      <c r="J14377" s="210" t="s">
        <v>1284</v>
      </c>
      <c r="K14377" s="215">
        <v>334.54448777029398</v>
      </c>
      <c r="L14377" s="215"/>
      <c r="M14377" s="455"/>
    </row>
    <row r="14378" spans="1:16" ht="11.25" customHeight="1" x14ac:dyDescent="0.2">
      <c r="A14378" s="242">
        <v>2026</v>
      </c>
      <c r="B14378" s="242">
        <v>3</v>
      </c>
      <c r="C14378" s="242">
        <v>25</v>
      </c>
      <c r="D14378" s="243">
        <f t="shared" si="2254"/>
        <v>46106</v>
      </c>
      <c r="E14378" s="244">
        <f>DATE(A14378,B14378,C14378)</f>
        <v>46106</v>
      </c>
      <c r="F14378" s="521"/>
      <c r="G14378" s="245" t="s">
        <v>1245</v>
      </c>
      <c r="H14378" s="246"/>
      <c r="I14378" s="246"/>
      <c r="J14378" s="242" t="s">
        <v>1582</v>
      </c>
      <c r="K14378" s="247"/>
      <c r="L14378" s="247">
        <f>K14377</f>
        <v>334.54448777029398</v>
      </c>
    </row>
    <row r="14379" spans="1:16" ht="11.25" customHeight="1" x14ac:dyDescent="0.2">
      <c r="A14379" s="210">
        <v>2026</v>
      </c>
      <c r="B14379" s="210">
        <v>3</v>
      </c>
      <c r="C14379" s="210">
        <v>25</v>
      </c>
      <c r="D14379" s="211">
        <f t="shared" ref="D14379:D14390" si="2263">DATE(A14379,B14379,C14379)</f>
        <v>46106</v>
      </c>
      <c r="E14379" s="238">
        <f t="shared" ref="E14379:E14390" si="2264">DATE(A14379,B14379,C14379)</f>
        <v>46106</v>
      </c>
      <c r="F14379" s="520" t="s">
        <v>2055</v>
      </c>
      <c r="G14379" s="213" t="s">
        <v>1245</v>
      </c>
      <c r="H14379" s="214"/>
      <c r="I14379" s="214" t="s">
        <v>1253</v>
      </c>
      <c r="J14379" s="210" t="s">
        <v>58</v>
      </c>
      <c r="K14379" s="215">
        <v>1870.6657070833332</v>
      </c>
      <c r="L14379" s="215"/>
      <c r="M14379" s="455">
        <f>K14379*8</f>
        <v>14965.325656666666</v>
      </c>
    </row>
    <row r="14380" spans="1:16" ht="11.25" customHeight="1" x14ac:dyDescent="0.2">
      <c r="A14380" s="216">
        <v>2026</v>
      </c>
      <c r="B14380" s="216">
        <v>3</v>
      </c>
      <c r="C14380" s="216">
        <v>25</v>
      </c>
      <c r="D14380" s="217">
        <f t="shared" si="2263"/>
        <v>46106</v>
      </c>
      <c r="E14380" s="239">
        <f t="shared" si="2264"/>
        <v>46106</v>
      </c>
      <c r="F14380" s="521"/>
      <c r="G14380" s="219" t="s">
        <v>1245</v>
      </c>
      <c r="H14380" s="220"/>
      <c r="I14380" s="220" t="s">
        <v>1253</v>
      </c>
      <c r="J14380" s="216" t="s">
        <v>153</v>
      </c>
      <c r="K14380" s="221"/>
      <c r="L14380" s="221">
        <f>K14379</f>
        <v>1870.6657070833332</v>
      </c>
    </row>
    <row r="14381" spans="1:16" ht="11.25" customHeight="1" x14ac:dyDescent="0.2">
      <c r="A14381" s="312">
        <v>2026</v>
      </c>
      <c r="B14381" s="312">
        <v>3</v>
      </c>
      <c r="C14381" s="312">
        <v>25</v>
      </c>
      <c r="D14381" s="313">
        <f t="shared" si="2263"/>
        <v>46106</v>
      </c>
      <c r="E14381" s="314">
        <f t="shared" si="2264"/>
        <v>46106</v>
      </c>
      <c r="F14381" s="522" t="s">
        <v>1595</v>
      </c>
      <c r="G14381" s="315" t="s">
        <v>1245</v>
      </c>
      <c r="H14381" s="316"/>
      <c r="I14381" s="316" t="s">
        <v>1253</v>
      </c>
      <c r="J14381" s="312" t="s">
        <v>1461</v>
      </c>
      <c r="K14381" s="317">
        <v>97461.815999984741</v>
      </c>
      <c r="L14381" s="317"/>
      <c r="M14381" s="328"/>
    </row>
    <row r="14382" spans="1:16" ht="11.25" customHeight="1" x14ac:dyDescent="0.2">
      <c r="A14382" s="486">
        <v>2026</v>
      </c>
      <c r="B14382" s="486">
        <v>3</v>
      </c>
      <c r="C14382" s="486">
        <v>25</v>
      </c>
      <c r="D14382" s="487">
        <f t="shared" si="2263"/>
        <v>46106</v>
      </c>
      <c r="E14382" s="488">
        <f t="shared" si="2264"/>
        <v>46106</v>
      </c>
      <c r="F14382" s="523"/>
      <c r="G14382" s="489" t="s">
        <v>1245</v>
      </c>
      <c r="H14382" s="490"/>
      <c r="I14382" s="490" t="s">
        <v>1253</v>
      </c>
      <c r="J14382" s="486" t="s">
        <v>1459</v>
      </c>
      <c r="K14382" s="491"/>
      <c r="L14382" s="491">
        <f>K14381</f>
        <v>97461.815999984741</v>
      </c>
      <c r="M14382" s="328"/>
    </row>
    <row r="14383" spans="1:16" ht="11.25" customHeight="1" x14ac:dyDescent="0.2">
      <c r="A14383" s="222">
        <v>2026</v>
      </c>
      <c r="B14383" s="222">
        <v>3</v>
      </c>
      <c r="C14383" s="222">
        <v>25</v>
      </c>
      <c r="D14383" s="223">
        <f t="shared" si="2263"/>
        <v>46106</v>
      </c>
      <c r="E14383" s="240">
        <f t="shared" si="2264"/>
        <v>46106</v>
      </c>
      <c r="F14383" s="511" t="s">
        <v>1244</v>
      </c>
      <c r="G14383" s="225" t="s">
        <v>1245</v>
      </c>
      <c r="H14383" s="226"/>
      <c r="I14383" s="226" t="s">
        <v>1253</v>
      </c>
      <c r="J14383" s="222" t="s">
        <v>87</v>
      </c>
      <c r="K14383" s="227">
        <v>9592.5</v>
      </c>
      <c r="L14383" s="227"/>
      <c r="M14383" s="328"/>
    </row>
    <row r="14384" spans="1:16" ht="11.25" customHeight="1" x14ac:dyDescent="0.2">
      <c r="A14384" s="228">
        <v>2026</v>
      </c>
      <c r="B14384" s="228">
        <v>3</v>
      </c>
      <c r="C14384" s="228">
        <v>25</v>
      </c>
      <c r="D14384" s="229">
        <f t="shared" si="2263"/>
        <v>46106</v>
      </c>
      <c r="E14384" s="241">
        <f t="shared" si="2264"/>
        <v>46106</v>
      </c>
      <c r="F14384" s="512"/>
      <c r="G14384" s="231" t="s">
        <v>1245</v>
      </c>
      <c r="H14384" s="232"/>
      <c r="I14384" s="232" t="s">
        <v>1253</v>
      </c>
      <c r="J14384" s="228" t="s">
        <v>72</v>
      </c>
      <c r="K14384" s="233"/>
      <c r="L14384" s="233">
        <f>K14383</f>
        <v>9592.5</v>
      </c>
    </row>
    <row r="14385" spans="1:15" ht="11.25" customHeight="1" x14ac:dyDescent="0.2">
      <c r="A14385" s="492">
        <v>2026</v>
      </c>
      <c r="B14385" s="492">
        <v>3</v>
      </c>
      <c r="C14385" s="492">
        <v>25</v>
      </c>
      <c r="D14385" s="493">
        <f t="shared" si="2263"/>
        <v>46106</v>
      </c>
      <c r="E14385" s="494">
        <f t="shared" si="2264"/>
        <v>46106</v>
      </c>
      <c r="F14385" s="511" t="s">
        <v>2138</v>
      </c>
      <c r="G14385" s="495" t="s">
        <v>1245</v>
      </c>
      <c r="H14385" s="496"/>
      <c r="I14385" s="496" t="s">
        <v>1253</v>
      </c>
      <c r="J14385" s="492" t="s">
        <v>75</v>
      </c>
      <c r="K14385" s="497">
        <v>517.58912087912097</v>
      </c>
      <c r="L14385" s="497"/>
      <c r="M14385" s="455">
        <f>K14385*8</f>
        <v>4140.7129670329678</v>
      </c>
    </row>
    <row r="14386" spans="1:15" ht="11.25" customHeight="1" x14ac:dyDescent="0.2">
      <c r="A14386" s="228">
        <v>2026</v>
      </c>
      <c r="B14386" s="228">
        <v>3</v>
      </c>
      <c r="C14386" s="228">
        <v>25</v>
      </c>
      <c r="D14386" s="229">
        <f t="shared" si="2263"/>
        <v>46106</v>
      </c>
      <c r="E14386" s="241">
        <f t="shared" si="2264"/>
        <v>46106</v>
      </c>
      <c r="F14386" s="512"/>
      <c r="G14386" s="231" t="s">
        <v>1245</v>
      </c>
      <c r="H14386" s="232"/>
      <c r="I14386" s="232" t="s">
        <v>1253</v>
      </c>
      <c r="J14386" s="228" t="s">
        <v>55</v>
      </c>
      <c r="K14386" s="233"/>
      <c r="L14386" s="233">
        <f>K14385</f>
        <v>517.58912087912097</v>
      </c>
    </row>
    <row r="14387" spans="1:15" ht="11.25" customHeight="1" x14ac:dyDescent="0.2">
      <c r="A14387" s="222">
        <v>2026</v>
      </c>
      <c r="B14387" s="222">
        <v>3</v>
      </c>
      <c r="C14387" s="222">
        <v>25</v>
      </c>
      <c r="D14387" s="223">
        <f t="shared" si="2263"/>
        <v>46106</v>
      </c>
      <c r="E14387" s="240">
        <f t="shared" si="2264"/>
        <v>46106</v>
      </c>
      <c r="F14387" s="511" t="s">
        <v>2137</v>
      </c>
      <c r="G14387" s="225" t="s">
        <v>1245</v>
      </c>
      <c r="H14387" s="226"/>
      <c r="I14387" s="226" t="s">
        <v>1253</v>
      </c>
      <c r="J14387" s="222" t="s">
        <v>77</v>
      </c>
      <c r="K14387" s="227">
        <v>8072.9307789245959</v>
      </c>
      <c r="L14387" s="227"/>
      <c r="M14387" s="455">
        <v>8072.9307789245959</v>
      </c>
    </row>
    <row r="14388" spans="1:15" ht="11.25" customHeight="1" x14ac:dyDescent="0.2">
      <c r="A14388" s="228">
        <v>2026</v>
      </c>
      <c r="B14388" s="228">
        <v>3</v>
      </c>
      <c r="C14388" s="228">
        <v>25</v>
      </c>
      <c r="D14388" s="229">
        <f t="shared" si="2263"/>
        <v>46106</v>
      </c>
      <c r="E14388" s="241">
        <f t="shared" si="2264"/>
        <v>46106</v>
      </c>
      <c r="F14388" s="512"/>
      <c r="G14388" s="231" t="s">
        <v>1245</v>
      </c>
      <c r="H14388" s="232"/>
      <c r="I14388" s="232" t="s">
        <v>1253</v>
      </c>
      <c r="J14388" s="228" t="s">
        <v>41</v>
      </c>
      <c r="K14388" s="233"/>
      <c r="L14388" s="233">
        <f>K14387</f>
        <v>8072.9307789245959</v>
      </c>
      <c r="M14388" s="328">
        <v>807.29307789245956</v>
      </c>
      <c r="N14388" s="251"/>
    </row>
    <row r="14389" spans="1:15" ht="11.25" customHeight="1" x14ac:dyDescent="0.2">
      <c r="A14389" s="222">
        <v>2026</v>
      </c>
      <c r="B14389" s="222">
        <v>3</v>
      </c>
      <c r="C14389" s="222">
        <v>25</v>
      </c>
      <c r="D14389" s="223">
        <f t="shared" si="2263"/>
        <v>46106</v>
      </c>
      <c r="E14389" s="240">
        <f t="shared" si="2264"/>
        <v>46106</v>
      </c>
      <c r="F14389" s="511" t="s">
        <v>2136</v>
      </c>
      <c r="G14389" s="225" t="s">
        <v>1245</v>
      </c>
      <c r="H14389" s="226"/>
      <c r="I14389" s="226" t="s">
        <v>1253</v>
      </c>
      <c r="J14389" s="222" t="s">
        <v>80</v>
      </c>
      <c r="K14389" s="227">
        <v>807.29307789245956</v>
      </c>
      <c r="L14389" s="227"/>
      <c r="M14389" s="455">
        <f>K14389*8</f>
        <v>6458.3446231396765</v>
      </c>
      <c r="N14389" s="251"/>
      <c r="O14389" s="251"/>
    </row>
    <row r="14390" spans="1:15" ht="11.25" customHeight="1" x14ac:dyDescent="0.2">
      <c r="A14390" s="228">
        <v>2026</v>
      </c>
      <c r="B14390" s="228">
        <v>3</v>
      </c>
      <c r="C14390" s="228">
        <v>25</v>
      </c>
      <c r="D14390" s="229">
        <f t="shared" si="2263"/>
        <v>46106</v>
      </c>
      <c r="E14390" s="241">
        <f t="shared" si="2264"/>
        <v>46106</v>
      </c>
      <c r="F14390" s="512"/>
      <c r="G14390" s="231" t="s">
        <v>1245</v>
      </c>
      <c r="H14390" s="232"/>
      <c r="I14390" s="232" t="s">
        <v>1253</v>
      </c>
      <c r="J14390" s="228" t="s">
        <v>42</v>
      </c>
      <c r="K14390" s="233"/>
      <c r="L14390" s="233">
        <f>K14389</f>
        <v>807.29307789245956</v>
      </c>
      <c r="N14390" s="251"/>
    </row>
    <row r="14391" spans="1:15" ht="11.25" customHeight="1" x14ac:dyDescent="0.2">
      <c r="G14391" s="120"/>
      <c r="I14391" s="120"/>
      <c r="J14391" s="120"/>
      <c r="K14391" s="120"/>
      <c r="L14391" s="120"/>
    </row>
    <row r="14392" spans="1:15" ht="11.25" customHeight="1" x14ac:dyDescent="0.2">
      <c r="G14392" s="120"/>
      <c r="I14392" s="120"/>
      <c r="J14392" s="120"/>
      <c r="K14392" s="120"/>
      <c r="L14392" s="120"/>
    </row>
    <row r="14393" spans="1:15" ht="11.25" customHeight="1" x14ac:dyDescent="0.2">
      <c r="G14393" s="120"/>
      <c r="I14393" s="120"/>
      <c r="J14393" s="120"/>
      <c r="K14393" s="120"/>
      <c r="L14393" s="120"/>
    </row>
    <row r="14394" spans="1:15" ht="11.25" customHeight="1" x14ac:dyDescent="0.2">
      <c r="G14394" s="120"/>
      <c r="I14394" s="120"/>
      <c r="J14394" s="120"/>
      <c r="K14394" s="120"/>
      <c r="L14394" s="120"/>
    </row>
    <row r="14395" spans="1:15" ht="11.25" customHeight="1" x14ac:dyDescent="0.2">
      <c r="G14395" s="120"/>
      <c r="I14395" s="120"/>
      <c r="J14395" s="120"/>
      <c r="K14395" s="120"/>
      <c r="L14395" s="120"/>
    </row>
    <row r="14396" spans="1:15" ht="11.25" customHeight="1" x14ac:dyDescent="0.2">
      <c r="G14396" s="120"/>
      <c r="I14396" s="120"/>
      <c r="J14396" s="120"/>
      <c r="K14396" s="120"/>
      <c r="L14396" s="120"/>
    </row>
    <row r="14397" spans="1:15" ht="11.25" customHeight="1" x14ac:dyDescent="0.2">
      <c r="G14397" s="120"/>
      <c r="I14397" s="120"/>
      <c r="J14397" s="120"/>
      <c r="K14397" s="120"/>
      <c r="L14397" s="120"/>
    </row>
    <row r="14398" spans="1:15" ht="11.25" customHeight="1" x14ac:dyDescent="0.2">
      <c r="G14398" s="120"/>
      <c r="I14398" s="120"/>
      <c r="J14398" s="120"/>
      <c r="K14398" s="120"/>
      <c r="L14398" s="120"/>
    </row>
    <row r="14399" spans="1:15" ht="11.25" customHeight="1" x14ac:dyDescent="0.2">
      <c r="G14399" s="120"/>
      <c r="I14399" s="120"/>
      <c r="J14399" s="120"/>
      <c r="K14399" s="120"/>
      <c r="L14399" s="120"/>
    </row>
    <row r="14400" spans="1:15" ht="11.25" customHeight="1" x14ac:dyDescent="0.2">
      <c r="G14400" s="120"/>
      <c r="I14400" s="120"/>
      <c r="J14400" s="120"/>
      <c r="K14400" s="120"/>
      <c r="L14400" s="120"/>
    </row>
    <row r="14401" spans="8:8" s="120" customFormat="1" ht="11.25" customHeight="1" x14ac:dyDescent="0.2">
      <c r="H14401" s="128"/>
    </row>
    <row r="14402" spans="8:8" s="120" customFormat="1" ht="11.25" customHeight="1" x14ac:dyDescent="0.2">
      <c r="H14402" s="128"/>
    </row>
    <row r="14403" spans="8:8" s="120" customFormat="1" ht="11.25" customHeight="1" x14ac:dyDescent="0.2">
      <c r="H14403" s="128"/>
    </row>
    <row r="14404" spans="8:8" s="120" customFormat="1" ht="11.25" customHeight="1" x14ac:dyDescent="0.2">
      <c r="H14404" s="128"/>
    </row>
    <row r="14405" spans="8:8" s="120" customFormat="1" ht="11.25" customHeight="1" x14ac:dyDescent="0.2">
      <c r="H14405" s="128"/>
    </row>
    <row r="14406" spans="8:8" s="120" customFormat="1" ht="11.25" customHeight="1" x14ac:dyDescent="0.2">
      <c r="H14406" s="128"/>
    </row>
    <row r="14407" spans="8:8" s="120" customFormat="1" ht="11.25" customHeight="1" x14ac:dyDescent="0.2">
      <c r="H14407" s="128"/>
    </row>
    <row r="14408" spans="8:8" s="120" customFormat="1" ht="11.25" customHeight="1" x14ac:dyDescent="0.2">
      <c r="H14408" s="128"/>
    </row>
    <row r="14409" spans="8:8" s="120" customFormat="1" ht="11.25" customHeight="1" x14ac:dyDescent="0.2">
      <c r="H14409" s="128"/>
    </row>
    <row r="14410" spans="8:8" s="120" customFormat="1" ht="11.25" customHeight="1" x14ac:dyDescent="0.2">
      <c r="H14410" s="128"/>
    </row>
    <row r="14411" spans="8:8" s="120" customFormat="1" ht="11.25" customHeight="1" x14ac:dyDescent="0.2">
      <c r="H14411" s="128"/>
    </row>
    <row r="14412" spans="8:8" s="120" customFormat="1" ht="11.25" customHeight="1" x14ac:dyDescent="0.2">
      <c r="H14412" s="128"/>
    </row>
    <row r="14413" spans="8:8" s="120" customFormat="1" ht="11.25" customHeight="1" x14ac:dyDescent="0.2">
      <c r="H14413" s="128"/>
    </row>
    <row r="14414" spans="8:8" s="120" customFormat="1" ht="11.25" customHeight="1" x14ac:dyDescent="0.2">
      <c r="H14414" s="128"/>
    </row>
    <row r="14415" spans="8:8" s="120" customFormat="1" ht="11.25" customHeight="1" x14ac:dyDescent="0.2">
      <c r="H14415" s="128"/>
    </row>
    <row r="14416" spans="8:8" s="120" customFormat="1" ht="11.25" customHeight="1" x14ac:dyDescent="0.2">
      <c r="H14416" s="128"/>
    </row>
    <row r="14417" spans="8:8" s="120" customFormat="1" ht="11.25" customHeight="1" x14ac:dyDescent="0.2">
      <c r="H14417" s="128"/>
    </row>
    <row r="14418" spans="8:8" s="120" customFormat="1" ht="11.25" customHeight="1" x14ac:dyDescent="0.2">
      <c r="H14418" s="128"/>
    </row>
    <row r="14419" spans="8:8" s="120" customFormat="1" ht="11.25" customHeight="1" x14ac:dyDescent="0.2">
      <c r="H14419" s="128"/>
    </row>
    <row r="14420" spans="8:8" s="120" customFormat="1" ht="11.25" customHeight="1" x14ac:dyDescent="0.2">
      <c r="H14420" s="128"/>
    </row>
    <row r="14421" spans="8:8" s="120" customFormat="1" ht="11.25" customHeight="1" x14ac:dyDescent="0.2">
      <c r="H14421" s="128"/>
    </row>
    <row r="14422" spans="8:8" s="120" customFormat="1" ht="11.25" customHeight="1" x14ac:dyDescent="0.2">
      <c r="H14422" s="128"/>
    </row>
    <row r="14423" spans="8:8" s="120" customFormat="1" ht="11.25" customHeight="1" x14ac:dyDescent="0.2">
      <c r="H14423" s="128"/>
    </row>
    <row r="14424" spans="8:8" s="120" customFormat="1" ht="11.25" customHeight="1" x14ac:dyDescent="0.2">
      <c r="H14424" s="128"/>
    </row>
    <row r="14425" spans="8:8" s="120" customFormat="1" ht="11.25" customHeight="1" x14ac:dyDescent="0.2">
      <c r="H14425" s="128"/>
    </row>
    <row r="14426" spans="8:8" s="120" customFormat="1" ht="11.25" customHeight="1" x14ac:dyDescent="0.2">
      <c r="H14426" s="128"/>
    </row>
    <row r="14427" spans="8:8" s="120" customFormat="1" ht="11.25" customHeight="1" x14ac:dyDescent="0.2">
      <c r="H14427" s="128"/>
    </row>
    <row r="14428" spans="8:8" s="120" customFormat="1" ht="11.25" customHeight="1" x14ac:dyDescent="0.2">
      <c r="H14428" s="128"/>
    </row>
    <row r="14429" spans="8:8" s="120" customFormat="1" ht="11.25" customHeight="1" x14ac:dyDescent="0.2">
      <c r="H14429" s="128"/>
    </row>
    <row r="14430" spans="8:8" s="120" customFormat="1" ht="11.25" customHeight="1" x14ac:dyDescent="0.2">
      <c r="H14430" s="128"/>
    </row>
    <row r="14431" spans="8:8" s="120" customFormat="1" ht="11.25" customHeight="1" x14ac:dyDescent="0.2">
      <c r="H14431" s="128"/>
    </row>
    <row r="14432" spans="8:8" s="120" customFormat="1" ht="11.25" customHeight="1" x14ac:dyDescent="0.2">
      <c r="H14432" s="128"/>
    </row>
    <row r="14433" spans="8:8" s="120" customFormat="1" ht="11.25" customHeight="1" x14ac:dyDescent="0.2">
      <c r="H14433" s="128"/>
    </row>
    <row r="14434" spans="8:8" s="120" customFormat="1" ht="11.25" customHeight="1" x14ac:dyDescent="0.2">
      <c r="H14434" s="128"/>
    </row>
    <row r="14435" spans="8:8" s="120" customFormat="1" ht="11.25" customHeight="1" x14ac:dyDescent="0.2">
      <c r="H14435" s="128"/>
    </row>
    <row r="14436" spans="8:8" s="120" customFormat="1" ht="11.25" customHeight="1" x14ac:dyDescent="0.2">
      <c r="H14436" s="128"/>
    </row>
    <row r="14437" spans="8:8" s="120" customFormat="1" ht="11.25" customHeight="1" x14ac:dyDescent="0.2">
      <c r="H14437" s="128"/>
    </row>
    <row r="14438" spans="8:8" s="120" customFormat="1" ht="11.25" customHeight="1" x14ac:dyDescent="0.2">
      <c r="H14438" s="128"/>
    </row>
    <row r="14439" spans="8:8" s="120" customFormat="1" ht="11.25" customHeight="1" x14ac:dyDescent="0.2">
      <c r="H14439" s="128"/>
    </row>
    <row r="14440" spans="8:8" s="120" customFormat="1" ht="11.25" customHeight="1" x14ac:dyDescent="0.2">
      <c r="H14440" s="128"/>
    </row>
    <row r="14441" spans="8:8" s="120" customFormat="1" ht="11.25" customHeight="1" x14ac:dyDescent="0.2">
      <c r="H14441" s="128"/>
    </row>
    <row r="14442" spans="8:8" s="120" customFormat="1" ht="11.25" customHeight="1" x14ac:dyDescent="0.2">
      <c r="H14442" s="128"/>
    </row>
    <row r="14443" spans="8:8" s="120" customFormat="1" ht="11.25" customHeight="1" x14ac:dyDescent="0.2">
      <c r="H14443" s="128"/>
    </row>
    <row r="14444" spans="8:8" s="120" customFormat="1" ht="11.25" customHeight="1" x14ac:dyDescent="0.2">
      <c r="H14444" s="128"/>
    </row>
    <row r="14445" spans="8:8" s="120" customFormat="1" ht="11.25" customHeight="1" x14ac:dyDescent="0.2">
      <c r="H14445" s="128"/>
    </row>
    <row r="14446" spans="8:8" s="120" customFormat="1" ht="11.25" customHeight="1" x14ac:dyDescent="0.2">
      <c r="H14446" s="128"/>
    </row>
    <row r="14447" spans="8:8" s="120" customFormat="1" ht="11.25" customHeight="1" x14ac:dyDescent="0.2">
      <c r="H14447" s="128"/>
    </row>
    <row r="14448" spans="8:8" s="120" customFormat="1" ht="11.25" customHeight="1" x14ac:dyDescent="0.2">
      <c r="H14448" s="128"/>
    </row>
    <row r="14449" spans="8:8" s="120" customFormat="1" ht="11.25" customHeight="1" x14ac:dyDescent="0.2">
      <c r="H14449" s="128"/>
    </row>
    <row r="14450" spans="8:8" s="120" customFormat="1" ht="11.25" customHeight="1" x14ac:dyDescent="0.2">
      <c r="H14450" s="128"/>
    </row>
    <row r="14451" spans="8:8" s="120" customFormat="1" ht="11.25" customHeight="1" x14ac:dyDescent="0.2">
      <c r="H14451" s="128"/>
    </row>
    <row r="14452" spans="8:8" s="120" customFormat="1" ht="11.25" customHeight="1" x14ac:dyDescent="0.2">
      <c r="H14452" s="128"/>
    </row>
    <row r="14453" spans="8:8" s="120" customFormat="1" ht="11.25" customHeight="1" x14ac:dyDescent="0.2">
      <c r="H14453" s="128"/>
    </row>
    <row r="14454" spans="8:8" s="120" customFormat="1" ht="11.25" customHeight="1" x14ac:dyDescent="0.2">
      <c r="H14454" s="128"/>
    </row>
    <row r="14455" spans="8:8" s="120" customFormat="1" ht="11.25" customHeight="1" x14ac:dyDescent="0.2">
      <c r="H14455" s="128"/>
    </row>
    <row r="14456" spans="8:8" s="120" customFormat="1" ht="11.25" customHeight="1" x14ac:dyDescent="0.2">
      <c r="H14456" s="128"/>
    </row>
    <row r="14457" spans="8:8" s="120" customFormat="1" ht="11.25" customHeight="1" x14ac:dyDescent="0.2">
      <c r="H14457" s="128"/>
    </row>
    <row r="14458" spans="8:8" s="120" customFormat="1" ht="11.25" customHeight="1" x14ac:dyDescent="0.2">
      <c r="H14458" s="128"/>
    </row>
    <row r="14459" spans="8:8" s="120" customFormat="1" ht="11.25" customHeight="1" x14ac:dyDescent="0.2">
      <c r="H14459" s="128"/>
    </row>
    <row r="14460" spans="8:8" s="120" customFormat="1" ht="11.25" customHeight="1" x14ac:dyDescent="0.2">
      <c r="H14460" s="128"/>
    </row>
    <row r="14461" spans="8:8" s="120" customFormat="1" ht="11.25" customHeight="1" x14ac:dyDescent="0.2">
      <c r="H14461" s="128"/>
    </row>
    <row r="14462" spans="8:8" s="120" customFormat="1" ht="11.25" customHeight="1" x14ac:dyDescent="0.2">
      <c r="H14462" s="128"/>
    </row>
    <row r="14463" spans="8:8" s="120" customFormat="1" ht="11.25" customHeight="1" x14ac:dyDescent="0.2">
      <c r="H14463" s="128"/>
    </row>
    <row r="14464" spans="8:8" s="120" customFormat="1" ht="11.25" customHeight="1" x14ac:dyDescent="0.2">
      <c r="H14464" s="128"/>
    </row>
    <row r="14465" spans="8:8" s="120" customFormat="1" ht="11.25" customHeight="1" x14ac:dyDescent="0.2">
      <c r="H14465" s="128"/>
    </row>
    <row r="14466" spans="8:8" s="120" customFormat="1" ht="11.25" customHeight="1" x14ac:dyDescent="0.2">
      <c r="H14466" s="128"/>
    </row>
    <row r="14467" spans="8:8" s="120" customFormat="1" ht="11.25" customHeight="1" x14ac:dyDescent="0.2">
      <c r="H14467" s="128"/>
    </row>
    <row r="14468" spans="8:8" s="120" customFormat="1" ht="11.25" customHeight="1" x14ac:dyDescent="0.2">
      <c r="H14468" s="128"/>
    </row>
    <row r="14469" spans="8:8" s="120" customFormat="1" ht="11.25" customHeight="1" x14ac:dyDescent="0.2">
      <c r="H14469" s="128"/>
    </row>
    <row r="14470" spans="8:8" s="120" customFormat="1" ht="11.25" customHeight="1" x14ac:dyDescent="0.2">
      <c r="H14470" s="128"/>
    </row>
    <row r="14471" spans="8:8" s="120" customFormat="1" ht="11.25" customHeight="1" x14ac:dyDescent="0.2">
      <c r="H14471" s="128"/>
    </row>
    <row r="14472" spans="8:8" s="120" customFormat="1" ht="11.25" customHeight="1" x14ac:dyDescent="0.2">
      <c r="H14472" s="128"/>
    </row>
    <row r="14473" spans="8:8" s="120" customFormat="1" ht="11.25" customHeight="1" x14ac:dyDescent="0.2">
      <c r="H14473" s="128"/>
    </row>
    <row r="14474" spans="8:8" s="120" customFormat="1" ht="11.25" customHeight="1" x14ac:dyDescent="0.2">
      <c r="H14474" s="128"/>
    </row>
    <row r="14475" spans="8:8" s="120" customFormat="1" ht="11.25" customHeight="1" x14ac:dyDescent="0.2">
      <c r="H14475" s="128"/>
    </row>
    <row r="14476" spans="8:8" s="120" customFormat="1" ht="11.25" customHeight="1" x14ac:dyDescent="0.2">
      <c r="H14476" s="128"/>
    </row>
    <row r="14477" spans="8:8" s="120" customFormat="1" ht="11.25" customHeight="1" x14ac:dyDescent="0.2">
      <c r="H14477" s="128"/>
    </row>
    <row r="14478" spans="8:8" s="120" customFormat="1" ht="11.25" customHeight="1" x14ac:dyDescent="0.2">
      <c r="H14478" s="128"/>
    </row>
    <row r="14479" spans="8:8" s="120" customFormat="1" ht="11.25" customHeight="1" x14ac:dyDescent="0.2">
      <c r="H14479" s="128"/>
    </row>
    <row r="14480" spans="8:8" s="120" customFormat="1" ht="11.25" customHeight="1" x14ac:dyDescent="0.2">
      <c r="H14480" s="128"/>
    </row>
    <row r="14481" spans="8:8" s="120" customFormat="1" ht="11.25" customHeight="1" x14ac:dyDescent="0.2">
      <c r="H14481" s="128"/>
    </row>
    <row r="14482" spans="8:8" s="120" customFormat="1" ht="11.25" customHeight="1" x14ac:dyDescent="0.2">
      <c r="H14482" s="128"/>
    </row>
    <row r="14483" spans="8:8" s="120" customFormat="1" ht="11.25" customHeight="1" x14ac:dyDescent="0.2">
      <c r="H14483" s="128"/>
    </row>
    <row r="14484" spans="8:8" s="120" customFormat="1" ht="11.25" customHeight="1" x14ac:dyDescent="0.2">
      <c r="H14484" s="128"/>
    </row>
    <row r="14485" spans="8:8" s="120" customFormat="1" ht="11.25" customHeight="1" x14ac:dyDescent="0.2">
      <c r="H14485" s="128"/>
    </row>
    <row r="14486" spans="8:8" s="120" customFormat="1" ht="11.25" customHeight="1" x14ac:dyDescent="0.2">
      <c r="H14486" s="128"/>
    </row>
    <row r="14487" spans="8:8" s="120" customFormat="1" ht="11.25" customHeight="1" x14ac:dyDescent="0.2">
      <c r="H14487" s="128"/>
    </row>
    <row r="14488" spans="8:8" s="120" customFormat="1" ht="11.25" customHeight="1" x14ac:dyDescent="0.2">
      <c r="H14488" s="128"/>
    </row>
    <row r="14489" spans="8:8" s="120" customFormat="1" ht="11.25" customHeight="1" x14ac:dyDescent="0.2">
      <c r="H14489" s="128"/>
    </row>
    <row r="14490" spans="8:8" s="120" customFormat="1" ht="11.25" customHeight="1" x14ac:dyDescent="0.2">
      <c r="H14490" s="128"/>
    </row>
    <row r="14491" spans="8:8" s="120" customFormat="1" ht="11.25" customHeight="1" x14ac:dyDescent="0.2">
      <c r="H14491" s="128"/>
    </row>
    <row r="14492" spans="8:8" s="120" customFormat="1" ht="11.25" customHeight="1" x14ac:dyDescent="0.2">
      <c r="H14492" s="128"/>
    </row>
    <row r="14493" spans="8:8" s="120" customFormat="1" ht="11.25" customHeight="1" x14ac:dyDescent="0.2">
      <c r="H14493" s="128"/>
    </row>
    <row r="14494" spans="8:8" s="120" customFormat="1" ht="11.25" customHeight="1" x14ac:dyDescent="0.2">
      <c r="H14494" s="128"/>
    </row>
    <row r="14495" spans="8:8" s="120" customFormat="1" ht="11.25" customHeight="1" x14ac:dyDescent="0.2">
      <c r="H14495" s="128"/>
    </row>
    <row r="14496" spans="8:8" s="120" customFormat="1" ht="11.25" customHeight="1" x14ac:dyDescent="0.2">
      <c r="H14496" s="128"/>
    </row>
    <row r="14497" spans="8:8" s="120" customFormat="1" ht="11.25" customHeight="1" x14ac:dyDescent="0.2">
      <c r="H14497" s="128"/>
    </row>
    <row r="14498" spans="8:8" s="120" customFormat="1" ht="11.25" customHeight="1" x14ac:dyDescent="0.2">
      <c r="H14498" s="128"/>
    </row>
    <row r="14499" spans="8:8" s="120" customFormat="1" ht="11.25" customHeight="1" x14ac:dyDescent="0.2">
      <c r="H14499" s="128"/>
    </row>
    <row r="14500" spans="8:8" s="120" customFormat="1" ht="11.25" customHeight="1" x14ac:dyDescent="0.2">
      <c r="H14500" s="128"/>
    </row>
    <row r="14501" spans="8:8" s="120" customFormat="1" ht="11.25" customHeight="1" x14ac:dyDescent="0.2">
      <c r="H14501" s="128"/>
    </row>
    <row r="14502" spans="8:8" s="120" customFormat="1" ht="11.25" customHeight="1" x14ac:dyDescent="0.2">
      <c r="H14502" s="128"/>
    </row>
    <row r="14503" spans="8:8" s="120" customFormat="1" ht="11.25" customHeight="1" x14ac:dyDescent="0.2">
      <c r="H14503" s="128"/>
    </row>
    <row r="14504" spans="8:8" s="120" customFormat="1" ht="11.25" customHeight="1" x14ac:dyDescent="0.2">
      <c r="H14504" s="128"/>
    </row>
    <row r="14505" spans="8:8" s="120" customFormat="1" ht="11.25" customHeight="1" x14ac:dyDescent="0.2">
      <c r="H14505" s="128"/>
    </row>
    <row r="14506" spans="8:8" s="120" customFormat="1" ht="11.25" customHeight="1" x14ac:dyDescent="0.2">
      <c r="H14506" s="128"/>
    </row>
    <row r="14507" spans="8:8" s="120" customFormat="1" ht="11.25" customHeight="1" x14ac:dyDescent="0.2">
      <c r="H14507" s="128"/>
    </row>
    <row r="14508" spans="8:8" s="120" customFormat="1" ht="11.25" customHeight="1" x14ac:dyDescent="0.2">
      <c r="H14508" s="128"/>
    </row>
    <row r="14509" spans="8:8" s="120" customFormat="1" ht="11.25" customHeight="1" x14ac:dyDescent="0.2">
      <c r="H14509" s="128"/>
    </row>
    <row r="14510" spans="8:8" s="120" customFormat="1" ht="11.25" customHeight="1" x14ac:dyDescent="0.2">
      <c r="H14510" s="128"/>
    </row>
    <row r="14511" spans="8:8" s="120" customFormat="1" ht="11.25" customHeight="1" x14ac:dyDescent="0.2">
      <c r="H14511" s="128"/>
    </row>
    <row r="14512" spans="8:8" s="120" customFormat="1" ht="11.25" customHeight="1" x14ac:dyDescent="0.2">
      <c r="H14512" s="128"/>
    </row>
    <row r="14513" spans="8:8" s="120" customFormat="1" ht="11.25" customHeight="1" x14ac:dyDescent="0.2">
      <c r="H14513" s="128"/>
    </row>
    <row r="14514" spans="8:8" s="120" customFormat="1" ht="11.25" customHeight="1" x14ac:dyDescent="0.2">
      <c r="H14514" s="128"/>
    </row>
    <row r="14515" spans="8:8" s="120" customFormat="1" ht="11.25" customHeight="1" x14ac:dyDescent="0.2">
      <c r="H14515" s="128"/>
    </row>
    <row r="14516" spans="8:8" s="120" customFormat="1" ht="11.25" customHeight="1" x14ac:dyDescent="0.2">
      <c r="H14516" s="128"/>
    </row>
    <row r="14517" spans="8:8" s="120" customFormat="1" ht="11.25" customHeight="1" x14ac:dyDescent="0.2">
      <c r="H14517" s="128"/>
    </row>
    <row r="14518" spans="8:8" s="120" customFormat="1" ht="11.25" customHeight="1" x14ac:dyDescent="0.2">
      <c r="H14518" s="128"/>
    </row>
    <row r="14519" spans="8:8" s="120" customFormat="1" ht="11.25" customHeight="1" x14ac:dyDescent="0.2">
      <c r="H14519" s="128"/>
    </row>
    <row r="14520" spans="8:8" s="120" customFormat="1" ht="11.25" customHeight="1" x14ac:dyDescent="0.2">
      <c r="H14520" s="128"/>
    </row>
    <row r="14521" spans="8:8" s="120" customFormat="1" ht="11.25" customHeight="1" x14ac:dyDescent="0.2">
      <c r="H14521" s="128"/>
    </row>
    <row r="14522" spans="8:8" s="120" customFormat="1" ht="11.25" customHeight="1" x14ac:dyDescent="0.2">
      <c r="H14522" s="128"/>
    </row>
    <row r="14523" spans="8:8" s="120" customFormat="1" ht="11.25" customHeight="1" x14ac:dyDescent="0.2">
      <c r="H14523" s="128"/>
    </row>
    <row r="14524" spans="8:8" s="120" customFormat="1" ht="11.25" customHeight="1" x14ac:dyDescent="0.2">
      <c r="H14524" s="128"/>
    </row>
    <row r="14525" spans="8:8" s="120" customFormat="1" ht="11.25" customHeight="1" x14ac:dyDescent="0.2">
      <c r="H14525" s="128"/>
    </row>
    <row r="14526" spans="8:8" s="120" customFormat="1" ht="11.25" customHeight="1" x14ac:dyDescent="0.2">
      <c r="H14526" s="128"/>
    </row>
    <row r="14527" spans="8:8" s="120" customFormat="1" ht="11.25" customHeight="1" x14ac:dyDescent="0.2">
      <c r="H14527" s="128"/>
    </row>
    <row r="14528" spans="8:8" s="120" customFormat="1" ht="11.25" customHeight="1" x14ac:dyDescent="0.2">
      <c r="H14528" s="128"/>
    </row>
    <row r="14529" spans="7:12" ht="11.25" customHeight="1" x14ac:dyDescent="0.2">
      <c r="G14529" s="120"/>
      <c r="I14529" s="120"/>
      <c r="J14529" s="120"/>
      <c r="K14529" s="120"/>
      <c r="L14529" s="120"/>
    </row>
    <row r="14530" spans="7:12" ht="11.25" customHeight="1" x14ac:dyDescent="0.2">
      <c r="G14530" s="120"/>
      <c r="I14530" s="120"/>
      <c r="J14530" s="120"/>
      <c r="K14530" s="120"/>
      <c r="L14530" s="120"/>
    </row>
    <row r="14531" spans="7:12" ht="11.25" customHeight="1" x14ac:dyDescent="0.2">
      <c r="G14531" s="120"/>
      <c r="I14531" s="120"/>
      <c r="J14531" s="120"/>
      <c r="K14531" s="120"/>
      <c r="L14531" s="120"/>
    </row>
    <row r="14532" spans="7:12" ht="11.25" customHeight="1" x14ac:dyDescent="0.2">
      <c r="G14532" s="120"/>
      <c r="I14532" s="120"/>
      <c r="J14532" s="120"/>
      <c r="K14532" s="120"/>
      <c r="L14532" s="120"/>
    </row>
    <row r="14533" spans="7:12" ht="11.25" customHeight="1" x14ac:dyDescent="0.2">
      <c r="G14533" s="120"/>
      <c r="I14533" s="120"/>
      <c r="J14533" s="120"/>
      <c r="K14533" s="120"/>
      <c r="L14533" s="120"/>
    </row>
    <row r="14534" spans="7:12" ht="11.25" customHeight="1" x14ac:dyDescent="0.2">
      <c r="G14534" s="120"/>
      <c r="I14534" s="120"/>
      <c r="J14534" s="120"/>
      <c r="K14534" s="120"/>
      <c r="L14534" s="120"/>
    </row>
    <row r="14535" spans="7:12" ht="11.25" customHeight="1" x14ac:dyDescent="0.2">
      <c r="G14535" s="120"/>
      <c r="I14535" s="120"/>
      <c r="J14535" s="120"/>
      <c r="K14535" s="120"/>
      <c r="L14535" s="120"/>
    </row>
    <row r="14536" spans="7:12" ht="11.25" customHeight="1" x14ac:dyDescent="0.2">
      <c r="G14536" s="120"/>
      <c r="I14536" s="120"/>
      <c r="J14536" s="120"/>
      <c r="K14536" s="120"/>
      <c r="L14536" s="120"/>
    </row>
    <row r="14537" spans="7:12" ht="11.25" customHeight="1" x14ac:dyDescent="0.2">
      <c r="G14537" s="120"/>
      <c r="I14537" s="120"/>
      <c r="J14537" s="120"/>
      <c r="K14537" s="120"/>
      <c r="L14537" s="120"/>
    </row>
    <row r="14538" spans="7:12" ht="11.25" customHeight="1" x14ac:dyDescent="0.2">
      <c r="G14538" s="120"/>
      <c r="I14538" s="120"/>
      <c r="J14538" s="120"/>
      <c r="K14538" s="120"/>
      <c r="L14538" s="120"/>
    </row>
    <row r="14539" spans="7:12" ht="11.25" customHeight="1" x14ac:dyDescent="0.2">
      <c r="G14539" s="120"/>
    </row>
    <row r="14540" spans="7:12" ht="11.25" customHeight="1" x14ac:dyDescent="0.2">
      <c r="G14540" s="120"/>
    </row>
    <row r="14541" spans="7:12" ht="11.25" customHeight="1" x14ac:dyDescent="0.2">
      <c r="G14541" s="120"/>
    </row>
    <row r="14542" spans="7:12" ht="11.25" customHeight="1" x14ac:dyDescent="0.2">
      <c r="G14542" s="120"/>
    </row>
    <row r="14543" spans="7:12" ht="11.25" customHeight="1" x14ac:dyDescent="0.2">
      <c r="G14543" s="120"/>
    </row>
    <row r="14544" spans="7:12" ht="11.25" customHeight="1" x14ac:dyDescent="0.2">
      <c r="G14544" s="120"/>
    </row>
    <row r="14545" spans="7:13" ht="11.25" customHeight="1" x14ac:dyDescent="0.2">
      <c r="G14545" s="120"/>
    </row>
    <row r="14546" spans="7:13" ht="11.25" customHeight="1" x14ac:dyDescent="0.2">
      <c r="G14546" s="120"/>
    </row>
    <row r="14547" spans="7:13" ht="11.25" customHeight="1" x14ac:dyDescent="0.2">
      <c r="G14547" s="120"/>
    </row>
    <row r="14548" spans="7:13" ht="11.25" customHeight="1" x14ac:dyDescent="0.2">
      <c r="G14548" s="120"/>
    </row>
    <row r="14549" spans="7:13" ht="11.25" customHeight="1" x14ac:dyDescent="0.2">
      <c r="G14549" s="120"/>
    </row>
    <row r="14550" spans="7:13" ht="11.25" customHeight="1" x14ac:dyDescent="0.2">
      <c r="G14550" s="120"/>
    </row>
    <row r="14551" spans="7:13" ht="11.25" customHeight="1" x14ac:dyDescent="0.2">
      <c r="G14551" s="120"/>
    </row>
    <row r="14552" spans="7:13" ht="11.25" customHeight="1" x14ac:dyDescent="0.2">
      <c r="G14552" s="120"/>
      <c r="M14552" s="251"/>
    </row>
    <row r="14553" spans="7:13" ht="11.25" customHeight="1" x14ac:dyDescent="0.2">
      <c r="G14553" s="120"/>
      <c r="M14553" s="251"/>
    </row>
    <row r="14554" spans="7:13" ht="11.25" customHeight="1" x14ac:dyDescent="0.2">
      <c r="G14554" s="120"/>
    </row>
    <row r="14555" spans="7:13" ht="11.25" customHeight="1" x14ac:dyDescent="0.2">
      <c r="G14555" s="120"/>
    </row>
    <row r="14556" spans="7:13" ht="11.25" customHeight="1" x14ac:dyDescent="0.2">
      <c r="G14556" s="120"/>
    </row>
    <row r="14557" spans="7:13" ht="11.25" customHeight="1" x14ac:dyDescent="0.2">
      <c r="G14557" s="120"/>
    </row>
    <row r="14558" spans="7:13" ht="11.25" customHeight="1" x14ac:dyDescent="0.2">
      <c r="G14558" s="120"/>
    </row>
    <row r="14559" spans="7:13" ht="11.25" customHeight="1" x14ac:dyDescent="0.2">
      <c r="G14559" s="120"/>
    </row>
    <row r="14560" spans="7:13" ht="11.25" customHeight="1" x14ac:dyDescent="0.2">
      <c r="G14560" s="120"/>
    </row>
    <row r="14561" spans="7:12" ht="11.25" customHeight="1" x14ac:dyDescent="0.2">
      <c r="G14561" s="120"/>
    </row>
    <row r="14562" spans="7:12" ht="11.25" customHeight="1" x14ac:dyDescent="0.2">
      <c r="G14562" s="120"/>
    </row>
    <row r="14563" spans="7:12" ht="11.25" customHeight="1" x14ac:dyDescent="0.2">
      <c r="G14563" s="120"/>
    </row>
    <row r="14575" spans="7:12" ht="11.25" customHeight="1" x14ac:dyDescent="0.2">
      <c r="G14575" s="120"/>
      <c r="I14575" s="120"/>
      <c r="J14575" s="120"/>
      <c r="K14575" s="120"/>
      <c r="L14575" s="120"/>
    </row>
    <row r="14576" spans="7:12" ht="11.25" customHeight="1" x14ac:dyDescent="0.2">
      <c r="G14576" s="120"/>
      <c r="I14576" s="120"/>
      <c r="J14576" s="120"/>
      <c r="K14576" s="120"/>
      <c r="L14576" s="120"/>
    </row>
    <row r="14577" spans="8:8" s="120" customFormat="1" ht="11.25" customHeight="1" x14ac:dyDescent="0.2">
      <c r="H14577" s="128"/>
    </row>
    <row r="14578" spans="8:8" s="120" customFormat="1" ht="11.25" customHeight="1" x14ac:dyDescent="0.2">
      <c r="H14578" s="128"/>
    </row>
    <row r="14579" spans="8:8" s="120" customFormat="1" ht="11.25" customHeight="1" x14ac:dyDescent="0.2">
      <c r="H14579" s="128"/>
    </row>
    <row r="14580" spans="8:8" s="120" customFormat="1" ht="11.25" customHeight="1" x14ac:dyDescent="0.2">
      <c r="H14580" s="128"/>
    </row>
    <row r="14581" spans="8:8" s="120" customFormat="1" ht="11.25" customHeight="1" x14ac:dyDescent="0.2">
      <c r="H14581" s="128"/>
    </row>
    <row r="14582" spans="8:8" s="120" customFormat="1" ht="11.25" customHeight="1" x14ac:dyDescent="0.2">
      <c r="H14582" s="128"/>
    </row>
    <row r="14583" spans="8:8" s="120" customFormat="1" ht="11.25" customHeight="1" x14ac:dyDescent="0.2">
      <c r="H14583" s="128"/>
    </row>
    <row r="14584" spans="8:8" s="120" customFormat="1" ht="11.25" customHeight="1" x14ac:dyDescent="0.2">
      <c r="H14584" s="128"/>
    </row>
    <row r="14585" spans="8:8" s="120" customFormat="1" ht="11.25" customHeight="1" x14ac:dyDescent="0.2">
      <c r="H14585" s="128"/>
    </row>
    <row r="14586" spans="8:8" s="120" customFormat="1" ht="11.25" customHeight="1" x14ac:dyDescent="0.2">
      <c r="H14586" s="128"/>
    </row>
    <row r="14587" spans="8:8" s="120" customFormat="1" ht="11.25" customHeight="1" x14ac:dyDescent="0.2">
      <c r="H14587" s="128"/>
    </row>
    <row r="14588" spans="8:8" s="120" customFormat="1" ht="11.25" customHeight="1" x14ac:dyDescent="0.2">
      <c r="H14588" s="128"/>
    </row>
    <row r="14589" spans="8:8" s="120" customFormat="1" ht="11.25" customHeight="1" x14ac:dyDescent="0.2">
      <c r="H14589" s="128"/>
    </row>
    <row r="14590" spans="8:8" s="120" customFormat="1" ht="11.25" customHeight="1" x14ac:dyDescent="0.2">
      <c r="H14590" s="128"/>
    </row>
    <row r="14591" spans="8:8" s="120" customFormat="1" ht="11.25" customHeight="1" x14ac:dyDescent="0.2">
      <c r="H14591" s="128"/>
    </row>
    <row r="14592" spans="8:8" s="120" customFormat="1" ht="11.25" customHeight="1" x14ac:dyDescent="0.2">
      <c r="H14592" s="128"/>
    </row>
    <row r="14593" spans="8:8" s="120" customFormat="1" ht="11.25" customHeight="1" x14ac:dyDescent="0.2">
      <c r="H14593" s="128"/>
    </row>
    <row r="14594" spans="8:8" s="120" customFormat="1" ht="11.25" customHeight="1" x14ac:dyDescent="0.2">
      <c r="H14594" s="128"/>
    </row>
    <row r="14595" spans="8:8" s="120" customFormat="1" ht="11.25" customHeight="1" x14ac:dyDescent="0.2">
      <c r="H14595" s="128"/>
    </row>
    <row r="14596" spans="8:8" s="120" customFormat="1" ht="11.25" customHeight="1" x14ac:dyDescent="0.2">
      <c r="H14596" s="128"/>
    </row>
    <row r="14597" spans="8:8" s="120" customFormat="1" ht="11.25" customHeight="1" x14ac:dyDescent="0.2">
      <c r="H14597" s="128"/>
    </row>
    <row r="14598" spans="8:8" s="120" customFormat="1" ht="11.25" customHeight="1" x14ac:dyDescent="0.2">
      <c r="H14598" s="128"/>
    </row>
    <row r="14599" spans="8:8" s="120" customFormat="1" ht="11.25" customHeight="1" x14ac:dyDescent="0.2">
      <c r="H14599" s="128"/>
    </row>
    <row r="14600" spans="8:8" s="120" customFormat="1" ht="11.25" customHeight="1" x14ac:dyDescent="0.2">
      <c r="H14600" s="128"/>
    </row>
    <row r="14601" spans="8:8" s="120" customFormat="1" ht="11.25" customHeight="1" x14ac:dyDescent="0.2">
      <c r="H14601" s="128"/>
    </row>
    <row r="14602" spans="8:8" s="120" customFormat="1" ht="11.25" customHeight="1" x14ac:dyDescent="0.2">
      <c r="H14602" s="128"/>
    </row>
    <row r="14603" spans="8:8" s="120" customFormat="1" ht="11.25" customHeight="1" x14ac:dyDescent="0.2">
      <c r="H14603" s="128"/>
    </row>
    <row r="14604" spans="8:8" s="120" customFormat="1" ht="11.25" customHeight="1" x14ac:dyDescent="0.2">
      <c r="H14604" s="128"/>
    </row>
    <row r="14605" spans="8:8" s="120" customFormat="1" ht="11.25" customHeight="1" x14ac:dyDescent="0.2">
      <c r="H14605" s="128"/>
    </row>
    <row r="14606" spans="8:8" s="120" customFormat="1" ht="11.25" customHeight="1" x14ac:dyDescent="0.2">
      <c r="H14606" s="128"/>
    </row>
    <row r="14607" spans="8:8" s="120" customFormat="1" ht="11.25" customHeight="1" x14ac:dyDescent="0.2">
      <c r="H14607" s="128"/>
    </row>
    <row r="14608" spans="8:8" s="120" customFormat="1" ht="11.25" customHeight="1" x14ac:dyDescent="0.2">
      <c r="H14608" s="128"/>
    </row>
    <row r="14609" spans="8:8" s="120" customFormat="1" ht="11.25" customHeight="1" x14ac:dyDescent="0.2">
      <c r="H14609" s="128"/>
    </row>
    <row r="14610" spans="8:8" s="120" customFormat="1" ht="11.25" customHeight="1" x14ac:dyDescent="0.2">
      <c r="H14610" s="128"/>
    </row>
    <row r="14611" spans="8:8" s="120" customFormat="1" ht="11.25" customHeight="1" x14ac:dyDescent="0.2">
      <c r="H14611" s="128"/>
    </row>
    <row r="14612" spans="8:8" s="120" customFormat="1" ht="11.25" customHeight="1" x14ac:dyDescent="0.2">
      <c r="H14612" s="128"/>
    </row>
    <row r="14613" spans="8:8" s="120" customFormat="1" ht="11.25" customHeight="1" x14ac:dyDescent="0.2">
      <c r="H14613" s="128"/>
    </row>
    <row r="14614" spans="8:8" s="120" customFormat="1" ht="11.25" customHeight="1" x14ac:dyDescent="0.2">
      <c r="H14614" s="128"/>
    </row>
    <row r="14615" spans="8:8" s="120" customFormat="1" ht="11.25" customHeight="1" x14ac:dyDescent="0.2">
      <c r="H14615" s="128"/>
    </row>
    <row r="14616" spans="8:8" s="120" customFormat="1" ht="11.25" customHeight="1" x14ac:dyDescent="0.2">
      <c r="H14616" s="128"/>
    </row>
    <row r="14617" spans="8:8" s="120" customFormat="1" ht="11.25" customHeight="1" x14ac:dyDescent="0.2">
      <c r="H14617" s="128"/>
    </row>
    <row r="14618" spans="8:8" s="120" customFormat="1" ht="11.25" customHeight="1" x14ac:dyDescent="0.2">
      <c r="H14618" s="128"/>
    </row>
    <row r="14619" spans="8:8" s="120" customFormat="1" ht="11.25" customHeight="1" x14ac:dyDescent="0.2">
      <c r="H14619" s="128"/>
    </row>
    <row r="14620" spans="8:8" s="120" customFormat="1" ht="11.25" customHeight="1" x14ac:dyDescent="0.2">
      <c r="H14620" s="128"/>
    </row>
    <row r="14621" spans="8:8" s="120" customFormat="1" ht="11.25" customHeight="1" x14ac:dyDescent="0.2">
      <c r="H14621" s="128"/>
    </row>
    <row r="14622" spans="8:8" s="120" customFormat="1" ht="11.25" customHeight="1" x14ac:dyDescent="0.2">
      <c r="H14622" s="128"/>
    </row>
    <row r="14623" spans="8:8" s="120" customFormat="1" ht="11.25" customHeight="1" x14ac:dyDescent="0.2">
      <c r="H14623" s="128"/>
    </row>
    <row r="14624" spans="8:8" s="120" customFormat="1" ht="11.25" customHeight="1" x14ac:dyDescent="0.2">
      <c r="H14624" s="128"/>
    </row>
    <row r="14625" spans="8:8" s="120" customFormat="1" ht="11.25" customHeight="1" x14ac:dyDescent="0.2">
      <c r="H14625" s="128"/>
    </row>
    <row r="14626" spans="8:8" s="120" customFormat="1" ht="11.25" customHeight="1" x14ac:dyDescent="0.2">
      <c r="H14626" s="128"/>
    </row>
    <row r="14627" spans="8:8" s="120" customFormat="1" ht="11.25" customHeight="1" x14ac:dyDescent="0.2">
      <c r="H14627" s="128"/>
    </row>
    <row r="14628" spans="8:8" s="120" customFormat="1" ht="11.25" customHeight="1" x14ac:dyDescent="0.2">
      <c r="H14628" s="128"/>
    </row>
    <row r="14629" spans="8:8" s="120" customFormat="1" ht="11.25" customHeight="1" x14ac:dyDescent="0.2">
      <c r="H14629" s="128"/>
    </row>
    <row r="14630" spans="8:8" s="120" customFormat="1" ht="11.25" customHeight="1" x14ac:dyDescent="0.2">
      <c r="H14630" s="128"/>
    </row>
    <row r="14631" spans="8:8" s="120" customFormat="1" ht="11.25" customHeight="1" x14ac:dyDescent="0.2">
      <c r="H14631" s="128"/>
    </row>
    <row r="14632" spans="8:8" s="120" customFormat="1" ht="11.25" customHeight="1" x14ac:dyDescent="0.2">
      <c r="H14632" s="128"/>
    </row>
    <row r="14633" spans="8:8" s="120" customFormat="1" ht="11.25" customHeight="1" x14ac:dyDescent="0.2">
      <c r="H14633" s="128"/>
    </row>
    <row r="14634" spans="8:8" s="120" customFormat="1" ht="11.25" customHeight="1" x14ac:dyDescent="0.2">
      <c r="H14634" s="128"/>
    </row>
    <row r="14635" spans="8:8" s="120" customFormat="1" ht="11.25" customHeight="1" x14ac:dyDescent="0.2">
      <c r="H14635" s="128"/>
    </row>
    <row r="14636" spans="8:8" s="120" customFormat="1" ht="11.25" customHeight="1" x14ac:dyDescent="0.2">
      <c r="H14636" s="128"/>
    </row>
    <row r="14637" spans="8:8" s="120" customFormat="1" ht="11.25" customHeight="1" x14ac:dyDescent="0.2">
      <c r="H14637" s="128"/>
    </row>
    <row r="14638" spans="8:8" s="120" customFormat="1" ht="11.25" customHeight="1" x14ac:dyDescent="0.2">
      <c r="H14638" s="128"/>
    </row>
    <row r="14639" spans="8:8" s="120" customFormat="1" ht="11.25" customHeight="1" x14ac:dyDescent="0.2">
      <c r="H14639" s="128"/>
    </row>
    <row r="14640" spans="8:8" s="120" customFormat="1" ht="11.25" customHeight="1" x14ac:dyDescent="0.2">
      <c r="H14640" s="128"/>
    </row>
    <row r="14641" spans="8:8" s="120" customFormat="1" ht="11.25" customHeight="1" x14ac:dyDescent="0.2">
      <c r="H14641" s="128"/>
    </row>
    <row r="14642" spans="8:8" s="120" customFormat="1" ht="11.25" customHeight="1" x14ac:dyDescent="0.2">
      <c r="H14642" s="128"/>
    </row>
    <row r="14643" spans="8:8" s="120" customFormat="1" ht="11.25" customHeight="1" x14ac:dyDescent="0.2">
      <c r="H14643" s="128"/>
    </row>
    <row r="14644" spans="8:8" s="120" customFormat="1" ht="11.25" customHeight="1" x14ac:dyDescent="0.2">
      <c r="H14644" s="128"/>
    </row>
    <row r="14645" spans="8:8" s="120" customFormat="1" ht="11.25" customHeight="1" x14ac:dyDescent="0.2">
      <c r="H14645" s="128"/>
    </row>
    <row r="14646" spans="8:8" s="120" customFormat="1" ht="11.25" customHeight="1" x14ac:dyDescent="0.2">
      <c r="H14646" s="128"/>
    </row>
    <row r="14647" spans="8:8" s="120" customFormat="1" ht="11.25" customHeight="1" x14ac:dyDescent="0.2">
      <c r="H14647" s="128"/>
    </row>
    <row r="14648" spans="8:8" s="120" customFormat="1" ht="11.25" customHeight="1" x14ac:dyDescent="0.2">
      <c r="H14648" s="128"/>
    </row>
    <row r="14649" spans="8:8" s="120" customFormat="1" ht="11.25" customHeight="1" x14ac:dyDescent="0.2">
      <c r="H14649" s="128"/>
    </row>
    <row r="14650" spans="8:8" s="120" customFormat="1" ht="11.25" customHeight="1" x14ac:dyDescent="0.2">
      <c r="H14650" s="128"/>
    </row>
    <row r="14651" spans="8:8" s="120" customFormat="1" ht="11.25" customHeight="1" x14ac:dyDescent="0.2">
      <c r="H14651" s="128"/>
    </row>
    <row r="14652" spans="8:8" s="120" customFormat="1" ht="11.25" customHeight="1" x14ac:dyDescent="0.2">
      <c r="H14652" s="128"/>
    </row>
    <row r="14653" spans="8:8" s="120" customFormat="1" ht="11.25" customHeight="1" x14ac:dyDescent="0.2">
      <c r="H14653" s="128"/>
    </row>
    <row r="14654" spans="8:8" s="120" customFormat="1" ht="11.25" customHeight="1" x14ac:dyDescent="0.2">
      <c r="H14654" s="128"/>
    </row>
    <row r="14655" spans="8:8" s="120" customFormat="1" ht="11.25" customHeight="1" x14ac:dyDescent="0.2">
      <c r="H14655" s="128"/>
    </row>
    <row r="14656" spans="8:8" s="120" customFormat="1" ht="11.25" customHeight="1" x14ac:dyDescent="0.2">
      <c r="H14656" s="128"/>
    </row>
    <row r="14657" spans="8:8" s="120" customFormat="1" ht="11.25" customHeight="1" x14ac:dyDescent="0.2">
      <c r="H14657" s="128"/>
    </row>
    <row r="14658" spans="8:8" s="120" customFormat="1" ht="11.25" customHeight="1" x14ac:dyDescent="0.2">
      <c r="H14658" s="128"/>
    </row>
    <row r="14659" spans="8:8" s="120" customFormat="1" ht="11.25" customHeight="1" x14ac:dyDescent="0.2">
      <c r="H14659" s="128"/>
    </row>
    <row r="14660" spans="8:8" s="120" customFormat="1" ht="11.25" customHeight="1" x14ac:dyDescent="0.2">
      <c r="H14660" s="128"/>
    </row>
    <row r="14661" spans="8:8" s="120" customFormat="1" ht="11.25" customHeight="1" x14ac:dyDescent="0.2">
      <c r="H14661" s="128"/>
    </row>
    <row r="14662" spans="8:8" s="120" customFormat="1" ht="11.25" customHeight="1" x14ac:dyDescent="0.2">
      <c r="H14662" s="128"/>
    </row>
    <row r="14663" spans="8:8" s="120" customFormat="1" ht="11.25" customHeight="1" x14ac:dyDescent="0.2">
      <c r="H14663" s="128"/>
    </row>
    <row r="14664" spans="8:8" s="120" customFormat="1" ht="11.25" customHeight="1" x14ac:dyDescent="0.2">
      <c r="H14664" s="128"/>
    </row>
    <row r="14665" spans="8:8" s="120" customFormat="1" ht="11.25" customHeight="1" x14ac:dyDescent="0.2">
      <c r="H14665" s="128"/>
    </row>
    <row r="14666" spans="8:8" s="120" customFormat="1" ht="11.25" customHeight="1" x14ac:dyDescent="0.2">
      <c r="H14666" s="128"/>
    </row>
    <row r="14667" spans="8:8" s="120" customFormat="1" ht="11.25" customHeight="1" x14ac:dyDescent="0.2">
      <c r="H14667" s="128"/>
    </row>
    <row r="14668" spans="8:8" s="120" customFormat="1" ht="11.25" customHeight="1" x14ac:dyDescent="0.2">
      <c r="H14668" s="128"/>
    </row>
    <row r="14669" spans="8:8" s="120" customFormat="1" ht="11.25" customHeight="1" x14ac:dyDescent="0.2">
      <c r="H14669" s="128"/>
    </row>
    <row r="14670" spans="8:8" s="120" customFormat="1" ht="11.25" customHeight="1" x14ac:dyDescent="0.2">
      <c r="H14670" s="128"/>
    </row>
    <row r="14671" spans="8:8" s="120" customFormat="1" ht="11.25" customHeight="1" x14ac:dyDescent="0.2">
      <c r="H14671" s="128"/>
    </row>
    <row r="14672" spans="8:8" s="120" customFormat="1" ht="11.25" customHeight="1" x14ac:dyDescent="0.2">
      <c r="H14672" s="128"/>
    </row>
    <row r="14673" spans="8:8" s="120" customFormat="1" ht="11.25" customHeight="1" x14ac:dyDescent="0.2">
      <c r="H14673" s="128"/>
    </row>
    <row r="14674" spans="8:8" s="120" customFormat="1" ht="11.25" customHeight="1" x14ac:dyDescent="0.2">
      <c r="H14674" s="128"/>
    </row>
    <row r="14675" spans="8:8" s="120" customFormat="1" ht="11.25" customHeight="1" x14ac:dyDescent="0.2">
      <c r="H14675" s="128"/>
    </row>
    <row r="14676" spans="8:8" s="120" customFormat="1" ht="11.25" customHeight="1" x14ac:dyDescent="0.2">
      <c r="H14676" s="128"/>
    </row>
    <row r="14677" spans="8:8" s="120" customFormat="1" ht="11.25" customHeight="1" x14ac:dyDescent="0.2">
      <c r="H14677" s="128"/>
    </row>
    <row r="14678" spans="8:8" s="120" customFormat="1" ht="11.25" customHeight="1" x14ac:dyDescent="0.2">
      <c r="H14678" s="128"/>
    </row>
    <row r="14679" spans="8:8" s="120" customFormat="1" ht="11.25" customHeight="1" x14ac:dyDescent="0.2">
      <c r="H14679" s="128"/>
    </row>
    <row r="14680" spans="8:8" s="120" customFormat="1" ht="11.25" customHeight="1" x14ac:dyDescent="0.2">
      <c r="H14680" s="128"/>
    </row>
    <row r="14681" spans="8:8" s="120" customFormat="1" ht="11.25" customHeight="1" x14ac:dyDescent="0.2">
      <c r="H14681" s="128"/>
    </row>
    <row r="14682" spans="8:8" s="120" customFormat="1" ht="11.25" customHeight="1" x14ac:dyDescent="0.2">
      <c r="H14682" s="128"/>
    </row>
    <row r="14683" spans="8:8" s="120" customFormat="1" ht="11.25" customHeight="1" x14ac:dyDescent="0.2">
      <c r="H14683" s="128"/>
    </row>
    <row r="14684" spans="8:8" s="120" customFormat="1" ht="11.25" customHeight="1" x14ac:dyDescent="0.2">
      <c r="H14684" s="128"/>
    </row>
    <row r="14685" spans="8:8" s="120" customFormat="1" ht="11.25" customHeight="1" x14ac:dyDescent="0.2">
      <c r="H14685" s="128"/>
    </row>
    <row r="14686" spans="8:8" s="120" customFormat="1" ht="11.25" customHeight="1" x14ac:dyDescent="0.2">
      <c r="H14686" s="128"/>
    </row>
    <row r="14687" spans="8:8" s="120" customFormat="1" ht="11.25" customHeight="1" x14ac:dyDescent="0.2">
      <c r="H14687" s="128"/>
    </row>
    <row r="14688" spans="8:8" s="120" customFormat="1" ht="11.25" customHeight="1" x14ac:dyDescent="0.2">
      <c r="H14688" s="128"/>
    </row>
    <row r="14689" spans="8:8" s="120" customFormat="1" ht="11.25" customHeight="1" x14ac:dyDescent="0.2">
      <c r="H14689" s="128"/>
    </row>
    <row r="14690" spans="8:8" s="120" customFormat="1" ht="11.25" customHeight="1" x14ac:dyDescent="0.2">
      <c r="H14690" s="128"/>
    </row>
    <row r="14691" spans="8:8" s="120" customFormat="1" ht="11.25" customHeight="1" x14ac:dyDescent="0.2">
      <c r="H14691" s="128"/>
    </row>
    <row r="14692" spans="8:8" s="120" customFormat="1" ht="11.25" customHeight="1" x14ac:dyDescent="0.2">
      <c r="H14692" s="128"/>
    </row>
    <row r="14693" spans="8:8" s="120" customFormat="1" ht="11.25" customHeight="1" x14ac:dyDescent="0.2">
      <c r="H14693" s="128"/>
    </row>
    <row r="14694" spans="8:8" s="120" customFormat="1" ht="11.25" customHeight="1" x14ac:dyDescent="0.2">
      <c r="H14694" s="128"/>
    </row>
    <row r="14695" spans="8:8" s="120" customFormat="1" ht="11.25" customHeight="1" x14ac:dyDescent="0.2">
      <c r="H14695" s="128"/>
    </row>
    <row r="14696" spans="8:8" s="120" customFormat="1" ht="11.25" customHeight="1" x14ac:dyDescent="0.2">
      <c r="H14696" s="128"/>
    </row>
    <row r="14697" spans="8:8" s="120" customFormat="1" ht="11.25" customHeight="1" x14ac:dyDescent="0.2">
      <c r="H14697" s="128"/>
    </row>
    <row r="14698" spans="8:8" s="120" customFormat="1" ht="11.25" customHeight="1" x14ac:dyDescent="0.2">
      <c r="H14698" s="128"/>
    </row>
    <row r="14699" spans="8:8" s="120" customFormat="1" ht="11.25" customHeight="1" x14ac:dyDescent="0.2">
      <c r="H14699" s="128"/>
    </row>
    <row r="14700" spans="8:8" s="120" customFormat="1" ht="11.25" customHeight="1" x14ac:dyDescent="0.2">
      <c r="H14700" s="128"/>
    </row>
    <row r="14701" spans="8:8" s="120" customFormat="1" ht="11.25" customHeight="1" x14ac:dyDescent="0.2">
      <c r="H14701" s="128"/>
    </row>
    <row r="14702" spans="8:8" s="120" customFormat="1" ht="11.25" customHeight="1" x14ac:dyDescent="0.2">
      <c r="H14702" s="128"/>
    </row>
    <row r="14703" spans="8:8" s="120" customFormat="1" ht="11.25" customHeight="1" x14ac:dyDescent="0.2">
      <c r="H14703" s="128"/>
    </row>
    <row r="14704" spans="8:8" s="120" customFormat="1" ht="11.25" customHeight="1" x14ac:dyDescent="0.2">
      <c r="H14704" s="128"/>
    </row>
    <row r="14705" spans="8:8" s="120" customFormat="1" ht="11.25" customHeight="1" x14ac:dyDescent="0.2">
      <c r="H14705" s="128"/>
    </row>
    <row r="14706" spans="8:8" s="120" customFormat="1" ht="11.25" customHeight="1" x14ac:dyDescent="0.2">
      <c r="H14706" s="128"/>
    </row>
    <row r="14707" spans="8:8" s="120" customFormat="1" ht="11.25" customHeight="1" x14ac:dyDescent="0.2">
      <c r="H14707" s="128"/>
    </row>
    <row r="14708" spans="8:8" s="120" customFormat="1" ht="11.25" customHeight="1" x14ac:dyDescent="0.2">
      <c r="H14708" s="128"/>
    </row>
    <row r="14709" spans="8:8" s="120" customFormat="1" ht="11.25" customHeight="1" x14ac:dyDescent="0.2">
      <c r="H14709" s="128"/>
    </row>
    <row r="14710" spans="8:8" s="120" customFormat="1" ht="11.25" customHeight="1" x14ac:dyDescent="0.2">
      <c r="H14710" s="128"/>
    </row>
    <row r="14711" spans="8:8" s="120" customFormat="1" ht="11.25" customHeight="1" x14ac:dyDescent="0.2">
      <c r="H14711" s="128"/>
    </row>
    <row r="14712" spans="8:8" s="120" customFormat="1" ht="11.25" customHeight="1" x14ac:dyDescent="0.2">
      <c r="H14712" s="128"/>
    </row>
    <row r="14713" spans="8:8" s="120" customFormat="1" ht="11.25" customHeight="1" x14ac:dyDescent="0.2">
      <c r="H14713" s="128"/>
    </row>
    <row r="14714" spans="8:8" s="120" customFormat="1" ht="11.25" customHeight="1" x14ac:dyDescent="0.2">
      <c r="H14714" s="128"/>
    </row>
    <row r="14715" spans="8:8" s="120" customFormat="1" ht="11.25" customHeight="1" x14ac:dyDescent="0.2">
      <c r="H14715" s="128"/>
    </row>
    <row r="14716" spans="8:8" s="120" customFormat="1" ht="11.25" customHeight="1" x14ac:dyDescent="0.2">
      <c r="H14716" s="128"/>
    </row>
    <row r="14717" spans="8:8" s="120" customFormat="1" ht="11.25" customHeight="1" x14ac:dyDescent="0.2">
      <c r="H14717" s="128"/>
    </row>
    <row r="14718" spans="8:8" s="120" customFormat="1" ht="11.25" customHeight="1" x14ac:dyDescent="0.2">
      <c r="H14718" s="128"/>
    </row>
    <row r="14719" spans="8:8" s="120" customFormat="1" ht="11.25" customHeight="1" x14ac:dyDescent="0.2">
      <c r="H14719" s="128"/>
    </row>
    <row r="14720" spans="8:8" s="120" customFormat="1" ht="11.25" customHeight="1" x14ac:dyDescent="0.2">
      <c r="H14720" s="128"/>
    </row>
    <row r="14721" spans="8:8" s="120" customFormat="1" ht="11.25" customHeight="1" x14ac:dyDescent="0.2">
      <c r="H14721" s="128"/>
    </row>
    <row r="14722" spans="8:8" s="120" customFormat="1" ht="11.25" customHeight="1" x14ac:dyDescent="0.2">
      <c r="H14722" s="128"/>
    </row>
    <row r="14723" spans="8:8" s="120" customFormat="1" ht="11.25" customHeight="1" x14ac:dyDescent="0.2">
      <c r="H14723" s="128"/>
    </row>
    <row r="14724" spans="8:8" s="120" customFormat="1" ht="11.25" customHeight="1" x14ac:dyDescent="0.2">
      <c r="H14724" s="128"/>
    </row>
    <row r="14725" spans="8:8" s="120" customFormat="1" ht="11.25" customHeight="1" x14ac:dyDescent="0.2">
      <c r="H14725" s="128"/>
    </row>
    <row r="14726" spans="8:8" s="120" customFormat="1" ht="11.25" customHeight="1" x14ac:dyDescent="0.2">
      <c r="H14726" s="128"/>
    </row>
    <row r="14727" spans="8:8" s="120" customFormat="1" ht="11.25" customHeight="1" x14ac:dyDescent="0.2">
      <c r="H14727" s="128"/>
    </row>
    <row r="14728" spans="8:8" s="120" customFormat="1" ht="11.25" customHeight="1" x14ac:dyDescent="0.2">
      <c r="H14728" s="128"/>
    </row>
    <row r="14729" spans="8:8" s="120" customFormat="1" ht="11.25" customHeight="1" x14ac:dyDescent="0.2">
      <c r="H14729" s="128"/>
    </row>
    <row r="14730" spans="8:8" s="120" customFormat="1" ht="11.25" customHeight="1" x14ac:dyDescent="0.2">
      <c r="H14730" s="128"/>
    </row>
    <row r="14731" spans="8:8" s="120" customFormat="1" ht="11.25" customHeight="1" x14ac:dyDescent="0.2">
      <c r="H14731" s="128"/>
    </row>
    <row r="14732" spans="8:8" s="120" customFormat="1" ht="11.25" customHeight="1" x14ac:dyDescent="0.2">
      <c r="H14732" s="128"/>
    </row>
    <row r="14733" spans="8:8" s="120" customFormat="1" ht="11.25" customHeight="1" x14ac:dyDescent="0.2">
      <c r="H14733" s="128"/>
    </row>
    <row r="14734" spans="8:8" s="120" customFormat="1" ht="11.25" customHeight="1" x14ac:dyDescent="0.2">
      <c r="H14734" s="128"/>
    </row>
    <row r="14735" spans="8:8" s="120" customFormat="1" ht="11.25" customHeight="1" x14ac:dyDescent="0.2">
      <c r="H14735" s="128"/>
    </row>
    <row r="14736" spans="8:8" s="120" customFormat="1" ht="11.25" customHeight="1" x14ac:dyDescent="0.2">
      <c r="H14736" s="128"/>
    </row>
    <row r="14737" spans="8:8" s="120" customFormat="1" ht="11.25" customHeight="1" x14ac:dyDescent="0.2">
      <c r="H14737" s="128"/>
    </row>
    <row r="14738" spans="8:8" s="120" customFormat="1" ht="11.25" customHeight="1" x14ac:dyDescent="0.2">
      <c r="H14738" s="128"/>
    </row>
    <row r="14739" spans="8:8" s="120" customFormat="1" ht="11.25" customHeight="1" x14ac:dyDescent="0.2">
      <c r="H14739" s="128"/>
    </row>
    <row r="14740" spans="8:8" s="120" customFormat="1" ht="11.25" customHeight="1" x14ac:dyDescent="0.2">
      <c r="H14740" s="128"/>
    </row>
    <row r="14741" spans="8:8" s="120" customFormat="1" ht="11.25" customHeight="1" x14ac:dyDescent="0.2">
      <c r="H14741" s="128"/>
    </row>
    <row r="14742" spans="8:8" s="120" customFormat="1" ht="11.25" customHeight="1" x14ac:dyDescent="0.2">
      <c r="H14742" s="128"/>
    </row>
    <row r="14743" spans="8:8" s="120" customFormat="1" ht="11.25" customHeight="1" x14ac:dyDescent="0.2">
      <c r="H14743" s="128"/>
    </row>
    <row r="14744" spans="8:8" s="120" customFormat="1" ht="11.25" customHeight="1" x14ac:dyDescent="0.2">
      <c r="H14744" s="128"/>
    </row>
    <row r="14745" spans="8:8" s="120" customFormat="1" ht="11.25" customHeight="1" x14ac:dyDescent="0.2">
      <c r="H14745" s="128"/>
    </row>
    <row r="14746" spans="8:8" s="120" customFormat="1" ht="11.25" customHeight="1" x14ac:dyDescent="0.2">
      <c r="H14746" s="128"/>
    </row>
    <row r="14747" spans="8:8" s="120" customFormat="1" ht="11.25" customHeight="1" x14ac:dyDescent="0.2">
      <c r="H14747" s="128"/>
    </row>
    <row r="14748" spans="8:8" s="120" customFormat="1" ht="11.25" customHeight="1" x14ac:dyDescent="0.2">
      <c r="H14748" s="128"/>
    </row>
    <row r="14749" spans="8:8" s="120" customFormat="1" ht="11.25" customHeight="1" x14ac:dyDescent="0.2">
      <c r="H14749" s="128"/>
    </row>
    <row r="14750" spans="8:8" s="120" customFormat="1" ht="11.25" customHeight="1" x14ac:dyDescent="0.2">
      <c r="H14750" s="128"/>
    </row>
    <row r="14751" spans="8:8" s="120" customFormat="1" ht="11.25" customHeight="1" x14ac:dyDescent="0.2">
      <c r="H14751" s="128"/>
    </row>
    <row r="14752" spans="8:8" s="120" customFormat="1" ht="11.25" customHeight="1" x14ac:dyDescent="0.2">
      <c r="H14752" s="128"/>
    </row>
    <row r="14753" spans="8:8" s="120" customFormat="1" ht="11.25" customHeight="1" x14ac:dyDescent="0.2">
      <c r="H14753" s="128"/>
    </row>
    <row r="14754" spans="8:8" s="120" customFormat="1" ht="11.25" customHeight="1" x14ac:dyDescent="0.2">
      <c r="H14754" s="128"/>
    </row>
    <row r="14755" spans="8:8" s="120" customFormat="1" ht="11.25" customHeight="1" x14ac:dyDescent="0.2">
      <c r="H14755" s="128"/>
    </row>
    <row r="14756" spans="8:8" s="120" customFormat="1" ht="11.25" customHeight="1" x14ac:dyDescent="0.2">
      <c r="H14756" s="128"/>
    </row>
    <row r="14757" spans="8:8" s="120" customFormat="1" ht="11.25" customHeight="1" x14ac:dyDescent="0.2">
      <c r="H14757" s="128"/>
    </row>
    <row r="14758" spans="8:8" s="120" customFormat="1" ht="11.25" customHeight="1" x14ac:dyDescent="0.2">
      <c r="H14758" s="128"/>
    </row>
    <row r="14759" spans="8:8" s="120" customFormat="1" ht="11.25" customHeight="1" x14ac:dyDescent="0.2">
      <c r="H14759" s="128"/>
    </row>
    <row r="14760" spans="8:8" s="120" customFormat="1" ht="11.25" customHeight="1" x14ac:dyDescent="0.2">
      <c r="H14760" s="128"/>
    </row>
    <row r="14761" spans="8:8" s="120" customFormat="1" ht="11.25" customHeight="1" x14ac:dyDescent="0.2">
      <c r="H14761" s="128"/>
    </row>
    <row r="14762" spans="8:8" s="120" customFormat="1" ht="11.25" customHeight="1" x14ac:dyDescent="0.2">
      <c r="H14762" s="128"/>
    </row>
    <row r="14763" spans="8:8" s="120" customFormat="1" ht="11.25" customHeight="1" x14ac:dyDescent="0.2">
      <c r="H14763" s="128"/>
    </row>
    <row r="14764" spans="8:8" s="120" customFormat="1" ht="11.25" customHeight="1" x14ac:dyDescent="0.2">
      <c r="H14764" s="128"/>
    </row>
    <row r="14765" spans="8:8" s="120" customFormat="1" ht="11.25" customHeight="1" x14ac:dyDescent="0.2">
      <c r="H14765" s="128"/>
    </row>
    <row r="14766" spans="8:8" s="120" customFormat="1" ht="11.25" customHeight="1" x14ac:dyDescent="0.2">
      <c r="H14766" s="128"/>
    </row>
    <row r="14767" spans="8:8" s="120" customFormat="1" ht="11.25" customHeight="1" x14ac:dyDescent="0.2">
      <c r="H14767" s="128"/>
    </row>
    <row r="14768" spans="8:8" s="120" customFormat="1" ht="11.25" customHeight="1" x14ac:dyDescent="0.2">
      <c r="H14768" s="128"/>
    </row>
    <row r="14769" spans="8:8" s="120" customFormat="1" ht="11.25" customHeight="1" x14ac:dyDescent="0.2">
      <c r="H14769" s="128"/>
    </row>
    <row r="14770" spans="8:8" s="120" customFormat="1" ht="11.25" customHeight="1" x14ac:dyDescent="0.2">
      <c r="H14770" s="128"/>
    </row>
    <row r="14771" spans="8:8" s="120" customFormat="1" ht="11.25" customHeight="1" x14ac:dyDescent="0.2">
      <c r="H14771" s="128"/>
    </row>
    <row r="14772" spans="8:8" s="120" customFormat="1" ht="11.25" customHeight="1" x14ac:dyDescent="0.2">
      <c r="H14772" s="128"/>
    </row>
    <row r="14773" spans="8:8" s="120" customFormat="1" ht="11.25" customHeight="1" x14ac:dyDescent="0.2">
      <c r="H14773" s="128"/>
    </row>
    <row r="14774" spans="8:8" s="120" customFormat="1" ht="11.25" customHeight="1" x14ac:dyDescent="0.2">
      <c r="H14774" s="128"/>
    </row>
    <row r="14775" spans="8:8" s="120" customFormat="1" ht="11.25" customHeight="1" x14ac:dyDescent="0.2">
      <c r="H14775" s="128"/>
    </row>
    <row r="14776" spans="8:8" s="120" customFormat="1" ht="11.25" customHeight="1" x14ac:dyDescent="0.2">
      <c r="H14776" s="128"/>
    </row>
    <row r="14777" spans="8:8" s="120" customFormat="1" ht="11.25" customHeight="1" x14ac:dyDescent="0.2">
      <c r="H14777" s="128"/>
    </row>
    <row r="14778" spans="8:8" s="120" customFormat="1" ht="11.25" customHeight="1" x14ac:dyDescent="0.2">
      <c r="H14778" s="128"/>
    </row>
    <row r="14779" spans="8:8" s="120" customFormat="1" ht="11.25" customHeight="1" x14ac:dyDescent="0.2">
      <c r="H14779" s="128"/>
    </row>
    <row r="14780" spans="8:8" s="120" customFormat="1" ht="11.25" customHeight="1" x14ac:dyDescent="0.2">
      <c r="H14780" s="128"/>
    </row>
    <row r="14781" spans="8:8" s="120" customFormat="1" ht="11.25" customHeight="1" x14ac:dyDescent="0.2">
      <c r="H14781" s="128"/>
    </row>
    <row r="14782" spans="8:8" s="120" customFormat="1" ht="11.25" customHeight="1" x14ac:dyDescent="0.2">
      <c r="H14782" s="128"/>
    </row>
    <row r="14783" spans="8:8" s="120" customFormat="1" ht="11.25" customHeight="1" x14ac:dyDescent="0.2">
      <c r="H14783" s="128"/>
    </row>
    <row r="14784" spans="8:8" s="120" customFormat="1" ht="11.25" customHeight="1" x14ac:dyDescent="0.2">
      <c r="H14784" s="128"/>
    </row>
    <row r="14785" spans="8:8" s="120" customFormat="1" ht="11.25" customHeight="1" x14ac:dyDescent="0.2">
      <c r="H14785" s="128"/>
    </row>
    <row r="14786" spans="8:8" s="120" customFormat="1" ht="11.25" customHeight="1" x14ac:dyDescent="0.2">
      <c r="H14786" s="128"/>
    </row>
    <row r="14787" spans="8:8" s="120" customFormat="1" ht="11.25" customHeight="1" x14ac:dyDescent="0.2">
      <c r="H14787" s="128"/>
    </row>
    <row r="14788" spans="8:8" s="120" customFormat="1" ht="11.25" customHeight="1" x14ac:dyDescent="0.2">
      <c r="H14788" s="128"/>
    </row>
    <row r="14789" spans="8:8" s="120" customFormat="1" ht="11.25" customHeight="1" x14ac:dyDescent="0.2">
      <c r="H14789" s="128"/>
    </row>
    <row r="14790" spans="8:8" s="120" customFormat="1" ht="11.25" customHeight="1" x14ac:dyDescent="0.2">
      <c r="H14790" s="128"/>
    </row>
    <row r="14791" spans="8:8" s="120" customFormat="1" ht="11.25" customHeight="1" x14ac:dyDescent="0.2">
      <c r="H14791" s="128"/>
    </row>
    <row r="14792" spans="8:8" s="120" customFormat="1" ht="11.25" customHeight="1" x14ac:dyDescent="0.2">
      <c r="H14792" s="128"/>
    </row>
    <row r="14793" spans="8:8" s="120" customFormat="1" ht="11.25" customHeight="1" x14ac:dyDescent="0.2">
      <c r="H14793" s="128"/>
    </row>
    <row r="14794" spans="8:8" s="120" customFormat="1" ht="11.25" customHeight="1" x14ac:dyDescent="0.2">
      <c r="H14794" s="128"/>
    </row>
    <row r="14795" spans="8:8" s="120" customFormat="1" ht="11.25" customHeight="1" x14ac:dyDescent="0.2">
      <c r="H14795" s="128"/>
    </row>
    <row r="14796" spans="8:8" s="120" customFormat="1" ht="11.25" customHeight="1" x14ac:dyDescent="0.2">
      <c r="H14796" s="128"/>
    </row>
    <row r="14797" spans="8:8" s="120" customFormat="1" ht="11.25" customHeight="1" x14ac:dyDescent="0.2">
      <c r="H14797" s="128"/>
    </row>
    <row r="14798" spans="8:8" s="120" customFormat="1" ht="11.25" customHeight="1" x14ac:dyDescent="0.2">
      <c r="H14798" s="128"/>
    </row>
    <row r="14799" spans="8:8" s="120" customFormat="1" ht="11.25" customHeight="1" x14ac:dyDescent="0.2">
      <c r="H14799" s="128"/>
    </row>
    <row r="14800" spans="8:8" s="120" customFormat="1" ht="11.25" customHeight="1" x14ac:dyDescent="0.2">
      <c r="H14800" s="128"/>
    </row>
    <row r="14801" spans="8:8" s="120" customFormat="1" ht="11.25" customHeight="1" x14ac:dyDescent="0.2">
      <c r="H14801" s="128"/>
    </row>
    <row r="14802" spans="8:8" s="120" customFormat="1" ht="11.25" customHeight="1" x14ac:dyDescent="0.2">
      <c r="H14802" s="128"/>
    </row>
    <row r="14803" spans="8:8" s="120" customFormat="1" ht="11.25" customHeight="1" x14ac:dyDescent="0.2">
      <c r="H14803" s="128"/>
    </row>
    <row r="14804" spans="8:8" s="120" customFormat="1" ht="11.25" customHeight="1" x14ac:dyDescent="0.2">
      <c r="H14804" s="128"/>
    </row>
    <row r="14805" spans="8:8" s="120" customFormat="1" ht="11.25" customHeight="1" x14ac:dyDescent="0.2">
      <c r="H14805" s="128"/>
    </row>
    <row r="14806" spans="8:8" s="120" customFormat="1" ht="11.25" customHeight="1" x14ac:dyDescent="0.2">
      <c r="H14806" s="128"/>
    </row>
    <row r="14807" spans="8:8" s="120" customFormat="1" ht="11.25" customHeight="1" x14ac:dyDescent="0.2">
      <c r="H14807" s="128"/>
    </row>
    <row r="14808" spans="8:8" s="120" customFormat="1" ht="11.25" customHeight="1" x14ac:dyDescent="0.2">
      <c r="H14808" s="128"/>
    </row>
    <row r="14809" spans="8:8" s="120" customFormat="1" ht="11.25" customHeight="1" x14ac:dyDescent="0.2">
      <c r="H14809" s="128"/>
    </row>
    <row r="14810" spans="8:8" s="120" customFormat="1" ht="11.25" customHeight="1" x14ac:dyDescent="0.2">
      <c r="H14810" s="128"/>
    </row>
    <row r="14811" spans="8:8" s="120" customFormat="1" ht="11.25" customHeight="1" x14ac:dyDescent="0.2">
      <c r="H14811" s="128"/>
    </row>
    <row r="14812" spans="8:8" s="120" customFormat="1" ht="11.25" customHeight="1" x14ac:dyDescent="0.2">
      <c r="H14812" s="128"/>
    </row>
    <row r="14813" spans="8:8" s="120" customFormat="1" ht="11.25" customHeight="1" x14ac:dyDescent="0.2">
      <c r="H14813" s="128"/>
    </row>
    <row r="14814" spans="8:8" s="120" customFormat="1" ht="11.25" customHeight="1" x14ac:dyDescent="0.2">
      <c r="H14814" s="128"/>
    </row>
    <row r="14815" spans="8:8" s="120" customFormat="1" ht="11.25" customHeight="1" x14ac:dyDescent="0.2">
      <c r="H14815" s="128"/>
    </row>
    <row r="14816" spans="8:8" s="120" customFormat="1" ht="11.25" customHeight="1" x14ac:dyDescent="0.2">
      <c r="H14816" s="128"/>
    </row>
    <row r="14817" spans="8:8" s="120" customFormat="1" ht="11.25" customHeight="1" x14ac:dyDescent="0.2">
      <c r="H14817" s="128"/>
    </row>
    <row r="14818" spans="8:8" s="120" customFormat="1" ht="11.25" customHeight="1" x14ac:dyDescent="0.2">
      <c r="H14818" s="128"/>
    </row>
    <row r="14819" spans="8:8" s="120" customFormat="1" ht="11.25" customHeight="1" x14ac:dyDescent="0.2">
      <c r="H14819" s="128"/>
    </row>
    <row r="14820" spans="8:8" s="120" customFormat="1" ht="11.25" customHeight="1" x14ac:dyDescent="0.2">
      <c r="H14820" s="128"/>
    </row>
    <row r="14821" spans="8:8" s="120" customFormat="1" ht="11.25" customHeight="1" x14ac:dyDescent="0.2">
      <c r="H14821" s="128"/>
    </row>
    <row r="14822" spans="8:8" s="120" customFormat="1" ht="11.25" customHeight="1" x14ac:dyDescent="0.2">
      <c r="H14822" s="128"/>
    </row>
    <row r="14823" spans="8:8" s="120" customFormat="1" ht="11.25" customHeight="1" x14ac:dyDescent="0.2">
      <c r="H14823" s="128"/>
    </row>
    <row r="14824" spans="8:8" s="120" customFormat="1" ht="11.25" customHeight="1" x14ac:dyDescent="0.2">
      <c r="H14824" s="128"/>
    </row>
    <row r="14825" spans="8:8" s="120" customFormat="1" ht="11.25" customHeight="1" x14ac:dyDescent="0.2">
      <c r="H14825" s="128"/>
    </row>
    <row r="14826" spans="8:8" s="120" customFormat="1" ht="11.25" customHeight="1" x14ac:dyDescent="0.2">
      <c r="H14826" s="128"/>
    </row>
    <row r="14827" spans="8:8" s="120" customFormat="1" ht="11.25" customHeight="1" x14ac:dyDescent="0.2">
      <c r="H14827" s="128"/>
    </row>
    <row r="14828" spans="8:8" s="120" customFormat="1" ht="11.25" customHeight="1" x14ac:dyDescent="0.2">
      <c r="H14828" s="128"/>
    </row>
    <row r="14829" spans="8:8" s="120" customFormat="1" ht="11.25" customHeight="1" x14ac:dyDescent="0.2">
      <c r="H14829" s="128"/>
    </row>
    <row r="14830" spans="8:8" s="120" customFormat="1" ht="11.25" customHeight="1" x14ac:dyDescent="0.2">
      <c r="H14830" s="128"/>
    </row>
    <row r="14831" spans="8:8" s="120" customFormat="1" ht="11.25" customHeight="1" x14ac:dyDescent="0.2">
      <c r="H14831" s="128"/>
    </row>
    <row r="14832" spans="8:8" s="120" customFormat="1" ht="11.25" customHeight="1" x14ac:dyDescent="0.2">
      <c r="H14832" s="128"/>
    </row>
    <row r="14833" spans="8:8" s="120" customFormat="1" ht="11.25" customHeight="1" x14ac:dyDescent="0.2">
      <c r="H14833" s="128"/>
    </row>
    <row r="14834" spans="8:8" s="120" customFormat="1" ht="11.25" customHeight="1" x14ac:dyDescent="0.2">
      <c r="H14834" s="128"/>
    </row>
    <row r="14835" spans="8:8" s="120" customFormat="1" ht="11.25" customHeight="1" x14ac:dyDescent="0.2">
      <c r="H14835" s="128"/>
    </row>
    <row r="14836" spans="8:8" s="120" customFormat="1" ht="11.25" customHeight="1" x14ac:dyDescent="0.2">
      <c r="H14836" s="128"/>
    </row>
    <row r="14837" spans="8:8" s="120" customFormat="1" ht="11.25" customHeight="1" x14ac:dyDescent="0.2">
      <c r="H14837" s="128"/>
    </row>
    <row r="14838" spans="8:8" s="120" customFormat="1" ht="11.25" customHeight="1" x14ac:dyDescent="0.2">
      <c r="H14838" s="128"/>
    </row>
    <row r="14839" spans="8:8" s="120" customFormat="1" ht="11.25" customHeight="1" x14ac:dyDescent="0.2">
      <c r="H14839" s="128"/>
    </row>
    <row r="14840" spans="8:8" s="120" customFormat="1" ht="11.25" customHeight="1" x14ac:dyDescent="0.2">
      <c r="H14840" s="128"/>
    </row>
    <row r="14841" spans="8:8" s="120" customFormat="1" ht="11.25" customHeight="1" x14ac:dyDescent="0.2">
      <c r="H14841" s="128"/>
    </row>
    <row r="14842" spans="8:8" s="120" customFormat="1" ht="11.25" customHeight="1" x14ac:dyDescent="0.2">
      <c r="H14842" s="128"/>
    </row>
    <row r="14843" spans="8:8" s="120" customFormat="1" ht="11.25" customHeight="1" x14ac:dyDescent="0.2">
      <c r="H14843" s="128"/>
    </row>
    <row r="14844" spans="8:8" s="120" customFormat="1" ht="11.25" customHeight="1" x14ac:dyDescent="0.2">
      <c r="H14844" s="128"/>
    </row>
    <row r="14845" spans="8:8" s="120" customFormat="1" ht="11.25" customHeight="1" x14ac:dyDescent="0.2">
      <c r="H14845" s="128"/>
    </row>
    <row r="14846" spans="8:8" s="120" customFormat="1" ht="11.25" customHeight="1" x14ac:dyDescent="0.2">
      <c r="H14846" s="128"/>
    </row>
    <row r="14847" spans="8:8" s="120" customFormat="1" ht="11.25" customHeight="1" x14ac:dyDescent="0.2">
      <c r="H14847" s="128"/>
    </row>
    <row r="14848" spans="8:8" s="120" customFormat="1" ht="11.25" customHeight="1" x14ac:dyDescent="0.2">
      <c r="H14848" s="128"/>
    </row>
    <row r="14849" spans="8:8" s="120" customFormat="1" ht="11.25" customHeight="1" x14ac:dyDescent="0.2">
      <c r="H14849" s="128"/>
    </row>
    <row r="14850" spans="8:8" s="120" customFormat="1" ht="11.25" customHeight="1" x14ac:dyDescent="0.2">
      <c r="H14850" s="128"/>
    </row>
    <row r="14851" spans="8:8" s="120" customFormat="1" ht="11.25" customHeight="1" x14ac:dyDescent="0.2">
      <c r="H14851" s="128"/>
    </row>
    <row r="14852" spans="8:8" s="120" customFormat="1" ht="11.25" customHeight="1" x14ac:dyDescent="0.2">
      <c r="H14852" s="128"/>
    </row>
    <row r="14853" spans="8:8" s="120" customFormat="1" ht="11.25" customHeight="1" x14ac:dyDescent="0.2">
      <c r="H14853" s="128"/>
    </row>
    <row r="14854" spans="8:8" s="120" customFormat="1" ht="11.25" customHeight="1" x14ac:dyDescent="0.2">
      <c r="H14854" s="128"/>
    </row>
    <row r="14855" spans="8:8" s="120" customFormat="1" ht="11.25" customHeight="1" x14ac:dyDescent="0.2">
      <c r="H14855" s="128"/>
    </row>
    <row r="14856" spans="8:8" s="120" customFormat="1" ht="11.25" customHeight="1" x14ac:dyDescent="0.2">
      <c r="H14856" s="128"/>
    </row>
    <row r="14857" spans="8:8" s="120" customFormat="1" ht="11.25" customHeight="1" x14ac:dyDescent="0.2">
      <c r="H14857" s="128"/>
    </row>
    <row r="14858" spans="8:8" s="120" customFormat="1" ht="11.25" customHeight="1" x14ac:dyDescent="0.2">
      <c r="H14858" s="128"/>
    </row>
    <row r="14859" spans="8:8" s="120" customFormat="1" ht="11.25" customHeight="1" x14ac:dyDescent="0.2">
      <c r="H14859" s="128"/>
    </row>
    <row r="14860" spans="8:8" s="120" customFormat="1" ht="11.25" customHeight="1" x14ac:dyDescent="0.2">
      <c r="H14860" s="128"/>
    </row>
    <row r="14861" spans="8:8" s="120" customFormat="1" ht="11.25" customHeight="1" x14ac:dyDescent="0.2">
      <c r="H14861" s="128"/>
    </row>
    <row r="14862" spans="8:8" s="120" customFormat="1" ht="11.25" customHeight="1" x14ac:dyDescent="0.2">
      <c r="H14862" s="128"/>
    </row>
    <row r="14863" spans="8:8" s="120" customFormat="1" ht="11.25" customHeight="1" x14ac:dyDescent="0.2">
      <c r="H14863" s="128"/>
    </row>
    <row r="14864" spans="8:8" s="120" customFormat="1" ht="11.25" customHeight="1" x14ac:dyDescent="0.2">
      <c r="H14864" s="128"/>
    </row>
    <row r="14865" spans="8:8" s="120" customFormat="1" ht="11.25" customHeight="1" x14ac:dyDescent="0.2">
      <c r="H14865" s="128"/>
    </row>
    <row r="14866" spans="8:8" s="120" customFormat="1" ht="11.25" customHeight="1" x14ac:dyDescent="0.2">
      <c r="H14866" s="128"/>
    </row>
    <row r="14867" spans="8:8" s="120" customFormat="1" ht="11.25" customHeight="1" x14ac:dyDescent="0.2">
      <c r="H14867" s="128"/>
    </row>
    <row r="14868" spans="8:8" s="120" customFormat="1" ht="11.25" customHeight="1" x14ac:dyDescent="0.2">
      <c r="H14868" s="128"/>
    </row>
    <row r="14869" spans="8:8" s="120" customFormat="1" ht="11.25" customHeight="1" x14ac:dyDescent="0.2">
      <c r="H14869" s="128"/>
    </row>
    <row r="14870" spans="8:8" s="120" customFormat="1" ht="11.25" customHeight="1" x14ac:dyDescent="0.2">
      <c r="H14870" s="128"/>
    </row>
    <row r="14871" spans="8:8" s="120" customFormat="1" ht="11.25" customHeight="1" x14ac:dyDescent="0.2">
      <c r="H14871" s="128"/>
    </row>
    <row r="14872" spans="8:8" s="120" customFormat="1" ht="11.25" customHeight="1" x14ac:dyDescent="0.2">
      <c r="H14872" s="128"/>
    </row>
    <row r="14873" spans="8:8" s="120" customFormat="1" ht="11.25" customHeight="1" x14ac:dyDescent="0.2">
      <c r="H14873" s="128"/>
    </row>
    <row r="14874" spans="8:8" s="120" customFormat="1" ht="11.25" customHeight="1" x14ac:dyDescent="0.2">
      <c r="H14874" s="128"/>
    </row>
    <row r="14875" spans="8:8" s="120" customFormat="1" ht="11.25" customHeight="1" x14ac:dyDescent="0.2">
      <c r="H14875" s="128"/>
    </row>
    <row r="14876" spans="8:8" s="120" customFormat="1" ht="11.25" customHeight="1" x14ac:dyDescent="0.2">
      <c r="H14876" s="128"/>
    </row>
    <row r="14877" spans="8:8" s="120" customFormat="1" ht="11.25" customHeight="1" x14ac:dyDescent="0.2">
      <c r="H14877" s="128"/>
    </row>
    <row r="14878" spans="8:8" s="120" customFormat="1" ht="11.25" customHeight="1" x14ac:dyDescent="0.2">
      <c r="H14878" s="128"/>
    </row>
    <row r="14879" spans="8:8" s="120" customFormat="1" ht="11.25" customHeight="1" x14ac:dyDescent="0.2">
      <c r="H14879" s="128"/>
    </row>
    <row r="14880" spans="8:8" s="120" customFormat="1" ht="11.25" customHeight="1" x14ac:dyDescent="0.2">
      <c r="H14880" s="128"/>
    </row>
    <row r="14881" spans="8:8" s="120" customFormat="1" ht="11.25" customHeight="1" x14ac:dyDescent="0.2">
      <c r="H14881" s="128"/>
    </row>
    <row r="14882" spans="8:8" s="120" customFormat="1" ht="11.25" customHeight="1" x14ac:dyDescent="0.2">
      <c r="H14882" s="128"/>
    </row>
    <row r="14883" spans="8:8" s="120" customFormat="1" ht="11.25" customHeight="1" x14ac:dyDescent="0.2">
      <c r="H14883" s="128"/>
    </row>
    <row r="14884" spans="8:8" s="120" customFormat="1" ht="11.25" customHeight="1" x14ac:dyDescent="0.2">
      <c r="H14884" s="128"/>
    </row>
    <row r="14885" spans="8:8" s="120" customFormat="1" ht="11.25" customHeight="1" x14ac:dyDescent="0.2">
      <c r="H14885" s="128"/>
    </row>
    <row r="14886" spans="8:8" s="120" customFormat="1" ht="11.25" customHeight="1" x14ac:dyDescent="0.2">
      <c r="H14886" s="128"/>
    </row>
    <row r="14887" spans="8:8" s="120" customFormat="1" ht="11.25" customHeight="1" x14ac:dyDescent="0.2">
      <c r="H14887" s="128"/>
    </row>
    <row r="14888" spans="8:8" s="120" customFormat="1" ht="11.25" customHeight="1" x14ac:dyDescent="0.2">
      <c r="H14888" s="128"/>
    </row>
    <row r="14889" spans="8:8" s="120" customFormat="1" ht="11.25" customHeight="1" x14ac:dyDescent="0.2">
      <c r="H14889" s="128"/>
    </row>
    <row r="14890" spans="8:8" s="120" customFormat="1" ht="11.25" customHeight="1" x14ac:dyDescent="0.2">
      <c r="H14890" s="128"/>
    </row>
    <row r="14891" spans="8:8" s="120" customFormat="1" ht="11.25" customHeight="1" x14ac:dyDescent="0.2">
      <c r="H14891" s="128"/>
    </row>
    <row r="14892" spans="8:8" s="120" customFormat="1" ht="11.25" customHeight="1" x14ac:dyDescent="0.2">
      <c r="H14892" s="128"/>
    </row>
    <row r="14893" spans="8:8" s="120" customFormat="1" ht="11.25" customHeight="1" x14ac:dyDescent="0.2">
      <c r="H14893" s="128"/>
    </row>
    <row r="14894" spans="8:8" s="120" customFormat="1" ht="11.25" customHeight="1" x14ac:dyDescent="0.2">
      <c r="H14894" s="128"/>
    </row>
    <row r="14895" spans="8:8" s="120" customFormat="1" ht="11.25" customHeight="1" x14ac:dyDescent="0.2">
      <c r="H14895" s="128"/>
    </row>
    <row r="14896" spans="8:8" s="120" customFormat="1" ht="11.25" customHeight="1" x14ac:dyDescent="0.2">
      <c r="H14896" s="128"/>
    </row>
    <row r="14897" spans="8:8" s="120" customFormat="1" ht="11.25" customHeight="1" x14ac:dyDescent="0.2">
      <c r="H14897" s="128"/>
    </row>
    <row r="14898" spans="8:8" s="120" customFormat="1" ht="11.25" customHeight="1" x14ac:dyDescent="0.2">
      <c r="H14898" s="128"/>
    </row>
    <row r="14899" spans="8:8" s="120" customFormat="1" ht="11.25" customHeight="1" x14ac:dyDescent="0.2">
      <c r="H14899" s="128"/>
    </row>
    <row r="14900" spans="8:8" s="120" customFormat="1" ht="11.25" customHeight="1" x14ac:dyDescent="0.2">
      <c r="H14900" s="128"/>
    </row>
    <row r="14901" spans="8:8" s="120" customFormat="1" ht="11.25" customHeight="1" x14ac:dyDescent="0.2">
      <c r="H14901" s="128"/>
    </row>
    <row r="14902" spans="8:8" s="120" customFormat="1" ht="11.25" customHeight="1" x14ac:dyDescent="0.2">
      <c r="H14902" s="128"/>
    </row>
    <row r="14903" spans="8:8" s="120" customFormat="1" ht="11.25" customHeight="1" x14ac:dyDescent="0.2">
      <c r="H14903" s="128"/>
    </row>
    <row r="14904" spans="8:8" s="120" customFormat="1" ht="11.25" customHeight="1" x14ac:dyDescent="0.2">
      <c r="H14904" s="128"/>
    </row>
    <row r="14905" spans="8:8" s="120" customFormat="1" ht="11.25" customHeight="1" x14ac:dyDescent="0.2">
      <c r="H14905" s="128"/>
    </row>
    <row r="14906" spans="8:8" s="120" customFormat="1" ht="11.25" customHeight="1" x14ac:dyDescent="0.2">
      <c r="H14906" s="128"/>
    </row>
    <row r="14907" spans="8:8" s="120" customFormat="1" ht="11.25" customHeight="1" x14ac:dyDescent="0.2">
      <c r="H14907" s="128"/>
    </row>
    <row r="14908" spans="8:8" s="120" customFormat="1" ht="11.25" customHeight="1" x14ac:dyDescent="0.2">
      <c r="H14908" s="128"/>
    </row>
    <row r="14909" spans="8:8" s="120" customFormat="1" ht="11.25" customHeight="1" x14ac:dyDescent="0.2">
      <c r="H14909" s="128"/>
    </row>
    <row r="14910" spans="8:8" s="120" customFormat="1" ht="11.25" customHeight="1" x14ac:dyDescent="0.2">
      <c r="H14910" s="128"/>
    </row>
    <row r="14911" spans="8:8" s="120" customFormat="1" ht="11.25" customHeight="1" x14ac:dyDescent="0.2">
      <c r="H14911" s="128"/>
    </row>
    <row r="14912" spans="8:8" s="120" customFormat="1" ht="11.25" customHeight="1" x14ac:dyDescent="0.2">
      <c r="H14912" s="128"/>
    </row>
    <row r="14913" spans="8:8" s="120" customFormat="1" ht="11.25" customHeight="1" x14ac:dyDescent="0.2">
      <c r="H14913" s="128"/>
    </row>
    <row r="14914" spans="8:8" s="120" customFormat="1" ht="11.25" customHeight="1" x14ac:dyDescent="0.2">
      <c r="H14914" s="128"/>
    </row>
    <row r="14915" spans="8:8" s="120" customFormat="1" ht="11.25" customHeight="1" x14ac:dyDescent="0.2">
      <c r="H14915" s="128"/>
    </row>
    <row r="14916" spans="8:8" s="120" customFormat="1" ht="11.25" customHeight="1" x14ac:dyDescent="0.2">
      <c r="H14916" s="128"/>
    </row>
    <row r="14917" spans="8:8" s="120" customFormat="1" ht="11.25" customHeight="1" x14ac:dyDescent="0.2">
      <c r="H14917" s="128"/>
    </row>
    <row r="14918" spans="8:8" s="120" customFormat="1" ht="11.25" customHeight="1" x14ac:dyDescent="0.2">
      <c r="H14918" s="128"/>
    </row>
    <row r="14919" spans="8:8" s="120" customFormat="1" ht="11.25" customHeight="1" x14ac:dyDescent="0.2">
      <c r="H14919" s="128"/>
    </row>
    <row r="14920" spans="8:8" s="120" customFormat="1" ht="11.25" customHeight="1" x14ac:dyDescent="0.2">
      <c r="H14920" s="128"/>
    </row>
    <row r="14921" spans="8:8" s="120" customFormat="1" ht="11.25" customHeight="1" x14ac:dyDescent="0.2">
      <c r="H14921" s="128"/>
    </row>
    <row r="14922" spans="8:8" s="120" customFormat="1" ht="11.25" customHeight="1" x14ac:dyDescent="0.2">
      <c r="H14922" s="128"/>
    </row>
    <row r="14923" spans="8:8" s="120" customFormat="1" ht="11.25" customHeight="1" x14ac:dyDescent="0.2">
      <c r="H14923" s="128"/>
    </row>
    <row r="14924" spans="8:8" s="120" customFormat="1" ht="11.25" customHeight="1" x14ac:dyDescent="0.2">
      <c r="H14924" s="128"/>
    </row>
    <row r="14925" spans="8:8" s="120" customFormat="1" ht="11.25" customHeight="1" x14ac:dyDescent="0.2">
      <c r="H14925" s="128"/>
    </row>
    <row r="14926" spans="8:8" s="120" customFormat="1" ht="11.25" customHeight="1" x14ac:dyDescent="0.2">
      <c r="H14926" s="128"/>
    </row>
    <row r="14927" spans="8:8" s="120" customFormat="1" ht="11.25" customHeight="1" x14ac:dyDescent="0.2">
      <c r="H14927" s="128"/>
    </row>
    <row r="14928" spans="8:8" s="120" customFormat="1" ht="11.25" customHeight="1" x14ac:dyDescent="0.2">
      <c r="H14928" s="128"/>
    </row>
    <row r="14929" spans="8:8" s="120" customFormat="1" ht="11.25" customHeight="1" x14ac:dyDescent="0.2">
      <c r="H14929" s="128"/>
    </row>
    <row r="14930" spans="8:8" s="120" customFormat="1" ht="11.25" customHeight="1" x14ac:dyDescent="0.2">
      <c r="H14930" s="128"/>
    </row>
    <row r="14931" spans="8:8" s="120" customFormat="1" ht="11.25" customHeight="1" x14ac:dyDescent="0.2">
      <c r="H14931" s="128"/>
    </row>
    <row r="14932" spans="8:8" s="120" customFormat="1" ht="11.25" customHeight="1" x14ac:dyDescent="0.2">
      <c r="H14932" s="128"/>
    </row>
    <row r="14933" spans="8:8" s="120" customFormat="1" ht="11.25" customHeight="1" x14ac:dyDescent="0.2">
      <c r="H14933" s="128"/>
    </row>
    <row r="14934" spans="8:8" s="120" customFormat="1" ht="11.25" customHeight="1" x14ac:dyDescent="0.2">
      <c r="H14934" s="128"/>
    </row>
    <row r="14935" spans="8:8" s="120" customFormat="1" ht="11.25" customHeight="1" x14ac:dyDescent="0.2">
      <c r="H14935" s="128"/>
    </row>
    <row r="14936" spans="8:8" s="120" customFormat="1" ht="11.25" customHeight="1" x14ac:dyDescent="0.2">
      <c r="H14936" s="128"/>
    </row>
    <row r="14937" spans="8:8" s="120" customFormat="1" ht="11.25" customHeight="1" x14ac:dyDescent="0.2">
      <c r="H14937" s="128"/>
    </row>
    <row r="14938" spans="8:8" s="120" customFormat="1" ht="11.25" customHeight="1" x14ac:dyDescent="0.2">
      <c r="H14938" s="128"/>
    </row>
    <row r="14939" spans="8:8" s="120" customFormat="1" ht="11.25" customHeight="1" x14ac:dyDescent="0.2">
      <c r="H14939" s="128"/>
    </row>
    <row r="14940" spans="8:8" s="120" customFormat="1" ht="11.25" customHeight="1" x14ac:dyDescent="0.2">
      <c r="H14940" s="128"/>
    </row>
    <row r="14941" spans="8:8" s="120" customFormat="1" ht="11.25" customHeight="1" x14ac:dyDescent="0.2">
      <c r="H14941" s="128"/>
    </row>
    <row r="14942" spans="8:8" s="120" customFormat="1" ht="11.25" customHeight="1" x14ac:dyDescent="0.2">
      <c r="H14942" s="128"/>
    </row>
    <row r="14943" spans="8:8" s="120" customFormat="1" ht="11.25" customHeight="1" x14ac:dyDescent="0.2">
      <c r="H14943" s="128"/>
    </row>
    <row r="14944" spans="8:8" s="120" customFormat="1" ht="11.25" customHeight="1" x14ac:dyDescent="0.2">
      <c r="H14944" s="128"/>
    </row>
    <row r="14945" spans="8:8" s="120" customFormat="1" ht="11.25" customHeight="1" x14ac:dyDescent="0.2">
      <c r="H14945" s="128"/>
    </row>
    <row r="14946" spans="8:8" s="120" customFormat="1" ht="11.25" customHeight="1" x14ac:dyDescent="0.2">
      <c r="H14946" s="128"/>
    </row>
    <row r="14947" spans="8:8" s="120" customFormat="1" ht="11.25" customHeight="1" x14ac:dyDescent="0.2">
      <c r="H14947" s="128"/>
    </row>
    <row r="14948" spans="8:8" s="120" customFormat="1" ht="11.25" customHeight="1" x14ac:dyDescent="0.2">
      <c r="H14948" s="128"/>
    </row>
    <row r="14949" spans="8:8" s="120" customFormat="1" ht="11.25" customHeight="1" x14ac:dyDescent="0.2">
      <c r="H14949" s="128"/>
    </row>
    <row r="14950" spans="8:8" s="120" customFormat="1" ht="11.25" customHeight="1" x14ac:dyDescent="0.2">
      <c r="H14950" s="128"/>
    </row>
    <row r="14951" spans="8:8" s="120" customFormat="1" ht="11.25" customHeight="1" x14ac:dyDescent="0.2">
      <c r="H14951" s="128"/>
    </row>
    <row r="14952" spans="8:8" s="120" customFormat="1" ht="11.25" customHeight="1" x14ac:dyDescent="0.2">
      <c r="H14952" s="128"/>
    </row>
    <row r="14953" spans="8:8" s="120" customFormat="1" ht="11.25" customHeight="1" x14ac:dyDescent="0.2">
      <c r="H14953" s="128"/>
    </row>
    <row r="14954" spans="8:8" s="120" customFormat="1" ht="11.25" customHeight="1" x14ac:dyDescent="0.2">
      <c r="H14954" s="128"/>
    </row>
    <row r="14955" spans="8:8" s="120" customFormat="1" ht="11.25" customHeight="1" x14ac:dyDescent="0.2">
      <c r="H14955" s="128"/>
    </row>
    <row r="14956" spans="8:8" s="120" customFormat="1" ht="11.25" customHeight="1" x14ac:dyDescent="0.2">
      <c r="H14956" s="128"/>
    </row>
    <row r="14957" spans="8:8" s="120" customFormat="1" ht="11.25" customHeight="1" x14ac:dyDescent="0.2">
      <c r="H14957" s="128"/>
    </row>
    <row r="14958" spans="8:8" s="120" customFormat="1" ht="11.25" customHeight="1" x14ac:dyDescent="0.2">
      <c r="H14958" s="128"/>
    </row>
    <row r="14959" spans="8:8" s="120" customFormat="1" ht="11.25" customHeight="1" x14ac:dyDescent="0.2">
      <c r="H14959" s="128"/>
    </row>
    <row r="14960" spans="8:8" s="120" customFormat="1" ht="11.25" customHeight="1" x14ac:dyDescent="0.2">
      <c r="H14960" s="128"/>
    </row>
    <row r="14961" spans="8:8" s="120" customFormat="1" ht="11.25" customHeight="1" x14ac:dyDescent="0.2">
      <c r="H14961" s="128"/>
    </row>
    <row r="14962" spans="8:8" s="120" customFormat="1" ht="11.25" customHeight="1" x14ac:dyDescent="0.2">
      <c r="H14962" s="128"/>
    </row>
    <row r="14963" spans="8:8" s="120" customFormat="1" ht="11.25" customHeight="1" x14ac:dyDescent="0.2">
      <c r="H14963" s="128"/>
    </row>
    <row r="14964" spans="8:8" s="120" customFormat="1" ht="11.25" customHeight="1" x14ac:dyDescent="0.2">
      <c r="H14964" s="128"/>
    </row>
    <row r="14965" spans="8:8" s="120" customFormat="1" ht="11.25" customHeight="1" x14ac:dyDescent="0.2">
      <c r="H14965" s="128"/>
    </row>
    <row r="14966" spans="8:8" s="120" customFormat="1" ht="11.25" customHeight="1" x14ac:dyDescent="0.2">
      <c r="H14966" s="128"/>
    </row>
    <row r="14967" spans="8:8" s="120" customFormat="1" ht="11.25" customHeight="1" x14ac:dyDescent="0.2">
      <c r="H14967" s="128"/>
    </row>
    <row r="14968" spans="8:8" s="120" customFormat="1" ht="11.25" customHeight="1" x14ac:dyDescent="0.2">
      <c r="H14968" s="128"/>
    </row>
    <row r="14969" spans="8:8" s="120" customFormat="1" ht="11.25" customHeight="1" x14ac:dyDescent="0.2">
      <c r="H14969" s="128"/>
    </row>
    <row r="14970" spans="8:8" s="120" customFormat="1" ht="11.25" customHeight="1" x14ac:dyDescent="0.2">
      <c r="H14970" s="128"/>
    </row>
    <row r="14971" spans="8:8" s="120" customFormat="1" ht="11.25" customHeight="1" x14ac:dyDescent="0.2">
      <c r="H14971" s="128"/>
    </row>
    <row r="14972" spans="8:8" s="120" customFormat="1" ht="11.25" customHeight="1" x14ac:dyDescent="0.2">
      <c r="H14972" s="128"/>
    </row>
    <row r="14973" spans="8:8" s="120" customFormat="1" ht="11.25" customHeight="1" x14ac:dyDescent="0.2">
      <c r="H14973" s="128"/>
    </row>
    <row r="14974" spans="8:8" s="120" customFormat="1" ht="11.25" customHeight="1" x14ac:dyDescent="0.2">
      <c r="H14974" s="128"/>
    </row>
    <row r="14975" spans="8:8" s="120" customFormat="1" ht="11.25" customHeight="1" x14ac:dyDescent="0.2">
      <c r="H14975" s="128"/>
    </row>
    <row r="14976" spans="8:8" s="120" customFormat="1" ht="11.25" customHeight="1" x14ac:dyDescent="0.2">
      <c r="H14976" s="128"/>
    </row>
    <row r="14977" spans="8:8" s="120" customFormat="1" ht="11.25" customHeight="1" x14ac:dyDescent="0.2">
      <c r="H14977" s="128"/>
    </row>
    <row r="14978" spans="8:8" s="120" customFormat="1" ht="11.25" customHeight="1" x14ac:dyDescent="0.2">
      <c r="H14978" s="128"/>
    </row>
    <row r="14979" spans="8:8" s="120" customFormat="1" ht="11.25" customHeight="1" x14ac:dyDescent="0.2">
      <c r="H14979" s="128"/>
    </row>
    <row r="14980" spans="8:8" s="120" customFormat="1" ht="11.25" customHeight="1" x14ac:dyDescent="0.2">
      <c r="H14980" s="128"/>
    </row>
    <row r="14981" spans="8:8" s="120" customFormat="1" ht="11.25" customHeight="1" x14ac:dyDescent="0.2">
      <c r="H14981" s="128"/>
    </row>
    <row r="14982" spans="8:8" s="120" customFormat="1" ht="11.25" customHeight="1" x14ac:dyDescent="0.2">
      <c r="H14982" s="128"/>
    </row>
    <row r="14983" spans="8:8" s="120" customFormat="1" ht="11.25" customHeight="1" x14ac:dyDescent="0.2">
      <c r="H14983" s="128"/>
    </row>
    <row r="14984" spans="8:8" s="120" customFormat="1" ht="11.25" customHeight="1" x14ac:dyDescent="0.2">
      <c r="H14984" s="128"/>
    </row>
    <row r="14985" spans="8:8" s="120" customFormat="1" ht="11.25" customHeight="1" x14ac:dyDescent="0.2">
      <c r="H14985" s="128"/>
    </row>
    <row r="14986" spans="8:8" s="120" customFormat="1" ht="11.25" customHeight="1" x14ac:dyDescent="0.2">
      <c r="H14986" s="128"/>
    </row>
    <row r="14987" spans="8:8" s="120" customFormat="1" ht="11.25" customHeight="1" x14ac:dyDescent="0.2">
      <c r="H14987" s="128"/>
    </row>
    <row r="14988" spans="8:8" s="120" customFormat="1" ht="11.25" customHeight="1" x14ac:dyDescent="0.2">
      <c r="H14988" s="128"/>
    </row>
    <row r="14989" spans="8:8" s="120" customFormat="1" ht="11.25" customHeight="1" x14ac:dyDescent="0.2">
      <c r="H14989" s="128"/>
    </row>
    <row r="14990" spans="8:8" s="120" customFormat="1" ht="11.25" customHeight="1" x14ac:dyDescent="0.2">
      <c r="H14990" s="128"/>
    </row>
    <row r="14991" spans="8:8" s="120" customFormat="1" ht="11.25" customHeight="1" x14ac:dyDescent="0.2">
      <c r="H14991" s="128"/>
    </row>
    <row r="14992" spans="8:8" s="120" customFormat="1" ht="11.25" customHeight="1" x14ac:dyDescent="0.2">
      <c r="H14992" s="128"/>
    </row>
    <row r="14993" spans="8:8" s="120" customFormat="1" ht="11.25" customHeight="1" x14ac:dyDescent="0.2">
      <c r="H14993" s="128"/>
    </row>
    <row r="14994" spans="8:8" s="120" customFormat="1" ht="11.25" customHeight="1" x14ac:dyDescent="0.2">
      <c r="H14994" s="128"/>
    </row>
    <row r="14995" spans="8:8" s="120" customFormat="1" ht="11.25" customHeight="1" x14ac:dyDescent="0.2">
      <c r="H14995" s="128"/>
    </row>
    <row r="14996" spans="8:8" s="120" customFormat="1" ht="11.25" customHeight="1" x14ac:dyDescent="0.2">
      <c r="H14996" s="128"/>
    </row>
    <row r="14997" spans="8:8" s="120" customFormat="1" ht="11.25" customHeight="1" x14ac:dyDescent="0.2">
      <c r="H14997" s="128"/>
    </row>
    <row r="14998" spans="8:8" s="120" customFormat="1" ht="11.25" customHeight="1" x14ac:dyDescent="0.2">
      <c r="H14998" s="128"/>
    </row>
    <row r="14999" spans="8:8" s="120" customFormat="1" ht="11.25" customHeight="1" x14ac:dyDescent="0.2">
      <c r="H14999" s="128"/>
    </row>
    <row r="15000" spans="8:8" s="120" customFormat="1" ht="11.25" customHeight="1" x14ac:dyDescent="0.2">
      <c r="H15000" s="128"/>
    </row>
    <row r="15001" spans="8:8" s="120" customFormat="1" ht="11.25" customHeight="1" x14ac:dyDescent="0.2">
      <c r="H15001" s="128"/>
    </row>
    <row r="15002" spans="8:8" s="120" customFormat="1" ht="11.25" customHeight="1" x14ac:dyDescent="0.2">
      <c r="H15002" s="128"/>
    </row>
    <row r="15003" spans="8:8" s="120" customFormat="1" ht="11.25" customHeight="1" x14ac:dyDescent="0.2">
      <c r="H15003" s="128"/>
    </row>
    <row r="15004" spans="8:8" s="120" customFormat="1" ht="11.25" customHeight="1" x14ac:dyDescent="0.2">
      <c r="H15004" s="128"/>
    </row>
    <row r="15005" spans="8:8" s="120" customFormat="1" ht="11.25" customHeight="1" x14ac:dyDescent="0.2">
      <c r="H15005" s="128"/>
    </row>
    <row r="15006" spans="8:8" s="120" customFormat="1" ht="11.25" customHeight="1" x14ac:dyDescent="0.2">
      <c r="H15006" s="128"/>
    </row>
    <row r="15007" spans="8:8" s="120" customFormat="1" ht="11.25" customHeight="1" x14ac:dyDescent="0.2">
      <c r="H15007" s="128"/>
    </row>
    <row r="15008" spans="8:8" s="120" customFormat="1" ht="11.25" customHeight="1" x14ac:dyDescent="0.2">
      <c r="H15008" s="128"/>
    </row>
    <row r="15009" spans="8:8" s="120" customFormat="1" ht="11.25" customHeight="1" x14ac:dyDescent="0.2">
      <c r="H15009" s="128"/>
    </row>
    <row r="15010" spans="8:8" s="120" customFormat="1" ht="11.25" customHeight="1" x14ac:dyDescent="0.2">
      <c r="H15010" s="128"/>
    </row>
    <row r="15011" spans="8:8" s="120" customFormat="1" ht="11.25" customHeight="1" x14ac:dyDescent="0.2">
      <c r="H15011" s="128"/>
    </row>
    <row r="15012" spans="8:8" s="120" customFormat="1" ht="11.25" customHeight="1" x14ac:dyDescent="0.2">
      <c r="H15012" s="128"/>
    </row>
    <row r="15013" spans="8:8" s="120" customFormat="1" ht="11.25" customHeight="1" x14ac:dyDescent="0.2">
      <c r="H15013" s="128"/>
    </row>
    <row r="15014" spans="8:8" s="120" customFormat="1" ht="11.25" customHeight="1" x14ac:dyDescent="0.2">
      <c r="H15014" s="128"/>
    </row>
    <row r="15015" spans="8:8" s="120" customFormat="1" ht="11.25" customHeight="1" x14ac:dyDescent="0.2">
      <c r="H15015" s="128"/>
    </row>
    <row r="15016" spans="8:8" s="120" customFormat="1" ht="11.25" customHeight="1" x14ac:dyDescent="0.2">
      <c r="H15016" s="128"/>
    </row>
    <row r="15017" spans="8:8" s="120" customFormat="1" ht="11.25" customHeight="1" x14ac:dyDescent="0.2">
      <c r="H15017" s="128"/>
    </row>
    <row r="15018" spans="8:8" s="120" customFormat="1" ht="11.25" customHeight="1" x14ac:dyDescent="0.2">
      <c r="H15018" s="128"/>
    </row>
    <row r="15019" spans="8:8" s="120" customFormat="1" ht="11.25" customHeight="1" x14ac:dyDescent="0.2">
      <c r="H15019" s="128"/>
    </row>
    <row r="15020" spans="8:8" s="120" customFormat="1" ht="11.25" customHeight="1" x14ac:dyDescent="0.2">
      <c r="H15020" s="128"/>
    </row>
    <row r="15021" spans="8:8" s="120" customFormat="1" ht="11.25" customHeight="1" x14ac:dyDescent="0.2">
      <c r="H15021" s="128"/>
    </row>
    <row r="15022" spans="8:8" s="120" customFormat="1" ht="11.25" customHeight="1" x14ac:dyDescent="0.2">
      <c r="H15022" s="128"/>
    </row>
    <row r="15023" spans="8:8" s="120" customFormat="1" ht="11.25" customHeight="1" x14ac:dyDescent="0.2">
      <c r="H15023" s="128"/>
    </row>
    <row r="15024" spans="8:8" s="120" customFormat="1" ht="11.25" customHeight="1" x14ac:dyDescent="0.2">
      <c r="H15024" s="128"/>
    </row>
    <row r="15025" spans="8:8" s="120" customFormat="1" ht="11.25" customHeight="1" x14ac:dyDescent="0.2">
      <c r="H15025" s="128"/>
    </row>
    <row r="15026" spans="8:8" s="120" customFormat="1" ht="11.25" customHeight="1" x14ac:dyDescent="0.2">
      <c r="H15026" s="128"/>
    </row>
    <row r="15027" spans="8:8" s="120" customFormat="1" ht="11.25" customHeight="1" x14ac:dyDescent="0.2">
      <c r="H15027" s="128"/>
    </row>
    <row r="15028" spans="8:8" s="120" customFormat="1" ht="11.25" customHeight="1" x14ac:dyDescent="0.2">
      <c r="H15028" s="128"/>
    </row>
    <row r="15029" spans="8:8" s="120" customFormat="1" ht="11.25" customHeight="1" x14ac:dyDescent="0.2">
      <c r="H15029" s="128"/>
    </row>
    <row r="15030" spans="8:8" s="120" customFormat="1" ht="11.25" customHeight="1" x14ac:dyDescent="0.2">
      <c r="H15030" s="128"/>
    </row>
    <row r="15031" spans="8:8" s="120" customFormat="1" ht="11.25" customHeight="1" x14ac:dyDescent="0.2">
      <c r="H15031" s="128"/>
    </row>
    <row r="15032" spans="8:8" s="120" customFormat="1" ht="11.25" customHeight="1" x14ac:dyDescent="0.2">
      <c r="H15032" s="128"/>
    </row>
    <row r="15033" spans="8:8" s="120" customFormat="1" ht="11.25" customHeight="1" x14ac:dyDescent="0.2">
      <c r="H15033" s="128"/>
    </row>
    <row r="15034" spans="8:8" s="120" customFormat="1" ht="11.25" customHeight="1" x14ac:dyDescent="0.2">
      <c r="H15034" s="128"/>
    </row>
    <row r="15035" spans="8:8" s="120" customFormat="1" ht="11.25" customHeight="1" x14ac:dyDescent="0.2">
      <c r="H15035" s="128"/>
    </row>
    <row r="15036" spans="8:8" s="120" customFormat="1" ht="11.25" customHeight="1" x14ac:dyDescent="0.2">
      <c r="H15036" s="128"/>
    </row>
    <row r="15037" spans="8:8" s="120" customFormat="1" ht="11.25" customHeight="1" x14ac:dyDescent="0.2">
      <c r="H15037" s="128"/>
    </row>
    <row r="15038" spans="8:8" s="120" customFormat="1" ht="11.25" customHeight="1" x14ac:dyDescent="0.2">
      <c r="H15038" s="128"/>
    </row>
    <row r="15039" spans="8:8" s="120" customFormat="1" ht="11.25" customHeight="1" x14ac:dyDescent="0.2">
      <c r="H15039" s="128"/>
    </row>
    <row r="15040" spans="8:8" s="120" customFormat="1" ht="11.25" customHeight="1" x14ac:dyDescent="0.2">
      <c r="H15040" s="128"/>
    </row>
    <row r="15041" spans="8:8" s="120" customFormat="1" ht="11.25" customHeight="1" x14ac:dyDescent="0.2">
      <c r="H15041" s="128"/>
    </row>
    <row r="15042" spans="8:8" s="120" customFormat="1" ht="11.25" customHeight="1" x14ac:dyDescent="0.2">
      <c r="H15042" s="128"/>
    </row>
    <row r="15043" spans="8:8" s="120" customFormat="1" ht="11.25" customHeight="1" x14ac:dyDescent="0.2">
      <c r="H15043" s="128"/>
    </row>
    <row r="15044" spans="8:8" s="120" customFormat="1" ht="11.25" customHeight="1" x14ac:dyDescent="0.2">
      <c r="H15044" s="128"/>
    </row>
    <row r="15045" spans="8:8" s="120" customFormat="1" ht="11.25" customHeight="1" x14ac:dyDescent="0.2">
      <c r="H15045" s="128"/>
    </row>
    <row r="15046" spans="8:8" s="120" customFormat="1" ht="11.25" customHeight="1" x14ac:dyDescent="0.2">
      <c r="H15046" s="128"/>
    </row>
    <row r="15047" spans="8:8" s="120" customFormat="1" ht="11.25" customHeight="1" x14ac:dyDescent="0.2">
      <c r="H15047" s="128"/>
    </row>
    <row r="15048" spans="8:8" s="120" customFormat="1" ht="11.25" customHeight="1" x14ac:dyDescent="0.2">
      <c r="H15048" s="128"/>
    </row>
    <row r="15049" spans="8:8" s="120" customFormat="1" ht="11.25" customHeight="1" x14ac:dyDescent="0.2">
      <c r="H15049" s="128"/>
    </row>
    <row r="15050" spans="8:8" s="120" customFormat="1" ht="11.25" customHeight="1" x14ac:dyDescent="0.2">
      <c r="H15050" s="128"/>
    </row>
    <row r="15051" spans="8:8" s="120" customFormat="1" ht="11.25" customHeight="1" x14ac:dyDescent="0.2">
      <c r="H15051" s="128"/>
    </row>
    <row r="15052" spans="8:8" s="120" customFormat="1" ht="11.25" customHeight="1" x14ac:dyDescent="0.2">
      <c r="H15052" s="128"/>
    </row>
    <row r="15053" spans="8:8" s="120" customFormat="1" ht="11.25" customHeight="1" x14ac:dyDescent="0.2">
      <c r="H15053" s="128"/>
    </row>
    <row r="15054" spans="8:8" s="120" customFormat="1" ht="11.25" customHeight="1" x14ac:dyDescent="0.2">
      <c r="H15054" s="128"/>
    </row>
    <row r="15055" spans="8:8" s="120" customFormat="1" ht="11.25" customHeight="1" x14ac:dyDescent="0.2">
      <c r="H15055" s="128"/>
    </row>
    <row r="15056" spans="8:8" s="120" customFormat="1" ht="11.25" customHeight="1" x14ac:dyDescent="0.2">
      <c r="H15056" s="128"/>
    </row>
    <row r="15057" spans="8:8" s="120" customFormat="1" ht="11.25" customHeight="1" x14ac:dyDescent="0.2">
      <c r="H15057" s="128"/>
    </row>
    <row r="15058" spans="8:8" s="120" customFormat="1" ht="11.25" customHeight="1" x14ac:dyDescent="0.2">
      <c r="H15058" s="128"/>
    </row>
    <row r="15059" spans="8:8" s="120" customFormat="1" ht="11.25" customHeight="1" x14ac:dyDescent="0.2">
      <c r="H15059" s="128"/>
    </row>
    <row r="15060" spans="8:8" s="120" customFormat="1" ht="11.25" customHeight="1" x14ac:dyDescent="0.2">
      <c r="H15060" s="128"/>
    </row>
    <row r="15061" spans="8:8" s="120" customFormat="1" ht="11.25" customHeight="1" x14ac:dyDescent="0.2">
      <c r="H15061" s="128"/>
    </row>
    <row r="15062" spans="8:8" s="120" customFormat="1" ht="11.25" customHeight="1" x14ac:dyDescent="0.2">
      <c r="H15062" s="128"/>
    </row>
    <row r="15063" spans="8:8" s="120" customFormat="1" ht="11.25" customHeight="1" x14ac:dyDescent="0.2">
      <c r="H15063" s="128"/>
    </row>
    <row r="15064" spans="8:8" s="120" customFormat="1" ht="11.25" customHeight="1" x14ac:dyDescent="0.2">
      <c r="H15064" s="128"/>
    </row>
    <row r="15065" spans="8:8" s="120" customFormat="1" ht="11.25" customHeight="1" x14ac:dyDescent="0.2">
      <c r="H15065" s="128"/>
    </row>
    <row r="15066" spans="8:8" s="120" customFormat="1" ht="11.25" customHeight="1" x14ac:dyDescent="0.2">
      <c r="H15066" s="128"/>
    </row>
    <row r="15067" spans="8:8" s="120" customFormat="1" ht="11.25" customHeight="1" x14ac:dyDescent="0.2">
      <c r="H15067" s="128"/>
    </row>
    <row r="15068" spans="8:8" s="120" customFormat="1" ht="11.25" customHeight="1" x14ac:dyDescent="0.2">
      <c r="H15068" s="128"/>
    </row>
    <row r="15069" spans="8:8" s="120" customFormat="1" ht="11.25" customHeight="1" x14ac:dyDescent="0.2">
      <c r="H15069" s="128"/>
    </row>
    <row r="15070" spans="8:8" s="120" customFormat="1" ht="11.25" customHeight="1" x14ac:dyDescent="0.2">
      <c r="H15070" s="128"/>
    </row>
    <row r="15071" spans="8:8" s="120" customFormat="1" ht="11.25" customHeight="1" x14ac:dyDescent="0.2">
      <c r="H15071" s="128"/>
    </row>
    <row r="15072" spans="8:8" s="120" customFormat="1" ht="11.25" customHeight="1" x14ac:dyDescent="0.2">
      <c r="H15072" s="128"/>
    </row>
    <row r="15073" spans="8:8" s="120" customFormat="1" ht="11.25" customHeight="1" x14ac:dyDescent="0.2">
      <c r="H15073" s="128"/>
    </row>
    <row r="15074" spans="8:8" s="120" customFormat="1" ht="11.25" customHeight="1" x14ac:dyDescent="0.2">
      <c r="H15074" s="128"/>
    </row>
    <row r="15075" spans="8:8" s="120" customFormat="1" ht="11.25" customHeight="1" x14ac:dyDescent="0.2">
      <c r="H15075" s="128"/>
    </row>
    <row r="15076" spans="8:8" s="120" customFormat="1" ht="11.25" customHeight="1" x14ac:dyDescent="0.2">
      <c r="H15076" s="128"/>
    </row>
    <row r="15077" spans="8:8" s="120" customFormat="1" ht="11.25" customHeight="1" x14ac:dyDescent="0.2">
      <c r="H15077" s="128"/>
    </row>
    <row r="15078" spans="8:8" s="120" customFormat="1" ht="11.25" customHeight="1" x14ac:dyDescent="0.2">
      <c r="H15078" s="128"/>
    </row>
    <row r="15079" spans="8:8" s="120" customFormat="1" ht="11.25" customHeight="1" x14ac:dyDescent="0.2">
      <c r="H15079" s="128"/>
    </row>
    <row r="15080" spans="8:8" s="120" customFormat="1" ht="11.25" customHeight="1" x14ac:dyDescent="0.2">
      <c r="H15080" s="128"/>
    </row>
    <row r="15081" spans="8:8" s="120" customFormat="1" ht="11.25" customHeight="1" x14ac:dyDescent="0.2">
      <c r="H15081" s="128"/>
    </row>
    <row r="15082" spans="8:8" s="120" customFormat="1" ht="11.25" customHeight="1" x14ac:dyDescent="0.2">
      <c r="H15082" s="128"/>
    </row>
    <row r="15083" spans="8:8" s="120" customFormat="1" ht="11.25" customHeight="1" x14ac:dyDescent="0.2">
      <c r="H15083" s="128"/>
    </row>
    <row r="15084" spans="8:8" s="120" customFormat="1" ht="11.25" customHeight="1" x14ac:dyDescent="0.2">
      <c r="H15084" s="128"/>
    </row>
    <row r="15085" spans="8:8" s="120" customFormat="1" ht="11.25" customHeight="1" x14ac:dyDescent="0.2">
      <c r="H15085" s="128"/>
    </row>
    <row r="15086" spans="8:8" s="120" customFormat="1" ht="11.25" customHeight="1" x14ac:dyDescent="0.2">
      <c r="H15086" s="128"/>
    </row>
    <row r="15087" spans="8:8" s="120" customFormat="1" ht="11.25" customHeight="1" x14ac:dyDescent="0.2">
      <c r="H15087" s="128"/>
    </row>
    <row r="15088" spans="8:8" s="120" customFormat="1" ht="11.25" customHeight="1" x14ac:dyDescent="0.2">
      <c r="H15088" s="128"/>
    </row>
    <row r="15089" spans="8:8" s="120" customFormat="1" ht="11.25" customHeight="1" x14ac:dyDescent="0.2">
      <c r="H15089" s="128"/>
    </row>
    <row r="15090" spans="8:8" s="120" customFormat="1" ht="11.25" customHeight="1" x14ac:dyDescent="0.2">
      <c r="H15090" s="128"/>
    </row>
    <row r="15091" spans="8:8" s="120" customFormat="1" ht="11.25" customHeight="1" x14ac:dyDescent="0.2">
      <c r="H15091" s="128"/>
    </row>
    <row r="15092" spans="8:8" s="120" customFormat="1" ht="11.25" customHeight="1" x14ac:dyDescent="0.2">
      <c r="H15092" s="128"/>
    </row>
    <row r="15093" spans="8:8" s="120" customFormat="1" ht="11.25" customHeight="1" x14ac:dyDescent="0.2">
      <c r="H15093" s="128"/>
    </row>
    <row r="15094" spans="8:8" s="120" customFormat="1" ht="11.25" customHeight="1" x14ac:dyDescent="0.2">
      <c r="H15094" s="128"/>
    </row>
    <row r="15095" spans="8:8" s="120" customFormat="1" ht="11.25" customHeight="1" x14ac:dyDescent="0.2">
      <c r="H15095" s="128"/>
    </row>
    <row r="15096" spans="8:8" s="120" customFormat="1" ht="11.25" customHeight="1" x14ac:dyDescent="0.2">
      <c r="H15096" s="128"/>
    </row>
    <row r="15097" spans="8:8" s="120" customFormat="1" ht="11.25" customHeight="1" x14ac:dyDescent="0.2">
      <c r="H15097" s="128"/>
    </row>
    <row r="15098" spans="8:8" s="120" customFormat="1" ht="11.25" customHeight="1" x14ac:dyDescent="0.2">
      <c r="H15098" s="128"/>
    </row>
    <row r="15099" spans="8:8" s="120" customFormat="1" ht="11.25" customHeight="1" x14ac:dyDescent="0.2">
      <c r="H15099" s="128"/>
    </row>
    <row r="15100" spans="8:8" s="120" customFormat="1" ht="11.25" customHeight="1" x14ac:dyDescent="0.2">
      <c r="H15100" s="128"/>
    </row>
    <row r="15101" spans="8:8" s="120" customFormat="1" ht="11.25" customHeight="1" x14ac:dyDescent="0.2">
      <c r="H15101" s="128"/>
    </row>
    <row r="15102" spans="8:8" s="120" customFormat="1" ht="11.25" customHeight="1" x14ac:dyDescent="0.2">
      <c r="H15102" s="128"/>
    </row>
    <row r="15103" spans="8:8" s="120" customFormat="1" ht="11.25" customHeight="1" x14ac:dyDescent="0.2">
      <c r="H15103" s="128"/>
    </row>
    <row r="15104" spans="8:8" s="120" customFormat="1" ht="11.25" customHeight="1" x14ac:dyDescent="0.2">
      <c r="H15104" s="128"/>
    </row>
    <row r="15105" spans="8:8" s="120" customFormat="1" ht="11.25" customHeight="1" x14ac:dyDescent="0.2">
      <c r="H15105" s="128"/>
    </row>
    <row r="15106" spans="8:8" s="120" customFormat="1" ht="11.25" customHeight="1" x14ac:dyDescent="0.2">
      <c r="H15106" s="128"/>
    </row>
    <row r="15107" spans="8:8" s="120" customFormat="1" ht="11.25" customHeight="1" x14ac:dyDescent="0.2">
      <c r="H15107" s="128"/>
    </row>
    <row r="15108" spans="8:8" s="120" customFormat="1" ht="11.25" customHeight="1" x14ac:dyDescent="0.2">
      <c r="H15108" s="128"/>
    </row>
    <row r="15109" spans="8:8" s="120" customFormat="1" ht="11.25" customHeight="1" x14ac:dyDescent="0.2">
      <c r="H15109" s="128"/>
    </row>
    <row r="15110" spans="8:8" s="120" customFormat="1" ht="11.25" customHeight="1" x14ac:dyDescent="0.2">
      <c r="H15110" s="128"/>
    </row>
    <row r="15111" spans="8:8" s="120" customFormat="1" ht="11.25" customHeight="1" x14ac:dyDescent="0.2">
      <c r="H15111" s="128"/>
    </row>
    <row r="15112" spans="8:8" s="120" customFormat="1" ht="11.25" customHeight="1" x14ac:dyDescent="0.2">
      <c r="H15112" s="128"/>
    </row>
    <row r="15113" spans="8:8" s="120" customFormat="1" ht="11.25" customHeight="1" x14ac:dyDescent="0.2">
      <c r="H15113" s="128"/>
    </row>
    <row r="15114" spans="8:8" s="120" customFormat="1" ht="11.25" customHeight="1" x14ac:dyDescent="0.2">
      <c r="H15114" s="128"/>
    </row>
    <row r="15115" spans="8:8" s="120" customFormat="1" ht="11.25" customHeight="1" x14ac:dyDescent="0.2">
      <c r="H15115" s="128"/>
    </row>
    <row r="15116" spans="8:8" s="120" customFormat="1" ht="11.25" customHeight="1" x14ac:dyDescent="0.2">
      <c r="H15116" s="128"/>
    </row>
    <row r="15117" spans="8:8" s="120" customFormat="1" ht="11.25" customHeight="1" x14ac:dyDescent="0.2">
      <c r="H15117" s="128"/>
    </row>
    <row r="15118" spans="8:8" s="120" customFormat="1" ht="11.25" customHeight="1" x14ac:dyDescent="0.2">
      <c r="H15118" s="128"/>
    </row>
    <row r="15119" spans="8:8" s="120" customFormat="1" ht="11.25" customHeight="1" x14ac:dyDescent="0.2">
      <c r="H15119" s="128"/>
    </row>
    <row r="15120" spans="8:8" s="120" customFormat="1" ht="11.25" customHeight="1" x14ac:dyDescent="0.2">
      <c r="H15120" s="128"/>
    </row>
    <row r="15121" spans="8:8" s="120" customFormat="1" ht="11.25" customHeight="1" x14ac:dyDescent="0.2">
      <c r="H15121" s="128"/>
    </row>
    <row r="15122" spans="8:8" s="120" customFormat="1" ht="11.25" customHeight="1" x14ac:dyDescent="0.2">
      <c r="H15122" s="128"/>
    </row>
    <row r="15123" spans="8:8" s="120" customFormat="1" ht="11.25" customHeight="1" x14ac:dyDescent="0.2">
      <c r="H15123" s="128"/>
    </row>
    <row r="15124" spans="8:8" s="120" customFormat="1" ht="11.25" customHeight="1" x14ac:dyDescent="0.2">
      <c r="H15124" s="128"/>
    </row>
    <row r="15125" spans="8:8" s="120" customFormat="1" ht="11.25" customHeight="1" x14ac:dyDescent="0.2">
      <c r="H15125" s="128"/>
    </row>
    <row r="15126" spans="8:8" s="120" customFormat="1" ht="11.25" customHeight="1" x14ac:dyDescent="0.2">
      <c r="H15126" s="128"/>
    </row>
    <row r="15127" spans="8:8" s="120" customFormat="1" ht="11.25" customHeight="1" x14ac:dyDescent="0.2">
      <c r="H15127" s="128"/>
    </row>
    <row r="15128" spans="8:8" s="120" customFormat="1" ht="11.25" customHeight="1" x14ac:dyDescent="0.2">
      <c r="H15128" s="128"/>
    </row>
    <row r="15129" spans="8:8" s="120" customFormat="1" ht="11.25" customHeight="1" x14ac:dyDescent="0.2">
      <c r="H15129" s="128"/>
    </row>
    <row r="15130" spans="8:8" s="120" customFormat="1" ht="11.25" customHeight="1" x14ac:dyDescent="0.2">
      <c r="H15130" s="128"/>
    </row>
    <row r="15131" spans="8:8" s="120" customFormat="1" ht="11.25" customHeight="1" x14ac:dyDescent="0.2">
      <c r="H15131" s="128"/>
    </row>
    <row r="15132" spans="8:8" s="120" customFormat="1" ht="11.25" customHeight="1" x14ac:dyDescent="0.2">
      <c r="H15132" s="128"/>
    </row>
    <row r="15133" spans="8:8" s="120" customFormat="1" ht="11.25" customHeight="1" x14ac:dyDescent="0.2">
      <c r="H15133" s="128"/>
    </row>
    <row r="15134" spans="8:8" s="120" customFormat="1" ht="11.25" customHeight="1" x14ac:dyDescent="0.2">
      <c r="H15134" s="128"/>
    </row>
    <row r="15135" spans="8:8" s="120" customFormat="1" ht="11.25" customHeight="1" x14ac:dyDescent="0.2">
      <c r="H15135" s="128"/>
    </row>
    <row r="15136" spans="8:8" s="120" customFormat="1" ht="11.25" customHeight="1" x14ac:dyDescent="0.2">
      <c r="H15136" s="128"/>
    </row>
    <row r="15137" spans="8:8" s="120" customFormat="1" ht="11.25" customHeight="1" x14ac:dyDescent="0.2">
      <c r="H15137" s="128"/>
    </row>
    <row r="15138" spans="8:8" s="120" customFormat="1" ht="11.25" customHeight="1" x14ac:dyDescent="0.2">
      <c r="H15138" s="128"/>
    </row>
    <row r="15139" spans="8:8" s="120" customFormat="1" ht="11.25" customHeight="1" x14ac:dyDescent="0.2">
      <c r="H15139" s="128"/>
    </row>
    <row r="15140" spans="8:8" s="120" customFormat="1" ht="11.25" customHeight="1" x14ac:dyDescent="0.2">
      <c r="H15140" s="128"/>
    </row>
    <row r="15141" spans="8:8" s="120" customFormat="1" ht="11.25" customHeight="1" x14ac:dyDescent="0.2">
      <c r="H15141" s="128"/>
    </row>
    <row r="15142" spans="8:8" s="120" customFormat="1" ht="11.25" customHeight="1" x14ac:dyDescent="0.2">
      <c r="H15142" s="128"/>
    </row>
    <row r="15143" spans="8:8" s="120" customFormat="1" ht="11.25" customHeight="1" x14ac:dyDescent="0.2">
      <c r="H15143" s="128"/>
    </row>
    <row r="15144" spans="8:8" s="120" customFormat="1" ht="11.25" customHeight="1" x14ac:dyDescent="0.2">
      <c r="H15144" s="128"/>
    </row>
    <row r="15145" spans="8:8" s="120" customFormat="1" ht="11.25" customHeight="1" x14ac:dyDescent="0.2">
      <c r="H15145" s="128"/>
    </row>
    <row r="15146" spans="8:8" s="120" customFormat="1" ht="11.25" customHeight="1" x14ac:dyDescent="0.2">
      <c r="H15146" s="128"/>
    </row>
    <row r="15147" spans="8:8" s="120" customFormat="1" ht="11.25" customHeight="1" x14ac:dyDescent="0.2">
      <c r="H15147" s="128"/>
    </row>
    <row r="15148" spans="8:8" s="120" customFormat="1" ht="11.25" customHeight="1" x14ac:dyDescent="0.2">
      <c r="H15148" s="128"/>
    </row>
    <row r="15149" spans="8:8" s="120" customFormat="1" ht="11.25" customHeight="1" x14ac:dyDescent="0.2">
      <c r="H15149" s="128"/>
    </row>
    <row r="15150" spans="8:8" s="120" customFormat="1" ht="11.25" customHeight="1" x14ac:dyDescent="0.2">
      <c r="H15150" s="128"/>
    </row>
    <row r="15151" spans="8:8" s="120" customFormat="1" ht="11.25" customHeight="1" x14ac:dyDescent="0.2">
      <c r="H15151" s="128"/>
    </row>
    <row r="15152" spans="8:8" s="120" customFormat="1" ht="11.25" customHeight="1" x14ac:dyDescent="0.2">
      <c r="H15152" s="128"/>
    </row>
    <row r="15153" spans="8:8" s="120" customFormat="1" ht="11.25" customHeight="1" x14ac:dyDescent="0.2">
      <c r="H15153" s="128"/>
    </row>
    <row r="15154" spans="8:8" s="120" customFormat="1" ht="11.25" customHeight="1" x14ac:dyDescent="0.2">
      <c r="H15154" s="128"/>
    </row>
    <row r="15155" spans="8:8" s="120" customFormat="1" ht="11.25" customHeight="1" x14ac:dyDescent="0.2">
      <c r="H15155" s="128"/>
    </row>
    <row r="15156" spans="8:8" s="120" customFormat="1" ht="11.25" customHeight="1" x14ac:dyDescent="0.2">
      <c r="H15156" s="128"/>
    </row>
    <row r="15157" spans="8:8" s="120" customFormat="1" ht="11.25" customHeight="1" x14ac:dyDescent="0.2">
      <c r="H15157" s="128"/>
    </row>
    <row r="15158" spans="8:8" s="120" customFormat="1" ht="11.25" customHeight="1" x14ac:dyDescent="0.2">
      <c r="H15158" s="128"/>
    </row>
    <row r="15159" spans="8:8" s="120" customFormat="1" ht="11.25" customHeight="1" x14ac:dyDescent="0.2">
      <c r="H15159" s="128"/>
    </row>
    <row r="15160" spans="8:8" s="120" customFormat="1" ht="11.25" customHeight="1" x14ac:dyDescent="0.2">
      <c r="H15160" s="128"/>
    </row>
    <row r="15161" spans="8:8" s="120" customFormat="1" ht="11.25" customHeight="1" x14ac:dyDescent="0.2">
      <c r="H15161" s="128"/>
    </row>
    <row r="15162" spans="8:8" s="120" customFormat="1" ht="11.25" customHeight="1" x14ac:dyDescent="0.2">
      <c r="H15162" s="128"/>
    </row>
    <row r="15163" spans="8:8" s="120" customFormat="1" ht="11.25" customHeight="1" x14ac:dyDescent="0.2">
      <c r="H15163" s="128"/>
    </row>
    <row r="15164" spans="8:8" s="120" customFormat="1" ht="11.25" customHeight="1" x14ac:dyDescent="0.2">
      <c r="H15164" s="128"/>
    </row>
    <row r="15165" spans="8:8" s="120" customFormat="1" ht="11.25" customHeight="1" x14ac:dyDescent="0.2">
      <c r="H15165" s="128"/>
    </row>
    <row r="15166" spans="8:8" s="120" customFormat="1" ht="11.25" customHeight="1" x14ac:dyDescent="0.2">
      <c r="H15166" s="128"/>
    </row>
    <row r="15167" spans="8:8" s="120" customFormat="1" ht="11.25" customHeight="1" x14ac:dyDescent="0.2">
      <c r="H15167" s="128"/>
    </row>
    <row r="15168" spans="8:8" s="120" customFormat="1" ht="11.25" customHeight="1" x14ac:dyDescent="0.2">
      <c r="H15168" s="128"/>
    </row>
    <row r="15169" spans="8:8" s="120" customFormat="1" ht="11.25" customHeight="1" x14ac:dyDescent="0.2">
      <c r="H15169" s="128"/>
    </row>
    <row r="15170" spans="8:8" s="120" customFormat="1" ht="11.25" customHeight="1" x14ac:dyDescent="0.2">
      <c r="H15170" s="128"/>
    </row>
    <row r="15171" spans="8:8" s="120" customFormat="1" ht="11.25" customHeight="1" x14ac:dyDescent="0.2">
      <c r="H15171" s="128"/>
    </row>
    <row r="15172" spans="8:8" s="120" customFormat="1" ht="11.25" customHeight="1" x14ac:dyDescent="0.2">
      <c r="H15172" s="128"/>
    </row>
    <row r="15173" spans="8:8" s="120" customFormat="1" ht="11.25" customHeight="1" x14ac:dyDescent="0.2">
      <c r="H15173" s="128"/>
    </row>
    <row r="15174" spans="8:8" s="120" customFormat="1" ht="11.25" customHeight="1" x14ac:dyDescent="0.2">
      <c r="H15174" s="128"/>
    </row>
    <row r="15175" spans="8:8" s="120" customFormat="1" ht="11.25" customHeight="1" x14ac:dyDescent="0.2">
      <c r="H15175" s="128"/>
    </row>
    <row r="15176" spans="8:8" s="120" customFormat="1" ht="11.25" customHeight="1" x14ac:dyDescent="0.2">
      <c r="H15176" s="128"/>
    </row>
    <row r="15177" spans="8:8" s="120" customFormat="1" ht="11.25" customHeight="1" x14ac:dyDescent="0.2">
      <c r="H15177" s="128"/>
    </row>
    <row r="15178" spans="8:8" s="120" customFormat="1" ht="11.25" customHeight="1" x14ac:dyDescent="0.2">
      <c r="H15178" s="128"/>
    </row>
    <row r="15179" spans="8:8" s="120" customFormat="1" ht="11.25" customHeight="1" x14ac:dyDescent="0.2">
      <c r="H15179" s="128"/>
    </row>
    <row r="15180" spans="8:8" s="120" customFormat="1" ht="11.25" customHeight="1" x14ac:dyDescent="0.2">
      <c r="H15180" s="128"/>
    </row>
    <row r="15181" spans="8:8" s="120" customFormat="1" ht="11.25" customHeight="1" x14ac:dyDescent="0.2">
      <c r="H15181" s="128"/>
    </row>
    <row r="15182" spans="8:8" s="120" customFormat="1" ht="11.25" customHeight="1" x14ac:dyDescent="0.2">
      <c r="H15182" s="128"/>
    </row>
    <row r="15183" spans="8:8" s="120" customFormat="1" ht="11.25" customHeight="1" x14ac:dyDescent="0.2">
      <c r="H15183" s="128"/>
    </row>
    <row r="15184" spans="8:8" s="120" customFormat="1" ht="11.25" customHeight="1" x14ac:dyDescent="0.2">
      <c r="H15184" s="128"/>
    </row>
    <row r="15185" spans="8:8" s="120" customFormat="1" ht="11.25" customHeight="1" x14ac:dyDescent="0.2">
      <c r="H15185" s="128"/>
    </row>
    <row r="15186" spans="8:8" s="120" customFormat="1" ht="11.25" customHeight="1" x14ac:dyDescent="0.2">
      <c r="H15186" s="128"/>
    </row>
    <row r="15187" spans="8:8" s="120" customFormat="1" ht="11.25" customHeight="1" x14ac:dyDescent="0.2">
      <c r="H15187" s="128"/>
    </row>
    <row r="15188" spans="8:8" s="120" customFormat="1" ht="11.25" customHeight="1" x14ac:dyDescent="0.2">
      <c r="H15188" s="128"/>
    </row>
    <row r="15189" spans="8:8" s="120" customFormat="1" ht="11.25" customHeight="1" x14ac:dyDescent="0.2">
      <c r="H15189" s="128"/>
    </row>
    <row r="15190" spans="8:8" s="120" customFormat="1" ht="11.25" customHeight="1" x14ac:dyDescent="0.2">
      <c r="H15190" s="128"/>
    </row>
    <row r="15191" spans="8:8" s="120" customFormat="1" ht="11.25" customHeight="1" x14ac:dyDescent="0.2">
      <c r="H15191" s="128"/>
    </row>
    <row r="15192" spans="8:8" s="120" customFormat="1" ht="11.25" customHeight="1" x14ac:dyDescent="0.2">
      <c r="H15192" s="128"/>
    </row>
    <row r="15193" spans="8:8" s="120" customFormat="1" ht="11.25" customHeight="1" x14ac:dyDescent="0.2">
      <c r="H15193" s="128"/>
    </row>
    <row r="15194" spans="8:8" s="120" customFormat="1" ht="11.25" customHeight="1" x14ac:dyDescent="0.2">
      <c r="H15194" s="128"/>
    </row>
    <row r="15195" spans="8:8" s="120" customFormat="1" ht="11.25" customHeight="1" x14ac:dyDescent="0.2">
      <c r="H15195" s="128"/>
    </row>
    <row r="15196" spans="8:8" s="120" customFormat="1" ht="11.25" customHeight="1" x14ac:dyDescent="0.2">
      <c r="H15196" s="128"/>
    </row>
    <row r="15197" spans="8:8" s="120" customFormat="1" ht="11.25" customHeight="1" x14ac:dyDescent="0.2">
      <c r="H15197" s="128"/>
    </row>
    <row r="15198" spans="8:8" s="120" customFormat="1" ht="11.25" customHeight="1" x14ac:dyDescent="0.2">
      <c r="H15198" s="128"/>
    </row>
    <row r="15199" spans="8:8" s="120" customFormat="1" ht="11.25" customHeight="1" x14ac:dyDescent="0.2">
      <c r="H15199" s="128"/>
    </row>
    <row r="15200" spans="8:8" s="120" customFormat="1" ht="11.25" customHeight="1" x14ac:dyDescent="0.2">
      <c r="H15200" s="128"/>
    </row>
    <row r="15201" spans="8:8" s="120" customFormat="1" ht="11.25" customHeight="1" x14ac:dyDescent="0.2">
      <c r="H15201" s="128"/>
    </row>
    <row r="15202" spans="8:8" s="120" customFormat="1" ht="11.25" customHeight="1" x14ac:dyDescent="0.2">
      <c r="H15202" s="128"/>
    </row>
    <row r="15203" spans="8:8" s="120" customFormat="1" ht="11.25" customHeight="1" x14ac:dyDescent="0.2">
      <c r="H15203" s="128"/>
    </row>
    <row r="15204" spans="8:8" s="120" customFormat="1" ht="11.25" customHeight="1" x14ac:dyDescent="0.2">
      <c r="H15204" s="128"/>
    </row>
    <row r="15205" spans="8:8" s="120" customFormat="1" ht="11.25" customHeight="1" x14ac:dyDescent="0.2">
      <c r="H15205" s="128"/>
    </row>
    <row r="15206" spans="8:8" s="120" customFormat="1" ht="11.25" customHeight="1" x14ac:dyDescent="0.2">
      <c r="H15206" s="128"/>
    </row>
    <row r="15207" spans="8:8" s="120" customFormat="1" ht="11.25" customHeight="1" x14ac:dyDescent="0.2">
      <c r="H15207" s="128"/>
    </row>
    <row r="15208" spans="8:8" s="120" customFormat="1" ht="11.25" customHeight="1" x14ac:dyDescent="0.2">
      <c r="H15208" s="128"/>
    </row>
    <row r="15209" spans="8:8" s="120" customFormat="1" ht="11.25" customHeight="1" x14ac:dyDescent="0.2">
      <c r="H15209" s="128"/>
    </row>
    <row r="15210" spans="8:8" s="120" customFormat="1" ht="11.25" customHeight="1" x14ac:dyDescent="0.2">
      <c r="H15210" s="128"/>
    </row>
    <row r="15211" spans="8:8" s="120" customFormat="1" ht="11.25" customHeight="1" x14ac:dyDescent="0.2">
      <c r="H15211" s="128"/>
    </row>
    <row r="15212" spans="8:8" s="120" customFormat="1" ht="11.25" customHeight="1" x14ac:dyDescent="0.2">
      <c r="H15212" s="128"/>
    </row>
    <row r="15213" spans="8:8" s="120" customFormat="1" ht="11.25" customHeight="1" x14ac:dyDescent="0.2">
      <c r="H15213" s="128"/>
    </row>
    <row r="15214" spans="8:8" s="120" customFormat="1" ht="11.25" customHeight="1" x14ac:dyDescent="0.2">
      <c r="H15214" s="128"/>
    </row>
    <row r="15215" spans="8:8" s="120" customFormat="1" ht="11.25" customHeight="1" x14ac:dyDescent="0.2">
      <c r="H15215" s="128"/>
    </row>
    <row r="15216" spans="8:8" s="120" customFormat="1" ht="11.25" customHeight="1" x14ac:dyDescent="0.2">
      <c r="H15216" s="128"/>
    </row>
    <row r="15217" spans="8:8" s="120" customFormat="1" ht="11.25" customHeight="1" x14ac:dyDescent="0.2">
      <c r="H15217" s="128"/>
    </row>
    <row r="15218" spans="8:8" s="120" customFormat="1" ht="11.25" customHeight="1" x14ac:dyDescent="0.2">
      <c r="H15218" s="128"/>
    </row>
    <row r="15219" spans="8:8" s="120" customFormat="1" ht="11.25" customHeight="1" x14ac:dyDescent="0.2">
      <c r="H15219" s="128"/>
    </row>
    <row r="15220" spans="8:8" s="120" customFormat="1" ht="11.25" customHeight="1" x14ac:dyDescent="0.2">
      <c r="H15220" s="128"/>
    </row>
    <row r="15221" spans="8:8" s="120" customFormat="1" ht="11.25" customHeight="1" x14ac:dyDescent="0.2">
      <c r="H15221" s="128"/>
    </row>
    <row r="15222" spans="8:8" s="120" customFormat="1" ht="11.25" customHeight="1" x14ac:dyDescent="0.2">
      <c r="H15222" s="128"/>
    </row>
    <row r="15223" spans="8:8" s="120" customFormat="1" ht="11.25" customHeight="1" x14ac:dyDescent="0.2">
      <c r="H15223" s="128"/>
    </row>
    <row r="15224" spans="8:8" s="120" customFormat="1" ht="11.25" customHeight="1" x14ac:dyDescent="0.2">
      <c r="H15224" s="128"/>
    </row>
    <row r="15225" spans="8:8" s="120" customFormat="1" ht="11.25" customHeight="1" x14ac:dyDescent="0.2">
      <c r="H15225" s="128"/>
    </row>
    <row r="15226" spans="8:8" s="120" customFormat="1" ht="11.25" customHeight="1" x14ac:dyDescent="0.2">
      <c r="H15226" s="128"/>
    </row>
    <row r="15227" spans="8:8" s="120" customFormat="1" ht="11.25" customHeight="1" x14ac:dyDescent="0.2">
      <c r="H15227" s="128"/>
    </row>
    <row r="15228" spans="8:8" s="120" customFormat="1" ht="11.25" customHeight="1" x14ac:dyDescent="0.2">
      <c r="H15228" s="128"/>
    </row>
    <row r="15229" spans="8:8" s="120" customFormat="1" ht="11.25" customHeight="1" x14ac:dyDescent="0.2">
      <c r="H15229" s="128"/>
    </row>
    <row r="15230" spans="8:8" s="120" customFormat="1" ht="11.25" customHeight="1" x14ac:dyDescent="0.2">
      <c r="H15230" s="128"/>
    </row>
    <row r="15231" spans="8:8" s="120" customFormat="1" ht="11.25" customHeight="1" x14ac:dyDescent="0.2">
      <c r="H15231" s="128"/>
    </row>
    <row r="15232" spans="8:8" s="120" customFormat="1" ht="11.25" customHeight="1" x14ac:dyDescent="0.2">
      <c r="H15232" s="128"/>
    </row>
    <row r="15233" spans="8:8" s="120" customFormat="1" ht="11.25" customHeight="1" x14ac:dyDescent="0.2">
      <c r="H15233" s="128"/>
    </row>
    <row r="15234" spans="8:8" s="120" customFormat="1" ht="11.25" customHeight="1" x14ac:dyDescent="0.2">
      <c r="H15234" s="128"/>
    </row>
    <row r="15235" spans="8:8" s="120" customFormat="1" ht="11.25" customHeight="1" x14ac:dyDescent="0.2">
      <c r="H15235" s="128"/>
    </row>
    <row r="15236" spans="8:8" s="120" customFormat="1" ht="11.25" customHeight="1" x14ac:dyDescent="0.2">
      <c r="H15236" s="128"/>
    </row>
    <row r="15237" spans="8:8" s="120" customFormat="1" ht="11.25" customHeight="1" x14ac:dyDescent="0.2">
      <c r="H15237" s="128"/>
    </row>
    <row r="15238" spans="8:8" s="120" customFormat="1" ht="11.25" customHeight="1" x14ac:dyDescent="0.2">
      <c r="H15238" s="128"/>
    </row>
    <row r="15239" spans="8:8" s="120" customFormat="1" ht="11.25" customHeight="1" x14ac:dyDescent="0.2">
      <c r="H15239" s="128"/>
    </row>
    <row r="15240" spans="8:8" s="120" customFormat="1" ht="11.25" customHeight="1" x14ac:dyDescent="0.2">
      <c r="H15240" s="128"/>
    </row>
    <row r="15241" spans="8:8" s="120" customFormat="1" ht="11.25" customHeight="1" x14ac:dyDescent="0.2">
      <c r="H15241" s="128"/>
    </row>
    <row r="15242" spans="8:8" s="120" customFormat="1" ht="11.25" customHeight="1" x14ac:dyDescent="0.2">
      <c r="H15242" s="128"/>
    </row>
    <row r="15243" spans="8:8" s="120" customFormat="1" ht="11.25" customHeight="1" x14ac:dyDescent="0.2">
      <c r="H15243" s="128"/>
    </row>
    <row r="15244" spans="8:8" s="120" customFormat="1" ht="11.25" customHeight="1" x14ac:dyDescent="0.2">
      <c r="H15244" s="128"/>
    </row>
    <row r="15245" spans="8:8" s="120" customFormat="1" ht="11.25" customHeight="1" x14ac:dyDescent="0.2">
      <c r="H15245" s="128"/>
    </row>
    <row r="15246" spans="8:8" s="120" customFormat="1" ht="11.25" customHeight="1" x14ac:dyDescent="0.2">
      <c r="H15246" s="128"/>
    </row>
    <row r="15247" spans="8:8" s="120" customFormat="1" ht="11.25" customHeight="1" x14ac:dyDescent="0.2">
      <c r="H15247" s="128"/>
    </row>
    <row r="15248" spans="8:8" s="120" customFormat="1" ht="11.25" customHeight="1" x14ac:dyDescent="0.2">
      <c r="H15248" s="128"/>
    </row>
    <row r="15249" spans="8:8" s="120" customFormat="1" ht="11.25" customHeight="1" x14ac:dyDescent="0.2">
      <c r="H15249" s="128"/>
    </row>
    <row r="15250" spans="8:8" s="120" customFormat="1" ht="11.25" customHeight="1" x14ac:dyDescent="0.2">
      <c r="H15250" s="128"/>
    </row>
    <row r="15251" spans="8:8" s="120" customFormat="1" ht="11.25" customHeight="1" x14ac:dyDescent="0.2">
      <c r="H15251" s="128"/>
    </row>
    <row r="15252" spans="8:8" s="120" customFormat="1" ht="11.25" customHeight="1" x14ac:dyDescent="0.2">
      <c r="H15252" s="128"/>
    </row>
    <row r="15253" spans="8:8" s="120" customFormat="1" ht="11.25" customHeight="1" x14ac:dyDescent="0.2">
      <c r="H15253" s="128"/>
    </row>
    <row r="15254" spans="8:8" s="120" customFormat="1" ht="11.25" customHeight="1" x14ac:dyDescent="0.2">
      <c r="H15254" s="128"/>
    </row>
    <row r="15255" spans="8:8" s="120" customFormat="1" ht="11.25" customHeight="1" x14ac:dyDescent="0.2">
      <c r="H15255" s="128"/>
    </row>
    <row r="15256" spans="8:8" s="120" customFormat="1" ht="11.25" customHeight="1" x14ac:dyDescent="0.2">
      <c r="H15256" s="128"/>
    </row>
    <row r="15257" spans="8:8" s="120" customFormat="1" ht="11.25" customHeight="1" x14ac:dyDescent="0.2">
      <c r="H15257" s="128"/>
    </row>
    <row r="15258" spans="8:8" s="120" customFormat="1" ht="11.25" customHeight="1" x14ac:dyDescent="0.2">
      <c r="H15258" s="128"/>
    </row>
    <row r="15259" spans="8:8" s="120" customFormat="1" ht="11.25" customHeight="1" x14ac:dyDescent="0.2">
      <c r="H15259" s="128"/>
    </row>
    <row r="15260" spans="8:8" s="120" customFormat="1" ht="11.25" customHeight="1" x14ac:dyDescent="0.2">
      <c r="H15260" s="128"/>
    </row>
    <row r="15261" spans="8:8" s="120" customFormat="1" ht="11.25" customHeight="1" x14ac:dyDescent="0.2">
      <c r="H15261" s="128"/>
    </row>
    <row r="15262" spans="8:8" s="120" customFormat="1" ht="11.25" customHeight="1" x14ac:dyDescent="0.2">
      <c r="H15262" s="128"/>
    </row>
    <row r="15263" spans="8:8" s="120" customFormat="1" ht="11.25" customHeight="1" x14ac:dyDescent="0.2">
      <c r="H15263" s="128"/>
    </row>
    <row r="15264" spans="8:8" s="120" customFormat="1" ht="11.25" customHeight="1" x14ac:dyDescent="0.2">
      <c r="H15264" s="128"/>
    </row>
    <row r="15265" spans="8:8" s="120" customFormat="1" ht="11.25" customHeight="1" x14ac:dyDescent="0.2">
      <c r="H15265" s="128"/>
    </row>
    <row r="15266" spans="8:8" s="120" customFormat="1" ht="11.25" customHeight="1" x14ac:dyDescent="0.2">
      <c r="H15266" s="128"/>
    </row>
    <row r="15267" spans="8:8" s="120" customFormat="1" ht="11.25" customHeight="1" x14ac:dyDescent="0.2">
      <c r="H15267" s="128"/>
    </row>
    <row r="15268" spans="8:8" s="120" customFormat="1" ht="11.25" customHeight="1" x14ac:dyDescent="0.2">
      <c r="H15268" s="128"/>
    </row>
    <row r="15269" spans="8:8" s="120" customFormat="1" ht="11.25" customHeight="1" x14ac:dyDescent="0.2">
      <c r="H15269" s="128"/>
    </row>
    <row r="15270" spans="8:8" s="120" customFormat="1" ht="11.25" customHeight="1" x14ac:dyDescent="0.2">
      <c r="H15270" s="128"/>
    </row>
    <row r="15271" spans="8:8" s="120" customFormat="1" ht="11.25" customHeight="1" x14ac:dyDescent="0.2">
      <c r="H15271" s="128"/>
    </row>
    <row r="15272" spans="8:8" s="120" customFormat="1" ht="11.25" customHeight="1" x14ac:dyDescent="0.2">
      <c r="H15272" s="128"/>
    </row>
    <row r="15273" spans="8:8" s="120" customFormat="1" ht="11.25" customHeight="1" x14ac:dyDescent="0.2">
      <c r="H15273" s="128"/>
    </row>
    <row r="15274" spans="8:8" s="120" customFormat="1" ht="11.25" customHeight="1" x14ac:dyDescent="0.2">
      <c r="H15274" s="128"/>
    </row>
    <row r="15275" spans="8:8" s="120" customFormat="1" ht="11.25" customHeight="1" x14ac:dyDescent="0.2">
      <c r="H15275" s="128"/>
    </row>
    <row r="15276" spans="8:8" s="120" customFormat="1" ht="11.25" customHeight="1" x14ac:dyDescent="0.2">
      <c r="H15276" s="128"/>
    </row>
    <row r="15277" spans="8:8" s="120" customFormat="1" ht="11.25" customHeight="1" x14ac:dyDescent="0.2">
      <c r="H15277" s="128"/>
    </row>
    <row r="15278" spans="8:8" s="120" customFormat="1" ht="11.25" customHeight="1" x14ac:dyDescent="0.2">
      <c r="H15278" s="128"/>
    </row>
    <row r="15279" spans="8:8" s="120" customFormat="1" ht="11.25" customHeight="1" x14ac:dyDescent="0.2">
      <c r="H15279" s="128"/>
    </row>
    <row r="15280" spans="8:8" s="120" customFormat="1" ht="11.25" customHeight="1" x14ac:dyDescent="0.2">
      <c r="H15280" s="128"/>
    </row>
    <row r="15281" spans="8:8" s="120" customFormat="1" ht="11.25" customHeight="1" x14ac:dyDescent="0.2">
      <c r="H15281" s="128"/>
    </row>
    <row r="15282" spans="8:8" s="120" customFormat="1" ht="11.25" customHeight="1" x14ac:dyDescent="0.2">
      <c r="H15282" s="128"/>
    </row>
    <row r="15283" spans="8:8" s="120" customFormat="1" ht="11.25" customHeight="1" x14ac:dyDescent="0.2">
      <c r="H15283" s="128"/>
    </row>
    <row r="15284" spans="8:8" s="120" customFormat="1" ht="11.25" customHeight="1" x14ac:dyDescent="0.2">
      <c r="H15284" s="128"/>
    </row>
    <row r="15285" spans="8:8" s="120" customFormat="1" ht="11.25" customHeight="1" x14ac:dyDescent="0.2">
      <c r="H15285" s="128"/>
    </row>
    <row r="15286" spans="8:8" s="120" customFormat="1" ht="11.25" customHeight="1" x14ac:dyDescent="0.2">
      <c r="H15286" s="128"/>
    </row>
    <row r="15287" spans="8:8" s="120" customFormat="1" ht="11.25" customHeight="1" x14ac:dyDescent="0.2">
      <c r="H15287" s="128"/>
    </row>
    <row r="15288" spans="8:8" s="120" customFormat="1" ht="11.25" customHeight="1" x14ac:dyDescent="0.2">
      <c r="H15288" s="128"/>
    </row>
    <row r="15289" spans="8:8" s="120" customFormat="1" ht="11.25" customHeight="1" x14ac:dyDescent="0.2">
      <c r="H15289" s="128"/>
    </row>
    <row r="15290" spans="8:8" s="120" customFormat="1" ht="11.25" customHeight="1" x14ac:dyDescent="0.2">
      <c r="H15290" s="128"/>
    </row>
    <row r="15291" spans="8:8" s="120" customFormat="1" ht="11.25" customHeight="1" x14ac:dyDescent="0.2">
      <c r="H15291" s="128"/>
    </row>
    <row r="15292" spans="8:8" s="120" customFormat="1" ht="11.25" customHeight="1" x14ac:dyDescent="0.2">
      <c r="H15292" s="128"/>
    </row>
    <row r="15293" spans="8:8" s="120" customFormat="1" ht="11.25" customHeight="1" x14ac:dyDescent="0.2">
      <c r="H15293" s="128"/>
    </row>
    <row r="15294" spans="8:8" s="120" customFormat="1" ht="11.25" customHeight="1" x14ac:dyDescent="0.2">
      <c r="H15294" s="128"/>
    </row>
    <row r="15295" spans="8:8" s="120" customFormat="1" ht="11.25" customHeight="1" x14ac:dyDescent="0.2">
      <c r="H15295" s="128"/>
    </row>
    <row r="15296" spans="8:8" s="120" customFormat="1" ht="11.25" customHeight="1" x14ac:dyDescent="0.2">
      <c r="H15296" s="128"/>
    </row>
    <row r="15297" spans="8:8" s="120" customFormat="1" ht="11.25" customHeight="1" x14ac:dyDescent="0.2">
      <c r="H15297" s="128"/>
    </row>
    <row r="15298" spans="8:8" s="120" customFormat="1" ht="11.25" customHeight="1" x14ac:dyDescent="0.2">
      <c r="H15298" s="128"/>
    </row>
    <row r="15299" spans="8:8" s="120" customFormat="1" ht="11.25" customHeight="1" x14ac:dyDescent="0.2">
      <c r="H15299" s="128"/>
    </row>
    <row r="15300" spans="8:8" s="120" customFormat="1" ht="11.25" customHeight="1" x14ac:dyDescent="0.2">
      <c r="H15300" s="128"/>
    </row>
    <row r="15301" spans="8:8" s="120" customFormat="1" ht="11.25" customHeight="1" x14ac:dyDescent="0.2">
      <c r="H15301" s="128"/>
    </row>
    <row r="15302" spans="8:8" s="120" customFormat="1" ht="11.25" customHeight="1" x14ac:dyDescent="0.2">
      <c r="H15302" s="128"/>
    </row>
    <row r="15303" spans="8:8" s="120" customFormat="1" ht="11.25" customHeight="1" x14ac:dyDescent="0.2">
      <c r="H15303" s="128"/>
    </row>
    <row r="15304" spans="8:8" s="120" customFormat="1" ht="11.25" customHeight="1" x14ac:dyDescent="0.2">
      <c r="H15304" s="128"/>
    </row>
    <row r="15305" spans="8:8" s="120" customFormat="1" ht="11.25" customHeight="1" x14ac:dyDescent="0.2">
      <c r="H15305" s="128"/>
    </row>
    <row r="15306" spans="8:8" s="120" customFormat="1" ht="11.25" customHeight="1" x14ac:dyDescent="0.2">
      <c r="H15306" s="128"/>
    </row>
    <row r="15307" spans="8:8" s="120" customFormat="1" ht="11.25" customHeight="1" x14ac:dyDescent="0.2">
      <c r="H15307" s="128"/>
    </row>
    <row r="15308" spans="8:8" s="120" customFormat="1" ht="11.25" customHeight="1" x14ac:dyDescent="0.2">
      <c r="H15308" s="128"/>
    </row>
    <row r="15309" spans="8:8" s="120" customFormat="1" ht="11.25" customHeight="1" x14ac:dyDescent="0.2">
      <c r="H15309" s="128"/>
    </row>
    <row r="15310" spans="8:8" s="120" customFormat="1" ht="11.25" customHeight="1" x14ac:dyDescent="0.2">
      <c r="H15310" s="128"/>
    </row>
    <row r="15311" spans="8:8" s="120" customFormat="1" ht="11.25" customHeight="1" x14ac:dyDescent="0.2">
      <c r="H15311" s="128"/>
    </row>
    <row r="15312" spans="8:8" s="120" customFormat="1" ht="11.25" customHeight="1" x14ac:dyDescent="0.2">
      <c r="H15312" s="128"/>
    </row>
    <row r="15313" spans="8:8" s="120" customFormat="1" ht="11.25" customHeight="1" x14ac:dyDescent="0.2">
      <c r="H15313" s="128"/>
    </row>
    <row r="15314" spans="8:8" s="120" customFormat="1" ht="11.25" customHeight="1" x14ac:dyDescent="0.2">
      <c r="H15314" s="128"/>
    </row>
    <row r="15315" spans="8:8" s="120" customFormat="1" ht="11.25" customHeight="1" x14ac:dyDescent="0.2">
      <c r="H15315" s="128"/>
    </row>
    <row r="15316" spans="8:8" s="120" customFormat="1" ht="11.25" customHeight="1" x14ac:dyDescent="0.2">
      <c r="H15316" s="128"/>
    </row>
    <row r="15317" spans="8:8" s="120" customFormat="1" ht="11.25" customHeight="1" x14ac:dyDescent="0.2">
      <c r="H15317" s="128"/>
    </row>
    <row r="15318" spans="8:8" s="120" customFormat="1" ht="11.25" customHeight="1" x14ac:dyDescent="0.2">
      <c r="H15318" s="128"/>
    </row>
    <row r="15319" spans="8:8" s="120" customFormat="1" ht="11.25" customHeight="1" x14ac:dyDescent="0.2">
      <c r="H15319" s="128"/>
    </row>
    <row r="15320" spans="8:8" s="120" customFormat="1" ht="11.25" customHeight="1" x14ac:dyDescent="0.2">
      <c r="H15320" s="128"/>
    </row>
    <row r="15321" spans="8:8" s="120" customFormat="1" ht="11.25" customHeight="1" x14ac:dyDescent="0.2">
      <c r="H15321" s="128"/>
    </row>
    <row r="15322" spans="8:8" s="120" customFormat="1" ht="11.25" customHeight="1" x14ac:dyDescent="0.2">
      <c r="H15322" s="128"/>
    </row>
    <row r="15323" spans="8:8" s="120" customFormat="1" ht="11.25" customHeight="1" x14ac:dyDescent="0.2">
      <c r="H15323" s="128"/>
    </row>
    <row r="15324" spans="8:8" s="120" customFormat="1" ht="11.25" customHeight="1" x14ac:dyDescent="0.2">
      <c r="H15324" s="128"/>
    </row>
    <row r="15325" spans="8:8" s="120" customFormat="1" ht="11.25" customHeight="1" x14ac:dyDescent="0.2">
      <c r="H15325" s="128"/>
    </row>
    <row r="15326" spans="8:8" s="120" customFormat="1" ht="11.25" customHeight="1" x14ac:dyDescent="0.2">
      <c r="H15326" s="128"/>
    </row>
    <row r="15327" spans="8:8" s="120" customFormat="1" ht="11.25" customHeight="1" x14ac:dyDescent="0.2">
      <c r="H15327" s="128"/>
    </row>
    <row r="15328" spans="8:8" s="120" customFormat="1" ht="11.25" customHeight="1" x14ac:dyDescent="0.2">
      <c r="H15328" s="128"/>
    </row>
    <row r="15329" spans="8:8" s="120" customFormat="1" ht="11.25" customHeight="1" x14ac:dyDescent="0.2">
      <c r="H15329" s="128"/>
    </row>
    <row r="15330" spans="8:8" s="120" customFormat="1" ht="11.25" customHeight="1" x14ac:dyDescent="0.2">
      <c r="H15330" s="128"/>
    </row>
    <row r="15331" spans="8:8" s="120" customFormat="1" ht="11.25" customHeight="1" x14ac:dyDescent="0.2">
      <c r="H15331" s="128"/>
    </row>
    <row r="15332" spans="8:8" s="120" customFormat="1" ht="11.25" customHeight="1" x14ac:dyDescent="0.2">
      <c r="H15332" s="128"/>
    </row>
    <row r="15333" spans="8:8" s="120" customFormat="1" ht="11.25" customHeight="1" x14ac:dyDescent="0.2">
      <c r="H15333" s="128"/>
    </row>
    <row r="15334" spans="8:8" s="120" customFormat="1" ht="11.25" customHeight="1" x14ac:dyDescent="0.2">
      <c r="H15334" s="128"/>
    </row>
    <row r="15335" spans="8:8" s="120" customFormat="1" ht="11.25" customHeight="1" x14ac:dyDescent="0.2">
      <c r="H15335" s="128"/>
    </row>
    <row r="15336" spans="8:8" s="120" customFormat="1" ht="11.25" customHeight="1" x14ac:dyDescent="0.2">
      <c r="H15336" s="128"/>
    </row>
    <row r="15337" spans="8:8" s="120" customFormat="1" ht="11.25" customHeight="1" x14ac:dyDescent="0.2">
      <c r="H15337" s="128"/>
    </row>
    <row r="15338" spans="8:8" s="120" customFormat="1" ht="11.25" customHeight="1" x14ac:dyDescent="0.2">
      <c r="H15338" s="128"/>
    </row>
    <row r="15339" spans="8:8" s="120" customFormat="1" ht="11.25" customHeight="1" x14ac:dyDescent="0.2">
      <c r="H15339" s="128"/>
    </row>
    <row r="15340" spans="8:8" s="120" customFormat="1" ht="11.25" customHeight="1" x14ac:dyDescent="0.2">
      <c r="H15340" s="128"/>
    </row>
    <row r="15341" spans="8:8" s="120" customFormat="1" ht="11.25" customHeight="1" x14ac:dyDescent="0.2">
      <c r="H15341" s="128"/>
    </row>
    <row r="15342" spans="8:8" s="120" customFormat="1" ht="11.25" customHeight="1" x14ac:dyDescent="0.2">
      <c r="H15342" s="128"/>
    </row>
    <row r="15343" spans="8:8" s="120" customFormat="1" ht="11.25" customHeight="1" x14ac:dyDescent="0.2">
      <c r="H15343" s="128"/>
    </row>
    <row r="15344" spans="8:8" s="120" customFormat="1" ht="11.25" customHeight="1" x14ac:dyDescent="0.2">
      <c r="H15344" s="128"/>
    </row>
    <row r="15345" spans="8:8" s="120" customFormat="1" ht="11.25" customHeight="1" x14ac:dyDescent="0.2">
      <c r="H15345" s="128"/>
    </row>
    <row r="15346" spans="8:8" s="120" customFormat="1" ht="11.25" customHeight="1" x14ac:dyDescent="0.2">
      <c r="H15346" s="128"/>
    </row>
    <row r="15347" spans="8:8" s="120" customFormat="1" ht="11.25" customHeight="1" x14ac:dyDescent="0.2">
      <c r="H15347" s="128"/>
    </row>
    <row r="15348" spans="8:8" s="120" customFormat="1" ht="11.25" customHeight="1" x14ac:dyDescent="0.2">
      <c r="H15348" s="128"/>
    </row>
    <row r="15349" spans="8:8" s="120" customFormat="1" ht="11.25" customHeight="1" x14ac:dyDescent="0.2">
      <c r="H15349" s="128"/>
    </row>
    <row r="15350" spans="8:8" s="120" customFormat="1" ht="11.25" customHeight="1" x14ac:dyDescent="0.2">
      <c r="H15350" s="128"/>
    </row>
    <row r="15351" spans="8:8" s="120" customFormat="1" ht="11.25" customHeight="1" x14ac:dyDescent="0.2">
      <c r="H15351" s="128"/>
    </row>
    <row r="15352" spans="8:8" s="120" customFormat="1" ht="11.25" customHeight="1" x14ac:dyDescent="0.2">
      <c r="H15352" s="128"/>
    </row>
    <row r="15353" spans="8:8" s="120" customFormat="1" ht="11.25" customHeight="1" x14ac:dyDescent="0.2">
      <c r="H15353" s="128"/>
    </row>
    <row r="15354" spans="8:8" s="120" customFormat="1" ht="11.25" customHeight="1" x14ac:dyDescent="0.2">
      <c r="H15354" s="128"/>
    </row>
    <row r="15355" spans="8:8" s="120" customFormat="1" ht="11.25" customHeight="1" x14ac:dyDescent="0.2">
      <c r="H15355" s="128"/>
    </row>
    <row r="15356" spans="8:8" s="120" customFormat="1" ht="11.25" customHeight="1" x14ac:dyDescent="0.2">
      <c r="H15356" s="128"/>
    </row>
    <row r="15357" spans="8:8" s="120" customFormat="1" ht="11.25" customHeight="1" x14ac:dyDescent="0.2">
      <c r="H15357" s="128"/>
    </row>
    <row r="15358" spans="8:8" s="120" customFormat="1" ht="11.25" customHeight="1" x14ac:dyDescent="0.2">
      <c r="H15358" s="128"/>
    </row>
    <row r="15359" spans="8:8" s="120" customFormat="1" ht="11.25" customHeight="1" x14ac:dyDescent="0.2">
      <c r="H15359" s="128"/>
    </row>
    <row r="15360" spans="8:8" s="120" customFormat="1" ht="11.25" customHeight="1" x14ac:dyDescent="0.2">
      <c r="H15360" s="128"/>
    </row>
    <row r="15361" spans="8:8" s="120" customFormat="1" ht="11.25" customHeight="1" x14ac:dyDescent="0.2">
      <c r="H15361" s="128"/>
    </row>
    <row r="15362" spans="8:8" s="120" customFormat="1" ht="11.25" customHeight="1" x14ac:dyDescent="0.2">
      <c r="H15362" s="128"/>
    </row>
    <row r="15363" spans="8:8" s="120" customFormat="1" ht="11.25" customHeight="1" x14ac:dyDescent="0.2">
      <c r="H15363" s="128"/>
    </row>
    <row r="15364" spans="8:8" s="120" customFormat="1" ht="11.25" customHeight="1" x14ac:dyDescent="0.2">
      <c r="H15364" s="128"/>
    </row>
    <row r="15365" spans="8:8" s="120" customFormat="1" ht="11.25" customHeight="1" x14ac:dyDescent="0.2">
      <c r="H15365" s="128"/>
    </row>
    <row r="15366" spans="8:8" s="120" customFormat="1" ht="11.25" customHeight="1" x14ac:dyDescent="0.2">
      <c r="H15366" s="128"/>
    </row>
    <row r="15367" spans="8:8" s="120" customFormat="1" ht="11.25" customHeight="1" x14ac:dyDescent="0.2">
      <c r="H15367" s="128"/>
    </row>
    <row r="15368" spans="8:8" s="120" customFormat="1" ht="11.25" customHeight="1" x14ac:dyDescent="0.2">
      <c r="H15368" s="128"/>
    </row>
    <row r="15369" spans="8:8" s="120" customFormat="1" ht="11.25" customHeight="1" x14ac:dyDescent="0.2">
      <c r="H15369" s="128"/>
    </row>
    <row r="15370" spans="8:8" s="120" customFormat="1" ht="11.25" customHeight="1" x14ac:dyDescent="0.2">
      <c r="H15370" s="128"/>
    </row>
    <row r="15371" spans="8:8" s="120" customFormat="1" ht="11.25" customHeight="1" x14ac:dyDescent="0.2">
      <c r="H15371" s="128"/>
    </row>
    <row r="15372" spans="8:8" s="120" customFormat="1" ht="11.25" customHeight="1" x14ac:dyDescent="0.2">
      <c r="H15372" s="128"/>
    </row>
    <row r="15373" spans="8:8" s="120" customFormat="1" ht="11.25" customHeight="1" x14ac:dyDescent="0.2">
      <c r="H15373" s="128"/>
    </row>
    <row r="15374" spans="8:8" s="120" customFormat="1" ht="11.25" customHeight="1" x14ac:dyDescent="0.2">
      <c r="H15374" s="128"/>
    </row>
    <row r="15375" spans="8:8" s="120" customFormat="1" ht="11.25" customHeight="1" x14ac:dyDescent="0.2">
      <c r="H15375" s="128"/>
    </row>
    <row r="15376" spans="8:8" s="120" customFormat="1" ht="11.25" customHeight="1" x14ac:dyDescent="0.2">
      <c r="H15376" s="128"/>
    </row>
    <row r="15377" spans="8:8" s="120" customFormat="1" ht="11.25" customHeight="1" x14ac:dyDescent="0.2">
      <c r="H15377" s="128"/>
    </row>
    <row r="15378" spans="8:8" s="120" customFormat="1" ht="11.25" customHeight="1" x14ac:dyDescent="0.2">
      <c r="H15378" s="128"/>
    </row>
    <row r="15379" spans="8:8" s="120" customFormat="1" ht="11.25" customHeight="1" x14ac:dyDescent="0.2">
      <c r="H15379" s="128"/>
    </row>
    <row r="15380" spans="8:8" s="120" customFormat="1" ht="11.25" customHeight="1" x14ac:dyDescent="0.2">
      <c r="H15380" s="128"/>
    </row>
    <row r="15381" spans="8:8" s="120" customFormat="1" ht="11.25" customHeight="1" x14ac:dyDescent="0.2">
      <c r="H15381" s="128"/>
    </row>
    <row r="15382" spans="8:8" s="120" customFormat="1" ht="11.25" customHeight="1" x14ac:dyDescent="0.2">
      <c r="H15382" s="128"/>
    </row>
    <row r="15383" spans="8:8" s="120" customFormat="1" ht="11.25" customHeight="1" x14ac:dyDescent="0.2">
      <c r="H15383" s="128"/>
    </row>
    <row r="15384" spans="8:8" s="120" customFormat="1" ht="11.25" customHeight="1" x14ac:dyDescent="0.2">
      <c r="H15384" s="128"/>
    </row>
    <row r="15385" spans="8:8" s="120" customFormat="1" ht="11.25" customHeight="1" x14ac:dyDescent="0.2">
      <c r="H15385" s="128"/>
    </row>
    <row r="15386" spans="8:8" s="120" customFormat="1" ht="11.25" customHeight="1" x14ac:dyDescent="0.2">
      <c r="H15386" s="128"/>
    </row>
    <row r="15387" spans="8:8" s="120" customFormat="1" ht="11.25" customHeight="1" x14ac:dyDescent="0.2">
      <c r="H15387" s="128"/>
    </row>
    <row r="15388" spans="8:8" s="120" customFormat="1" ht="11.25" customHeight="1" x14ac:dyDescent="0.2">
      <c r="H15388" s="128"/>
    </row>
    <row r="15389" spans="8:8" s="120" customFormat="1" ht="11.25" customHeight="1" x14ac:dyDescent="0.2">
      <c r="H15389" s="128"/>
    </row>
  </sheetData>
  <autoFilter ref="A7:L14551" xr:uid="{00000000-0009-0000-0000-000002000000}"/>
  <mergeCells count="6183">
    <mergeCell ref="F14348:F14349"/>
    <mergeCell ref="F14316:F14317"/>
    <mergeCell ref="F14318:F14319"/>
    <mergeCell ref="F14320:F14321"/>
    <mergeCell ref="F14322:F14323"/>
    <mergeCell ref="F14324:F14325"/>
    <mergeCell ref="F14326:F14327"/>
    <mergeCell ref="F14328:F14329"/>
    <mergeCell ref="F14330:F14331"/>
    <mergeCell ref="F14332:F14333"/>
    <mergeCell ref="F14334:F14335"/>
    <mergeCell ref="F14336:F14337"/>
    <mergeCell ref="F14338:F14339"/>
    <mergeCell ref="F14340:F14341"/>
    <mergeCell ref="F14342:F14343"/>
    <mergeCell ref="F14344:F14345"/>
    <mergeCell ref="F14346:F14347"/>
    <mergeCell ref="F14259:F14260"/>
    <mergeCell ref="F14261:F14262"/>
    <mergeCell ref="F14263:F14264"/>
    <mergeCell ref="F14265:F14266"/>
    <mergeCell ref="F14267:F14268"/>
    <mergeCell ref="F14231:F14233"/>
    <mergeCell ref="F14234:F14236"/>
    <mergeCell ref="F14201:F14202"/>
    <mergeCell ref="F14249:F14250"/>
    <mergeCell ref="F14288:F14289"/>
    <mergeCell ref="F14273:F14275"/>
    <mergeCell ref="F14276:F14277"/>
    <mergeCell ref="F14278:F14279"/>
    <mergeCell ref="F14280:F14281"/>
    <mergeCell ref="F14282:F14283"/>
    <mergeCell ref="F14284:F14285"/>
    <mergeCell ref="F14286:F14287"/>
    <mergeCell ref="F14255:F14256"/>
    <mergeCell ref="F14257:F14258"/>
    <mergeCell ref="F14108:F14109"/>
    <mergeCell ref="F14269:F14270"/>
    <mergeCell ref="F14271:F14272"/>
    <mergeCell ref="F14209:F14210"/>
    <mergeCell ref="F14211:F14212"/>
    <mergeCell ref="F14213:F14214"/>
    <mergeCell ref="F14215:F14216"/>
    <mergeCell ref="F14217:F14218"/>
    <mergeCell ref="F14219:F14220"/>
    <mergeCell ref="F14221:F14222"/>
    <mergeCell ref="F14223:F14224"/>
    <mergeCell ref="F14110:F14111"/>
    <mergeCell ref="F14112:F14113"/>
    <mergeCell ref="F14175:F14177"/>
    <mergeCell ref="F14178:F14180"/>
    <mergeCell ref="F14181:F14182"/>
    <mergeCell ref="F14183:F14184"/>
    <mergeCell ref="F14185:F14186"/>
    <mergeCell ref="F14187:F14188"/>
    <mergeCell ref="F14189:F14190"/>
    <mergeCell ref="F14191:F14192"/>
    <mergeCell ref="F14193:F14194"/>
    <mergeCell ref="F14195:F14196"/>
    <mergeCell ref="F14197:F14198"/>
    <mergeCell ref="F14199:F14200"/>
    <mergeCell ref="F14203:F14204"/>
    <mergeCell ref="F14205:F14206"/>
    <mergeCell ref="F14207:F14208"/>
    <mergeCell ref="F14167:F14168"/>
    <mergeCell ref="F14169:F14170"/>
    <mergeCell ref="F14171:F14172"/>
    <mergeCell ref="F14173:F14174"/>
    <mergeCell ref="F14089:F14091"/>
    <mergeCell ref="F14092:F14094"/>
    <mergeCell ref="F14095:F14096"/>
    <mergeCell ref="F14069:F14070"/>
    <mergeCell ref="F14071:F14072"/>
    <mergeCell ref="F14073:F14074"/>
    <mergeCell ref="F14075:F14076"/>
    <mergeCell ref="F14077:F14078"/>
    <mergeCell ref="F14079:F14080"/>
    <mergeCell ref="F14081:F14082"/>
    <mergeCell ref="F14083:F14084"/>
    <mergeCell ref="F14085:F14086"/>
    <mergeCell ref="F14087:F14088"/>
    <mergeCell ref="F14100:F14101"/>
    <mergeCell ref="F14102:F14103"/>
    <mergeCell ref="F14104:F14105"/>
    <mergeCell ref="F14106:F14107"/>
    <mergeCell ref="F14097:F14099"/>
    <mergeCell ref="F14025:F14026"/>
    <mergeCell ref="F14027:F14028"/>
    <mergeCell ref="F14055:F14056"/>
    <mergeCell ref="F14057:F14058"/>
    <mergeCell ref="F14059:F14060"/>
    <mergeCell ref="F14061:F14062"/>
    <mergeCell ref="F14063:F14064"/>
    <mergeCell ref="F14065:F14066"/>
    <mergeCell ref="F14067:F14068"/>
    <mergeCell ref="F14039:F14041"/>
    <mergeCell ref="F14051:F14052"/>
    <mergeCell ref="F14045:F14047"/>
    <mergeCell ref="F14048:F14050"/>
    <mergeCell ref="F14031:F14032"/>
    <mergeCell ref="F14033:F14034"/>
    <mergeCell ref="F14035:F14036"/>
    <mergeCell ref="F14037:F14038"/>
    <mergeCell ref="F14042:F14044"/>
    <mergeCell ref="F14053:F14054"/>
    <mergeCell ref="F13867:F13869"/>
    <mergeCell ref="F13874:F13875"/>
    <mergeCell ref="F13876:F13877"/>
    <mergeCell ref="F13878:F13879"/>
    <mergeCell ref="F13880:F13881"/>
    <mergeCell ref="F13882:F13883"/>
    <mergeCell ref="F13884:F13885"/>
    <mergeCell ref="F13886:F13887"/>
    <mergeCell ref="F13888:F13889"/>
    <mergeCell ref="F13890:F13891"/>
    <mergeCell ref="F13892:F13893"/>
    <mergeCell ref="F13894:F13895"/>
    <mergeCell ref="F13896:F13897"/>
    <mergeCell ref="F13898:F13899"/>
    <mergeCell ref="F13900:F13901"/>
    <mergeCell ref="F13902:F13903"/>
    <mergeCell ref="F13904:F13905"/>
    <mergeCell ref="F13870:F13871"/>
    <mergeCell ref="F13872:F13873"/>
    <mergeCell ref="F13820:F13821"/>
    <mergeCell ref="F13822:F13823"/>
    <mergeCell ref="F13824:F13825"/>
    <mergeCell ref="F13826:F13827"/>
    <mergeCell ref="F13741:F13743"/>
    <mergeCell ref="F13791:F13793"/>
    <mergeCell ref="F13788:F13790"/>
    <mergeCell ref="F13778:F13779"/>
    <mergeCell ref="F13783:F13785"/>
    <mergeCell ref="F13780:F13782"/>
    <mergeCell ref="F13786:F13787"/>
    <mergeCell ref="F13794:F13795"/>
    <mergeCell ref="F13796:F13797"/>
    <mergeCell ref="F13798:F13799"/>
    <mergeCell ref="F13800:F13801"/>
    <mergeCell ref="F13802:F13803"/>
    <mergeCell ref="F13804:F13805"/>
    <mergeCell ref="F13806:F13807"/>
    <mergeCell ref="F13808:F13809"/>
    <mergeCell ref="F13810:F13811"/>
    <mergeCell ref="F13812:F13813"/>
    <mergeCell ref="F13814:F13815"/>
    <mergeCell ref="F13816:F13817"/>
    <mergeCell ref="F13818:F13819"/>
    <mergeCell ref="F13715:F13716"/>
    <mergeCell ref="F13717:F13718"/>
    <mergeCell ref="F13719:F13720"/>
    <mergeCell ref="F13721:F13722"/>
    <mergeCell ref="F13723:F13724"/>
    <mergeCell ref="F13725:F13726"/>
    <mergeCell ref="F13727:F13728"/>
    <mergeCell ref="F13729:F13730"/>
    <mergeCell ref="F13731:F13732"/>
    <mergeCell ref="F13733:F13734"/>
    <mergeCell ref="F13735:F13736"/>
    <mergeCell ref="F13737:F13738"/>
    <mergeCell ref="F13739:F13740"/>
    <mergeCell ref="F13640:F13641"/>
    <mergeCell ref="F13642:F13643"/>
    <mergeCell ref="F13644:F13645"/>
    <mergeCell ref="F13646:F13647"/>
    <mergeCell ref="F13648:F13649"/>
    <mergeCell ref="F13650:F13651"/>
    <mergeCell ref="F13652:F13653"/>
    <mergeCell ref="F13654:F13655"/>
    <mergeCell ref="F13656:F13657"/>
    <mergeCell ref="F13658:F13659"/>
    <mergeCell ref="F13688:F13689"/>
    <mergeCell ref="F13690:F13691"/>
    <mergeCell ref="F13692:F13693"/>
    <mergeCell ref="F13694:F13695"/>
    <mergeCell ref="F13696:F13697"/>
    <mergeCell ref="F13698:F13699"/>
    <mergeCell ref="F13660:F13661"/>
    <mergeCell ref="F13662:F13663"/>
    <mergeCell ref="F13676:F13677"/>
    <mergeCell ref="F13707:F13708"/>
    <mergeCell ref="F13709:F13710"/>
    <mergeCell ref="F13711:F13712"/>
    <mergeCell ref="F13713:F13714"/>
    <mergeCell ref="F13575:F13576"/>
    <mergeCell ref="F13577:F13578"/>
    <mergeCell ref="F13579:F13580"/>
    <mergeCell ref="F13581:F13582"/>
    <mergeCell ref="F13541:F13543"/>
    <mergeCell ref="F13544:F13546"/>
    <mergeCell ref="F13547:F13548"/>
    <mergeCell ref="F13505:F13506"/>
    <mergeCell ref="F13549:F13550"/>
    <mergeCell ref="F13551:F13552"/>
    <mergeCell ref="F13553:F13554"/>
    <mergeCell ref="F13555:F13556"/>
    <mergeCell ref="F13557:F13558"/>
    <mergeCell ref="F13559:F13560"/>
    <mergeCell ref="F13561:F13562"/>
    <mergeCell ref="F13563:F13564"/>
    <mergeCell ref="F13565:F13566"/>
    <mergeCell ref="F13567:F13568"/>
    <mergeCell ref="F13569:F13570"/>
    <mergeCell ref="F13571:F13572"/>
    <mergeCell ref="F13573:F13574"/>
    <mergeCell ref="F13533:F13534"/>
    <mergeCell ref="F13535:F13536"/>
    <mergeCell ref="F13537:F13538"/>
    <mergeCell ref="F13539:F13540"/>
    <mergeCell ref="F13666:F13667"/>
    <mergeCell ref="F13668:F13669"/>
    <mergeCell ref="F13670:F13671"/>
    <mergeCell ref="F13494:F13496"/>
    <mergeCell ref="F13497:F13499"/>
    <mergeCell ref="F13458:F13459"/>
    <mergeCell ref="F13500:F13501"/>
    <mergeCell ref="F13507:F13508"/>
    <mergeCell ref="F13509:F13510"/>
    <mergeCell ref="F13511:F13512"/>
    <mergeCell ref="F13513:F13514"/>
    <mergeCell ref="F13515:F13516"/>
    <mergeCell ref="F13517:F13518"/>
    <mergeCell ref="F13519:F13520"/>
    <mergeCell ref="F13521:F13522"/>
    <mergeCell ref="F13523:F13524"/>
    <mergeCell ref="F13525:F13526"/>
    <mergeCell ref="F13527:F13528"/>
    <mergeCell ref="F13529:F13530"/>
    <mergeCell ref="F13531:F13532"/>
    <mergeCell ref="F13490:F13491"/>
    <mergeCell ref="F13492:F13493"/>
    <mergeCell ref="F13480:F13481"/>
    <mergeCell ref="F13482:F13483"/>
    <mergeCell ref="F13468:F13469"/>
    <mergeCell ref="F13470:F13471"/>
    <mergeCell ref="F13472:F13473"/>
    <mergeCell ref="F13474:F13475"/>
    <mergeCell ref="F13476:F13477"/>
    <mergeCell ref="F13478:F13479"/>
    <mergeCell ref="F13271:F13273"/>
    <mergeCell ref="F13274:F13276"/>
    <mergeCell ref="F13405:F13407"/>
    <mergeCell ref="F13408:F13409"/>
    <mergeCell ref="F13410:F13412"/>
    <mergeCell ref="F13419:F13420"/>
    <mergeCell ref="F13421:F13422"/>
    <mergeCell ref="F13423:F13424"/>
    <mergeCell ref="F13425:F13426"/>
    <mergeCell ref="F13427:F13428"/>
    <mergeCell ref="F13429:F13430"/>
    <mergeCell ref="F13431:F13432"/>
    <mergeCell ref="F13433:F13434"/>
    <mergeCell ref="F13435:F13436"/>
    <mergeCell ref="F13437:F13438"/>
    <mergeCell ref="F13439:F13440"/>
    <mergeCell ref="F13441:F13442"/>
    <mergeCell ref="F13277:F13279"/>
    <mergeCell ref="F13282:F13283"/>
    <mergeCell ref="F13284:F13285"/>
    <mergeCell ref="F13286:F13287"/>
    <mergeCell ref="F13288:F13289"/>
    <mergeCell ref="F13290:F13291"/>
    <mergeCell ref="F13292:F13293"/>
    <mergeCell ref="F13294:F13295"/>
    <mergeCell ref="F13296:F13297"/>
    <mergeCell ref="F13298:F13299"/>
    <mergeCell ref="F13300:F13301"/>
    <mergeCell ref="F13302:F13303"/>
    <mergeCell ref="F13304:F13305"/>
    <mergeCell ref="F13306:F13307"/>
    <mergeCell ref="F13308:F13309"/>
    <mergeCell ref="F13208:F13209"/>
    <mergeCell ref="F13210:F13211"/>
    <mergeCell ref="F13212:F13213"/>
    <mergeCell ref="F13214:F13215"/>
    <mergeCell ref="F13216:F13217"/>
    <mergeCell ref="F13218:F13219"/>
    <mergeCell ref="F13220:F13221"/>
    <mergeCell ref="F13222:F13223"/>
    <mergeCell ref="F13224:F13225"/>
    <mergeCell ref="F13226:F13227"/>
    <mergeCell ref="F13267:F13268"/>
    <mergeCell ref="F13269:F13270"/>
    <mergeCell ref="F13232:F13233"/>
    <mergeCell ref="F13234:F13236"/>
    <mergeCell ref="F13237:F13238"/>
    <mergeCell ref="F13239:F13240"/>
    <mergeCell ref="F13241:F13242"/>
    <mergeCell ref="F13243:F13244"/>
    <mergeCell ref="F13245:F13246"/>
    <mergeCell ref="F13247:F13248"/>
    <mergeCell ref="F13249:F13250"/>
    <mergeCell ref="F13251:F13252"/>
    <mergeCell ref="F13253:F13254"/>
    <mergeCell ref="F13255:F13256"/>
    <mergeCell ref="F13257:F13258"/>
    <mergeCell ref="F13259:F13260"/>
    <mergeCell ref="F13261:F13262"/>
    <mergeCell ref="F13263:F13264"/>
    <mergeCell ref="F13265:F13266"/>
    <mergeCell ref="F13228:F13229"/>
    <mergeCell ref="F13230:F13231"/>
    <mergeCell ref="F13125:F13126"/>
    <mergeCell ref="F13127:F13128"/>
    <mergeCell ref="F13129:F13130"/>
    <mergeCell ref="F13131:F13132"/>
    <mergeCell ref="F13133:F13134"/>
    <mergeCell ref="F13135:F13136"/>
    <mergeCell ref="F13137:F13138"/>
    <mergeCell ref="F13139:F13140"/>
    <mergeCell ref="F13141:F13142"/>
    <mergeCell ref="F13143:F13144"/>
    <mergeCell ref="F13145:F13146"/>
    <mergeCell ref="F13147:F13148"/>
    <mergeCell ref="F13149:F13150"/>
    <mergeCell ref="F13151:F13152"/>
    <mergeCell ref="F13153:F13154"/>
    <mergeCell ref="F13155:F13156"/>
    <mergeCell ref="F13157:F13158"/>
    <mergeCell ref="F13081:F13082"/>
    <mergeCell ref="F13083:F13084"/>
    <mergeCell ref="F13085:F13086"/>
    <mergeCell ref="F13087:F13088"/>
    <mergeCell ref="F13089:F13090"/>
    <mergeCell ref="F13091:F13092"/>
    <mergeCell ref="F13093:F13094"/>
    <mergeCell ref="F13095:F13096"/>
    <mergeCell ref="F13097:F13098"/>
    <mergeCell ref="F13099:F13100"/>
    <mergeCell ref="F13101:F13102"/>
    <mergeCell ref="F13103:F13104"/>
    <mergeCell ref="F13105:F13106"/>
    <mergeCell ref="F13107:F13108"/>
    <mergeCell ref="F13109:F13110"/>
    <mergeCell ref="F13111:F13112"/>
    <mergeCell ref="F13113:F13114"/>
    <mergeCell ref="F13027:F13028"/>
    <mergeCell ref="F13029:F13030"/>
    <mergeCell ref="F13031:F13032"/>
    <mergeCell ref="F12939:F12940"/>
    <mergeCell ref="F12941:F12942"/>
    <mergeCell ref="F12943:F12944"/>
    <mergeCell ref="F12945:F12946"/>
    <mergeCell ref="F12947:F12948"/>
    <mergeCell ref="F12949:F12950"/>
    <mergeCell ref="F12994:F12996"/>
    <mergeCell ref="F12999:F13000"/>
    <mergeCell ref="F13001:F13002"/>
    <mergeCell ref="F13003:F13004"/>
    <mergeCell ref="F13005:F13006"/>
    <mergeCell ref="F13007:F13008"/>
    <mergeCell ref="F13009:F13010"/>
    <mergeCell ref="F13011:F13012"/>
    <mergeCell ref="F13013:F13014"/>
    <mergeCell ref="F13015:F13016"/>
    <mergeCell ref="F13017:F13018"/>
    <mergeCell ref="F12986:F12987"/>
    <mergeCell ref="F12988:F12989"/>
    <mergeCell ref="F12990:F12991"/>
    <mergeCell ref="F12992:F12993"/>
    <mergeCell ref="F12951:F12953"/>
    <mergeCell ref="F12997:F12998"/>
    <mergeCell ref="F12880:F12881"/>
    <mergeCell ref="F12882:F12883"/>
    <mergeCell ref="F12884:F12885"/>
    <mergeCell ref="F12886:F12887"/>
    <mergeCell ref="F12888:F12889"/>
    <mergeCell ref="F12890:F12891"/>
    <mergeCell ref="F12892:F12893"/>
    <mergeCell ref="F12894:F12895"/>
    <mergeCell ref="F12896:F12897"/>
    <mergeCell ref="F12898:F12899"/>
    <mergeCell ref="F12900:F12901"/>
    <mergeCell ref="F12902:F12903"/>
    <mergeCell ref="F12904:F12905"/>
    <mergeCell ref="F12906:F12907"/>
    <mergeCell ref="F12908:F12909"/>
    <mergeCell ref="F12910:F12911"/>
    <mergeCell ref="F12912:F12913"/>
    <mergeCell ref="F12878:F12879"/>
    <mergeCell ref="F12844:F12845"/>
    <mergeCell ref="F12846:F12847"/>
    <mergeCell ref="F12848:F12849"/>
    <mergeCell ref="F12850:F12851"/>
    <mergeCell ref="F12852:F12853"/>
    <mergeCell ref="F12854:F12855"/>
    <mergeCell ref="F12856:F12857"/>
    <mergeCell ref="F12858:F12859"/>
    <mergeCell ref="F12860:F12861"/>
    <mergeCell ref="F12862:F12863"/>
    <mergeCell ref="F12864:F12865"/>
    <mergeCell ref="F12866:F12867"/>
    <mergeCell ref="F12868:F12869"/>
    <mergeCell ref="F12870:F12871"/>
    <mergeCell ref="F12872:F12873"/>
    <mergeCell ref="F12874:F12875"/>
    <mergeCell ref="F12876:F12877"/>
    <mergeCell ref="F12759:F12761"/>
    <mergeCell ref="F12765:F12766"/>
    <mergeCell ref="F12767:F12768"/>
    <mergeCell ref="F12769:F12770"/>
    <mergeCell ref="F12771:F12772"/>
    <mergeCell ref="F12773:F12774"/>
    <mergeCell ref="F12775:F12776"/>
    <mergeCell ref="F12777:F12778"/>
    <mergeCell ref="F12779:F12780"/>
    <mergeCell ref="F12781:F12782"/>
    <mergeCell ref="F12783:F12784"/>
    <mergeCell ref="F12785:F12786"/>
    <mergeCell ref="F12787:F12788"/>
    <mergeCell ref="F12789:F12790"/>
    <mergeCell ref="F12791:F12792"/>
    <mergeCell ref="F12489:F12490"/>
    <mergeCell ref="F12491:F12492"/>
    <mergeCell ref="F12493:F12494"/>
    <mergeCell ref="F12534:F12535"/>
    <mergeCell ref="F12536:F12537"/>
    <mergeCell ref="F12538:F12539"/>
    <mergeCell ref="F12540:F12541"/>
    <mergeCell ref="F12542:F12543"/>
    <mergeCell ref="F12505:F12506"/>
    <mergeCell ref="F12507:F12508"/>
    <mergeCell ref="F12495:F12496"/>
    <mergeCell ref="F12497:F12498"/>
    <mergeCell ref="F12557:F12558"/>
    <mergeCell ref="F12559:F12560"/>
    <mergeCell ref="F12561:F12562"/>
    <mergeCell ref="F12563:F12564"/>
    <mergeCell ref="F12565:F12566"/>
    <mergeCell ref="F12432:F12433"/>
    <mergeCell ref="F12434:F12435"/>
    <mergeCell ref="F12436:F12437"/>
    <mergeCell ref="F12795:F12796"/>
    <mergeCell ref="F12797:F12798"/>
    <mergeCell ref="F12700:F12701"/>
    <mergeCell ref="F12702:F12703"/>
    <mergeCell ref="F12704:F12705"/>
    <mergeCell ref="F12706:F12707"/>
    <mergeCell ref="F12708:F12709"/>
    <mergeCell ref="F12710:F12711"/>
    <mergeCell ref="F12712:F12713"/>
    <mergeCell ref="F12714:F12715"/>
    <mergeCell ref="F12716:F12717"/>
    <mergeCell ref="F12718:F12719"/>
    <mergeCell ref="F12720:F12721"/>
    <mergeCell ref="F12668:F12671"/>
    <mergeCell ref="F12672:F12674"/>
    <mergeCell ref="F12675:F12677"/>
    <mergeCell ref="F12678:F12680"/>
    <mergeCell ref="F12681:F12683"/>
    <mergeCell ref="F12684:F12685"/>
    <mergeCell ref="F12686:F12687"/>
    <mergeCell ref="F12632:F12633"/>
    <mergeCell ref="F12688:F12689"/>
    <mergeCell ref="F12690:F12691"/>
    <mergeCell ref="F12692:F12693"/>
    <mergeCell ref="F12694:F12695"/>
    <mergeCell ref="F12696:F12697"/>
    <mergeCell ref="F12698:F12699"/>
    <mergeCell ref="F12487:F12488"/>
    <mergeCell ref="F12756:F12758"/>
    <mergeCell ref="F12384:F12385"/>
    <mergeCell ref="F12386:F12387"/>
    <mergeCell ref="F12388:F12389"/>
    <mergeCell ref="F12390:F12391"/>
    <mergeCell ref="F12426:F12428"/>
    <mergeCell ref="F12429:F12431"/>
    <mergeCell ref="F12392:F12393"/>
    <mergeCell ref="F12394:F12395"/>
    <mergeCell ref="F12396:F12397"/>
    <mergeCell ref="F12398:F12399"/>
    <mergeCell ref="F12400:F12401"/>
    <mergeCell ref="F12402:F12403"/>
    <mergeCell ref="F12404:F12405"/>
    <mergeCell ref="F12406:F12407"/>
    <mergeCell ref="F12408:F12409"/>
    <mergeCell ref="F12410:F12411"/>
    <mergeCell ref="F12412:F12413"/>
    <mergeCell ref="F12414:F12415"/>
    <mergeCell ref="F12416:F12417"/>
    <mergeCell ref="F12418:F12419"/>
    <mergeCell ref="F12420:F12421"/>
    <mergeCell ref="F12422:F12423"/>
    <mergeCell ref="F12424:F12425"/>
    <mergeCell ref="F12350:F12351"/>
    <mergeCell ref="F12352:F12353"/>
    <mergeCell ref="F12354:F12355"/>
    <mergeCell ref="F12356:F12357"/>
    <mergeCell ref="F12358:F12359"/>
    <mergeCell ref="F12360:F12361"/>
    <mergeCell ref="F12362:F12363"/>
    <mergeCell ref="F12364:F12365"/>
    <mergeCell ref="F12366:F12367"/>
    <mergeCell ref="F12368:F12369"/>
    <mergeCell ref="F12370:F12371"/>
    <mergeCell ref="F12372:F12373"/>
    <mergeCell ref="F12374:F12375"/>
    <mergeCell ref="F12376:F12377"/>
    <mergeCell ref="F12378:F12379"/>
    <mergeCell ref="F12380:F12381"/>
    <mergeCell ref="F12382:F12383"/>
    <mergeCell ref="F12319:F12320"/>
    <mergeCell ref="F12321:F12323"/>
    <mergeCell ref="F12278:F12279"/>
    <mergeCell ref="F12324:F12325"/>
    <mergeCell ref="F12326:F12327"/>
    <mergeCell ref="F12280:F12281"/>
    <mergeCell ref="F12328:F12329"/>
    <mergeCell ref="F12330:F12331"/>
    <mergeCell ref="F12332:F12333"/>
    <mergeCell ref="F12334:F12335"/>
    <mergeCell ref="F12336:F12337"/>
    <mergeCell ref="F12338:F12339"/>
    <mergeCell ref="F12340:F12341"/>
    <mergeCell ref="F12342:F12343"/>
    <mergeCell ref="F12344:F12345"/>
    <mergeCell ref="F12346:F12347"/>
    <mergeCell ref="F12348:F12349"/>
    <mergeCell ref="F12302:F12303"/>
    <mergeCell ref="F12304:F12305"/>
    <mergeCell ref="F12306:F12307"/>
    <mergeCell ref="F12308:F12309"/>
    <mergeCell ref="F12310:F12311"/>
    <mergeCell ref="F12312:F12313"/>
    <mergeCell ref="F12314:F12315"/>
    <mergeCell ref="F12284:F12285"/>
    <mergeCell ref="F12286:F12287"/>
    <mergeCell ref="F12288:F12289"/>
    <mergeCell ref="F12290:F12291"/>
    <mergeCell ref="F12292:F12293"/>
    <mergeCell ref="F12294:F12295"/>
    <mergeCell ref="F12296:F12297"/>
    <mergeCell ref="F12298:F12299"/>
    <mergeCell ref="F12137:F12138"/>
    <mergeCell ref="F12139:F12140"/>
    <mergeCell ref="F12141:F12142"/>
    <mergeCell ref="F12143:F12144"/>
    <mergeCell ref="F12133:F12134"/>
    <mergeCell ref="F12135:F12136"/>
    <mergeCell ref="F12147:F12148"/>
    <mergeCell ref="F12149:F12150"/>
    <mergeCell ref="F12165:F12166"/>
    <mergeCell ref="F12169:F12171"/>
    <mergeCell ref="F12172:F12173"/>
    <mergeCell ref="F12195:F12196"/>
    <mergeCell ref="F12197:F12198"/>
    <mergeCell ref="F12199:F12200"/>
    <mergeCell ref="F12316:F12318"/>
    <mergeCell ref="F12047:F12048"/>
    <mergeCell ref="F12049:F12050"/>
    <mergeCell ref="F12051:F12052"/>
    <mergeCell ref="F12053:F12054"/>
    <mergeCell ref="F12083:F12084"/>
    <mergeCell ref="F12085:F12086"/>
    <mergeCell ref="F12087:F12088"/>
    <mergeCell ref="F12089:F12090"/>
    <mergeCell ref="F12145:F12146"/>
    <mergeCell ref="F12102:F12104"/>
    <mergeCell ref="F12105:F12106"/>
    <mergeCell ref="F12099:F12101"/>
    <mergeCell ref="F12107:F12109"/>
    <mergeCell ref="F12061:F12062"/>
    <mergeCell ref="F12110:F12112"/>
    <mergeCell ref="F12113:F12114"/>
    <mergeCell ref="F12115:F12116"/>
    <mergeCell ref="F12093:F12094"/>
    <mergeCell ref="F12095:F12096"/>
    <mergeCell ref="F12097:F12098"/>
    <mergeCell ref="F11948:F11949"/>
    <mergeCell ref="F11950:F11951"/>
    <mergeCell ref="F11952:F11953"/>
    <mergeCell ref="F11954:F11955"/>
    <mergeCell ref="F11956:F11957"/>
    <mergeCell ref="F11958:F11959"/>
    <mergeCell ref="F11963:F11965"/>
    <mergeCell ref="F11997:F11998"/>
    <mergeCell ref="F12007:F12009"/>
    <mergeCell ref="F12010:F12011"/>
    <mergeCell ref="F12012:F12014"/>
    <mergeCell ref="F12019:F12020"/>
    <mergeCell ref="F12055:F12056"/>
    <mergeCell ref="F12057:F12058"/>
    <mergeCell ref="F12059:F12060"/>
    <mergeCell ref="F12063:F12064"/>
    <mergeCell ref="F12065:F12066"/>
    <mergeCell ref="F12067:F12068"/>
    <mergeCell ref="F12069:F12070"/>
    <mergeCell ref="F12071:F12072"/>
    <mergeCell ref="F12073:F12074"/>
    <mergeCell ref="F12075:F12076"/>
    <mergeCell ref="F12077:F12078"/>
    <mergeCell ref="F12079:F12080"/>
    <mergeCell ref="F12081:F12082"/>
    <mergeCell ref="F12015:F12016"/>
    <mergeCell ref="F12017:F12018"/>
    <mergeCell ref="F12021:F12022"/>
    <mergeCell ref="F12023:F12024"/>
    <mergeCell ref="F11912:F11914"/>
    <mergeCell ref="F11915:F11917"/>
    <mergeCell ref="F11918:F11919"/>
    <mergeCell ref="F11874:F11875"/>
    <mergeCell ref="F11920:F11921"/>
    <mergeCell ref="F11922:F11923"/>
    <mergeCell ref="F11924:F11925"/>
    <mergeCell ref="F11926:F11927"/>
    <mergeCell ref="F11928:F11929"/>
    <mergeCell ref="F11930:F11931"/>
    <mergeCell ref="F11932:F11933"/>
    <mergeCell ref="F11934:F11935"/>
    <mergeCell ref="F11936:F11937"/>
    <mergeCell ref="F11938:F11939"/>
    <mergeCell ref="F11940:F11941"/>
    <mergeCell ref="F11942:F11943"/>
    <mergeCell ref="F11944:F11945"/>
    <mergeCell ref="F11894:F11895"/>
    <mergeCell ref="F11896:F11897"/>
    <mergeCell ref="F11898:F11899"/>
    <mergeCell ref="F11900:F11901"/>
    <mergeCell ref="F11902:F11903"/>
    <mergeCell ref="F11904:F11905"/>
    <mergeCell ref="F11906:F11907"/>
    <mergeCell ref="F11908:F11909"/>
    <mergeCell ref="F11638:F11639"/>
    <mergeCell ref="F11748:F11749"/>
    <mergeCell ref="F11750:F11751"/>
    <mergeCell ref="F11752:F11753"/>
    <mergeCell ref="F11754:F11755"/>
    <mergeCell ref="F11756:F11757"/>
    <mergeCell ref="F11758:F11759"/>
    <mergeCell ref="F11760:F11761"/>
    <mergeCell ref="F11762:F11763"/>
    <mergeCell ref="F11764:F11765"/>
    <mergeCell ref="F11851:F11852"/>
    <mergeCell ref="F11688:F11689"/>
    <mergeCell ref="F11690:F11691"/>
    <mergeCell ref="F11692:F11693"/>
    <mergeCell ref="F11694:F11695"/>
    <mergeCell ref="F11696:F11697"/>
    <mergeCell ref="F11698:F11699"/>
    <mergeCell ref="F11700:F11701"/>
    <mergeCell ref="F11702:F11703"/>
    <mergeCell ref="F11704:F11705"/>
    <mergeCell ref="F11706:F11707"/>
    <mergeCell ref="F11708:F11709"/>
    <mergeCell ref="F11710:F11711"/>
    <mergeCell ref="F11712:F11713"/>
    <mergeCell ref="F11818:F11820"/>
    <mergeCell ref="F11821:F11822"/>
    <mergeCell ref="F11771:F11773"/>
    <mergeCell ref="F11823:F11824"/>
    <mergeCell ref="F11825:F11826"/>
    <mergeCell ref="F11827:F11828"/>
    <mergeCell ref="F11829:F11830"/>
    <mergeCell ref="F11831:F11832"/>
    <mergeCell ref="F11633:F11634"/>
    <mergeCell ref="F11635:F11637"/>
    <mergeCell ref="F11643:F11644"/>
    <mergeCell ref="F11645:F11646"/>
    <mergeCell ref="F11647:F11648"/>
    <mergeCell ref="F11649:F11650"/>
    <mergeCell ref="F11651:F11652"/>
    <mergeCell ref="F11653:F11654"/>
    <mergeCell ref="F11655:F11656"/>
    <mergeCell ref="F11657:F11658"/>
    <mergeCell ref="F11659:F11660"/>
    <mergeCell ref="F11661:F11662"/>
    <mergeCell ref="F11663:F11664"/>
    <mergeCell ref="F11665:F11666"/>
    <mergeCell ref="F11667:F11668"/>
    <mergeCell ref="F11669:F11670"/>
    <mergeCell ref="F11527:F11528"/>
    <mergeCell ref="F11529:F11530"/>
    <mergeCell ref="F11531:F11532"/>
    <mergeCell ref="F11533:F11534"/>
    <mergeCell ref="F11535:F11536"/>
    <mergeCell ref="F11537:F11538"/>
    <mergeCell ref="F11539:F11540"/>
    <mergeCell ref="F11587:F11589"/>
    <mergeCell ref="F11630:F11632"/>
    <mergeCell ref="F11594:F11595"/>
    <mergeCell ref="F11596:F11597"/>
    <mergeCell ref="F11598:F11599"/>
    <mergeCell ref="F11600:F11601"/>
    <mergeCell ref="F11602:F11603"/>
    <mergeCell ref="F11604:F11605"/>
    <mergeCell ref="F11606:F11607"/>
    <mergeCell ref="F11624:F11625"/>
    <mergeCell ref="F11626:F11627"/>
    <mergeCell ref="F11628:F11629"/>
    <mergeCell ref="F11592:F11593"/>
    <mergeCell ref="F11590:F11591"/>
    <mergeCell ref="F11575:F11576"/>
    <mergeCell ref="F11577:F11578"/>
    <mergeCell ref="F11579:F11580"/>
    <mergeCell ref="F11488:F11489"/>
    <mergeCell ref="F11497:F11498"/>
    <mergeCell ref="F11494:F11496"/>
    <mergeCell ref="F11505:F11506"/>
    <mergeCell ref="F11490:F11491"/>
    <mergeCell ref="F11492:F11493"/>
    <mergeCell ref="F11519:F11520"/>
    <mergeCell ref="F11521:F11522"/>
    <mergeCell ref="F11523:F11524"/>
    <mergeCell ref="F11525:F11526"/>
    <mergeCell ref="F11515:F11516"/>
    <mergeCell ref="F11517:F11518"/>
    <mergeCell ref="F11563:F11564"/>
    <mergeCell ref="F11565:F11566"/>
    <mergeCell ref="F11567:F11568"/>
    <mergeCell ref="F11569:F11570"/>
    <mergeCell ref="F11324:F11325"/>
    <mergeCell ref="F11382:F11383"/>
    <mergeCell ref="F11384:F11385"/>
    <mergeCell ref="F11386:F11387"/>
    <mergeCell ref="F11388:F11389"/>
    <mergeCell ref="F11390:F11391"/>
    <mergeCell ref="F11416:F11418"/>
    <mergeCell ref="F11455:F11457"/>
    <mergeCell ref="F11458:F11459"/>
    <mergeCell ref="F11460:F11461"/>
    <mergeCell ref="F11462:F11463"/>
    <mergeCell ref="F11464:F11465"/>
    <mergeCell ref="F11466:F11467"/>
    <mergeCell ref="F11468:F11469"/>
    <mergeCell ref="F11470:F11471"/>
    <mergeCell ref="F11472:F11473"/>
    <mergeCell ref="F11474:F11475"/>
    <mergeCell ref="F11453:F11454"/>
    <mergeCell ref="F11423:F11424"/>
    <mergeCell ref="F11441:F11442"/>
    <mergeCell ref="F11443:F11444"/>
    <mergeCell ref="F11445:F11446"/>
    <mergeCell ref="F11447:F11448"/>
    <mergeCell ref="F11449:F11450"/>
    <mergeCell ref="F11451:F11452"/>
    <mergeCell ref="F11425:F11426"/>
    <mergeCell ref="F11427:F11428"/>
    <mergeCell ref="F11429:F11430"/>
    <mergeCell ref="F11431:F11432"/>
    <mergeCell ref="F11433:F11434"/>
    <mergeCell ref="F11435:F11436"/>
    <mergeCell ref="F11437:F11438"/>
    <mergeCell ref="F11278:F11279"/>
    <mergeCell ref="F11280:F11281"/>
    <mergeCell ref="F11282:F11283"/>
    <mergeCell ref="F11284:F11285"/>
    <mergeCell ref="F11286:F11287"/>
    <mergeCell ref="F11288:F11289"/>
    <mergeCell ref="F11302:F11303"/>
    <mergeCell ref="F11304:F11305"/>
    <mergeCell ref="F11306:F11307"/>
    <mergeCell ref="F11308:F11309"/>
    <mergeCell ref="F11310:F11311"/>
    <mergeCell ref="F11312:F11313"/>
    <mergeCell ref="F11314:F11315"/>
    <mergeCell ref="F11316:F11317"/>
    <mergeCell ref="F11318:F11319"/>
    <mergeCell ref="F11320:F11321"/>
    <mergeCell ref="F11322:F11323"/>
    <mergeCell ref="F11252:F11253"/>
    <mergeCell ref="F11241:F11243"/>
    <mergeCell ref="F11247:F11249"/>
    <mergeCell ref="F11380:F11381"/>
    <mergeCell ref="F11250:F11251"/>
    <mergeCell ref="F11244:F11246"/>
    <mergeCell ref="F11254:F11255"/>
    <mergeCell ref="F11256:F11257"/>
    <mergeCell ref="F11258:F11259"/>
    <mergeCell ref="F11260:F11261"/>
    <mergeCell ref="F11262:F11263"/>
    <mergeCell ref="F11264:F11265"/>
    <mergeCell ref="F11266:F11267"/>
    <mergeCell ref="F11268:F11269"/>
    <mergeCell ref="F11270:F11271"/>
    <mergeCell ref="F11272:F11273"/>
    <mergeCell ref="F11274:F11275"/>
    <mergeCell ref="F11276:F11277"/>
    <mergeCell ref="F11299:F11301"/>
    <mergeCell ref="F11341:F11343"/>
    <mergeCell ref="F11338:F11340"/>
    <mergeCell ref="F11344:F11345"/>
    <mergeCell ref="F11326:F11327"/>
    <mergeCell ref="F11328:F11329"/>
    <mergeCell ref="F11330:F11331"/>
    <mergeCell ref="F11332:F11333"/>
    <mergeCell ref="F11334:F11335"/>
    <mergeCell ref="F11336:F11337"/>
    <mergeCell ref="F11290:F11291"/>
    <mergeCell ref="F11292:F11293"/>
    <mergeCell ref="F11294:F11296"/>
    <mergeCell ref="F11297:F11298"/>
    <mergeCell ref="F11219:F11221"/>
    <mergeCell ref="F11216:F11218"/>
    <mergeCell ref="F11211:F11213"/>
    <mergeCell ref="F11222:F11224"/>
    <mergeCell ref="F11225:F11227"/>
    <mergeCell ref="F11228:F11230"/>
    <mergeCell ref="F11234:F11235"/>
    <mergeCell ref="F11214:F11215"/>
    <mergeCell ref="F11238:F11240"/>
    <mergeCell ref="F11170:F11171"/>
    <mergeCell ref="F11190:F11191"/>
    <mergeCell ref="F11192:F11193"/>
    <mergeCell ref="F11194:F11195"/>
    <mergeCell ref="F11196:F11197"/>
    <mergeCell ref="F11198:F11199"/>
    <mergeCell ref="F11200:F11201"/>
    <mergeCell ref="F11202:F11203"/>
    <mergeCell ref="F11204:F11205"/>
    <mergeCell ref="F11206:F11207"/>
    <mergeCell ref="F11188:F11189"/>
    <mergeCell ref="F11236:F11237"/>
    <mergeCell ref="F11231:F11233"/>
    <mergeCell ref="F11148:F11150"/>
    <mergeCell ref="F11151:F11153"/>
    <mergeCell ref="F11154:F11156"/>
    <mergeCell ref="F11159:F11161"/>
    <mergeCell ref="F11162:F11164"/>
    <mergeCell ref="F11165:F11167"/>
    <mergeCell ref="F11157:F11158"/>
    <mergeCell ref="F11168:F11169"/>
    <mergeCell ref="F11172:F11173"/>
    <mergeCell ref="F11174:F11175"/>
    <mergeCell ref="F11176:F11177"/>
    <mergeCell ref="F11178:F11179"/>
    <mergeCell ref="F11180:F11181"/>
    <mergeCell ref="F11182:F11183"/>
    <mergeCell ref="F11184:F11185"/>
    <mergeCell ref="F11186:F11187"/>
    <mergeCell ref="F11208:F11210"/>
    <mergeCell ref="F10988:F10990"/>
    <mergeCell ref="F10991:F10993"/>
    <mergeCell ref="F10994:F10996"/>
    <mergeCell ref="F10997:F10999"/>
    <mergeCell ref="F11085:F11086"/>
    <mergeCell ref="F11059:F11061"/>
    <mergeCell ref="F11062:F11063"/>
    <mergeCell ref="F11067:F11068"/>
    <mergeCell ref="F11069:F11070"/>
    <mergeCell ref="F11071:F11072"/>
    <mergeCell ref="F11073:F11074"/>
    <mergeCell ref="F11075:F11076"/>
    <mergeCell ref="F11077:F11078"/>
    <mergeCell ref="F11079:F11080"/>
    <mergeCell ref="F11081:F11082"/>
    <mergeCell ref="F11083:F11084"/>
    <mergeCell ref="F11087:F11088"/>
    <mergeCell ref="F11006:F11008"/>
    <mergeCell ref="F11009:F11010"/>
    <mergeCell ref="F11011:F11012"/>
    <mergeCell ref="F11017:F11018"/>
    <mergeCell ref="F11019:F11020"/>
    <mergeCell ref="F11039:F11040"/>
    <mergeCell ref="F11041:F11042"/>
    <mergeCell ref="F11057:F11058"/>
    <mergeCell ref="F11027:F11029"/>
    <mergeCell ref="F11021:F11023"/>
    <mergeCell ref="F11000:F11002"/>
    <mergeCell ref="F11003:F11005"/>
    <mergeCell ref="F10985:F10987"/>
    <mergeCell ref="F11024:F11026"/>
    <mergeCell ref="F11030:F11032"/>
    <mergeCell ref="F11036:F11038"/>
    <mergeCell ref="F11049:F11051"/>
    <mergeCell ref="F11046:F11048"/>
    <mergeCell ref="F11043:F11045"/>
    <mergeCell ref="F11052:F11054"/>
    <mergeCell ref="F11013:F11014"/>
    <mergeCell ref="F11015:F11016"/>
    <mergeCell ref="F11055:F11056"/>
    <mergeCell ref="F11033:F11035"/>
    <mergeCell ref="F10932:F10934"/>
    <mergeCell ref="F10929:F10931"/>
    <mergeCell ref="F10941:F10943"/>
    <mergeCell ref="F10907:F10908"/>
    <mergeCell ref="F10920:F10921"/>
    <mergeCell ref="F10944:F10945"/>
    <mergeCell ref="F10946:F10948"/>
    <mergeCell ref="F10953:F10954"/>
    <mergeCell ref="F10955:F10956"/>
    <mergeCell ref="F10957:F10958"/>
    <mergeCell ref="F10959:F10960"/>
    <mergeCell ref="F10961:F10962"/>
    <mergeCell ref="F10963:F10964"/>
    <mergeCell ref="F10965:F10966"/>
    <mergeCell ref="F10969:F10970"/>
    <mergeCell ref="F10971:F10972"/>
    <mergeCell ref="F10973:F10974"/>
    <mergeCell ref="F10975:F10976"/>
    <mergeCell ref="F10977:F10978"/>
    <mergeCell ref="F10979:F10980"/>
    <mergeCell ref="F10776:F10778"/>
    <mergeCell ref="F10816:F10818"/>
    <mergeCell ref="F10891:F10892"/>
    <mergeCell ref="F10893:F10894"/>
    <mergeCell ref="F10895:F10896"/>
    <mergeCell ref="F10897:F10898"/>
    <mergeCell ref="F10899:F10900"/>
    <mergeCell ref="F10843:F10844"/>
    <mergeCell ref="F10834:F10836"/>
    <mergeCell ref="F10840:F10842"/>
    <mergeCell ref="F10837:F10839"/>
    <mergeCell ref="F10845:F10847"/>
    <mergeCell ref="F10865:F10866"/>
    <mergeCell ref="F10867:F10868"/>
    <mergeCell ref="F10869:F10870"/>
    <mergeCell ref="F10871:F10872"/>
    <mergeCell ref="F10873:F10874"/>
    <mergeCell ref="F10813:F10815"/>
    <mergeCell ref="F10826:F10828"/>
    <mergeCell ref="F10819:F10821"/>
    <mergeCell ref="F10822:F10823"/>
    <mergeCell ref="F10829:F10831"/>
    <mergeCell ref="F10832:F10833"/>
    <mergeCell ref="F10851:F10853"/>
    <mergeCell ref="F10854:F10856"/>
    <mergeCell ref="F10857:F10858"/>
    <mergeCell ref="F10859:F10861"/>
    <mergeCell ref="F10862:F10864"/>
    <mergeCell ref="F10848:F10850"/>
    <mergeCell ref="F10824:F10825"/>
    <mergeCell ref="F10741:F10743"/>
    <mergeCell ref="F10744:F10746"/>
    <mergeCell ref="F10747:F10749"/>
    <mergeCell ref="F10750:F10752"/>
    <mergeCell ref="F10755:F10757"/>
    <mergeCell ref="F10758:F10760"/>
    <mergeCell ref="F10765:F10767"/>
    <mergeCell ref="F10768:F10770"/>
    <mergeCell ref="F10771:F10773"/>
    <mergeCell ref="F10728:F10729"/>
    <mergeCell ref="F10761:F10762"/>
    <mergeCell ref="F10736:F10737"/>
    <mergeCell ref="F10753:F10754"/>
    <mergeCell ref="F10763:F10764"/>
    <mergeCell ref="F10811:F10812"/>
    <mergeCell ref="F10774:F10775"/>
    <mergeCell ref="F10779:F10780"/>
    <mergeCell ref="F10781:F10782"/>
    <mergeCell ref="F10783:F10784"/>
    <mergeCell ref="F10785:F10786"/>
    <mergeCell ref="F10787:F10788"/>
    <mergeCell ref="F10789:F10790"/>
    <mergeCell ref="F10791:F10792"/>
    <mergeCell ref="F10793:F10794"/>
    <mergeCell ref="F10795:F10796"/>
    <mergeCell ref="F10797:F10798"/>
    <mergeCell ref="F10799:F10800"/>
    <mergeCell ref="F10801:F10802"/>
    <mergeCell ref="F10803:F10804"/>
    <mergeCell ref="F10805:F10806"/>
    <mergeCell ref="F10807:F10808"/>
    <mergeCell ref="F10809:F10810"/>
    <mergeCell ref="F10658:F10659"/>
    <mergeCell ref="F10608:F10609"/>
    <mergeCell ref="F10502:F10503"/>
    <mergeCell ref="F10504:F10505"/>
    <mergeCell ref="F10213:F10215"/>
    <mergeCell ref="F10434:F10435"/>
    <mergeCell ref="F10436:F10437"/>
    <mergeCell ref="F10438:F10439"/>
    <mergeCell ref="F10440:F10441"/>
    <mergeCell ref="F10442:F10444"/>
    <mergeCell ref="F10445:F10447"/>
    <mergeCell ref="F10448:F10450"/>
    <mergeCell ref="F10451:F10453"/>
    <mergeCell ref="F10454:F10456"/>
    <mergeCell ref="F10463:F10465"/>
    <mergeCell ref="F10466:F10468"/>
    <mergeCell ref="F10431:F10433"/>
    <mergeCell ref="F10457:F10459"/>
    <mergeCell ref="F10460:F10462"/>
    <mergeCell ref="F10472:F10473"/>
    <mergeCell ref="F10474:F10475"/>
    <mergeCell ref="F10228:F10229"/>
    <mergeCell ref="F10230:F10231"/>
    <mergeCell ref="F10232:F10233"/>
    <mergeCell ref="F10234:F10235"/>
    <mergeCell ref="F10236:F10237"/>
    <mergeCell ref="F10238:F10239"/>
    <mergeCell ref="F10240:F10241"/>
    <mergeCell ref="F10242:F10243"/>
    <mergeCell ref="F10244:F10245"/>
    <mergeCell ref="F10246:F10247"/>
    <mergeCell ref="F10248:F10249"/>
    <mergeCell ref="F10415:F10416"/>
    <mergeCell ref="F10417:F10418"/>
    <mergeCell ref="F10419:F10420"/>
    <mergeCell ref="F10421:F10422"/>
    <mergeCell ref="F10423:F10424"/>
    <mergeCell ref="F10425:F10426"/>
    <mergeCell ref="F10427:F10428"/>
    <mergeCell ref="F10429:F10430"/>
    <mergeCell ref="F10377:F10378"/>
    <mergeCell ref="F10372:F10374"/>
    <mergeCell ref="F10379:F10381"/>
    <mergeCell ref="F10382:F10383"/>
    <mergeCell ref="F10375:F10376"/>
    <mergeCell ref="F9517:F9518"/>
    <mergeCell ref="F9109:F9110"/>
    <mergeCell ref="F10384:F10385"/>
    <mergeCell ref="F10386:F10387"/>
    <mergeCell ref="F10397:F10398"/>
    <mergeCell ref="F10399:F10400"/>
    <mergeCell ref="F10401:F10402"/>
    <mergeCell ref="F10403:F10404"/>
    <mergeCell ref="F10405:F10406"/>
    <mergeCell ref="F10407:F10408"/>
    <mergeCell ref="F10409:F10410"/>
    <mergeCell ref="F10411:F10412"/>
    <mergeCell ref="F10413:F10414"/>
    <mergeCell ref="F10185:F10187"/>
    <mergeCell ref="F10188:F10190"/>
    <mergeCell ref="F10191:F10193"/>
    <mergeCell ref="F10194:F10196"/>
    <mergeCell ref="F10271:F10272"/>
    <mergeCell ref="F10254:F10255"/>
    <mergeCell ref="F10256:F10257"/>
    <mergeCell ref="F10258:F10259"/>
    <mergeCell ref="F10045:F10046"/>
    <mergeCell ref="F10047:F10048"/>
    <mergeCell ref="F9983:F9985"/>
    <mergeCell ref="F9961:F9963"/>
    <mergeCell ref="F10041:F10042"/>
    <mergeCell ref="F10138:F10139"/>
    <mergeCell ref="F10140:F10141"/>
    <mergeCell ref="F10142:F10143"/>
    <mergeCell ref="F10144:F10145"/>
    <mergeCell ref="F10146:F10147"/>
    <mergeCell ref="F10148:F10149"/>
    <mergeCell ref="F10150:F10151"/>
    <mergeCell ref="F10152:F10153"/>
    <mergeCell ref="F10154:F10155"/>
    <mergeCell ref="F10156:F10157"/>
    <mergeCell ref="F10158:F10159"/>
    <mergeCell ref="F10009:F10010"/>
    <mergeCell ref="F10049:F10050"/>
    <mergeCell ref="F10051:F10052"/>
    <mergeCell ref="F10053:F10054"/>
    <mergeCell ref="F10055:F10056"/>
    <mergeCell ref="F10115:F10117"/>
    <mergeCell ref="F10118:F10121"/>
    <mergeCell ref="F10075:F10077"/>
    <mergeCell ref="F10086:F10088"/>
    <mergeCell ref="F10109:F10111"/>
    <mergeCell ref="F10106:F10108"/>
    <mergeCell ref="F10208:F10210"/>
    <mergeCell ref="F10016:F10017"/>
    <mergeCell ref="F10014:F10015"/>
    <mergeCell ref="F10027:F10029"/>
    <mergeCell ref="F10038:F10040"/>
    <mergeCell ref="F10032:F10033"/>
    <mergeCell ref="F9832:F9833"/>
    <mergeCell ref="F9834:F9835"/>
    <mergeCell ref="F9836:F9837"/>
    <mergeCell ref="F9838:F9839"/>
    <mergeCell ref="F9848:F9849"/>
    <mergeCell ref="F9850:F9851"/>
    <mergeCell ref="F9807:F9808"/>
    <mergeCell ref="F9756:F9758"/>
    <mergeCell ref="F9783:F9784"/>
    <mergeCell ref="F9785:F9786"/>
    <mergeCell ref="F10250:F10251"/>
    <mergeCell ref="F10252:F10253"/>
    <mergeCell ref="F9723:F9724"/>
    <mergeCell ref="F9670:F9671"/>
    <mergeCell ref="F9672:F9673"/>
    <mergeCell ref="F9674:F9675"/>
    <mergeCell ref="F9676:F9677"/>
    <mergeCell ref="F9678:F9679"/>
    <mergeCell ref="F9680:F9681"/>
    <mergeCell ref="F9682:F9683"/>
    <mergeCell ref="F9684:F9685"/>
    <mergeCell ref="F9686:F9687"/>
    <mergeCell ref="F9688:F9689"/>
    <mergeCell ref="F9690:F9691"/>
    <mergeCell ref="F9692:F9693"/>
    <mergeCell ref="F9694:F9695"/>
    <mergeCell ref="F9702:F9704"/>
    <mergeCell ref="F10101:F10103"/>
    <mergeCell ref="F10065:F10066"/>
    <mergeCell ref="F10067:F10068"/>
    <mergeCell ref="F10069:F10070"/>
    <mergeCell ref="F10057:F10058"/>
    <mergeCell ref="F9754:F9755"/>
    <mergeCell ref="F9812:F9813"/>
    <mergeCell ref="F9840:F9841"/>
    <mergeCell ref="F9958:F9960"/>
    <mergeCell ref="F10018:F10020"/>
    <mergeCell ref="F10034:F10035"/>
    <mergeCell ref="F10036:F10037"/>
    <mergeCell ref="F10030:F10031"/>
    <mergeCell ref="F9966:F9967"/>
    <mergeCell ref="F9968:F9970"/>
    <mergeCell ref="F9971:F9973"/>
    <mergeCell ref="F10011:F10013"/>
    <mergeCell ref="F10024:F10026"/>
    <mergeCell ref="F9964:F9965"/>
    <mergeCell ref="F9986:F9987"/>
    <mergeCell ref="F9940:F9941"/>
    <mergeCell ref="F9942:F9943"/>
    <mergeCell ref="F9801:F9803"/>
    <mergeCell ref="F9798:F9800"/>
    <mergeCell ref="F9777:F9779"/>
    <mergeCell ref="F9780:F9782"/>
    <mergeCell ref="F9860:F9862"/>
    <mergeCell ref="F9901:F9903"/>
    <mergeCell ref="F9895:F9897"/>
    <mergeCell ref="F9881:F9883"/>
    <mergeCell ref="F9869:F9871"/>
    <mergeCell ref="F9866:F9868"/>
    <mergeCell ref="F9863:F9865"/>
    <mergeCell ref="F9892:F9894"/>
    <mergeCell ref="F9731:F9733"/>
    <mergeCell ref="F9737:F9739"/>
    <mergeCell ref="F9740:F9742"/>
    <mergeCell ref="F9743:F9745"/>
    <mergeCell ref="F9734:F9736"/>
    <mergeCell ref="F9746:F9747"/>
    <mergeCell ref="F9787:F9788"/>
    <mergeCell ref="F9759:F9761"/>
    <mergeCell ref="F9762:F9764"/>
    <mergeCell ref="F9729:F9730"/>
    <mergeCell ref="F9727:F9728"/>
    <mergeCell ref="F9765:F9767"/>
    <mergeCell ref="F9842:F9843"/>
    <mergeCell ref="F9844:F9845"/>
    <mergeCell ref="F9846:F9847"/>
    <mergeCell ref="F9751:F9753"/>
    <mergeCell ref="F9814:F9815"/>
    <mergeCell ref="F9816:F9817"/>
    <mergeCell ref="F9818:F9819"/>
    <mergeCell ref="F9820:F9821"/>
    <mergeCell ref="F9822:F9823"/>
    <mergeCell ref="F9824:F9825"/>
    <mergeCell ref="F9826:F9827"/>
    <mergeCell ref="F9828:F9829"/>
    <mergeCell ref="F9830:F9831"/>
    <mergeCell ref="F9768:F9770"/>
    <mergeCell ref="F9774:F9776"/>
    <mergeCell ref="F9771:F9773"/>
    <mergeCell ref="F9789:F9791"/>
    <mergeCell ref="F9792:F9794"/>
    <mergeCell ref="F9795:F9797"/>
    <mergeCell ref="F9804:F9806"/>
    <mergeCell ref="F9639:F9640"/>
    <mergeCell ref="F9641:F9642"/>
    <mergeCell ref="F9656:F9657"/>
    <mergeCell ref="F9658:F9659"/>
    <mergeCell ref="F9660:F9661"/>
    <mergeCell ref="F9662:F9663"/>
    <mergeCell ref="F9664:F9665"/>
    <mergeCell ref="F9666:F9667"/>
    <mergeCell ref="F9668:F9669"/>
    <mergeCell ref="F9562:F9564"/>
    <mergeCell ref="F9565:F9567"/>
    <mergeCell ref="F9576:F9578"/>
    <mergeCell ref="F9579:F9581"/>
    <mergeCell ref="F9582:F9584"/>
    <mergeCell ref="F9585:F9587"/>
    <mergeCell ref="F10006:F10008"/>
    <mergeCell ref="F10021:F10023"/>
    <mergeCell ref="F9944:F9945"/>
    <mergeCell ref="F9946:F9947"/>
    <mergeCell ref="F9649:F9650"/>
    <mergeCell ref="F9748:F9750"/>
    <mergeCell ref="F9651:F9652"/>
    <mergeCell ref="F9974:F9976"/>
    <mergeCell ref="F9980:F9982"/>
    <mergeCell ref="F9977:F9979"/>
    <mergeCell ref="F9988:F9990"/>
    <mergeCell ref="F10003:F10005"/>
    <mergeCell ref="F10000:F10002"/>
    <mergeCell ref="F9997:F9999"/>
    <mergeCell ref="F9994:F9996"/>
    <mergeCell ref="F9991:F9993"/>
    <mergeCell ref="F9653:F9655"/>
    <mergeCell ref="F9624:F9626"/>
    <mergeCell ref="F9627:F9629"/>
    <mergeCell ref="F9630:F9632"/>
    <mergeCell ref="F9633:F9635"/>
    <mergeCell ref="F9604:F9606"/>
    <mergeCell ref="F9568:F9570"/>
    <mergeCell ref="F9571:F9573"/>
    <mergeCell ref="F9598:F9600"/>
    <mergeCell ref="F9610:F9612"/>
    <mergeCell ref="F9547:F9548"/>
    <mergeCell ref="F9549:F9550"/>
    <mergeCell ref="F9551:F9552"/>
    <mergeCell ref="F9553:F9554"/>
    <mergeCell ref="F9555:F9556"/>
    <mergeCell ref="F9557:F9558"/>
    <mergeCell ref="F9725:F9726"/>
    <mergeCell ref="F9699:F9701"/>
    <mergeCell ref="F9696:F9698"/>
    <mergeCell ref="F9705:F9707"/>
    <mergeCell ref="F9708:F9710"/>
    <mergeCell ref="F9711:F9713"/>
    <mergeCell ref="F9717:F9719"/>
    <mergeCell ref="F9720:F9722"/>
    <mergeCell ref="F9714:F9716"/>
    <mergeCell ref="F9636:F9638"/>
    <mergeCell ref="F9574:F9575"/>
    <mergeCell ref="F9588:F9589"/>
    <mergeCell ref="F9559:F9561"/>
    <mergeCell ref="F9590:F9592"/>
    <mergeCell ref="F9593:F9594"/>
    <mergeCell ref="F9595:F9597"/>
    <mergeCell ref="F9613:F9614"/>
    <mergeCell ref="F9521:F9522"/>
    <mergeCell ref="F9523:F9524"/>
    <mergeCell ref="F9525:F9526"/>
    <mergeCell ref="F9527:F9528"/>
    <mergeCell ref="F9529:F9530"/>
    <mergeCell ref="F9531:F9532"/>
    <mergeCell ref="F9533:F9534"/>
    <mergeCell ref="F9535:F9536"/>
    <mergeCell ref="F9537:F9538"/>
    <mergeCell ref="F9539:F9540"/>
    <mergeCell ref="F9541:F9542"/>
    <mergeCell ref="F9514:F9516"/>
    <mergeCell ref="F9601:F9603"/>
    <mergeCell ref="F9607:F9609"/>
    <mergeCell ref="F9615:F9617"/>
    <mergeCell ref="F9618:F9620"/>
    <mergeCell ref="F9621:F9623"/>
    <mergeCell ref="F9440:F9441"/>
    <mergeCell ref="F9442:F9443"/>
    <mergeCell ref="F9444:F9445"/>
    <mergeCell ref="F9446:F9447"/>
    <mergeCell ref="F9448:F9449"/>
    <mergeCell ref="F9450:F9451"/>
    <mergeCell ref="F9452:F9453"/>
    <mergeCell ref="F9454:F9455"/>
    <mergeCell ref="F9456:F9457"/>
    <mergeCell ref="F9543:F9544"/>
    <mergeCell ref="F9545:F9546"/>
    <mergeCell ref="F9410:F9412"/>
    <mergeCell ref="F9413:F9414"/>
    <mergeCell ref="F9404:F9406"/>
    <mergeCell ref="F9407:F9409"/>
    <mergeCell ref="F9494:F9496"/>
    <mergeCell ref="F9464:F9466"/>
    <mergeCell ref="F9467:F9468"/>
    <mergeCell ref="F9481:F9482"/>
    <mergeCell ref="F9475:F9477"/>
    <mergeCell ref="F9478:F9480"/>
    <mergeCell ref="F9485:F9487"/>
    <mergeCell ref="F9497:F9499"/>
    <mergeCell ref="F9488:F9490"/>
    <mergeCell ref="F9483:F9484"/>
    <mergeCell ref="F9491:F9493"/>
    <mergeCell ref="F9500:F9502"/>
    <mergeCell ref="F9506:F9508"/>
    <mergeCell ref="F9503:F9505"/>
    <mergeCell ref="F9509:F9510"/>
    <mergeCell ref="F9511:F9513"/>
    <mergeCell ref="F9519:F9520"/>
    <mergeCell ref="F9315:F9316"/>
    <mergeCell ref="F9317:F9318"/>
    <mergeCell ref="F9319:F9320"/>
    <mergeCell ref="F9321:F9322"/>
    <mergeCell ref="F9204:F9205"/>
    <mergeCell ref="F9225:F9226"/>
    <mergeCell ref="F9232:F9233"/>
    <mergeCell ref="F9234:F9236"/>
    <mergeCell ref="F9237:F9239"/>
    <mergeCell ref="F9240:F9242"/>
    <mergeCell ref="F9255:F9257"/>
    <mergeCell ref="F9258:F9260"/>
    <mergeCell ref="F9261:F9263"/>
    <mergeCell ref="F9264:F9266"/>
    <mergeCell ref="F9267:F9268"/>
    <mergeCell ref="F9243:F9245"/>
    <mergeCell ref="F9249:F9251"/>
    <mergeCell ref="F9246:F9248"/>
    <mergeCell ref="F9252:F9254"/>
    <mergeCell ref="F9229:F9231"/>
    <mergeCell ref="F9285:F9286"/>
    <mergeCell ref="F9287:F9288"/>
    <mergeCell ref="F9289:F9290"/>
    <mergeCell ref="F9269:F9271"/>
    <mergeCell ref="F9272:F9274"/>
    <mergeCell ref="F9275:F9277"/>
    <mergeCell ref="F9278:F9280"/>
    <mergeCell ref="F9283:F9284"/>
    <mergeCell ref="F9281:F9282"/>
    <mergeCell ref="F9291:F9292"/>
    <mergeCell ref="F9293:F9294"/>
    <mergeCell ref="F9295:F9296"/>
    <mergeCell ref="F9185:F9186"/>
    <mergeCell ref="F9206:F9207"/>
    <mergeCell ref="F9227:F9228"/>
    <mergeCell ref="F9143:F9144"/>
    <mergeCell ref="F9187:F9189"/>
    <mergeCell ref="F9190:F9192"/>
    <mergeCell ref="F9196:F9198"/>
    <mergeCell ref="F9199:F9201"/>
    <mergeCell ref="F9193:F9195"/>
    <mergeCell ref="F9202:F9203"/>
    <mergeCell ref="F9208:F9210"/>
    <mergeCell ref="F9211:F9213"/>
    <mergeCell ref="F9217:F9219"/>
    <mergeCell ref="F9214:F9216"/>
    <mergeCell ref="F9220:F9222"/>
    <mergeCell ref="F9223:F9224"/>
    <mergeCell ref="F9183:F9184"/>
    <mergeCell ref="F9149:F9150"/>
    <mergeCell ref="F9151:F9152"/>
    <mergeCell ref="F9153:F9154"/>
    <mergeCell ref="F9155:F9156"/>
    <mergeCell ref="F9157:F9158"/>
    <mergeCell ref="F9159:F9160"/>
    <mergeCell ref="F9161:F9162"/>
    <mergeCell ref="F9163:F9164"/>
    <mergeCell ref="F9165:F9166"/>
    <mergeCell ref="F9167:F9168"/>
    <mergeCell ref="F9169:F9170"/>
    <mergeCell ref="F9171:F9172"/>
    <mergeCell ref="F9173:F9174"/>
    <mergeCell ref="F9175:F9176"/>
    <mergeCell ref="F9177:F9178"/>
    <mergeCell ref="F9179:F9180"/>
    <mergeCell ref="F9181:F9182"/>
    <mergeCell ref="F9101:F9103"/>
    <mergeCell ref="F9118:F9120"/>
    <mergeCell ref="F9121:F9123"/>
    <mergeCell ref="F9124:F9126"/>
    <mergeCell ref="F9131:F9133"/>
    <mergeCell ref="F9134:F9136"/>
    <mergeCell ref="F9104:F9106"/>
    <mergeCell ref="F9111:F9112"/>
    <mergeCell ref="F9127:F9128"/>
    <mergeCell ref="F9129:F9130"/>
    <mergeCell ref="F9113:F9114"/>
    <mergeCell ref="F9115:F9117"/>
    <mergeCell ref="F9053:F9054"/>
    <mergeCell ref="F9107:F9108"/>
    <mergeCell ref="F9145:F9146"/>
    <mergeCell ref="F9147:F9148"/>
    <mergeCell ref="F9067:F9068"/>
    <mergeCell ref="F9069:F9070"/>
    <mergeCell ref="F9071:F9072"/>
    <mergeCell ref="F9073:F9074"/>
    <mergeCell ref="F9075:F9076"/>
    <mergeCell ref="F9077:F9078"/>
    <mergeCell ref="F9079:F9080"/>
    <mergeCell ref="F9081:F9082"/>
    <mergeCell ref="F9083:F9084"/>
    <mergeCell ref="F9085:F9086"/>
    <mergeCell ref="F9087:F9088"/>
    <mergeCell ref="F9089:F9090"/>
    <mergeCell ref="F9091:F9092"/>
    <mergeCell ref="F9093:F9094"/>
    <mergeCell ref="F9137:F9139"/>
    <mergeCell ref="F9140:F9142"/>
    <mergeCell ref="F9050:F9052"/>
    <mergeCell ref="F9095:F9097"/>
    <mergeCell ref="F9098:F9100"/>
    <mergeCell ref="F9022:F9023"/>
    <mergeCell ref="F9024:F9026"/>
    <mergeCell ref="F9027:F9029"/>
    <mergeCell ref="F9030:F9032"/>
    <mergeCell ref="F9033:F9034"/>
    <mergeCell ref="F9035:F9037"/>
    <mergeCell ref="F9038:F9039"/>
    <mergeCell ref="F9040:F9041"/>
    <mergeCell ref="F9042:F9043"/>
    <mergeCell ref="F9044:F9046"/>
    <mergeCell ref="F9047:F9049"/>
    <mergeCell ref="F9055:F9056"/>
    <mergeCell ref="F9057:F9058"/>
    <mergeCell ref="F9059:F9060"/>
    <mergeCell ref="F9061:F9062"/>
    <mergeCell ref="F9063:F9064"/>
    <mergeCell ref="F9065:F9066"/>
    <mergeCell ref="F8976:F8978"/>
    <mergeCell ref="F8857:F8858"/>
    <mergeCell ref="F8606:F8607"/>
    <mergeCell ref="F8904:F8905"/>
    <mergeCell ref="F8944:F8945"/>
    <mergeCell ref="F8941:F8943"/>
    <mergeCell ref="F8938:F8940"/>
    <mergeCell ref="F8933:F8935"/>
    <mergeCell ref="F8930:F8932"/>
    <mergeCell ref="F8927:F8929"/>
    <mergeCell ref="F8924:F8926"/>
    <mergeCell ref="F8921:F8923"/>
    <mergeCell ref="F8918:F8920"/>
    <mergeCell ref="F8915:F8917"/>
    <mergeCell ref="F8912:F8914"/>
    <mergeCell ref="F8909:F8911"/>
    <mergeCell ref="F8906:F8908"/>
    <mergeCell ref="F8899:F8901"/>
    <mergeCell ref="F8936:F8937"/>
    <mergeCell ref="F8893:F8894"/>
    <mergeCell ref="F8895:F8896"/>
    <mergeCell ref="F8897:F8898"/>
    <mergeCell ref="F8836:F8838"/>
    <mergeCell ref="F8845:F8847"/>
    <mergeCell ref="F8842:F8844"/>
    <mergeCell ref="F8839:F8841"/>
    <mergeCell ref="F8902:F8903"/>
    <mergeCell ref="F8779:F8782"/>
    <mergeCell ref="F8883:F8884"/>
    <mergeCell ref="F8885:F8886"/>
    <mergeCell ref="F8887:F8888"/>
    <mergeCell ref="F8889:F8890"/>
    <mergeCell ref="F8891:F8892"/>
    <mergeCell ref="F8783:F8784"/>
    <mergeCell ref="F8851:F8852"/>
    <mergeCell ref="F8853:F8854"/>
    <mergeCell ref="F8848:F8850"/>
    <mergeCell ref="F8855:F8856"/>
    <mergeCell ref="F8859:F8860"/>
    <mergeCell ref="F8861:F8862"/>
    <mergeCell ref="F8863:F8864"/>
    <mergeCell ref="F8865:F8866"/>
    <mergeCell ref="F8867:F8868"/>
    <mergeCell ref="F8869:F8870"/>
    <mergeCell ref="F8871:F8872"/>
    <mergeCell ref="F8873:F8874"/>
    <mergeCell ref="F8875:F8876"/>
    <mergeCell ref="F8877:F8878"/>
    <mergeCell ref="F8879:F8880"/>
    <mergeCell ref="F8881:F8882"/>
    <mergeCell ref="F8800:F8802"/>
    <mergeCell ref="F8833:F8835"/>
    <mergeCell ref="F8830:F8832"/>
    <mergeCell ref="F8827:F8829"/>
    <mergeCell ref="F8824:F8826"/>
    <mergeCell ref="F8821:F8823"/>
    <mergeCell ref="F8818:F8820"/>
    <mergeCell ref="F8815:F8817"/>
    <mergeCell ref="F8812:F8814"/>
    <mergeCell ref="F8809:F8811"/>
    <mergeCell ref="F8806:F8808"/>
    <mergeCell ref="F8803:F8805"/>
    <mergeCell ref="F8706:F8707"/>
    <mergeCell ref="F8785:F8787"/>
    <mergeCell ref="F8788:F8790"/>
    <mergeCell ref="F8791:F8793"/>
    <mergeCell ref="F8794:F8796"/>
    <mergeCell ref="F8797:F8799"/>
    <mergeCell ref="F8757:F8759"/>
    <mergeCell ref="F8769:F8771"/>
    <mergeCell ref="F8753:F8754"/>
    <mergeCell ref="F8772:F8774"/>
    <mergeCell ref="F8775:F8776"/>
    <mergeCell ref="F8777:F8778"/>
    <mergeCell ref="F8675:F8676"/>
    <mergeCell ref="F8677:F8678"/>
    <mergeCell ref="F8679:F8680"/>
    <mergeCell ref="F8681:F8682"/>
    <mergeCell ref="F8683:F8684"/>
    <mergeCell ref="F8685:F8686"/>
    <mergeCell ref="F8687:F8688"/>
    <mergeCell ref="F8689:F8690"/>
    <mergeCell ref="F8691:F8692"/>
    <mergeCell ref="F8693:F8694"/>
    <mergeCell ref="F8695:F8696"/>
    <mergeCell ref="F8697:F8698"/>
    <mergeCell ref="F8699:F8700"/>
    <mergeCell ref="F8701:F8702"/>
    <mergeCell ref="F8727:F8728"/>
    <mergeCell ref="F8755:F8756"/>
    <mergeCell ref="F8766:F8768"/>
    <mergeCell ref="F8763:F8765"/>
    <mergeCell ref="F8760:F8762"/>
    <mergeCell ref="F8703:F8705"/>
    <mergeCell ref="F8724:F8726"/>
    <mergeCell ref="F8721:F8723"/>
    <mergeCell ref="F8718:F8720"/>
    <mergeCell ref="F8715:F8717"/>
    <mergeCell ref="F8729:F8731"/>
    <mergeCell ref="F8732:F8734"/>
    <mergeCell ref="F8735:F8737"/>
    <mergeCell ref="F8741:F8743"/>
    <mergeCell ref="F8738:F8740"/>
    <mergeCell ref="F8744:F8746"/>
    <mergeCell ref="F8747:F8749"/>
    <mergeCell ref="F8750:F8752"/>
    <mergeCell ref="F8569:F8570"/>
    <mergeCell ref="F8571:F8572"/>
    <mergeCell ref="F8573:F8574"/>
    <mergeCell ref="F8575:F8576"/>
    <mergeCell ref="F8547:F8549"/>
    <mergeCell ref="F8640:F8641"/>
    <mergeCell ref="F8659:F8660"/>
    <mergeCell ref="F8661:F8662"/>
    <mergeCell ref="F8663:F8664"/>
    <mergeCell ref="F8665:F8666"/>
    <mergeCell ref="F8667:F8668"/>
    <mergeCell ref="F8669:F8670"/>
    <mergeCell ref="F8671:F8672"/>
    <mergeCell ref="F8673:F8674"/>
    <mergeCell ref="F8708:F8710"/>
    <mergeCell ref="F8711:F8712"/>
    <mergeCell ref="F8713:F8714"/>
    <mergeCell ref="F8625:F8627"/>
    <mergeCell ref="F8628:F8630"/>
    <mergeCell ref="F8603:F8605"/>
    <mergeCell ref="F8637:F8639"/>
    <mergeCell ref="F8642:F8644"/>
    <mergeCell ref="F8645:F8647"/>
    <mergeCell ref="F8648:F8650"/>
    <mergeCell ref="F8651:F8653"/>
    <mergeCell ref="F8654:F8655"/>
    <mergeCell ref="F8656:F8658"/>
    <mergeCell ref="F8635:F8636"/>
    <mergeCell ref="F8567:F8568"/>
    <mergeCell ref="F8589:F8590"/>
    <mergeCell ref="F8495:F8496"/>
    <mergeCell ref="F8497:F8498"/>
    <mergeCell ref="F8499:F8500"/>
    <mergeCell ref="F8501:F8503"/>
    <mergeCell ref="F8507:F8509"/>
    <mergeCell ref="F8510:F8512"/>
    <mergeCell ref="F8513:F8515"/>
    <mergeCell ref="F8516:F8518"/>
    <mergeCell ref="F8519:F8521"/>
    <mergeCell ref="F8522:F8524"/>
    <mergeCell ref="F8525:F8527"/>
    <mergeCell ref="F8528:F8530"/>
    <mergeCell ref="F8531:F8533"/>
    <mergeCell ref="F8534:F8536"/>
    <mergeCell ref="F8539:F8541"/>
    <mergeCell ref="F8504:F8506"/>
    <mergeCell ref="F8537:F8538"/>
    <mergeCell ref="F8591:F8592"/>
    <mergeCell ref="F8593:F8594"/>
    <mergeCell ref="F8550:F8552"/>
    <mergeCell ref="F8577:F8578"/>
    <mergeCell ref="F8579:F8580"/>
    <mergeCell ref="F8581:F8582"/>
    <mergeCell ref="F8583:F8584"/>
    <mergeCell ref="F8585:F8586"/>
    <mergeCell ref="F8587:F8588"/>
    <mergeCell ref="F8631:F8632"/>
    <mergeCell ref="F8633:F8634"/>
    <mergeCell ref="F8553:F8554"/>
    <mergeCell ref="F8555:F8556"/>
    <mergeCell ref="F8489:F8490"/>
    <mergeCell ref="F8491:F8492"/>
    <mergeCell ref="F8481:F8482"/>
    <mergeCell ref="F8542:F8544"/>
    <mergeCell ref="F8557:F8558"/>
    <mergeCell ref="F8559:F8560"/>
    <mergeCell ref="F8595:F8596"/>
    <mergeCell ref="F8597:F8598"/>
    <mergeCell ref="F8599:F8600"/>
    <mergeCell ref="F8601:F8602"/>
    <mergeCell ref="F8545:F8546"/>
    <mergeCell ref="F8561:F8562"/>
    <mergeCell ref="F8563:F8564"/>
    <mergeCell ref="F8565:F8566"/>
    <mergeCell ref="F8613:F8615"/>
    <mergeCell ref="F8616:F8618"/>
    <mergeCell ref="F8619:F8621"/>
    <mergeCell ref="F8622:F8624"/>
    <mergeCell ref="F8493:F8494"/>
    <mergeCell ref="F8608:F8610"/>
    <mergeCell ref="F8611:F8612"/>
    <mergeCell ref="F8419:F8421"/>
    <mergeCell ref="F8428:F8429"/>
    <mergeCell ref="F8422:F8424"/>
    <mergeCell ref="F8430:F8431"/>
    <mergeCell ref="F8425:F8427"/>
    <mergeCell ref="F8432:F8434"/>
    <mergeCell ref="F8435:F8437"/>
    <mergeCell ref="F8451:F8452"/>
    <mergeCell ref="F8453:F8454"/>
    <mergeCell ref="F8447:F8448"/>
    <mergeCell ref="F8477:F8478"/>
    <mergeCell ref="F8479:F8480"/>
    <mergeCell ref="F8483:F8484"/>
    <mergeCell ref="F8485:F8486"/>
    <mergeCell ref="F8487:F8488"/>
    <mergeCell ref="F8438:F8440"/>
    <mergeCell ref="F8441:F8443"/>
    <mergeCell ref="F8444:F8446"/>
    <mergeCell ref="F8449:F8450"/>
    <mergeCell ref="F8475:F8476"/>
    <mergeCell ref="F8455:F8456"/>
    <mergeCell ref="F8457:F8458"/>
    <mergeCell ref="F8459:F8460"/>
    <mergeCell ref="F8461:F8462"/>
    <mergeCell ref="F8463:F8464"/>
    <mergeCell ref="F8465:F8466"/>
    <mergeCell ref="F8467:F8468"/>
    <mergeCell ref="F8469:F8470"/>
    <mergeCell ref="F8471:F8472"/>
    <mergeCell ref="F8473:F8474"/>
    <mergeCell ref="F8368:F8369"/>
    <mergeCell ref="F8370:F8371"/>
    <mergeCell ref="F8374:F8375"/>
    <mergeCell ref="F8376:F8377"/>
    <mergeCell ref="F8378:F8379"/>
    <mergeCell ref="F8380:F8381"/>
    <mergeCell ref="F8382:F8383"/>
    <mergeCell ref="F8384:F8385"/>
    <mergeCell ref="F8386:F8387"/>
    <mergeCell ref="F8388:F8389"/>
    <mergeCell ref="F8390:F8391"/>
    <mergeCell ref="F8392:F8393"/>
    <mergeCell ref="F8413:F8415"/>
    <mergeCell ref="F8416:F8418"/>
    <mergeCell ref="F8394:F8395"/>
    <mergeCell ref="F8361:F8363"/>
    <mergeCell ref="F8364:F8365"/>
    <mergeCell ref="F8396:F8397"/>
    <mergeCell ref="F8398:F8399"/>
    <mergeCell ref="F8400:F8401"/>
    <mergeCell ref="F8402:F8403"/>
    <mergeCell ref="F8404:F8405"/>
    <mergeCell ref="F8406:F8407"/>
    <mergeCell ref="F8408:F8410"/>
    <mergeCell ref="F8411:F8412"/>
    <mergeCell ref="F8372:F8373"/>
    <mergeCell ref="F8313:F8314"/>
    <mergeCell ref="F8315:F8316"/>
    <mergeCell ref="F8317:F8318"/>
    <mergeCell ref="F8319:F8320"/>
    <mergeCell ref="F8321:F8322"/>
    <mergeCell ref="F8327:F8329"/>
    <mergeCell ref="F8330:F8332"/>
    <mergeCell ref="F8333:F8335"/>
    <mergeCell ref="F8336:F8338"/>
    <mergeCell ref="F8339:F8341"/>
    <mergeCell ref="F8342:F8344"/>
    <mergeCell ref="F8347:F8349"/>
    <mergeCell ref="F8345:F8346"/>
    <mergeCell ref="F8323:F8324"/>
    <mergeCell ref="F8355:F8357"/>
    <mergeCell ref="F8358:F8360"/>
    <mergeCell ref="F8366:F8367"/>
    <mergeCell ref="F8350:F8351"/>
    <mergeCell ref="F8325:F8326"/>
    <mergeCell ref="F8352:F8354"/>
    <mergeCell ref="F8248:F8249"/>
    <mergeCell ref="F8250:F8251"/>
    <mergeCell ref="F8245:F8247"/>
    <mergeCell ref="F8283:F8284"/>
    <mergeCell ref="F8285:F8286"/>
    <mergeCell ref="F8287:F8288"/>
    <mergeCell ref="F8289:F8290"/>
    <mergeCell ref="F8291:F8292"/>
    <mergeCell ref="F8293:F8294"/>
    <mergeCell ref="F8295:F8296"/>
    <mergeCell ref="F8297:F8298"/>
    <mergeCell ref="F8299:F8300"/>
    <mergeCell ref="F8301:F8302"/>
    <mergeCell ref="F8303:F8304"/>
    <mergeCell ref="F8305:F8306"/>
    <mergeCell ref="F8263:F8265"/>
    <mergeCell ref="F8266:F8268"/>
    <mergeCell ref="F8269:F8271"/>
    <mergeCell ref="F8272:F8274"/>
    <mergeCell ref="F8275:F8277"/>
    <mergeCell ref="F8258:F8260"/>
    <mergeCell ref="F8261:F8262"/>
    <mergeCell ref="F8281:F8282"/>
    <mergeCell ref="F8156:F8157"/>
    <mergeCell ref="F8196:F8198"/>
    <mergeCell ref="F8182:F8184"/>
    <mergeCell ref="F8187:F8189"/>
    <mergeCell ref="F8190:F8192"/>
    <mergeCell ref="F8193:F8195"/>
    <mergeCell ref="F8307:F8308"/>
    <mergeCell ref="F8309:F8310"/>
    <mergeCell ref="F8311:F8312"/>
    <mergeCell ref="F8237:F8238"/>
    <mergeCell ref="F8239:F8240"/>
    <mergeCell ref="F8241:F8242"/>
    <mergeCell ref="F8243:F8244"/>
    <mergeCell ref="F8202:F8204"/>
    <mergeCell ref="F8205:F8206"/>
    <mergeCell ref="F8207:F8208"/>
    <mergeCell ref="F8209:F8210"/>
    <mergeCell ref="F8211:F8212"/>
    <mergeCell ref="F8213:F8214"/>
    <mergeCell ref="F8215:F8216"/>
    <mergeCell ref="F8217:F8218"/>
    <mergeCell ref="F8219:F8220"/>
    <mergeCell ref="F8221:F8222"/>
    <mergeCell ref="F8223:F8224"/>
    <mergeCell ref="F8225:F8226"/>
    <mergeCell ref="F8227:F8228"/>
    <mergeCell ref="F8229:F8230"/>
    <mergeCell ref="F8231:F8232"/>
    <mergeCell ref="F8233:F8234"/>
    <mergeCell ref="F8235:F8236"/>
    <mergeCell ref="F8255:F8257"/>
    <mergeCell ref="F8252:F8254"/>
    <mergeCell ref="F8037:F8038"/>
    <mergeCell ref="F8039:F8040"/>
    <mergeCell ref="F8041:F8042"/>
    <mergeCell ref="F8043:F8044"/>
    <mergeCell ref="F8045:F8046"/>
    <mergeCell ref="F8047:F8048"/>
    <mergeCell ref="F8049:F8050"/>
    <mergeCell ref="F8051:F8052"/>
    <mergeCell ref="F8053:F8054"/>
    <mergeCell ref="F8055:F8056"/>
    <mergeCell ref="F8057:F8058"/>
    <mergeCell ref="F8059:F8060"/>
    <mergeCell ref="F8024:F8026"/>
    <mergeCell ref="F8021:F8023"/>
    <mergeCell ref="F8029:F8030"/>
    <mergeCell ref="F8027:F8028"/>
    <mergeCell ref="F8166:F8167"/>
    <mergeCell ref="F8158:F8159"/>
    <mergeCell ref="F8124:F8125"/>
    <mergeCell ref="F8126:F8127"/>
    <mergeCell ref="F8128:F8129"/>
    <mergeCell ref="F8130:F8131"/>
    <mergeCell ref="F8132:F8133"/>
    <mergeCell ref="F8134:F8135"/>
    <mergeCell ref="F8136:F8137"/>
    <mergeCell ref="F8138:F8139"/>
    <mergeCell ref="F8140:F8141"/>
    <mergeCell ref="F8142:F8143"/>
    <mergeCell ref="F8144:F8145"/>
    <mergeCell ref="F8146:F8147"/>
    <mergeCell ref="F8148:F8149"/>
    <mergeCell ref="F8150:F8151"/>
    <mergeCell ref="F7805:F7806"/>
    <mergeCell ref="F7807:F7809"/>
    <mergeCell ref="F7827:F7828"/>
    <mergeCell ref="F7813:F7815"/>
    <mergeCell ref="F7816:F7818"/>
    <mergeCell ref="F7810:F7812"/>
    <mergeCell ref="F7853:F7854"/>
    <mergeCell ref="F7855:F7856"/>
    <mergeCell ref="F7857:F7858"/>
    <mergeCell ref="F7859:F7860"/>
    <mergeCell ref="F7695:F7697"/>
    <mergeCell ref="F7803:F7804"/>
    <mergeCell ref="F7821:F7822"/>
    <mergeCell ref="F7823:F7824"/>
    <mergeCell ref="F7825:F7826"/>
    <mergeCell ref="F7829:F7830"/>
    <mergeCell ref="F7831:F7832"/>
    <mergeCell ref="F7833:F7834"/>
    <mergeCell ref="F7835:F7836"/>
    <mergeCell ref="F7837:F7838"/>
    <mergeCell ref="F7839:F7840"/>
    <mergeCell ref="F7841:F7842"/>
    <mergeCell ref="F7843:F7844"/>
    <mergeCell ref="F7845:F7846"/>
    <mergeCell ref="F7847:F7848"/>
    <mergeCell ref="F7849:F7850"/>
    <mergeCell ref="F7851:F7852"/>
    <mergeCell ref="F7760:F7762"/>
    <mergeCell ref="F7800:F7802"/>
    <mergeCell ref="F7763:F7765"/>
    <mergeCell ref="F7766:F7768"/>
    <mergeCell ref="F7769:F7771"/>
    <mergeCell ref="F7772:F7774"/>
    <mergeCell ref="F7783:F7785"/>
    <mergeCell ref="F7792:F7794"/>
    <mergeCell ref="F7786:F7788"/>
    <mergeCell ref="F7789:F7791"/>
    <mergeCell ref="F7795:F7797"/>
    <mergeCell ref="F7775:F7776"/>
    <mergeCell ref="F7777:F7778"/>
    <mergeCell ref="F7781:F7782"/>
    <mergeCell ref="F7779:F7780"/>
    <mergeCell ref="F7720:F7721"/>
    <mergeCell ref="F7798:F7799"/>
    <mergeCell ref="F7700:F7702"/>
    <mergeCell ref="F7722:F7723"/>
    <mergeCell ref="F7712:F7714"/>
    <mergeCell ref="F7709:F7711"/>
    <mergeCell ref="F7706:F7708"/>
    <mergeCell ref="F7703:F7705"/>
    <mergeCell ref="F7715:F7716"/>
    <mergeCell ref="F7756:F7757"/>
    <mergeCell ref="F7758:F7759"/>
    <mergeCell ref="F7724:F7725"/>
    <mergeCell ref="F7726:F7727"/>
    <mergeCell ref="F7728:F7729"/>
    <mergeCell ref="F7730:F7731"/>
    <mergeCell ref="F7732:F7733"/>
    <mergeCell ref="F7734:F7735"/>
    <mergeCell ref="F7736:F7737"/>
    <mergeCell ref="F7738:F7739"/>
    <mergeCell ref="F7740:F7741"/>
    <mergeCell ref="F7742:F7743"/>
    <mergeCell ref="F7744:F7745"/>
    <mergeCell ref="F7746:F7747"/>
    <mergeCell ref="F7748:F7749"/>
    <mergeCell ref="F7750:F7751"/>
    <mergeCell ref="F7752:F7753"/>
    <mergeCell ref="F7754:F7755"/>
    <mergeCell ref="F7717:F7719"/>
    <mergeCell ref="F7664:F7665"/>
    <mergeCell ref="F7666:F7667"/>
    <mergeCell ref="F7630:F7631"/>
    <mergeCell ref="F7632:F7633"/>
    <mergeCell ref="F7634:F7635"/>
    <mergeCell ref="F7636:F7637"/>
    <mergeCell ref="F7638:F7639"/>
    <mergeCell ref="F7640:F7641"/>
    <mergeCell ref="F7642:F7643"/>
    <mergeCell ref="F7644:F7645"/>
    <mergeCell ref="F7646:F7647"/>
    <mergeCell ref="F7648:F7649"/>
    <mergeCell ref="F7650:F7651"/>
    <mergeCell ref="F7652:F7653"/>
    <mergeCell ref="F7654:F7655"/>
    <mergeCell ref="F7656:F7657"/>
    <mergeCell ref="F7658:F7659"/>
    <mergeCell ref="F7660:F7661"/>
    <mergeCell ref="F7662:F7663"/>
    <mergeCell ref="F7698:F7699"/>
    <mergeCell ref="F7668:F7670"/>
    <mergeCell ref="F7677:F7679"/>
    <mergeCell ref="F7671:F7673"/>
    <mergeCell ref="F7674:F7676"/>
    <mergeCell ref="F7682:F7684"/>
    <mergeCell ref="F7691:F7692"/>
    <mergeCell ref="F7529:F7530"/>
    <mergeCell ref="F7531:F7532"/>
    <mergeCell ref="F7533:F7534"/>
    <mergeCell ref="F7535:F7536"/>
    <mergeCell ref="F7537:F7538"/>
    <mergeCell ref="F7539:F7540"/>
    <mergeCell ref="F7541:F7542"/>
    <mergeCell ref="F7543:F7544"/>
    <mergeCell ref="F7545:F7546"/>
    <mergeCell ref="F7547:F7548"/>
    <mergeCell ref="F7549:F7550"/>
    <mergeCell ref="F7551:F7552"/>
    <mergeCell ref="F7501:F7503"/>
    <mergeCell ref="F7489:F7491"/>
    <mergeCell ref="F7504:F7506"/>
    <mergeCell ref="F7509:F7511"/>
    <mergeCell ref="F7492:F7494"/>
    <mergeCell ref="F7495:F7496"/>
    <mergeCell ref="F7497:F7498"/>
    <mergeCell ref="F7499:F7500"/>
    <mergeCell ref="F7507:F7508"/>
    <mergeCell ref="F7512:F7514"/>
    <mergeCell ref="F7515:F7516"/>
    <mergeCell ref="F7517:F7518"/>
    <mergeCell ref="F7519:F7520"/>
    <mergeCell ref="F7521:F7522"/>
    <mergeCell ref="F7523:F7524"/>
    <mergeCell ref="F7525:F7526"/>
    <mergeCell ref="F7527:F7528"/>
    <mergeCell ref="F7316:F7317"/>
    <mergeCell ref="F7318:F7323"/>
    <mergeCell ref="F7324:F7326"/>
    <mergeCell ref="F7271:F7272"/>
    <mergeCell ref="F7360:F7361"/>
    <mergeCell ref="F7327:F7328"/>
    <mergeCell ref="F7277:F7278"/>
    <mergeCell ref="F7279:F7280"/>
    <mergeCell ref="F7281:F7282"/>
    <mergeCell ref="F7283:F7284"/>
    <mergeCell ref="F7380:F7382"/>
    <mergeCell ref="F7383:F7385"/>
    <mergeCell ref="F7386:F7388"/>
    <mergeCell ref="F7332:F7333"/>
    <mergeCell ref="F7366:F7367"/>
    <mergeCell ref="F7368:F7369"/>
    <mergeCell ref="F7370:F7371"/>
    <mergeCell ref="F7372:F7373"/>
    <mergeCell ref="F7374:F7375"/>
    <mergeCell ref="F7376:F7377"/>
    <mergeCell ref="F7307:F7309"/>
    <mergeCell ref="F7334:F7336"/>
    <mergeCell ref="F6881:F6882"/>
    <mergeCell ref="F6883:F6884"/>
    <mergeCell ref="F6942:F6944"/>
    <mergeCell ref="F6890:F6892"/>
    <mergeCell ref="F6893:F6895"/>
    <mergeCell ref="F6896:F6898"/>
    <mergeCell ref="F6907:F6909"/>
    <mergeCell ref="F6910:F6912"/>
    <mergeCell ref="F6913:F6915"/>
    <mergeCell ref="F6918:F6920"/>
    <mergeCell ref="F6921:F6923"/>
    <mergeCell ref="F7378:F7379"/>
    <mergeCell ref="F7267:F7268"/>
    <mergeCell ref="F7354:F7355"/>
    <mergeCell ref="F7291:F7293"/>
    <mergeCell ref="F7294:F7296"/>
    <mergeCell ref="F7297:F7299"/>
    <mergeCell ref="F7304:F7306"/>
    <mergeCell ref="F7300:F7301"/>
    <mergeCell ref="F7302:F7303"/>
    <mergeCell ref="F7342:F7343"/>
    <mergeCell ref="F7344:F7345"/>
    <mergeCell ref="F7346:F7347"/>
    <mergeCell ref="F7356:F7357"/>
    <mergeCell ref="F7348:F7349"/>
    <mergeCell ref="F7350:F7351"/>
    <mergeCell ref="F7352:F7353"/>
    <mergeCell ref="F7358:F7359"/>
    <mergeCell ref="F7362:F7363"/>
    <mergeCell ref="F7364:F7365"/>
    <mergeCell ref="F6899:F6901"/>
    <mergeCell ref="F7257:F7258"/>
    <mergeCell ref="F6777:F6779"/>
    <mergeCell ref="F6765:F6766"/>
    <mergeCell ref="F6780:F6781"/>
    <mergeCell ref="F6770:F6771"/>
    <mergeCell ref="F6775:F6776"/>
    <mergeCell ref="F6816:F6817"/>
    <mergeCell ref="F6840:F6842"/>
    <mergeCell ref="F6843:F6844"/>
    <mergeCell ref="F6863:F6864"/>
    <mergeCell ref="F6938:F6939"/>
    <mergeCell ref="F6865:F6866"/>
    <mergeCell ref="F6845:F6847"/>
    <mergeCell ref="F6830:F6831"/>
    <mergeCell ref="F6832:F6833"/>
    <mergeCell ref="F6848:F6850"/>
    <mergeCell ref="F6851:F6853"/>
    <mergeCell ref="F6854:F6856"/>
    <mergeCell ref="F6834:F6836"/>
    <mergeCell ref="F6837:F6839"/>
    <mergeCell ref="F6792:F6793"/>
    <mergeCell ref="F6794:F6795"/>
    <mergeCell ref="F6796:F6797"/>
    <mergeCell ref="F6798:F6799"/>
    <mergeCell ref="F6800:F6801"/>
    <mergeCell ref="F6802:F6803"/>
    <mergeCell ref="F6782:F6784"/>
    <mergeCell ref="F6787:F6789"/>
    <mergeCell ref="F6857:F6859"/>
    <mergeCell ref="F6860:F6862"/>
    <mergeCell ref="F6869:F6870"/>
    <mergeCell ref="F6871:F6872"/>
    <mergeCell ref="F6873:F6874"/>
    <mergeCell ref="F6785:F6786"/>
    <mergeCell ref="F6790:F6791"/>
    <mergeCell ref="F6821:F6823"/>
    <mergeCell ref="F6824:F6826"/>
    <mergeCell ref="F6827:F6829"/>
    <mergeCell ref="F6804:F6805"/>
    <mergeCell ref="F6806:F6807"/>
    <mergeCell ref="F6808:F6809"/>
    <mergeCell ref="F6810:F6811"/>
    <mergeCell ref="F6812:F6813"/>
    <mergeCell ref="F6814:F6815"/>
    <mergeCell ref="F6818:F6820"/>
    <mergeCell ref="F6719:F6721"/>
    <mergeCell ref="F6722:F6724"/>
    <mergeCell ref="F6725:F6726"/>
    <mergeCell ref="F6732:F6733"/>
    <mergeCell ref="F6734:F6735"/>
    <mergeCell ref="F6736:F6737"/>
    <mergeCell ref="F6738:F6739"/>
    <mergeCell ref="F6740:F6741"/>
    <mergeCell ref="F6742:F6743"/>
    <mergeCell ref="F6744:F6745"/>
    <mergeCell ref="F6746:F6747"/>
    <mergeCell ref="F6748:F6749"/>
    <mergeCell ref="F6750:F6751"/>
    <mergeCell ref="F6752:F6753"/>
    <mergeCell ref="F6754:F6755"/>
    <mergeCell ref="F6756:F6758"/>
    <mergeCell ref="F6759:F6761"/>
    <mergeCell ref="F6762:F6764"/>
    <mergeCell ref="F6767:F6769"/>
    <mergeCell ref="F6772:F6774"/>
    <mergeCell ref="F6687:F6688"/>
    <mergeCell ref="F6692:F6693"/>
    <mergeCell ref="F6694:F6695"/>
    <mergeCell ref="F6717:F6718"/>
    <mergeCell ref="F6702:F6704"/>
    <mergeCell ref="F6699:F6701"/>
    <mergeCell ref="F6711:F6713"/>
    <mergeCell ref="F6705:F6707"/>
    <mergeCell ref="F6708:F6710"/>
    <mergeCell ref="F6714:F6716"/>
    <mergeCell ref="F6727:F6729"/>
    <mergeCell ref="F6730:F6731"/>
    <mergeCell ref="F6568:F6569"/>
    <mergeCell ref="F6570:F6571"/>
    <mergeCell ref="F6572:F6573"/>
    <mergeCell ref="F6574:F6575"/>
    <mergeCell ref="F6576:F6577"/>
    <mergeCell ref="F6578:F6579"/>
    <mergeCell ref="F6580:F6581"/>
    <mergeCell ref="F6606:F6607"/>
    <mergeCell ref="F6612:F6614"/>
    <mergeCell ref="F6593:F6594"/>
    <mergeCell ref="F6595:F6596"/>
    <mergeCell ref="F6582:F6583"/>
    <mergeCell ref="F6615:F6617"/>
    <mergeCell ref="F6608:F6609"/>
    <mergeCell ref="F6610:F6611"/>
    <mergeCell ref="F6657:F6658"/>
    <mergeCell ref="F6696:F6698"/>
    <mergeCell ref="F6628:F6630"/>
    <mergeCell ref="F6631:F6632"/>
    <mergeCell ref="F6689:F6691"/>
    <mergeCell ref="F6546:F6548"/>
    <mergeCell ref="F6516:F6517"/>
    <mergeCell ref="F6522:F6524"/>
    <mergeCell ref="F6556:F6557"/>
    <mergeCell ref="F6558:F6559"/>
    <mergeCell ref="F6663:F6664"/>
    <mergeCell ref="F6665:F6666"/>
    <mergeCell ref="F6667:F6668"/>
    <mergeCell ref="F6669:F6670"/>
    <mergeCell ref="F6671:F6672"/>
    <mergeCell ref="F6673:F6674"/>
    <mergeCell ref="F6675:F6676"/>
    <mergeCell ref="F6677:F6678"/>
    <mergeCell ref="F6679:F6680"/>
    <mergeCell ref="F6681:F6682"/>
    <mergeCell ref="F6683:F6684"/>
    <mergeCell ref="F6685:F6686"/>
    <mergeCell ref="F6659:F6660"/>
    <mergeCell ref="F6661:F6662"/>
    <mergeCell ref="F6584:F6586"/>
    <mergeCell ref="F6587:F6589"/>
    <mergeCell ref="F6590:F6592"/>
    <mergeCell ref="F6597:F6599"/>
    <mergeCell ref="F6600:F6602"/>
    <mergeCell ref="F6603:F6605"/>
    <mergeCell ref="F6618:F6619"/>
    <mergeCell ref="F6620:F6621"/>
    <mergeCell ref="F6622:F6623"/>
    <mergeCell ref="F6626:F6627"/>
    <mergeCell ref="F6633:F6635"/>
    <mergeCell ref="F6636:F6637"/>
    <mergeCell ref="F6624:F6625"/>
    <mergeCell ref="F6423:F6424"/>
    <mergeCell ref="F6425:F6426"/>
    <mergeCell ref="F6427:F6428"/>
    <mergeCell ref="F6560:F6561"/>
    <mergeCell ref="F6562:F6563"/>
    <mergeCell ref="F6564:F6565"/>
    <mergeCell ref="F6566:F6567"/>
    <mergeCell ref="F6549:F6551"/>
    <mergeCell ref="F6554:F6555"/>
    <mergeCell ref="F6501:F6502"/>
    <mergeCell ref="F6503:F6504"/>
    <mergeCell ref="F6505:F6506"/>
    <mergeCell ref="F6480:F6482"/>
    <mergeCell ref="F6474:F6476"/>
    <mergeCell ref="F6477:F6479"/>
    <mergeCell ref="F6451:F6453"/>
    <mergeCell ref="F6454:F6456"/>
    <mergeCell ref="F6457:F6459"/>
    <mergeCell ref="F6460:F6462"/>
    <mergeCell ref="F6463:F6465"/>
    <mergeCell ref="F6466:F6468"/>
    <mergeCell ref="F6520:F6521"/>
    <mergeCell ref="F6552:F6553"/>
    <mergeCell ref="F6536:F6537"/>
    <mergeCell ref="F6538:F6539"/>
    <mergeCell ref="F6518:F6519"/>
    <mergeCell ref="F6525:F6526"/>
    <mergeCell ref="F6507:F6509"/>
    <mergeCell ref="F6510:F6512"/>
    <mergeCell ref="F6513:F6515"/>
    <mergeCell ref="F6527:F6529"/>
    <mergeCell ref="F6530:F6532"/>
    <mergeCell ref="F6387:F6389"/>
    <mergeCell ref="F6390:F6392"/>
    <mergeCell ref="F6346:F6348"/>
    <mergeCell ref="F6349:F6353"/>
    <mergeCell ref="F6354:F6358"/>
    <mergeCell ref="F6359:F6362"/>
    <mergeCell ref="F6393:F6395"/>
    <mergeCell ref="F6396:F6398"/>
    <mergeCell ref="F6399:F6401"/>
    <mergeCell ref="F6408:F6412"/>
    <mergeCell ref="F6402:F6404"/>
    <mergeCell ref="F6405:F6407"/>
    <mergeCell ref="F6413:F6414"/>
    <mergeCell ref="F6415:F6416"/>
    <mergeCell ref="F6417:F6418"/>
    <mergeCell ref="F6419:F6420"/>
    <mergeCell ref="F6421:F6422"/>
    <mergeCell ref="F6369:F6370"/>
    <mergeCell ref="F6371:F6372"/>
    <mergeCell ref="F6373:F6374"/>
    <mergeCell ref="F6375:F6376"/>
    <mergeCell ref="F6377:F6378"/>
    <mergeCell ref="F6379:F6380"/>
    <mergeCell ref="F6381:F6382"/>
    <mergeCell ref="F6383:F6384"/>
    <mergeCell ref="F6385:F6386"/>
    <mergeCell ref="F6363:F6364"/>
    <mergeCell ref="F6365:F6366"/>
    <mergeCell ref="F6367:F6368"/>
    <mergeCell ref="F6340:F6342"/>
    <mergeCell ref="F6343:F6345"/>
    <mergeCell ref="F6298:F6300"/>
    <mergeCell ref="F6310:F6312"/>
    <mergeCell ref="F6313:F6315"/>
    <mergeCell ref="F6316:F6318"/>
    <mergeCell ref="F6319:F6321"/>
    <mergeCell ref="F6304:F6306"/>
    <mergeCell ref="F6324:F6328"/>
    <mergeCell ref="F6329:F6332"/>
    <mergeCell ref="F6333:F6337"/>
    <mergeCell ref="F6322:F6323"/>
    <mergeCell ref="F6301:F6303"/>
    <mergeCell ref="F6307:F6309"/>
    <mergeCell ref="F6209:F6210"/>
    <mergeCell ref="F6211:F6212"/>
    <mergeCell ref="F6213:F6214"/>
    <mergeCell ref="F6215:F6216"/>
    <mergeCell ref="F6217:F6218"/>
    <mergeCell ref="F6219:F6220"/>
    <mergeCell ref="F6221:F6222"/>
    <mergeCell ref="F6223:F6224"/>
    <mergeCell ref="F6225:F6226"/>
    <mergeCell ref="F6227:F6228"/>
    <mergeCell ref="F6229:F6230"/>
    <mergeCell ref="F6231:F6232"/>
    <mergeCell ref="F6233:F6234"/>
    <mergeCell ref="F6338:F6339"/>
    <mergeCell ref="F6238:F6240"/>
    <mergeCell ref="F6251:F6253"/>
    <mergeCell ref="F6258:F6260"/>
    <mergeCell ref="F6244:F6245"/>
    <mergeCell ref="F6246:F6247"/>
    <mergeCell ref="F6254:F6255"/>
    <mergeCell ref="F6256:F6257"/>
    <mergeCell ref="F6261:F6262"/>
    <mergeCell ref="F6263:F6264"/>
    <mergeCell ref="F6274:F6275"/>
    <mergeCell ref="F6276:F6277"/>
    <mergeCell ref="F6278:F6279"/>
    <mergeCell ref="F6280:F6281"/>
    <mergeCell ref="F6282:F6283"/>
    <mergeCell ref="F6265:F6267"/>
    <mergeCell ref="F6268:F6270"/>
    <mergeCell ref="F6271:F6273"/>
    <mergeCell ref="F6202:F6204"/>
    <mergeCell ref="F6155:F6157"/>
    <mergeCell ref="F6162:F6164"/>
    <mergeCell ref="F6165:F6167"/>
    <mergeCell ref="F6168:F6170"/>
    <mergeCell ref="F6199:F6201"/>
    <mergeCell ref="F6158:F6159"/>
    <mergeCell ref="F6160:F6161"/>
    <mergeCell ref="F6171:F6175"/>
    <mergeCell ref="F6176:F6180"/>
    <mergeCell ref="F6181:F6185"/>
    <mergeCell ref="F6186:F6190"/>
    <mergeCell ref="F6191:F6194"/>
    <mergeCell ref="F6195:F6198"/>
    <mergeCell ref="F6205:F6206"/>
    <mergeCell ref="F6207:F6208"/>
    <mergeCell ref="F6013:F6014"/>
    <mergeCell ref="F6143:F6144"/>
    <mergeCell ref="F6145:F6146"/>
    <mergeCell ref="F6008:F6009"/>
    <mergeCell ref="F6018:F6019"/>
    <mergeCell ref="F5984:F5986"/>
    <mergeCell ref="F5979:F5980"/>
    <mergeCell ref="F6098:F6099"/>
    <mergeCell ref="F6062:F6064"/>
    <mergeCell ref="F6065:F6067"/>
    <mergeCell ref="F6068:F6070"/>
    <mergeCell ref="F6071:F6073"/>
    <mergeCell ref="F6059:F6061"/>
    <mergeCell ref="F6074:F6075"/>
    <mergeCell ref="F6076:F6077"/>
    <mergeCell ref="F6078:F6079"/>
    <mergeCell ref="F6080:F6081"/>
    <mergeCell ref="F6082:F6083"/>
    <mergeCell ref="F6084:F6085"/>
    <mergeCell ref="F6086:F6087"/>
    <mergeCell ref="F6088:F6089"/>
    <mergeCell ref="F6090:F6091"/>
    <mergeCell ref="F6092:F6093"/>
    <mergeCell ref="F6094:F6095"/>
    <mergeCell ref="F6096:F6097"/>
    <mergeCell ref="F5930:F5932"/>
    <mergeCell ref="F5912:F5914"/>
    <mergeCell ref="F5915:F5917"/>
    <mergeCell ref="F5918:F5920"/>
    <mergeCell ref="F5962:F5964"/>
    <mergeCell ref="F5976:F5978"/>
    <mergeCell ref="F6038:F6039"/>
    <mergeCell ref="F5990:F5992"/>
    <mergeCell ref="F5996:F5998"/>
    <mergeCell ref="F5999:F6001"/>
    <mergeCell ref="F6002:F6004"/>
    <mergeCell ref="F6005:F6007"/>
    <mergeCell ref="F5973:F5975"/>
    <mergeCell ref="F6015:F6017"/>
    <mergeCell ref="F5993:F5995"/>
    <mergeCell ref="F5933:F5934"/>
    <mergeCell ref="F5935:F5937"/>
    <mergeCell ref="F5938:F5939"/>
    <mergeCell ref="F5940:F5941"/>
    <mergeCell ref="F5942:F5943"/>
    <mergeCell ref="F5944:F5945"/>
    <mergeCell ref="F5946:F5947"/>
    <mergeCell ref="F5948:F5949"/>
    <mergeCell ref="F5950:F5951"/>
    <mergeCell ref="F5952:F5953"/>
    <mergeCell ref="F5954:F5955"/>
    <mergeCell ref="F6032:F6033"/>
    <mergeCell ref="F6034:F6035"/>
    <mergeCell ref="F6036:F6037"/>
    <mergeCell ref="F5987:F5989"/>
    <mergeCell ref="F5956:F5957"/>
    <mergeCell ref="F5958:F5959"/>
    <mergeCell ref="F5888:F5889"/>
    <mergeCell ref="F5890:F5891"/>
    <mergeCell ref="F5892:F5893"/>
    <mergeCell ref="F5852:F5854"/>
    <mergeCell ref="F5844:F5846"/>
    <mergeCell ref="F5849:F5851"/>
    <mergeCell ref="F5894:F5895"/>
    <mergeCell ref="F5764:F5765"/>
    <mergeCell ref="F5766:F5767"/>
    <mergeCell ref="F5768:F5769"/>
    <mergeCell ref="F5770:F5771"/>
    <mergeCell ref="F5772:F5773"/>
    <mergeCell ref="F5774:F5775"/>
    <mergeCell ref="F5776:F5777"/>
    <mergeCell ref="F5778:F5779"/>
    <mergeCell ref="F5896:F5897"/>
    <mergeCell ref="F5898:F5899"/>
    <mergeCell ref="F5812:F5813"/>
    <mergeCell ref="F5847:F5848"/>
    <mergeCell ref="F5855:F5856"/>
    <mergeCell ref="F5839:F5840"/>
    <mergeCell ref="F5878:F5880"/>
    <mergeCell ref="F5881:F5882"/>
    <mergeCell ref="F5857:F5859"/>
    <mergeCell ref="F5860:F5862"/>
    <mergeCell ref="F5863:F5865"/>
    <mergeCell ref="F5873:F5875"/>
    <mergeCell ref="F5866:F5868"/>
    <mergeCell ref="F5869:F5870"/>
    <mergeCell ref="F5876:F5877"/>
    <mergeCell ref="F5871:F5872"/>
    <mergeCell ref="F5814:F5815"/>
    <mergeCell ref="F5571:F5572"/>
    <mergeCell ref="F5573:F5574"/>
    <mergeCell ref="F5575:F5576"/>
    <mergeCell ref="F5577:F5578"/>
    <mergeCell ref="F5579:F5580"/>
    <mergeCell ref="F5718:F5720"/>
    <mergeCell ref="F5721:F5723"/>
    <mergeCell ref="F5727:F5729"/>
    <mergeCell ref="F5730:F5732"/>
    <mergeCell ref="F5747:F5749"/>
    <mergeCell ref="F5750:F5752"/>
    <mergeCell ref="F5753:F5754"/>
    <mergeCell ref="F5755:F5756"/>
    <mergeCell ref="F5757:F5759"/>
    <mergeCell ref="F5656:F5657"/>
    <mergeCell ref="F5658:F5659"/>
    <mergeCell ref="F5652:F5653"/>
    <mergeCell ref="F5660:F5661"/>
    <mergeCell ref="F5662:F5663"/>
    <mergeCell ref="F5597:F5598"/>
    <mergeCell ref="F5664:F5665"/>
    <mergeCell ref="F5666:F5667"/>
    <mergeCell ref="F5643:F5645"/>
    <mergeCell ref="F5711:F5712"/>
    <mergeCell ref="F5713:F5714"/>
    <mergeCell ref="F5654:F5655"/>
    <mergeCell ref="F5691:F5693"/>
    <mergeCell ref="F5700:F5702"/>
    <mergeCell ref="F5703:F5705"/>
    <mergeCell ref="F5708:F5710"/>
    <mergeCell ref="F5744:F5746"/>
    <mergeCell ref="F5581:F5583"/>
    <mergeCell ref="F5515:F5516"/>
    <mergeCell ref="F5517:F5518"/>
    <mergeCell ref="F5519:F5520"/>
    <mergeCell ref="F5521:F5522"/>
    <mergeCell ref="F5559:F5560"/>
    <mergeCell ref="F5670:F5672"/>
    <mergeCell ref="F5673:F5675"/>
    <mergeCell ref="F5605:F5606"/>
    <mergeCell ref="F5599:F5601"/>
    <mergeCell ref="F5602:F5604"/>
    <mergeCell ref="F5584:F5585"/>
    <mergeCell ref="F5724:F5726"/>
    <mergeCell ref="F5733:F5734"/>
    <mergeCell ref="F5565:F5566"/>
    <mergeCell ref="F5567:F5568"/>
    <mergeCell ref="F5569:F5570"/>
    <mergeCell ref="F5554:F5556"/>
    <mergeCell ref="F5526:F5528"/>
    <mergeCell ref="F5523:F5525"/>
    <mergeCell ref="F5529:F5531"/>
    <mergeCell ref="F5532:F5534"/>
    <mergeCell ref="F5535:F5537"/>
    <mergeCell ref="F5538:F5540"/>
    <mergeCell ref="F5541:F5543"/>
    <mergeCell ref="F5544:F5546"/>
    <mergeCell ref="F5557:F5558"/>
    <mergeCell ref="F5561:F5562"/>
    <mergeCell ref="F5563:F5564"/>
    <mergeCell ref="F5607:F5609"/>
    <mergeCell ref="F5610:F5612"/>
    <mergeCell ref="F5613:F5615"/>
    <mergeCell ref="F5616:F5618"/>
    <mergeCell ref="F5586:F5588"/>
    <mergeCell ref="F5589:F5591"/>
    <mergeCell ref="F4660:F4662"/>
    <mergeCell ref="F4592:F4593"/>
    <mergeCell ref="F4746:F4747"/>
    <mergeCell ref="F4754:F4755"/>
    <mergeCell ref="F4752:F4753"/>
    <mergeCell ref="F4748:F4749"/>
    <mergeCell ref="F4716:F4717"/>
    <mergeCell ref="F5501:F5502"/>
    <mergeCell ref="F5592:F5594"/>
    <mergeCell ref="F5595:F5596"/>
    <mergeCell ref="F5547:F5548"/>
    <mergeCell ref="F5552:F5553"/>
    <mergeCell ref="F5549:F5551"/>
    <mergeCell ref="F5715:F5717"/>
    <mergeCell ref="F5513:F5514"/>
    <mergeCell ref="F4758:F4759"/>
    <mergeCell ref="F4760:F4761"/>
    <mergeCell ref="F4704:F4705"/>
    <mergeCell ref="F4718:F4720"/>
    <mergeCell ref="F4721:F4723"/>
    <mergeCell ref="F4724:F4726"/>
    <mergeCell ref="F4727:F4729"/>
    <mergeCell ref="F4730:F4732"/>
    <mergeCell ref="F4736:F4737"/>
    <mergeCell ref="F4710:F4711"/>
    <mergeCell ref="F4712:F4713"/>
    <mergeCell ref="F4714:F4715"/>
    <mergeCell ref="F4762:F4763"/>
    <mergeCell ref="F4764:F4765"/>
    <mergeCell ref="F4708:F4709"/>
    <mergeCell ref="F5735:F5737"/>
    <mergeCell ref="F5738:F5740"/>
    <mergeCell ref="F5698:F5699"/>
    <mergeCell ref="F5619:F5621"/>
    <mergeCell ref="F5622:F5623"/>
    <mergeCell ref="F5624:F5625"/>
    <mergeCell ref="F5626:F5627"/>
    <mergeCell ref="F5628:F5630"/>
    <mergeCell ref="F5668:F5669"/>
    <mergeCell ref="F5631:F5633"/>
    <mergeCell ref="F5634:F5636"/>
    <mergeCell ref="F5637:F5638"/>
    <mergeCell ref="F5639:F5640"/>
    <mergeCell ref="F5641:F5642"/>
    <mergeCell ref="F5646:F5647"/>
    <mergeCell ref="F5648:F5649"/>
    <mergeCell ref="F5650:F5651"/>
    <mergeCell ref="F5676:F5677"/>
    <mergeCell ref="F5694:F5695"/>
    <mergeCell ref="F5706:F5707"/>
    <mergeCell ref="F5678:F5682"/>
    <mergeCell ref="F5683:F5687"/>
    <mergeCell ref="F5688:F5690"/>
    <mergeCell ref="F5696:F5697"/>
    <mergeCell ref="F4491:F4492"/>
    <mergeCell ref="F4493:F4494"/>
    <mergeCell ref="F4495:F4496"/>
    <mergeCell ref="F4497:F4498"/>
    <mergeCell ref="F4499:F4500"/>
    <mergeCell ref="F4532:F4533"/>
    <mergeCell ref="F4684:F4685"/>
    <mergeCell ref="F4688:F4689"/>
    <mergeCell ref="F4549:F4550"/>
    <mergeCell ref="F4770:F4771"/>
    <mergeCell ref="F4772:F4773"/>
    <mergeCell ref="F4575:F4577"/>
    <mergeCell ref="F4578:F4580"/>
    <mergeCell ref="F4594:F4596"/>
    <mergeCell ref="F4600:F4602"/>
    <mergeCell ref="F4694:F4695"/>
    <mergeCell ref="F4696:F4697"/>
    <mergeCell ref="F4603:F4605"/>
    <mergeCell ref="F4606:F4608"/>
    <mergeCell ref="F4609:F4611"/>
    <mergeCell ref="F4612:F4614"/>
    <mergeCell ref="F4706:F4707"/>
    <mergeCell ref="F4738:F4739"/>
    <mergeCell ref="F4744:F4745"/>
    <mergeCell ref="F4750:F4751"/>
    <mergeCell ref="F4766:F4767"/>
    <mergeCell ref="F4740:F4741"/>
    <mergeCell ref="F4686:F4687"/>
    <mergeCell ref="F4663:F4665"/>
    <mergeCell ref="F4597:F4599"/>
    <mergeCell ref="F4675:F4677"/>
    <mergeCell ref="F4648:F4650"/>
    <mergeCell ref="F4237:F4239"/>
    <mergeCell ref="F4240:F4242"/>
    <mergeCell ref="F4256:F4257"/>
    <mergeCell ref="F4262:F4263"/>
    <mergeCell ref="F4221:F4222"/>
    <mergeCell ref="F4223:F4224"/>
    <mergeCell ref="F4289:F4290"/>
    <mergeCell ref="F4296:F4297"/>
    <mergeCell ref="F4298:F4299"/>
    <mergeCell ref="F4778:F4779"/>
    <mergeCell ref="F4780:F4781"/>
    <mergeCell ref="F4782:F4783"/>
    <mergeCell ref="F4784:F4785"/>
    <mergeCell ref="F4756:F4757"/>
    <mergeCell ref="F4475:F4477"/>
    <mergeCell ref="F4478:F4480"/>
    <mergeCell ref="F4481:F4483"/>
    <mergeCell ref="F4484:F4486"/>
    <mergeCell ref="F4615:F4617"/>
    <mergeCell ref="F4618:F4620"/>
    <mergeCell ref="F4621:F4623"/>
    <mergeCell ref="F4624:F4626"/>
    <mergeCell ref="F4627:F4629"/>
    <mergeCell ref="F4630:F4632"/>
    <mergeCell ref="F4633:F4635"/>
    <mergeCell ref="F4636:F4638"/>
    <mergeCell ref="F4639:F4641"/>
    <mergeCell ref="F4642:F4644"/>
    <mergeCell ref="F4645:F4647"/>
    <mergeCell ref="F4666:F4668"/>
    <mergeCell ref="F4669:F4671"/>
    <mergeCell ref="F4489:F4490"/>
    <mergeCell ref="F3819:F3821"/>
    <mergeCell ref="F3822:F3824"/>
    <mergeCell ref="F4039:F4041"/>
    <mergeCell ref="F3935:F3937"/>
    <mergeCell ref="F3938:F3940"/>
    <mergeCell ref="F3941:F3943"/>
    <mergeCell ref="F3944:F3946"/>
    <mergeCell ref="F3951:F3953"/>
    <mergeCell ref="F4052:F4053"/>
    <mergeCell ref="F4054:F4055"/>
    <mergeCell ref="F4070:F4072"/>
    <mergeCell ref="F4076:F4078"/>
    <mergeCell ref="F4098:F4099"/>
    <mergeCell ref="F4093:F4095"/>
    <mergeCell ref="F3961:F3963"/>
    <mergeCell ref="F3992:F3993"/>
    <mergeCell ref="F4050:F4051"/>
    <mergeCell ref="F4026:F4028"/>
    <mergeCell ref="F4029:F4031"/>
    <mergeCell ref="F4090:F4092"/>
    <mergeCell ref="F3994:F3995"/>
    <mergeCell ref="F3996:F3997"/>
    <mergeCell ref="F4032:F4033"/>
    <mergeCell ref="F4096:F4097"/>
    <mergeCell ref="F4056:F4057"/>
    <mergeCell ref="F4058:F4059"/>
    <mergeCell ref="F4060:F4061"/>
    <mergeCell ref="F4036:F4038"/>
    <mergeCell ref="F4087:F4089"/>
    <mergeCell ref="F4042:F4043"/>
    <mergeCell ref="F4044:F4045"/>
    <mergeCell ref="F4046:F4047"/>
    <mergeCell ref="F3831:F3832"/>
    <mergeCell ref="F3827:F3828"/>
    <mergeCell ref="F3899:F3901"/>
    <mergeCell ref="F3920:F3921"/>
    <mergeCell ref="F3922:F3923"/>
    <mergeCell ref="F3924:F3925"/>
    <mergeCell ref="F3926:F3927"/>
    <mergeCell ref="F3928:F3929"/>
    <mergeCell ref="F3930:F3931"/>
    <mergeCell ref="F3902:F3904"/>
    <mergeCell ref="F3905:F3907"/>
    <mergeCell ref="F3908:F3910"/>
    <mergeCell ref="F3911:F3913"/>
    <mergeCell ref="F3957:F3958"/>
    <mergeCell ref="F3932:F3934"/>
    <mergeCell ref="F3885:F3886"/>
    <mergeCell ref="F3916:F3917"/>
    <mergeCell ref="F3918:F3919"/>
    <mergeCell ref="F3914:F3915"/>
    <mergeCell ref="F3887:F3889"/>
    <mergeCell ref="F3871:F3872"/>
    <mergeCell ref="F3873:F3874"/>
    <mergeCell ref="F3875:F3876"/>
    <mergeCell ref="F3847:F3849"/>
    <mergeCell ref="F3954:F3956"/>
    <mergeCell ref="F3833:F3834"/>
    <mergeCell ref="F3835:F3836"/>
    <mergeCell ref="F3837:F3838"/>
    <mergeCell ref="F3839:F3840"/>
    <mergeCell ref="F3947:F3948"/>
    <mergeCell ref="F3949:F3950"/>
    <mergeCell ref="F3384:F3386"/>
    <mergeCell ref="F3387:F3389"/>
    <mergeCell ref="F3390:F3391"/>
    <mergeCell ref="F3392:F3393"/>
    <mergeCell ref="F3877:F3878"/>
    <mergeCell ref="F3879:F3880"/>
    <mergeCell ref="F3881:F3882"/>
    <mergeCell ref="F3883:F3884"/>
    <mergeCell ref="F3841:F3842"/>
    <mergeCell ref="F3711:F3713"/>
    <mergeCell ref="F3714:F3716"/>
    <mergeCell ref="F3773:F3774"/>
    <mergeCell ref="F3743:F3744"/>
    <mergeCell ref="F3775:F3777"/>
    <mergeCell ref="F3768:F3769"/>
    <mergeCell ref="F3745:F3747"/>
    <mergeCell ref="F3748:F3750"/>
    <mergeCell ref="F3751:F3753"/>
    <mergeCell ref="F3760:F3762"/>
    <mergeCell ref="F3720:F3721"/>
    <mergeCell ref="F3802:F3803"/>
    <mergeCell ref="F3804:F3806"/>
    <mergeCell ref="F3810:F3812"/>
    <mergeCell ref="F3813:F3815"/>
    <mergeCell ref="F3807:F3809"/>
    <mergeCell ref="F3829:F3830"/>
    <mergeCell ref="F3856:F3857"/>
    <mergeCell ref="F3825:F3826"/>
    <mergeCell ref="F3850:F3852"/>
    <mergeCell ref="F3853:F3855"/>
    <mergeCell ref="F3781:F3782"/>
    <mergeCell ref="F3783:F3784"/>
    <mergeCell ref="F3419:F3420"/>
    <mergeCell ref="F3476:F3477"/>
    <mergeCell ref="F3394:F3395"/>
    <mergeCell ref="F3396:F3398"/>
    <mergeCell ref="F3433:F3435"/>
    <mergeCell ref="F3436:F3437"/>
    <mergeCell ref="F3448:F3450"/>
    <mergeCell ref="F3438:F3439"/>
    <mergeCell ref="F3451:F3453"/>
    <mergeCell ref="F3440:F3442"/>
    <mergeCell ref="F3443:F3445"/>
    <mergeCell ref="F3446:F3447"/>
    <mergeCell ref="F3414:F3416"/>
    <mergeCell ref="F3417:F3418"/>
    <mergeCell ref="F3421:F3422"/>
    <mergeCell ref="F3423:F3424"/>
    <mergeCell ref="F3425:F3426"/>
    <mergeCell ref="F3427:F3428"/>
    <mergeCell ref="F3429:F3430"/>
    <mergeCell ref="F3431:F3432"/>
    <mergeCell ref="F3399:F3401"/>
    <mergeCell ref="F3405:F3407"/>
    <mergeCell ref="F3408:F3410"/>
    <mergeCell ref="F3411:F3413"/>
    <mergeCell ref="F3402:F3404"/>
    <mergeCell ref="F2734:F2735"/>
    <mergeCell ref="F2677:F2678"/>
    <mergeCell ref="F2491:F2493"/>
    <mergeCell ref="F2494:F2495"/>
    <mergeCell ref="F2463:F2465"/>
    <mergeCell ref="F2496:F2499"/>
    <mergeCell ref="F2665:F2667"/>
    <mergeCell ref="F2670:F2672"/>
    <mergeCell ref="F2668:F2669"/>
    <mergeCell ref="F2673:F2674"/>
    <mergeCell ref="F2696:F2698"/>
    <mergeCell ref="F2724:F2726"/>
    <mergeCell ref="F2575:F2577"/>
    <mergeCell ref="F2578:F2580"/>
    <mergeCell ref="F2572:F2574"/>
    <mergeCell ref="F2581:F2583"/>
    <mergeCell ref="F2264:F2265"/>
    <mergeCell ref="F2449:F2450"/>
    <mergeCell ref="F2508:F2509"/>
    <mergeCell ref="F2405:F2406"/>
    <mergeCell ref="F2284:F2286"/>
    <mergeCell ref="F2321:F2322"/>
    <mergeCell ref="F2323:F2324"/>
    <mergeCell ref="F2325:F2326"/>
    <mergeCell ref="F2327:F2328"/>
    <mergeCell ref="F2305:F2306"/>
    <mergeCell ref="F2311:F2312"/>
    <mergeCell ref="F2313:F2314"/>
    <mergeCell ref="F2403:F2404"/>
    <mergeCell ref="F2407:F2409"/>
    <mergeCell ref="F2568:F2569"/>
    <mergeCell ref="F2528:F2530"/>
    <mergeCell ref="F2973:F2974"/>
    <mergeCell ref="F2429:F2430"/>
    <mergeCell ref="F2375:F2376"/>
    <mergeCell ref="F2439:F2440"/>
    <mergeCell ref="F2441:F2442"/>
    <mergeCell ref="F2427:F2428"/>
    <mergeCell ref="F2307:F2308"/>
    <mergeCell ref="F2309:F2310"/>
    <mergeCell ref="F2295:F2296"/>
    <mergeCell ref="F2293:F2294"/>
    <mergeCell ref="F439:F440"/>
    <mergeCell ref="F2183:F2184"/>
    <mergeCell ref="F2135:F2136"/>
    <mergeCell ref="F2024:F2025"/>
    <mergeCell ref="F1968:F1969"/>
    <mergeCell ref="F1896:F1897"/>
    <mergeCell ref="F1824:F1825"/>
    <mergeCell ref="F1755:F1756"/>
    <mergeCell ref="F512:F513"/>
    <mergeCell ref="F480:F481"/>
    <mergeCell ref="F1539:F1540"/>
    <mergeCell ref="F2400:F2402"/>
    <mergeCell ref="F2410:F2412"/>
    <mergeCell ref="F2363:F2364"/>
    <mergeCell ref="F2365:F2366"/>
    <mergeCell ref="F2367:F2368"/>
    <mergeCell ref="F2381:F2382"/>
    <mergeCell ref="F801:F802"/>
    <mergeCell ref="F729:F730"/>
    <mergeCell ref="F660:F661"/>
    <mergeCell ref="F2001:F2003"/>
    <mergeCell ref="F2007:F2009"/>
    <mergeCell ref="F2522:F2524"/>
    <mergeCell ref="F2544:F2546"/>
    <mergeCell ref="F2453:F2454"/>
    <mergeCell ref="F2431:F2432"/>
    <mergeCell ref="F2443:F2444"/>
    <mergeCell ref="F2392:F2393"/>
    <mergeCell ref="F2417:F2419"/>
    <mergeCell ref="F2420:F2421"/>
    <mergeCell ref="F2445:F2446"/>
    <mergeCell ref="F2447:F2448"/>
    <mergeCell ref="F2451:F2452"/>
    <mergeCell ref="F2413:F2414"/>
    <mergeCell ref="F2398:F2399"/>
    <mergeCell ref="F2533:F2535"/>
    <mergeCell ref="F2536:F2538"/>
    <mergeCell ref="F2539:F2541"/>
    <mergeCell ref="F2525:F2527"/>
    <mergeCell ref="F2519:F2521"/>
    <mergeCell ref="F2455:F2457"/>
    <mergeCell ref="F2460:F2462"/>
    <mergeCell ref="F2488:F2490"/>
    <mergeCell ref="F2458:F2459"/>
    <mergeCell ref="F2466:F2467"/>
    <mergeCell ref="F2470:F2471"/>
    <mergeCell ref="F2472:F2473"/>
    <mergeCell ref="F2474:F2475"/>
    <mergeCell ref="F2476:F2477"/>
    <mergeCell ref="F2478:F2479"/>
    <mergeCell ref="F2480:F2481"/>
    <mergeCell ref="F2510:F2512"/>
    <mergeCell ref="F2482:F2483"/>
    <mergeCell ref="F2484:F2485"/>
    <mergeCell ref="F2977:F2978"/>
    <mergeCell ref="F2979:F2980"/>
    <mergeCell ref="F2981:F2982"/>
    <mergeCell ref="F2983:F2984"/>
    <mergeCell ref="F2985:F2986"/>
    <mergeCell ref="F2987:F2988"/>
    <mergeCell ref="F2989:F2990"/>
    <mergeCell ref="F2965:F2967"/>
    <mergeCell ref="F3025:F3027"/>
    <mergeCell ref="F3154:F3155"/>
    <mergeCell ref="F3156:F3157"/>
    <mergeCell ref="F3031:F3033"/>
    <mergeCell ref="F3283:F3285"/>
    <mergeCell ref="F3162:F3165"/>
    <mergeCell ref="F3166:F3169"/>
    <mergeCell ref="F3170:F3173"/>
    <mergeCell ref="F3174:F3177"/>
    <mergeCell ref="F3178:F3181"/>
    <mergeCell ref="F3182:F3185"/>
    <mergeCell ref="F3186:F3189"/>
    <mergeCell ref="F3190:F3193"/>
    <mergeCell ref="F3264:F3266"/>
    <mergeCell ref="F3222:F3224"/>
    <mergeCell ref="F3267:F3268"/>
    <mergeCell ref="F3194:F3196"/>
    <mergeCell ref="F3199:F3201"/>
    <mergeCell ref="F3202:F3203"/>
    <mergeCell ref="F3219:F3221"/>
    <mergeCell ref="F3116:F3117"/>
    <mergeCell ref="F3121:F3123"/>
    <mergeCell ref="F3018:F3019"/>
    <mergeCell ref="F3118:F3120"/>
    <mergeCell ref="F3135:F3137"/>
    <mergeCell ref="F3057:F3060"/>
    <mergeCell ref="F3061:F3064"/>
    <mergeCell ref="F3065:F3068"/>
    <mergeCell ref="F3069:F3072"/>
    <mergeCell ref="F3073:F3076"/>
    <mergeCell ref="F3077:F3080"/>
    <mergeCell ref="F3028:F3030"/>
    <mergeCell ref="F3045:F3046"/>
    <mergeCell ref="F3047:F3048"/>
    <mergeCell ref="F3113:F3115"/>
    <mergeCell ref="F3214:F3216"/>
    <mergeCell ref="F3217:F3218"/>
    <mergeCell ref="F3138:F3139"/>
    <mergeCell ref="F3140:F3141"/>
    <mergeCell ref="F3144:F3145"/>
    <mergeCell ref="F3146:F3147"/>
    <mergeCell ref="F3108:F3110"/>
    <mergeCell ref="F3034:F3036"/>
    <mergeCell ref="F3037:F3038"/>
    <mergeCell ref="F3041:F3042"/>
    <mergeCell ref="F3051:F3052"/>
    <mergeCell ref="F3204:F3206"/>
    <mergeCell ref="F3211:F3213"/>
    <mergeCell ref="F3039:F3040"/>
    <mergeCell ref="F3043:F3044"/>
    <mergeCell ref="F3096:F3099"/>
    <mergeCell ref="F3053:F3054"/>
    <mergeCell ref="F3055:F3056"/>
    <mergeCell ref="F2943:F2944"/>
    <mergeCell ref="F3382:F3383"/>
    <mergeCell ref="F3378:F3379"/>
    <mergeCell ref="F3380:F3381"/>
    <mergeCell ref="F3376:F3377"/>
    <mergeCell ref="F3374:F3375"/>
    <mergeCell ref="F3312:F3313"/>
    <mergeCell ref="F3330:F3332"/>
    <mergeCell ref="F3306:F3308"/>
    <mergeCell ref="F3309:F3311"/>
    <mergeCell ref="F3314:F3315"/>
    <mergeCell ref="F3318:F3319"/>
    <mergeCell ref="F3320:F3321"/>
    <mergeCell ref="F3322:F3323"/>
    <mergeCell ref="F3324:F3325"/>
    <mergeCell ref="F3347:F3349"/>
    <mergeCell ref="F3350:F3352"/>
    <mergeCell ref="F3353:F3355"/>
    <mergeCell ref="F3356:F3358"/>
    <mergeCell ref="F3359:F3360"/>
    <mergeCell ref="F3361:F3364"/>
    <mergeCell ref="F3368:F3369"/>
    <mergeCell ref="F3372:F3373"/>
    <mergeCell ref="F3328:F3329"/>
    <mergeCell ref="F3326:F3327"/>
    <mergeCell ref="F3111:F3112"/>
    <mergeCell ref="F3225:F3226"/>
    <mergeCell ref="F3250:F3252"/>
    <mergeCell ref="F3253:F3255"/>
    <mergeCell ref="F3256:F3258"/>
    <mergeCell ref="F3129:F3131"/>
    <mergeCell ref="F3132:F3134"/>
    <mergeCell ref="F3370:F3371"/>
    <mergeCell ref="F3297:F3299"/>
    <mergeCell ref="F3300:F3302"/>
    <mergeCell ref="F3303:F3305"/>
    <mergeCell ref="F3275:F3276"/>
    <mergeCell ref="F3277:F3278"/>
    <mergeCell ref="F3279:F3280"/>
    <mergeCell ref="F3281:F3282"/>
    <mergeCell ref="F3142:F3143"/>
    <mergeCell ref="F3269:F3270"/>
    <mergeCell ref="F3100:F3103"/>
    <mergeCell ref="F3365:F3367"/>
    <mergeCell ref="F3333:F3335"/>
    <mergeCell ref="F3336:F3338"/>
    <mergeCell ref="F3344:F3346"/>
    <mergeCell ref="F3339:F3341"/>
    <mergeCell ref="F3342:F3343"/>
    <mergeCell ref="F3316:F3317"/>
    <mergeCell ref="F3295:F3296"/>
    <mergeCell ref="F3126:F3128"/>
    <mergeCell ref="F3271:F3272"/>
    <mergeCell ref="F3247:F3249"/>
    <mergeCell ref="F3197:F3198"/>
    <mergeCell ref="F3148:F3149"/>
    <mergeCell ref="F3207:F3208"/>
    <mergeCell ref="F3227:F3230"/>
    <mergeCell ref="F3231:F3234"/>
    <mergeCell ref="F3235:F3238"/>
    <mergeCell ref="F3239:F3242"/>
    <mergeCell ref="F3243:F3246"/>
    <mergeCell ref="F3286:F3288"/>
    <mergeCell ref="F3289:F3291"/>
    <mergeCell ref="F3292:F3294"/>
    <mergeCell ref="F3273:F3274"/>
    <mergeCell ref="F3084:F3087"/>
    <mergeCell ref="F3088:F3091"/>
    <mergeCell ref="F3092:F3095"/>
    <mergeCell ref="F3158:F3161"/>
    <mergeCell ref="F3209:F3210"/>
    <mergeCell ref="F3104:F3107"/>
    <mergeCell ref="F3081:F3083"/>
    <mergeCell ref="F3259:F3260"/>
    <mergeCell ref="F3261:F3263"/>
    <mergeCell ref="F2763:F2764"/>
    <mergeCell ref="F2765:F2767"/>
    <mergeCell ref="F2774:F2776"/>
    <mergeCell ref="F2948:F2950"/>
    <mergeCell ref="F2903:F2905"/>
    <mergeCell ref="F2906:F2907"/>
    <mergeCell ref="F3049:F3050"/>
    <mergeCell ref="F2960:F2961"/>
    <mergeCell ref="F2910:F2911"/>
    <mergeCell ref="F2918:F2922"/>
    <mergeCell ref="F2939:F2940"/>
    <mergeCell ref="F2941:F2942"/>
    <mergeCell ref="F2897:F2898"/>
    <mergeCell ref="F2899:F2900"/>
    <mergeCell ref="F2901:F2902"/>
    <mergeCell ref="F3124:F3125"/>
    <mergeCell ref="F2991:F2993"/>
    <mergeCell ref="F2994:F2996"/>
    <mergeCell ref="F2997:F2999"/>
    <mergeCell ref="F3150:F3151"/>
    <mergeCell ref="F3152:F3153"/>
    <mergeCell ref="F2908:F2909"/>
    <mergeCell ref="F2912:F2914"/>
    <mergeCell ref="F2915:F2917"/>
    <mergeCell ref="F2768:F2770"/>
    <mergeCell ref="F2771:F2773"/>
    <mergeCell ref="F2813:F2815"/>
    <mergeCell ref="F2777:F2779"/>
    <mergeCell ref="F3015:F3017"/>
    <mergeCell ref="F2929:F2930"/>
    <mergeCell ref="F2975:F2976"/>
    <mergeCell ref="F3009:F3011"/>
    <mergeCell ref="F2927:F2928"/>
    <mergeCell ref="F2931:F2932"/>
    <mergeCell ref="F3022:F3024"/>
    <mergeCell ref="F3000:F3002"/>
    <mergeCell ref="F3007:F3008"/>
    <mergeCell ref="F3003:F3006"/>
    <mergeCell ref="F3020:F3021"/>
    <mergeCell ref="F2968:F2970"/>
    <mergeCell ref="F2971:F2972"/>
    <mergeCell ref="F2933:F2934"/>
    <mergeCell ref="F2935:F2936"/>
    <mergeCell ref="F2925:F2926"/>
    <mergeCell ref="F2810:F2812"/>
    <mergeCell ref="F2893:F2894"/>
    <mergeCell ref="F2945:F2947"/>
    <mergeCell ref="F2835:F2836"/>
    <mergeCell ref="F2837:F2838"/>
    <mergeCell ref="F2839:F2840"/>
    <mergeCell ref="F3012:F3014"/>
    <mergeCell ref="F2923:F2924"/>
    <mergeCell ref="F2937:F2938"/>
    <mergeCell ref="F2833:F2834"/>
    <mergeCell ref="F2789:F2791"/>
    <mergeCell ref="F2792:F2794"/>
    <mergeCell ref="F2795:F2796"/>
    <mergeCell ref="F2827:F2828"/>
    <mergeCell ref="F2829:F2830"/>
    <mergeCell ref="F2831:F2832"/>
    <mergeCell ref="F2887:F2888"/>
    <mergeCell ref="F2889:F2890"/>
    <mergeCell ref="F2843:F2844"/>
    <mergeCell ref="F2849:F2851"/>
    <mergeCell ref="F2866:F2867"/>
    <mergeCell ref="F2780:F2782"/>
    <mergeCell ref="F2783:F2785"/>
    <mergeCell ref="F2786:F2788"/>
    <mergeCell ref="F2744:F2745"/>
    <mergeCell ref="F2884:F2886"/>
    <mergeCell ref="F2871:F2872"/>
    <mergeCell ref="F2816:F2818"/>
    <mergeCell ref="F2841:F2842"/>
    <mergeCell ref="F2803:F2804"/>
    <mergeCell ref="F2852:F2853"/>
    <mergeCell ref="F2752:F2754"/>
    <mergeCell ref="F2755:F2757"/>
    <mergeCell ref="F2758:F2759"/>
    <mergeCell ref="F2822:F2824"/>
    <mergeCell ref="F2689:F2690"/>
    <mergeCell ref="F2662:F2664"/>
    <mergeCell ref="F2636:F2638"/>
    <mergeCell ref="F2716:F2717"/>
    <mergeCell ref="F2706:F2707"/>
    <mergeCell ref="F2805:F2806"/>
    <mergeCell ref="F2819:F2821"/>
    <mergeCell ref="F2845:F2846"/>
    <mergeCell ref="F2847:F2848"/>
    <mergeCell ref="F2951:F2953"/>
    <mergeCell ref="F2954:F2956"/>
    <mergeCell ref="F2957:F2959"/>
    <mergeCell ref="F2962:F2964"/>
    <mergeCell ref="F2895:F2896"/>
    <mergeCell ref="F2854:F2855"/>
    <mergeCell ref="F2858:F2859"/>
    <mergeCell ref="F2856:F2857"/>
    <mergeCell ref="F2891:F2892"/>
    <mergeCell ref="F2868:F2870"/>
    <mergeCell ref="F2873:F2874"/>
    <mergeCell ref="F2875:F2876"/>
    <mergeCell ref="F2877:F2879"/>
    <mergeCell ref="F2880:F2881"/>
    <mergeCell ref="F2882:F2883"/>
    <mergeCell ref="F2860:F2861"/>
    <mergeCell ref="F2862:F2863"/>
    <mergeCell ref="F2864:F2865"/>
    <mergeCell ref="F2807:F2809"/>
    <mergeCell ref="F2736:F2737"/>
    <mergeCell ref="F2738:F2739"/>
    <mergeCell ref="F2740:F2741"/>
    <mergeCell ref="F2742:F2743"/>
    <mergeCell ref="F2250:F2252"/>
    <mergeCell ref="F2299:F2300"/>
    <mergeCell ref="F2092:F2095"/>
    <mergeCell ref="F1908:F1909"/>
    <mergeCell ref="F2151:F2152"/>
    <mergeCell ref="F2139:F2140"/>
    <mergeCell ref="F2075:F2077"/>
    <mergeCell ref="F2082:F2084"/>
    <mergeCell ref="F2085:F2087"/>
    <mergeCell ref="F2078:F2079"/>
    <mergeCell ref="F2080:F2081"/>
    <mergeCell ref="F2253:F2255"/>
    <mergeCell ref="F2246:F2247"/>
    <mergeCell ref="F2176:F2177"/>
    <mergeCell ref="F2060:F2062"/>
    <mergeCell ref="F2050:F2051"/>
    <mergeCell ref="F2052:F2053"/>
    <mergeCell ref="F2133:F2134"/>
    <mergeCell ref="F2113:F2115"/>
    <mergeCell ref="F2103:F2104"/>
    <mergeCell ref="F2119:F2120"/>
    <mergeCell ref="F2240:F2242"/>
    <mergeCell ref="F2218:F2220"/>
    <mergeCell ref="F2235:F2236"/>
    <mergeCell ref="F2237:F2239"/>
    <mergeCell ref="F2221:F2227"/>
    <mergeCell ref="F2248:F2249"/>
    <mergeCell ref="F2171:F2172"/>
    <mergeCell ref="F2195:F2196"/>
    <mergeCell ref="F2010:F2012"/>
    <mergeCell ref="F2013:F2015"/>
    <mergeCell ref="F2028:F2029"/>
    <mergeCell ref="F2185:F2186"/>
    <mergeCell ref="F2181:F2182"/>
    <mergeCell ref="F2178:F2180"/>
    <mergeCell ref="F2187:F2188"/>
    <mergeCell ref="F2189:F2190"/>
    <mergeCell ref="F2191:F2192"/>
    <mergeCell ref="F1904:F1905"/>
    <mergeCell ref="F1860:F1861"/>
    <mergeCell ref="F1879:F1881"/>
    <mergeCell ref="F1874:F1876"/>
    <mergeCell ref="F1882:F1883"/>
    <mergeCell ref="F1871:F1873"/>
    <mergeCell ref="F2116:F2118"/>
    <mergeCell ref="F2121:F2123"/>
    <mergeCell ref="F2124:F2125"/>
    <mergeCell ref="F2155:F2156"/>
    <mergeCell ref="F2157:F2158"/>
    <mergeCell ref="F2169:F2170"/>
    <mergeCell ref="F2137:F2138"/>
    <mergeCell ref="F2141:F2142"/>
    <mergeCell ref="F2143:F2144"/>
    <mergeCell ref="F2153:F2154"/>
    <mergeCell ref="F2163:F2165"/>
    <mergeCell ref="F2054:F2056"/>
    <mergeCell ref="F2057:F2059"/>
    <mergeCell ref="F2126:F2127"/>
    <mergeCell ref="F2063:F2065"/>
    <mergeCell ref="F2066:F2068"/>
    <mergeCell ref="F2072:F2074"/>
    <mergeCell ref="F2088:F2091"/>
    <mergeCell ref="F1980:F1981"/>
    <mergeCell ref="F1982:F1983"/>
    <mergeCell ref="F1984:F1985"/>
    <mergeCell ref="F1924:F1925"/>
    <mergeCell ref="F1926:F1927"/>
    <mergeCell ref="F1918:F1919"/>
    <mergeCell ref="F1906:F1907"/>
    <mergeCell ref="F1889:F1891"/>
    <mergeCell ref="F1892:F1893"/>
    <mergeCell ref="F2159:F2160"/>
    <mergeCell ref="F2161:F2162"/>
    <mergeCell ref="F2317:F2318"/>
    <mergeCell ref="F2319:F2320"/>
    <mergeCell ref="F2332:F2334"/>
    <mergeCell ref="F2329:F2331"/>
    <mergeCell ref="F2205:F2206"/>
    <mergeCell ref="F2207:F2208"/>
    <mergeCell ref="F2209:F2210"/>
    <mergeCell ref="F2211:F2212"/>
    <mergeCell ref="F2278:F2279"/>
    <mergeCell ref="F2282:F2283"/>
    <mergeCell ref="F2266:F2267"/>
    <mergeCell ref="F2274:F2275"/>
    <mergeCell ref="F2276:F2277"/>
    <mergeCell ref="F2287:F2289"/>
    <mergeCell ref="F2290:F2292"/>
    <mergeCell ref="F2301:F2302"/>
    <mergeCell ref="F2315:F2316"/>
    <mergeCell ref="F2262:F2263"/>
    <mergeCell ref="F2280:F2281"/>
    <mergeCell ref="F2193:F2194"/>
    <mergeCell ref="F2149:F2150"/>
    <mergeCell ref="F2046:F2047"/>
    <mergeCell ref="F1952:F1953"/>
    <mergeCell ref="F1941:F1943"/>
    <mergeCell ref="F1944:F1946"/>
    <mergeCell ref="F1994:F1995"/>
    <mergeCell ref="F1986:F1987"/>
    <mergeCell ref="F1990:F1991"/>
    <mergeCell ref="F1992:F1993"/>
    <mergeCell ref="F2228:F2234"/>
    <mergeCell ref="F2019:F2021"/>
    <mergeCell ref="F2004:F2006"/>
    <mergeCell ref="F1963:F1965"/>
    <mergeCell ref="F1957:F1959"/>
    <mergeCell ref="F1998:F2000"/>
    <mergeCell ref="F2030:F2031"/>
    <mergeCell ref="F2042:F2043"/>
    <mergeCell ref="F2044:F2045"/>
    <mergeCell ref="F2128:F2130"/>
    <mergeCell ref="F2069:F2071"/>
    <mergeCell ref="F2131:F2132"/>
    <mergeCell ref="F2105:F2110"/>
    <mergeCell ref="F2111:F2112"/>
    <mergeCell ref="F2147:F2148"/>
    <mergeCell ref="F2145:F2146"/>
    <mergeCell ref="F2166:F2168"/>
    <mergeCell ref="F2201:F2202"/>
    <mergeCell ref="F2203:F2204"/>
    <mergeCell ref="F2173:F2175"/>
    <mergeCell ref="F2216:F2217"/>
    <mergeCell ref="F2048:F2049"/>
    <mergeCell ref="F2096:F2099"/>
    <mergeCell ref="F2100:F2102"/>
    <mergeCell ref="F1978:F1979"/>
    <mergeCell ref="F1960:F1962"/>
    <mergeCell ref="F1777:F1778"/>
    <mergeCell ref="F1779:F1780"/>
    <mergeCell ref="F1781:F1782"/>
    <mergeCell ref="F1817:F1819"/>
    <mergeCell ref="F1791:F1793"/>
    <mergeCell ref="F1802:F1804"/>
    <mergeCell ref="F1794:F1796"/>
    <mergeCell ref="F1797:F1799"/>
    <mergeCell ref="F1706:F1707"/>
    <mergeCell ref="F1732:F1733"/>
    <mergeCell ref="F1734:F1735"/>
    <mergeCell ref="F1862:F1864"/>
    <mergeCell ref="F1726:F1727"/>
    <mergeCell ref="F1759:F1760"/>
    <mergeCell ref="F1761:F1762"/>
    <mergeCell ref="F1763:F1764"/>
    <mergeCell ref="F1765:F1766"/>
    <mergeCell ref="F1736:F1738"/>
    <mergeCell ref="F1838:F1839"/>
    <mergeCell ref="F1739:F1741"/>
    <mergeCell ref="F1742:F1743"/>
    <mergeCell ref="F1744:F1746"/>
    <mergeCell ref="F1747:F1749"/>
    <mergeCell ref="F1767:F1768"/>
    <mergeCell ref="F1769:F1770"/>
    <mergeCell ref="F1771:F1772"/>
    <mergeCell ref="F1773:F1774"/>
    <mergeCell ref="F1775:F1776"/>
    <mergeCell ref="F1750:F1752"/>
    <mergeCell ref="F1753:F1754"/>
    <mergeCell ref="F1858:F1859"/>
    <mergeCell ref="F1757:F1758"/>
    <mergeCell ref="F1700:F1701"/>
    <mergeCell ref="F1669:F1671"/>
    <mergeCell ref="F1625:F1626"/>
    <mergeCell ref="F1730:F1731"/>
    <mergeCell ref="F1708:F1709"/>
    <mergeCell ref="F1710:F1711"/>
    <mergeCell ref="F1712:F1713"/>
    <mergeCell ref="F1714:F1715"/>
    <mergeCell ref="F1716:F1717"/>
    <mergeCell ref="F1718:F1719"/>
    <mergeCell ref="F1720:F1721"/>
    <mergeCell ref="F1722:F1723"/>
    <mergeCell ref="F1687:F1688"/>
    <mergeCell ref="F1689:F1691"/>
    <mergeCell ref="F1692:F1694"/>
    <mergeCell ref="F1695:F1697"/>
    <mergeCell ref="F1698:F1699"/>
    <mergeCell ref="F1702:F1703"/>
    <mergeCell ref="F1704:F1705"/>
    <mergeCell ref="F1724:F1725"/>
    <mergeCell ref="F1728:F1729"/>
    <mergeCell ref="F1281:F1282"/>
    <mergeCell ref="F1283:F1285"/>
    <mergeCell ref="F1295:F1297"/>
    <mergeCell ref="F1298:F1300"/>
    <mergeCell ref="F1865:F1867"/>
    <mergeCell ref="F1629:F1630"/>
    <mergeCell ref="F1631:F1632"/>
    <mergeCell ref="F1633:F1634"/>
    <mergeCell ref="F1635:F1636"/>
    <mergeCell ref="F1621:F1622"/>
    <mergeCell ref="F1657:F1658"/>
    <mergeCell ref="F1659:F1660"/>
    <mergeCell ref="F1651:F1652"/>
    <mergeCell ref="F1637:F1638"/>
    <mergeCell ref="F1639:F1640"/>
    <mergeCell ref="F1641:F1642"/>
    <mergeCell ref="F1643:F1644"/>
    <mergeCell ref="F1645:F1646"/>
    <mergeCell ref="F1647:F1648"/>
    <mergeCell ref="F1649:F1650"/>
    <mergeCell ref="F1653:F1654"/>
    <mergeCell ref="F1655:F1656"/>
    <mergeCell ref="F1623:F1624"/>
    <mergeCell ref="F1627:F1628"/>
    <mergeCell ref="F1661:F1663"/>
    <mergeCell ref="F1664:F1665"/>
    <mergeCell ref="F1681:F1683"/>
    <mergeCell ref="F1684:F1686"/>
    <mergeCell ref="F1666:F1668"/>
    <mergeCell ref="F1672:F1674"/>
    <mergeCell ref="F1675:F1677"/>
    <mergeCell ref="F1678:F1680"/>
    <mergeCell ref="F1092:F1093"/>
    <mergeCell ref="F1117:F1118"/>
    <mergeCell ref="F1247:F1248"/>
    <mergeCell ref="F1249:F1250"/>
    <mergeCell ref="F1251:F1252"/>
    <mergeCell ref="F1307:F1309"/>
    <mergeCell ref="F1310:F1312"/>
    <mergeCell ref="F1315:F1316"/>
    <mergeCell ref="F1313:F1314"/>
    <mergeCell ref="F1337:F1338"/>
    <mergeCell ref="F1359:F1362"/>
    <mergeCell ref="F1347:F1348"/>
    <mergeCell ref="F1341:F1342"/>
    <mergeCell ref="F1343:F1344"/>
    <mergeCell ref="F1345:F1346"/>
    <mergeCell ref="F1339:F1340"/>
    <mergeCell ref="F1325:F1326"/>
    <mergeCell ref="F1335:F1336"/>
    <mergeCell ref="F1327:F1328"/>
    <mergeCell ref="F1329:F1330"/>
    <mergeCell ref="F1331:F1332"/>
    <mergeCell ref="F1333:F1334"/>
    <mergeCell ref="F1289:F1290"/>
    <mergeCell ref="F1267:F1269"/>
    <mergeCell ref="F1265:F1266"/>
    <mergeCell ref="F1256:F1259"/>
    <mergeCell ref="F1291:F1292"/>
    <mergeCell ref="F1263:F1264"/>
    <mergeCell ref="F1270:F1272"/>
    <mergeCell ref="F1273:F1275"/>
    <mergeCell ref="F1276:F1277"/>
    <mergeCell ref="F1278:F1280"/>
    <mergeCell ref="F1128:F1131"/>
    <mergeCell ref="F1132:F1135"/>
    <mergeCell ref="F1177:F1178"/>
    <mergeCell ref="F1179:F1180"/>
    <mergeCell ref="F1181:F1182"/>
    <mergeCell ref="F1215:F1219"/>
    <mergeCell ref="F1223:F1224"/>
    <mergeCell ref="F1198:F1200"/>
    <mergeCell ref="F1196:F1197"/>
    <mergeCell ref="F1183:F1184"/>
    <mergeCell ref="F1191:F1192"/>
    <mergeCell ref="F1185:F1187"/>
    <mergeCell ref="F1188:F1190"/>
    <mergeCell ref="F1207:F1209"/>
    <mergeCell ref="F1173:F1174"/>
    <mergeCell ref="F1157:F1158"/>
    <mergeCell ref="F1161:F1162"/>
    <mergeCell ref="F1193:F1195"/>
    <mergeCell ref="F1204:F1206"/>
    <mergeCell ref="F1201:F1203"/>
    <mergeCell ref="F1159:F1160"/>
    <mergeCell ref="F1136:F1137"/>
    <mergeCell ref="F1138:F1140"/>
    <mergeCell ref="F1141:F1143"/>
    <mergeCell ref="F1163:F1164"/>
    <mergeCell ref="F1165:F1166"/>
    <mergeCell ref="F1167:F1168"/>
    <mergeCell ref="F1144:F1146"/>
    <mergeCell ref="F1147:F1149"/>
    <mergeCell ref="F1150:F1152"/>
    <mergeCell ref="F766:F768"/>
    <mergeCell ref="F771:F773"/>
    <mergeCell ref="F774:F776"/>
    <mergeCell ref="F760:F762"/>
    <mergeCell ref="F769:F770"/>
    <mergeCell ref="F755:F757"/>
    <mergeCell ref="F1225:F1226"/>
    <mergeCell ref="F1119:F1123"/>
    <mergeCell ref="F1253:F1255"/>
    <mergeCell ref="F1559:F1560"/>
    <mergeCell ref="F1447:F1450"/>
    <mergeCell ref="F1430:F1432"/>
    <mergeCell ref="F1389:F1390"/>
    <mergeCell ref="F1411:F1412"/>
    <mergeCell ref="F1405:F1406"/>
    <mergeCell ref="F1407:F1408"/>
    <mergeCell ref="F1444:F1446"/>
    <mergeCell ref="F785:F787"/>
    <mergeCell ref="F788:F790"/>
    <mergeCell ref="F791:F794"/>
    <mergeCell ref="F795:F796"/>
    <mergeCell ref="F1005:F1006"/>
    <mergeCell ref="F1007:F1008"/>
    <mergeCell ref="F1011:F1012"/>
    <mergeCell ref="F1001:F1002"/>
    <mergeCell ref="F1082:F1083"/>
    <mergeCell ref="F1084:F1085"/>
    <mergeCell ref="F1086:F1087"/>
    <mergeCell ref="F1057:F1059"/>
    <mergeCell ref="F1063:F1065"/>
    <mergeCell ref="F1060:F1062"/>
    <mergeCell ref="F1066:F1067"/>
    <mergeCell ref="F1088:F1089"/>
    <mergeCell ref="F1090:F1091"/>
    <mergeCell ref="F1153:F1154"/>
    <mergeCell ref="F1155:F1156"/>
    <mergeCell ref="F1070:F1071"/>
    <mergeCell ref="F1220:F1222"/>
    <mergeCell ref="F1169:F1170"/>
    <mergeCell ref="F1171:F1172"/>
    <mergeCell ref="F1175:F1176"/>
    <mergeCell ref="F887:F888"/>
    <mergeCell ref="F889:F890"/>
    <mergeCell ref="F799:F800"/>
    <mergeCell ref="F803:F804"/>
    <mergeCell ref="F827:F829"/>
    <mergeCell ref="F857:F859"/>
    <mergeCell ref="F830:F831"/>
    <mergeCell ref="F797:F798"/>
    <mergeCell ref="F832:F834"/>
    <mergeCell ref="F835:F837"/>
    <mergeCell ref="F838:F840"/>
    <mergeCell ref="F983:F984"/>
    <mergeCell ref="F985:F986"/>
    <mergeCell ref="F993:F994"/>
    <mergeCell ref="F995:F996"/>
    <mergeCell ref="F997:F998"/>
    <mergeCell ref="F1003:F1004"/>
    <mergeCell ref="F999:F1000"/>
    <mergeCell ref="F987:F989"/>
    <mergeCell ref="F990:F992"/>
    <mergeCell ref="F872:F874"/>
    <mergeCell ref="F875:F877"/>
    <mergeCell ref="F878:F880"/>
    <mergeCell ref="F1015:F1016"/>
    <mergeCell ref="F1017:F1018"/>
    <mergeCell ref="F1019:F1020"/>
    <mergeCell ref="F1021:F1022"/>
    <mergeCell ref="F1025:F1026"/>
    <mergeCell ref="F1027:F1028"/>
    <mergeCell ref="F1029:F1030"/>
    <mergeCell ref="F1031:F1032"/>
    <mergeCell ref="F1076:F1077"/>
    <mergeCell ref="F1078:F1079"/>
    <mergeCell ref="F1080:F1081"/>
    <mergeCell ref="F1035:F1037"/>
    <mergeCell ref="F1054:F1056"/>
    <mergeCell ref="F1038:F1040"/>
    <mergeCell ref="F1033:F1034"/>
    <mergeCell ref="F1041:F1043"/>
    <mergeCell ref="F1044:F1047"/>
    <mergeCell ref="F1048:F1051"/>
    <mergeCell ref="F1072:F1073"/>
    <mergeCell ref="F1074:F1075"/>
    <mergeCell ref="F1052:F1053"/>
    <mergeCell ref="F1068:F1069"/>
    <mergeCell ref="F581:F583"/>
    <mergeCell ref="F576:F577"/>
    <mergeCell ref="F586:F587"/>
    <mergeCell ref="F590:F591"/>
    <mergeCell ref="F592:F593"/>
    <mergeCell ref="F594:F595"/>
    <mergeCell ref="F588:F589"/>
    <mergeCell ref="F573:F575"/>
    <mergeCell ref="F571:F572"/>
    <mergeCell ref="F566:F567"/>
    <mergeCell ref="F548:F549"/>
    <mergeCell ref="F611:F612"/>
    <mergeCell ref="F617:F619"/>
    <mergeCell ref="F402:F404"/>
    <mergeCell ref="F613:F614"/>
    <mergeCell ref="F615:F616"/>
    <mergeCell ref="F1013:F1014"/>
    <mergeCell ref="F638:F639"/>
    <mergeCell ref="F640:F641"/>
    <mergeCell ref="F642:F643"/>
    <mergeCell ref="F634:F635"/>
    <mergeCell ref="F676:F677"/>
    <mergeCell ref="F678:F679"/>
    <mergeCell ref="F655:F657"/>
    <mergeCell ref="F658:F659"/>
    <mergeCell ref="F777:F778"/>
    <mergeCell ref="F779:F781"/>
    <mergeCell ref="F782:F784"/>
    <mergeCell ref="F708:F709"/>
    <mergeCell ref="F710:F711"/>
    <mergeCell ref="F758:F759"/>
    <mergeCell ref="F763:F765"/>
    <mergeCell ref="F265:F266"/>
    <mergeCell ref="F652:F654"/>
    <mergeCell ref="F649:F651"/>
    <mergeCell ref="F632:F633"/>
    <mergeCell ref="F620:F621"/>
    <mergeCell ref="F560:F561"/>
    <mergeCell ref="F562:F563"/>
    <mergeCell ref="F564:F565"/>
    <mergeCell ref="F539:F541"/>
    <mergeCell ref="F545:F547"/>
    <mergeCell ref="F542:F544"/>
    <mergeCell ref="F516:F517"/>
    <mergeCell ref="F550:F551"/>
    <mergeCell ref="F636:F637"/>
    <mergeCell ref="F624:F625"/>
    <mergeCell ref="F310:F311"/>
    <mergeCell ref="F432:F434"/>
    <mergeCell ref="F437:F438"/>
    <mergeCell ref="F441:F442"/>
    <mergeCell ref="F443:F444"/>
    <mergeCell ref="F445:F446"/>
    <mergeCell ref="F447:F448"/>
    <mergeCell ref="F428:F429"/>
    <mergeCell ref="F430:F431"/>
    <mergeCell ref="F435:F436"/>
    <mergeCell ref="F415:F416"/>
    <mergeCell ref="F390:F391"/>
    <mergeCell ref="F417:F418"/>
    <mergeCell ref="F419:F420"/>
    <mergeCell ref="F421:F422"/>
    <mergeCell ref="F363:F364"/>
    <mergeCell ref="F274:F275"/>
    <mergeCell ref="F79:F80"/>
    <mergeCell ref="F226:F227"/>
    <mergeCell ref="F411:F412"/>
    <mergeCell ref="F413:F414"/>
    <mergeCell ref="F322:F323"/>
    <mergeCell ref="F326:F328"/>
    <mergeCell ref="F329:F330"/>
    <mergeCell ref="F333:F334"/>
    <mergeCell ref="F335:F336"/>
    <mergeCell ref="F361:F362"/>
    <mergeCell ref="F354:F355"/>
    <mergeCell ref="F349:F351"/>
    <mergeCell ref="F356:F358"/>
    <mergeCell ref="F318:F319"/>
    <mergeCell ref="F399:F401"/>
    <mergeCell ref="F396:F398"/>
    <mergeCell ref="F181:F182"/>
    <mergeCell ref="F192:F193"/>
    <mergeCell ref="F235:F236"/>
    <mergeCell ref="F231:F234"/>
    <mergeCell ref="F199:F200"/>
    <mergeCell ref="F201:F202"/>
    <mergeCell ref="F203:F204"/>
    <mergeCell ref="F256:F258"/>
    <mergeCell ref="F259:F260"/>
    <mergeCell ref="F261:F262"/>
    <mergeCell ref="F239:F240"/>
    <mergeCell ref="F241:F242"/>
    <mergeCell ref="F243:F244"/>
    <mergeCell ref="F245:F246"/>
    <mergeCell ref="F247:F248"/>
    <mergeCell ref="F253:F255"/>
    <mergeCell ref="F33:F34"/>
    <mergeCell ref="F31:F32"/>
    <mergeCell ref="F29:F30"/>
    <mergeCell ref="F35:F36"/>
    <mergeCell ref="F37:F38"/>
    <mergeCell ref="F39:F40"/>
    <mergeCell ref="F73:F74"/>
    <mergeCell ref="F67:F68"/>
    <mergeCell ref="F71:F72"/>
    <mergeCell ref="F45:F46"/>
    <mergeCell ref="F47:F48"/>
    <mergeCell ref="F61:F62"/>
    <mergeCell ref="F65:F66"/>
    <mergeCell ref="F41:F42"/>
    <mergeCell ref="F63:F64"/>
    <mergeCell ref="F55:F56"/>
    <mergeCell ref="F59:F60"/>
    <mergeCell ref="F49:F50"/>
    <mergeCell ref="F51:F52"/>
    <mergeCell ref="F53:F54"/>
    <mergeCell ref="F57:F58"/>
    <mergeCell ref="F43:F44"/>
    <mergeCell ref="F69:F70"/>
    <mergeCell ref="G2:L2"/>
    <mergeCell ref="G3:L3"/>
    <mergeCell ref="G4:L4"/>
    <mergeCell ref="G5:L5"/>
    <mergeCell ref="A2:F2"/>
    <mergeCell ref="A3:F3"/>
    <mergeCell ref="A5:F5"/>
    <mergeCell ref="A4:F4"/>
    <mergeCell ref="F19:F20"/>
    <mergeCell ref="F21:F22"/>
    <mergeCell ref="F9:F10"/>
    <mergeCell ref="F11:F12"/>
    <mergeCell ref="F13:F14"/>
    <mergeCell ref="F15:F16"/>
    <mergeCell ref="F17:F18"/>
    <mergeCell ref="F27:F28"/>
    <mergeCell ref="F23:F24"/>
    <mergeCell ref="F25:F26"/>
    <mergeCell ref="F91:F92"/>
    <mergeCell ref="F93:F94"/>
    <mergeCell ref="F95:F96"/>
    <mergeCell ref="F97:F98"/>
    <mergeCell ref="F217:F218"/>
    <mergeCell ref="F183:F184"/>
    <mergeCell ref="F185:F186"/>
    <mergeCell ref="F187:F189"/>
    <mergeCell ref="F213:F214"/>
    <mergeCell ref="F215:F216"/>
    <mergeCell ref="F211:F212"/>
    <mergeCell ref="F101:F102"/>
    <mergeCell ref="F103:F104"/>
    <mergeCell ref="F105:F106"/>
    <mergeCell ref="F165:F166"/>
    <mergeCell ref="F167:F168"/>
    <mergeCell ref="F155:F156"/>
    <mergeCell ref="F145:F146"/>
    <mergeCell ref="F147:F148"/>
    <mergeCell ref="F149:F150"/>
    <mergeCell ref="F209:F210"/>
    <mergeCell ref="F111:F112"/>
    <mergeCell ref="F207:F208"/>
    <mergeCell ref="F190:F191"/>
    <mergeCell ref="F205:F206"/>
    <mergeCell ref="F137:F138"/>
    <mergeCell ref="F139:F140"/>
    <mergeCell ref="F141:F142"/>
    <mergeCell ref="F159:F160"/>
    <mergeCell ref="F161:F162"/>
    <mergeCell ref="F143:F144"/>
    <mergeCell ref="F113:F114"/>
    <mergeCell ref="F83:F84"/>
    <mergeCell ref="F85:F86"/>
    <mergeCell ref="F87:F88"/>
    <mergeCell ref="F81:F82"/>
    <mergeCell ref="F75:F76"/>
    <mergeCell ref="F77:F78"/>
    <mergeCell ref="F89:F90"/>
    <mergeCell ref="F99:F100"/>
    <mergeCell ref="F133:F134"/>
    <mergeCell ref="F135:F136"/>
    <mergeCell ref="F324:F325"/>
    <mergeCell ref="F171:F172"/>
    <mergeCell ref="F173:F174"/>
    <mergeCell ref="F175:F176"/>
    <mergeCell ref="F177:F178"/>
    <mergeCell ref="F157:F158"/>
    <mergeCell ref="F129:F130"/>
    <mergeCell ref="F123:F124"/>
    <mergeCell ref="F125:F126"/>
    <mergeCell ref="F115:F116"/>
    <mergeCell ref="F117:F118"/>
    <mergeCell ref="F119:F120"/>
    <mergeCell ref="F121:F122"/>
    <mergeCell ref="F127:F128"/>
    <mergeCell ref="F109:F110"/>
    <mergeCell ref="F228:F230"/>
    <mergeCell ref="F221:F223"/>
    <mergeCell ref="F169:F170"/>
    <mergeCell ref="F219:F220"/>
    <mergeCell ref="F224:F225"/>
    <mergeCell ref="F197:F198"/>
    <mergeCell ref="F107:F108"/>
    <mergeCell ref="F151:F152"/>
    <mergeCell ref="F131:F132"/>
    <mergeCell ref="F163:F164"/>
    <mergeCell ref="F153:F154"/>
    <mergeCell ref="F179:F180"/>
    <mergeCell ref="F237:F238"/>
    <mergeCell ref="F194:F196"/>
    <mergeCell ref="F339:F340"/>
    <mergeCell ref="F249:F250"/>
    <mergeCell ref="F251:F252"/>
    <mergeCell ref="F304:F305"/>
    <mergeCell ref="F365:F366"/>
    <mergeCell ref="F263:F264"/>
    <mergeCell ref="F294:F296"/>
    <mergeCell ref="F288:F289"/>
    <mergeCell ref="F290:F291"/>
    <mergeCell ref="F292:F293"/>
    <mergeCell ref="F286:F287"/>
    <mergeCell ref="F297:F298"/>
    <mergeCell ref="F308:F309"/>
    <mergeCell ref="F312:F313"/>
    <mergeCell ref="F314:F315"/>
    <mergeCell ref="F316:F317"/>
    <mergeCell ref="F341:F342"/>
    <mergeCell ref="F343:F344"/>
    <mergeCell ref="F345:F346"/>
    <mergeCell ref="F347:F348"/>
    <mergeCell ref="F320:F321"/>
    <mergeCell ref="F359:F360"/>
    <mergeCell ref="F267:F269"/>
    <mergeCell ref="F284:F285"/>
    <mergeCell ref="F272:F273"/>
    <mergeCell ref="F276:F277"/>
    <mergeCell ref="F278:F279"/>
    <mergeCell ref="F280:F281"/>
    <mergeCell ref="F282:F283"/>
    <mergeCell ref="F270:F271"/>
    <mergeCell ref="F299:F301"/>
    <mergeCell ref="F302:F303"/>
    <mergeCell ref="F306:F307"/>
    <mergeCell ref="F337:F338"/>
    <mergeCell ref="F352:F353"/>
    <mergeCell ref="F405:F406"/>
    <mergeCell ref="F409:F410"/>
    <mergeCell ref="F394:F395"/>
    <mergeCell ref="F392:F393"/>
    <mergeCell ref="F425:F427"/>
    <mergeCell ref="F367:F370"/>
    <mergeCell ref="F373:F375"/>
    <mergeCell ref="F371:F372"/>
    <mergeCell ref="F376:F377"/>
    <mergeCell ref="F380:F381"/>
    <mergeCell ref="F382:F383"/>
    <mergeCell ref="F384:F385"/>
    <mergeCell ref="F386:F387"/>
    <mergeCell ref="F407:F408"/>
    <mergeCell ref="F378:F379"/>
    <mergeCell ref="F331:F332"/>
    <mergeCell ref="F423:F424"/>
    <mergeCell ref="F388:F389"/>
    <mergeCell ref="F457:F459"/>
    <mergeCell ref="F460:F462"/>
    <mergeCell ref="F449:F450"/>
    <mergeCell ref="F451:F452"/>
    <mergeCell ref="F453:F454"/>
    <mergeCell ref="F455:F456"/>
    <mergeCell ref="F463:F465"/>
    <mergeCell ref="F466:F468"/>
    <mergeCell ref="F469:F471"/>
    <mergeCell ref="F472:F474"/>
    <mergeCell ref="F475:F477"/>
    <mergeCell ref="F478:F479"/>
    <mergeCell ref="F482:F483"/>
    <mergeCell ref="F662:F663"/>
    <mergeCell ref="F664:F665"/>
    <mergeCell ref="F666:F667"/>
    <mergeCell ref="F668:F669"/>
    <mergeCell ref="F622:F623"/>
    <mergeCell ref="F626:F627"/>
    <mergeCell ref="F628:F629"/>
    <mergeCell ref="F630:F631"/>
    <mergeCell ref="F644:F645"/>
    <mergeCell ref="F646:F648"/>
    <mergeCell ref="F507:F509"/>
    <mergeCell ref="F486:F487"/>
    <mergeCell ref="F488:F489"/>
    <mergeCell ref="F490:F491"/>
    <mergeCell ref="F492:F493"/>
    <mergeCell ref="F598:F599"/>
    <mergeCell ref="F600:F601"/>
    <mergeCell ref="F602:F603"/>
    <mergeCell ref="F604:F605"/>
    <mergeCell ref="F680:F681"/>
    <mergeCell ref="F672:F673"/>
    <mergeCell ref="F609:F610"/>
    <mergeCell ref="F606:F608"/>
    <mergeCell ref="F584:F585"/>
    <mergeCell ref="F484:F485"/>
    <mergeCell ref="F533:F535"/>
    <mergeCell ref="F536:F538"/>
    <mergeCell ref="F530:F532"/>
    <mergeCell ref="F520:F521"/>
    <mergeCell ref="F522:F523"/>
    <mergeCell ref="F524:F525"/>
    <mergeCell ref="F526:F527"/>
    <mergeCell ref="F528:F529"/>
    <mergeCell ref="F498:F500"/>
    <mergeCell ref="F501:F502"/>
    <mergeCell ref="F503:F504"/>
    <mergeCell ref="F505:F506"/>
    <mergeCell ref="F510:F511"/>
    <mergeCell ref="F514:F515"/>
    <mergeCell ref="F518:F519"/>
    <mergeCell ref="F596:F597"/>
    <mergeCell ref="F568:F570"/>
    <mergeCell ref="F552:F553"/>
    <mergeCell ref="F554:F555"/>
    <mergeCell ref="F556:F557"/>
    <mergeCell ref="F558:F559"/>
    <mergeCell ref="F674:F675"/>
    <mergeCell ref="F494:F495"/>
    <mergeCell ref="F496:F497"/>
    <mergeCell ref="F670:F671"/>
    <mergeCell ref="F578:F580"/>
    <mergeCell ref="F682:F684"/>
    <mergeCell ref="F685:F687"/>
    <mergeCell ref="F688:F690"/>
    <mergeCell ref="F691:F693"/>
    <mergeCell ref="F694:F695"/>
    <mergeCell ref="F716:F718"/>
    <mergeCell ref="F725:F726"/>
    <mergeCell ref="F727:F728"/>
    <mergeCell ref="F696:F697"/>
    <mergeCell ref="F698:F699"/>
    <mergeCell ref="F700:F701"/>
    <mergeCell ref="F702:F704"/>
    <mergeCell ref="F705:F707"/>
    <mergeCell ref="F712:F713"/>
    <mergeCell ref="F714:F715"/>
    <mergeCell ref="F752:F754"/>
    <mergeCell ref="F739:F740"/>
    <mergeCell ref="F741:F742"/>
    <mergeCell ref="F743:F744"/>
    <mergeCell ref="F745:F746"/>
    <mergeCell ref="F749:F751"/>
    <mergeCell ref="F731:F732"/>
    <mergeCell ref="F733:F734"/>
    <mergeCell ref="F735:F736"/>
    <mergeCell ref="F737:F738"/>
    <mergeCell ref="F747:F748"/>
    <mergeCell ref="F719:F722"/>
    <mergeCell ref="F723:F724"/>
    <mergeCell ref="F851:F853"/>
    <mergeCell ref="F854:F856"/>
    <mergeCell ref="F893:F894"/>
    <mergeCell ref="F895:F896"/>
    <mergeCell ref="F885:F886"/>
    <mergeCell ref="F897:F898"/>
    <mergeCell ref="F899:F900"/>
    <mergeCell ref="F901:F902"/>
    <mergeCell ref="F805:F806"/>
    <mergeCell ref="F807:F808"/>
    <mergeCell ref="F821:F823"/>
    <mergeCell ref="F824:F826"/>
    <mergeCell ref="F809:F810"/>
    <mergeCell ref="F811:F812"/>
    <mergeCell ref="F813:F814"/>
    <mergeCell ref="F815:F816"/>
    <mergeCell ref="F817:F818"/>
    <mergeCell ref="F819:F820"/>
    <mergeCell ref="F849:F850"/>
    <mergeCell ref="F860:F862"/>
    <mergeCell ref="F863:F865"/>
    <mergeCell ref="F866:F868"/>
    <mergeCell ref="F869:F871"/>
    <mergeCell ref="F883:F884"/>
    <mergeCell ref="F841:F843"/>
    <mergeCell ref="F844:F846"/>
    <mergeCell ref="F847:F848"/>
    <mergeCell ref="F881:F882"/>
    <mergeCell ref="F891:F892"/>
    <mergeCell ref="F903:F904"/>
    <mergeCell ref="F905:F906"/>
    <mergeCell ref="F907:F908"/>
    <mergeCell ref="F909:F910"/>
    <mergeCell ref="F911:F913"/>
    <mergeCell ref="F914:F916"/>
    <mergeCell ref="F917:F919"/>
    <mergeCell ref="F920:F922"/>
    <mergeCell ref="F923:F924"/>
    <mergeCell ref="F925:F927"/>
    <mergeCell ref="F928:F930"/>
    <mergeCell ref="F931:F933"/>
    <mergeCell ref="F934:F936"/>
    <mergeCell ref="F1023:F1024"/>
    <mergeCell ref="F955:F956"/>
    <mergeCell ref="F957:F959"/>
    <mergeCell ref="F960:F961"/>
    <mergeCell ref="F964:F966"/>
    <mergeCell ref="F962:F963"/>
    <mergeCell ref="F967:F969"/>
    <mergeCell ref="F937:F939"/>
    <mergeCell ref="F940:F942"/>
    <mergeCell ref="F943:F945"/>
    <mergeCell ref="F946:F948"/>
    <mergeCell ref="F949:F951"/>
    <mergeCell ref="F952:F954"/>
    <mergeCell ref="F970:F972"/>
    <mergeCell ref="F973:F975"/>
    <mergeCell ref="F976:F978"/>
    <mergeCell ref="F979:F980"/>
    <mergeCell ref="F981:F982"/>
    <mergeCell ref="F1009:F1010"/>
    <mergeCell ref="F1094:F1097"/>
    <mergeCell ref="F1098:F1101"/>
    <mergeCell ref="F1102:F1105"/>
    <mergeCell ref="F1106:F1109"/>
    <mergeCell ref="F1113:F1116"/>
    <mergeCell ref="F1387:F1388"/>
    <mergeCell ref="F1213:F1214"/>
    <mergeCell ref="F1304:F1306"/>
    <mergeCell ref="F1245:F1246"/>
    <mergeCell ref="F1110:F1112"/>
    <mergeCell ref="F1210:F1212"/>
    <mergeCell ref="F1241:F1242"/>
    <mergeCell ref="F1243:F1244"/>
    <mergeCell ref="F1227:F1228"/>
    <mergeCell ref="F1229:F1230"/>
    <mergeCell ref="F1231:F1232"/>
    <mergeCell ref="F1233:F1234"/>
    <mergeCell ref="F1235:F1236"/>
    <mergeCell ref="F1237:F1238"/>
    <mergeCell ref="F1239:F1240"/>
    <mergeCell ref="F1260:F1262"/>
    <mergeCell ref="F1371:F1372"/>
    <mergeCell ref="F1286:F1288"/>
    <mergeCell ref="F1293:F1294"/>
    <mergeCell ref="F1352:F1354"/>
    <mergeCell ref="F1124:F1127"/>
    <mergeCell ref="F1301:F1303"/>
    <mergeCell ref="F1363:F1365"/>
    <mergeCell ref="F1366:F1368"/>
    <mergeCell ref="F1369:F1370"/>
    <mergeCell ref="F1379:F1380"/>
    <mergeCell ref="F1383:F1384"/>
    <mergeCell ref="F1317:F1318"/>
    <mergeCell ref="F1451:F1454"/>
    <mergeCell ref="F1455:F1456"/>
    <mergeCell ref="F1457:F1458"/>
    <mergeCell ref="F1442:F1443"/>
    <mergeCell ref="F1425:F1427"/>
    <mergeCell ref="F1377:F1378"/>
    <mergeCell ref="F1375:F1376"/>
    <mergeCell ref="F1373:F1374"/>
    <mergeCell ref="F1419:F1421"/>
    <mergeCell ref="F1422:F1424"/>
    <mergeCell ref="F1409:F1410"/>
    <mergeCell ref="F1391:F1392"/>
    <mergeCell ref="F1403:F1404"/>
    <mergeCell ref="F1319:F1320"/>
    <mergeCell ref="F1357:F1358"/>
    <mergeCell ref="F1349:F1351"/>
    <mergeCell ref="F1416:F1418"/>
    <mergeCell ref="F1355:F1356"/>
    <mergeCell ref="F1489:F1490"/>
    <mergeCell ref="F1493:F1494"/>
    <mergeCell ref="F1495:F1496"/>
    <mergeCell ref="F1497:F1498"/>
    <mergeCell ref="F1499:F1500"/>
    <mergeCell ref="F1491:F1492"/>
    <mergeCell ref="F1483:F1484"/>
    <mergeCell ref="F1481:F1482"/>
    <mergeCell ref="F1473:F1475"/>
    <mergeCell ref="F1467:F1469"/>
    <mergeCell ref="F1459:F1461"/>
    <mergeCell ref="F1476:F1478"/>
    <mergeCell ref="F1464:F1466"/>
    <mergeCell ref="F1470:F1472"/>
    <mergeCell ref="F1439:F1441"/>
    <mergeCell ref="F1462:F1463"/>
    <mergeCell ref="F1321:F1322"/>
    <mergeCell ref="F1323:F1324"/>
    <mergeCell ref="F1393:F1394"/>
    <mergeCell ref="F1395:F1396"/>
    <mergeCell ref="F1397:F1398"/>
    <mergeCell ref="F1399:F1400"/>
    <mergeCell ref="F1401:F1402"/>
    <mergeCell ref="F1428:F1429"/>
    <mergeCell ref="F1413:F1415"/>
    <mergeCell ref="F1381:F1382"/>
    <mergeCell ref="F1385:F1386"/>
    <mergeCell ref="F1433:F1435"/>
    <mergeCell ref="F1436:F1438"/>
    <mergeCell ref="F1479:F1480"/>
    <mergeCell ref="F1485:F1486"/>
    <mergeCell ref="F1487:F1488"/>
    <mergeCell ref="F1601:F1602"/>
    <mergeCell ref="F1603:F1604"/>
    <mergeCell ref="F1573:F1575"/>
    <mergeCell ref="F1576:F1578"/>
    <mergeCell ref="F1617:F1618"/>
    <mergeCell ref="F1605:F1607"/>
    <mergeCell ref="F1557:F1558"/>
    <mergeCell ref="F1523:F1524"/>
    <mergeCell ref="F1528:F1530"/>
    <mergeCell ref="F1534:F1536"/>
    <mergeCell ref="F1517:F1518"/>
    <mergeCell ref="F1519:F1520"/>
    <mergeCell ref="F1525:F1527"/>
    <mergeCell ref="F1531:F1533"/>
    <mergeCell ref="F1521:F1522"/>
    <mergeCell ref="F1537:F1538"/>
    <mergeCell ref="F1501:F1502"/>
    <mergeCell ref="F1503:F1504"/>
    <mergeCell ref="F1509:F1510"/>
    <mergeCell ref="F1511:F1512"/>
    <mergeCell ref="F1513:F1514"/>
    <mergeCell ref="F1515:F1516"/>
    <mergeCell ref="F1561:F1562"/>
    <mergeCell ref="F1563:F1564"/>
    <mergeCell ref="F1507:F1508"/>
    <mergeCell ref="F1505:F1506"/>
    <mergeCell ref="F1884:F1885"/>
    <mergeCell ref="F1922:F1923"/>
    <mergeCell ref="F1820:F1821"/>
    <mergeCell ref="F1954:F1956"/>
    <mergeCell ref="F1910:F1911"/>
    <mergeCell ref="F1868:F1870"/>
    <mergeCell ref="F1886:F1888"/>
    <mergeCell ref="F1900:F1901"/>
    <mergeCell ref="F1619:F1620"/>
    <mergeCell ref="F1611:F1613"/>
    <mergeCell ref="F1614:F1616"/>
    <mergeCell ref="F1541:F1542"/>
    <mergeCell ref="F1543:F1544"/>
    <mergeCell ref="F1545:F1546"/>
    <mergeCell ref="F1547:F1548"/>
    <mergeCell ref="F1549:F1550"/>
    <mergeCell ref="F1551:F1552"/>
    <mergeCell ref="F1553:F1554"/>
    <mergeCell ref="F1555:F1556"/>
    <mergeCell ref="F1565:F1566"/>
    <mergeCell ref="F1567:F1568"/>
    <mergeCell ref="F1569:F1570"/>
    <mergeCell ref="F1571:F1572"/>
    <mergeCell ref="F1579:F1581"/>
    <mergeCell ref="F1598:F1600"/>
    <mergeCell ref="F1608:F1610"/>
    <mergeCell ref="F1582:F1584"/>
    <mergeCell ref="F1585:F1587"/>
    <mergeCell ref="F1592:F1594"/>
    <mergeCell ref="F1595:F1597"/>
    <mergeCell ref="F1588:F1589"/>
    <mergeCell ref="F1590:F1591"/>
    <mergeCell ref="F1976:F1977"/>
    <mergeCell ref="F1834:F1835"/>
    <mergeCell ref="F1840:F1841"/>
    <mergeCell ref="F1852:F1853"/>
    <mergeCell ref="F1854:F1855"/>
    <mergeCell ref="F1789:F1790"/>
    <mergeCell ref="F1814:F1816"/>
    <mergeCell ref="F1783:F1784"/>
    <mergeCell ref="F1785:F1786"/>
    <mergeCell ref="F1787:F1788"/>
    <mergeCell ref="F1842:F1843"/>
    <mergeCell ref="F1844:F1845"/>
    <mergeCell ref="F1912:F1913"/>
    <mergeCell ref="F1914:F1915"/>
    <mergeCell ref="F1916:F1917"/>
    <mergeCell ref="F1920:F1921"/>
    <mergeCell ref="F1938:F1940"/>
    <mergeCell ref="F1848:F1849"/>
    <mergeCell ref="F1850:F1851"/>
    <mergeCell ref="F1856:F1857"/>
    <mergeCell ref="F1832:F1833"/>
    <mergeCell ref="F1800:F1801"/>
    <mergeCell ref="F1805:F1807"/>
    <mergeCell ref="F1808:F1810"/>
    <mergeCell ref="F1811:F1813"/>
    <mergeCell ref="F1877:F1878"/>
    <mergeCell ref="F1936:F1937"/>
    <mergeCell ref="F1947:F1948"/>
    <mergeCell ref="F1928:F1930"/>
    <mergeCell ref="F1931:F1933"/>
    <mergeCell ref="F1949:F1951"/>
    <mergeCell ref="F1934:F1935"/>
    <mergeCell ref="F2272:F2273"/>
    <mergeCell ref="F2415:F2416"/>
    <mergeCell ref="F2425:F2426"/>
    <mergeCell ref="F1836:F1837"/>
    <mergeCell ref="F2016:F2018"/>
    <mergeCell ref="F2040:F2041"/>
    <mergeCell ref="F2032:F2033"/>
    <mergeCell ref="F2034:F2035"/>
    <mergeCell ref="F2036:F2037"/>
    <mergeCell ref="F2038:F2039"/>
    <mergeCell ref="F1846:F1847"/>
    <mergeCell ref="F1822:F1823"/>
    <mergeCell ref="F1826:F1827"/>
    <mergeCell ref="F1828:F1829"/>
    <mergeCell ref="F1830:F1831"/>
    <mergeCell ref="F1894:F1895"/>
    <mergeCell ref="F1898:F1899"/>
    <mergeCell ref="F1902:F1903"/>
    <mergeCell ref="F1996:F1997"/>
    <mergeCell ref="F1988:F1989"/>
    <mergeCell ref="F2026:F2027"/>
    <mergeCell ref="F2022:F2023"/>
    <mergeCell ref="F2335:F2337"/>
    <mergeCell ref="F2338:F2340"/>
    <mergeCell ref="F2341:F2343"/>
    <mergeCell ref="F2377:F2378"/>
    <mergeCell ref="F2379:F2380"/>
    <mergeCell ref="F2348:F2350"/>
    <mergeCell ref="F1966:F1967"/>
    <mergeCell ref="F1970:F1971"/>
    <mergeCell ref="F1972:F1973"/>
    <mergeCell ref="F1974:F1975"/>
    <mergeCell ref="F2657:F2658"/>
    <mergeCell ref="F2685:F2686"/>
    <mergeCell ref="F2691:F2692"/>
    <mergeCell ref="F2256:F2257"/>
    <mergeCell ref="F2260:F2261"/>
    <mergeCell ref="F2213:F2215"/>
    <mergeCell ref="F2197:F2198"/>
    <mergeCell ref="F2199:F2200"/>
    <mergeCell ref="F2243:F2245"/>
    <mergeCell ref="F2258:F2259"/>
    <mergeCell ref="F2383:F2384"/>
    <mergeCell ref="F2385:F2386"/>
    <mergeCell ref="F2394:F2395"/>
    <mergeCell ref="F2396:F2397"/>
    <mergeCell ref="F2422:F2424"/>
    <mergeCell ref="F2433:F2434"/>
    <mergeCell ref="F2435:F2436"/>
    <mergeCell ref="F2437:F2438"/>
    <mergeCell ref="F2371:F2372"/>
    <mergeCell ref="F2373:F2374"/>
    <mergeCell ref="F2387:F2389"/>
    <mergeCell ref="F2390:F2391"/>
    <mergeCell ref="F2344:F2347"/>
    <mergeCell ref="F2351:F2354"/>
    <mergeCell ref="F2268:F2269"/>
    <mergeCell ref="F2270:F2271"/>
    <mergeCell ref="F2369:F2370"/>
    <mergeCell ref="F2361:F2362"/>
    <mergeCell ref="F2303:F2304"/>
    <mergeCell ref="F2355:F2358"/>
    <mergeCell ref="F2359:F2360"/>
    <mergeCell ref="F2297:F2298"/>
    <mergeCell ref="F2503:F2504"/>
    <mergeCell ref="F2505:F2507"/>
    <mergeCell ref="F2547:F2549"/>
    <mergeCell ref="F2486:F2487"/>
    <mergeCell ref="F2468:F2469"/>
    <mergeCell ref="F2542:F2543"/>
    <mergeCell ref="F2513:F2515"/>
    <mergeCell ref="F2500:F2502"/>
    <mergeCell ref="F2516:F2518"/>
    <mergeCell ref="F2531:F2532"/>
    <mergeCell ref="F2628:F2630"/>
    <mergeCell ref="F2631:F2632"/>
    <mergeCell ref="F2550:F2551"/>
    <mergeCell ref="F2554:F2555"/>
    <mergeCell ref="F2556:F2557"/>
    <mergeCell ref="F2558:F2559"/>
    <mergeCell ref="F2825:F2826"/>
    <mergeCell ref="F2560:F2561"/>
    <mergeCell ref="F2562:F2563"/>
    <mergeCell ref="F2564:F2565"/>
    <mergeCell ref="F2570:F2571"/>
    <mergeCell ref="F2592:F2593"/>
    <mergeCell ref="F2750:F2751"/>
    <mergeCell ref="F2713:F2715"/>
    <mergeCell ref="F2718:F2720"/>
    <mergeCell ref="F2721:F2723"/>
    <mergeCell ref="F2797:F2800"/>
    <mergeCell ref="F2801:F2802"/>
    <mergeCell ref="F2746:F2747"/>
    <mergeCell ref="F2748:F2749"/>
    <mergeCell ref="F2760:F2762"/>
    <mergeCell ref="F2602:F2603"/>
    <mergeCell ref="F2584:F2586"/>
    <mergeCell ref="F2587:F2589"/>
    <mergeCell ref="F2590:F2591"/>
    <mergeCell ref="F2594:F2595"/>
    <mergeCell ref="F2598:F2599"/>
    <mergeCell ref="F2600:F2601"/>
    <mergeCell ref="F2566:F2567"/>
    <mergeCell ref="F2596:F2597"/>
    <mergeCell ref="F2552:F2553"/>
    <mergeCell ref="F2702:F2703"/>
    <mergeCell ref="F3575:F3577"/>
    <mergeCell ref="F3578:F3579"/>
    <mergeCell ref="F2604:F2605"/>
    <mergeCell ref="F2606:F2607"/>
    <mergeCell ref="F2608:F2609"/>
    <mergeCell ref="F2610:F2611"/>
    <mergeCell ref="F2727:F2729"/>
    <mergeCell ref="F2730:F2731"/>
    <mergeCell ref="F2732:F2733"/>
    <mergeCell ref="F2623:F2624"/>
    <mergeCell ref="F2617:F2619"/>
    <mergeCell ref="F2612:F2613"/>
    <mergeCell ref="F2633:F2635"/>
    <mergeCell ref="F2710:F2712"/>
    <mergeCell ref="F2620:F2622"/>
    <mergeCell ref="F2639:F2641"/>
    <mergeCell ref="F2642:F2643"/>
    <mergeCell ref="F2644:F2645"/>
    <mergeCell ref="F2646:F2647"/>
    <mergeCell ref="F2648:F2649"/>
    <mergeCell ref="F2650:F2653"/>
    <mergeCell ref="F2704:F2705"/>
    <mergeCell ref="F2693:F2695"/>
    <mergeCell ref="F2699:F2701"/>
    <mergeCell ref="F2654:F2656"/>
    <mergeCell ref="F2675:F2676"/>
    <mergeCell ref="F2679:F2680"/>
    <mergeCell ref="F2681:F2682"/>
    <mergeCell ref="F2683:F2684"/>
    <mergeCell ref="F2659:F2661"/>
    <mergeCell ref="F2614:F2616"/>
    <mergeCell ref="F2625:F2627"/>
    <mergeCell ref="F3507:F3509"/>
    <mergeCell ref="F3510:F3513"/>
    <mergeCell ref="F3490:F3492"/>
    <mergeCell ref="F3497:F3499"/>
    <mergeCell ref="F3500:F3501"/>
    <mergeCell ref="F3502:F3503"/>
    <mergeCell ref="F3493:F3496"/>
    <mergeCell ref="F3454:F3456"/>
    <mergeCell ref="F3457:F3459"/>
    <mergeCell ref="F3463:F3465"/>
    <mergeCell ref="F3466:F3468"/>
    <mergeCell ref="F3469:F3471"/>
    <mergeCell ref="F3474:F3475"/>
    <mergeCell ref="F3478:F3479"/>
    <mergeCell ref="F3480:F3481"/>
    <mergeCell ref="F3482:F3483"/>
    <mergeCell ref="F3484:F3485"/>
    <mergeCell ref="F3486:F3487"/>
    <mergeCell ref="F3488:F3489"/>
    <mergeCell ref="F3460:F3462"/>
    <mergeCell ref="F3472:F3473"/>
    <mergeCell ref="F3504:F3506"/>
    <mergeCell ref="F2708:F2709"/>
    <mergeCell ref="F2687:F2688"/>
    <mergeCell ref="F3514:F3515"/>
    <mergeCell ref="F3527:F3528"/>
    <mergeCell ref="F3529:F3530"/>
    <mergeCell ref="F3531:F3532"/>
    <mergeCell ref="F3533:F3534"/>
    <mergeCell ref="F3535:F3536"/>
    <mergeCell ref="F3537:F3538"/>
    <mergeCell ref="F3539:F3540"/>
    <mergeCell ref="F3541:F3542"/>
    <mergeCell ref="F3543:F3544"/>
    <mergeCell ref="F3545:F3546"/>
    <mergeCell ref="F3597:F3599"/>
    <mergeCell ref="F3600:F3602"/>
    <mergeCell ref="F3585:F3587"/>
    <mergeCell ref="F3549:F3551"/>
    <mergeCell ref="F3582:F3584"/>
    <mergeCell ref="F3591:F3593"/>
    <mergeCell ref="F3594:F3596"/>
    <mergeCell ref="F3516:F3518"/>
    <mergeCell ref="F3519:F3521"/>
    <mergeCell ref="F3522:F3524"/>
    <mergeCell ref="F3525:F3526"/>
    <mergeCell ref="F3552:F3554"/>
    <mergeCell ref="F3555:F3557"/>
    <mergeCell ref="F3558:F3560"/>
    <mergeCell ref="F3561:F3563"/>
    <mergeCell ref="F3567:F3568"/>
    <mergeCell ref="F3580:F3581"/>
    <mergeCell ref="F3564:F3566"/>
    <mergeCell ref="F3547:F3548"/>
    <mergeCell ref="F3569:F3571"/>
    <mergeCell ref="F3572:F3574"/>
    <mergeCell ref="F3588:F3590"/>
    <mergeCell ref="F3633:F3634"/>
    <mergeCell ref="F3638:F3640"/>
    <mergeCell ref="F3624:F3626"/>
    <mergeCell ref="F3627:F3629"/>
    <mergeCell ref="F3630:F3632"/>
    <mergeCell ref="F3686:F3687"/>
    <mergeCell ref="F3688:F3689"/>
    <mergeCell ref="F3690:F3691"/>
    <mergeCell ref="F3652:F3653"/>
    <mergeCell ref="F3662:F3664"/>
    <mergeCell ref="F3635:F3637"/>
    <mergeCell ref="F3657:F3658"/>
    <mergeCell ref="F3676:F3677"/>
    <mergeCell ref="F3673:F3675"/>
    <mergeCell ref="F3610:F3611"/>
    <mergeCell ref="F3612:F3613"/>
    <mergeCell ref="F3616:F3617"/>
    <mergeCell ref="F3618:F3619"/>
    <mergeCell ref="F3620:F3621"/>
    <mergeCell ref="F3622:F3623"/>
    <mergeCell ref="F3614:F3615"/>
    <mergeCell ref="F3641:F3643"/>
    <mergeCell ref="F3644:F3646"/>
    <mergeCell ref="F3647:F3648"/>
    <mergeCell ref="F3649:F3651"/>
    <mergeCell ref="F3654:F3656"/>
    <mergeCell ref="F3659:F3661"/>
    <mergeCell ref="F3665:F3666"/>
    <mergeCell ref="F3608:F3609"/>
    <mergeCell ref="F3606:F3607"/>
    <mergeCell ref="F3603:F3605"/>
    <mergeCell ref="F3692:F3693"/>
    <mergeCell ref="F3724:F3726"/>
    <mergeCell ref="F3694:F3695"/>
    <mergeCell ref="F3705:F3707"/>
    <mergeCell ref="F3739:F3740"/>
    <mergeCell ref="F3797:F3798"/>
    <mergeCell ref="F3758:F3759"/>
    <mergeCell ref="F3699:F3701"/>
    <mergeCell ref="F3696:F3698"/>
    <mergeCell ref="F3702:F3704"/>
    <mergeCell ref="F3708:F3710"/>
    <mergeCell ref="F3717:F3719"/>
    <mergeCell ref="F3722:F3723"/>
    <mergeCell ref="F3789:F3790"/>
    <mergeCell ref="F3791:F3792"/>
    <mergeCell ref="F3793:F3794"/>
    <mergeCell ref="F3795:F3796"/>
    <mergeCell ref="F3763:F3765"/>
    <mergeCell ref="F3778:F3780"/>
    <mergeCell ref="F3741:F3742"/>
    <mergeCell ref="F3727:F3728"/>
    <mergeCell ref="F3729:F3730"/>
    <mergeCell ref="F3731:F3732"/>
    <mergeCell ref="F3733:F3734"/>
    <mergeCell ref="F3754:F3757"/>
    <mergeCell ref="F3766:F3767"/>
    <mergeCell ref="F4010:F4012"/>
    <mergeCell ref="F4019:F4021"/>
    <mergeCell ref="F4022:F4023"/>
    <mergeCell ref="F4048:F4049"/>
    <mergeCell ref="F4064:F4065"/>
    <mergeCell ref="F4066:F4067"/>
    <mergeCell ref="F3964:F3966"/>
    <mergeCell ref="F3967:F3969"/>
    <mergeCell ref="F3970:F3972"/>
    <mergeCell ref="F3973:F3975"/>
    <mergeCell ref="F3678:F3679"/>
    <mergeCell ref="F3667:F3669"/>
    <mergeCell ref="F3670:F3672"/>
    <mergeCell ref="F3785:F3786"/>
    <mergeCell ref="F3787:F3788"/>
    <mergeCell ref="F3735:F3736"/>
    <mergeCell ref="F3737:F3738"/>
    <mergeCell ref="F3858:F3859"/>
    <mergeCell ref="F3860:F3863"/>
    <mergeCell ref="F3890:F3892"/>
    <mergeCell ref="F3893:F3895"/>
    <mergeCell ref="F3896:F3898"/>
    <mergeCell ref="F3843:F3844"/>
    <mergeCell ref="F3867:F3868"/>
    <mergeCell ref="F3869:F3870"/>
    <mergeCell ref="F3864:F3866"/>
    <mergeCell ref="F3770:F3772"/>
    <mergeCell ref="F3799:F3801"/>
    <mergeCell ref="F3816:F3818"/>
    <mergeCell ref="F3680:F3681"/>
    <mergeCell ref="F3682:F3683"/>
    <mergeCell ref="F3684:F3685"/>
    <mergeCell ref="F3959:F3960"/>
    <mergeCell ref="F3976:F3977"/>
    <mergeCell ref="F3845:F3846"/>
    <mergeCell ref="F3978:F3979"/>
    <mergeCell ref="F4034:F4035"/>
    <mergeCell ref="F4024:F4025"/>
    <mergeCell ref="F4151:F4153"/>
    <mergeCell ref="F4079:F4080"/>
    <mergeCell ref="F4110:F4111"/>
    <mergeCell ref="F3982:F3983"/>
    <mergeCell ref="F3984:F3985"/>
    <mergeCell ref="F3986:F3987"/>
    <mergeCell ref="F3988:F3989"/>
    <mergeCell ref="F3990:F3991"/>
    <mergeCell ref="F4145:F4146"/>
    <mergeCell ref="F4116:F4117"/>
    <mergeCell ref="F4125:F4127"/>
    <mergeCell ref="F4128:F4130"/>
    <mergeCell ref="F4131:F4133"/>
    <mergeCell ref="F4134:F4136"/>
    <mergeCell ref="F4100:F4101"/>
    <mergeCell ref="F4102:F4103"/>
    <mergeCell ref="F4073:F4075"/>
    <mergeCell ref="F3980:F3981"/>
    <mergeCell ref="F4062:F4063"/>
    <mergeCell ref="F3998:F3999"/>
    <mergeCell ref="F4000:F4001"/>
    <mergeCell ref="F4002:F4004"/>
    <mergeCell ref="F4013:F4015"/>
    <mergeCell ref="F4016:F4018"/>
    <mergeCell ref="F4005:F4007"/>
    <mergeCell ref="F4008:F4009"/>
    <mergeCell ref="F4104:F4105"/>
    <mergeCell ref="F4106:F4107"/>
    <mergeCell ref="F4108:F4109"/>
    <mergeCell ref="F4081:F4083"/>
    <mergeCell ref="F4084:F4086"/>
    <mergeCell ref="F4068:F4069"/>
    <mergeCell ref="F4112:F4113"/>
    <mergeCell ref="F4114:F4115"/>
    <mergeCell ref="F4118:F4119"/>
    <mergeCell ref="F4120:F4121"/>
    <mergeCell ref="F4122:F4124"/>
    <mergeCell ref="F4201:F4203"/>
    <mergeCell ref="F4204:F4206"/>
    <mergeCell ref="F4160:F4161"/>
    <mergeCell ref="F4162:F4164"/>
    <mergeCell ref="F4216:F4217"/>
    <mergeCell ref="F4213:F4215"/>
    <mergeCell ref="F4137:F4139"/>
    <mergeCell ref="F4140:F4141"/>
    <mergeCell ref="F4142:F4144"/>
    <mergeCell ref="F4147:F4148"/>
    <mergeCell ref="F4149:F4150"/>
    <mergeCell ref="F4181:F4182"/>
    <mergeCell ref="F4168:F4170"/>
    <mergeCell ref="F4171:F4173"/>
    <mergeCell ref="F4174:F4176"/>
    <mergeCell ref="F4207:F4209"/>
    <mergeCell ref="F4210:F4212"/>
    <mergeCell ref="F4179:F4180"/>
    <mergeCell ref="F4183:F4184"/>
    <mergeCell ref="F4185:F4186"/>
    <mergeCell ref="F4187:F4188"/>
    <mergeCell ref="F4328:F4330"/>
    <mergeCell ref="F4254:F4255"/>
    <mergeCell ref="F4294:F4295"/>
    <mergeCell ref="F4305:F4307"/>
    <mergeCell ref="F4308:F4309"/>
    <mergeCell ref="F4287:F4288"/>
    <mergeCell ref="F4258:F4259"/>
    <mergeCell ref="F4260:F4261"/>
    <mergeCell ref="F4353:F4354"/>
    <mergeCell ref="F4157:F4159"/>
    <mergeCell ref="F4165:F4167"/>
    <mergeCell ref="F4154:F4156"/>
    <mergeCell ref="F4270:F4271"/>
    <mergeCell ref="F4272:F4273"/>
    <mergeCell ref="F4274:F4275"/>
    <mergeCell ref="F4291:F4293"/>
    <mergeCell ref="F4177:F4178"/>
    <mergeCell ref="F4268:F4269"/>
    <mergeCell ref="F4276:F4278"/>
    <mergeCell ref="F4279:F4281"/>
    <mergeCell ref="F4282:F4283"/>
    <mergeCell ref="F4284:F4286"/>
    <mergeCell ref="F4218:F4220"/>
    <mergeCell ref="F4264:F4265"/>
    <mergeCell ref="F4266:F4267"/>
    <mergeCell ref="F4303:F4304"/>
    <mergeCell ref="F4189:F4190"/>
    <mergeCell ref="F4191:F4192"/>
    <mergeCell ref="F4193:F4194"/>
    <mergeCell ref="F4195:F4196"/>
    <mergeCell ref="F4197:F4198"/>
    <mergeCell ref="F4199:F4200"/>
    <mergeCell ref="F4460:F4462"/>
    <mergeCell ref="F4433:F4434"/>
    <mergeCell ref="F4442:F4443"/>
    <mergeCell ref="F4415:F4417"/>
    <mergeCell ref="F4444:F4445"/>
    <mergeCell ref="F4430:F4432"/>
    <mergeCell ref="F4448:F4450"/>
    <mergeCell ref="F4451:F4453"/>
    <mergeCell ref="F4454:F4456"/>
    <mergeCell ref="F4300:F4302"/>
    <mergeCell ref="F4234:F4236"/>
    <mergeCell ref="F4225:F4227"/>
    <mergeCell ref="F4228:F4230"/>
    <mergeCell ref="F4231:F4233"/>
    <mergeCell ref="F4402:F4403"/>
    <mergeCell ref="F4404:F4405"/>
    <mergeCell ref="F4243:F4245"/>
    <mergeCell ref="F4246:F4248"/>
    <mergeCell ref="F4249:F4251"/>
    <mergeCell ref="F4252:F4253"/>
    <mergeCell ref="F4314:F4316"/>
    <mergeCell ref="F4317:F4319"/>
    <mergeCell ref="F4320:F4322"/>
    <mergeCell ref="F4323:F4324"/>
    <mergeCell ref="F4331:F4333"/>
    <mergeCell ref="F4334:F4336"/>
    <mergeCell ref="F4337:F4339"/>
    <mergeCell ref="F4340:F4342"/>
    <mergeCell ref="F4343:F4345"/>
    <mergeCell ref="F4346:F4348"/>
    <mergeCell ref="F4349:F4350"/>
    <mergeCell ref="F4325:F4327"/>
    <mergeCell ref="F4396:F4398"/>
    <mergeCell ref="F4399:F4401"/>
    <mergeCell ref="F4412:F4414"/>
    <mergeCell ref="F4406:F4407"/>
    <mergeCell ref="F4410:F4411"/>
    <mergeCell ref="F4421:F4423"/>
    <mergeCell ref="F4544:F4545"/>
    <mergeCell ref="F4555:F4556"/>
    <mergeCell ref="F4516:F4517"/>
    <mergeCell ref="F4351:F4352"/>
    <mergeCell ref="F4424:F4426"/>
    <mergeCell ref="F4427:F4429"/>
    <mergeCell ref="F4463:F4464"/>
    <mergeCell ref="F4435:F4436"/>
    <mergeCell ref="F4437:F4439"/>
    <mergeCell ref="F4440:F4441"/>
    <mergeCell ref="F4355:F4356"/>
    <mergeCell ref="F4357:F4358"/>
    <mergeCell ref="F4359:F4360"/>
    <mergeCell ref="F4361:F4362"/>
    <mergeCell ref="F4363:F4364"/>
    <mergeCell ref="F4365:F4366"/>
    <mergeCell ref="F4367:F4368"/>
    <mergeCell ref="F4369:F4370"/>
    <mergeCell ref="F4371:F4374"/>
    <mergeCell ref="F4446:F4447"/>
    <mergeCell ref="F4375:F4377"/>
    <mergeCell ref="F4378:F4380"/>
    <mergeCell ref="F4381:F4383"/>
    <mergeCell ref="F4384:F4386"/>
    <mergeCell ref="F4387:F4389"/>
    <mergeCell ref="F4457:F4459"/>
    <mergeCell ref="F4465:F4466"/>
    <mergeCell ref="F4487:F4488"/>
    <mergeCell ref="F4690:F4691"/>
    <mergeCell ref="F4692:F4693"/>
    <mergeCell ref="F4467:F4469"/>
    <mergeCell ref="F4581:F4583"/>
    <mergeCell ref="F4470:F4471"/>
    <mergeCell ref="F4551:F4552"/>
    <mergeCell ref="F4590:F4591"/>
    <mergeCell ref="F4698:F4699"/>
    <mergeCell ref="F4700:F4701"/>
    <mergeCell ref="F4702:F4703"/>
    <mergeCell ref="F4557:F4559"/>
    <mergeCell ref="F4418:F4420"/>
    <mergeCell ref="F4472:F4474"/>
    <mergeCell ref="F4310:F4311"/>
    <mergeCell ref="F4312:F4313"/>
    <mergeCell ref="F4408:F4409"/>
    <mergeCell ref="F4553:F4554"/>
    <mergeCell ref="F4560:F4562"/>
    <mergeCell ref="F4563:F4565"/>
    <mergeCell ref="F4566:F4568"/>
    <mergeCell ref="F4569:F4571"/>
    <mergeCell ref="F4572:F4574"/>
    <mergeCell ref="F4501:F4502"/>
    <mergeCell ref="F4522:F4523"/>
    <mergeCell ref="F4524:F4525"/>
    <mergeCell ref="F4526:F4527"/>
    <mergeCell ref="F4528:F4529"/>
    <mergeCell ref="F4530:F4531"/>
    <mergeCell ref="F4390:F4392"/>
    <mergeCell ref="F4393:F4395"/>
    <mergeCell ref="F4503:F4504"/>
    <mergeCell ref="F4505:F4506"/>
    <mergeCell ref="F4507:F4509"/>
    <mergeCell ref="F4518:F4519"/>
    <mergeCell ref="F4520:F4521"/>
    <mergeCell ref="F4534:F4535"/>
    <mergeCell ref="F4536:F4537"/>
    <mergeCell ref="F4538:F4540"/>
    <mergeCell ref="F4541:F4543"/>
    <mergeCell ref="F4546:F4548"/>
    <mergeCell ref="F4672:F4674"/>
    <mergeCell ref="F4678:F4680"/>
    <mergeCell ref="F4681:F4683"/>
    <mergeCell ref="F4657:F4659"/>
    <mergeCell ref="F4584:F4586"/>
    <mergeCell ref="F4587:F4589"/>
    <mergeCell ref="F4510:F4512"/>
    <mergeCell ref="F4513:F4515"/>
    <mergeCell ref="F4651:F4653"/>
    <mergeCell ref="F4654:F4656"/>
    <mergeCell ref="F4786:F4787"/>
    <mergeCell ref="F4788:F4789"/>
    <mergeCell ref="F4790:F4791"/>
    <mergeCell ref="F4792:F4793"/>
    <mergeCell ref="F4794:F4795"/>
    <mergeCell ref="F4796:F4797"/>
    <mergeCell ref="F4798:F4800"/>
    <mergeCell ref="F4801:F4803"/>
    <mergeCell ref="F4868:F4870"/>
    <mergeCell ref="F4823:F4825"/>
    <mergeCell ref="F4826:F4828"/>
    <mergeCell ref="F4829:F4831"/>
    <mergeCell ref="F4733:F4735"/>
    <mergeCell ref="F4804:F4806"/>
    <mergeCell ref="F4807:F4808"/>
    <mergeCell ref="F4809:F4810"/>
    <mergeCell ref="F4811:F4812"/>
    <mergeCell ref="F4813:F4814"/>
    <mergeCell ref="F4815:F4816"/>
    <mergeCell ref="F4817:F4819"/>
    <mergeCell ref="F4820:F4822"/>
    <mergeCell ref="F4832:F4833"/>
    <mergeCell ref="F4834:F4836"/>
    <mergeCell ref="F4837:F4838"/>
    <mergeCell ref="F4839:F4840"/>
    <mergeCell ref="F4774:F4775"/>
    <mergeCell ref="F4776:F4777"/>
    <mergeCell ref="F4768:F4769"/>
    <mergeCell ref="F4742:F4743"/>
    <mergeCell ref="F4871:F4873"/>
    <mergeCell ref="F4874:F4876"/>
    <mergeCell ref="F4877:F4878"/>
    <mergeCell ref="F4879:F4881"/>
    <mergeCell ref="F4882:F4883"/>
    <mergeCell ref="F4884:F4886"/>
    <mergeCell ref="F4887:F4889"/>
    <mergeCell ref="F4890:F4891"/>
    <mergeCell ref="F4841:F4842"/>
    <mergeCell ref="F4843:F4844"/>
    <mergeCell ref="F4845:F4846"/>
    <mergeCell ref="F4847:F4848"/>
    <mergeCell ref="F4849:F4850"/>
    <mergeCell ref="F4851:F4852"/>
    <mergeCell ref="F4853:F4854"/>
    <mergeCell ref="F4855:F4856"/>
    <mergeCell ref="F4857:F4858"/>
    <mergeCell ref="F4859:F4861"/>
    <mergeCell ref="F4862:F4864"/>
    <mergeCell ref="F4865:F4867"/>
    <mergeCell ref="F4892:F4894"/>
    <mergeCell ref="F4895:F4896"/>
    <mergeCell ref="F4897:F4898"/>
    <mergeCell ref="F4899:F4901"/>
    <mergeCell ref="F4902:F4904"/>
    <mergeCell ref="F4905:F4907"/>
    <mergeCell ref="F4908:F4910"/>
    <mergeCell ref="F4911:F4913"/>
    <mergeCell ref="F4914:F4916"/>
    <mergeCell ref="F4917:F4919"/>
    <mergeCell ref="F4920:F4921"/>
    <mergeCell ref="F4922:F4924"/>
    <mergeCell ref="F4925:F4926"/>
    <mergeCell ref="F4927:F4928"/>
    <mergeCell ref="F4929:F4930"/>
    <mergeCell ref="F4931:F4932"/>
    <mergeCell ref="F4933:F4934"/>
    <mergeCell ref="F4935:F4936"/>
    <mergeCell ref="F4937:F4938"/>
    <mergeCell ref="F4939:F4940"/>
    <mergeCell ref="F4941:F4942"/>
    <mergeCell ref="F4943:F4944"/>
    <mergeCell ref="F4945:F4946"/>
    <mergeCell ref="F4947:F4949"/>
    <mergeCell ref="F4950:F4952"/>
    <mergeCell ref="F4953:F4955"/>
    <mergeCell ref="F4956:F4957"/>
    <mergeCell ref="F4958:F4959"/>
    <mergeCell ref="F4960:F4961"/>
    <mergeCell ref="F4962:F4963"/>
    <mergeCell ref="F4964:F4965"/>
    <mergeCell ref="F4966:F4967"/>
    <mergeCell ref="F4968:F4969"/>
    <mergeCell ref="F4970:F4971"/>
    <mergeCell ref="F4972:F4973"/>
    <mergeCell ref="F4974:F4975"/>
    <mergeCell ref="F4976:F4977"/>
    <mergeCell ref="F4978:F4980"/>
    <mergeCell ref="F4981:F4982"/>
    <mergeCell ref="F4983:F4985"/>
    <mergeCell ref="F4986:F4988"/>
    <mergeCell ref="F4989:F4991"/>
    <mergeCell ref="F4992:F4994"/>
    <mergeCell ref="F4995:F4996"/>
    <mergeCell ref="F4997:F4998"/>
    <mergeCell ref="F4999:F5000"/>
    <mergeCell ref="F5001:F5002"/>
    <mergeCell ref="F5003:F5004"/>
    <mergeCell ref="F5005:F5006"/>
    <mergeCell ref="F5007:F5008"/>
    <mergeCell ref="F5009:F5010"/>
    <mergeCell ref="F5011:F5012"/>
    <mergeCell ref="F5013:F5014"/>
    <mergeCell ref="F5015:F5016"/>
    <mergeCell ref="F5017:F5019"/>
    <mergeCell ref="F5020:F5022"/>
    <mergeCell ref="F5023:F5025"/>
    <mergeCell ref="F5026:F5028"/>
    <mergeCell ref="F5029:F5031"/>
    <mergeCell ref="F5032:F5034"/>
    <mergeCell ref="F5035:F5037"/>
    <mergeCell ref="F5038:F5040"/>
    <mergeCell ref="F5041:F5043"/>
    <mergeCell ref="F5044:F5045"/>
    <mergeCell ref="F5046:F5048"/>
    <mergeCell ref="F5049:F5050"/>
    <mergeCell ref="F5051:F5052"/>
    <mergeCell ref="F5053:F5058"/>
    <mergeCell ref="F5059:F5060"/>
    <mergeCell ref="F5061:F5063"/>
    <mergeCell ref="F5064:F5066"/>
    <mergeCell ref="F5067:F5069"/>
    <mergeCell ref="F5070:F5072"/>
    <mergeCell ref="F5073:F5074"/>
    <mergeCell ref="F5075:F5076"/>
    <mergeCell ref="F5077:F5078"/>
    <mergeCell ref="F5079:F5080"/>
    <mergeCell ref="F5081:F5082"/>
    <mergeCell ref="F5083:F5084"/>
    <mergeCell ref="F5085:F5086"/>
    <mergeCell ref="F5087:F5088"/>
    <mergeCell ref="F5089:F5090"/>
    <mergeCell ref="F5091:F5092"/>
    <mergeCell ref="F5093:F5094"/>
    <mergeCell ref="F5095:F5096"/>
    <mergeCell ref="F5097:F5098"/>
    <mergeCell ref="F5099:F5100"/>
    <mergeCell ref="F5101:F5102"/>
    <mergeCell ref="F5103:F5105"/>
    <mergeCell ref="F5106:F5108"/>
    <mergeCell ref="F5109:F5111"/>
    <mergeCell ref="F5112:F5114"/>
    <mergeCell ref="F5115:F5117"/>
    <mergeCell ref="F5118:F5120"/>
    <mergeCell ref="F5121:F5123"/>
    <mergeCell ref="F5124:F5126"/>
    <mergeCell ref="F5127:F5129"/>
    <mergeCell ref="F5130:F5131"/>
    <mergeCell ref="F5132:F5134"/>
    <mergeCell ref="F5135:F5137"/>
    <mergeCell ref="F5138:F5139"/>
    <mergeCell ref="F5140:F5141"/>
    <mergeCell ref="F5142:F5143"/>
    <mergeCell ref="F5144:F5145"/>
    <mergeCell ref="F5146:F5148"/>
    <mergeCell ref="F5149:F5150"/>
    <mergeCell ref="F5151:F5152"/>
    <mergeCell ref="F5153:F5154"/>
    <mergeCell ref="F5155:F5156"/>
    <mergeCell ref="F5157:F5158"/>
    <mergeCell ref="F5159:F5160"/>
    <mergeCell ref="F5161:F5162"/>
    <mergeCell ref="F5163:F5164"/>
    <mergeCell ref="F5165:F5166"/>
    <mergeCell ref="F5167:F5168"/>
    <mergeCell ref="F5169:F5170"/>
    <mergeCell ref="F5171:F5173"/>
    <mergeCell ref="F5174:F5176"/>
    <mergeCell ref="F5177:F5178"/>
    <mergeCell ref="F5179:F5181"/>
    <mergeCell ref="F5182:F5184"/>
    <mergeCell ref="F5185:F5187"/>
    <mergeCell ref="F5188:F5190"/>
    <mergeCell ref="F5191:F5193"/>
    <mergeCell ref="F5194:F5196"/>
    <mergeCell ref="F5197:F5199"/>
    <mergeCell ref="F5200:F5202"/>
    <mergeCell ref="F5203:F5205"/>
    <mergeCell ref="F5206:F5208"/>
    <mergeCell ref="F5209:F5211"/>
    <mergeCell ref="F5212:F5213"/>
    <mergeCell ref="F5214:F5216"/>
    <mergeCell ref="F5217:F5218"/>
    <mergeCell ref="F5219:F5221"/>
    <mergeCell ref="F5222:F5224"/>
    <mergeCell ref="F5225:F5227"/>
    <mergeCell ref="F5228:F5230"/>
    <mergeCell ref="F5231:F5233"/>
    <mergeCell ref="F5234:F5236"/>
    <mergeCell ref="F5237:F5238"/>
    <mergeCell ref="F5239:F5240"/>
    <mergeCell ref="F5241:F5242"/>
    <mergeCell ref="F5243:F5244"/>
    <mergeCell ref="F5245:F5246"/>
    <mergeCell ref="F5247:F5248"/>
    <mergeCell ref="F5249:F5250"/>
    <mergeCell ref="F5251:F5252"/>
    <mergeCell ref="F5253:F5254"/>
    <mergeCell ref="F5255:F5256"/>
    <mergeCell ref="F5343:F5344"/>
    <mergeCell ref="F5345:F5346"/>
    <mergeCell ref="F5347:F5348"/>
    <mergeCell ref="F5349:F5350"/>
    <mergeCell ref="F5257:F5258"/>
    <mergeCell ref="F5259:F5261"/>
    <mergeCell ref="F5262:F5264"/>
    <mergeCell ref="F5265:F5267"/>
    <mergeCell ref="F5268:F5270"/>
    <mergeCell ref="F5271:F5273"/>
    <mergeCell ref="F5274:F5276"/>
    <mergeCell ref="F5277:F5279"/>
    <mergeCell ref="F5280:F5281"/>
    <mergeCell ref="F5282:F5283"/>
    <mergeCell ref="F5284:F5285"/>
    <mergeCell ref="F5286:F5287"/>
    <mergeCell ref="F5288:F5290"/>
    <mergeCell ref="F5291:F5292"/>
    <mergeCell ref="F5307:F5308"/>
    <mergeCell ref="F5418:F5420"/>
    <mergeCell ref="F5424:F5425"/>
    <mergeCell ref="F5462:F5464"/>
    <mergeCell ref="F5465:F5467"/>
    <mergeCell ref="F5452:F5453"/>
    <mergeCell ref="F5335:F5337"/>
    <mergeCell ref="F5355:F5356"/>
    <mergeCell ref="F5338:F5340"/>
    <mergeCell ref="F5357:F5358"/>
    <mergeCell ref="F5353:F5354"/>
    <mergeCell ref="F5370:F5371"/>
    <mergeCell ref="F5382:F5383"/>
    <mergeCell ref="F5363:F5364"/>
    <mergeCell ref="F5434:F5435"/>
    <mergeCell ref="F5380:F5381"/>
    <mergeCell ref="F5436:F5437"/>
    <mergeCell ref="F5438:F5439"/>
    <mergeCell ref="F5440:F5441"/>
    <mergeCell ref="F5442:F5443"/>
    <mergeCell ref="F5351:F5352"/>
    <mergeCell ref="F5446:F5447"/>
    <mergeCell ref="F5448:F5449"/>
    <mergeCell ref="F5450:F5451"/>
    <mergeCell ref="F5421:F5423"/>
    <mergeCell ref="F5365:F5367"/>
    <mergeCell ref="F5321:F5322"/>
    <mergeCell ref="F5323:F5324"/>
    <mergeCell ref="F5341:F5342"/>
    <mergeCell ref="F5293:F5295"/>
    <mergeCell ref="F5296:F5297"/>
    <mergeCell ref="F5298:F5299"/>
    <mergeCell ref="F5300:F5301"/>
    <mergeCell ref="F5302:F5304"/>
    <mergeCell ref="F5305:F5306"/>
    <mergeCell ref="F5460:F5461"/>
    <mergeCell ref="F5479:F5480"/>
    <mergeCell ref="F5313:F5314"/>
    <mergeCell ref="F5315:F5316"/>
    <mergeCell ref="F5309:F5310"/>
    <mergeCell ref="F5311:F5312"/>
    <mergeCell ref="F5317:F5318"/>
    <mergeCell ref="F5319:F5320"/>
    <mergeCell ref="F5359:F5360"/>
    <mergeCell ref="F5361:F5362"/>
    <mergeCell ref="F5325:F5326"/>
    <mergeCell ref="F5327:F5329"/>
    <mergeCell ref="F5393:F5394"/>
    <mergeCell ref="F5404:F5405"/>
    <mergeCell ref="F5471:F5473"/>
    <mergeCell ref="F5476:F5478"/>
    <mergeCell ref="F5474:F5475"/>
    <mergeCell ref="F5372:F5373"/>
    <mergeCell ref="F5330:F5332"/>
    <mergeCell ref="F5333:F5334"/>
    <mergeCell ref="F5426:F5427"/>
    <mergeCell ref="F5428:F5429"/>
    <mergeCell ref="F5444:F5445"/>
    <mergeCell ref="F5503:F5504"/>
    <mergeCell ref="F5505:F5506"/>
    <mergeCell ref="F5507:F5508"/>
    <mergeCell ref="F5509:F5510"/>
    <mergeCell ref="F5511:F5512"/>
    <mergeCell ref="F5493:F5495"/>
    <mergeCell ref="F5457:F5459"/>
    <mergeCell ref="F5368:F5369"/>
    <mergeCell ref="F5386:F5387"/>
    <mergeCell ref="F5388:F5389"/>
    <mergeCell ref="F5409:F5411"/>
    <mergeCell ref="F5468:F5470"/>
    <mergeCell ref="F5484:F5485"/>
    <mergeCell ref="F5384:F5385"/>
    <mergeCell ref="F5390:F5392"/>
    <mergeCell ref="F5496:F5498"/>
    <mergeCell ref="F5499:F5500"/>
    <mergeCell ref="F5454:F5456"/>
    <mergeCell ref="F5490:F5492"/>
    <mergeCell ref="F5481:F5483"/>
    <mergeCell ref="F5430:F5431"/>
    <mergeCell ref="F5432:F5433"/>
    <mergeCell ref="F5395:F5397"/>
    <mergeCell ref="F5398:F5400"/>
    <mergeCell ref="F5401:F5403"/>
    <mergeCell ref="F5406:F5408"/>
    <mergeCell ref="F5412:F5414"/>
    <mergeCell ref="F5377:F5379"/>
    <mergeCell ref="F5374:F5376"/>
    <mergeCell ref="F5486:F5487"/>
    <mergeCell ref="F5488:F5489"/>
    <mergeCell ref="F5415:F5417"/>
    <mergeCell ref="F5816:F5817"/>
    <mergeCell ref="F5822:F5823"/>
    <mergeCell ref="F5824:F5825"/>
    <mergeCell ref="F5826:F5827"/>
    <mergeCell ref="F5828:F5829"/>
    <mergeCell ref="F5830:F5831"/>
    <mergeCell ref="F5832:F5833"/>
    <mergeCell ref="F5834:F5835"/>
    <mergeCell ref="F5885:F5887"/>
    <mergeCell ref="F5841:F5843"/>
    <mergeCell ref="F5836:F5838"/>
    <mergeCell ref="F5803:F5804"/>
    <mergeCell ref="F5808:F5809"/>
    <mergeCell ref="F5810:F5811"/>
    <mergeCell ref="F5760:F5761"/>
    <mergeCell ref="F5789:F5793"/>
    <mergeCell ref="F5782:F5783"/>
    <mergeCell ref="F5784:F5785"/>
    <mergeCell ref="F5797:F5799"/>
    <mergeCell ref="F5800:F5802"/>
    <mergeCell ref="F5805:F5807"/>
    <mergeCell ref="F5786:F5788"/>
    <mergeCell ref="F5794:F5796"/>
    <mergeCell ref="F5762:F5763"/>
    <mergeCell ref="F5741:F5743"/>
    <mergeCell ref="F6284:F6285"/>
    <mergeCell ref="F6286:F6287"/>
    <mergeCell ref="F6288:F6289"/>
    <mergeCell ref="F6290:F6291"/>
    <mergeCell ref="F6292:F6293"/>
    <mergeCell ref="F6294:F6295"/>
    <mergeCell ref="F6296:F6297"/>
    <mergeCell ref="F6248:F6250"/>
    <mergeCell ref="F6235:F6237"/>
    <mergeCell ref="F6241:F6243"/>
    <mergeCell ref="F6056:F6058"/>
    <mergeCell ref="F5780:F5781"/>
    <mergeCell ref="F5900:F5901"/>
    <mergeCell ref="F5902:F5903"/>
    <mergeCell ref="F5904:F5905"/>
    <mergeCell ref="F5818:F5819"/>
    <mergeCell ref="F5820:F5821"/>
    <mergeCell ref="F6026:F6028"/>
    <mergeCell ref="F6029:F6031"/>
    <mergeCell ref="F6020:F6022"/>
    <mergeCell ref="F5965:F5967"/>
    <mergeCell ref="F5968:F5970"/>
    <mergeCell ref="F5971:F5972"/>
    <mergeCell ref="F5981:F5983"/>
    <mergeCell ref="F5883:F5884"/>
    <mergeCell ref="F5906:F5907"/>
    <mergeCell ref="F5908:F5909"/>
    <mergeCell ref="F5910:F5911"/>
    <mergeCell ref="F5921:F5923"/>
    <mergeCell ref="F5924:F5926"/>
    <mergeCell ref="F5927:F5929"/>
    <mergeCell ref="F5960:F5961"/>
    <mergeCell ref="F6147:F6148"/>
    <mergeCell ref="F6149:F6150"/>
    <mergeCell ref="F6151:F6152"/>
    <mergeCell ref="F6153:F6154"/>
    <mergeCell ref="F6129:F6130"/>
    <mergeCell ref="F6112:F6114"/>
    <mergeCell ref="F6115:F6117"/>
    <mergeCell ref="F6118:F6119"/>
    <mergeCell ref="F6120:F6122"/>
    <mergeCell ref="F6100:F6104"/>
    <mergeCell ref="F6105:F6109"/>
    <mergeCell ref="F6110:F6111"/>
    <mergeCell ref="F6123:F6124"/>
    <mergeCell ref="F6125:F6126"/>
    <mergeCell ref="F6127:F6128"/>
    <mergeCell ref="F6131:F6132"/>
    <mergeCell ref="F6133:F6134"/>
    <mergeCell ref="F6135:F6136"/>
    <mergeCell ref="F6137:F6138"/>
    <mergeCell ref="F6139:F6140"/>
    <mergeCell ref="F6141:F6142"/>
    <mergeCell ref="F6040:F6041"/>
    <mergeCell ref="F6042:F6043"/>
    <mergeCell ref="F6044:F6045"/>
    <mergeCell ref="F6046:F6047"/>
    <mergeCell ref="F6048:F6049"/>
    <mergeCell ref="F6050:F6051"/>
    <mergeCell ref="F6052:F6053"/>
    <mergeCell ref="F6054:F6055"/>
    <mergeCell ref="F6010:F6012"/>
    <mergeCell ref="F6023:F6025"/>
    <mergeCell ref="F6429:F6430"/>
    <mergeCell ref="F6431:F6432"/>
    <mergeCell ref="F6433:F6434"/>
    <mergeCell ref="F6435:F6436"/>
    <mergeCell ref="F6493:F6494"/>
    <mergeCell ref="F6495:F6496"/>
    <mergeCell ref="F6497:F6498"/>
    <mergeCell ref="F6499:F6500"/>
    <mergeCell ref="F6638:F6640"/>
    <mergeCell ref="F6641:F6642"/>
    <mergeCell ref="F6643:F6644"/>
    <mergeCell ref="F6645:F6646"/>
    <mergeCell ref="F6647:F6648"/>
    <mergeCell ref="F6649:F6650"/>
    <mergeCell ref="F6651:F6652"/>
    <mergeCell ref="F6653:F6654"/>
    <mergeCell ref="F6655:F6656"/>
    <mergeCell ref="F6437:F6438"/>
    <mergeCell ref="F6439:F6440"/>
    <mergeCell ref="F6469:F6471"/>
    <mergeCell ref="F6472:F6473"/>
    <mergeCell ref="F6483:F6484"/>
    <mergeCell ref="F6485:F6486"/>
    <mergeCell ref="F6487:F6488"/>
    <mergeCell ref="F6489:F6490"/>
    <mergeCell ref="F6491:F6492"/>
    <mergeCell ref="F6447:F6450"/>
    <mergeCell ref="F6441:F6443"/>
    <mergeCell ref="F6444:F6446"/>
    <mergeCell ref="F6533:F6535"/>
    <mergeCell ref="F6540:F6542"/>
    <mergeCell ref="F6543:F6545"/>
    <mergeCell ref="F6902:F6904"/>
    <mergeCell ref="F6924:F6926"/>
    <mergeCell ref="F6927:F6929"/>
    <mergeCell ref="F6935:F6937"/>
    <mergeCell ref="F6885:F6886"/>
    <mergeCell ref="F6887:F6889"/>
    <mergeCell ref="F6867:F6868"/>
    <mergeCell ref="F6905:F6906"/>
    <mergeCell ref="F6916:F6917"/>
    <mergeCell ref="F6940:F6941"/>
    <mergeCell ref="F6930:F6932"/>
    <mergeCell ref="F6933:F6934"/>
    <mergeCell ref="F7001:F7003"/>
    <mergeCell ref="F7017:F7018"/>
    <mergeCell ref="F7019:F7020"/>
    <mergeCell ref="F7021:F7022"/>
    <mergeCell ref="F6948:F6949"/>
    <mergeCell ref="F6950:F6951"/>
    <mergeCell ref="F6952:F6953"/>
    <mergeCell ref="F6954:F6955"/>
    <mergeCell ref="F6956:F6957"/>
    <mergeCell ref="F6958:F6959"/>
    <mergeCell ref="F6960:F6961"/>
    <mergeCell ref="F6962:F6963"/>
    <mergeCell ref="F6964:F6965"/>
    <mergeCell ref="F6966:F6967"/>
    <mergeCell ref="F6968:F6969"/>
    <mergeCell ref="F6970:F6971"/>
    <mergeCell ref="F6945:F6947"/>
    <mergeCell ref="F6875:F6876"/>
    <mergeCell ref="F6877:F6878"/>
    <mergeCell ref="F6879:F6880"/>
    <mergeCell ref="F7035:F7036"/>
    <mergeCell ref="F7037:F7038"/>
    <mergeCell ref="F6983:F6985"/>
    <mergeCell ref="F6995:F6997"/>
    <mergeCell ref="F6986:F6988"/>
    <mergeCell ref="F6989:F6990"/>
    <mergeCell ref="F6998:F7000"/>
    <mergeCell ref="F6991:F6992"/>
    <mergeCell ref="F6993:F6994"/>
    <mergeCell ref="F6981:F6982"/>
    <mergeCell ref="F6972:F6974"/>
    <mergeCell ref="F7014:F7016"/>
    <mergeCell ref="F6975:F6977"/>
    <mergeCell ref="F6978:F6980"/>
    <mergeCell ref="F7004:F7005"/>
    <mergeCell ref="F7006:F7008"/>
    <mergeCell ref="F7009:F7011"/>
    <mergeCell ref="F7012:F7013"/>
    <mergeCell ref="F7065:F7067"/>
    <mergeCell ref="F7068:F7070"/>
    <mergeCell ref="F7058:F7059"/>
    <mergeCell ref="F7060:F7061"/>
    <mergeCell ref="F7071:F7072"/>
    <mergeCell ref="F7129:F7131"/>
    <mergeCell ref="F7111:F7113"/>
    <mergeCell ref="F7043:F7045"/>
    <mergeCell ref="F7046:F7048"/>
    <mergeCell ref="F7049:F7051"/>
    <mergeCell ref="F7052:F7054"/>
    <mergeCell ref="F7055:F7057"/>
    <mergeCell ref="F7062:F7064"/>
    <mergeCell ref="F7144:F7145"/>
    <mergeCell ref="F7023:F7024"/>
    <mergeCell ref="F7039:F7040"/>
    <mergeCell ref="F7083:F7084"/>
    <mergeCell ref="F7085:F7086"/>
    <mergeCell ref="F7073:F7074"/>
    <mergeCell ref="F7075:F7077"/>
    <mergeCell ref="F7078:F7080"/>
    <mergeCell ref="F7081:F7082"/>
    <mergeCell ref="F7087:F7089"/>
    <mergeCell ref="F7090:F7092"/>
    <mergeCell ref="F7093:F7095"/>
    <mergeCell ref="F7096:F7098"/>
    <mergeCell ref="F7025:F7026"/>
    <mergeCell ref="F7027:F7028"/>
    <mergeCell ref="F7029:F7030"/>
    <mergeCell ref="F7031:F7032"/>
    <mergeCell ref="F7033:F7034"/>
    <mergeCell ref="F7099:F7101"/>
    <mergeCell ref="F7102:F7104"/>
    <mergeCell ref="F7105:F7107"/>
    <mergeCell ref="F7108:F7110"/>
    <mergeCell ref="F7114:F7116"/>
    <mergeCell ref="F7148:F7149"/>
    <mergeCell ref="F7150:F7151"/>
    <mergeCell ref="F7152:F7153"/>
    <mergeCell ref="F7154:F7155"/>
    <mergeCell ref="F7156:F7157"/>
    <mergeCell ref="F7158:F7159"/>
    <mergeCell ref="F7160:F7161"/>
    <mergeCell ref="F7162:F7163"/>
    <mergeCell ref="F7199:F7201"/>
    <mergeCell ref="F7229:F7231"/>
    <mergeCell ref="F7237:F7241"/>
    <mergeCell ref="F7232:F7236"/>
    <mergeCell ref="F7197:F7198"/>
    <mergeCell ref="F7189:F7190"/>
    <mergeCell ref="F7202:F7204"/>
    <mergeCell ref="F7134:F7135"/>
    <mergeCell ref="F7136:F7137"/>
    <mergeCell ref="F7138:F7139"/>
    <mergeCell ref="F7140:F7141"/>
    <mergeCell ref="F7146:F7147"/>
    <mergeCell ref="F7242:F7244"/>
    <mergeCell ref="F7245:F7247"/>
    <mergeCell ref="F7248:F7250"/>
    <mergeCell ref="F7142:F7143"/>
    <mergeCell ref="F7041:F7042"/>
    <mergeCell ref="F7117:F7119"/>
    <mergeCell ref="F7120:F7122"/>
    <mergeCell ref="F7123:F7125"/>
    <mergeCell ref="F7126:F7128"/>
    <mergeCell ref="F7132:F7133"/>
    <mergeCell ref="F7172:F7174"/>
    <mergeCell ref="F7175:F7177"/>
    <mergeCell ref="F7178:F7180"/>
    <mergeCell ref="F7181:F7183"/>
    <mergeCell ref="F7184:F7186"/>
    <mergeCell ref="F7213:F7214"/>
    <mergeCell ref="F7217:F7218"/>
    <mergeCell ref="F7219:F7221"/>
    <mergeCell ref="F7222:F7223"/>
    <mergeCell ref="F7224:F7225"/>
    <mergeCell ref="F7207:F7209"/>
    <mergeCell ref="F7210:F7212"/>
    <mergeCell ref="F7226:F7228"/>
    <mergeCell ref="F7205:F7206"/>
    <mergeCell ref="F7215:F7216"/>
    <mergeCell ref="F7164:F7166"/>
    <mergeCell ref="F7167:F7169"/>
    <mergeCell ref="F7187:F7188"/>
    <mergeCell ref="F7193:F7194"/>
    <mergeCell ref="F7170:F7171"/>
    <mergeCell ref="F7191:F7192"/>
    <mergeCell ref="F7195:F7196"/>
    <mergeCell ref="F7253:F7254"/>
    <mergeCell ref="F7255:F7256"/>
    <mergeCell ref="F7251:F7252"/>
    <mergeCell ref="F7394:F7396"/>
    <mergeCell ref="F7397:F7399"/>
    <mergeCell ref="F7400:F7402"/>
    <mergeCell ref="F7403:F7405"/>
    <mergeCell ref="F7406:F7408"/>
    <mergeCell ref="F7409:F7411"/>
    <mergeCell ref="F7416:F7418"/>
    <mergeCell ref="F7337:F7339"/>
    <mergeCell ref="F7340:F7341"/>
    <mergeCell ref="F7419:F7421"/>
    <mergeCell ref="F7422:F7424"/>
    <mergeCell ref="F7425:F7427"/>
    <mergeCell ref="F7412:F7413"/>
    <mergeCell ref="F7428:F7429"/>
    <mergeCell ref="F7414:F7415"/>
    <mergeCell ref="F7392:F7393"/>
    <mergeCell ref="F7259:F7260"/>
    <mergeCell ref="F7261:F7262"/>
    <mergeCell ref="F7263:F7264"/>
    <mergeCell ref="F7265:F7266"/>
    <mergeCell ref="F7273:F7274"/>
    <mergeCell ref="F7275:F7276"/>
    <mergeCell ref="F7285:F7286"/>
    <mergeCell ref="F7287:F7288"/>
    <mergeCell ref="F7289:F7290"/>
    <mergeCell ref="F7269:F7270"/>
    <mergeCell ref="F7329:F7331"/>
    <mergeCell ref="F7310:F7312"/>
    <mergeCell ref="F7313:F7315"/>
    <mergeCell ref="F7451:F7452"/>
    <mergeCell ref="F7389:F7391"/>
    <mergeCell ref="F7430:F7431"/>
    <mergeCell ref="F7432:F7434"/>
    <mergeCell ref="F7435:F7437"/>
    <mergeCell ref="F7438:F7439"/>
    <mergeCell ref="F7440:F7442"/>
    <mergeCell ref="F7443:F7445"/>
    <mergeCell ref="F7446:F7448"/>
    <mergeCell ref="F7487:F7488"/>
    <mergeCell ref="F7453:F7454"/>
    <mergeCell ref="F7455:F7456"/>
    <mergeCell ref="F7457:F7458"/>
    <mergeCell ref="F7459:F7460"/>
    <mergeCell ref="F7461:F7462"/>
    <mergeCell ref="F7463:F7464"/>
    <mergeCell ref="F7465:F7466"/>
    <mergeCell ref="F7467:F7468"/>
    <mergeCell ref="F7469:F7470"/>
    <mergeCell ref="F7471:F7472"/>
    <mergeCell ref="F7473:F7474"/>
    <mergeCell ref="F7475:F7476"/>
    <mergeCell ref="F7477:F7478"/>
    <mergeCell ref="F7479:F7480"/>
    <mergeCell ref="F7481:F7482"/>
    <mergeCell ref="F7483:F7484"/>
    <mergeCell ref="F7485:F7486"/>
    <mergeCell ref="F7449:F7450"/>
    <mergeCell ref="F7693:F7694"/>
    <mergeCell ref="F7553:F7555"/>
    <mergeCell ref="F7556:F7558"/>
    <mergeCell ref="F7564:F7565"/>
    <mergeCell ref="F7628:F7629"/>
    <mergeCell ref="F7566:F7568"/>
    <mergeCell ref="F7569:F7571"/>
    <mergeCell ref="F7578:F7579"/>
    <mergeCell ref="F7625:F7627"/>
    <mergeCell ref="F7559:F7560"/>
    <mergeCell ref="F7580:F7582"/>
    <mergeCell ref="F7589:F7591"/>
    <mergeCell ref="F7592:F7594"/>
    <mergeCell ref="F7561:F7563"/>
    <mergeCell ref="F7572:F7574"/>
    <mergeCell ref="F7575:F7577"/>
    <mergeCell ref="F7583:F7585"/>
    <mergeCell ref="F7586:F7588"/>
    <mergeCell ref="F7616:F7618"/>
    <mergeCell ref="F7622:F7624"/>
    <mergeCell ref="F7619:F7621"/>
    <mergeCell ref="F7613:F7615"/>
    <mergeCell ref="F7610:F7612"/>
    <mergeCell ref="F7607:F7609"/>
    <mergeCell ref="F7604:F7606"/>
    <mergeCell ref="F7601:F7603"/>
    <mergeCell ref="F7598:F7600"/>
    <mergeCell ref="F7595:F7597"/>
    <mergeCell ref="F7685:F7687"/>
    <mergeCell ref="F7688:F7690"/>
    <mergeCell ref="F7680:F7681"/>
    <mergeCell ref="F7864:F7866"/>
    <mergeCell ref="F7861:F7863"/>
    <mergeCell ref="F7867:F7869"/>
    <mergeCell ref="F7870:F7872"/>
    <mergeCell ref="F7890:F7892"/>
    <mergeCell ref="F7873:F7874"/>
    <mergeCell ref="F7875:F7877"/>
    <mergeCell ref="F7878:F7880"/>
    <mergeCell ref="F7881:F7883"/>
    <mergeCell ref="F7884:F7885"/>
    <mergeCell ref="F7886:F7887"/>
    <mergeCell ref="F7888:F7889"/>
    <mergeCell ref="F7819:F7820"/>
    <mergeCell ref="F7895:F7896"/>
    <mergeCell ref="F7897:F7898"/>
    <mergeCell ref="F7899:F7900"/>
    <mergeCell ref="F7901:F7902"/>
    <mergeCell ref="F7893:F7894"/>
    <mergeCell ref="F7903:F7904"/>
    <mergeCell ref="F7905:F7906"/>
    <mergeCell ref="F7907:F7908"/>
    <mergeCell ref="F7909:F7910"/>
    <mergeCell ref="F7911:F7912"/>
    <mergeCell ref="F7913:F7914"/>
    <mergeCell ref="F7915:F7916"/>
    <mergeCell ref="F7917:F7918"/>
    <mergeCell ref="F7919:F7920"/>
    <mergeCell ref="F7921:F7922"/>
    <mergeCell ref="F7923:F7924"/>
    <mergeCell ref="F7925:F7926"/>
    <mergeCell ref="F7927:F7928"/>
    <mergeCell ref="F7929:F7930"/>
    <mergeCell ref="F7931:F7932"/>
    <mergeCell ref="F7933:F7934"/>
    <mergeCell ref="F7980:F7982"/>
    <mergeCell ref="F7935:F7937"/>
    <mergeCell ref="F7938:F7940"/>
    <mergeCell ref="F7943:F7945"/>
    <mergeCell ref="F7946:F7948"/>
    <mergeCell ref="F7954:F7956"/>
    <mergeCell ref="F7957:F7959"/>
    <mergeCell ref="F7960:F7962"/>
    <mergeCell ref="F7974:F7976"/>
    <mergeCell ref="F7977:F7979"/>
    <mergeCell ref="F8001:F8003"/>
    <mergeCell ref="F8004:F8006"/>
    <mergeCell ref="F8007:F8009"/>
    <mergeCell ref="F8010:F8012"/>
    <mergeCell ref="F7949:F7951"/>
    <mergeCell ref="F7963:F7965"/>
    <mergeCell ref="F7966:F7967"/>
    <mergeCell ref="F7968:F7969"/>
    <mergeCell ref="F7983:F7984"/>
    <mergeCell ref="F7985:F7986"/>
    <mergeCell ref="F7970:F7971"/>
    <mergeCell ref="F7941:F7942"/>
    <mergeCell ref="F7952:F7953"/>
    <mergeCell ref="F7972:F7973"/>
    <mergeCell ref="F7987:F7988"/>
    <mergeCell ref="F7995:F7997"/>
    <mergeCell ref="F8965:F8966"/>
    <mergeCell ref="F7998:F8000"/>
    <mergeCell ref="F7989:F7991"/>
    <mergeCell ref="F7992:F7994"/>
    <mergeCell ref="F8031:F8032"/>
    <mergeCell ref="F8061:F8062"/>
    <mergeCell ref="F8063:F8064"/>
    <mergeCell ref="F8065:F8066"/>
    <mergeCell ref="F8067:F8068"/>
    <mergeCell ref="F8069:F8070"/>
    <mergeCell ref="F8071:F8072"/>
    <mergeCell ref="F8013:F8014"/>
    <mergeCell ref="F8015:F8017"/>
    <mergeCell ref="F8018:F8020"/>
    <mergeCell ref="F8033:F8034"/>
    <mergeCell ref="F8035:F8036"/>
    <mergeCell ref="F8090:F8092"/>
    <mergeCell ref="F8093:F8095"/>
    <mergeCell ref="F8096:F8098"/>
    <mergeCell ref="F8105:F8107"/>
    <mergeCell ref="F8073:F8075"/>
    <mergeCell ref="F8076:F8078"/>
    <mergeCell ref="F8102:F8104"/>
    <mergeCell ref="F8108:F8109"/>
    <mergeCell ref="F8110:F8111"/>
    <mergeCell ref="F8112:F8113"/>
    <mergeCell ref="F8114:F8115"/>
    <mergeCell ref="F8099:F8101"/>
    <mergeCell ref="F8278:F8280"/>
    <mergeCell ref="F8116:F8117"/>
    <mergeCell ref="F8120:F8121"/>
    <mergeCell ref="F8122:F8123"/>
    <mergeCell ref="F8079:F8081"/>
    <mergeCell ref="F8118:F8119"/>
    <mergeCell ref="F8082:F8084"/>
    <mergeCell ref="F8085:F8086"/>
    <mergeCell ref="F8087:F8089"/>
    <mergeCell ref="F8170:F8172"/>
    <mergeCell ref="F8173:F8175"/>
    <mergeCell ref="F8160:F8162"/>
    <mergeCell ref="F8163:F8165"/>
    <mergeCell ref="F8176:F8178"/>
    <mergeCell ref="F8179:F8181"/>
    <mergeCell ref="F8168:F8169"/>
    <mergeCell ref="F8185:F8186"/>
    <mergeCell ref="F8199:F8201"/>
    <mergeCell ref="F8152:F8153"/>
    <mergeCell ref="F8154:F8155"/>
    <mergeCell ref="F8979:F8981"/>
    <mergeCell ref="F9014:F9015"/>
    <mergeCell ref="F9016:F9017"/>
    <mergeCell ref="F9018:F9019"/>
    <mergeCell ref="F9020:F9021"/>
    <mergeCell ref="F8946:F8948"/>
    <mergeCell ref="F8982:F8983"/>
    <mergeCell ref="F8984:F8985"/>
    <mergeCell ref="F8986:F8987"/>
    <mergeCell ref="F8988:F8989"/>
    <mergeCell ref="F8990:F8991"/>
    <mergeCell ref="F8992:F8993"/>
    <mergeCell ref="F8994:F8995"/>
    <mergeCell ref="F8996:F8997"/>
    <mergeCell ref="F8998:F8999"/>
    <mergeCell ref="F9000:F9001"/>
    <mergeCell ref="F9002:F9003"/>
    <mergeCell ref="F9004:F9005"/>
    <mergeCell ref="F9006:F9007"/>
    <mergeCell ref="F9008:F9009"/>
    <mergeCell ref="F9010:F9011"/>
    <mergeCell ref="F9012:F9013"/>
    <mergeCell ref="F8949:F8951"/>
    <mergeCell ref="F8955:F8956"/>
    <mergeCell ref="F8952:F8954"/>
    <mergeCell ref="F8957:F8959"/>
    <mergeCell ref="F8960:F8961"/>
    <mergeCell ref="F8962:F8964"/>
    <mergeCell ref="F8967:F8969"/>
    <mergeCell ref="F8970:F8971"/>
    <mergeCell ref="F8972:F8973"/>
    <mergeCell ref="F8974:F8975"/>
    <mergeCell ref="F9323:F9324"/>
    <mergeCell ref="F9418:F9419"/>
    <mergeCell ref="F9420:F9421"/>
    <mergeCell ref="F9422:F9423"/>
    <mergeCell ref="F9390:F9392"/>
    <mergeCell ref="F9393:F9395"/>
    <mergeCell ref="F9376:F9377"/>
    <mergeCell ref="F9396:F9397"/>
    <mergeCell ref="F9325:F9327"/>
    <mergeCell ref="F9344:F9346"/>
    <mergeCell ref="F9347:F9349"/>
    <mergeCell ref="F9378:F9380"/>
    <mergeCell ref="F9398:F9400"/>
    <mergeCell ref="F9401:F9403"/>
    <mergeCell ref="F9350:F9351"/>
    <mergeCell ref="F9328:F9329"/>
    <mergeCell ref="F9342:F9343"/>
    <mergeCell ref="F9330:F9332"/>
    <mergeCell ref="F9339:F9341"/>
    <mergeCell ref="F9415:F9417"/>
    <mergeCell ref="F9367:F9369"/>
    <mergeCell ref="F9381:F9383"/>
    <mergeCell ref="F9384:F9386"/>
    <mergeCell ref="F9387:F9389"/>
    <mergeCell ref="F9297:F9298"/>
    <mergeCell ref="F9299:F9300"/>
    <mergeCell ref="F9301:F9302"/>
    <mergeCell ref="F9303:F9304"/>
    <mergeCell ref="F9305:F9306"/>
    <mergeCell ref="F9307:F9308"/>
    <mergeCell ref="F9309:F9310"/>
    <mergeCell ref="F9311:F9312"/>
    <mergeCell ref="F9313:F9314"/>
    <mergeCell ref="F9643:F9645"/>
    <mergeCell ref="F9646:F9648"/>
    <mergeCell ref="F9336:F9338"/>
    <mergeCell ref="F9333:F9335"/>
    <mergeCell ref="F9352:F9354"/>
    <mergeCell ref="F9370:F9372"/>
    <mergeCell ref="F9361:F9363"/>
    <mergeCell ref="F9358:F9360"/>
    <mergeCell ref="F9355:F9357"/>
    <mergeCell ref="F9364:F9366"/>
    <mergeCell ref="F9373:F9375"/>
    <mergeCell ref="F9424:F9425"/>
    <mergeCell ref="F9426:F9427"/>
    <mergeCell ref="F9428:F9429"/>
    <mergeCell ref="F9430:F9431"/>
    <mergeCell ref="F9432:F9433"/>
    <mergeCell ref="F9434:F9435"/>
    <mergeCell ref="F9436:F9437"/>
    <mergeCell ref="F9438:F9439"/>
    <mergeCell ref="F9458:F9460"/>
    <mergeCell ref="F9469:F9471"/>
    <mergeCell ref="F9472:F9474"/>
    <mergeCell ref="F9461:F9463"/>
    <mergeCell ref="F9898:F9900"/>
    <mergeCell ref="F9884:F9886"/>
    <mergeCell ref="F9887:F9889"/>
    <mergeCell ref="F9854:F9856"/>
    <mergeCell ref="F9857:F9859"/>
    <mergeCell ref="F9872:F9873"/>
    <mergeCell ref="F9890:F9891"/>
    <mergeCell ref="F9852:F9853"/>
    <mergeCell ref="F9809:F9811"/>
    <mergeCell ref="F9904:F9905"/>
    <mergeCell ref="F9874:F9875"/>
    <mergeCell ref="F9876:F9878"/>
    <mergeCell ref="F9950:F9951"/>
    <mergeCell ref="F9952:F9953"/>
    <mergeCell ref="F9954:F9955"/>
    <mergeCell ref="F9956:F9957"/>
    <mergeCell ref="F9908:F9909"/>
    <mergeCell ref="F9910:F9912"/>
    <mergeCell ref="F9916:F9917"/>
    <mergeCell ref="F9918:F9919"/>
    <mergeCell ref="F9913:F9915"/>
    <mergeCell ref="F9879:F9880"/>
    <mergeCell ref="F9906:F9907"/>
    <mergeCell ref="F9922:F9923"/>
    <mergeCell ref="F9924:F9925"/>
    <mergeCell ref="F9926:F9927"/>
    <mergeCell ref="F9928:F9929"/>
    <mergeCell ref="F9930:F9931"/>
    <mergeCell ref="F9932:F9933"/>
    <mergeCell ref="F9934:F9935"/>
    <mergeCell ref="F9936:F9937"/>
    <mergeCell ref="F9920:F9921"/>
    <mergeCell ref="F9938:F9939"/>
    <mergeCell ref="F10059:F10060"/>
    <mergeCell ref="F10061:F10062"/>
    <mergeCell ref="F10063:F10064"/>
    <mergeCell ref="F10071:F10072"/>
    <mergeCell ref="F9948:F9949"/>
    <mergeCell ref="F10043:F10044"/>
    <mergeCell ref="F10223:F10225"/>
    <mergeCell ref="F10226:F10227"/>
    <mergeCell ref="F10291:F10292"/>
    <mergeCell ref="F10293:F10294"/>
    <mergeCell ref="F10073:F10074"/>
    <mergeCell ref="F10122:F10123"/>
    <mergeCell ref="F10176:F10178"/>
    <mergeCell ref="F10182:F10184"/>
    <mergeCell ref="F10179:F10181"/>
    <mergeCell ref="F10162:F10163"/>
    <mergeCell ref="F10164:F10165"/>
    <mergeCell ref="F10166:F10167"/>
    <mergeCell ref="F10168:F10169"/>
    <mergeCell ref="F10127:F10129"/>
    <mergeCell ref="F10124:F10126"/>
    <mergeCell ref="F10130:F10133"/>
    <mergeCell ref="F10134:F10135"/>
    <mergeCell ref="F10136:F10137"/>
    <mergeCell ref="F10098:F10100"/>
    <mergeCell ref="F10095:F10097"/>
    <mergeCell ref="F10089:F10091"/>
    <mergeCell ref="F10092:F10094"/>
    <mergeCell ref="F10112:F10114"/>
    <mergeCell ref="F10078:F10079"/>
    <mergeCell ref="F10104:F10105"/>
    <mergeCell ref="F10080:F10082"/>
    <mergeCell ref="F10083:F10085"/>
    <mergeCell ref="F10160:F10161"/>
    <mergeCell ref="F10170:F10172"/>
    <mergeCell ref="F10173:F10175"/>
    <mergeCell ref="F10202:F10204"/>
    <mergeCell ref="F10205:F10207"/>
    <mergeCell ref="F10313:F10314"/>
    <mergeCell ref="F10331:F10332"/>
    <mergeCell ref="F10315:F10317"/>
    <mergeCell ref="F10318:F10320"/>
    <mergeCell ref="F10273:F10275"/>
    <mergeCell ref="F10266:F10268"/>
    <mergeCell ref="F10310:F10312"/>
    <mergeCell ref="F10307:F10309"/>
    <mergeCell ref="F10301:F10303"/>
    <mergeCell ref="F10298:F10300"/>
    <mergeCell ref="F10295:F10297"/>
    <mergeCell ref="F10288:F10290"/>
    <mergeCell ref="F10285:F10287"/>
    <mergeCell ref="F10282:F10284"/>
    <mergeCell ref="F10279:F10281"/>
    <mergeCell ref="F10276:F10278"/>
    <mergeCell ref="F10304:F10306"/>
    <mergeCell ref="F10197:F10199"/>
    <mergeCell ref="F10216:F10218"/>
    <mergeCell ref="F10219:F10220"/>
    <mergeCell ref="F10211:F10212"/>
    <mergeCell ref="F10200:F10201"/>
    <mergeCell ref="F10260:F10262"/>
    <mergeCell ref="F10263:F10265"/>
    <mergeCell ref="F10221:F10222"/>
    <mergeCell ref="F10269:F10270"/>
    <mergeCell ref="F10388:F10390"/>
    <mergeCell ref="F10391:F10393"/>
    <mergeCell ref="F10394:F10396"/>
    <mergeCell ref="F10360:F10362"/>
    <mergeCell ref="F10367:F10369"/>
    <mergeCell ref="F10363:F10364"/>
    <mergeCell ref="F10370:F10371"/>
    <mergeCell ref="F10358:F10359"/>
    <mergeCell ref="F10365:F10366"/>
    <mergeCell ref="F10321:F10322"/>
    <mergeCell ref="F10323:F10324"/>
    <mergeCell ref="F10325:F10326"/>
    <mergeCell ref="F10327:F10328"/>
    <mergeCell ref="F10329:F10330"/>
    <mergeCell ref="F10333:F10334"/>
    <mergeCell ref="F10335:F10336"/>
    <mergeCell ref="F10337:F10338"/>
    <mergeCell ref="F10339:F10340"/>
    <mergeCell ref="F10341:F10342"/>
    <mergeCell ref="F10343:F10344"/>
    <mergeCell ref="F10345:F10346"/>
    <mergeCell ref="F10347:F10348"/>
    <mergeCell ref="F10349:F10350"/>
    <mergeCell ref="F10351:F10352"/>
    <mergeCell ref="F10353:F10354"/>
    <mergeCell ref="F10355:F10357"/>
    <mergeCell ref="F10509:F10511"/>
    <mergeCell ref="F10512:F10514"/>
    <mergeCell ref="F10515:F10517"/>
    <mergeCell ref="F10524:F10526"/>
    <mergeCell ref="F10518:F10520"/>
    <mergeCell ref="F10521:F10523"/>
    <mergeCell ref="F10532:F10534"/>
    <mergeCell ref="F10535:F10537"/>
    <mergeCell ref="F10563:F10565"/>
    <mergeCell ref="F10566:F10568"/>
    <mergeCell ref="F10579:F10581"/>
    <mergeCell ref="F10596:F10598"/>
    <mergeCell ref="F10576:F10578"/>
    <mergeCell ref="F10593:F10595"/>
    <mergeCell ref="F10582:F10584"/>
    <mergeCell ref="F10469:F10471"/>
    <mergeCell ref="F10506:F10508"/>
    <mergeCell ref="F10527:F10529"/>
    <mergeCell ref="F10569:F10571"/>
    <mergeCell ref="F10476:F10477"/>
    <mergeCell ref="F10478:F10479"/>
    <mergeCell ref="F10480:F10481"/>
    <mergeCell ref="F10482:F10483"/>
    <mergeCell ref="F10484:F10485"/>
    <mergeCell ref="F10486:F10487"/>
    <mergeCell ref="F10488:F10489"/>
    <mergeCell ref="F10490:F10491"/>
    <mergeCell ref="F10492:F10493"/>
    <mergeCell ref="F10494:F10495"/>
    <mergeCell ref="F10496:F10497"/>
    <mergeCell ref="F10498:F10499"/>
    <mergeCell ref="F10500:F10501"/>
    <mergeCell ref="F10647:F10649"/>
    <mergeCell ref="F10650:F10652"/>
    <mergeCell ref="F10669:F10670"/>
    <mergeCell ref="F10674:F10675"/>
    <mergeCell ref="F10653:F10655"/>
    <mergeCell ref="F10660:F10662"/>
    <mergeCell ref="F10663:F10665"/>
    <mergeCell ref="F10676:F10678"/>
    <mergeCell ref="F10666:F10668"/>
    <mergeCell ref="F10599:F10601"/>
    <mergeCell ref="F10530:F10531"/>
    <mergeCell ref="F10538:F10539"/>
    <mergeCell ref="F10540:F10541"/>
    <mergeCell ref="F10542:F10543"/>
    <mergeCell ref="F10544:F10546"/>
    <mergeCell ref="F10547:F10549"/>
    <mergeCell ref="F10553:F10555"/>
    <mergeCell ref="F10556:F10558"/>
    <mergeCell ref="F10550:F10552"/>
    <mergeCell ref="F10572:F10573"/>
    <mergeCell ref="F10585:F10586"/>
    <mergeCell ref="F10587:F10588"/>
    <mergeCell ref="F10589:F10590"/>
    <mergeCell ref="F10602:F10603"/>
    <mergeCell ref="F10574:F10575"/>
    <mergeCell ref="F10604:F10605"/>
    <mergeCell ref="F10559:F10560"/>
    <mergeCell ref="F10561:F10562"/>
    <mergeCell ref="F10591:F10592"/>
    <mergeCell ref="F10606:F10607"/>
    <mergeCell ref="F10644:F10646"/>
    <mergeCell ref="F10656:F10657"/>
    <mergeCell ref="F10610:F10611"/>
    <mergeCell ref="F10612:F10613"/>
    <mergeCell ref="F10614:F10615"/>
    <mergeCell ref="F10616:F10617"/>
    <mergeCell ref="F10618:F10619"/>
    <mergeCell ref="F10620:F10621"/>
    <mergeCell ref="F10622:F10623"/>
    <mergeCell ref="F10624:F10625"/>
    <mergeCell ref="F10626:F10627"/>
    <mergeCell ref="F10628:F10629"/>
    <mergeCell ref="F10630:F10631"/>
    <mergeCell ref="F10632:F10633"/>
    <mergeCell ref="F10634:F10635"/>
    <mergeCell ref="F10636:F10637"/>
    <mergeCell ref="F10638:F10639"/>
    <mergeCell ref="F10640:F10641"/>
    <mergeCell ref="F10642:F10643"/>
    <mergeCell ref="F10730:F10732"/>
    <mergeCell ref="F10733:F10735"/>
    <mergeCell ref="F10738:F10740"/>
    <mergeCell ref="F10718:F10719"/>
    <mergeCell ref="F10720:F10721"/>
    <mergeCell ref="F10722:F10723"/>
    <mergeCell ref="F10724:F10725"/>
    <mergeCell ref="F10726:F10727"/>
    <mergeCell ref="F10691:F10693"/>
    <mergeCell ref="F10671:F10673"/>
    <mergeCell ref="F10684:F10686"/>
    <mergeCell ref="F10679:F10681"/>
    <mergeCell ref="F10682:F10683"/>
    <mergeCell ref="F10687:F10688"/>
    <mergeCell ref="F10689:F10690"/>
    <mergeCell ref="F10694:F10695"/>
    <mergeCell ref="F10696:F10697"/>
    <mergeCell ref="F10698:F10699"/>
    <mergeCell ref="F10700:F10701"/>
    <mergeCell ref="F10702:F10703"/>
    <mergeCell ref="F10704:F10705"/>
    <mergeCell ref="F10706:F10707"/>
    <mergeCell ref="F10708:F10709"/>
    <mergeCell ref="F10710:F10711"/>
    <mergeCell ref="F10712:F10713"/>
    <mergeCell ref="F10714:F10715"/>
    <mergeCell ref="F10716:F10717"/>
    <mergeCell ref="F10981:F10982"/>
    <mergeCell ref="F10983:F10984"/>
    <mergeCell ref="F10875:F10876"/>
    <mergeCell ref="F10877:F10878"/>
    <mergeCell ref="F10879:F10880"/>
    <mergeCell ref="F10881:F10882"/>
    <mergeCell ref="F10885:F10886"/>
    <mergeCell ref="F10887:F10888"/>
    <mergeCell ref="F10889:F10890"/>
    <mergeCell ref="F10909:F10910"/>
    <mergeCell ref="F10922:F10923"/>
    <mergeCell ref="F10924:F10925"/>
    <mergeCell ref="F10917:F10919"/>
    <mergeCell ref="F10914:F10916"/>
    <mergeCell ref="F10911:F10913"/>
    <mergeCell ref="F10904:F10906"/>
    <mergeCell ref="F10926:F10928"/>
    <mergeCell ref="F10938:F10940"/>
    <mergeCell ref="F10935:F10937"/>
    <mergeCell ref="F10883:F10884"/>
    <mergeCell ref="F10967:F10968"/>
    <mergeCell ref="F10901:F10903"/>
    <mergeCell ref="F10949:F10950"/>
    <mergeCell ref="F10951:F10952"/>
    <mergeCell ref="F11109:F11110"/>
    <mergeCell ref="F11116:F11117"/>
    <mergeCell ref="F11118:F11119"/>
    <mergeCell ref="F11111:F11113"/>
    <mergeCell ref="F11120:F11122"/>
    <mergeCell ref="F11123:F11125"/>
    <mergeCell ref="F11133:F11135"/>
    <mergeCell ref="F11136:F11138"/>
    <mergeCell ref="F11114:F11115"/>
    <mergeCell ref="F11126:F11127"/>
    <mergeCell ref="F11103:F11105"/>
    <mergeCell ref="F11106:F11108"/>
    <mergeCell ref="F11139:F11141"/>
    <mergeCell ref="F11145:F11147"/>
    <mergeCell ref="F11142:F11144"/>
    <mergeCell ref="F11064:F11066"/>
    <mergeCell ref="F11128:F11130"/>
    <mergeCell ref="F11091:F11092"/>
    <mergeCell ref="F11093:F11094"/>
    <mergeCell ref="F11095:F11096"/>
    <mergeCell ref="F11097:F11098"/>
    <mergeCell ref="F11099:F11100"/>
    <mergeCell ref="F11101:F11102"/>
    <mergeCell ref="F11089:F11090"/>
    <mergeCell ref="F11131:F11132"/>
    <mergeCell ref="F11346:F11347"/>
    <mergeCell ref="F11348:F11349"/>
    <mergeCell ref="F11350:F11351"/>
    <mergeCell ref="F11352:F11353"/>
    <mergeCell ref="F11354:F11355"/>
    <mergeCell ref="F11356:F11357"/>
    <mergeCell ref="F11358:F11359"/>
    <mergeCell ref="F11360:F11361"/>
    <mergeCell ref="F11362:F11363"/>
    <mergeCell ref="F11364:F11365"/>
    <mergeCell ref="F11366:F11367"/>
    <mergeCell ref="F11368:F11369"/>
    <mergeCell ref="F11370:F11371"/>
    <mergeCell ref="F11372:F11373"/>
    <mergeCell ref="F11374:F11375"/>
    <mergeCell ref="F11376:F11377"/>
    <mergeCell ref="F11378:F11379"/>
    <mergeCell ref="F11716:F11717"/>
    <mergeCell ref="F11718:F11719"/>
    <mergeCell ref="F11720:F11721"/>
    <mergeCell ref="F11722:F11723"/>
    <mergeCell ref="F11684:F11685"/>
    <mergeCell ref="F11679:F11680"/>
    <mergeCell ref="F11640:F11642"/>
    <mergeCell ref="F11681:F11683"/>
    <mergeCell ref="F11571:F11572"/>
    <mergeCell ref="F11573:F11574"/>
    <mergeCell ref="F11507:F11508"/>
    <mergeCell ref="F11509:F11510"/>
    <mergeCell ref="F11511:F11512"/>
    <mergeCell ref="F11513:F11514"/>
    <mergeCell ref="F11392:F11393"/>
    <mergeCell ref="F11394:F11395"/>
    <mergeCell ref="F11396:F11397"/>
    <mergeCell ref="F11398:F11399"/>
    <mergeCell ref="F11439:F11440"/>
    <mergeCell ref="F11400:F11401"/>
    <mergeCell ref="F11402:F11403"/>
    <mergeCell ref="F11404:F11405"/>
    <mergeCell ref="F11406:F11407"/>
    <mergeCell ref="F11408:F11409"/>
    <mergeCell ref="F11410:F11411"/>
    <mergeCell ref="F11412:F11413"/>
    <mergeCell ref="F11414:F11415"/>
    <mergeCell ref="F11476:F11477"/>
    <mergeCell ref="F11478:F11479"/>
    <mergeCell ref="F11480:F11481"/>
    <mergeCell ref="F11482:F11483"/>
    <mergeCell ref="F11484:F11485"/>
    <mergeCell ref="F11714:F11715"/>
    <mergeCell ref="F11419:F11420"/>
    <mergeCell ref="F11421:F11422"/>
    <mergeCell ref="F11673:F11674"/>
    <mergeCell ref="F11675:F11676"/>
    <mergeCell ref="F11677:F11678"/>
    <mergeCell ref="F11671:F11672"/>
    <mergeCell ref="F11686:F11687"/>
    <mergeCell ref="F11581:F11582"/>
    <mergeCell ref="F11583:F11584"/>
    <mergeCell ref="F11585:F11586"/>
    <mergeCell ref="F11549:F11550"/>
    <mergeCell ref="F11541:F11543"/>
    <mergeCell ref="F11499:F11501"/>
    <mergeCell ref="F11544:F11546"/>
    <mergeCell ref="F11502:F11504"/>
    <mergeCell ref="F11547:F11548"/>
    <mergeCell ref="F11551:F11552"/>
    <mergeCell ref="F11553:F11554"/>
    <mergeCell ref="F11555:F11556"/>
    <mergeCell ref="F11557:F11558"/>
    <mergeCell ref="F11559:F11560"/>
    <mergeCell ref="F11561:F11562"/>
    <mergeCell ref="F11486:F11487"/>
    <mergeCell ref="F11608:F11609"/>
    <mergeCell ref="F11610:F11611"/>
    <mergeCell ref="F11612:F11613"/>
    <mergeCell ref="F11614:F11615"/>
    <mergeCell ref="F11616:F11617"/>
    <mergeCell ref="F11618:F11619"/>
    <mergeCell ref="F11620:F11621"/>
    <mergeCell ref="F11622:F11623"/>
    <mergeCell ref="F11724:F11726"/>
    <mergeCell ref="F11727:F11729"/>
    <mergeCell ref="F11768:F11770"/>
    <mergeCell ref="F11730:F11731"/>
    <mergeCell ref="F11774:F11775"/>
    <mergeCell ref="F11782:F11783"/>
    <mergeCell ref="F11792:F11793"/>
    <mergeCell ref="F11794:F11795"/>
    <mergeCell ref="F11796:F11797"/>
    <mergeCell ref="F11798:F11799"/>
    <mergeCell ref="F11800:F11801"/>
    <mergeCell ref="F11802:F11803"/>
    <mergeCell ref="F11804:F11805"/>
    <mergeCell ref="F11766:F11767"/>
    <mergeCell ref="F11732:F11733"/>
    <mergeCell ref="F11734:F11735"/>
    <mergeCell ref="F11910:F11911"/>
    <mergeCell ref="F11736:F11737"/>
    <mergeCell ref="F11738:F11739"/>
    <mergeCell ref="F11740:F11741"/>
    <mergeCell ref="F11742:F11743"/>
    <mergeCell ref="F11744:F11745"/>
    <mergeCell ref="F11746:F11747"/>
    <mergeCell ref="F11853:F11854"/>
    <mergeCell ref="F11855:F11856"/>
    <mergeCell ref="F11857:F11858"/>
    <mergeCell ref="F11859:F11860"/>
    <mergeCell ref="F11833:F11834"/>
    <mergeCell ref="F11835:F11836"/>
    <mergeCell ref="F11837:F11838"/>
    <mergeCell ref="F11839:F11840"/>
    <mergeCell ref="F11841:F11842"/>
    <mergeCell ref="F11861:F11862"/>
    <mergeCell ref="F11863:F11865"/>
    <mergeCell ref="F11776:F11778"/>
    <mergeCell ref="F11779:F11781"/>
    <mergeCell ref="F11869:F11871"/>
    <mergeCell ref="F11866:F11868"/>
    <mergeCell ref="F11872:F11873"/>
    <mergeCell ref="F11876:F11877"/>
    <mergeCell ref="F11878:F11879"/>
    <mergeCell ref="F11880:F11881"/>
    <mergeCell ref="F11882:F11883"/>
    <mergeCell ref="F11884:F11885"/>
    <mergeCell ref="F11886:F11887"/>
    <mergeCell ref="F11888:F11889"/>
    <mergeCell ref="F11890:F11891"/>
    <mergeCell ref="F11892:F11893"/>
    <mergeCell ref="F11843:F11844"/>
    <mergeCell ref="F11845:F11846"/>
    <mergeCell ref="F11847:F11848"/>
    <mergeCell ref="F11849:F11850"/>
    <mergeCell ref="F11806:F11807"/>
    <mergeCell ref="F11808:F11809"/>
    <mergeCell ref="F11810:F11811"/>
    <mergeCell ref="F11812:F11813"/>
    <mergeCell ref="F11814:F11815"/>
    <mergeCell ref="F11816:F11817"/>
    <mergeCell ref="F11784:F11785"/>
    <mergeCell ref="F11786:F11787"/>
    <mergeCell ref="F11788:F11789"/>
    <mergeCell ref="F11790:F11791"/>
    <mergeCell ref="F11946:F11947"/>
    <mergeCell ref="F12025:F12026"/>
    <mergeCell ref="F12027:F12028"/>
    <mergeCell ref="F12029:F12030"/>
    <mergeCell ref="F12031:F12032"/>
    <mergeCell ref="F12033:F12034"/>
    <mergeCell ref="F12035:F12036"/>
    <mergeCell ref="F12037:F12038"/>
    <mergeCell ref="F12039:F12040"/>
    <mergeCell ref="F12041:F12042"/>
    <mergeCell ref="F12043:F12044"/>
    <mergeCell ref="F12045:F12046"/>
    <mergeCell ref="F11999:F12000"/>
    <mergeCell ref="F12001:F12002"/>
    <mergeCell ref="F12003:F12004"/>
    <mergeCell ref="F12005:F12006"/>
    <mergeCell ref="F11960:F11962"/>
    <mergeCell ref="F11966:F11968"/>
    <mergeCell ref="F11969:F11970"/>
    <mergeCell ref="F11971:F11972"/>
    <mergeCell ref="F11973:F11974"/>
    <mergeCell ref="F11975:F11976"/>
    <mergeCell ref="F11977:F11978"/>
    <mergeCell ref="F11979:F11980"/>
    <mergeCell ref="F11981:F11982"/>
    <mergeCell ref="F11983:F11984"/>
    <mergeCell ref="F11985:F11986"/>
    <mergeCell ref="F11987:F11988"/>
    <mergeCell ref="F11989:F11990"/>
    <mergeCell ref="F11991:F11992"/>
    <mergeCell ref="F11993:F11994"/>
    <mergeCell ref="F11995:F11996"/>
    <mergeCell ref="F12117:F12118"/>
    <mergeCell ref="F12119:F12120"/>
    <mergeCell ref="F12121:F12122"/>
    <mergeCell ref="F12123:F12124"/>
    <mergeCell ref="F12125:F12126"/>
    <mergeCell ref="F12127:F12128"/>
    <mergeCell ref="F12129:F12130"/>
    <mergeCell ref="F12131:F12132"/>
    <mergeCell ref="F12091:F12092"/>
    <mergeCell ref="F12274:F12275"/>
    <mergeCell ref="F12282:F12283"/>
    <mergeCell ref="F12151:F12153"/>
    <mergeCell ref="F12159:F12161"/>
    <mergeCell ref="F12154:F12156"/>
    <mergeCell ref="F12162:F12164"/>
    <mergeCell ref="F12229:F12231"/>
    <mergeCell ref="F12232:F12233"/>
    <mergeCell ref="F12211:F12212"/>
    <mergeCell ref="F12213:F12214"/>
    <mergeCell ref="F12217:F12218"/>
    <mergeCell ref="F12219:F12220"/>
    <mergeCell ref="F12215:F12216"/>
    <mergeCell ref="F12276:F12277"/>
    <mergeCell ref="F12223:F12224"/>
    <mergeCell ref="F12225:F12226"/>
    <mergeCell ref="F12227:F12228"/>
    <mergeCell ref="F12167:F12168"/>
    <mergeCell ref="F12174:F12176"/>
    <mergeCell ref="F12177:F12178"/>
    <mergeCell ref="F12268:F12270"/>
    <mergeCell ref="F12271:F12273"/>
    <mergeCell ref="F12246:F12247"/>
    <mergeCell ref="F12300:F12301"/>
    <mergeCell ref="F12179:F12180"/>
    <mergeCell ref="F12181:F12183"/>
    <mergeCell ref="F12184:F12185"/>
    <mergeCell ref="F12186:F12188"/>
    <mergeCell ref="F12189:F12190"/>
    <mergeCell ref="F12191:F12192"/>
    <mergeCell ref="F12193:F12194"/>
    <mergeCell ref="F12157:F12158"/>
    <mergeCell ref="F12266:F12267"/>
    <mergeCell ref="F12262:F12263"/>
    <mergeCell ref="F12264:F12265"/>
    <mergeCell ref="F12234:F12235"/>
    <mergeCell ref="F12236:F12237"/>
    <mergeCell ref="F12238:F12239"/>
    <mergeCell ref="F12240:F12241"/>
    <mergeCell ref="F12242:F12243"/>
    <mergeCell ref="F12244:F12245"/>
    <mergeCell ref="F12250:F12251"/>
    <mergeCell ref="F12252:F12253"/>
    <mergeCell ref="F12254:F12255"/>
    <mergeCell ref="F12256:F12257"/>
    <mergeCell ref="F12258:F12259"/>
    <mergeCell ref="F12260:F12261"/>
    <mergeCell ref="F12201:F12202"/>
    <mergeCell ref="F12203:F12204"/>
    <mergeCell ref="F12205:F12206"/>
    <mergeCell ref="F12207:F12208"/>
    <mergeCell ref="F12209:F12210"/>
    <mergeCell ref="F12248:F12249"/>
    <mergeCell ref="F12221:F12222"/>
    <mergeCell ref="F12473:F12474"/>
    <mergeCell ref="F12475:F12476"/>
    <mergeCell ref="F12477:F12478"/>
    <mergeCell ref="F12479:F12480"/>
    <mergeCell ref="F12481:F12482"/>
    <mergeCell ref="F12483:F12484"/>
    <mergeCell ref="F12485:F12486"/>
    <mergeCell ref="F12438:F12439"/>
    <mergeCell ref="F12440:F12441"/>
    <mergeCell ref="F12442:F12443"/>
    <mergeCell ref="F12444:F12445"/>
    <mergeCell ref="F12446:F12447"/>
    <mergeCell ref="F12448:F12449"/>
    <mergeCell ref="F12450:F12451"/>
    <mergeCell ref="F12452:F12453"/>
    <mergeCell ref="F12454:F12455"/>
    <mergeCell ref="F12456:F12457"/>
    <mergeCell ref="F12458:F12459"/>
    <mergeCell ref="F12460:F12461"/>
    <mergeCell ref="F12462:F12463"/>
    <mergeCell ref="F12464:F12465"/>
    <mergeCell ref="F12466:F12468"/>
    <mergeCell ref="F12469:F12470"/>
    <mergeCell ref="F12471:F12472"/>
    <mergeCell ref="F12567:F12568"/>
    <mergeCell ref="F12569:F12570"/>
    <mergeCell ref="F12571:F12572"/>
    <mergeCell ref="F12499:F12500"/>
    <mergeCell ref="F12501:F12502"/>
    <mergeCell ref="F12503:F12504"/>
    <mergeCell ref="F12551:F12552"/>
    <mergeCell ref="F12553:F12554"/>
    <mergeCell ref="F12555:F12556"/>
    <mergeCell ref="F12573:F12574"/>
    <mergeCell ref="F12575:F12576"/>
    <mergeCell ref="F12577:F12578"/>
    <mergeCell ref="F12509:F12511"/>
    <mergeCell ref="F12546:F12548"/>
    <mergeCell ref="F12549:F12550"/>
    <mergeCell ref="F12544:F12545"/>
    <mergeCell ref="F12512:F12513"/>
    <mergeCell ref="F12514:F12515"/>
    <mergeCell ref="F12516:F12517"/>
    <mergeCell ref="F12518:F12519"/>
    <mergeCell ref="F12520:F12521"/>
    <mergeCell ref="F12522:F12523"/>
    <mergeCell ref="F12524:F12525"/>
    <mergeCell ref="F12526:F12527"/>
    <mergeCell ref="F12528:F12529"/>
    <mergeCell ref="F12530:F12531"/>
    <mergeCell ref="F12532:F12533"/>
    <mergeCell ref="F12579:F12580"/>
    <mergeCell ref="F12581:F12582"/>
    <mergeCell ref="F12583:F12584"/>
    <mergeCell ref="F12627:F12628"/>
    <mergeCell ref="F12629:F12631"/>
    <mergeCell ref="F12603:F12604"/>
    <mergeCell ref="F12605:F12606"/>
    <mergeCell ref="F12607:F12608"/>
    <mergeCell ref="F12609:F12610"/>
    <mergeCell ref="F12611:F12612"/>
    <mergeCell ref="F12613:F12614"/>
    <mergeCell ref="F12615:F12616"/>
    <mergeCell ref="F12617:F12618"/>
    <mergeCell ref="F12619:F12620"/>
    <mergeCell ref="F12621:F12622"/>
    <mergeCell ref="F12623:F12624"/>
    <mergeCell ref="F12625:F12626"/>
    <mergeCell ref="F12585:F12587"/>
    <mergeCell ref="F12588:F12590"/>
    <mergeCell ref="F12591:F12592"/>
    <mergeCell ref="F12593:F12594"/>
    <mergeCell ref="F12595:F12596"/>
    <mergeCell ref="F12597:F12598"/>
    <mergeCell ref="F12599:F12600"/>
    <mergeCell ref="F12601:F12602"/>
    <mergeCell ref="F12634:F12635"/>
    <mergeCell ref="F12636:F12637"/>
    <mergeCell ref="F12638:F12639"/>
    <mergeCell ref="F12640:F12641"/>
    <mergeCell ref="F12642:F12643"/>
    <mergeCell ref="F12644:F12645"/>
    <mergeCell ref="F12646:F12647"/>
    <mergeCell ref="F12648:F12649"/>
    <mergeCell ref="F12650:F12651"/>
    <mergeCell ref="F12652:F12653"/>
    <mergeCell ref="F12654:F12655"/>
    <mergeCell ref="F12656:F12657"/>
    <mergeCell ref="F12658:F12659"/>
    <mergeCell ref="F12660:F12661"/>
    <mergeCell ref="F12662:F12663"/>
    <mergeCell ref="F12664:F12665"/>
    <mergeCell ref="F12666:F12667"/>
    <mergeCell ref="F12722:F12723"/>
    <mergeCell ref="F12724:F12725"/>
    <mergeCell ref="F12726:F12727"/>
    <mergeCell ref="F12728:F12729"/>
    <mergeCell ref="F12730:F12731"/>
    <mergeCell ref="F12732:F12733"/>
    <mergeCell ref="F12734:F12735"/>
    <mergeCell ref="F12736:F12737"/>
    <mergeCell ref="F12738:F12739"/>
    <mergeCell ref="F12740:F12741"/>
    <mergeCell ref="F12742:F12743"/>
    <mergeCell ref="F12744:F12745"/>
    <mergeCell ref="F12746:F12747"/>
    <mergeCell ref="F12748:F12749"/>
    <mergeCell ref="F12750:F12751"/>
    <mergeCell ref="F12752:F12753"/>
    <mergeCell ref="F12754:F12755"/>
    <mergeCell ref="F12834:F12835"/>
    <mergeCell ref="F12836:F12837"/>
    <mergeCell ref="F12838:F12839"/>
    <mergeCell ref="F12840:F12841"/>
    <mergeCell ref="F12842:F12843"/>
    <mergeCell ref="F12799:F12801"/>
    <mergeCell ref="F12802:F12804"/>
    <mergeCell ref="F12805:F12807"/>
    <mergeCell ref="F12762:F12764"/>
    <mergeCell ref="F12808:F12809"/>
    <mergeCell ref="F12810:F12811"/>
    <mergeCell ref="F12812:F12813"/>
    <mergeCell ref="F12814:F12815"/>
    <mergeCell ref="F12816:F12817"/>
    <mergeCell ref="F12818:F12819"/>
    <mergeCell ref="F12820:F12821"/>
    <mergeCell ref="F12822:F12823"/>
    <mergeCell ref="F12824:F12825"/>
    <mergeCell ref="F12826:F12827"/>
    <mergeCell ref="F12828:F12829"/>
    <mergeCell ref="F12830:F12831"/>
    <mergeCell ref="F12832:F12833"/>
    <mergeCell ref="F12793:F12794"/>
    <mergeCell ref="F13033:F13034"/>
    <mergeCell ref="F12914:F12916"/>
    <mergeCell ref="F12954:F12956"/>
    <mergeCell ref="F12957:F12959"/>
    <mergeCell ref="F12960:F12961"/>
    <mergeCell ref="F12962:F12963"/>
    <mergeCell ref="F12964:F12965"/>
    <mergeCell ref="F12966:F12967"/>
    <mergeCell ref="F12968:F12969"/>
    <mergeCell ref="F12970:F12971"/>
    <mergeCell ref="F12972:F12973"/>
    <mergeCell ref="F12974:F12975"/>
    <mergeCell ref="F12976:F12977"/>
    <mergeCell ref="F12978:F12979"/>
    <mergeCell ref="F12980:F12981"/>
    <mergeCell ref="F12982:F12983"/>
    <mergeCell ref="F12984:F12985"/>
    <mergeCell ref="F12917:F12918"/>
    <mergeCell ref="F12919:F12920"/>
    <mergeCell ref="F12921:F12922"/>
    <mergeCell ref="F12923:F12924"/>
    <mergeCell ref="F12925:F12926"/>
    <mergeCell ref="F12927:F12928"/>
    <mergeCell ref="F12929:F12930"/>
    <mergeCell ref="F12931:F12932"/>
    <mergeCell ref="F12933:F12934"/>
    <mergeCell ref="F12935:F12936"/>
    <mergeCell ref="F12937:F12938"/>
    <mergeCell ref="F13019:F13020"/>
    <mergeCell ref="F13021:F13022"/>
    <mergeCell ref="F13023:F13024"/>
    <mergeCell ref="F13025:F13026"/>
    <mergeCell ref="F13200:F13201"/>
    <mergeCell ref="F13202:F13203"/>
    <mergeCell ref="F13204:F13205"/>
    <mergeCell ref="F13206:F13207"/>
    <mergeCell ref="F13035:F13036"/>
    <mergeCell ref="F13037:F13038"/>
    <mergeCell ref="F13039:F13040"/>
    <mergeCell ref="F13041:F13042"/>
    <mergeCell ref="F13043:F13044"/>
    <mergeCell ref="F13045:F13046"/>
    <mergeCell ref="F13047:F13048"/>
    <mergeCell ref="F13049:F13050"/>
    <mergeCell ref="F13051:F13052"/>
    <mergeCell ref="F13053:F13054"/>
    <mergeCell ref="F13055:F13056"/>
    <mergeCell ref="F13057:F13058"/>
    <mergeCell ref="F13059:F13060"/>
    <mergeCell ref="F13061:F13062"/>
    <mergeCell ref="F13063:F13064"/>
    <mergeCell ref="F13065:F13066"/>
    <mergeCell ref="F13067:F13068"/>
    <mergeCell ref="F13069:F13071"/>
    <mergeCell ref="F13072:F13074"/>
    <mergeCell ref="F13115:F13117"/>
    <mergeCell ref="F13118:F13120"/>
    <mergeCell ref="F13075:F13076"/>
    <mergeCell ref="F13077:F13078"/>
    <mergeCell ref="F13159:F13160"/>
    <mergeCell ref="F13161:F13162"/>
    <mergeCell ref="F13121:F13122"/>
    <mergeCell ref="F13079:F13080"/>
    <mergeCell ref="F13123:F13124"/>
    <mergeCell ref="F13163:F13164"/>
    <mergeCell ref="F13165:F13166"/>
    <mergeCell ref="F13167:F13168"/>
    <mergeCell ref="F13169:F13170"/>
    <mergeCell ref="F13171:F13172"/>
    <mergeCell ref="F13173:F13174"/>
    <mergeCell ref="F13175:F13176"/>
    <mergeCell ref="F13177:F13178"/>
    <mergeCell ref="F13179:F13180"/>
    <mergeCell ref="F13181:F13182"/>
    <mergeCell ref="F13183:F13184"/>
    <mergeCell ref="F13185:F13186"/>
    <mergeCell ref="F13187:F13188"/>
    <mergeCell ref="F13189:F13190"/>
    <mergeCell ref="F13191:F13192"/>
    <mergeCell ref="F13280:F13281"/>
    <mergeCell ref="F13399:F13400"/>
    <mergeCell ref="F13337:F13338"/>
    <mergeCell ref="F13339:F13340"/>
    <mergeCell ref="F13341:F13342"/>
    <mergeCell ref="F13343:F13344"/>
    <mergeCell ref="F13345:F13346"/>
    <mergeCell ref="F13347:F13348"/>
    <mergeCell ref="F13349:F13350"/>
    <mergeCell ref="F13351:F13352"/>
    <mergeCell ref="F13310:F13311"/>
    <mergeCell ref="F13312:F13313"/>
    <mergeCell ref="F13314:F13315"/>
    <mergeCell ref="F13368:F13370"/>
    <mergeCell ref="F13193:F13195"/>
    <mergeCell ref="F13196:F13197"/>
    <mergeCell ref="F13198:F13199"/>
    <mergeCell ref="F13401:F13402"/>
    <mergeCell ref="F13403:F13404"/>
    <mergeCell ref="F13360:F13362"/>
    <mergeCell ref="F13363:F13365"/>
    <mergeCell ref="F13357:F13359"/>
    <mergeCell ref="F13316:F13317"/>
    <mergeCell ref="F13318:F13319"/>
    <mergeCell ref="F13371:F13372"/>
    <mergeCell ref="F13373:F13374"/>
    <mergeCell ref="F13375:F13376"/>
    <mergeCell ref="F13377:F13378"/>
    <mergeCell ref="F13379:F13380"/>
    <mergeCell ref="F13381:F13382"/>
    <mergeCell ref="F13383:F13384"/>
    <mergeCell ref="F13385:F13386"/>
    <mergeCell ref="F13387:F13388"/>
    <mergeCell ref="F13389:F13390"/>
    <mergeCell ref="F13391:F13392"/>
    <mergeCell ref="F13443:F13444"/>
    <mergeCell ref="F13445:F13446"/>
    <mergeCell ref="F13447:F13448"/>
    <mergeCell ref="F13449:F13450"/>
    <mergeCell ref="F13451:F13452"/>
    <mergeCell ref="F13502:F13504"/>
    <mergeCell ref="F13393:F13394"/>
    <mergeCell ref="F13395:F13396"/>
    <mergeCell ref="F13397:F13398"/>
    <mergeCell ref="F13353:F13354"/>
    <mergeCell ref="F13355:F13356"/>
    <mergeCell ref="F13320:F13322"/>
    <mergeCell ref="F13323:F13324"/>
    <mergeCell ref="F13325:F13326"/>
    <mergeCell ref="F13327:F13328"/>
    <mergeCell ref="F13329:F13330"/>
    <mergeCell ref="F13331:F13332"/>
    <mergeCell ref="F13333:F13334"/>
    <mergeCell ref="F13335:F13336"/>
    <mergeCell ref="F13366:F13367"/>
    <mergeCell ref="F13484:F13485"/>
    <mergeCell ref="F13486:F13487"/>
    <mergeCell ref="F13488:F13489"/>
    <mergeCell ref="F13453:F13455"/>
    <mergeCell ref="F13413:F13414"/>
    <mergeCell ref="F13415:F13416"/>
    <mergeCell ref="F13417:F13418"/>
    <mergeCell ref="F13456:F13457"/>
    <mergeCell ref="F13460:F13461"/>
    <mergeCell ref="F13462:F13463"/>
    <mergeCell ref="F13464:F13465"/>
    <mergeCell ref="F13466:F13467"/>
    <mergeCell ref="F13672:F13673"/>
    <mergeCell ref="F13674:F13675"/>
    <mergeCell ref="F13583:F13585"/>
    <mergeCell ref="F13586:F13588"/>
    <mergeCell ref="F13589:F13590"/>
    <mergeCell ref="F13593:F13594"/>
    <mergeCell ref="F13595:F13596"/>
    <mergeCell ref="F13597:F13598"/>
    <mergeCell ref="F13599:F13600"/>
    <mergeCell ref="F13601:F13602"/>
    <mergeCell ref="F13603:F13604"/>
    <mergeCell ref="F13605:F13606"/>
    <mergeCell ref="F13607:F13608"/>
    <mergeCell ref="F13609:F13610"/>
    <mergeCell ref="F13611:F13612"/>
    <mergeCell ref="F13613:F13614"/>
    <mergeCell ref="F13615:F13616"/>
    <mergeCell ref="F13617:F13618"/>
    <mergeCell ref="F13619:F13620"/>
    <mergeCell ref="F13591:F13592"/>
    <mergeCell ref="F13621:F13622"/>
    <mergeCell ref="F13623:F13624"/>
    <mergeCell ref="F13625:F13626"/>
    <mergeCell ref="F13678:F13679"/>
    <mergeCell ref="F13680:F13681"/>
    <mergeCell ref="F13682:F13683"/>
    <mergeCell ref="F13684:F13685"/>
    <mergeCell ref="F13686:F13687"/>
    <mergeCell ref="F13627:F13629"/>
    <mergeCell ref="F13630:F13631"/>
    <mergeCell ref="F13632:F13633"/>
    <mergeCell ref="F13634:F13635"/>
    <mergeCell ref="F13636:F13637"/>
    <mergeCell ref="F13638:F13639"/>
    <mergeCell ref="F13774:F13775"/>
    <mergeCell ref="F13776:F13777"/>
    <mergeCell ref="F13702:F13704"/>
    <mergeCell ref="F13705:F13706"/>
    <mergeCell ref="F13664:F13665"/>
    <mergeCell ref="F13700:F13701"/>
    <mergeCell ref="F13744:F13745"/>
    <mergeCell ref="F13746:F13747"/>
    <mergeCell ref="F13748:F13749"/>
    <mergeCell ref="F13750:F13751"/>
    <mergeCell ref="F13752:F13753"/>
    <mergeCell ref="F13754:F13755"/>
    <mergeCell ref="F13756:F13757"/>
    <mergeCell ref="F13758:F13759"/>
    <mergeCell ref="F13760:F13761"/>
    <mergeCell ref="F13762:F13763"/>
    <mergeCell ref="F13764:F13765"/>
    <mergeCell ref="F13766:F13767"/>
    <mergeCell ref="F13768:F13769"/>
    <mergeCell ref="F13770:F13771"/>
    <mergeCell ref="F13772:F13773"/>
    <mergeCell ref="F13863:F13864"/>
    <mergeCell ref="F13865:F13866"/>
    <mergeCell ref="F13828:F13830"/>
    <mergeCell ref="F13831:F13832"/>
    <mergeCell ref="F13833:F13834"/>
    <mergeCell ref="F13835:F13836"/>
    <mergeCell ref="F13837:F13838"/>
    <mergeCell ref="F13839:F13840"/>
    <mergeCell ref="F13841:F13842"/>
    <mergeCell ref="F13843:F13844"/>
    <mergeCell ref="F13845:F13846"/>
    <mergeCell ref="F13847:F13848"/>
    <mergeCell ref="F13849:F13850"/>
    <mergeCell ref="F13851:F13852"/>
    <mergeCell ref="F13853:F13854"/>
    <mergeCell ref="F13855:F13856"/>
    <mergeCell ref="F13857:F13858"/>
    <mergeCell ref="F13859:F13860"/>
    <mergeCell ref="F13861:F13862"/>
    <mergeCell ref="F13924:F13925"/>
    <mergeCell ref="F13926:F13927"/>
    <mergeCell ref="F13928:F13929"/>
    <mergeCell ref="F13930:F13931"/>
    <mergeCell ref="F13932:F13933"/>
    <mergeCell ref="F13934:F13935"/>
    <mergeCell ref="F13936:F13937"/>
    <mergeCell ref="F13906:F13907"/>
    <mergeCell ref="F13959:F13960"/>
    <mergeCell ref="F13961:F13962"/>
    <mergeCell ref="F13963:F13964"/>
    <mergeCell ref="F13965:F13966"/>
    <mergeCell ref="F13967:F13968"/>
    <mergeCell ref="F13969:F13970"/>
    <mergeCell ref="F13971:F13972"/>
    <mergeCell ref="F13973:F13974"/>
    <mergeCell ref="F13975:F13976"/>
    <mergeCell ref="F13908:F13909"/>
    <mergeCell ref="F13910:F13911"/>
    <mergeCell ref="F13912:F13913"/>
    <mergeCell ref="F13914:F13915"/>
    <mergeCell ref="F13916:F13917"/>
    <mergeCell ref="F13918:F13919"/>
    <mergeCell ref="F13920:F13921"/>
    <mergeCell ref="F13922:F13923"/>
    <mergeCell ref="F13977:F13978"/>
    <mergeCell ref="F13979:F13980"/>
    <mergeCell ref="F13981:F13982"/>
    <mergeCell ref="F13983:F13984"/>
    <mergeCell ref="F13985:F13986"/>
    <mergeCell ref="F13987:F13988"/>
    <mergeCell ref="F13989:F13990"/>
    <mergeCell ref="F13938:F13939"/>
    <mergeCell ref="F13940:F13941"/>
    <mergeCell ref="F13942:F13943"/>
    <mergeCell ref="F13944:F13945"/>
    <mergeCell ref="F13946:F13948"/>
    <mergeCell ref="F13949:F13951"/>
    <mergeCell ref="F13952:F13954"/>
    <mergeCell ref="F13955:F13956"/>
    <mergeCell ref="F13957:F13958"/>
    <mergeCell ref="F14029:F14030"/>
    <mergeCell ref="F13991:F13993"/>
    <mergeCell ref="F13994:F13996"/>
    <mergeCell ref="F14000:F14001"/>
    <mergeCell ref="F13997:F13999"/>
    <mergeCell ref="F14002:F14004"/>
    <mergeCell ref="F14005:F14006"/>
    <mergeCell ref="F14007:F14008"/>
    <mergeCell ref="F14009:F14010"/>
    <mergeCell ref="F14011:F14012"/>
    <mergeCell ref="F14013:F14014"/>
    <mergeCell ref="F14015:F14016"/>
    <mergeCell ref="F14017:F14018"/>
    <mergeCell ref="F14019:F14020"/>
    <mergeCell ref="F14021:F14022"/>
    <mergeCell ref="F14023:F14024"/>
    <mergeCell ref="F14114:F14115"/>
    <mergeCell ref="F14116:F14117"/>
    <mergeCell ref="F14118:F14119"/>
    <mergeCell ref="F14120:F14121"/>
    <mergeCell ref="F14122:F14123"/>
    <mergeCell ref="F14124:F14125"/>
    <mergeCell ref="F14126:F14127"/>
    <mergeCell ref="F14128:F14129"/>
    <mergeCell ref="F14130:F14131"/>
    <mergeCell ref="F14132:F14133"/>
    <mergeCell ref="F14136:F14137"/>
    <mergeCell ref="F14138:F14140"/>
    <mergeCell ref="F14134:F14135"/>
    <mergeCell ref="F14225:F14227"/>
    <mergeCell ref="F14228:F14230"/>
    <mergeCell ref="F14237:F14238"/>
    <mergeCell ref="F14239:F14240"/>
    <mergeCell ref="F14314:F14315"/>
    <mergeCell ref="F14312:F14313"/>
    <mergeCell ref="F14290:F14291"/>
    <mergeCell ref="F14292:F14293"/>
    <mergeCell ref="F14294:F14295"/>
    <mergeCell ref="F14296:F14297"/>
    <mergeCell ref="F14298:F14299"/>
    <mergeCell ref="F14300:F14301"/>
    <mergeCell ref="F14302:F14303"/>
    <mergeCell ref="F14304:F14305"/>
    <mergeCell ref="F14306:F14307"/>
    <mergeCell ref="F14308:F14309"/>
    <mergeCell ref="F14310:F14311"/>
    <mergeCell ref="F14141:F14142"/>
    <mergeCell ref="F14143:F14144"/>
    <mergeCell ref="F14145:F14146"/>
    <mergeCell ref="F14147:F14148"/>
    <mergeCell ref="F14149:F14150"/>
    <mergeCell ref="F14151:F14152"/>
    <mergeCell ref="F14153:F14154"/>
    <mergeCell ref="F14155:F14156"/>
    <mergeCell ref="F14157:F14158"/>
    <mergeCell ref="F14159:F14160"/>
    <mergeCell ref="F14161:F14162"/>
    <mergeCell ref="F14163:F14164"/>
    <mergeCell ref="F14165:F14166"/>
    <mergeCell ref="F14241:F14242"/>
    <mergeCell ref="F14243:F14244"/>
    <mergeCell ref="F14245:F14246"/>
    <mergeCell ref="F14247:F14248"/>
    <mergeCell ref="F14251:F14252"/>
    <mergeCell ref="F14253:F14254"/>
    <mergeCell ref="F14385:F14386"/>
    <mergeCell ref="F14387:F14388"/>
    <mergeCell ref="F14389:F14390"/>
    <mergeCell ref="F14350:F14351"/>
    <mergeCell ref="F14352:F14354"/>
    <mergeCell ref="F14355:F14356"/>
    <mergeCell ref="F14357:F14358"/>
    <mergeCell ref="F14359:F14360"/>
    <mergeCell ref="F14361:F14362"/>
    <mergeCell ref="F14363:F14364"/>
    <mergeCell ref="F14365:F14366"/>
    <mergeCell ref="F14367:F14368"/>
    <mergeCell ref="F14369:F14370"/>
    <mergeCell ref="F14371:F14372"/>
    <mergeCell ref="F14373:F14374"/>
    <mergeCell ref="F14375:F14376"/>
    <mergeCell ref="F14377:F14378"/>
    <mergeCell ref="F14379:F14380"/>
    <mergeCell ref="F14381:F14382"/>
    <mergeCell ref="F14383:F14384"/>
  </mergeCells>
  <phoneticPr fontId="16" type="noConversion"/>
  <conditionalFormatting sqref="G2:L4">
    <cfRule type="cellIs" dxfId="21" priority="18" operator="notBetween">
      <formula>0.01</formula>
      <formula>-0.01</formula>
    </cfRule>
  </conditionalFormatting>
  <conditionalFormatting sqref="G2:L5">
    <cfRule type="cellIs" dxfId="20" priority="21" operator="between">
      <formula>0.01</formula>
      <formula>-0.01</formula>
    </cfRule>
  </conditionalFormatting>
  <conditionalFormatting sqref="J6">
    <cfRule type="cellIs" dxfId="19" priority="13" operator="lessThan">
      <formula>0</formula>
    </cfRule>
    <cfRule type="cellIs" dxfId="18" priority="14" operator="greaterThan">
      <formula>0</formula>
    </cfRule>
  </conditionalFormatting>
  <dataValidations count="1">
    <dataValidation type="list" allowBlank="1" showInputMessage="1" showErrorMessage="1" sqref="I1:I7" xr:uid="{00000000-0002-0000-0200-000000000000}">
      <formula1>#REF!</formula1>
    </dataValidation>
  </dataValidations>
  <pageMargins left="0.7" right="0.7" top="0.75" bottom="0.75" header="0.3" footer="0.3"/>
  <pageSetup paperSize="9" scale="10"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INVESTOR_LIST!$B:$B</xm:f>
          </x14:formula1>
          <xm:sqref>I380:I406 I4472:I4488 I4442:I4469 I4371:I4439 I4276:I4352 I4243:I4257 I4223:I4239 I4125:I4182 I4201:I4220 I4118:I4121 I3998:I4051 I4073:I4097 I3932:I3979 I3908:I3913 I3887:I3901 I3867:I3868 I3847:I3859 I3799:I3826 I2918:I2926 I3773:I3777 I3766:I3769 I3748:I3762 I3720:I3723 I3714:I3716 I3696:I3698 I3652:I3658 I3647:I3648 I3633:I3637 I3676:I3677 I3567:I3602 I3547:I3548 I3525:I3530 I3295:I3296 I8:I303 I306:I330 I333:I366 I373:I377 I409:I427 I432:I438 I463:I479 I514:I544 I548:I549 I590:I605 I609:I623 I662:I718 I723:I728 I795:I800 I893:I924 I973:I1008 I1063:I1069 I1150:I1158 I1213:I1224 I1267:I1316 I1383:I1482 I1485:I1518 I1521:I1538 I1627:I1699 I1702:I1735 I3460:I3462 I3387:I3395 I3359:I3364 I3339:I3343 I3225:I3249 I3312:I3313 I3259:I3260 I3207:I3210 I3197:I3198 I3158:I3193 I3217:I3218 I3202:I3203 I3138:I3139 I3124:I3125 I3116:I3117 I3111:I3112 I3084:I3107 I3057:I3080 I3037:I3038 I3018:I3021 I3003:I3008 I2971:I2972 I2960:I2961 I2906:I2911 I2845:I2890 I2750:I2751 I2825:I2826 I2801:I2806 I2763:I2764 I2758:I2759 I2795:I2796 I2730:I2731 I2702:I2709 I2668:I2669 I2657:I2658 I2673:I2674 I2642:I2653 I2631:I2632 I2623:I2624 I2614:I2616 I2590:I2593 I2570:I2571 I2542:I2543 I2503:I2504 I2491:I2499 I2531:I2532 I2508:I2509 I2458:I2459 I2449:I2454 I2420:I2424 I2415:I2416 I2403:I2406 I2390:I2399 I2351:I2358 I2344:I2347 I2293:I2300 I2105:I2115 I2246:I2247 I2240:I2242 I2126:I2132 I2221:I2236 I2216:I2217 I2176:I2177 I2169:I2172 I2250:I2252 I2088:I2099 I1817:I1819 I1858:I1859 I1941:I1948 I1862:I1867 I3438:I3439 I1541:I1624 I1319:I1380 I1227:I1264 I1161:I1197 I1057:I1059 I1072:I1137 I949:I963 I967:I969 I940:I942 I1011:I1053 I785:I790 I803:I890 I731:I781 I626:I659 I552:I587 I4507:I4519 I4538:I4697 I4716:I4737 I4740:I4743 I4746:I4749 I4752:I4765 I4768:I4777 I5482 I5559:I5560 I5593 I5620 I5648:I5649 I5764:I5765 I5760 I5814:I5815 I5890:I5891 I5940:I5941 I6034:I6035 I6078:I6079 I6123 I6133:I6134 I6213:I6214 I6276:I6277 I6365:I6366 I6415:I6416 I6470 I6485:I6486 I6558:I6559 I6643:I6644 I6714:I6716 I6770 I6689:I6691 I6816 I6860:I6862 I7217:I7218 I7229 I7495 I7381 I7493 I7318:I7323 I8027 I7559:I7560 I7968 I9751:I9753 I8773 I8979 I8981 I9283:I9284 I9415:I9417 I9590:I9591 I9613:I9614 I9491:I9493 I9910:I9915 I10011:I10013 I10016 I10118:I10119 I10121 I10130 I10133 I11502:I11504 I10574:I10575 I10820 I11057 I11131:I11132 I11544:I11546 I12061 I11635:I11637 I11874 I11960 I11962 I12013 I12110:I12112 I12668:I12671 I12627:I12628 I441:I459 I3446:I3453 I3493:I3503 I3510:I3515 I482:I511 I13664 I13950 I14002:I14004 I14391:I1048576</xm:sqref>
        </x14:dataValidation>
        <x14:dataValidation type="list" allowBlank="1" showInputMessage="1" showErrorMessage="1" xr:uid="{9CAC7F16-0282-4868-9E69-C3A541B2146F}">
          <x14:formula1>
            <xm:f>'Chart of Accounts'!$B$3:$B$74</xm:f>
          </x14:formula1>
          <xm:sqref>J12159:J12178 J8:J12014 J12019:J12156 J12195:J12218 J12223:J12879 J12914:J12916 J12951:J12959 J12994:J12998 J13033:J13034 J13069:J13080 J13115:J13124 J13193:J13197 J13232:J13236 J13271:J13281 J13320:J13322 J13405:J13418 J13357:J13370 J13453:J13459 J13494:J13506 J13541:J13548 J13583:J13592 J13627:J13629 J13700:J13706 J13664:J13665 J13741:J13743 J13778:J13793 J13828:J13832 J13867:J13873 J13908:J13909 J13944:J13956 J13991:J14004 J14089:J14099 J14039:J14054 J14134:J14140 J14175:J14188 J14273:J14275 J14225:J14236 J14312:J14313 J14350:J14354 J14391:J1048576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E88"/>
  <sheetViews>
    <sheetView zoomScaleNormal="100" workbookViewId="0">
      <pane ySplit="3" topLeftCell="A4" activePane="bottomLeft" state="frozen"/>
      <selection activeCell="G9" sqref="G9"/>
      <selection pane="bottomLeft" activeCell="G32" sqref="G32"/>
    </sheetView>
  </sheetViews>
  <sheetFormatPr defaultColWidth="8.85546875" defaultRowHeight="12" x14ac:dyDescent="0.2"/>
  <cols>
    <col min="1" max="1" width="11.5703125" style="102" customWidth="1"/>
    <col min="2" max="2" width="10.28515625" style="102" customWidth="1"/>
    <col min="3" max="3" width="12.7109375" style="102" bestFit="1" customWidth="1"/>
    <col min="4" max="4" width="12.42578125" style="102" customWidth="1"/>
    <col min="5" max="6" width="10.5703125" style="102" customWidth="1"/>
    <col min="7" max="7" width="39.140625" style="102" bestFit="1" customWidth="1"/>
    <col min="8" max="8" width="14.5703125" style="170" bestFit="1" customWidth="1"/>
    <col min="9" max="9" width="15.7109375" style="170" bestFit="1" customWidth="1"/>
    <col min="10" max="11" width="23.28515625" style="102" bestFit="1" customWidth="1"/>
    <col min="12" max="13" width="13.28515625" style="102" bestFit="1" customWidth="1"/>
    <col min="14" max="14" width="13.85546875" style="102" bestFit="1" customWidth="1"/>
    <col min="15" max="15" width="12" style="102" bestFit="1" customWidth="1"/>
    <col min="16" max="16" width="11.7109375" style="102" bestFit="1" customWidth="1"/>
    <col min="17" max="17" width="13.5703125" style="102" bestFit="1" customWidth="1"/>
    <col min="18" max="18" width="14.140625" style="102" bestFit="1" customWidth="1"/>
    <col min="19" max="19" width="13.7109375" style="102" bestFit="1" customWidth="1"/>
    <col min="20" max="22" width="8.85546875" style="102"/>
    <col min="23" max="23" width="9.42578125" style="102" customWidth="1"/>
    <col min="24" max="27" width="14.5703125" style="102" bestFit="1" customWidth="1"/>
    <col min="28" max="29" width="13.5703125" style="102" bestFit="1" customWidth="1"/>
    <col min="30" max="16384" width="8.85546875" style="102"/>
  </cols>
  <sheetData>
    <row r="1" spans="1:31" x14ac:dyDescent="0.2">
      <c r="A1" s="549" t="s">
        <v>99</v>
      </c>
      <c r="B1" s="549"/>
      <c r="C1" s="549"/>
      <c r="D1" s="549"/>
      <c r="G1" s="547">
        <f>SUM(H7:H98)-SUM(I7:I98)</f>
        <v>-7.2669386863708496E-3</v>
      </c>
      <c r="H1" s="547"/>
      <c r="I1" s="547"/>
      <c r="J1" s="547"/>
      <c r="K1" s="547"/>
      <c r="L1" s="547"/>
      <c r="M1" s="547"/>
      <c r="N1" s="547"/>
      <c r="O1" s="547"/>
    </row>
    <row r="2" spans="1:31" x14ac:dyDescent="0.2">
      <c r="A2" s="549" t="s">
        <v>100</v>
      </c>
      <c r="B2" s="549"/>
      <c r="C2" s="549"/>
      <c r="D2" s="549"/>
      <c r="G2" s="548">
        <f>BS!C25-BS!C42</f>
        <v>-3.340601921081543E-3</v>
      </c>
      <c r="H2" s="548"/>
      <c r="I2" s="548"/>
      <c r="J2" s="548"/>
      <c r="K2" s="548"/>
      <c r="L2" s="548"/>
      <c r="M2" s="548"/>
      <c r="N2" s="548"/>
      <c r="O2" s="548"/>
    </row>
    <row r="3" spans="1:31" x14ac:dyDescent="0.2">
      <c r="A3" s="549" t="s">
        <v>101</v>
      </c>
      <c r="B3" s="549"/>
      <c r="C3" s="549"/>
      <c r="D3" s="549"/>
      <c r="G3" s="548">
        <f>BS!C23-CF!B43</f>
        <v>94994186.641011357</v>
      </c>
      <c r="H3" s="548"/>
      <c r="I3" s="548"/>
      <c r="J3" s="548"/>
      <c r="K3" s="548"/>
      <c r="L3" s="548"/>
      <c r="M3" s="548"/>
      <c r="N3" s="548"/>
      <c r="O3" s="548"/>
      <c r="W3" s="168"/>
      <c r="X3" s="167"/>
      <c r="Y3" s="167"/>
      <c r="Z3" s="167"/>
      <c r="AA3" s="167"/>
      <c r="AB3" s="167"/>
      <c r="AC3" s="167"/>
      <c r="AD3" s="167"/>
      <c r="AE3" s="167"/>
    </row>
    <row r="4" spans="1:31" x14ac:dyDescent="0.2">
      <c r="A4" s="103"/>
      <c r="H4" s="104"/>
      <c r="I4" s="105"/>
      <c r="K4" s="104"/>
      <c r="L4" s="106"/>
      <c r="M4" s="106"/>
    </row>
    <row r="5" spans="1:31" x14ac:dyDescent="0.2">
      <c r="A5" s="107"/>
      <c r="B5" s="545" t="s">
        <v>97</v>
      </c>
      <c r="C5" s="545"/>
      <c r="D5" s="545"/>
      <c r="H5" s="546" t="s">
        <v>98</v>
      </c>
      <c r="I5" s="546"/>
      <c r="J5" s="546" t="s">
        <v>95</v>
      </c>
      <c r="K5" s="546"/>
      <c r="L5" s="546"/>
      <c r="M5" s="546"/>
      <c r="N5" s="546" t="s">
        <v>96</v>
      </c>
      <c r="O5" s="546"/>
    </row>
    <row r="6" spans="1:31" s="110" customFormat="1" x14ac:dyDescent="0.2">
      <c r="A6" s="108"/>
      <c r="B6" s="109" t="s">
        <v>59</v>
      </c>
      <c r="C6" s="109" t="s">
        <v>60</v>
      </c>
      <c r="D6" s="109" t="s">
        <v>61</v>
      </c>
      <c r="E6" s="110" t="s">
        <v>62</v>
      </c>
      <c r="F6" s="110" t="s">
        <v>62</v>
      </c>
      <c r="G6" s="111" t="s">
        <v>52</v>
      </c>
      <c r="H6" s="173" t="s">
        <v>49</v>
      </c>
      <c r="I6" s="174" t="s">
        <v>50</v>
      </c>
      <c r="J6" s="111" t="s">
        <v>88</v>
      </c>
      <c r="K6" s="111" t="s">
        <v>88</v>
      </c>
      <c r="L6" s="111" t="s">
        <v>114</v>
      </c>
      <c r="M6" s="111" t="s">
        <v>114</v>
      </c>
      <c r="N6" s="173" t="s">
        <v>49</v>
      </c>
      <c r="O6" s="173" t="s">
        <v>50</v>
      </c>
    </row>
    <row r="7" spans="1:31" x14ac:dyDescent="0.2">
      <c r="A7" s="112" t="s">
        <v>93</v>
      </c>
      <c r="B7" s="113">
        <v>2025</v>
      </c>
      <c r="C7" s="113">
        <v>7</v>
      </c>
      <c r="D7" s="113">
        <v>1</v>
      </c>
      <c r="E7" s="102">
        <f>DATE(B7,C7,D7)-1</f>
        <v>45838</v>
      </c>
      <c r="F7" s="102">
        <f>DATE(B7,C7,D7)</f>
        <v>45839</v>
      </c>
      <c r="G7" s="102" t="str">
        <f>'Chart of Accounts'!B3</f>
        <v>Investments in stock</v>
      </c>
      <c r="H7" s="170">
        <f>MAX(0,SUMIFS(Journals!$K$9:$K$1007564,Journals!$D$9:$D$1007564,"&gt;"&amp;$E$7,Journals!$D$9:$D$1007564,"&lt;"&amp;$E$8,Journals!$J$9:$J$1007564,"investments in stock")-SUMIFS(Journals!$L$9:$L$1007564,Journals!$D$9:$D$1007564,"&gt;"&amp;$E$7,Journals!$D$9:$D$1007564,"&lt;"&amp;$E$8,Journals!$J$9:$J$1007564,"investments in stock"))</f>
        <v>30202479.510000005</v>
      </c>
      <c r="I7" s="170">
        <f>MAX(0,SUMIFS(Journals!$L$9:$L$1007564,Journals!$D$9:$D$1007564,"&gt;"&amp;$E$7,Journals!$D$9:$D$1007564,"&lt;"&amp;$E$8,Journals!$J$9:$J$1007564,"Investments in stock")-SUMIFS(Journals!$K$9:$K$1007564,Journals!$D$9:$D$1007564,"&gt;"&amp;$E$7,Journals!$D$9:$D$1007564,"&lt;"&amp;$E$8,Journals!$J$9:$J$1007564,"Investments in stock"))</f>
        <v>0</v>
      </c>
      <c r="J7" s="175">
        <f>SUMIFS(Journals!$K$9:$K$1007564,Journals!$D$9:$D$1007564,"&lt;"&amp;$F$7,Journals!$J$9:$J$1007564,"investments in stock")-SUMIFS(Journals!$L$9:$L$1007564,Journals!$D$9:$D$1007564,"&lt;"&amp;$F$7,Journals!$J$9:$J$1007564,"investments in stock")</f>
        <v>2797650.6199999973</v>
      </c>
      <c r="K7" s="175"/>
      <c r="L7" s="175">
        <f>J7+H7-I7</f>
        <v>33000130.130000003</v>
      </c>
      <c r="M7" s="175"/>
      <c r="N7" s="175"/>
      <c r="O7" s="175"/>
      <c r="R7" s="104"/>
      <c r="S7" s="114"/>
      <c r="X7" s="170"/>
      <c r="Y7" s="170"/>
      <c r="Z7" s="170"/>
      <c r="AA7" s="170"/>
      <c r="AB7" s="170"/>
      <c r="AC7" s="170"/>
    </row>
    <row r="8" spans="1:31" x14ac:dyDescent="0.2">
      <c r="A8" s="112" t="s">
        <v>94</v>
      </c>
      <c r="B8" s="113">
        <v>2026</v>
      </c>
      <c r="C8" s="113">
        <v>6</v>
      </c>
      <c r="D8" s="113">
        <v>30</v>
      </c>
      <c r="E8" s="102">
        <f>DATE(B8,C8,D8)+1</f>
        <v>46204</v>
      </c>
      <c r="F8" s="102">
        <f>DATE(B8,C8,D8)-1</f>
        <v>46202</v>
      </c>
      <c r="G8" s="115" t="str">
        <f>'Chart of Accounts'!B4</f>
        <v>Interest Receivables from Bank A/C</v>
      </c>
      <c r="H8" s="117">
        <f>MAX(0,SUMIFS(Journals!$K$9:$K$1007564,Journals!$D$9:$D$1007564,"&gt;"&amp;$E$7,Journals!$D$9:$D$1007564,"&lt;"&amp;$E$8,Journals!$J$9:$J$1007564,"Interest Receivables from Bank A/C")-SUMIFS(Journals!$L$9:$L$1007564,Journals!$D$9:$D$1007564,"&gt;"&amp;$E$7,Journals!$D$9:$D$1007564,"&lt;"&amp;$E$8,Journals!$J$9:$J$1007564,"Interest Receivables from Bank A/C"))</f>
        <v>130333.46489775501</v>
      </c>
      <c r="I8" s="117">
        <f>MAX(0,SUMIFS(Journals!$L$9:$L$1007564,Journals!$D$9:$D$1007564,"&gt;"&amp;$E$7,Journals!$D$9:$D$1007564,"&lt;"&amp;$E$8,Journals!$J$9:$J$1007564,"Interest Receivables from Bank A/C")-SUMIFS(Journals!$K$9:$K$1007564,Journals!$D$9:$D$1007564,"&gt;"&amp;$E$7,Journals!$D$9:$D$1007564,"&lt;"&amp;$E$8,Journals!$J$9:$J$1007564,"Interest Receivables from Bank A/C"))</f>
        <v>0</v>
      </c>
      <c r="J8" s="116">
        <f>SUMIFS(Journals!$K$9:$K$1007564,Journals!$D$9:$D$1007564,"&lt;"&amp;$F$7,Journals!$J$9:$J$1007564,"Interest Receivables from Bank A/C")-SUMIFS(Journals!$L$9:$L$1007564,Journals!$D$9:$D$1007564,"&lt;"&amp;$F$7,Journals!$J$9:$J$1007564,"Interest Receivables from Bank A/C")</f>
        <v>2762.8079200964421</v>
      </c>
      <c r="K8" s="116"/>
      <c r="L8" s="116">
        <f>J8+H8-I8</f>
        <v>133096.27281785145</v>
      </c>
      <c r="M8" s="116"/>
      <c r="N8" s="116"/>
      <c r="O8" s="116"/>
      <c r="P8" s="114"/>
      <c r="R8" s="104"/>
      <c r="S8" s="114"/>
      <c r="X8" s="170"/>
      <c r="Y8" s="170"/>
      <c r="Z8" s="170"/>
      <c r="AA8" s="170"/>
      <c r="AB8" s="170"/>
      <c r="AC8" s="170"/>
    </row>
    <row r="9" spans="1:31" x14ac:dyDescent="0.2">
      <c r="B9" s="237"/>
      <c r="C9" s="237"/>
      <c r="D9" s="237"/>
      <c r="G9" s="115" t="s">
        <v>1530</v>
      </c>
      <c r="H9" s="117">
        <f>MAX(0,SUMIFS(Journals!$K$9:$K$1007564,Journals!$D$9:$D$1007564,"&gt;"&amp;$E$7,Journals!$D$9:$D$1007564,"&lt;"&amp;$E$8,Journals!$J$9:$J$1007564,"Interest Receivables from Sukuk")-SUMIFS(Journals!$L$9:$L$1007564,Journals!$D$9:$D$1007564,"&gt;"&amp;$E$7,Journals!$D$9:$D$1007564,"&lt;"&amp;$E$8,Journals!$J$9:$J$1007564,"Interest Receivables from Sukuk"))</f>
        <v>0</v>
      </c>
      <c r="I9" s="117">
        <f>MAX(0,SUMIFS(Journals!$L$9:$L$1007564,Journals!$D$9:$D$1007564,"&gt;"&amp;$E$7,Journals!$D$9:$D$1007564,"&lt;"&amp;$E$8,Journals!$J$9:$J$1007564,"Interest Receivables from Sukuk")-SUMIFS(Journals!$K$9:$K$1007564,Journals!$D$9:$D$1007564,"&gt;"&amp;$E$7,Journals!$D$9:$D$1007564,"&lt;"&amp;$E$8,Journals!$J$9:$J$1007564,"Interest Receivables from Sukuk"))</f>
        <v>0</v>
      </c>
      <c r="J9" s="116">
        <f>SUMIFS(Journals!$K$9:$K$1007564,Journals!$D$9:$D$1007564,"&lt;"&amp;$F$7,Journals!$J$9:$J$1007564,"Interest Receivables from Sukuk")-SUMIFS(Journals!$L$9:$L$1007564,Journals!$D$9:$D$1007564,"&lt;"&amp;$F$7,Journals!$J$9:$J$1007564,"Interest Receivables from Sukuk")</f>
        <v>1.1641532182693481E-9</v>
      </c>
      <c r="K9" s="116"/>
      <c r="L9" s="116">
        <f>J9+H9-I9</f>
        <v>1.1641532182693481E-9</v>
      </c>
      <c r="M9" s="116"/>
      <c r="N9" s="116"/>
      <c r="O9" s="116"/>
      <c r="P9" s="114"/>
      <c r="R9" s="104"/>
      <c r="S9" s="114"/>
      <c r="X9" s="170"/>
      <c r="Y9" s="170"/>
      <c r="Z9" s="170"/>
      <c r="AA9" s="170"/>
      <c r="AB9" s="170"/>
      <c r="AC9" s="170"/>
    </row>
    <row r="10" spans="1:31" x14ac:dyDescent="0.2">
      <c r="B10" s="237"/>
      <c r="C10" s="237"/>
      <c r="D10" s="309"/>
      <c r="G10" s="115" t="s">
        <v>1284</v>
      </c>
      <c r="H10" s="117">
        <f>MAX(0,SUMIFS(Journals!$K$9:$K$1007564,Journals!$D$9:$D$1007564,"&gt;"&amp;$E$7,Journals!$D$9:$D$1007564,"&lt;"&amp;$E$8,Journals!$J$9:$J$1007564,"Interest Receivables from Bond")-SUMIFS(Journals!$L$9:$L$1007564,Journals!$D$9:$D$1007564,"&gt;"&amp;$E$7,Journals!$D$9:$D$1007564,"&lt;"&amp;$E$8,Journals!$J$9:$J$1007564,"Interest Receivables from Bond"))</f>
        <v>0</v>
      </c>
      <c r="I10" s="117">
        <f>MAX(0,SUMIFS(Journals!$L$9:$L$1007564,Journals!$D$9:$D$1007564,"&gt;"&amp;$E$7,Journals!$D$9:$D$1007564,"&lt;"&amp;$E$8,Journals!$J$9:$J$1007564,"Interest Receivables from Bond")-SUMIFS(Journals!$K$9:$K$1007564,Journals!$D$9:$D$1007564,"&gt;"&amp;$E$7,Journals!$D$9:$D$1007564,"&lt;"&amp;$E$8,Journals!$J$9:$J$1007564,"Interest Receivables from Bond"))</f>
        <v>32785.350756606029</v>
      </c>
      <c r="J10" s="116">
        <f>SUMIFS(Journals!$K$9:$K$1007564,Journals!$D$9:$D$1007564,"&lt;"&amp;$F$7,Journals!$J$9:$J$1007564,"Interest Receivables from Bond")-SUMIFS(Journals!$L$9:$L$1007564,Journals!$D$9:$D$1007564,"&lt;"&amp;$F$7,Journals!$J$9:$J$1007564,"Interest Receivables from Bond")</f>
        <v>59214.3693353415</v>
      </c>
      <c r="K10" s="116"/>
      <c r="L10" s="116">
        <f>J10+H10-I10</f>
        <v>26429.018578735471</v>
      </c>
      <c r="M10" s="116"/>
      <c r="N10" s="116"/>
      <c r="O10" s="116"/>
      <c r="P10" s="114"/>
      <c r="Q10" s="329"/>
      <c r="R10" s="104"/>
      <c r="S10" s="114"/>
      <c r="X10" s="170"/>
      <c r="Y10" s="170"/>
      <c r="Z10" s="170"/>
      <c r="AA10" s="170"/>
      <c r="AB10" s="170"/>
      <c r="AC10" s="170"/>
    </row>
    <row r="11" spans="1:31" x14ac:dyDescent="0.2">
      <c r="B11" s="459">
        <f>CURRENT_NAV</f>
        <v>14.26713904481749</v>
      </c>
      <c r="G11" s="115" t="str">
        <f>'Chart of Accounts'!B5</f>
        <v>Preliminary &amp; issue expenses</v>
      </c>
      <c r="H11" s="117">
        <f>MAX(0,SUMIFS(Journals!$K$9:$K$1007564,Journals!$D$9:$D$1007564,"&gt;"&amp;$E$7,Journals!$D$9:$D$1007564,"&lt;"&amp;$E$8,Journals!$J$9:$J$1007564,"Preliminary &amp; issue expenses")-SUMIFS(Journals!$L$9:$L$1007564,Journals!$D$9:$D$1007564,"&gt;"&amp;$E$7,Journals!$D$9:$D$1007564,"&lt;"&amp;$E$8,Journals!$J$9:$J$1007564,"Preliminary &amp; issue expenses"))</f>
        <v>0</v>
      </c>
      <c r="I11" s="117">
        <f>MAX(0,SUMIFS(Journals!$L$9:$L$1007564,Journals!$D$9:$D$1007564,"&gt;"&amp;$E$7,Journals!$D$9:$D$1007564,"&lt;"&amp;$E$8,Journals!$J$9:$J$1007564,"Preliminary &amp; issue expenses")-SUMIFS(Journals!$K$9:$K$1007564,Journals!$D$9:$D$1007564,"&gt;"&amp;$E$7,Journals!$D$9:$D$1007564,"&lt;"&amp;$E$8,Journals!$J$9:$J$1007564,"Preliminary &amp; issue expenses"))</f>
        <v>138713.88439560405</v>
      </c>
      <c r="J11" s="116">
        <f>SUMIFS(Journals!$K$9:$K$1007564,Journals!$D$9:$D$1007564,"&lt;"&amp;$F$7,Journals!$J$9:$J$1007564,"Preliminary &amp; issue expenses")-SUMIFS(Journals!$L$9:$L$1007564,Journals!$D$9:$D$1007564,"&lt;"&amp;$F$7,Journals!$J$9:$J$1007564,"Preliminary &amp; issue expenses")</f>
        <v>559729.36021978036</v>
      </c>
      <c r="K11" s="116"/>
      <c r="L11" s="116">
        <f>J11+H11-I11</f>
        <v>421015.47582417633</v>
      </c>
      <c r="M11" s="116"/>
      <c r="N11" s="116"/>
      <c r="O11" s="116"/>
      <c r="R11" s="104"/>
      <c r="S11" s="114"/>
      <c r="X11" s="170"/>
      <c r="Y11" s="170"/>
      <c r="Z11" s="170"/>
      <c r="AA11" s="170"/>
      <c r="AB11" s="170"/>
      <c r="AC11" s="170"/>
    </row>
    <row r="12" spans="1:31" x14ac:dyDescent="0.2">
      <c r="C12" s="114"/>
      <c r="G12" s="115" t="str">
        <f>'Chart of Accounts'!B6</f>
        <v>Accrued Management Fee</v>
      </c>
      <c r="H12" s="117">
        <f>SUMIFS(Journals!$K$9:$K$1007564,Journals!$D$9:$D$1007564,"&gt;"&amp;$E$7,Journals!$D$9:$D$1007564,"&lt;"&amp;$E$8,Journals!$J$9:$J$1007564,"Accrued Management Fee")</f>
        <v>2188653.5728940405</v>
      </c>
      <c r="I12" s="117">
        <f>MAX(0,SUMIFS(Journals!$L$9:$L$1007564,Journals!$D$9:$D$1007564,"&gt;"&amp;$E$7,Journals!$D$9:$D$1007564,"&lt;"&amp;$E$8,Journals!$J$9:$J$1007564,"Accrued Management Fee"))</f>
        <v>2130135.1347301933</v>
      </c>
      <c r="J12" s="116"/>
      <c r="K12" s="116">
        <f>SUMIFS(Journals!$L$9:$L$1007564,Journals!$D$9:$D$1007564,"&lt;"&amp;$F$7,Journals!$J$9:$J$1007564,"Accrued Management Fee")-SUMIFS(Journals!$K$9:$K$1007564,Journals!$D$9:$D$1007564,"&lt;"&amp;$F$7,Journals!$J$9:$J$1007564,"Accrued Management Fee")</f>
        <v>236441.30181104736</v>
      </c>
      <c r="L12" s="116"/>
      <c r="M12" s="116">
        <f t="shared" ref="M12:M17" si="0">K12+I12-H12</f>
        <v>177922.86364720017</v>
      </c>
      <c r="N12" s="116"/>
      <c r="O12" s="116"/>
      <c r="Q12" s="114"/>
      <c r="R12" s="104"/>
      <c r="S12" s="114"/>
      <c r="X12" s="170"/>
      <c r="Y12" s="170"/>
      <c r="Z12" s="170"/>
      <c r="AA12" s="170"/>
      <c r="AB12" s="170"/>
      <c r="AC12" s="170"/>
    </row>
    <row r="13" spans="1:31" x14ac:dyDescent="0.2">
      <c r="C13" s="114"/>
      <c r="E13" s="102">
        <v>203746.91431740674</v>
      </c>
      <c r="G13" s="115" t="str">
        <f>'Chart of Accounts'!B7</f>
        <v>Accrued Trustee Fee</v>
      </c>
      <c r="H13" s="117">
        <f>MAX(0,SUMIFS(Journals!$K$9:$K$1007564,Journals!$D$9:$D$1007564,"&gt;"&amp;$E$7,Journals!$D$9:$D$1007564,"&lt;"&amp;$E$8,Journals!$J$9:$J$1007564,"accrued trustee fee")-SUMIFS(Journals!$L$9:$L$1007564,Journals!$D$9:$D$1007564,"&gt;"&amp;$E$7,Journals!$D$9:$D$1007564,"&lt;"&amp;$E$8,Journals!$J$9:$J$1007564,"accrued trustee fee"))</f>
        <v>0</v>
      </c>
      <c r="I13" s="117">
        <f>MAX(0,SUMIFS(Journals!$L$9:$L$1007564,Journals!$D$9:$D$1007564,"&gt;"&amp;$E$7,Journals!$D$9:$D$1007564,"&lt;"&amp;$E$8,Journals!$J$9:$J$1007564,"accrued trustee fee")-SUMIFS(Journals!$K$9:$K$1007564,Journals!$D$9:$D$1007564,"&gt;"&amp;$E$7,Journals!$D$9:$D$1007564,"&lt;"&amp;$E$8,Journals!$J$9:$J$1007564,"accrued trustee fee"))</f>
        <v>147196.99870297377</v>
      </c>
      <c r="J13" s="116"/>
      <c r="K13" s="116">
        <f>SUMIFS(Journals!$L$9:$L$1007564,Journals!$D$9:$D$1007564,"&lt;"&amp;$F$7,Journals!$J$9:$J$1007564,"Accrued Trustee Fee")-SUMIFS(Journals!$K$9:$K$1007564,Journals!$D$9:$D$1007564,"&lt;"&amp;$F$7,Journals!$J$9:$J$1007564,"Accrued Trustee Fee")</f>
        <v>65816.504421797581</v>
      </c>
      <c r="L13" s="116"/>
      <c r="M13" s="116">
        <f t="shared" si="0"/>
        <v>213013.50312477135</v>
      </c>
      <c r="N13" s="116"/>
      <c r="O13" s="116"/>
      <c r="R13" s="104"/>
      <c r="S13" s="114"/>
      <c r="X13" s="170"/>
      <c r="Y13" s="170"/>
      <c r="Z13" s="170"/>
      <c r="AA13" s="170"/>
      <c r="AB13" s="170"/>
      <c r="AC13" s="170"/>
    </row>
    <row r="14" spans="1:31" x14ac:dyDescent="0.2">
      <c r="C14" s="114"/>
      <c r="E14" s="102">
        <v>65816.504421797668</v>
      </c>
      <c r="G14" s="115" t="str">
        <f>'Chart of Accounts'!B8</f>
        <v>Accrued Custodian Fee</v>
      </c>
      <c r="H14" s="117">
        <f>MAX(0,SUMIFS(Journals!$K$9:$K$1007564,Journals!$D$9:$D$1007564,"&gt;"&amp;$E$7,Journals!$D$9:$D$1007564,"&lt;"&amp;$E$8,Journals!$J$9:$J$1007564,"accrued custodian fee")-SUMIFS(Journals!$L$9:$L$1007564,Journals!$D$9:$D$1007564,"&gt;"&amp;$E$7,Journals!$D$9:$D$1007564,"&lt;"&amp;$E$8,Journals!$J$9:$J$1007564,"accrued custodian fee"))</f>
        <v>0</v>
      </c>
      <c r="I14" s="117">
        <f>MAX(0,SUMIFS(Journals!$L$9:$L$1007564,Journals!$D$9:$D$1007564,"&gt;"&amp;$E$7,Journals!$D$9:$D$1007564,"&lt;"&amp;$E$8,Journals!$J$9:$J$1007564,"accrued custodian fee")-SUMIFS(Journals!$K$9:$K$1007564,Journals!$D$9:$D$1007564,"&gt;"&amp;$E$7,Journals!$D$9:$D$1007564,"&lt;"&amp;$E$8,Journals!$J$9:$J$1007564,"accrued custodian fee"))</f>
        <v>56173.837651667302</v>
      </c>
      <c r="J14" s="116"/>
      <c r="K14" s="116">
        <f>SUMIFS(Journals!$L$9:$L$1007564,Journals!$D$9:$D$1007564,"&lt;"&amp;$F$7,Journals!$J$9:$J$1007564,"Accrued Custodian Fee")-SUMIFS(Journals!$K$9:$K$1007564,Journals!$D$9:$D$1007564,"&lt;"&amp;$F$7,Journals!$J$9:$J$1007564,"Accrued Custodian Fee")</f>
        <v>123123.68233037362</v>
      </c>
      <c r="L14" s="116"/>
      <c r="M14" s="116">
        <f t="shared" si="0"/>
        <v>179297.51998204092</v>
      </c>
      <c r="N14" s="116"/>
      <c r="O14" s="116"/>
      <c r="R14" s="104"/>
      <c r="S14" s="114"/>
      <c r="X14" s="170"/>
      <c r="Y14" s="170"/>
      <c r="Z14" s="170"/>
      <c r="AA14" s="170"/>
      <c r="AB14" s="170"/>
      <c r="AC14" s="170"/>
    </row>
    <row r="15" spans="1:31" x14ac:dyDescent="0.2">
      <c r="E15" s="102">
        <f>E13-E14</f>
        <v>137930.40989560907</v>
      </c>
      <c r="G15" s="115" t="str">
        <f>'Chart of Accounts'!B9</f>
        <v>Accrued BSEC fee</v>
      </c>
      <c r="H15" s="117">
        <f>MAX(0,SUMIFS(Journals!$K$9:$K$1007564,Journals!$D$9:$D$1007564,"&gt;"&amp;$E$7,Journals!$D$9:$D$1007564,"&lt;"&amp;$E$8,Journals!$J$9:$J$1007564,"accrued bsec fee")-SUMIFS(Journals!$L$9:$L$1007564,Journals!$D$9:$D$1007564,"&gt;"&amp;$E$7,Journals!$D$9:$D$1007564,"&lt;"&amp;$E$8,Journals!$J$9:$J$1007564,"accrued bsec fee"))</f>
        <v>0</v>
      </c>
      <c r="I15" s="117">
        <f>MAX(0,SUMIFS(Journals!$L$9:$L$1007564,Journals!$D$9:$D$1007564,"&gt;"&amp;$E$7,Journals!$D$9:$D$1007564,"&lt;"&amp;$E$8,Journals!$J$9:$J$1007564,"accrued bsec fee")-SUMIFS(Journals!$K$9:$K$1007564,Journals!$D$9:$D$1007564,"&gt;"&amp;$E$7,Journals!$D$9:$D$1007564,"&lt;"&amp;$E$8,Journals!$J$9:$J$1007564,"accrued bsec fee"))</f>
        <v>0</v>
      </c>
      <c r="J15" s="116"/>
      <c r="K15" s="116">
        <f>SUMIFS(Journals!$L$9:$L$1007564,Journals!$D$9:$D$1007564,"&lt;"&amp;$F$7,Journals!$J$9:$J$1007564,"accrued bsec fee")-SUMIFS(Journals!$K$9:$K$1007564,Journals!$D$9:$D$1007564,"&lt;"&amp;$F$7,Journals!$J$9:$J$1007564,"accrued bsec fee")</f>
        <v>0</v>
      </c>
      <c r="L15" s="116"/>
      <c r="M15" s="116">
        <f t="shared" si="0"/>
        <v>0</v>
      </c>
      <c r="N15" s="116"/>
      <c r="O15" s="116"/>
      <c r="R15" s="104"/>
      <c r="S15" s="114"/>
      <c r="X15" s="170"/>
      <c r="Y15" s="170"/>
      <c r="Z15" s="170"/>
      <c r="AA15" s="170"/>
      <c r="AB15" s="170"/>
      <c r="AC15" s="170"/>
    </row>
    <row r="16" spans="1:31" x14ac:dyDescent="0.2">
      <c r="G16" s="115" t="str">
        <f>'Chart of Accounts'!B10</f>
        <v>Accrued Audit Fee</v>
      </c>
      <c r="H16" s="117">
        <f>MAX(0,SUMIFS(Journals!$K$9:$K$1007564,Journals!$D$9:$D$1007564,"&gt;"&amp;$E$7,Journals!$D$9:$D$1007564,"&lt;"&amp;$E$8,Journals!$J$9:$J$1007564,"accrued audit fee"))</f>
        <v>40250</v>
      </c>
      <c r="I16" s="117">
        <f>MAX(0,SUMIFS(Journals!$L$9:$L$1007564,Journals!$D$9:$D$1007564,"&gt;"&amp;$E$7,Journals!$D$9:$D$1007564,"&lt;"&amp;$E$8,Journals!$J$9:$J$1007564,"accrued audit fee"))</f>
        <v>0</v>
      </c>
      <c r="J16" s="116"/>
      <c r="K16" s="116">
        <f>SUMIFS(Journals!$L$9:$L$1007564,Journals!$D$9:$D$1007564,"&lt;"&amp;$F$7,Journals!$J$9:$J$1007564,"accrued audit fee")-SUMIFS(Journals!$K$9:$K$1007564,Journals!$D$9:$D$1007564,"&lt;"&amp;$F$7,Journals!$J$9:$J$1007564,"accrued audit fee")</f>
        <v>40250</v>
      </c>
      <c r="L16" s="116"/>
      <c r="M16" s="116">
        <f t="shared" si="0"/>
        <v>0</v>
      </c>
      <c r="N16" s="116"/>
      <c r="O16" s="116"/>
      <c r="R16" s="104"/>
      <c r="S16" s="114"/>
      <c r="X16" s="170"/>
      <c r="Y16" s="170"/>
      <c r="Z16" s="170"/>
      <c r="AA16" s="170"/>
      <c r="AB16" s="170"/>
      <c r="AC16" s="170"/>
    </row>
    <row r="17" spans="2:29" x14ac:dyDescent="0.2">
      <c r="G17" s="115" t="str">
        <f>'Chart of Accounts'!B11</f>
        <v>Accrued CDBL Fee</v>
      </c>
      <c r="H17" s="117">
        <f>MAX(0,SUMIFS(Journals!$K$9:$K$1007564,Journals!$D$9:$D$1007564,"&gt;"&amp;$E$7,Journals!$D$9:$D$1007564,"&lt;"&amp;$E$8,Journals!$J$9:$J$1007564,"accrued CDBL fee")-SUMIFS(Journals!$L$9:$L$1007564,Journals!$D$9:$D$1007564,"&gt;"&amp;$E$7,Journals!$D$9:$D$1007564,"&lt;"&amp;$E$8,Journals!$J$9:$J$1007564,"accrued CDBL fee"))</f>
        <v>0</v>
      </c>
      <c r="I17" s="117">
        <f>MAX(0,SUMIFS(Journals!$L$9:$L$1007564,Journals!$D$9:$D$1007564,"&gt;"&amp;$E$7,Journals!$D$9:$D$1007564,"&lt;"&amp;$E$8,Journals!$J$9:$J$1007564,"accrued CDBL fee")-SUMIFS(Journals!$K$9:$K$1007564,Journals!$D$9:$D$1007564,"&gt;"&amp;$E$7,Journals!$D$9:$D$1007564,"&lt;"&amp;$E$8,Journals!$J$9:$J$1007564,"accrued CDBL fee"))</f>
        <v>0</v>
      </c>
      <c r="J17" s="116"/>
      <c r="K17" s="116">
        <f>SUMIFS(Journals!$L$9:$L$1007564,Journals!$D$9:$D$1007564,"&lt;"&amp;$F$7,Journals!$J$9:$J$1007564,"accrued cdbl fee")-SUMIFS(Journals!$K$9:$K$1007564,Journals!$D$9:$D$1007564,"&lt;"&amp;$F$7,Journals!$J$9:$J$1007564,"accrued cdbl fee")</f>
        <v>0</v>
      </c>
      <c r="L17" s="116"/>
      <c r="M17" s="116">
        <f t="shared" si="0"/>
        <v>0</v>
      </c>
      <c r="N17" s="116"/>
      <c r="O17" s="116"/>
      <c r="R17" s="104"/>
      <c r="S17" s="114"/>
      <c r="X17" s="170"/>
      <c r="Y17" s="170"/>
      <c r="Z17" s="170"/>
      <c r="AA17" s="170"/>
      <c r="AB17" s="170"/>
      <c r="AC17" s="170"/>
    </row>
    <row r="18" spans="2:29" x14ac:dyDescent="0.2">
      <c r="G18" s="115" t="str">
        <f>'Chart of Accounts'!B12</f>
        <v>Fixed Deposit Receipts (FDR)</v>
      </c>
      <c r="H18" s="117">
        <f>MAX(0,SUMIFS(Journals!$K$9:$K$1007564,Journals!$D$9:$D$1007564,"&gt;"&amp;$E$7,Journals!$D$9:$D$1007564,"&lt;"&amp;$E$8,Journals!$J$9:$J$1007564,"Fixed Deposit Receipts (FDR)")-SUMIFS(Journals!$L$9:$L$1007564,Journals!$D$9:$D$1007564,"&gt;"&amp;$E$7,Journals!$D$9:$D$1007564,"&lt;"&amp;$E$8,Journals!$J$9:$J$1007564,"Fixed Deposit Receipts (FDR)"))</f>
        <v>0</v>
      </c>
      <c r="I18" s="117">
        <f>MAX(0,SUMIFS(Journals!$L$9:$L$1007564,Journals!$D$9:$D$1007564,"&gt;"&amp;$E$7,Journals!$D$9:$D$1007564,"&lt;"&amp;$E$8,Journals!$J$9:$J$1007564,"Fixed Deposit Receipts (FDR)")-SUMIFS(Journals!$K$9:$K$1007564,Journals!$D$9:$D$1007564,"&gt;"&amp;$E$7,Journals!$D$9:$D$1007564,"&lt;"&amp;$E$8,Journals!$J$9:$J$1007564,"Fixed Deposit Receipts (FDR)"))</f>
        <v>31000000</v>
      </c>
      <c r="J18" s="116">
        <f>SUMIFS(Journals!$K$9:$K$1007564,Journals!$D$9:$D$1007564,"&lt;"&amp;$F$7,Journals!$J$9:$J$1007564,"Fixed Deposit Receipts (FDR)")-SUMIFS(Journals!$L$9:$L$1007564,Journals!$D$9:$D$1007564,"&lt;"&amp;$F$7,Journals!$J$9:$J$1007564,"Fixed Deposit Receipts (FDR)")</f>
        <v>85000000</v>
      </c>
      <c r="K18" s="116"/>
      <c r="L18" s="116">
        <f>J18+H18-I18</f>
        <v>54000000</v>
      </c>
      <c r="M18" s="116"/>
      <c r="N18" s="116"/>
      <c r="O18" s="116"/>
      <c r="R18" s="104"/>
      <c r="S18" s="114"/>
      <c r="X18" s="170"/>
      <c r="Y18" s="170"/>
      <c r="Z18" s="170"/>
      <c r="AA18" s="170"/>
      <c r="AB18" s="170"/>
      <c r="AC18" s="170"/>
    </row>
    <row r="19" spans="2:29" x14ac:dyDescent="0.2">
      <c r="D19" s="104"/>
      <c r="G19" s="115" t="str">
        <f>'Chart of Accounts'!B13</f>
        <v>Cash and cash equivalents</v>
      </c>
      <c r="H19" s="117">
        <f>MAX(0,SUMIFS(Journals!$K$9:$K$1006910,Journals!$D$9:$D$1006910,"&gt;"&amp;$E$7,Journals!$D$9:$D$1006910,"&lt;"&amp;$E$8,Journals!$J$9:$J$1006910,"Cash and cash equivalents")-SUMIFS(Journals!$L$9:$L$1006910,Journals!$D$9:$D$1006910,"&gt;"&amp;$E$7,Journals!$D$9:$D$1006910,"&lt;"&amp;$E$8,Journals!$J$9:$J$1006910,"Cash and cash equivalents"))</f>
        <v>15938867.661034346</v>
      </c>
      <c r="I19" s="117">
        <f>MAX(0,SUMIFS(Journals!$L$9:$L$1006910,Journals!$D$9:$D$1006910,"&gt;"&amp;$E$7,Journals!$D$9:$D$1006910,"&lt;"&amp;$E$8,Journals!$J$9:$J$1006910,"Cash and cash equivalents")-SUMIFS(Journals!$K$9:$K$1006910,Journals!$D$9:$D$1006910,"&gt;"&amp;$E$7,Journals!$D$9:$D$1006910,"&lt;"&amp;$E$8,Journals!$J$9:$J$1006910,"Cash and cash equivalents"))</f>
        <v>0</v>
      </c>
      <c r="J19" s="116">
        <f>SUMIFS(Journals!$K$9:$K$1007564,Journals!$D$9:$D$1007564,"&lt;"&amp;$F$7,Journals!$J$9:$J$1007564,"Cash and cash equivalents")-SUMIFS(Journals!$L$9:$L$1007564,Journals!$D$9:$D$1007564,"&lt;"&amp;$F$7,Journals!$J$9:$J$1007564,"Cash and cash equivalents")</f>
        <v>15519656.955000877</v>
      </c>
      <c r="K19" s="116"/>
      <c r="L19" s="116">
        <f>J19+H19-I19</f>
        <v>31458524.616035223</v>
      </c>
      <c r="M19" s="116"/>
      <c r="N19" s="116"/>
      <c r="O19" s="116"/>
      <c r="R19" s="104"/>
      <c r="S19" s="114"/>
      <c r="X19" s="170"/>
      <c r="Y19" s="170"/>
      <c r="Z19" s="170"/>
      <c r="AA19" s="170"/>
      <c r="AB19" s="170"/>
      <c r="AC19" s="170"/>
    </row>
    <row r="20" spans="2:29" x14ac:dyDescent="0.2">
      <c r="G20" s="115" t="str">
        <f>'Chart of Accounts'!B14</f>
        <v>Unit Capital</v>
      </c>
      <c r="H20" s="117">
        <f>SUMIFS(Journals!$K$9:$K$1007564,Journals!$D$9:$D$1007564,"&gt;"&amp;$E$7,Journals!$D$9:$D$1007564,"&lt;"&amp;$E$8,Journals!$J$9:$J$1007564,"unit capital")</f>
        <v>263102130</v>
      </c>
      <c r="I20" s="117">
        <f>MAX(0,SUMIFS(Journals!$L$9:$L$1007564,Journals!$D$9:$D$1007564,"&gt;"&amp;$E$7,Journals!$D$9:$D$1007564,"&lt;"&amp;$E$8,Journals!$J$9:$J$1007564,"unit capital"))</f>
        <v>212650510</v>
      </c>
      <c r="J20" s="116"/>
      <c r="K20" s="116">
        <f>SUMIFS(Journals!$L$9:$L$1007564,Journals!$D$9:$D$1007564,"&lt;"&amp;$F$7,Journals!$J$9:$J$1007564,"unit capital")-SUMIFS(Journals!$K$9:$K$1007564,Journals!$D$9:$D$1007564,"&lt;"&amp;$F$7,Journals!$J$9:$J$1007564,"unit capital")</f>
        <v>462377570</v>
      </c>
      <c r="L20" s="116"/>
      <c r="M20" s="116">
        <f t="shared" ref="M20:M30" si="1">K20+I20-H20</f>
        <v>411925950</v>
      </c>
      <c r="N20" s="116"/>
      <c r="O20" s="116"/>
      <c r="R20" s="104"/>
      <c r="S20" s="114"/>
      <c r="X20" s="170"/>
      <c r="Y20" s="170"/>
      <c r="Z20" s="170"/>
      <c r="AA20" s="170"/>
      <c r="AB20" s="170"/>
      <c r="AC20" s="170"/>
    </row>
    <row r="21" spans="2:29" x14ac:dyDescent="0.2">
      <c r="B21" s="118"/>
      <c r="G21" s="115" t="str">
        <f>'Chart of Accounts'!B15</f>
        <v>Unit premium reserve</v>
      </c>
      <c r="H21" s="117">
        <f>SUMIFS(Journals!$K$9:$K$1007564,Journals!$D$9:$D$1007564,"&gt;"&amp;$E$7,Journals!$D$9:$D$1007564,"&lt;"&amp;$E$8,Journals!$J$9:$J$1007564,"unit premium reserve")</f>
        <v>88676215.352000013</v>
      </c>
      <c r="I21" s="117">
        <f>SUMIFS(Journals!$L$9:$L$1007564,Journals!$D$9:$D$1007564,"&gt;"&amp;$E$7,Journals!$D$9:$D$1007564,"&lt;"&amp;$E$8,Journals!$J$9:$J$1007564,"unit premium reserve")</f>
        <v>70419619.879999995</v>
      </c>
      <c r="J21" s="116"/>
      <c r="K21" s="116">
        <f>SUMIFS(Journals!$L$9:$L$1007564,Journals!$D$9:$D$1007564,"&lt;"&amp;$F$7,Journals!$J$9:$J$1007564,"unit premium reserve")-SUMIFS(Journals!$K$9:$K$1007564,Journals!$D$9:$D$1007564,"&lt;"&amp;$F$7,Journals!$J$9:$J$1007564,"unit premium reserve")</f>
        <v>41293537.772</v>
      </c>
      <c r="L21" s="116"/>
      <c r="M21" s="116">
        <f t="shared" si="1"/>
        <v>23036942.299999982</v>
      </c>
      <c r="N21" s="116"/>
      <c r="O21" s="116"/>
      <c r="R21" s="104"/>
      <c r="S21" s="114"/>
      <c r="X21" s="170"/>
      <c r="Y21" s="170"/>
      <c r="Z21" s="170"/>
      <c r="AA21" s="170"/>
      <c r="AB21" s="170"/>
      <c r="AC21" s="170"/>
    </row>
    <row r="22" spans="2:29" x14ac:dyDescent="0.2">
      <c r="B22" s="118"/>
      <c r="G22" s="115" t="s">
        <v>53</v>
      </c>
      <c r="H22" s="117">
        <f>MAX(0,SUMIFS(Journals!$K$9:$K$1007564,Journals!$D$9:$D$1007564,"&gt;"&amp;$E$7,Journals!$D$9:$D$1007564,"&lt;"&amp;$E$8,Journals!$J$9:$J$1007564,"interest income")-SUMIFS(Journals!$L$9:$L$1007564,Journals!$D$9:$D$1007564,"&gt;"&amp;$E$7,Journals!$D$9:$D$1007564,"&lt;"&amp;$E$8,Journals!$J$9:$J$1007564,"interest income"))</f>
        <v>0</v>
      </c>
      <c r="I22" s="117">
        <f>MAX(0,SUMIFS(Journals!$L$9:$L$1007564,Journals!$D$9:$D$1007564,"&gt;"&amp;$E$7,Journals!$D$9:$D$1007564,"&lt;"&amp;$E$8,Journals!$J$9:$J$1007564,"interest income")-SUMIFS(Journals!$K$9:$K$1007564,Journals!$D$9:$D$1007564,"&gt;"&amp;$E$7,Journals!$D$9:$D$1007564,"&lt;"&amp;$E$8,Journals!$J$9:$J$1007564,"interest income"))</f>
        <v>7800790.7887813086</v>
      </c>
      <c r="J22" s="116"/>
      <c r="K22" s="116">
        <f>SUMIFS(Journals!$L$9:$L$1007564,Journals!$D$9:$D$1007564,"&lt;"&amp;$F$7,Journals!$J$9:$J$1007564,"Interest income")-SUMIFS(Journals!$K$9:$K$1007564,Journals!$D$9:$D$1007564,"&lt;"&amp;$F$7,Journals!$J$9:$J$1007564,"Interest income")</f>
        <v>19919416.141561735</v>
      </c>
      <c r="L22" s="116"/>
      <c r="M22" s="116">
        <f t="shared" si="1"/>
        <v>27720206.930343043</v>
      </c>
      <c r="N22" s="116"/>
      <c r="O22" s="116">
        <f>SUMIFS(Journals!$L$9:$L$1007564,Journals!$D$9:$D$1007564,"&lt;"&amp;$F$7,Journals!$J$9:$J$1007564,"interest income")-SUMIFS(Journals!$K$9:$K$1007564,Journals!$D$9:$D$1007564,"&lt;"&amp;$F$7,Journals!$J$9:$J$1007564,"interest income")</f>
        <v>19919416.141561735</v>
      </c>
      <c r="R22" s="175"/>
      <c r="S22" s="175"/>
      <c r="X22" s="170"/>
      <c r="Y22" s="170"/>
      <c r="Z22" s="170"/>
      <c r="AA22" s="170"/>
      <c r="AB22" s="170"/>
      <c r="AC22" s="170"/>
    </row>
    <row r="23" spans="2:29" x14ac:dyDescent="0.2">
      <c r="B23" s="118"/>
      <c r="G23" s="115" t="s">
        <v>1845</v>
      </c>
      <c r="H23" s="117">
        <f>MAX(0,SUMIFS(Journals!$K$9:$K$1007494,Journals!$D$9:$D$1007494,"&gt;"&amp;$E$7,Journals!$D$9:$D$1007494,"&lt;"&amp;$E$8,Journals!$J$9:$J$1007494,"Interest income from T-Bond")-SUMIFS(Journals!$L$9:$L$1007494,Journals!$D$9:$D$1007494,"&gt;"&amp;$E$7,Journals!$D$9:$D$1007494,"&lt;"&amp;$E$8,Journals!$J$9:$J$1007494,"Interest income from T-Bond"))</f>
        <v>0</v>
      </c>
      <c r="I23" s="117">
        <f>MAX(0,SUMIFS(Journals!$L$9:$L$1007494,Journals!$D$9:$D$1007494,"&gt;"&amp;$E$7,Journals!$D$9:$D$1007494,"&lt;"&amp;$E$8,Journals!$J$9:$J$1007494,"Interest income from T-Bond")-SUMIFS(Journals!$K$9:$K$1007494,Journals!$D$9:$D$1007494,"&gt;"&amp;$E$7,Journals!$D$9:$D$1007494,"&lt;"&amp;$E$8,Journals!$J$9:$J$1007494,"Interest income from T-Bond"))</f>
        <v>23849013.149999999</v>
      </c>
      <c r="J23" s="116"/>
      <c r="K23" s="116">
        <f>SUMIFS(Journals!$L$9:$L$1007494,Journals!$D$9:$D$1007494,"&lt;"&amp;$F$7,Journals!$J$9:$J$1007494,"Interest income from T-Bond")-SUMIFS(Journals!$K$9:$K$1007494,Journals!$D$9:$D$1007494,"&lt;"&amp;$F$7,Journals!$J$9:$J$1007494,"Interest income from T-Bond")</f>
        <v>33626216</v>
      </c>
      <c r="L23" s="116"/>
      <c r="M23" s="116">
        <f t="shared" si="1"/>
        <v>57475229.149999999</v>
      </c>
      <c r="N23" s="116"/>
      <c r="O23" s="116">
        <f>SUMIFS(Journals!$L$9:$L$1007494,Journals!$D$9:$D$1007494,"&lt;"&amp;$F$7,Journals!$J$9:$J$1007494,"Interest income from T-Bond")-SUMIFS(Journals!$K$9:$K$1007494,Journals!$D$9:$D$1007494,"&lt;"&amp;$F$7,Journals!$J$9:$J$1007494,"Interest income from T-Bond")</f>
        <v>33626216</v>
      </c>
      <c r="R23" s="175"/>
      <c r="S23" s="175"/>
      <c r="X23" s="170"/>
      <c r="Y23" s="170"/>
      <c r="Z23" s="170"/>
      <c r="AA23" s="170"/>
      <c r="AB23" s="170"/>
      <c r="AC23" s="170"/>
    </row>
    <row r="24" spans="2:29" x14ac:dyDescent="0.2">
      <c r="B24" s="118"/>
      <c r="G24" s="115" t="s">
        <v>1581</v>
      </c>
      <c r="H24" s="117">
        <f>MAX(0,SUMIFS(Journals!$K$9:$K$1007564,Journals!$D$9:$D$1007564,"&gt;"&amp;$E$7,Journals!$D$9:$D$1007564,"&lt;"&amp;$E$8,Journals!$J$9:$J$1007564,"Interest income from BXSUKUK")-SUMIFS(Journals!$L$9:$L$1007564,Journals!$D$9:$D$1007564,"&gt;"&amp;$E$7,Journals!$D$9:$D$1007564,"&lt;"&amp;$E$8,Journals!$J$9:$J$1007564,"Interest income from BXSUKUK"))</f>
        <v>0</v>
      </c>
      <c r="I24" s="117">
        <f>MAX(0,SUMIFS(Journals!$L$9:$L$1007492,Journals!$D$9:$D$1007492,"&gt;"&amp;$E$7,Journals!$D$9:$D$1007492,"&lt;"&amp;$E$8,Journals!$J$9:$J$1007492,"Interest income from BXSUKUK")-SUMIFS(Journals!$K$9:$K$1007492,Journals!$D$9:$D$1007492,"&gt;"&amp;$E$7,Journals!$D$9:$D$1007492,"&lt;"&amp;$E$8,Journals!$J$9:$J$1007492,"Interest income from BXSUKUK"))</f>
        <v>0</v>
      </c>
      <c r="J24" s="116"/>
      <c r="K24" s="116">
        <f>SUMIFS(Journals!$L$9:$L$1007564,Journals!$D$9:$D$1007564,"&lt;"&amp;$F$7,Journals!$J$9:$J$1007564,"Interest income from BXSUKUK")-SUMIFS(Journals!$K$9:$K$1007564,Journals!$D$9:$D$1007564,"&lt;"&amp;$F$7,Journals!$J$9:$J$1007564,"Interest income from BXSUKUK")</f>
        <v>448642.73942307796</v>
      </c>
      <c r="L24" s="116"/>
      <c r="M24" s="116">
        <f t="shared" si="1"/>
        <v>448642.73942307796</v>
      </c>
      <c r="N24" s="116"/>
      <c r="O24" s="116">
        <f>SUMIFS(Journals!$L$9:$L$1007564,Journals!$D$9:$D$1007564,"&lt;"&amp;$F$7,Journals!$J$9:$J$1007564,"Interest income from BXSUKUK")-SUMIFS(Journals!$K$9:$K$1007564,Journals!$D$9:$D$1007564,"&lt;"&amp;$F$7,Journals!$J$9:$J$1007564,"Interest income from BXSUKUK")</f>
        <v>448642.73942307796</v>
      </c>
      <c r="R24" s="175"/>
      <c r="S24" s="175"/>
      <c r="X24" s="170"/>
      <c r="Y24" s="170"/>
      <c r="Z24" s="170"/>
      <c r="AA24" s="170"/>
      <c r="AB24" s="170"/>
      <c r="AC24" s="170"/>
    </row>
    <row r="25" spans="2:29" x14ac:dyDescent="0.2">
      <c r="B25" s="118"/>
      <c r="G25" s="115" t="s">
        <v>1582</v>
      </c>
      <c r="H25" s="117">
        <f>MAX(0,SUMIFS(Journals!$K$9:$K$1007564,Journals!$D$9:$D$1007564,"&gt;"&amp;$E$7,Journals!$D$9:$D$1007564,"&lt;"&amp;$E$8,Journals!$J$9:$J$1007564,"Interest income from APSCL")-SUMIFS(Journals!$L$9:$L$1007564,Journals!$D$9:$D$1007564,"&gt;"&amp;$E$7,Journals!$D$9:$D$1007564,"&lt;"&amp;$E$8,Journals!$J$9:$J$1007564,"Interest income from APSCL"))</f>
        <v>0</v>
      </c>
      <c r="I25" s="117">
        <f>MAX(0,SUMIFS(Journals!$L$9:$L$1007564,Journals!$D$9:$D$1007564,"&gt;"&amp;$E$7,Journals!$D$9:$D$1007564,"&lt;"&amp;$E$8,Journals!$J$9:$J$1007564,"Interest income from APSCL")-SUMIFS(Journals!$K$9:$K$1007564,Journals!$D$9:$D$1007564,"&gt;"&amp;$E$7,Journals!$D$9:$D$1007564,"&lt;"&amp;$E$8,Journals!$J$9:$J$1007564,"Interest income from APSCL"))</f>
        <v>304658.39924339391</v>
      </c>
      <c r="J25" s="116"/>
      <c r="K25" s="116">
        <f>SUMIFS(Journals!$L$9:$L$1007564,Journals!$D$9:$D$1007564,"&lt;"&amp;$F$7,Journals!$J$9:$J$1007564,"Interest income from APSCL")-SUMIFS(Journals!$K$9:$K$1007564,Journals!$D$9:$D$1007564,"&lt;"&amp;$F$7,Journals!$J$9:$J$1007564,"Interest income from APSCL")</f>
        <v>1278526.8793353415</v>
      </c>
      <c r="L25" s="116"/>
      <c r="M25" s="116">
        <f t="shared" si="1"/>
        <v>1583185.2785787354</v>
      </c>
      <c r="N25" s="116"/>
      <c r="O25" s="116">
        <f>SUMIFS(Journals!$L$9:$L$1007564,Journals!$D$9:$D$1007564,"&lt;"&amp;$F$7,Journals!$J$9:$J$1007564,"Interest income from APSCL")-SUMIFS(Journals!$K$9:$K$1007564,Journals!$D$9:$D$1007564,"&lt;"&amp;$F$7,Journals!$J$9:$J$1007564,"Interest income from APSCL")</f>
        <v>1278526.8793353415</v>
      </c>
      <c r="R25" s="175"/>
      <c r="S25" s="175"/>
      <c r="X25" s="170"/>
      <c r="Y25" s="170"/>
      <c r="Z25" s="170"/>
      <c r="AA25" s="170"/>
      <c r="AB25" s="170"/>
      <c r="AC25" s="170"/>
    </row>
    <row r="26" spans="2:29" x14ac:dyDescent="0.2">
      <c r="B26" s="118"/>
      <c r="G26" s="115" t="s">
        <v>2008</v>
      </c>
      <c r="H26" s="117">
        <f>MAX(0,SUMIFS(Journals!$K$9:$K$1007564,Journals!$D$9:$D$1007564,"&gt;"&amp;$E$7,Journals!$D$9:$D$1007564,"&lt;"&amp;$E$8,Journals!$J$9:$J$1007564,"Interest income from Bank Asia Bond")-SUMIFS(Journals!$L$9:$L$1007564,Journals!$D$9:$D$1007564,"&gt;"&amp;$E$7,Journals!$D$9:$D$1007564,"&lt;"&amp;$E$8,Journals!$J$9:$J$1007564,"Interest income from Bank Asia Bond"))</f>
        <v>0</v>
      </c>
      <c r="I26" s="117">
        <f>MAX(0,SUMIFS(Journals!$L$9:$L$1007564,Journals!$D$9:$D$1007564,"&gt;"&amp;$E$7,Journals!$D$9:$D$1007564,"&lt;"&amp;$E$8,Journals!$J$9:$J$1007564,"Interest income from Bank Asia Bond")-SUMIFS(Journals!$K$9:$K$1007564,Journals!$D$9:$D$1007564,"&gt;"&amp;$E$7,Journals!$D$9:$D$1007564,"&lt;"&amp;$E$8,Journals!$J$9:$J$1007564,"Interest income from Bank Asia Bond"))</f>
        <v>3805011.1757142893</v>
      </c>
      <c r="J26" s="116"/>
      <c r="K26" s="116">
        <f>SUMIFS(Journals!$L$9:$L$1007564,Journals!$D$9:$D$1007564,"&lt;"&amp;$F$7,Journals!$J$9:$J$1007564,"Interest income from Bank Asia Bond")-SUMIFS(Journals!$K$9:$K$1007564,Journals!$D$9:$D$1007564,"&lt;"&amp;$F$7,Journals!$J$9:$J$1007564,"Interest income from Bank Asia Bond")</f>
        <v>873164.87340659346</v>
      </c>
      <c r="L26" s="116"/>
      <c r="M26" s="116">
        <f t="shared" si="1"/>
        <v>4678176.0491208825</v>
      </c>
      <c r="N26" s="116"/>
      <c r="O26" s="116">
        <f>SUMIFS(Journals!$L$9:$L$1007564,Journals!$D$9:$D$1007564,"&lt;"&amp;$F$7,Journals!$J$9:$J$1007564,"Interest income from Bank Asia Bond")-SUMIFS(Journals!$K$9:$K$1007564,Journals!$D$9:$D$1007564,"&lt;"&amp;$F$7,Journals!$J$9:$J$1007564,"Interest income from Bank Asia Bond")</f>
        <v>873164.87340659346</v>
      </c>
      <c r="R26" s="175"/>
      <c r="S26" s="175"/>
      <c r="X26" s="170"/>
      <c r="Y26" s="170"/>
      <c r="Z26" s="170"/>
      <c r="AA26" s="170"/>
      <c r="AB26" s="170"/>
      <c r="AC26" s="170"/>
    </row>
    <row r="27" spans="2:29" x14ac:dyDescent="0.2">
      <c r="B27" s="118"/>
      <c r="G27" s="115" t="s">
        <v>1979</v>
      </c>
      <c r="H27" s="117">
        <f>MAX(0,SUMIFS(Journals!$K$9:$K$1007564,Journals!$D$9:$D$1007564,"&gt;"&amp;$E$7,Journals!$D$9:$D$1007564,"&lt;"&amp;$E$8,Journals!$J$9:$J$1007564,"Interest income from BRAC Bank Bond")-SUMIFS(Journals!$L$9:$L$1007564,Journals!$D$9:$D$1007564,"&gt;"&amp;$E$7,Journals!$D$9:$D$1007564,"&lt;"&amp;$E$8,Journals!$J$9:$J$1007564,"Interest income from BRAC Bank Bond"))</f>
        <v>0</v>
      </c>
      <c r="I27" s="117">
        <f>MAX(0,SUMIFS(Journals!$L$9:$L$1007564,Journals!$D$9:$D$1007564,"&gt;"&amp;$E$7,Journals!$D$9:$D$1007564,"&lt;"&amp;$E$8,Journals!$J$9:$J$1007564,"Interest income from BRAC Bank Bond")-SUMIFS(Journals!$K$9:$K$1007564,Journals!$D$9:$D$1007564,"&gt;"&amp;$E$7,Journals!$D$9:$D$1007564,"&lt;"&amp;$E$8,Journals!$J$9:$J$1007564,"Interest income from BRAC Bank Bond"))</f>
        <v>5594936.2437617676</v>
      </c>
      <c r="J27" s="116"/>
      <c r="K27" s="116">
        <f>SUMIFS(Journals!$L$9:$L$1007564,Journals!$D$9:$D$1007564,"&lt;"&amp;$F$7,Journals!$J$9:$J$1007564,"Interest income from BRAC Bank Bond")-SUMIFS(Journals!$K$9:$K$1007564,Journals!$D$9:$D$1007564,"&lt;"&amp;$F$7,Journals!$J$9:$J$1007564,"Interest income from BRAC Bank Bond")</f>
        <v>2800879.1208791207</v>
      </c>
      <c r="L27" s="116"/>
      <c r="M27" s="116">
        <f t="shared" si="1"/>
        <v>8395815.3646408878</v>
      </c>
      <c r="N27" s="116"/>
      <c r="O27" s="116">
        <f>SUMIFS(Journals!$L$9:$L$1007564,Journals!$D$9:$D$1007564,"&lt;"&amp;$F$7,Journals!$J$9:$J$1007564,"Interest income from BRAC Bank Bond")-SUMIFS(Journals!$K$9:$K$1007564,Journals!$D$9:$D$1007564,"&lt;"&amp;$F$7,Journals!$J$9:$J$1007564,"Interest income from BRAC Bank Bond")</f>
        <v>2800879.1208791207</v>
      </c>
      <c r="R27" s="175"/>
      <c r="S27" s="175"/>
      <c r="X27" s="170"/>
      <c r="Y27" s="170"/>
      <c r="Z27" s="170"/>
      <c r="AA27" s="170"/>
      <c r="AB27" s="170"/>
      <c r="AC27" s="170"/>
    </row>
    <row r="28" spans="2:29" x14ac:dyDescent="0.2">
      <c r="B28" s="118"/>
      <c r="G28" s="115" t="s">
        <v>2089</v>
      </c>
      <c r="H28" s="117">
        <f>MAX(0,SUMIFS(Journals!$K$9:$K$1007564,Journals!$D$9:$D$1007564,"&gt;"&amp;$E$7,Journals!$D$9:$D$1007564,"&lt;"&amp;$E$8,Journals!$J$9:$J$1007564,"Interest income from Dhaka Bank Bond")-SUMIFS(Journals!$L$9:$L$1007564,Journals!$D$9:$D$1007564,"&gt;"&amp;$E$7,Journals!$D$9:$D$1007564,"&lt;"&amp;$E$8,Journals!$J$9:$J$1007564,"Interest income from Dhaka Bank Bond"))</f>
        <v>0</v>
      </c>
      <c r="I28" s="117">
        <f>MAX(0,SUMIFS(Journals!$L$9:$L$1007564,Journals!$D$9:$D$1007564,"&gt;"&amp;$E$7,Journals!$D$9:$D$1007564,"&lt;"&amp;$E$8,Journals!$J$9:$J$1007564,"Interest income from Dhaka Bank Bond")-SUMIFS(Journals!$K$9:$K$1007564,Journals!$D$9:$D$1007564,"&gt;"&amp;$E$7,Journals!$D$9:$D$1007564,"&lt;"&amp;$E$8,Journals!$J$9:$J$1007564,"Interest income from Dhaka Bank Bond"))</f>
        <v>442019.00873099425</v>
      </c>
      <c r="J28" s="116"/>
      <c r="K28" s="116">
        <f>SUMIFS(Journals!$L$9:$L$1007564,Journals!$D$9:$D$1007564,"&lt;"&amp;$F$7,Journals!$J$9:$J$1007564,"Interest income from Dhaka Bank Bond")-SUMIFS(Journals!$K$9:$K$1007564,Journals!$D$9:$D$1007564,"&lt;"&amp;$F$7,Journals!$J$9:$J$1007564,"Interest income from Dhaka Bank Bond")</f>
        <v>0</v>
      </c>
      <c r="L28" s="116"/>
      <c r="M28" s="116">
        <f t="shared" ref="M28" si="2">K28+I28-H28</f>
        <v>442019.00873099425</v>
      </c>
      <c r="N28" s="116"/>
      <c r="O28" s="116">
        <f>SUMIFS(Journals!$L$9:$L$1007564,Journals!$D$9:$D$1007564,"&lt;"&amp;$F$7,Journals!$J$9:$J$1007564,"Interest income from Dhaka Bank Bond")-SUMIFS(Journals!$K$9:$K$1007564,Journals!$D$9:$D$1007564,"&lt;"&amp;$F$7,Journals!$J$9:$J$1007564,"Interest income from Dhaka Bank Bond")</f>
        <v>0</v>
      </c>
      <c r="R28" s="175"/>
      <c r="S28" s="175"/>
      <c r="X28" s="170"/>
      <c r="Y28" s="170"/>
      <c r="Z28" s="170"/>
      <c r="AA28" s="170"/>
      <c r="AB28" s="170"/>
      <c r="AC28" s="170"/>
    </row>
    <row r="29" spans="2:29" x14ac:dyDescent="0.2">
      <c r="B29" s="118"/>
      <c r="G29" s="115" t="s">
        <v>1583</v>
      </c>
      <c r="H29" s="117">
        <f>MAX(0,SUMIFS(Journals!$K$9:$K$1007564,Journals!$D$9:$D$1007564,"&gt;"&amp;$E$7,Journals!$D$9:$D$1007564,"&lt;"&amp;$E$8,Journals!$J$9:$J$1007564,"Interest income from Bank Acc.")-SUMIFS(Journals!$L$9:$L$1007564,Journals!$D$9:$D$1007564,"&gt;"&amp;$E$7,Journals!$D$9:$D$1007564,"&lt;"&amp;$E$8,Journals!$J$9:$J$1007564,"Interest income from Bank Acc."))</f>
        <v>0</v>
      </c>
      <c r="I29" s="117">
        <f>MAX(0,SUMIFS(Journals!$L$9:$L$1007564,Journals!$D$9:$D$1007564,"&gt;"&amp;$E$7,Journals!$D$9:$D$1007564,"&lt;"&amp;$E$8,Journals!$J$9:$J$1007564,"Interest income from Bank Acc.")-SUMIFS(Journals!$K$9:$K$1007564,Journals!$D$9:$D$1007564,"&gt;"&amp;$E$7,Journals!$D$9:$D$1007564,"&lt;"&amp;$E$8,Journals!$J$9:$J$1007564,"Interest income from Bank Acc."))</f>
        <v>0</v>
      </c>
      <c r="J29" s="116"/>
      <c r="K29" s="116">
        <f>SUMIFS(Journals!$L$9:$L$1007564,Journals!$D$9:$D$1007564,"&lt;"&amp;$F$7,Journals!$J$9:$J$1007564,"Interest income from Bank Acc.")-SUMIFS(Journals!$K$9:$K$1007564,Journals!$D$9:$D$1007564,"&lt;"&amp;$F$7,Journals!$J$9:$J$1007564,"Interest income from Bank Acc.")</f>
        <v>0</v>
      </c>
      <c r="L29" s="116"/>
      <c r="M29" s="116">
        <f t="shared" si="1"/>
        <v>0</v>
      </c>
      <c r="N29" s="116"/>
      <c r="O29" s="116">
        <f>SUMIFS(Journals!$L$9:$L$1007564,Journals!$D$9:$D$1007564,"&lt;"&amp;$F$7,Journals!$J$9:$J$1007564,"Interest income from Bank Acc.")-SUMIFS(Journals!$K$9:$K$1007564,Journals!$D$9:$D$1007564,"&lt;"&amp;$F$7,Journals!$J$9:$J$1007564,"Interest income from Bank Acc.")</f>
        <v>0</v>
      </c>
      <c r="R29" s="175"/>
      <c r="S29" s="175"/>
      <c r="X29" s="170"/>
      <c r="Y29" s="170"/>
      <c r="Z29" s="170"/>
      <c r="AA29" s="170"/>
      <c r="AB29" s="170"/>
      <c r="AC29" s="170"/>
    </row>
    <row r="30" spans="2:29" x14ac:dyDescent="0.2">
      <c r="B30" s="118"/>
      <c r="G30" s="115" t="s">
        <v>1584</v>
      </c>
      <c r="H30" s="117">
        <f>MAX(0,SUMIFS(Journals!$K$9:$K$1007564,Journals!$D$9:$D$1007564,"&gt;"&amp;$E$7,Journals!$D$9:$D$1007564,"&lt;"&amp;$E$8,Journals!$J$9:$J$1007564,"Interest income from FDR")-SUMIFS(Journals!$L$9:$L$1007564,Journals!$D$9:$D$1007564,"&gt;"&amp;$E$7,Journals!$D$9:$D$1007564,"&lt;"&amp;$E$8,Journals!$J$9:$J$1007564,"Interest income from FDR"))</f>
        <v>0</v>
      </c>
      <c r="I30" s="117">
        <f>MAX(0,SUMIFS(Journals!$L$9:$L$1007564,Journals!$D$9:$D$1007564,"&gt;"&amp;$E$7,Journals!$D$9:$D$1007564,"&lt;"&amp;$E$8,Journals!$J$9:$J$1007564,"Interest income from FDR")-SUMIFS(Journals!$K$9:$K$1007564,Journals!$D$9:$D$1007564,"&gt;"&amp;$E$7,Journals!$D$9:$D$1007564,"&lt;"&amp;$E$8,Journals!$J$9:$J$1007564,"Interest income from FDR"))</f>
        <v>0</v>
      </c>
      <c r="J30" s="116"/>
      <c r="K30" s="116">
        <f>SUMIFS(Journals!$L$9:$L$1007564,Journals!$D$9:$D$1007564,"&lt;"&amp;$F$7,Journals!$J$9:$J$1007564,"Interest income from FDR")-SUMIFS(Journals!$K$9:$K$1007564,Journals!$D$9:$D$1007564,"&lt;"&amp;$F$7,Journals!$J$9:$J$1007564,"Interest income from FDR")</f>
        <v>0</v>
      </c>
      <c r="L30" s="116"/>
      <c r="M30" s="116">
        <f t="shared" si="1"/>
        <v>0</v>
      </c>
      <c r="N30" s="116"/>
      <c r="O30" s="116">
        <f>SUMIFS(Journals!$L$9:$L$1007564,Journals!$D$9:$D$1007564,"&lt;"&amp;$F$7,Journals!$J$9:$J$1007564,"Interest income from FDR")-SUMIFS(Journals!$K$9:$K$1007564,Journals!$D$9:$D$1007564,"&lt;"&amp;$F$7,Journals!$J$9:$J$1007564,"Interest income from FDR")</f>
        <v>0</v>
      </c>
      <c r="R30" s="175"/>
      <c r="S30" s="175"/>
      <c r="X30" s="170"/>
      <c r="Y30" s="170"/>
      <c r="Z30" s="170"/>
      <c r="AA30" s="170"/>
      <c r="AB30" s="170"/>
      <c r="AC30" s="170"/>
    </row>
    <row r="31" spans="2:29" x14ac:dyDescent="0.2">
      <c r="B31" s="118"/>
      <c r="G31" s="115" t="s">
        <v>1585</v>
      </c>
      <c r="H31" s="117">
        <f>MAX(0,SUMIFS(Journals!$K$9:$K$1007564,Journals!$D$9:$D$1007564,"&gt;"&amp;$E$7,Journals!$D$9:$D$1007564,"&lt;"&amp;$E$8,Journals!$J$9:$J$1007564,"Interest income reduce for Bond Premium")-SUMIFS(Journals!$L$9:$L$1007564,Journals!$D$9:$D$1007564,"&gt;"&amp;$E$7,Journals!$D$9:$D$1007564,"&lt;"&amp;$E$8,Journals!$J$9:$J$1007564,"Interest income reduce for Bond Premium"))</f>
        <v>0</v>
      </c>
      <c r="I31" s="117">
        <f>MAX(0,SUMIFS(Journals!$L$9:$L$1007564,Journals!$D$9:$D$1007564,"&gt;"&amp;$E$7,Journals!$D$9:$D$1007564,"&lt;"&amp;$E$8,Journals!$J$9:$J$1007564,"Interest income reduce for Bond Premium")-SUMIFS(Journals!$K$9:$K$1007564,Journals!$D$9:$D$1007564,"&gt;"&amp;$E$7,Journals!$D$9:$D$1007564,"&lt;"&amp;$E$8,Journals!$J$9:$J$1007564,"Interest income reduce for Bond Premium"))</f>
        <v>0</v>
      </c>
      <c r="J31" s="116">
        <f>SUMIFS(Journals!$K$9:$K$1007564,Journals!$D$9:$D$1007564,"&lt;"&amp;$F$7,Journals!$J$9:$J$1007564,"Interest income reduce for Bond Premium")-SUMIFS(Journals!$L$9:$L$1007564,Journals!$D$9:$D$1007564,"&lt;"&amp;$F$7,Journals!$J$9:$J$1007564,"Interest income reduce for Bond Premium")</f>
        <v>0</v>
      </c>
      <c r="K31" s="116"/>
      <c r="L31" s="116">
        <f>J31+H31-I31</f>
        <v>0</v>
      </c>
      <c r="M31" s="116"/>
      <c r="N31" s="116"/>
      <c r="O31" s="116"/>
      <c r="R31" s="175"/>
      <c r="S31" s="175"/>
      <c r="X31" s="170"/>
      <c r="Y31" s="170"/>
      <c r="Z31" s="170"/>
      <c r="AA31" s="170"/>
      <c r="AB31" s="170"/>
      <c r="AC31" s="170"/>
    </row>
    <row r="32" spans="2:29" x14ac:dyDescent="0.2">
      <c r="G32" s="115" t="s">
        <v>54</v>
      </c>
      <c r="H32" s="117">
        <f>MAX(0,SUMIFS(Journals!$K$9:$K$1007564,Journals!$D$9:$D$1007564,"&gt;"&amp;$E$7,Journals!$D$9:$D$1007564,"&lt;"&amp;$E$8,Journals!$J$9:$J$1007564,"Bank charges and excise duties")-SUMIFS(Journals!$L$9:$L$1007564,Journals!$D$9:$D$1007564,"&gt;"&amp;$E$7,Journals!$D$9:$D$1007564,"&lt;"&amp;$E$8,Journals!$J$9:$J$1007564,"Bank charges and excise duties"))</f>
        <v>167021.48000000001</v>
      </c>
      <c r="I32" s="117">
        <f>MAX(0,SUMIFS(Journals!$L$9:$L$1007564,Journals!$D$9:$D$1007564,"&gt;"&amp;$E$7,Journals!$D$9:$D$1007564,"&lt;"&amp;$E$8,Journals!$J$9:$J$1007564,"Bank charges and excise duties")-SUMIFS(Journals!$K$9:$K$1007564,Journals!$D$9:$D$1007564,"&gt;"&amp;$E$7,Journals!$D$9:$D$1007564,"&lt;"&amp;$E$8,Journals!$J$9:$J$1007564,"Bank charges and excise duties"))</f>
        <v>0</v>
      </c>
      <c r="J32" s="116"/>
      <c r="K32" s="116"/>
      <c r="L32" s="116"/>
      <c r="M32" s="116"/>
      <c r="N32" s="116">
        <f>SUMIFS(Journals!$K$9:$K$1007564,Journals!$D$9:$D$1007564,"&lt;"&amp;$F$7,Journals!$J$9:$J$1007564,"Bank charges and excise duties")-SUMIFS(Journals!$L$9:$L$1007564,Journals!$D$9:$D$1007564,"&lt;"&amp;$F$7,Journals!$J$9:$J$1007564,"Bank charges and excise duties")</f>
        <v>646075.35599975474</v>
      </c>
      <c r="O32" s="116"/>
      <c r="R32" s="175"/>
      <c r="S32" s="175"/>
      <c r="X32" s="170"/>
      <c r="Y32" s="170"/>
      <c r="Z32" s="170"/>
      <c r="AA32" s="170"/>
      <c r="AB32" s="170"/>
      <c r="AC32" s="170"/>
    </row>
    <row r="33" spans="1:29" x14ac:dyDescent="0.2">
      <c r="C33" s="114"/>
      <c r="G33" s="115" t="str">
        <f>'Chart of Accounts'!B25</f>
        <v>Brokerage commission</v>
      </c>
      <c r="H33" s="117">
        <f>MAX(0,SUMIFS(Journals!$K$9:$K$1007564,Journals!$D$9:$D$1007564,"&gt;"&amp;$E$7,Journals!$D$9:$D$1007564,"&lt;"&amp;$E$8,Journals!$J$9:$J$1007564,"Brokerage Commission")-SUMIFS(Journals!$L$9:$L$1007564,Journals!$D$9:$D$1007564,"&gt;"&amp;$E$7,Journals!$D$9:$D$1007564,"&lt;"&amp;$E$8,Journals!$J$9:$J$1007564,"Brokerage Commission"))</f>
        <v>3714.7300000000005</v>
      </c>
      <c r="I33" s="117">
        <f>MAX(0,SUMIFS(Journals!$L$9:$L$1007564,Journals!$D$9:$D$1007564,"&gt;"&amp;$E$7,Journals!$D$9:$D$1007564,"&lt;"&amp;$E$8,Journals!$J$9:$J$1007564,"brokerage commission")-SUMIFS(Journals!$K$9:$K$1007564,Journals!$D$9:$D$1007564,"&gt;"&amp;$E$7,Journals!$D$9:$D$1007564,"&lt;"&amp;$E$8,Journals!$J$9:$J$1007564,"brokerage commission"))</f>
        <v>0</v>
      </c>
      <c r="J33" s="116"/>
      <c r="K33" s="116"/>
      <c r="L33" s="116"/>
      <c r="M33" s="116"/>
      <c r="N33" s="116">
        <f>SUMIFS(Journals!$K$9:$K$1007564,Journals!$D$9:$D$1007564,"&lt;"&amp;$F$7,Journals!$J$9:$J$1007564,"brokerage commission")-SUMIFS(Journals!$L$9:$L$1007564,Journals!$D$9:$D$1007564,"&lt;"&amp;$F$7,Journals!$J$9:$J$1007564,"brokerage commission")</f>
        <v>22405.9182</v>
      </c>
      <c r="O33" s="116"/>
      <c r="R33" s="175"/>
      <c r="S33" s="175"/>
      <c r="X33" s="170"/>
      <c r="Y33" s="170"/>
      <c r="Z33" s="170"/>
      <c r="AA33" s="170"/>
      <c r="AB33" s="170"/>
      <c r="AC33" s="170"/>
    </row>
    <row r="34" spans="1:29" x14ac:dyDescent="0.2">
      <c r="A34" s="119"/>
      <c r="D34" s="114"/>
      <c r="G34" s="115" t="s">
        <v>72</v>
      </c>
      <c r="H34" s="117">
        <f>MAX(0,SUMIFS(Journals!$K$9:$K$1007564,Journals!$D$9:$D$1007564,"&gt;"&amp;$E$7,Journals!$D$9:$D$1007564,"&lt;"&amp;$E$8,Journals!$J$9:$J$1007564,"Unrealized gain on securities")-SUMIFS(Journals!$L$9:$L$1007564,Journals!$D$9:$D$1007564,"&gt;"&amp;$E$7,Journals!$D$9:$D$1007564,"&lt;"&amp;$E$8,Journals!$J$9:$J$1007564,"Unrealized gain on securities"))</f>
        <v>0</v>
      </c>
      <c r="I34" s="117">
        <f>MAX(0,SUMIFS(Journals!$L$9:$L$1007564,Journals!$D$9:$D$1007564,"&gt;"&amp;$E$7,Journals!$D$9:$D$1007564,"&lt;"&amp;$E$8,Journals!$J$9:$J$1007564,"Unrealized gain on securities")-SUMIFS(Journals!$K$9:$K$1007564,Journals!$D$9:$D$1007564,"&gt;"&amp;$E$7,Journals!$D$9:$D$1007564,"&lt;"&amp;$E$8,Journals!$J$9:$J$1007564,"Unrealized gain on securities"))</f>
        <v>396063.48999999464</v>
      </c>
      <c r="J34" s="116">
        <f>SUMIFS(Journals!$K$9:$K$1007564,Journals!$D$9:$D$1007564,"&lt;"&amp;$F$7,Journals!$J$9:$J$1007564,"Unrealized gain on securities")-SUMIFS(Journals!$L$9:$L$1007564,Journals!$D$9:$D$1007564,"&lt;"&amp;$F$7,Journals!$J$9:$J$1007564,"Unrealized gain on securities")</f>
        <v>-160630.88000000268</v>
      </c>
      <c r="K34" s="116"/>
      <c r="L34" s="116"/>
      <c r="M34" s="116"/>
      <c r="N34" s="116">
        <f>SUMIFS(Journals!K6:K1007561,Journals!D6:D1007561,"&lt;"&amp;F4,Journals!J6:J1007561,"Unrealized gain on securities")-SUMIFS(Journals!L6:L1007561,Journals!D6:D1007561,"&lt;"&amp;F4,Journals!J6:J1007561,"Unrealized gain on securities")</f>
        <v>0</v>
      </c>
      <c r="O34" s="116">
        <f>SUMIFS(Journals!$L$9:$L$1003833,Journals!$D$9:$D$1003833,"&lt;"&amp;$F$7,Journals!$J$9:$J$1003833,"unrealized gain on securities")-SUMIFS(Journals!$K$9:$K$1003833,Journals!$D$9:$D$1003833,"&lt;"&amp;$F$7,Journals!$J$9:$J$1003833,"unrealized gain on securities")</f>
        <v>160630.88000000268</v>
      </c>
      <c r="R34" s="175"/>
      <c r="S34" s="175"/>
      <c r="X34" s="170"/>
      <c r="Y34" s="170"/>
      <c r="Z34" s="170"/>
      <c r="AA34" s="170"/>
      <c r="AB34" s="170"/>
      <c r="AC34" s="170"/>
    </row>
    <row r="35" spans="1:29" x14ac:dyDescent="0.2">
      <c r="A35" s="119"/>
      <c r="D35" s="114"/>
      <c r="G35" s="115" t="s">
        <v>1458</v>
      </c>
      <c r="H35" s="117">
        <f>MAX(0,SUMIFS(Journals!$K$9:$K$1007564,Journals!$D$9:$D$1007564,"&gt;"&amp;$E$7,Journals!$D$9:$D$1007564,"&lt;"&amp;$E$8,Journals!$J$9:$J$1007564,"Unrealized gain on T-Bill")-SUMIFS(Journals!$L$9:$L$1007564,Journals!$D$9:$D$1007564,"&gt;"&amp;$E$7,Journals!$D$9:$D$1007564,"&lt;"&amp;$E$8,Journals!$J$9:$J$1007564,"Unrealized gain on T-Bill"))</f>
        <v>0</v>
      </c>
      <c r="I35" s="117">
        <f>MAX(0,SUMIFS(Journals!$L$9:$L$1007564,Journals!$D$9:$D$1007564,"&gt;"&amp;$E$7,Journals!$D$9:$D$1007564,"&lt;"&amp;$E$8,Journals!$J$9:$J$1007564,"Unrealized gain on T-Bill")-SUMIFS(Journals!$K$9:$K$1007564,Journals!$D$9:$D$1007564,"&gt;"&amp;$E$7,Journals!$D$9:$D$1007564,"&lt;"&amp;$E$8,Journals!$J$9:$J$1007564,"Unrealized gain on T-Bill"))</f>
        <v>0</v>
      </c>
      <c r="J35" s="116"/>
      <c r="K35" s="116">
        <f>SUMIFS(Journals!$L$9:$L$1007564,Journals!$D$9:$D$1007564,"&lt;"&amp;$F$7,Journals!$J$9:$J$1007564,"Unrealized gain on T-Bill")-SUMIFS(Journals!$K$9:$K$1007564,Journals!$D$9:$D$1007564,"&lt;"&amp;$F$7,Journals!$J$9:$J$1007564,"Unrealized gain on T-Bill")</f>
        <v>-0.19999998807907104</v>
      </c>
      <c r="L35" s="116"/>
      <c r="M35" s="116"/>
      <c r="N35" s="116">
        <f>SUMIFS(Journals!K7:K1007562,Journals!D7:D1007562,"&lt;"&amp;F5,Journals!J7:J1007562,"Unrealized gain on T-Bill")-SUMIFS(Journals!L7:L1007562,Journals!D7:D1007562,"&lt;"&amp;F5,Journals!J7:J1007562,"Unrealized gain on T-Bill")</f>
        <v>0</v>
      </c>
      <c r="O35" s="116">
        <f>SUMIFS(Journals!$L$9:$L$1003833,Journals!$D$9:$D$1003833,"&lt;"&amp;$F$7,Journals!$J$9:$J$1003833,"Unrealized gain on T-Bill")-SUMIFS(Journals!$K$9:$K$1003833,Journals!$D$9:$D$1003833,"&lt;"&amp;$F$7,Journals!$J$9:$J$1003833,"Unrealized gain on T-Bill")</f>
        <v>-0.19999998807907104</v>
      </c>
      <c r="R35" s="175"/>
      <c r="S35" s="175"/>
      <c r="X35" s="170"/>
      <c r="Y35" s="170"/>
      <c r="Z35" s="170"/>
      <c r="AA35" s="170"/>
      <c r="AB35" s="170"/>
      <c r="AC35" s="170"/>
    </row>
    <row r="36" spans="1:29" x14ac:dyDescent="0.2">
      <c r="A36" s="119"/>
      <c r="D36" s="114"/>
      <c r="G36" s="115" t="s">
        <v>1459</v>
      </c>
      <c r="H36" s="117">
        <f>MAX(0,SUMIFS(Journals!$K$9:$K$1007564,Journals!$D$9:$D$1007564,"&gt;"&amp;$E$7,Journals!$D$9:$D$1007564,"&lt;"&amp;$E$8,Journals!$J$9:$J$1007564,"Unrealized gain on T-Bond")-SUMIFS(Journals!$L$9:$L$1007564,Journals!$D$9:$D$1007564,"&gt;"&amp;$E$7,Journals!$D$9:$D$1007564,"&lt;"&amp;$E$8,Journals!$J$9:$J$1007564,"Unrealized gain on T-Bond"))</f>
        <v>0</v>
      </c>
      <c r="I36" s="117">
        <f>MAX(0,SUMIFS(Journals!$L$9:$L$1007564,Journals!$D$9:$D$1007564,"&gt;"&amp;$E$7,Journals!$D$9:$D$1007564,"&lt;"&amp;$E$8,Journals!$J$9:$J$1007564,"Unrealized gain on T-Bond")-SUMIFS(Journals!$K$9:$K$1007564,Journals!$D$9:$D$1007564,"&gt;"&amp;$E$7,Journals!$D$9:$D$1007564,"&lt;"&amp;$E$8,Journals!$J$9:$J$1007564,"Unrealized gain on T-Bond"))</f>
        <v>24729620.235786557</v>
      </c>
      <c r="J36" s="116"/>
      <c r="K36" s="116">
        <f>SUMIFS(Journals!$L$9:$L$1007564,Journals!$D$9:$D$1007564,"&lt;"&amp;$F$7,Journals!$J$9:$J$1007564,"Unrealized gain on T-Bond")-SUMIFS(Journals!$K$9:$K$1007564,Journals!$D$9:$D$1007564,"&lt;"&amp;$F$7,Journals!$J$9:$J$1007564,"Unrealized gain on T-Bond")</f>
        <v>4692855.1639998555</v>
      </c>
      <c r="L36" s="116"/>
      <c r="M36" s="116"/>
      <c r="N36" s="116">
        <f>SUMIFS(Journals!K8:K1007563,Journals!D8:D1007563,"&lt;"&amp;F6,Journals!J8:J1007563,"Unrealized gain on T-Bond")-SUMIFS(Journals!L8:L1007563,Journals!D8:D1007563,"&lt;"&amp;F6,Journals!J8:J1007563,"Unrealized gain on T-Bond")</f>
        <v>0</v>
      </c>
      <c r="O36" s="116">
        <f>SUMIFS(Journals!$L$9:$L$1003833,Journals!$D$9:$D$1003833,"&lt;"&amp;$F$7,Journals!$J$9:$J$1003833,"Unrealized gain on T-Bond")-SUMIFS(Journals!$K$9:$K$1003833,Journals!$D$9:$D$1003833,"&lt;"&amp;$F$7,Journals!$J$9:$J$1003833,"Unrealized gain on T-Bond")</f>
        <v>4692855.1639998555</v>
      </c>
      <c r="R36" s="175"/>
      <c r="S36" s="175"/>
      <c r="X36" s="170"/>
      <c r="Y36" s="170"/>
      <c r="Z36" s="170"/>
      <c r="AA36" s="170"/>
      <c r="AB36" s="170"/>
      <c r="AC36" s="170"/>
    </row>
    <row r="37" spans="1:29" x14ac:dyDescent="0.2">
      <c r="B37" s="104"/>
      <c r="G37" s="115" t="str">
        <f>'Chart of Accounts'!B29</f>
        <v>Unrealized loss on securities</v>
      </c>
      <c r="H37" s="117">
        <f>MAX(0,SUMIFS(Journals!$K$9:$K$1007564,Journals!$D$9:$D$1007564,"&gt;"&amp;$E$7,Journals!$D$9:$D$1007564,"&lt;"&amp;$E$8,Journals!$J$9:$J$1007564,"Unrealized loss on securities")-SUMIFS(Journals!$L$9:$L$1007564,Journals!$D$9:$D$1007564,"&gt;"&amp;$E$7,Journals!$D$9:$D$1007564,"&lt;"&amp;$E$8,Journals!$J$9:$J$1007564,"Unrealized loss on securities"))</f>
        <v>0</v>
      </c>
      <c r="I37" s="117">
        <f>MAX(0,SUMIFS(Journals!$L$9:$L$1007564,Journals!$D$9:$D$1007564,"&gt;"&amp;$E$7,Journals!$D$9:$D$1007564,"&lt;"&amp;$E$8,Journals!$J$9:$J$1007564,"Unrealized loss on securities")-SUMIFS(Journals!$K$9:$K$1007564,Journals!$D$9:$D$1007564,"&gt;"&amp;$E$7,Journals!$D$9:$D$1007564,"&lt;"&amp;$E$8,Journals!$J$9:$J$1007564,"Unrealized loss on securities"))</f>
        <v>0</v>
      </c>
      <c r="J37" s="116"/>
      <c r="K37" s="116"/>
      <c r="L37" s="116"/>
      <c r="M37" s="116"/>
      <c r="N37" s="116">
        <f>SUMIFS(Journals!K9:K1007564,Journals!D9:D1007564,"&lt;"&amp;F7,Journals!J9:J1007564,"unrealized loss on securities")-SUMIFS(Journals!L9:L1007564,Journals!D9:D1007564,"&lt;"&amp;F7,Journals!J9:J1007564,"unrealized loss on securities")</f>
        <v>0</v>
      </c>
      <c r="O37" s="116"/>
      <c r="R37" s="175"/>
      <c r="S37" s="175"/>
      <c r="X37" s="170"/>
      <c r="Y37" s="170"/>
      <c r="Z37" s="170"/>
      <c r="AA37" s="170"/>
      <c r="AB37" s="170"/>
      <c r="AC37" s="170"/>
    </row>
    <row r="38" spans="1:29" x14ac:dyDescent="0.2">
      <c r="G38" s="115" t="str">
        <f>'Chart of Accounts'!B30</f>
        <v>Amortization of preliminary and issue expense</v>
      </c>
      <c r="H38" s="117">
        <f>MAX(0,SUMIFS(Journals!$K$9:$K$1007564,Journals!$D$9:$D$1007564,"&gt;"&amp;$E$7,Journals!$D$9:$D$1007564,"&lt;"&amp;$E$8,Journals!$J$9:$J$1007564,"Amortization of preliminary and issue expense")-SUMIFS(Journals!$L$9:$L$1007564,Journals!$D$9:$D$1007564,"&gt;"&amp;$E$7,Journals!$D$9:$D$1007564,"&lt;"&amp;$E$8,Journals!$J$9:$J$1007564,"Amortization of preliminary and issue expense"))</f>
        <v>138713.88439560405</v>
      </c>
      <c r="I38" s="117">
        <f>MAX(0,SUMIFS(Journals!$L$9:$L$1007564,Journals!$D$9:$D$1007564,"&gt;"&amp;$E$7,Journals!$D$9:$D$1007564,"&lt;"&amp;$E$8,Journals!$J$9:$J$1007564,"Amortization of preliminary and issue expense")-SUMIFS(Journals!$K$9:$K$1007564,Journals!$D$9:$D$1007564,"&gt;"&amp;$E$7,Journals!$D$9:$D$1007564,"&lt;"&amp;$E$8,Journals!$J$9:$J$1007564,"Amortization of preliminary and issue expense"))</f>
        <v>0</v>
      </c>
      <c r="J38" s="116"/>
      <c r="K38" s="116"/>
      <c r="L38" s="116"/>
      <c r="M38" s="116"/>
      <c r="N38" s="116">
        <f>SUMIFS(Journals!$K$9:$K$1007564,Journals!$D$9:$D$1007564,"&lt;"&amp;$F$7,Journals!$J$9:$J$1007564,"Amortization of preliminary and issue expense")-SUMIFS(Journals!$L$9:$L$1007564,Journals!$D$9:$D$1007564,"&lt;"&amp;$F$7,Journals!$J$9:$J$1007564,"Amortization of preliminary and issue expense")</f>
        <v>440270.6397802197</v>
      </c>
      <c r="O38" s="116"/>
      <c r="R38" s="175"/>
      <c r="S38" s="175"/>
      <c r="X38" s="170"/>
      <c r="Y38" s="170"/>
      <c r="Z38" s="170"/>
      <c r="AA38" s="170"/>
      <c r="AB38" s="170"/>
      <c r="AC38" s="170"/>
    </row>
    <row r="39" spans="1:29" x14ac:dyDescent="0.2">
      <c r="B39" s="114"/>
      <c r="G39" s="115" t="str">
        <f>'Chart of Accounts'!B31</f>
        <v>Management Fee</v>
      </c>
      <c r="H39" s="117">
        <f>MAX(0,SUMIFS(Journals!$K$9:$K$1007564,Journals!$D$9:$D$1007564,"&gt;"&amp;$E$7,Journals!$D$9:$D$1007564,"&lt;"&amp;$E$8,Journals!$J$9:$J$1007564,"management fee")-SUMIFS(Journals!$L$9:$L$1007564,Journals!$D$9:$D$1007564,"&gt;"&amp;$E$7,Journals!$D$9:$D$1007564,"&lt;"&amp;$E$8,Journals!$J$9:$J$1007564,"management fee"))</f>
        <v>2130135.1347301933</v>
      </c>
      <c r="I39" s="117">
        <f>MAX(0,SUMIFS(Journals!$L$9:$L$1007564,Journals!$D$9:$D$1007564,"&gt;"&amp;$E$7,Journals!$D$9:$D$1007564,"&lt;"&amp;$E$8,Journals!$J$9:$J$1007564,"management fee")-SUMIFS(Journals!$K$9:$K$1007564,Journals!$D$9:$D$1007564,"&gt;"&amp;$E$7,Journals!$D$9:$D$1007564,"&lt;"&amp;$E$8,Journals!$J$9:$J$1007564,"management fee"))</f>
        <v>0</v>
      </c>
      <c r="J39" s="116"/>
      <c r="K39" s="116"/>
      <c r="L39" s="116"/>
      <c r="M39" s="116"/>
      <c r="N39" s="116">
        <f>SUMIFS(Journals!$K$9:$K$1007564,Journals!$D$9:$D$1007564,"&lt;"&amp;$F$7,Journals!$J$9:$J$1007564,"management fee")-SUMIFS(Journals!$L$9:$L$1007564,Journals!$D$9:$D$1007564,"&lt;"&amp;$F$7,Journals!$J$9:$J$1007564,"management fee")</f>
        <v>3385722.9367899275</v>
      </c>
      <c r="O39" s="116"/>
      <c r="R39" s="175"/>
      <c r="S39" s="175"/>
      <c r="X39" s="170"/>
      <c r="Y39" s="170"/>
      <c r="Z39" s="170"/>
      <c r="AA39" s="170"/>
      <c r="AB39" s="170"/>
      <c r="AC39" s="170"/>
    </row>
    <row r="40" spans="1:29" x14ac:dyDescent="0.2">
      <c r="B40" s="114"/>
      <c r="G40" s="115" t="str">
        <f>'Chart of Accounts'!B32</f>
        <v>Trustee fee</v>
      </c>
      <c r="H40" s="117">
        <f>MAX(0,SUMIFS(Journals!$K$9:$K$1007564,Journals!$D$9:$D$1007564,"&gt;"&amp;$E$7,Journals!$D$9:$D$1007564,"&lt;"&amp;$E$8,Journals!$J$9:$J$1007564,"trustee fee")-SUMIFS(Journals!$L$9:$L$1007564,Journals!$D$9:$D$1007564,"&gt;"&amp;$E$7,Journals!$D$9:$D$1007564,"&lt;"&amp;$E$8,Journals!$J$9:$J$1007564,"trustee fee"))</f>
        <v>213013.50312477144</v>
      </c>
      <c r="I40" s="117">
        <f>MAX(0,SUMIFS(Journals!$L$9:$L$1007564,Journals!$D$9:$D$1007564,"&gt;"&amp;$E$7,Journals!$D$9:$D$1007564,"&lt;"&amp;$E$8,Journals!$J$9:$J$1007564,"trustee fee")-SUMIFS(Journals!$K$9:$K$1007564,Journals!$D$9:$D$1007564,"&gt;"&amp;$E$7,Journals!$D$9:$D$1007564,"&lt;"&amp;$E$8,Journals!$J$9:$J$1007564,"trustee fee"))</f>
        <v>0</v>
      </c>
      <c r="J40" s="116"/>
      <c r="K40" s="116"/>
      <c r="L40" s="116"/>
      <c r="M40" s="116"/>
      <c r="N40" s="116">
        <f>SUMIFS(Journals!$K$9:$K$1007564,Journals!$D$9:$D$1007564,"&lt;"&amp;$F$7,Journals!$J$9:$J$1007564,"trustee fee")-SUMIFS(Journals!$L$9:$L$1007564,Journals!$D$9:$D$1007564,"&lt;"&amp;$F$7,Journals!$J$9:$J$1007564,"trustee fee")</f>
        <v>361206.69442179758</v>
      </c>
      <c r="O40" s="116"/>
      <c r="R40" s="175"/>
      <c r="S40" s="175"/>
      <c r="X40" s="170"/>
      <c r="Y40" s="170"/>
      <c r="Z40" s="170"/>
      <c r="AA40" s="170"/>
      <c r="AB40" s="170"/>
      <c r="AC40" s="170"/>
    </row>
    <row r="41" spans="1:29" x14ac:dyDescent="0.2">
      <c r="G41" s="115" t="s">
        <v>1847</v>
      </c>
      <c r="H41" s="117">
        <f>MAX(0,SUMIFS(Journals!$K$9:$K$1007494,Journals!$D$9:$D$1007494,"&gt;"&amp;$E$7,Journals!$D$9:$D$1007494,"&lt;"&amp;$E$8,Journals!$J$9:$J$1007494,"Advanced BSEC Annual Fee")-SUMIFS(Journals!$L$9:$L$1007494,Journals!$D$9:$D$1007494,"&gt;"&amp;$E$7,Journals!$D$9:$D$1007494,"&lt;"&amp;$E$8,Journals!$J$9:$J$1007494,"Advanced BSEC Annual Fee"))</f>
        <v>138836.11054944998</v>
      </c>
      <c r="I41" s="117">
        <f>MAX(0,SUMIFS(Journals!$L$9:$L$1007494,Journals!$D$9:$D$1007494,"&gt;"&amp;$E$7,Journals!$D$9:$D$1007494,"&lt;"&amp;$E$8,Journals!$J$9:$J$1007494,"Advanced BSEC Annual Fee")-SUMIFS(Journals!$K$9:$K$1007494,Journals!$D$9:$D$1007494,"&gt;"&amp;$E$7,Journals!$D$9:$D$1007494,"&lt;"&amp;$E$8,Journals!$J$9:$J$1007494,"Advanced BSEC Annual Fee"))</f>
        <v>0</v>
      </c>
      <c r="J41" s="116">
        <f>SUMIFS(Journals!$K$9:$K$1007494,Journals!$D$9:$D$1007494,"&lt;"&amp;$F$7,Journals!$J$9:$J$1007494,"Advanced BSEC Annual Fee")-SUMIFS(Journals!$L$9:$L$1007494,Journals!$D$9:$D$1007494,"&lt;"&amp;$F$7,Journals!$J$9:$J$1007494,"Advanced BSEC Annual Fee")</f>
        <v>0</v>
      </c>
      <c r="K41" s="116"/>
      <c r="L41" s="116">
        <f>J41+H41-I41</f>
        <v>138836.11054944998</v>
      </c>
      <c r="M41" s="116"/>
      <c r="N41" s="116"/>
      <c r="O41" s="116"/>
      <c r="R41" s="175"/>
      <c r="S41" s="175"/>
      <c r="X41" s="170"/>
      <c r="Y41" s="170"/>
      <c r="Z41" s="170"/>
      <c r="AA41" s="170"/>
      <c r="AB41" s="170"/>
      <c r="AC41" s="170"/>
    </row>
    <row r="42" spans="1:29" x14ac:dyDescent="0.2">
      <c r="G42" s="115" t="str">
        <f>'Chart of Accounts'!B33</f>
        <v>BSEC Annual Fee</v>
      </c>
      <c r="H42" s="117">
        <f>MAX(0,SUMIFS(Journals!$K$9:$K$1007564,Journals!$D$9:$D$1007564,"&gt;"&amp;$E$7,Journals!$D$9:$D$1007564,"&lt;"&amp;$E$8,Journals!$J$9:$J$1007564,"bsec annual fee")-SUMIFS(Journals!$L$9:$L$1007564,Journals!$D$9:$D$1007564,"&gt;"&amp;$E$7,Journals!$D$9:$D$1007564,"&lt;"&amp;$E$8,Journals!$J$9:$J$1007564,"bsec annual fee"))</f>
        <v>442041.40945055004</v>
      </c>
      <c r="I42" s="117">
        <f>MAX(0,SUMIFS(Journals!$L$9:$L$1007564,Journals!$D$9:$D$1007564,"&gt;"&amp;$E$7,Journals!$D$9:$D$1007564,"&lt;"&amp;$E$8,Journals!$J$9:$J$1007564,"bsec annual fee")-SUMIFS(Journals!$K$9:$K$1007564,Journals!$D$9:$D$1007564,"&gt;"&amp;$E$7,Journals!$D$9:$D$1007564,"&lt;"&amp;$E$8,Journals!$J$9:$J$1007564,"bsec annual fee"))</f>
        <v>0</v>
      </c>
      <c r="J42" s="116"/>
      <c r="K42" s="116"/>
      <c r="L42" s="116"/>
      <c r="M42" s="116"/>
      <c r="N42" s="116">
        <f>SUMIFS(Journals!$K$9:$K$1007564,Journals!$D$9:$D$1007564,"&lt;"&amp;$F$7,Journals!$J$9:$J$1007564,"bsec annual fee")-SUMIFS(Journals!$L$9:$L$1007564,Journals!$D$9:$D$1007564,"&lt;"&amp;$F$7,Journals!$J$9:$J$1007564,"bsec annual fee")</f>
        <v>481302.24000000005</v>
      </c>
      <c r="O42" s="116"/>
      <c r="R42" s="175"/>
      <c r="S42" s="175"/>
      <c r="X42" s="170"/>
      <c r="Y42" s="170"/>
      <c r="Z42" s="170"/>
      <c r="AA42" s="170"/>
      <c r="AB42" s="170"/>
      <c r="AC42" s="170"/>
    </row>
    <row r="43" spans="1:29" x14ac:dyDescent="0.2">
      <c r="G43" s="115" t="str">
        <f>'Chart of Accounts'!B34</f>
        <v>Audit fee</v>
      </c>
      <c r="H43" s="117">
        <f>MAX(0,SUMIFS(Journals!$K$9:$K$1007564,Journals!$D$9:$D$1007564,"&gt;"&amp;$E$7,Journals!$D$9:$D$1007564,"&lt;"&amp;$E$8,Journals!$J$9:$J$1007564,"audit fee")-SUMIFS(Journals!$L$9:$L$1007564,Journals!$D$9:$D$1007564,"&gt;"&amp;$E$7,Journals!$D$9:$D$1007564,"&lt;"&amp;$E$8,Journals!$J$9:$J$1007564,"audit fee"))</f>
        <v>0</v>
      </c>
      <c r="I43" s="117">
        <f>MAX(0,SUMIFS(Journals!$L$9:$L$1007564,Journals!$D$9:$D$1007564,"&gt;"&amp;$E$7,Journals!$D$9:$D$1007564,"&lt;"&amp;$E$8,Journals!$J$9:$J$1007564,"audit fee")-SUMIFS(Journals!$K$9:$K$1007564,Journals!$D$9:$D$1007564,"&gt;"&amp;$E$7,Journals!$D$9:$D$1007564,"&lt;"&amp;$E$8,Journals!$J$9:$J$1007564,"audit fee"))</f>
        <v>0</v>
      </c>
      <c r="J43" s="116"/>
      <c r="K43" s="116"/>
      <c r="L43" s="116"/>
      <c r="M43" s="116"/>
      <c r="N43" s="116">
        <f>SUMIFS(Journals!$K$9:$K$1007564,Journals!$D$9:$D$1007564,"&lt;"&amp;$F$7,Journals!$J$9:$J$1007564,"audit fee")-SUMIFS(Journals!$L$9:$L$1007564,Journals!$D$9:$D$1007564,"&lt;"&amp;$F$7,Journals!$J$9:$J$1007564,"audit fee")</f>
        <v>89500</v>
      </c>
      <c r="O43" s="116"/>
      <c r="R43" s="175"/>
      <c r="S43" s="175"/>
      <c r="X43" s="170"/>
      <c r="Y43" s="170"/>
      <c r="Z43" s="170"/>
      <c r="AA43" s="170"/>
      <c r="AB43" s="170"/>
      <c r="AC43" s="170"/>
    </row>
    <row r="44" spans="1:29" x14ac:dyDescent="0.2">
      <c r="G44" s="115" t="str">
        <f>'Chart of Accounts'!B35</f>
        <v>CDBL charges</v>
      </c>
      <c r="H44" s="117">
        <f>MAX(0,SUMIFS(Journals!$K$9:$K$1007564,Journals!$D$9:$D$1007564,"&gt;"&amp;$E$7,Journals!$D$9:$D$1007564,"&lt;"&amp;$E$8,Journals!$J$9:$J$1007564,"cdbl charges")-SUMIFS(Journals!$L$9:$L$1007564,Journals!$D$9:$D$1007564,"&gt;"&amp;$E$7,Journals!$D$9:$D$1007564,"&lt;"&amp;$E$8,Journals!$J$9:$J$1007564,"cdbl charges"))</f>
        <v>96969</v>
      </c>
      <c r="I44" s="117">
        <f>MAX(0,SUMIFS(Journals!$L$9:$L$1007564,Journals!$D$9:$D$1007564,"&gt;"&amp;$E$7,Journals!$D$9:$D$1007564,"&lt;"&amp;$E$8,Journals!$J$9:$J$1007564,"cdbl charges")-SUMIFS(Journals!$K$9:$K$1007564,Journals!$D$9:$D$1007564,"&gt;"&amp;$E$7,Journals!$D$9:$D$1007564,"&lt;"&amp;$E$8,Journals!$J$9:$J$1007564,"cdbl charges"))</f>
        <v>0</v>
      </c>
      <c r="J44" s="116"/>
      <c r="K44" s="116"/>
      <c r="L44" s="116"/>
      <c r="M44" s="116"/>
      <c r="N44" s="116">
        <f>SUMIFS(Journals!$K$9:$K$1007564,Journals!$D$9:$D$1007564,"&lt;"&amp;$F$7,Journals!$J$9:$J$1007564,"cdbl charges")-SUMIFS(Journals!$L$9:$L$1007564,Journals!$D$9:$D$1007564,"&lt;"&amp;$F$7,Journals!$J$9:$J$1007564,"cdbl charges")</f>
        <v>4583.34</v>
      </c>
      <c r="O44" s="116"/>
      <c r="R44" s="175"/>
      <c r="S44" s="175"/>
      <c r="X44" s="170"/>
      <c r="Y44" s="170"/>
      <c r="Z44" s="170"/>
      <c r="AA44" s="170"/>
      <c r="AB44" s="170"/>
      <c r="AC44" s="170"/>
    </row>
    <row r="45" spans="1:29" x14ac:dyDescent="0.2">
      <c r="D45" s="409"/>
      <c r="G45" s="115" t="str">
        <f>'Chart of Accounts'!B36</f>
        <v>Fair value adjustment</v>
      </c>
      <c r="H45" s="117">
        <f>MAX(0,SUMIFS(Journals!$K$9:$K$1007564,Journals!$D$9:$D$1007564,"&gt;"&amp;$E$7,Journals!$D$9:$D$1007564,"&lt;"&amp;$E$8,Journals!$J$9:$J$1007564,"Fair value adjustment")-SUMIFS(Journals!$L$9:$L$1007564,Journals!$D$9:$D$1007564,"&gt;"&amp;$E$7,Journals!$D$9:$D$1007564,"&lt;"&amp;$E$8,Journals!$J$9:$J$1007564,"Fair value adjustment"))</f>
        <v>396063.48999999464</v>
      </c>
      <c r="I45" s="117">
        <f>MAX(0,SUMIFS(Journals!$L$9:$L$1007564,Journals!$D$9:$D$1007564,"&gt;"&amp;$E$7,Journals!$D$9:$D$1007564,"&lt;"&amp;$E$8,Journals!$J$9:$J$1007564,"fair value adjustment")-SUMIFS(Journals!$K$9:$K$1007564,Journals!$D$9:$D$1007564,"&gt;"&amp;$E$7,Journals!$D$9:$D$1007564,"&lt;"&amp;$E$8,Journals!$J$9:$J$1007564,"fair value adjustment"))</f>
        <v>0</v>
      </c>
      <c r="J45" s="116">
        <f>MAX(0,SUMIFS(Journals!K9:K1007564,Journals!D9:D1007564,"&lt;"&amp;F7,Journals!J9:J1007564,"fair value adjustment")-SUMIFS(Journals!L9:L1007564,Journals!D9:D1007564,"&lt;"&amp;F7,Journals!J9:J1007564,"fair value adjustment"))</f>
        <v>160630.88000000268</v>
      </c>
      <c r="K45" s="116">
        <f>MAX(0,SUMIFS(Journals!L9:L1007564,Journals!D9:D1007564,"&lt;"&amp;F7,Journals!J9:J1007564,"Fair value adjustment")-SUMIFS(Journals!K9:K1007564,Journals!D9:D1007564,"&lt;"&amp;F7,Journals!J9:J1007564,"fair value adjustment"))</f>
        <v>0</v>
      </c>
      <c r="L45" s="116">
        <f>MAX(0,H45-I45+J45-K45)</f>
        <v>556694.36999999732</v>
      </c>
      <c r="M45" s="116">
        <f>MAX(0,I45-H45-J45+K45)</f>
        <v>0</v>
      </c>
      <c r="N45" s="116"/>
      <c r="O45" s="116"/>
      <c r="Q45" s="104"/>
      <c r="R45" s="175"/>
      <c r="S45" s="175"/>
      <c r="X45" s="170"/>
      <c r="Y45" s="170"/>
      <c r="Z45" s="170"/>
      <c r="AA45" s="170"/>
      <c r="AB45" s="170"/>
      <c r="AC45" s="170"/>
    </row>
    <row r="46" spans="1:29" x14ac:dyDescent="0.2">
      <c r="D46" s="114"/>
      <c r="G46" s="115" t="s">
        <v>1460</v>
      </c>
      <c r="H46" s="117">
        <f>MAX(0,SUMIFS(Journals!$K$9:$K$1007564,Journals!$D$9:$D$1007564,"&gt;"&amp;$E$7,Journals!$D$9:$D$1007564,"&lt;"&amp;$E$8,Journals!$J$9:$J$1007564,"Fair value adjustment in T-Bill")-SUMIFS(Journals!$L$9:$L$1007564,Journals!$D$9:$D$1007564,"&gt;"&amp;$E$7,Journals!$D$9:$D$1007564,"&lt;"&amp;$E$8,Journals!$J$9:$J$1007564,"Fair value adjustment in T-Bill"))</f>
        <v>0</v>
      </c>
      <c r="I46" s="117">
        <f>MAX(0,SUMIFS(Journals!$L$9:$L$1007564,Journals!$D$9:$D$1007564,"&gt;"&amp;$E$7,Journals!$D$9:$D$1007564,"&lt;"&amp;$E$8,Journals!$J$9:$J$1007564,"Fair value adjustment in T-Bill")-SUMIFS(Journals!$K$9:$K$1007564,Journals!$D$9:$D$1007564,"&gt;"&amp;$E$7,Journals!$D$9:$D$1007564,"&lt;"&amp;$E$8,Journals!$J$9:$J$1007564,"Fair value adjustment in T-Bill"))</f>
        <v>0</v>
      </c>
      <c r="J46" s="116">
        <f>MAX(0,SUMIFS(Journals!K9:K1007564,Journals!D9:D1007564,"&lt;"&amp;F7,Journals!J9:J1007564,"Fair value adjustment in T-Bill")-SUMIFS(Journals!L9:L1007564,Journals!D9:D1007564,"&lt;"&amp;F7,Journals!J9:J1007564,"Fair value adjustment in T-Bill"))</f>
        <v>0</v>
      </c>
      <c r="K46" s="116">
        <f>MAX(0,SUMIFS(Journals!L9:L1007564,Journals!D9:D1007564,"&lt;"&amp;F7,Journals!J9:J1007564,"Fair value adjustment in T-Bill")-SUMIFS(Journals!K9:K1007564,Journals!D9:D1007564,"&lt;"&amp;F7,Journals!J9:J1007564,"Fair value adjustment in T-Bill"))</f>
        <v>0.19999998807907104</v>
      </c>
      <c r="L46" s="116">
        <f>MAX(0,H46-I46+J46-K46)</f>
        <v>0</v>
      </c>
      <c r="M46" s="116">
        <f>MAX(0,I46-H46-J46+K46)</f>
        <v>0.19999998807907104</v>
      </c>
      <c r="N46" s="116"/>
      <c r="O46" s="116"/>
      <c r="Q46" s="104"/>
      <c r="R46" s="175"/>
      <c r="S46" s="175"/>
      <c r="X46" s="170"/>
      <c r="Y46" s="170"/>
      <c r="Z46" s="170"/>
      <c r="AA46" s="170"/>
      <c r="AB46" s="170"/>
      <c r="AC46" s="170"/>
    </row>
    <row r="47" spans="1:29" x14ac:dyDescent="0.2">
      <c r="G47" s="115" t="s">
        <v>1461</v>
      </c>
      <c r="H47" s="117">
        <f>MAX(0,SUMIFS(Journals!$K$9:$K$1007564,Journals!$D$9:$D$1007564,"&gt;"&amp;$E$7,Journals!$D$9:$D$1007564,"&lt;"&amp;$E$8,Journals!$J$9:$J$1007564,"Fair value adjustment in T-Bond")-SUMIFS(Journals!$L$9:$L$1007564,Journals!$D$9:$D$1007564,"&gt;"&amp;$E$7,Journals!$D$9:$D$1007564,"&lt;"&amp;$E$8,Journals!$J$9:$J$1007564,"Fair value adjustment in T-Bond"))</f>
        <v>24729620.235786557</v>
      </c>
      <c r="I47" s="117">
        <f>MAX(0,SUMIFS(Journals!$L$9:$L$1007564,Journals!$D$9:$D$1007564,"&gt;"&amp;$E$7,Journals!$D$9:$D$1007564,"&lt;"&amp;$E$8,Journals!$J$9:$J$1007564,"fair value adjustment in T-Bond")-SUMIFS(Journals!$K$9:$K$1007564,Journals!$D$9:$D$1007564,"&gt;"&amp;$E$7,Journals!$D$9:$D$1007564,"&lt;"&amp;$E$8,Journals!$J$9:$J$1007564,"fair value adjustment in T-Bond"))</f>
        <v>0</v>
      </c>
      <c r="J47" s="116">
        <f>MAX(0,SUMIFS(Journals!K9:K1007564,Journals!D9:D1007564,"&lt;"&amp;F7,Journals!J9:J1007564,"Fair value adjustment in T-Bond")-SUMIFS(Journals!L9:L1007564,Journals!D9:D1007564,"&lt;"&amp;F7,Journals!J9:J1007564,"Fair value adjustment in T-Bond"))</f>
        <v>4692855.1639998555</v>
      </c>
      <c r="K47" s="116">
        <f>MAX(0,SUMIFS(Journals!L9:L1007564,Journals!D9:D1007564,"&lt;"&amp;F7,Journals!J9:J1007564,"Fair value adjustment in T-Bond")-SUMIFS(Journals!K9:K1007564,Journals!D9:D1007564,"&lt;"&amp;F7,Journals!J9:J1007564,"fair value adjustment in T-Bond"))</f>
        <v>0</v>
      </c>
      <c r="L47" s="116">
        <f>MAX(0,H47-I47+J47-K47)</f>
        <v>29422475.399786413</v>
      </c>
      <c r="M47" s="116">
        <f>MAX(0,I47-H47-J47+K47)</f>
        <v>0</v>
      </c>
      <c r="N47" s="116"/>
      <c r="O47" s="116"/>
      <c r="Q47" s="104"/>
      <c r="R47" s="175"/>
      <c r="S47" s="175"/>
      <c r="X47" s="170"/>
      <c r="Y47" s="170"/>
      <c r="Z47" s="170"/>
      <c r="AA47" s="170"/>
      <c r="AB47" s="170"/>
      <c r="AC47" s="170"/>
    </row>
    <row r="48" spans="1:29" x14ac:dyDescent="0.2">
      <c r="A48" s="152"/>
      <c r="B48" s="152"/>
      <c r="C48" s="177"/>
      <c r="D48" s="177"/>
      <c r="E48" s="152"/>
      <c r="F48" s="152"/>
      <c r="G48" s="153" t="s">
        <v>113</v>
      </c>
      <c r="H48" s="117">
        <f>MAX(0,SUMIFS(Journals!$K$9:$K$1007564,Journals!$D$9:$D$1007564,"&gt;"&amp;$E$7,Journals!$D$9:$D$1007564,"&lt;"&amp;$E$8,Journals!$J$9:$J$1007564,"Interest receivables from FDR")-SUMIFS(Journals!$L$9:$L$1007564,Journals!$D$9:$D$1007564,"&gt;"&amp;$E$7,Journals!$D$9:$D$1007564,"&lt;"&amp;$E$8,Journals!$J$9:$J$1007564,"Interest receivables from FDR"))</f>
        <v>728800.18252744526</v>
      </c>
      <c r="I48" s="117">
        <f>MAX(0,SUMIFS(Journals!$L$9:$L$1007564,Journals!$D$9:$D$1007564,"&gt;"&amp;$E$7,Journals!$D$9:$D$1007564,"&lt;"&amp;$E$8,Journals!$J$9:$J$1007564,"Interest receivables from FDR")-SUMIFS(Journals!$K$9:$K$1007564,Journals!$D$9:$D$1007564,"&gt;"&amp;$E$7,Journals!$D$9:$D$1007564,"&lt;"&amp;$E$8,Journals!$J$9:$J$1007564,"Interest receivables from FDR"))</f>
        <v>0</v>
      </c>
      <c r="J48" s="116">
        <f>SUMIFS(Journals!$K$9:$K$1007564,Journals!$D$9:$D$1007564,"&lt;"&amp;$F$7,Journals!$J$9:$J$1007564,"Interest receivables from FDR")-SUMIFS(Journals!$L$9:$L$1007564,Journals!$D$9:$D$1007564,"&lt;"&amp;$F$7,Journals!$J$9:$J$1007564,"Interest receivables from FDR")</f>
        <v>1361753.0175091606</v>
      </c>
      <c r="K48" s="116"/>
      <c r="L48" s="117">
        <f>J48+H48-I48</f>
        <v>2090553.2000366058</v>
      </c>
      <c r="M48" s="116"/>
      <c r="N48" s="116"/>
      <c r="O48" s="116"/>
      <c r="P48" s="329"/>
      <c r="R48" s="175"/>
      <c r="S48" s="175"/>
      <c r="X48" s="170"/>
      <c r="Y48" s="170"/>
      <c r="Z48" s="170"/>
      <c r="AA48" s="170"/>
      <c r="AB48" s="170"/>
      <c r="AC48" s="170"/>
    </row>
    <row r="49" spans="1:29" x14ac:dyDescent="0.2">
      <c r="B49" s="104"/>
      <c r="G49" s="115" t="str">
        <f>'Chart of Accounts'!B40</f>
        <v>Payable to broker</v>
      </c>
      <c r="H49" s="117">
        <f>MAX(0,SUMIFS(Journals!$K$9:$K$1007564,Journals!$D$9:$D$1007564,"&gt;"&amp;$E$7,Journals!$D$9:$D$1007564,"&lt;"&amp;$E$8,Journals!$J$9:$J$1007564,"payable to broker")-SUMIFS(Journals!$L$9:$L$1007564,Journals!$D$9:$D$1007564,"&gt;"&amp;$E$7,Journals!$D$9:$D$1007564,"&lt;"&amp;$E$8,Journals!$J$9:$J$1007564,"payable to broker"))</f>
        <v>0</v>
      </c>
      <c r="I49" s="117">
        <f>MAX(0,SUMIFS(Journals!$L$9:$L$1007564,Journals!$D$9:$D$1007564,"&gt;"&amp;$E$7,Journals!$D$9:$D$1007564,"&lt;"&amp;$E$8,Journals!$J$9:$J$1007564,"payable to broker")-SUMIFS(Journals!$K$9:$K$1007564,Journals!$D$9:$D$1007564,"&gt;"&amp;$E$7,Journals!$D$9:$D$1007564,"&lt;"&amp;$E$8,Journals!$J$9:$J$1007564,"payable to broker"))</f>
        <v>0</v>
      </c>
      <c r="J49" s="116"/>
      <c r="K49" s="116">
        <f>SUMIFS(Journals!$L$9:$L$1007564,Journals!$D$9:$D$1007564,"&lt;"&amp;$F$7,Journals!$J$9:$J$1007564,"payable to broker")-SUMIFS(Journals!$K$9:$K$1007564,Journals!$D$9:$D$1007564,"&lt;"&amp;$F$7,Journals!$J$9:$J$1007564,"payable to broker")</f>
        <v>0</v>
      </c>
      <c r="L49" s="116"/>
      <c r="M49" s="116">
        <f>K49+I49-H49</f>
        <v>0</v>
      </c>
      <c r="N49" s="116"/>
      <c r="O49" s="116"/>
      <c r="P49" s="104"/>
      <c r="R49" s="175"/>
      <c r="S49" s="175"/>
      <c r="X49" s="170"/>
      <c r="Y49" s="170"/>
      <c r="Z49" s="170"/>
      <c r="AA49" s="170"/>
      <c r="AB49" s="170"/>
      <c r="AC49" s="170"/>
    </row>
    <row r="50" spans="1:29" x14ac:dyDescent="0.2">
      <c r="G50" s="115" t="str">
        <f>'Chart of Accounts'!B41</f>
        <v>Other operating expenses</v>
      </c>
      <c r="H50" s="117">
        <f>MAX(0,SUMIFS(Journals!$K$9:$K$1007564,Journals!$D$9:$D$1007564,"&gt;"&amp;$E$7,Journals!$D$9:$D$1007564,"&lt;"&amp;$E$8,Journals!$J$9:$J$1007564,"OTHER OPERATING EXPENSES")-SUMIFS(Journals!$L$9:$L$1007564,Journals!$D$9:$D$1007564,"&gt;"&amp;$E$7,Journals!$D$9:$D$1007564,"&lt;"&amp;$E$8,Journals!$J$9:$J$1007564,"OTHER OPERATING EXPENSES"))</f>
        <v>0</v>
      </c>
      <c r="I50" s="117">
        <f>MAX(0,SUMIFS(Journals!$L$9:$L$1007564,Journals!$D$9:$D$1007564,"&gt;"&amp;$E$7,Journals!$D$9:$D$1007564,"&lt;"&amp;$E$8,Journals!$J$9:$J$1007564,"OTHER OPERATING EXPENSES")-SUMIFS(Journals!$K$9:$K$1007564,Journals!$D$9:$D$1007564,"&gt;"&amp;$E$7,Journals!$D$9:$D$1007564,"&lt;"&amp;$E$8,Journals!$J$9:$J$1007564,"OTHER OPERATING EXPENSES"))</f>
        <v>0</v>
      </c>
      <c r="J50" s="116"/>
      <c r="K50" s="116"/>
      <c r="L50" s="116"/>
      <c r="M50" s="116"/>
      <c r="N50" s="116">
        <f>SUMIFS(Journals!$K$9:$K$1007564,Journals!$D$9:$D$1007564,"&lt;"&amp;$F$7,Journals!$J$9:$J$1007564,"OTHER OPERATING EXPENSES")-SUMIFS(Journals!$L$9:$L$1007564,Journals!$D$9:$D$1007564,"&lt;"&amp;$F$7,Journals!$J$9:$J$1007564,"OTHER OPERATING EXPENSES")</f>
        <v>46800</v>
      </c>
      <c r="O50" s="116"/>
      <c r="R50" s="175"/>
      <c r="S50" s="175"/>
      <c r="X50" s="170"/>
      <c r="Y50" s="170"/>
      <c r="Z50" s="170"/>
      <c r="AA50" s="170"/>
      <c r="AB50" s="170"/>
      <c r="AC50" s="170"/>
    </row>
    <row r="51" spans="1:29" x14ac:dyDescent="0.2">
      <c r="G51" s="115" t="str">
        <f>'Chart of Accounts'!B42</f>
        <v>Dividend income</v>
      </c>
      <c r="H51" s="117">
        <f>MAX(0,SUMIFS(Journals!$K$9:$K$1007564,Journals!$D$9:$D$1007564,"&gt;"&amp;$E$7,Journals!$D$9:$D$1007564,"&lt;"&amp;$E$8,Journals!$J$9:$J$1007564,"dividend income"))</f>
        <v>0</v>
      </c>
      <c r="I51" s="117">
        <f>MAX(0,SUMIFS(Journals!$L$9:$L$1007564,Journals!$D$9:$D$1007564,"&gt;"&amp;$E$7,Journals!$D$9:$D$1007564,"&lt;"&amp;$E$8,Journals!$J$9:$J$1007564,"dividend income"))</f>
        <v>201382.5</v>
      </c>
      <c r="J51" s="116"/>
      <c r="K51" s="116"/>
      <c r="L51" s="116"/>
      <c r="M51" s="116"/>
      <c r="N51" s="116"/>
      <c r="O51" s="116">
        <f>SUMIFS(Journals!$L$9:$L$1007564,Journals!$D$9:$D$1007564,"&lt;"&amp;$F$7,Journals!$J$9:$J$1007564,"dividend income")-SUMIFS(Journals!$K$9:$K$1007564,Journals!$D$9:$D$1007564,"&lt;"&amp;$F$7,Journals!$J$9:$J$1007564,"dividend income")</f>
        <v>1124298.5999999999</v>
      </c>
      <c r="P51" s="104"/>
      <c r="R51" s="175"/>
      <c r="S51" s="175"/>
      <c r="X51" s="170"/>
      <c r="Y51" s="170"/>
      <c r="Z51" s="170"/>
      <c r="AA51" s="170"/>
      <c r="AB51" s="170"/>
      <c r="AC51" s="170"/>
    </row>
    <row r="52" spans="1:29" x14ac:dyDescent="0.2">
      <c r="A52" s="152"/>
      <c r="B52" s="152"/>
      <c r="C52" s="152"/>
      <c r="D52" s="152"/>
      <c r="E52" s="152"/>
      <c r="F52" s="152"/>
      <c r="G52" s="153" t="str">
        <f>'Chart of Accounts'!B43</f>
        <v>Dividend receivable</v>
      </c>
      <c r="H52" s="117">
        <f>MAX(0,SUMIFS(Journals!$K$9:$K$1007564,Journals!$D$9:$D$1007564,"&gt;"&amp;$E$7,Journals!$D$9:$D$1007564,"&lt;"&amp;$E$8,Journals!$J$9:$J$1007564,"dividend receivable"))</f>
        <v>201382.5</v>
      </c>
      <c r="I52" s="117">
        <f>MAX(0,SUMIFS(Journals!$L$9:$L$1007564,Journals!$D$9:$D$1007564,"&gt;"&amp;$E$7,Journals!$D$9:$D$1007564,"&lt;"&amp;$E$8,Journals!$J$9:$J$1007564,"dividend receivable"))</f>
        <v>201382.5</v>
      </c>
      <c r="J52" s="116">
        <f>SUMIFS(Journals!$K$9:$K$1007564,Journals!$D$9:$D$1007564,"&lt;"&amp;$F$7,Journals!$J$9:$J$1007564,"dividend receivable")-SUMIFS(Journals!$L$9:$L$1007564,Journals!$D$9:$D$1007564,"&lt;"&amp;$F$7,Journals!$J$9:$J$1007564,"dividend receivable")</f>
        <v>0</v>
      </c>
      <c r="K52" s="116"/>
      <c r="L52" s="116">
        <f>J52+H52-I52</f>
        <v>0</v>
      </c>
      <c r="M52" s="116"/>
      <c r="N52" s="116"/>
      <c r="O52" s="116"/>
      <c r="R52" s="175"/>
      <c r="S52" s="175"/>
      <c r="X52" s="170"/>
      <c r="Y52" s="170"/>
      <c r="Z52" s="170"/>
      <c r="AA52" s="170"/>
      <c r="AB52" s="170"/>
      <c r="AC52" s="170"/>
    </row>
    <row r="53" spans="1:29" x14ac:dyDescent="0.2">
      <c r="G53" s="115" t="str">
        <f>'Chart of Accounts'!B44</f>
        <v>Custodian fee</v>
      </c>
      <c r="H53" s="117">
        <f>MAX(0,SUMIFS(Journals!$K$9:$K$1007564,Journals!$D$9:$D$1007564,"&gt;"&amp;$E$7,Journals!$D$9:$D$1007564,"&lt;"&amp;$E$8,Journals!$J$9:$J$1007564,"custodian fee")-SUMIFS(Journals!$L$9:$L$1007564,Journals!$D$9:$D$1007564,"&gt;"&amp;$E$7,Journals!$D$9:$D$1007564,"&lt;"&amp;$E$8,Journals!$J$9:$J$1007564,"custodian fee"))</f>
        <v>220439.88998204077</v>
      </c>
      <c r="I53" s="117"/>
      <c r="J53" s="116"/>
      <c r="K53" s="116"/>
      <c r="L53" s="116"/>
      <c r="M53" s="116"/>
      <c r="N53" s="116">
        <f>SUMIFS(Journals!$K$9:$K$1007564,Journals!$D$9:$D$1007564,"&lt;"&amp;$F$7,Journals!$J$9:$J$1007564,"custodian fee")-SUMIFS(Journals!$L$9:$L$1007564,Journals!$D$9:$D$1007564,"&lt;"&amp;$F$7,Journals!$J$9:$J$1007564,"custodian fee")</f>
        <v>369248.69110899611</v>
      </c>
      <c r="O53" s="116"/>
      <c r="P53" s="104"/>
      <c r="Q53" s="104"/>
      <c r="R53" s="175"/>
      <c r="S53" s="175"/>
      <c r="T53" s="104"/>
      <c r="X53" s="170"/>
      <c r="Y53" s="170"/>
      <c r="Z53" s="170"/>
      <c r="AA53" s="170"/>
      <c r="AB53" s="170"/>
      <c r="AC53" s="170"/>
    </row>
    <row r="54" spans="1:29" x14ac:dyDescent="0.2">
      <c r="G54" s="115" t="str">
        <f>'Chart of Accounts'!B45</f>
        <v>IPO Application</v>
      </c>
      <c r="H54" s="117">
        <f>MAX(0,SUMIFS(Journals!$K$9:$K$1007564,Journals!$D$9:$D$1007564,"&gt;"&amp;$E$7,Journals!$D$9:$D$1007564,"&lt;"&amp;$E$8,Journals!$J$9:$J$1007564,"IPO APPLICATION")-SUMIFS(Journals!$L$9:$L$1007564,Journals!$D$9:$D$1007564,"&gt;"&amp;$E$7,Journals!$D$9:$D$1007564,"&lt;"&amp;$E$8,Journals!$J$9:$J$1007564,"IPO APPLICATION"))</f>
        <v>0</v>
      </c>
      <c r="I54" s="117">
        <f>MAX(0,SUMIFS(Journals!$L$9:$L$1007564,Journals!$D$9:$D$1007564,"&gt;"&amp;$E$7,Journals!$D$9:$D$1007564,"&lt;"&amp;$E$8,Journals!$J$9:$J$1007564,"IPO APPLICATION")-SUMIFS(Journals!$K$9:$K$1007564,Journals!$D$9:$D$1007564,"&gt;"&amp;$E$7,Journals!$D$9:$D$1007564,"&lt;"&amp;$E$8,Journals!$J$9:$J$1007564,"IPO APPLICATION"))</f>
        <v>0</v>
      </c>
      <c r="J54" s="116">
        <f>SUMIFS(Journals!$K$9:$K$1007564,Journals!$D$9:$D$1007564,"&lt;"&amp;$F$7,Journals!$J$9:$J$1007564,"IPO APPLICATION")-SUMIFS(Journals!$L$9:$L$1007564,Journals!$D$9:$D$1007564,"&lt;"&amp;$F$7,Journals!$J$9:$J$1007564,"IPO APPLICATION")</f>
        <v>0</v>
      </c>
      <c r="K54" s="116"/>
      <c r="L54" s="116">
        <f>J54+H54-I54</f>
        <v>0</v>
      </c>
      <c r="M54" s="116"/>
      <c r="N54" s="116"/>
      <c r="O54" s="116"/>
      <c r="R54" s="175"/>
      <c r="S54" s="175"/>
      <c r="X54" s="170"/>
      <c r="Y54" s="170"/>
      <c r="Z54" s="170"/>
      <c r="AA54" s="170"/>
      <c r="AB54" s="170"/>
      <c r="AC54" s="170"/>
    </row>
    <row r="55" spans="1:29" x14ac:dyDescent="0.2">
      <c r="C55" s="114"/>
      <c r="G55" s="115" t="str">
        <f>'Chart of Accounts'!B46</f>
        <v>IPO Application Fee</v>
      </c>
      <c r="H55" s="117">
        <f>MAX(0,SUMIFS(Journals!$K$9:$K$1007564,Journals!$D$9:$D$1007564,"&gt;"&amp;$E$7,Journals!$D$9:$D$1007564,"&lt;"&amp;$E$8,Journals!$J$9:$J$1007564,"IPO APPLICATION FEE")-SUMIFS(Journals!$L$9:$L$1007564,Journals!$D$9:$D$1007564,"&gt;"&amp;$E$7,Journals!$D$9:$D$1007564,"&lt;"&amp;$E$8,Journals!$J$9:$J$1007564,"IPO APPLICATION FEE"))</f>
        <v>0</v>
      </c>
      <c r="I55" s="117"/>
      <c r="J55" s="116"/>
      <c r="K55" s="116"/>
      <c r="L55" s="116"/>
      <c r="M55" s="116"/>
      <c r="N55" s="116">
        <f>SUMIFS(Journals!$K$9:$K$1007564,Journals!$D$9:$D$1007564,"&lt;"&amp;$F$7,Journals!$J$9:$J$1007564,"IPO APPLICATION FEE")-SUMIFS(Journals!$L$9:$L$1007564,Journals!$D$9:$D$1007564,"&lt;"&amp;$F$7,Journals!$J$9:$J$1007564,"IPO APPLICATION FEE")</f>
        <v>6000</v>
      </c>
      <c r="O55" s="116"/>
      <c r="Q55" s="409"/>
      <c r="R55" s="175"/>
      <c r="S55" s="175"/>
      <c r="X55" s="170"/>
      <c r="Y55" s="170"/>
      <c r="Z55" s="170"/>
      <c r="AA55" s="170"/>
      <c r="AB55" s="170"/>
      <c r="AC55" s="170"/>
    </row>
    <row r="56" spans="1:29" x14ac:dyDescent="0.2">
      <c r="B56" s="114"/>
      <c r="G56" s="115" t="s">
        <v>179</v>
      </c>
      <c r="H56" s="117">
        <f>MAX(0,SUMIFS(Journals!$K$9:$K$1007564,Journals!$D$9:$D$1007564,"&gt;"&amp;$E$7,Journals!$D$9:$D$1007564,"&lt;"&amp;$E$8,Journals!$J$9:$J$1007564,"realized gain")-SUMIFS(Journals!$L$9:$L$1007564,Journals!$D$9:$D$1007564,"&gt;"&amp;$E$7,Journals!$D$9:$D$1007564,"&lt;"&amp;$E$8,Journals!$J$9:$J$1007564,"realized gain"))</f>
        <v>0</v>
      </c>
      <c r="I56" s="117">
        <f>MAX(0,SUMIFS(Journals!$L$9:$L$1007564,Journals!$D$9:$D$1007564,"&gt;"&amp;$E$7,Journals!$D$9:$D$1007564,"&lt;"&amp;$E$8,Journals!$J$9:$J$1007564,"realized gain")-SUMIFS(Journals!$K$9:$K$1007564,Journals!$D$9:$D$1007564,"&gt;"&amp;$E$7,Journals!$D$9:$D$1007564,"&lt;"&amp;$E$8,Journals!$J$9:$J$1007564,"realized gain"))</f>
        <v>4382688.74</v>
      </c>
      <c r="J56" s="116"/>
      <c r="K56" s="116"/>
      <c r="L56" s="116"/>
      <c r="M56" s="116"/>
      <c r="N56" s="116"/>
      <c r="O56" s="116">
        <f>SUMIFS(Journals!$L$9:$L$1007564,Journals!$D$9:$D$1007564,"&lt;"&amp;$F$7,Journals!$J$9:$J$1007564,"realized gain")-SUMIFS(Journals!$K$9:$K$1007564,Journals!$D$9:$D$1007564,"&lt;"&amp;$F$7,Journals!$J$9:$J$1007564,"realized gain")</f>
        <v>651705.05000000028</v>
      </c>
      <c r="Q56" s="409"/>
      <c r="R56" s="175"/>
      <c r="S56" s="175"/>
      <c r="X56" s="170"/>
      <c r="Y56" s="170"/>
      <c r="Z56" s="170"/>
      <c r="AA56" s="170"/>
      <c r="AB56" s="170"/>
      <c r="AC56" s="170"/>
    </row>
    <row r="57" spans="1:29" x14ac:dyDescent="0.2">
      <c r="B57" s="114"/>
      <c r="G57" s="115" t="s">
        <v>1588</v>
      </c>
      <c r="H57" s="117">
        <f>MAX(0,SUMIFS(Journals!$K$9:$K$1007564,Journals!$D$9:$D$1007564,"&gt;"&amp;$E$7,Journals!$D$9:$D$1007564,"&lt;"&amp;$E$8,Journals!$J$9:$J$1007564,"Realized gain from Bond Premium")-SUMIFS(Journals!$L$9:$L$1007564,Journals!$D$9:$D$1007564,"&gt;"&amp;$E$7,Journals!$D$9:$D$1007564,"&lt;"&amp;$E$8,Journals!$J$9:$J$1007564,"Realized gain from Bond Premium"))</f>
        <v>0</v>
      </c>
      <c r="I57" s="117">
        <f>MAX(0,SUMIFS(Journals!$L$9:$L$1007564,Journals!$D$9:$D$1007564,"&gt;"&amp;$E$7,Journals!$D$9:$D$1007564,"&lt;"&amp;$E$8,Journals!$J$9:$J$1007564,"Realized gain from Bond Premium")-SUMIFS(Journals!$K$9:$K$1007564,Journals!$D$9:$D$1007564,"&gt;"&amp;$E$7,Journals!$D$9:$D$1007564,"&lt;"&amp;$E$8,Journals!$J$9:$J$1007564,"Realized gain from Bond Premium"))</f>
        <v>0</v>
      </c>
      <c r="J57" s="116"/>
      <c r="K57" s="116"/>
      <c r="L57" s="116"/>
      <c r="M57" s="116"/>
      <c r="N57" s="116"/>
      <c r="O57" s="116">
        <f>SUMIFS(Journals!$L$9:$L$1007564,Journals!$D$9:$D$1007564,"&lt;"&amp;$F$7,Journals!$J$9:$J$1007564,"Realized gain from Bond Premium")-SUMIFS(Journals!$K$9:$K$1007564,Journals!$D$9:$D$1007564,"&lt;"&amp;$F$7,Journals!$J$9:$J$1007564,"Realized gain from Bond Premium")</f>
        <v>0</v>
      </c>
      <c r="Q57" s="409"/>
      <c r="R57" s="175"/>
      <c r="S57" s="175"/>
      <c r="X57" s="170"/>
      <c r="Y57" s="170"/>
      <c r="Z57" s="170"/>
      <c r="AA57" s="170"/>
      <c r="AB57" s="170"/>
      <c r="AC57" s="170"/>
    </row>
    <row r="58" spans="1:29" x14ac:dyDescent="0.2">
      <c r="B58" s="114"/>
      <c r="G58" s="115" t="s">
        <v>1462</v>
      </c>
      <c r="H58" s="117">
        <f>MAX(0,SUMIFS(Journals!$K$9:$K$1007564,Journals!$D$9:$D$1007564,"&gt;"&amp;$E$7,Journals!$D$9:$D$1007564,"&lt;"&amp;$E$8,Journals!$J$9:$J$1007564,"realized gain on T-Bill")-SUMIFS(Journals!$L$9:$L$1007564,Journals!$D$9:$D$1007564,"&gt;"&amp;$E$7,Journals!$D$9:$D$1007564,"&lt;"&amp;$E$8,Journals!$J$9:$J$1007564,"realized gain on T-Bill"))</f>
        <v>0</v>
      </c>
      <c r="I58" s="117">
        <f>MAX(0,SUMIFS(Journals!$L$9:$L$1007564,Journals!$D$9:$D$1007564,"&gt;"&amp;$E$7,Journals!$D$9:$D$1007564,"&lt;"&amp;$E$8,Journals!$J$9:$J$1007564,"realized gain on T-Bill")-SUMIFS(Journals!$K$9:$K$1007564,Journals!$D$9:$D$1007564,"&gt;"&amp;$E$7,Journals!$D$9:$D$1007564,"&lt;"&amp;$E$8,Journals!$J$9:$J$1007564,"realized gain on T-Bill"))</f>
        <v>0</v>
      </c>
      <c r="J58" s="116"/>
      <c r="K58" s="116"/>
      <c r="L58" s="116"/>
      <c r="M58" s="116"/>
      <c r="N58" s="116"/>
      <c r="O58" s="116">
        <f>SUMIFS(Journals!$L$9:$L$1007564,Journals!$D$9:$D$1007564,"&lt;"&amp;$F$7,Journals!$J$9:$J$1007564,"realized gain on T-Bill")-SUMIFS(Journals!$K$9:$K$1007564,Journals!$D$9:$D$1007564,"&lt;"&amp;$F$7,Journals!$J$9:$J$1007564,"realized gain on T-Bill")</f>
        <v>13371355.199999999</v>
      </c>
      <c r="Q58" s="480"/>
      <c r="R58" s="175"/>
      <c r="S58" s="175"/>
      <c r="X58" s="170"/>
      <c r="Y58" s="170"/>
      <c r="Z58" s="170"/>
      <c r="AA58" s="170"/>
      <c r="AB58" s="170"/>
      <c r="AC58" s="170"/>
    </row>
    <row r="59" spans="1:29" x14ac:dyDescent="0.2">
      <c r="B59" s="114"/>
      <c r="G59" s="115" t="s">
        <v>1463</v>
      </c>
      <c r="H59" s="117">
        <f>MAX(0,SUMIFS(Journals!$K$9:$K$1007564,Journals!$D$9:$D$1007564,"&gt;"&amp;$E$7,Journals!$D$9:$D$1007564,"&lt;"&amp;$E$8,Journals!$J$9:$J$1007564,"realized gain on T-Bond")-SUMIFS(Journals!$L$9:$L$1007564,Journals!$D$9:$D$1007564,"&gt;"&amp;$E$7,Journals!$D$9:$D$1007564,"&lt;"&amp;$E$8,Journals!$J$9:$J$1007564,"realized gain on T-Bond"))</f>
        <v>0</v>
      </c>
      <c r="I59" s="117">
        <f>MAX(0,SUMIFS(Journals!$L$9:$L$1007564,Journals!$D$9:$D$1007564,"&gt;"&amp;$E$7,Journals!$D$9:$D$1007564,"&lt;"&amp;$E$8,Journals!$J$9:$J$1007564,"realized gain on T-Bond")-SUMIFS(Journals!$K$9:$K$1007564,Journals!$D$9:$D$1007564,"&gt;"&amp;$E$7,Journals!$D$9:$D$1007564,"&lt;"&amp;$E$8,Journals!$J$9:$J$1007564,"realized gain on T-Bond"))</f>
        <v>7438790.0492135789</v>
      </c>
      <c r="J59" s="116"/>
      <c r="K59" s="116"/>
      <c r="L59" s="116"/>
      <c r="M59" s="116"/>
      <c r="N59" s="116"/>
      <c r="O59" s="116">
        <f>SUMIFS(Journals!$L$9:$L$1007564,Journals!$D$9:$D$1007564,"&lt;"&amp;$F$7,Journals!$J$9:$J$1007564,"realized gain on T-Bond")-SUMIFS(Journals!$K$9:$K$1007564,Journals!$D$9:$D$1007564,"&lt;"&amp;$F$7,Journals!$J$9:$J$1007564,"realized gain on T-Bond")</f>
        <v>4110088.7999999942</v>
      </c>
      <c r="Q59" s="409"/>
      <c r="R59" s="175"/>
      <c r="S59" s="175"/>
      <c r="X59" s="170"/>
      <c r="Y59" s="170"/>
      <c r="Z59" s="170"/>
      <c r="AA59" s="170"/>
      <c r="AB59" s="170"/>
      <c r="AC59" s="170"/>
    </row>
    <row r="60" spans="1:29" x14ac:dyDescent="0.2">
      <c r="A60" s="176"/>
      <c r="B60" s="177"/>
      <c r="C60" s="176"/>
      <c r="D60" s="152"/>
      <c r="E60" s="152"/>
      <c r="F60" s="152"/>
      <c r="G60" s="153" t="s">
        <v>178</v>
      </c>
      <c r="H60" s="117">
        <f>MAX(0,SUMIFS(Journals!$K$9:$K$1007564,Journals!$D$9:$D$1007564,"&gt;"&amp;$E$7,Journals!$D$9:$D$1007564,"&lt;"&amp;$E$8,Journals!$J$9:$J$1007564,"receivable from broker")-SUMIFS(Journals!$L$9:$L$1007564,Journals!$D$9:$D$1007564,"&gt;"&amp;$E$7,Journals!$D$9:$D$1007564,"&lt;"&amp;$E$8,Journals!$J$9:$J$1007564,"receivable from broker"))</f>
        <v>0</v>
      </c>
      <c r="I60" s="117">
        <f>MAX(0,SUMIFS(Journals!$L$9:$L$1007564,Journals!$D$9:$D$1007564,"&gt;"&amp;$E$7,Journals!$D$9:$D$1007564,"&lt;"&amp;$E$8,Journals!$J$9:$J$1007564,"Receivable from broker")-SUMIFS(Journals!$K$9:$K$1007564,Journals!$D$9:$D$1007564,"&gt;"&amp;$E$7,Journals!$D$9:$D$1007564,"&lt;"&amp;$E$8,Journals!$J$9:$J$1007564,"Receivable from broker"))</f>
        <v>134104.5</v>
      </c>
      <c r="J60" s="116">
        <f>SUMIFS(Journals!$K$9:$K$1007564,Journals!$D$9:$D$1007564,"&lt;"&amp;$F$7,Journals!$J$9:$J$1007564,"receivable from broker")-SUMIFS(Journals!$L$9:$L$1007564,Journals!$D$9:$D$1007564,"&lt;"&amp;$F$7,Journals!$J$9:$J$1007564,"receivable from broker")</f>
        <v>134104.64180000126</v>
      </c>
      <c r="K60" s="116"/>
      <c r="L60" s="116">
        <f>J60+H60-I60</f>
        <v>0.14180000126361847</v>
      </c>
      <c r="M60" s="116"/>
      <c r="N60" s="116"/>
      <c r="O60" s="116"/>
      <c r="X60" s="170"/>
      <c r="Y60" s="170"/>
      <c r="Z60" s="170"/>
      <c r="AA60" s="170"/>
      <c r="AB60" s="170"/>
      <c r="AC60" s="170"/>
    </row>
    <row r="61" spans="1:29" x14ac:dyDescent="0.2">
      <c r="G61" s="115" t="s">
        <v>293</v>
      </c>
      <c r="H61" s="117">
        <f>MAX(0,SUMIFS(Journals!$K$9:$K$1007564,Journals!$D$9:$D$1007564,"&gt;"&amp;$E$7,Journals!$D$9:$D$1007564,"&lt;"&amp;$E$8,Journals!$J$9:$J$1007564,"Dividend Equalization Reserve")-SUMIFS(Journals!$L$9:$L$1007564,Journals!$D$9:$D$1007564,"&gt;"&amp;$E$7,Journals!$D$9:$D$1007564,"&lt;"&amp;$E$8,Journals!$J$9:$J$1007564,"Dividend Equalization Reserve"))</f>
        <v>0</v>
      </c>
      <c r="I61" s="117">
        <f>MAX(0,SUMIFS(Journals!$L$9:$L$1007564,Journals!$D$9:$D$1007564,"&gt;"&amp;$E$7,Journals!$D$9:$D$1007564,"&lt;"&amp;$E$8,Journals!$J$9:$J$1007564,"Dividend Equalization Reserve")-SUMIFS(Journals!$K$9:$K$1007564,Journals!$D$9:$D$1007564,"&gt;"&amp;$E$7,Journals!$D$9:$D$1007564,"&lt;"&amp;$E$8,Journals!$J$9:$J$1007564,"Dividend Equalization Reserve"))</f>
        <v>0</v>
      </c>
      <c r="J61" s="116"/>
      <c r="K61" s="116">
        <f>SUMIFS(Journals!$L$9:$L$1007564,Journals!$D$9:$D$1007564,"&lt;"&amp;$F$7,Journals!$J$9:$J$1007564,"Dividend Equalization Reserve")-SUMIFS(Journals!$K$9:$K$1007564,Journals!$D$9:$D$1007564,"&lt;"&amp;$F$7,Journals!$J$9:$J$1007564,"Dividend Equalization Reserve")</f>
        <v>0</v>
      </c>
      <c r="L61" s="116"/>
      <c r="M61" s="116">
        <f>K61+I61-H61</f>
        <v>0</v>
      </c>
      <c r="N61" s="116">
        <f>K61</f>
        <v>0</v>
      </c>
      <c r="O61" s="116"/>
      <c r="X61" s="170"/>
      <c r="Y61" s="170"/>
      <c r="Z61" s="170"/>
      <c r="AA61" s="170"/>
      <c r="AB61" s="170"/>
      <c r="AC61" s="170"/>
    </row>
    <row r="62" spans="1:29" x14ac:dyDescent="0.2">
      <c r="G62" s="115" t="s">
        <v>296</v>
      </c>
      <c r="H62" s="117">
        <f>MAX(0,SUMIFS(Journals!$K$9:$K$1007564,Journals!$D$9:$D$1007564,"&gt;"&amp;$E$7,Journals!$D$9:$D$1007564,"&lt;"&amp;$E$8,Journals!$J$9:$J$1007564,"Retained Earnings")-SUMIFS(Journals!$L$9:$L$1007564,Journals!$D$9:$D$1007564,"&gt;"&amp;$E$7,Journals!$D$9:$D$1007564,"&lt;"&amp;$E$8,Journals!$J$9:$J$1007564,"Retained Earnings"))</f>
        <v>0</v>
      </c>
      <c r="I62" s="117">
        <f>MAX(0,SUMIFS(Journals!$L$9:$L$1007564,Journals!$D$9:$D$1007564,"&gt;"&amp;$E$7,Journals!$D$9:$D$1007564,"&lt;"&amp;$E$8,Journals!$J$9:$J$1007564,"Retained Earnigs")-SUMIFS(Journals!$K$9:$K$1007564,Journals!$D$9:$D$1007564,"&gt;"&amp;$E$7,Journals!$D$9:$D$1007564,"&lt;"&amp;$E$8,Journals!$J$9:$J$1007564,"Retained Earnigs"))</f>
        <v>0</v>
      </c>
      <c r="J62" s="116"/>
      <c r="K62" s="116"/>
      <c r="L62" s="116"/>
      <c r="M62" s="116"/>
      <c r="N62" s="116"/>
      <c r="O62" s="116"/>
      <c r="X62" s="170"/>
      <c r="Y62" s="170"/>
      <c r="Z62" s="170"/>
      <c r="AA62" s="170"/>
      <c r="AB62" s="170"/>
      <c r="AC62" s="170"/>
    </row>
    <row r="63" spans="1:29" x14ac:dyDescent="0.2">
      <c r="B63" s="104"/>
      <c r="G63" s="115" t="s">
        <v>295</v>
      </c>
      <c r="H63" s="117">
        <f>SUMIFS(Journals!$K$9:$K$1007564,Journals!$D$9:$D$1007564,"&gt;"&amp;$E$7,Journals!$D$9:$D$1007564,"&lt;"&amp;$E$8,Journals!$J$9:$J$1007564,"Dividend Payable")</f>
        <v>0</v>
      </c>
      <c r="I63" s="117">
        <f>MAX(0,SUMIFS(Journals!$L$9:$L$1007564,Journals!$D$9:$D$1007564,"&gt;"&amp;$E$7,Journals!$D$9:$D$1007564,"&lt;"&amp;$E$8,Journals!$J$9:$J$1007564,"Dividend Payable"))</f>
        <v>0</v>
      </c>
      <c r="J63" s="116">
        <f>SUMIFS(Journals!$K$9:$K$1007564,Journals!$D$9:$D$1007564,"&lt;"&amp;$F$7,Journals!$J$9:$J$1007564,"Dividend Payable")</f>
        <v>0</v>
      </c>
      <c r="K63" s="116">
        <f>SUMIFS(Journals!$L$9:$L$1007564,Journals!$D$9:$D$1007564,"&lt;"&amp;$F$7,Journals!$J$9:$J$1007564,"Dividend Payable")</f>
        <v>0</v>
      </c>
      <c r="L63" s="116"/>
      <c r="M63" s="116">
        <f>I63-H63</f>
        <v>0</v>
      </c>
      <c r="N63" s="116">
        <f>J63</f>
        <v>0</v>
      </c>
      <c r="O63" s="116"/>
      <c r="X63" s="170"/>
      <c r="Y63" s="170"/>
      <c r="Z63" s="170"/>
      <c r="AA63" s="170"/>
      <c r="AB63" s="170"/>
      <c r="AC63" s="170"/>
    </row>
    <row r="64" spans="1:29" x14ac:dyDescent="0.2">
      <c r="C64" s="114"/>
      <c r="G64" s="115" t="s">
        <v>457</v>
      </c>
      <c r="H64" s="117">
        <f>SUMIFS(Journals!$K$9:$K$1007564,Journals!$D$9:$D$1007564,"&gt;"&amp;$E$7,Journals!$D$9:$D$1007564,"&lt;"&amp;$E$8,Journals!$J$9:$J$1007564,"Withholding Tax Payable")</f>
        <v>355701.13044217974</v>
      </c>
      <c r="I64" s="117">
        <f>SUMIFS(Journals!$L$9:$L$1007564,Journals!$D$9:$D$1007564,"&gt;"&amp;$E$7,Journals!$D$9:$D$1007564,"&lt;"&amp;$E$8,Journals!$J$9:$J$1007564,"Withholding Tax Payable")</f>
        <v>353100.62601988798</v>
      </c>
      <c r="J64" s="116">
        <f>SUMIFS(Journals!$K$9:$K$1007564,Journals!$D$9:$D$1007564,"&lt;"&amp;$F$7,Journals!$J$9:$J$1007564,"Withholding Tax Payable")-SUMIFS(Journals!$L$9:$L$1007564,Journals!$D$9:$D$1007564,"&lt;"&amp;$F$7,Journals!$J$9:$J$1007564,"Withholding Tax Payable")</f>
        <v>-103140.78827624384</v>
      </c>
      <c r="K64" s="116">
        <f>SUMIFS(Journals!$L$9:$L$1007564,Journals!$D$9:$D$1007564,"&lt;"&amp;$F$7,Journals!$J$9:$J$1007564,"Withholding Tax Payable")-SUMIFS(Journals!$K$9:$K$1007564,Journals!$D$9:$D$1007564,"&lt;"&amp;$F$7,Journals!$J$9:$J$1007564,"Withholding Tax Payable")</f>
        <v>103140.78827624384</v>
      </c>
      <c r="L64" s="116"/>
      <c r="M64" s="116">
        <f>K64+I64-H64</f>
        <v>100540.28385395207</v>
      </c>
      <c r="N64" s="116"/>
      <c r="O64" s="116"/>
      <c r="W64" s="170"/>
      <c r="X64" s="170"/>
      <c r="Y64" s="170"/>
      <c r="Z64" s="170"/>
      <c r="AA64" s="170"/>
      <c r="AB64" s="170"/>
    </row>
    <row r="65" spans="3:27" x14ac:dyDescent="0.2">
      <c r="G65" s="115" t="s">
        <v>1580</v>
      </c>
      <c r="H65" s="117">
        <f>MAX(0,SUMIFS(Journals!$K$9:$K$1007564,Journals!$D$9:$D$1007564,"&gt;"&amp;$E$7,Journals!$D$9:$D$1007564,"&lt;"&amp;$E$8,Journals!$J$9:$J$1007564,"Investments in Bond (BXSUKUK)")-SUMIFS(Journals!$L$9:$L$1007564,Journals!$D$9:$D$1007564,"&gt;"&amp;$E$7,Journals!$D$9:$D$1007564,"&lt;"&amp;$E$8,Journals!$J$9:$J$1007564,"Investments in Bond (BXSUKUK)"))</f>
        <v>0</v>
      </c>
      <c r="I65" s="117">
        <f>MAX(0,SUMIFS(Journals!$L$9:$L$1007564,Journals!$D$9:$D$1007564,"&gt;"&amp;$E$7,Journals!$D$9:$D$1007564,"&lt;"&amp;$E$8,Journals!$J$9:$J$1007564,"Investments in Bond (BXSUKUK)")-SUMIFS(Journals!$K$9:$K$1007564,Journals!$D$9:$D$1007564,"&gt;"&amp;$E$7,Journals!$D$9:$D$1007564,"&lt;"&amp;$E$8,Journals!$J$9:$J$1007564,"Investments in Bond (BXSUKUK)"))</f>
        <v>0</v>
      </c>
      <c r="J65" s="116">
        <f>SUMIFS(Journals!$K$9:$K$1007564,Journals!$D$9:$D$1007564,"&lt;"&amp;$F$7,Journals!$J$9:$J$1007564,"Investments in Bond (BXSUKUK)")-SUMIFS(Journals!$L$9:$L$1007564,Journals!$D$9:$D$1007564,"&lt;"&amp;$F$7,Journals!$J$9:$J$1007564,"Investments in Bond (BXSUKUK)")</f>
        <v>0</v>
      </c>
      <c r="K65" s="116"/>
      <c r="L65" s="116">
        <f>J65+H65-I65</f>
        <v>0</v>
      </c>
      <c r="M65" s="116"/>
      <c r="N65" s="116"/>
      <c r="O65" s="116"/>
      <c r="Q65" s="329"/>
      <c r="W65" s="170"/>
      <c r="X65" s="170"/>
      <c r="Y65" s="170"/>
      <c r="Z65" s="170"/>
    </row>
    <row r="66" spans="3:27" x14ac:dyDescent="0.2">
      <c r="C66" s="114"/>
      <c r="G66" s="115" t="s">
        <v>1579</v>
      </c>
      <c r="H66" s="117">
        <f>SUMIFS(Journals!$K$9:$K$1007564,Journals!$D$9:$D$1007564,"&gt;"&amp;$E$7,Journals!$D$9:$D$1007564,"&lt;"&amp;$E$8,Journals!$J$9:$J$1007564,"Investments in Bond (APSCL)")</f>
        <v>395250</v>
      </c>
      <c r="I66" s="117">
        <f>MAX(0,SUMIFS(Journals!$L$9:$L$1007564,Journals!$D$9:$D$1007564,"&gt;"&amp;$E$7,Journals!$D$9:$D$1007564,"&lt;"&amp;$E$8,Journals!$J$9:$J$1007564,"Investments in Bond (APSCL)"))</f>
        <v>1840050</v>
      </c>
      <c r="J66" s="116">
        <f>SUMIFS(Journals!$K$9:$K$1007564,Journals!$D$9:$D$1007564,"&lt;"&amp;$F$7,Journals!$J$9:$J$1007564,"Investments in Bond (APSCL)")-SUMIFS(Journals!$L$9:$L$1007564,Journals!$D$9:$D$1007564,"&lt;"&amp;$F$7,Journals!$J$9:$J$1007564,"Investments in Bond (APSCL)")</f>
        <v>3207563.5</v>
      </c>
      <c r="K66" s="116"/>
      <c r="L66" s="116">
        <f>J66+H66-I66</f>
        <v>1762763.5</v>
      </c>
      <c r="M66" s="116"/>
      <c r="N66" s="116"/>
      <c r="O66" s="116"/>
      <c r="Q66" s="329"/>
      <c r="W66" s="170"/>
      <c r="X66" s="170"/>
      <c r="Y66" s="170"/>
      <c r="Z66" s="170"/>
    </row>
    <row r="67" spans="3:27" x14ac:dyDescent="0.2">
      <c r="D67" s="105"/>
      <c r="G67" s="115" t="str">
        <f>'Chart of Accounts'!B60</f>
        <v>Bond Premium</v>
      </c>
      <c r="H67" s="117">
        <f>SUMIFS(Journals!$K$9:$K$1007564,Journals!$D$9:$D$1007564,"&gt;"&amp;$E$7,Journals!$D$9:$D$1007564,"&lt;"&amp;$E$8,Journals!$J$9:$J$1007564,"Bond Premium")</f>
        <v>0</v>
      </c>
      <c r="I67" s="117">
        <f>MAX(0,SUMIFS(Journals!$L$9:$L$1007564,Journals!$D$9:$D$1007564,"&gt;"&amp;$E$7,Journals!$D$9:$D$1007564,"&lt;"&amp;$E$8,Journals!$J$9:$J$1007564,"Bond Premium"))</f>
        <v>0</v>
      </c>
      <c r="J67" s="116">
        <f>SUMIFS(Journals!$K$9:$K$1007564,Journals!$D$9:$D$1007564,"&lt;"&amp;$F$7,Journals!$J$9:$J$1007564,"Bond Premium")-SUMIFS(Journals!$L$9:$L$1007564,Journals!$D$9:$D$1007564,"&lt;"&amp;$F$7,Journals!$J$9:$J$1007564,"Bond Premium")</f>
        <v>0</v>
      </c>
      <c r="K67" s="116"/>
      <c r="L67" s="116">
        <f>J67+H67-I67</f>
        <v>0</v>
      </c>
      <c r="M67" s="116"/>
      <c r="N67" s="236"/>
      <c r="O67" s="236"/>
      <c r="R67" s="114"/>
      <c r="X67" s="170"/>
      <c r="Y67" s="170"/>
      <c r="Z67" s="170"/>
      <c r="AA67" s="170"/>
    </row>
    <row r="68" spans="3:27" x14ac:dyDescent="0.2">
      <c r="G68" s="115" t="str">
        <f>'Chart of Accounts'!B61</f>
        <v>Redemption Receivable</v>
      </c>
      <c r="H68" s="117">
        <f>MAX(0,SUMIFS(Journals!$K$9:$K$1007564,Journals!$D$9:$D$1007564,"&gt;"&amp;$E$7,Journals!$D$9:$D$1007564,"&lt;"&amp;$E$8,Journals!$J$9:$J$1007564,"Redemption Receivable")-SUMIFS(Journals!$L$9:$L$1007564,Journals!$D$9:$D$1007564,"&gt;"&amp;$E$7,Journals!$D$9:$D$1007564,"&lt;"&amp;$E$8,Journals!$J$9:$J$1007564,"Redemption Receivable"))</f>
        <v>0</v>
      </c>
      <c r="I68" s="117">
        <f>MAX(0,SUMIFS(Journals!$L$9:$L$1007564,Journals!$D$9:$D$1007564,"&gt;"&amp;$E$7,Journals!$D$9:$D$1007564,"&lt;"&amp;$E$8,Journals!$J$9:$J$1007564,"Redemption Receivable")-SUMIFS(Journals!$K$9:$K$1007564,Journals!$D$9:$D$1007564,"&gt;"&amp;$E$7,Journals!$D$9:$D$1007564,"&lt;"&amp;$E$8,Journals!$J$9:$J$1007564,"Redemption Receivable"))</f>
        <v>0</v>
      </c>
      <c r="J68" s="116">
        <f>SUMIFS(Journals!$K$9:$K$1007564,Journals!$D$9:$D$1007564,"&lt;"&amp;$F$7,Journals!$J$9:$J$1007564,"Redemption Receivable")-SUMIFS(Journals!$L$9:$L$1007564,Journals!$D$9:$D$1007564,"&lt;"&amp;$F$7,Journals!$J$9:$J$1007564,"Redemption Receivable")</f>
        <v>0</v>
      </c>
      <c r="K68" s="116"/>
      <c r="L68" s="116">
        <f>J68+H68-I68</f>
        <v>0</v>
      </c>
      <c r="M68" s="116"/>
      <c r="N68" s="116"/>
      <c r="O68" s="116"/>
      <c r="R68" s="114"/>
      <c r="X68" s="170"/>
      <c r="Y68" s="170"/>
      <c r="Z68" s="170"/>
      <c r="AA68" s="170"/>
    </row>
    <row r="69" spans="3:27" x14ac:dyDescent="0.2">
      <c r="G69" s="115" t="str">
        <f>'Chart of Accounts'!B62</f>
        <v>Redemption of Investment</v>
      </c>
      <c r="H69" s="117">
        <f>MAX(0,SUMIFS(Journals!$K$9:$K$1007564,Journals!$D$9:$D$1007564,"&gt;"&amp;$E$7,Journals!$D$9:$D$1007564,"&lt;"&amp;$E$8,Journals!$J$9:$J$1007564,"Redemption of Investment")-SUMIFS(Journals!$L$9:$L$1007564,Journals!$D$9:$D$1007564,"&gt;"&amp;$E$7,Journals!$D$9:$D$1007564,"&lt;"&amp;$E$8,Journals!$J$9:$J$1007564,"Redemption of Investment"))</f>
        <v>0</v>
      </c>
      <c r="I69" s="117">
        <f>MAX(0,SUMIFS(Journals!$L$9:$L$1007564,Journals!$D$9:$D$1007564,"&gt;"&amp;$E$7,Journals!$D$9:$D$1007564,"&lt;"&amp;$E$8,Journals!$J$9:$J$1007564,"Redemption of Investment")-SUMIFS(Journals!$K$9:$K$1007564,Journals!$D$9:$D$1007564,"&gt;"&amp;$E$7,Journals!$D$9:$D$1007564,"&lt;"&amp;$E$8,Journals!$J$9:$J$1007564,"Redemption of Investment"))</f>
        <v>0</v>
      </c>
      <c r="J69" s="116"/>
      <c r="K69" s="116"/>
      <c r="L69" s="116"/>
      <c r="M69" s="116"/>
      <c r="N69" s="116"/>
      <c r="O69" s="116"/>
      <c r="X69" s="170"/>
      <c r="Y69" s="170"/>
      <c r="Z69" s="170"/>
      <c r="AA69" s="170"/>
    </row>
    <row r="70" spans="3:27" x14ac:dyDescent="0.2">
      <c r="G70" s="115" t="s">
        <v>1475</v>
      </c>
      <c r="H70" s="117">
        <f>MAX(0,SUMIFS(Journals!$K$9:$K$1007564,Journals!$D$9:$D$1007564,"&gt;"&amp;$E$7,Journals!$D$9:$D$1007564,"&lt;"&amp;$E$8,Journals!$J$9:$J$1007564,"Investments in T-Bond (Contract)")-SUMIFS(Journals!$L$9:$L$1007564,Journals!$D$9:$D$1007564,"&gt;"&amp;$E$7,Journals!$D$9:$D$1007564,"&lt;"&amp;$E$8,Journals!$J$9:$J$1007564,"Investments in T-Bond (Contract)"))</f>
        <v>0</v>
      </c>
      <c r="I70" s="117">
        <f>MAX(0,SUMIFS(Journals!$L$9:$L$1007564,Journals!$D$9:$D$1007564,"&gt;"&amp;$E$7,Journals!$D$9:$D$1007564,"&lt;"&amp;$E$8,Journals!$J$9:$J$1007564,"Investments in T-Bond (Contract)")-SUMIFS(Journals!$K$9:$K$1007564,Journals!$D$9:$D$1007564,"&gt;"&amp;$E$7,Journals!$D$9:$D$1007564,"&lt;"&amp;$E$8,Journals!$J$9:$J$1007564,"Investments in T-Bond (Contract)"))</f>
        <v>0</v>
      </c>
      <c r="J70" s="116">
        <f>SUMIFS(Journals!$K$9:$K$1007564,Journals!$D$9:$D$1007564,"&lt;"&amp;$F$7,Journals!$J$9:$J$1007564,"Investments in T-Bond (Contract)")-SUMIFS(Journals!$L$9:$L$1007564,Journals!$D$9:$D$1007564,"&lt;"&amp;$F$7,Journals!$J$9:$J$1007564,"Investments in T-Bond (Contract)")</f>
        <v>0</v>
      </c>
      <c r="K70" s="116"/>
      <c r="L70" s="175">
        <f>J70+H70-I70</f>
        <v>0</v>
      </c>
      <c r="M70" s="116"/>
      <c r="N70" s="116"/>
      <c r="O70" s="116"/>
      <c r="X70" s="170"/>
      <c r="Y70" s="170"/>
      <c r="Z70" s="170"/>
      <c r="AA70" s="170"/>
    </row>
    <row r="71" spans="3:27" x14ac:dyDescent="0.2">
      <c r="G71" s="102" t="s">
        <v>1476</v>
      </c>
      <c r="H71" s="117">
        <f>MAX(0,SUMIFS(Journals!$K$9:$K$1007564,Journals!$D$9:$D$1007564,"&gt;"&amp;$E$7,Journals!$D$9:$D$1007564,"&lt;"&amp;$E$8,Journals!$J$9:$J$1007564,"Interest Receivables from T.Bond (Contract)")-SUMIFS(Journals!$L$9:$L$1007564,Journals!$D$9:$D$1007564,"&gt;"&amp;$E$7,Journals!$D$9:$D$1007564,"&lt;"&amp;$E$8,Journals!$J$9:$J$1007564,"Interest Receivables from T.Bond (Contract)"))</f>
        <v>0</v>
      </c>
      <c r="I71" s="117">
        <f>MAX(0,SUMIFS(Journals!$L$9:$L$1007564,Journals!$D$9:$D$1007564,"&gt;"&amp;$E$7,Journals!$D$9:$D$1007564,"&lt;"&amp;$E$8,Journals!$J$9:$J$1007564,"Interest Receivables from T.Bond (Contract)")-SUMIFS(Journals!$K$9:$K$1007564,Journals!$D$9:$D$1007564,"&gt;"&amp;$E$7,Journals!$D$9:$D$1007564,"&lt;"&amp;$E$8,Journals!$J$9:$J$1007564,"Interest Receivables from T.Bond (Contract)"))</f>
        <v>0</v>
      </c>
      <c r="J71" s="116">
        <f>SUMIFS(Journals!$K$9:$K$1007564,Journals!$D$9:$D$1007564,"&lt;"&amp;$F$7,Journals!$J$9:$J$1007564,"Interest Receivables from T.Bond (Contract)")-SUMIFS(Journals!$L$9:$L$1007564,Journals!$D$9:$D$1007564,"&lt;"&amp;$F$7,Journals!$J$9:$J$1007564,"Interest Receivables from T.Bond (Contract)")</f>
        <v>9.9999986123293638E-3</v>
      </c>
      <c r="K71" s="116"/>
      <c r="L71" s="116">
        <f>J71+H71-I71</f>
        <v>9.9999986123293638E-3</v>
      </c>
      <c r="M71" s="116"/>
      <c r="N71" s="116"/>
      <c r="O71" s="116"/>
      <c r="X71" s="170"/>
      <c r="Y71" s="170"/>
      <c r="Z71" s="170"/>
      <c r="AA71" s="170"/>
    </row>
    <row r="72" spans="3:27" x14ac:dyDescent="0.2">
      <c r="G72" s="115" t="s">
        <v>1392</v>
      </c>
      <c r="H72" s="117">
        <f>MAX(0,SUMIFS(Journals!$K$9:$K$1007306,Journals!$D$9:$D$1007306,"&gt;"&amp;$E$7,Journals!$D$9:$D$1007306,"&lt;"&amp;$E$8,Journals!$J$9:$J$1007306,"Preliminary and issue expense (Liability)"))</f>
        <v>0</v>
      </c>
      <c r="I72" s="117">
        <f>MAX(0,SUMIFS(Journals!$L$9:$L$1007306,Journals!$D$9:$D$1007306,"&gt;"&amp;$E$7,Journals!$D$9:$D$1007306,"&lt;"&amp;$E$8,Journals!$J$9:$J$1007306,"Preliminary and issue expense (Liability)"))</f>
        <v>0</v>
      </c>
      <c r="J72" s="116">
        <f>MAX(0,SUMIFS(Journals!K30:K1007585,Journals!D30:D1007585,"&lt;"&amp;F40,Journals!J30:J1007585,"Preliminary and issue expense (Liability)")-SUMIFS(Journals!L30:L1007585,Journals!D30:D1007585,"&lt;"&amp;F40,Journals!J30:J1007585,"Preliminary and issue expense (Liability)"))</f>
        <v>0</v>
      </c>
      <c r="K72" s="116">
        <f>SUMIFS(Journals!$L$9:$L$1007564,Journals!$D$9:$D$1007564,"&lt;"&amp;$F$7,Journals!$J$9:$J$1007564,"Preliminary and issue expense (Liability)")-SUMIFS(Journals!$K$9:$K$1007564,Journals!$D$9:$D$1007564,"&lt;"&amp;$F$7,Journals!$J$9:$J$1007564,"Preliminary and issue expense (Liability)")</f>
        <v>0</v>
      </c>
      <c r="L72" s="116">
        <v>0</v>
      </c>
      <c r="M72" s="116">
        <f>K72+I72-H72</f>
        <v>0</v>
      </c>
      <c r="N72" s="116"/>
      <c r="O72" s="116"/>
      <c r="X72" s="170"/>
      <c r="Y72" s="170"/>
      <c r="Z72" s="170"/>
      <c r="AA72" s="170"/>
    </row>
    <row r="73" spans="3:27" x14ac:dyDescent="0.2">
      <c r="G73" s="115" t="s">
        <v>1455</v>
      </c>
      <c r="H73" s="117">
        <f>MAX(0,SUMIFS(Journals!$K$9:$K$1007564,Journals!$D$9:$D$1007564,"&gt;"&amp;$E$7,Journals!$D$9:$D$1007564,"&lt;"&amp;$E$8,Journals!$J$9:$J$1007564,"Investments in T-Bill")-SUMIFS(Journals!$L$9:$L$1007564,Journals!$D$9:$D$1007564,"&gt;"&amp;$E$7,Journals!$D$9:$D$1007564,"&lt;"&amp;$E$8,Journals!$J$9:$J$1007564,"Investments in T-Bill"))</f>
        <v>0</v>
      </c>
      <c r="I73" s="117">
        <f>MAX(0,SUMIFS(Journals!$L$9:$L$1007564,Journals!$D$9:$D$1007564,"&gt;"&amp;$E$7,Journals!$D$9:$D$1007564,"&lt;"&amp;$E$8,Journals!$J$9:$J$1007564,"Investments in T-Bill")-SUMIFS(Journals!$K$9:$K$1007564,Journals!$D$9:$D$1007564,"&gt;"&amp;$E$7,Journals!$D$9:$D$1007564,"&lt;"&amp;$E$8,Journals!$J$9:$J$1007564,"Investments in T-Bill"))</f>
        <v>0</v>
      </c>
      <c r="J73" s="175">
        <f>SUMIFS(Journals!$K$9:$K$1007564,Journals!$D$9:$D$1007564,"&lt;"&amp;$F$7,Journals!$J$9:$J$1007564,"Investments in T-Bill")-SUMIFS(Journals!$L$9:$L$1007564,Journals!$D$9:$D$1007564,"&lt;"&amp;$F$7,Journals!$J$9:$J$1007564,"Investments in T-Bill")</f>
        <v>0.20000004768371582</v>
      </c>
      <c r="K73" s="116"/>
      <c r="L73" s="175">
        <f t="shared" ref="L73:L80" si="3">J73+H73-I73</f>
        <v>0.20000004768371582</v>
      </c>
      <c r="M73" s="116"/>
      <c r="N73" s="116"/>
      <c r="O73" s="116"/>
      <c r="X73" s="170"/>
      <c r="Y73" s="170"/>
      <c r="Z73" s="170"/>
      <c r="AA73" s="170"/>
    </row>
    <row r="74" spans="3:27" x14ac:dyDescent="0.2">
      <c r="G74" s="115" t="s">
        <v>1456</v>
      </c>
      <c r="H74" s="117">
        <f>MAX(0,SUMIFS(Journals!$K$9:$K$1007564,Journals!$D$9:$D$1007564,"&gt;"&amp;$E$7,Journals!$D$9:$D$1007564,"&lt;"&amp;$E$8,Journals!$J$9:$J$1007564,"Interest Receivables from T-Bill")-SUMIFS(Journals!$L$9:$L$1007564,Journals!$D$9:$D$1007564,"&gt;"&amp;$E$7,Journals!$D$9:$D$1007564,"&lt;"&amp;$E$8,Journals!$J$9:$J$1007564,"Interest Receivables from T-Bill"))</f>
        <v>0</v>
      </c>
      <c r="I74" s="117">
        <f>MAX(0,SUMIFS(Journals!$L$9:$L$1007564,Journals!$D$9:$D$1007564,"&gt;"&amp;$E$7,Journals!$D$9:$D$1007564,"&lt;"&amp;$E$8,Journals!$J$9:$J$1007564,"Interest Receivables from T-Bill")-SUMIFS(Journals!$K$9:$K$1007564,Journals!$D$9:$D$1007564,"&gt;"&amp;$E$7,Journals!$D$9:$D$1007564,"&lt;"&amp;$E$8,Journals!$J$9:$J$1007564,"Interest Receivables from T-Bill"))</f>
        <v>0</v>
      </c>
      <c r="J74" s="116"/>
      <c r="K74" s="116"/>
      <c r="L74" s="116">
        <f t="shared" si="3"/>
        <v>0</v>
      </c>
      <c r="M74" s="116"/>
      <c r="N74" s="116"/>
      <c r="O74" s="116"/>
      <c r="X74" s="170"/>
      <c r="Y74" s="170"/>
      <c r="Z74" s="170"/>
      <c r="AA74" s="170"/>
    </row>
    <row r="75" spans="3:27" x14ac:dyDescent="0.2">
      <c r="G75" s="115" t="s">
        <v>1837</v>
      </c>
      <c r="H75" s="117">
        <f>MAX(0,SUMIFS(Journals!$K$9:$K$1007564,Journals!$D$9:$D$1007564,"&gt;"&amp;$E$7,Journals!$D$9:$D$1007564,"&lt;"&amp;$E$8,Journals!$J$9:$J$1007564,"Investments in T-Bond")-SUMIFS(Journals!$L$9:$L$1007564,Journals!$D$9:$D$1007564,"&gt;"&amp;$E$7,Journals!$D$9:$D$1007564,"&lt;"&amp;$E$8,Journals!$J$9:$J$1007564,"Investments in T-Bond"))</f>
        <v>0</v>
      </c>
      <c r="I75" s="117">
        <f>MAX(0,SUMIFS(Journals!$L$9:$L$1007564,Journals!$D$9:$D$1007564,"&gt;"&amp;$E$7,Journals!$D$9:$D$1007564,"&lt;"&amp;$E$8,Journals!$J$9:$J$1007564,"Investments in T-Bond")-SUMIFS(Journals!$K$9:$K$1007564,Journals!$D$9:$D$1007564,"&gt;"&amp;$E$7,Journals!$D$9:$D$1007564,"&lt;"&amp;$E$8,Journals!$J$9:$J$1007564,"Investments in T-Bond"))</f>
        <v>57249083.490786389</v>
      </c>
      <c r="J75" s="175">
        <f>SUMIFS(Journals!$K$9:$K$1007564,Journals!$D$9:$D$1007564,"&lt;"&amp;$F$7,Journals!$J$9:$J$1007564,"Investments in T-Bond")-SUMIFS(Journals!$L$9:$L$1007564,Journals!$D$9:$D$1007564,"&lt;"&amp;$F$7,Journals!$J$9:$J$1007564,"Investments in T-Bond")</f>
        <v>365274578.1649999</v>
      </c>
      <c r="K75" s="116"/>
      <c r="L75" s="116">
        <f t="shared" si="3"/>
        <v>308025494.67421353</v>
      </c>
      <c r="M75" s="116"/>
      <c r="N75" s="116"/>
      <c r="O75" s="116"/>
      <c r="X75" s="170"/>
      <c r="Y75" s="170"/>
      <c r="Z75" s="170"/>
      <c r="AA75" s="170"/>
    </row>
    <row r="76" spans="3:27" x14ac:dyDescent="0.2">
      <c r="G76" s="115" t="s">
        <v>1873</v>
      </c>
      <c r="H76" s="117">
        <f>MAX(0,SUMIFS(Journals!$K$9:$K$1007494,Journals!$D$9:$D$1007494,"&gt;"&amp;$E$7,Journals!$D$9:$D$1007494,"&lt;"&amp;$E$8,Journals!$J$9:$J$1007494,"Interest Receivables from T-Bond")-SUMIFS(Journals!$L$9:$L$1007494,Journals!$D$9:$D$1007494,"&gt;"&amp;$E$7,Journals!$D$9:$D$1007494,"&lt;"&amp;$E$8,Journals!$J$9:$J$1007494,"Interest Receivables from T-Bond"))</f>
        <v>0</v>
      </c>
      <c r="I76" s="117">
        <f>MAX(0,SUMIFS(Journals!$L$9:$L$1007494,Journals!$D$9:$D$1007494,"&gt;"&amp;$E$7,Journals!$D$9:$D$1007494,"&lt;"&amp;$E$8,Journals!$J$9:$J$1007494,"Interest Receivables from T-Bond")-SUMIFS(Journals!$K$9:$K$1007494,Journals!$D$9:$D$1007494,"&gt;"&amp;$E$7,Journals!$D$9:$D$1007494,"&lt;"&amp;$E$8,Journals!$J$9:$J$1007494,"Interest Receivables from T-Bond"))</f>
        <v>0</v>
      </c>
      <c r="J76" s="116"/>
      <c r="K76" s="116"/>
      <c r="L76" s="116">
        <f t="shared" si="3"/>
        <v>0</v>
      </c>
      <c r="M76" s="116"/>
      <c r="N76" s="116"/>
      <c r="O76" s="116"/>
    </row>
    <row r="77" spans="3:27" x14ac:dyDescent="0.2">
      <c r="G77" s="115" t="s">
        <v>1977</v>
      </c>
      <c r="H77" s="117">
        <f>MAX(0,SUMIFS(Journals!$K$9:$K$1007564,Journals!$D$9:$D$1007564,"&gt;"&amp;$E$7,Journals!$D$9:$D$1007564,"&lt;"&amp;$E$8,Journals!$J$9:$J$1007564,"Investments in BRAC Bank 2nd Subordinated Bond")-SUMIFS(Journals!$L$9:$L$1007564,Journals!$D$9:$D$1007564,"&gt;"&amp;$E$7,Journals!$D$9:$D$1007564,"&lt;"&amp;$E$8,Journals!$J$9:$J$1007564,"Investments in BRAC Bank 2nd Subordinated Bond"))</f>
        <v>0</v>
      </c>
      <c r="I77" s="117">
        <f>MAX(0,SUMIFS(Journals!$L$9:$L$1007564,Journals!$D$9:$D$1007564,"&gt;"&amp;$E$7,Journals!$D$9:$D$1007564,"&lt;"&amp;$E$8,Journals!$J$9:$J$1007564,"Investments in BRAC Bank 2nd Subordinated Bond")-SUMIFS(Journals!$K$9:$K$1007564,Journals!$D$9:$D$1007564,"&gt;"&amp;$E$7,Journals!$D$9:$D$1007564,"&lt;"&amp;$E$8,Journals!$J$9:$J$1007564,"Investments in BRAC Bank 2nd Subordinated Bond"))</f>
        <v>0</v>
      </c>
      <c r="J77" s="116">
        <f>SUMIFS(Journals!$K$9:$K$1007564,Journals!$D$9:$D$1007564,"&lt;"&amp;$F$7,Journals!$J$9:$J$1007564,"Investments in BRAC Bank 2nd Subordinated Bond")-SUMIFS(Journals!$L$9:$L$1007564,Journals!$D$9:$D$1007564,"&lt;"&amp;$F$7,Journals!$J$9:$J$1007564,"Investments in BRAC Bank 2nd Subordinated Bond")</f>
        <v>59000000</v>
      </c>
      <c r="K77" s="116"/>
      <c r="L77" s="116">
        <f t="shared" si="3"/>
        <v>59000000</v>
      </c>
      <c r="M77" s="115"/>
      <c r="N77" s="115"/>
      <c r="O77" s="115"/>
    </row>
    <row r="78" spans="3:27" x14ac:dyDescent="0.2">
      <c r="G78" s="115" t="s">
        <v>1978</v>
      </c>
      <c r="H78" s="117">
        <f>MAX(0,SUMIFS(Journals!$K$9:$K$1007564,Journals!$D$9:$D$1007564,"&gt;"&amp;$E$7,Journals!$D$9:$D$1007564,"&lt;"&amp;$E$8,Journals!$J$9:$J$1007564,"Interest Receivables from BRAC Bank Bond")-SUMIFS(Journals!$L$9:$L$1007564,Journals!$D$9:$D$1007564,"&gt;"&amp;$E$7,Journals!$D$9:$D$1007564,"&lt;"&amp;$E$8,Journals!$J$9:$J$1007564,"Interest Receivables from BRAC Bank Bond"))</f>
        <v>0</v>
      </c>
      <c r="I78" s="117">
        <f>MAX(0,SUMIFS(Journals!$L$9:$L$1007564,Journals!$D$9:$D$1007564,"&gt;"&amp;$E$7,Journals!$D$9:$D$1007564,"&lt;"&amp;$E$8,Journals!$J$9:$J$1007564,"Interest Receivables from BRAC Bank Bond")-SUMIFS(Journals!$K$9:$K$1007564,Journals!$D$9:$D$1007564,"&gt;"&amp;$E$7,Journals!$D$9:$D$1007564,"&lt;"&amp;$E$8,Journals!$J$9:$J$1007564,"Interest Receivables from BRAC Bank Bond"))</f>
        <v>2049264.7562382324</v>
      </c>
      <c r="J78" s="116">
        <f>SUMIFS(Journals!$K$9:$K$1007564,Journals!$D$9:$D$1007564,"&lt;"&amp;$F$7,Journals!$J$9:$J$1007564,"Interest Receivables from BRAC Bank Bond")-SUMIFS(Journals!$L$9:$L$1007564,Journals!$D$9:$D$1007564,"&lt;"&amp;$F$7,Journals!$J$9:$J$1007564,"Interest Receivables from BRAC Bank Bond")</f>
        <v>2800879.1208791207</v>
      </c>
      <c r="K78" s="116"/>
      <c r="L78" s="116">
        <f t="shared" si="3"/>
        <v>751614.36464088829</v>
      </c>
      <c r="M78" s="115"/>
      <c r="N78" s="115"/>
      <c r="O78" s="115"/>
      <c r="P78" s="329"/>
      <c r="Q78" s="485"/>
    </row>
    <row r="79" spans="3:27" x14ac:dyDescent="0.2">
      <c r="G79" s="115" t="s">
        <v>2003</v>
      </c>
      <c r="H79" s="117">
        <f>MAX(0,SUMIFS(Journals!$K$9:$K$1007564,Journals!$D$9:$D$1007564,"&gt;"&amp;$E$7,Journals!$D$9:$D$1007564,"&lt;"&amp;$E$8,Journals!$J$9:$J$1007564,"Investments in Bank Asia 4th Subordinated Bond")-SUMIFS(Journals!$L$9:$L$1007564,Journals!$D$9:$D$1007564,"&gt;"&amp;$E$7,Journals!$D$9:$D$1007564,"&lt;"&amp;$E$8,Journals!$J$9:$J$1007564,"Investments in Bank Asia 4th Subordinated Bond"))</f>
        <v>20000000</v>
      </c>
      <c r="I79" s="117">
        <f>MAX(0,SUMIFS(Journals!$L$9:$L$1007564,Journals!$D$9:$D$1007564,"&gt;"&amp;$E$7,Journals!$D$9:$D$1007564,"&lt;"&amp;$E$8,Journals!$J$9:$J$1007564,"Investments in Bank Asia 4th Subordinated Bond")-SUMIFS(Journals!$K$9:$K$1007564,Journals!$D$9:$D$1007564,"&gt;"&amp;$E$7,Journals!$D$9:$D$1007564,"&lt;"&amp;$E$8,Journals!$J$9:$J$1007564,"Investments in Bank Asia 4th Subordinated Bond"))</f>
        <v>0</v>
      </c>
      <c r="J79" s="116">
        <f>SUMIFS(Journals!$K$9:$K$1007564,Journals!$D$9:$D$1007564,"&lt;"&amp;$F$7,Journals!$J$9:$J$1007564,"Investments in Bank Asia 4th Subordinated Bond")-SUMIFS(Journals!$L$9:$L$1007564,Journals!$D$9:$D$1007564,"&lt;"&amp;$F$7,Journals!$J$9:$J$1007564,"Investments in Bank Asia 4th Subordinated Bond")</f>
        <v>40000000</v>
      </c>
      <c r="K79" s="116"/>
      <c r="L79" s="116">
        <f t="shared" si="3"/>
        <v>60000000</v>
      </c>
      <c r="M79" s="115"/>
      <c r="N79" s="115"/>
      <c r="O79" s="115"/>
    </row>
    <row r="80" spans="3:27" x14ac:dyDescent="0.2">
      <c r="G80" s="115" t="s">
        <v>2004</v>
      </c>
      <c r="H80" s="117">
        <f>MAX(0,SUMIFS(Journals!$K$9:$K$1007564,Journals!$D$9:$D$1007564,"&gt;"&amp;$E$7,Journals!$D$9:$D$1007564,"&lt;"&amp;$E$8,Journals!$J$9:$J$1007564,"Interest Receivables from Bank Asia Bond")-SUMIFS(Journals!$L$9:$L$1007564,Journals!$D$9:$D$1007564,"&gt;"&amp;$E$7,Journals!$D$9:$D$1007564,"&lt;"&amp;$E$8,Journals!$J$9:$J$1007564,"Interest Receivables from Bank Asia Bond"))</f>
        <v>1268443.4827005905</v>
      </c>
      <c r="I80" s="117">
        <f>MAX(0,SUMIFS(Journals!$L$9:$L$1007564,Journals!$D$9:$D$1007564,"&gt;"&amp;$E$7,Journals!$D$9:$D$1007564,"&lt;"&amp;$E$8,Journals!$J$9:$J$1007564,"Interest Receivables from Bank Asia Bond")-SUMIFS(Journals!$K$9:$K$1007564,Journals!$D$9:$D$1007564,"&gt;"&amp;$E$7,Journals!$D$9:$D$1007564,"&lt;"&amp;$E$8,Journals!$J$9:$J$1007564,"Interest Receivables from Bank Asia Bond"))</f>
        <v>0</v>
      </c>
      <c r="J80" s="116">
        <f>SUMIFS(Journals!$K$9:$K$1007564,Journals!$D$9:$D$1007564,"&lt;"&amp;$F$7,Journals!$J$9:$J$1007564,"Interest Receivables from Bank Asia Bond")-SUMIFS(Journals!$L$9:$L$1007564,Journals!$D$9:$D$1007564,"&lt;"&amp;$F$7,Journals!$J$9:$J$1007564,"Interest Receivables from Bank Asia Bond")</f>
        <v>873164.87340659346</v>
      </c>
      <c r="K80" s="116"/>
      <c r="L80" s="116">
        <f t="shared" si="3"/>
        <v>2141608.3561071837</v>
      </c>
      <c r="M80" s="115"/>
      <c r="N80" s="115"/>
      <c r="O80" s="115"/>
    </row>
    <row r="81" spans="2:15" x14ac:dyDescent="0.2">
      <c r="G81" s="115" t="s">
        <v>2085</v>
      </c>
      <c r="H81" s="117">
        <f>MAX(0,SUMIFS(Journals!$K$9:$K$1007564,Journals!$D$9:$D$1007564,"&gt;"&amp;$E$7,Journals!$D$9:$D$1007564,"&lt;"&amp;$E$8,Journals!$J$9:$J$1007564,"Investments in Dhaka Bank 4th Subordinated Bond")-SUMIFS(Journals!$L$9:$L$1007564,Journals!$D$9:$D$1007564,"&gt;"&amp;$E$7,Journals!$D$9:$D$1007564,"&lt;"&amp;$E$8,Journals!$J$9:$J$1007564,"Investments in Dhaka Bank 4th Subordinated Bond"))</f>
        <v>5000000</v>
      </c>
      <c r="I81" s="117">
        <f>MAX(0,SUMIFS(Journals!$L$9:$L$1007564,Journals!$D$9:$D$1007564,"&gt;"&amp;$E$7,Journals!$D$9:$D$1007564,"&lt;"&amp;$E$8,Journals!$J$9:$J$1007564,"Investments in Dhaka Bank 4th Subordinated Bond")-SUMIFS(Journals!$K$9:$K$1007564,Journals!$D$9:$D$1007564,"&gt;"&amp;$E$7,Journals!$D$9:$D$1007564,"&lt;"&amp;$E$8,Journals!$J$9:$J$1007564,"Investments in Dhaka Bank 4th Subordinated Bond"))</f>
        <v>0</v>
      </c>
      <c r="J81" s="116">
        <f>SUMIFS(Journals!$K$9:$K$1007564,Journals!$D$9:$D$1007564,"&lt;"&amp;$F$7,Journals!$J$9:$J$1007564,"Investments in Dhaka Bank 4th Subordinated Bond")-SUMIFS(Journals!$L$9:$L$1007564,Journals!$D$9:$D$1007564,"&lt;"&amp;$F$7,Journals!$J$9:$J$1007564,"Investments in Dhaka Bank 4th Subordinated Bond")</f>
        <v>0</v>
      </c>
      <c r="K81" s="116"/>
      <c r="L81" s="116">
        <f t="shared" ref="L81:L82" si="4">J81+H81-I81</f>
        <v>5000000</v>
      </c>
      <c r="M81" s="115"/>
      <c r="N81" s="115"/>
      <c r="O81" s="115"/>
    </row>
    <row r="82" spans="2:15" x14ac:dyDescent="0.2">
      <c r="G82" s="115" t="s">
        <v>2086</v>
      </c>
      <c r="H82" s="117">
        <f>MAX(0,SUMIFS(Journals!$K$9:$K$1007564,Journals!$D$9:$D$1007564,"&gt;"&amp;$E$7,Journals!$D$9:$D$1007564,"&lt;"&amp;$E$8,Journals!$J$9:$J$1007564,"Interest Receivables from Dhaka Bank 4th Subordinated Bond")-SUMIFS(Journals!$L$9:$L$1007564,Journals!$D$9:$D$1007564,"&gt;"&amp;$E$7,Journals!$D$9:$D$1007564,"&lt;"&amp;$E$8,Journals!$J$9:$J$1007564,"Interest Receivables from Dhaka Bank 4th Subordinated Bond"))</f>
        <v>442019.00873099425</v>
      </c>
      <c r="I82" s="117">
        <f>MAX(0,SUMIFS(Journals!$L$9:$L$1007564,Journals!$D$9:$D$1007564,"&gt;"&amp;$E$7,Journals!$D$9:$D$1007564,"&lt;"&amp;$E$8,Journals!$J$9:$J$1007564,"Interest Receivables from Dhaka Bank 4th Subordinated Bond")-SUMIFS(Journals!$K$9:$K$1007564,Journals!$D$9:$D$1007564,"&gt;"&amp;$E$7,Journals!$D$9:$D$1007564,"&lt;"&amp;$E$8,Journals!$J$9:$J$1007564,"Interest Receivables from Dhaka Bank 4th Subordinated Bond"))</f>
        <v>0</v>
      </c>
      <c r="J82" s="116">
        <f>SUMIFS(Journals!$K$9:$K$1007564,Journals!$D$9:$D$1007564,"&lt;"&amp;$F$7,Journals!$J$9:$J$1007564,"Interest Receivables from Dhaka Bank 4th Subordinated Bond")-SUMIFS(Journals!$L$9:$L$1007564,Journals!$D$9:$D$1007564,"&lt;"&amp;$F$7,Journals!$J$9:$J$1007564,"Interest Receivables from Dhaka Bank 4th Subordinated Bond")</f>
        <v>0</v>
      </c>
      <c r="K82" s="116"/>
      <c r="L82" s="116">
        <f t="shared" si="4"/>
        <v>442019.00873099425</v>
      </c>
      <c r="M82" s="115"/>
      <c r="N82" s="115"/>
      <c r="O82" s="115"/>
    </row>
    <row r="84" spans="2:15" x14ac:dyDescent="0.2">
      <c r="B84" s="103"/>
      <c r="D84" s="104"/>
      <c r="E84" s="104">
        <f>L67-D84</f>
        <v>0</v>
      </c>
    </row>
    <row r="85" spans="2:15" x14ac:dyDescent="0.2">
      <c r="B85" s="103"/>
      <c r="D85" s="104"/>
    </row>
    <row r="86" spans="2:15" x14ac:dyDescent="0.2">
      <c r="B86" s="103"/>
      <c r="D86" s="104"/>
    </row>
    <row r="87" spans="2:15" x14ac:dyDescent="0.2">
      <c r="B87" s="103"/>
      <c r="D87" s="104"/>
    </row>
    <row r="88" spans="2:15" x14ac:dyDescent="0.2">
      <c r="B88" s="103"/>
    </row>
  </sheetData>
  <mergeCells count="10">
    <mergeCell ref="B5:D5"/>
    <mergeCell ref="H5:I5"/>
    <mergeCell ref="N5:O5"/>
    <mergeCell ref="G1:O1"/>
    <mergeCell ref="G2:O2"/>
    <mergeCell ref="G3:O3"/>
    <mergeCell ref="A1:D1"/>
    <mergeCell ref="A2:D2"/>
    <mergeCell ref="A3:D3"/>
    <mergeCell ref="J5:M5"/>
  </mergeCells>
  <conditionalFormatting sqref="G1:O3">
    <cfRule type="cellIs" dxfId="17" priority="1" operator="notEqual">
      <formula>0</formula>
    </cfRule>
    <cfRule type="cellIs" dxfId="16" priority="2" operator="equal">
      <formula>0</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Y110"/>
  <sheetViews>
    <sheetView zoomScaleNormal="100" workbookViewId="0">
      <pane ySplit="3" topLeftCell="A4" activePane="bottomLeft" state="frozen"/>
      <selection activeCell="D26" sqref="D26"/>
      <selection pane="bottomLeft" activeCell="I7" sqref="I7"/>
    </sheetView>
  </sheetViews>
  <sheetFormatPr defaultColWidth="8.85546875" defaultRowHeight="12.75" x14ac:dyDescent="0.2"/>
  <cols>
    <col min="1" max="3" width="10.7109375" style="2" customWidth="1"/>
    <col min="4" max="4" width="14.42578125" style="2" customWidth="1"/>
    <col min="5" max="5" width="6.28515625" style="2" customWidth="1"/>
    <col min="6" max="6" width="8.5703125" style="2" customWidth="1"/>
    <col min="7" max="7" width="45" style="2" customWidth="1"/>
    <col min="8" max="8" width="15.7109375" style="2" customWidth="1"/>
    <col min="9" max="9" width="15.7109375" style="45" customWidth="1"/>
    <col min="10" max="11" width="15.7109375" style="2" customWidth="1"/>
    <col min="12" max="13" width="15.7109375" style="34" customWidth="1"/>
    <col min="14" max="15" width="15.7109375" style="2" customWidth="1"/>
    <col min="16" max="16" width="11.7109375" style="2" bestFit="1" customWidth="1"/>
    <col min="17" max="16384" width="8.85546875" style="2"/>
  </cols>
  <sheetData>
    <row r="1" spans="1:16" ht="12" customHeight="1" x14ac:dyDescent="0.2">
      <c r="A1" s="553" t="s">
        <v>99</v>
      </c>
      <c r="B1" s="553"/>
      <c r="C1" s="553"/>
      <c r="D1" s="553"/>
      <c r="G1" s="554">
        <f>SUM(H7:H103)-SUM(I7:I103)</f>
        <v>153261436.00392628</v>
      </c>
      <c r="H1" s="554"/>
      <c r="I1" s="554"/>
      <c r="J1" s="554"/>
      <c r="K1" s="554"/>
      <c r="L1" s="554"/>
      <c r="M1" s="554"/>
      <c r="N1" s="554"/>
      <c r="O1" s="554"/>
    </row>
    <row r="2" spans="1:16" ht="12" customHeight="1" x14ac:dyDescent="0.2">
      <c r="A2" s="553" t="s">
        <v>100</v>
      </c>
      <c r="B2" s="553"/>
      <c r="C2" s="553"/>
      <c r="D2" s="553"/>
      <c r="G2" s="555">
        <f>BS!C25-BS!C42</f>
        <v>-3.340601921081543E-3</v>
      </c>
      <c r="H2" s="555"/>
      <c r="I2" s="555"/>
      <c r="J2" s="555"/>
      <c r="K2" s="555"/>
      <c r="L2" s="555"/>
      <c r="M2" s="555"/>
      <c r="N2" s="555"/>
      <c r="O2" s="555"/>
    </row>
    <row r="3" spans="1:16" ht="12" customHeight="1" x14ac:dyDescent="0.2">
      <c r="A3" s="553" t="s">
        <v>101</v>
      </c>
      <c r="B3" s="553"/>
      <c r="C3" s="553"/>
      <c r="D3" s="553"/>
      <c r="G3" s="555">
        <f>BS!C23-CF!B43</f>
        <v>94994186.641011357</v>
      </c>
      <c r="H3" s="555"/>
      <c r="I3" s="555"/>
      <c r="J3" s="555"/>
      <c r="K3" s="555"/>
      <c r="L3" s="555"/>
      <c r="M3" s="555"/>
      <c r="N3" s="555"/>
      <c r="O3" s="555"/>
    </row>
    <row r="4" spans="1:16" ht="12" customHeight="1" x14ac:dyDescent="0.2">
      <c r="A4" s="3"/>
      <c r="H4" s="5"/>
      <c r="K4" s="5"/>
      <c r="L4" s="33"/>
      <c r="M4" s="33"/>
    </row>
    <row r="5" spans="1:16" ht="12" customHeight="1" x14ac:dyDescent="0.2">
      <c r="A5" s="107"/>
      <c r="B5" s="545" t="s">
        <v>97</v>
      </c>
      <c r="C5" s="545"/>
      <c r="D5" s="545"/>
      <c r="E5" s="102"/>
      <c r="F5" s="102"/>
      <c r="G5" s="102"/>
      <c r="H5" s="550" t="s">
        <v>98</v>
      </c>
      <c r="I5" s="550"/>
      <c r="J5" s="551" t="s">
        <v>95</v>
      </c>
      <c r="K5" s="551"/>
      <c r="L5" s="551"/>
      <c r="M5" s="551"/>
      <c r="N5" s="552" t="s">
        <v>96</v>
      </c>
      <c r="O5" s="552"/>
    </row>
    <row r="6" spans="1:16" s="1" customFormat="1" ht="12" customHeight="1" x14ac:dyDescent="0.2">
      <c r="A6" s="108"/>
      <c r="B6" s="109" t="s">
        <v>59</v>
      </c>
      <c r="C6" s="109" t="s">
        <v>60</v>
      </c>
      <c r="D6" s="109" t="s">
        <v>61</v>
      </c>
      <c r="E6" s="110" t="s">
        <v>62</v>
      </c>
      <c r="F6" s="110" t="s">
        <v>62</v>
      </c>
      <c r="G6" s="111" t="s">
        <v>52</v>
      </c>
      <c r="H6" s="396" t="s">
        <v>49</v>
      </c>
      <c r="I6" s="397" t="s">
        <v>50</v>
      </c>
      <c r="J6" s="398" t="s">
        <v>88</v>
      </c>
      <c r="K6" s="398" t="s">
        <v>88</v>
      </c>
      <c r="L6" s="399" t="s">
        <v>114</v>
      </c>
      <c r="M6" s="399" t="s">
        <v>114</v>
      </c>
      <c r="N6" s="400" t="s">
        <v>49</v>
      </c>
      <c r="O6" s="400" t="s">
        <v>50</v>
      </c>
    </row>
    <row r="7" spans="1:16" ht="12" customHeight="1" x14ac:dyDescent="0.2">
      <c r="A7" s="112" t="s">
        <v>93</v>
      </c>
      <c r="B7" s="113">
        <v>2024</v>
      </c>
      <c r="C7" s="113">
        <v>7</v>
      </c>
      <c r="D7" s="113">
        <v>1</v>
      </c>
      <c r="E7" s="102">
        <f>DATE(B7,C7,D7)-1</f>
        <v>45473</v>
      </c>
      <c r="F7" s="102">
        <f>DATE(B7,C7,D7)</f>
        <v>45474</v>
      </c>
      <c r="G7" s="102" t="str">
        <f>'Chart of Accounts'!B3</f>
        <v>Investments in stock</v>
      </c>
      <c r="H7" s="401">
        <f>MAX(0,SUMIFS(Journals!$K$9:$K$1007564,Journals!$D$9:$D$1007564,"&gt;"&amp;$E$7,Journals!$D$9:$D$1007564,"&lt;"&amp;$E$8,Journals!$J$9:$J$1007564,"investments in stock")-SUMIFS(Journals!$L$9:$L$1007564,Journals!$D$9:$D$1007564,"&gt;"&amp;$E$7,Journals!$D$9:$D$1007564,"&lt;"&amp;$E$8,Journals!$J$9:$J$1007564,"investments in stock"))</f>
        <v>0</v>
      </c>
      <c r="I7" s="401">
        <f>MAX(0,SUMIFS(Journals!$L$9:$L$1007564,Journals!$D$9:$D$1007564,"&gt;"&amp;$E$7,Journals!$D$9:$D$1007564,"&lt;"&amp;$E$8,Journals!$J$9:$J$1007564,"Investments in stock")-SUMIFS(Journals!$K$9:$K$1007564,Journals!$D$9:$D$1007564,"&gt;"&amp;$E$7,Journals!$D$9:$D$1007564,"&lt;"&amp;$E$8,Journals!$J$9:$J$1007564,"Investments in stock"))</f>
        <v>0</v>
      </c>
      <c r="J7" s="402">
        <f>SUMIFS(Journals!$K$9:$K$1007564,Journals!$D$9:$D$1007564,"&lt;"&amp;$F$7,Journals!$J$9:$J$1007564,"investments in stock")-SUMIFS(Journals!$L$9:$L$1007564,Journals!$D$9:$D$1007564,"&lt;"&amp;$F$7,Journals!$J$9:$J$1007564,"investments in stock")</f>
        <v>2797650.6199999973</v>
      </c>
      <c r="K7" s="402"/>
      <c r="L7" s="403">
        <f>J7+H7-I7</f>
        <v>2797650.6199999973</v>
      </c>
      <c r="M7" s="403"/>
      <c r="N7" s="404"/>
      <c r="O7" s="404"/>
    </row>
    <row r="8" spans="1:16" ht="12" customHeight="1" x14ac:dyDescent="0.2">
      <c r="A8" s="112" t="s">
        <v>94</v>
      </c>
      <c r="B8" s="113">
        <v>2025</v>
      </c>
      <c r="C8" s="113">
        <v>6</v>
      </c>
      <c r="D8" s="113">
        <v>30</v>
      </c>
      <c r="E8" s="102">
        <f>DATE(B8,C8,D8)+1</f>
        <v>45839</v>
      </c>
      <c r="F8" s="102">
        <f>DATE(B8,C8,D8)</f>
        <v>45838</v>
      </c>
      <c r="G8" s="115" t="str">
        <f>'Chart of Accounts'!B4</f>
        <v>Interest Receivables from Bank A/C</v>
      </c>
      <c r="H8" s="405">
        <f>MAX(0,SUMIFS(Journals!$K$9:$K$1007564,Journals!$D$9:$D$1007564,"&gt;"&amp;$E$7,Journals!$D$9:$D$1007564,"&lt;"&amp;$E$8,Journals!$J$9:$J$1007564,"Interest Receivables from Bank A/C")-SUMIFS(Journals!$L$9:$L$1007564,Journals!$D$9:$D$1007564,"&gt;"&amp;$E$7,Journals!$D$9:$D$1007564,"&lt;"&amp;$E$8,Journals!$J$9:$J$1007564,"Interest Receivables from Bank A/C"))</f>
        <v>369.04646548593882</v>
      </c>
      <c r="I8" s="405">
        <f>MAX(0,SUMIFS(Journals!$L$9:$L$1007564,Journals!$D$9:$D$1007564,"&gt;"&amp;$E$7,Journals!$D$9:$D$1007564,"&lt;"&amp;$E$8,Journals!$J$9:$J$1007564,"Interest Receivables from Bank A/C")-SUMIFS(Journals!$K$9:$K$1007564,Journals!$D$9:$D$1007564,"&gt;"&amp;$E$7,Journals!$D$9:$D$1007564,"&lt;"&amp;$E$8,Journals!$J$9:$J$1007564,"Interest Receivables from Bank A/C"))</f>
        <v>0</v>
      </c>
      <c r="J8" s="406">
        <f>SUMIFS(Journals!$K$9:$K$1007564,Journals!$D$9:$D$1007564,"&lt;"&amp;$F$7,Journals!$J$9:$J$1007564,"Interest Receivables from Bank A/C")-SUMIFS(Journals!$L$9:$L$1007564,Journals!$D$9:$D$1007564,"&lt;"&amp;$F$7,Journals!$J$9:$J$1007564,"Interest Receivables from Bank A/C")</f>
        <v>2393.7614546099212</v>
      </c>
      <c r="K8" s="406"/>
      <c r="L8" s="407">
        <f>J8+H8-I8</f>
        <v>2762.80792009586</v>
      </c>
      <c r="M8" s="407"/>
      <c r="N8" s="408"/>
      <c r="O8" s="408"/>
      <c r="P8" s="24"/>
    </row>
    <row r="9" spans="1:16" ht="12" customHeight="1" x14ac:dyDescent="0.2">
      <c r="A9" s="102"/>
      <c r="B9" s="237"/>
      <c r="C9" s="237"/>
      <c r="D9" s="237"/>
      <c r="E9" s="102"/>
      <c r="F9" s="102"/>
      <c r="G9" s="115" t="s">
        <v>1530</v>
      </c>
      <c r="H9" s="405">
        <f>MAX(0,SUMIFS(Journals!$K$9:$K$1007564,Journals!$D$9:$D$1007564,"&gt;"&amp;$E$7,Journals!$D$9:$D$1007564,"&lt;"&amp;$E$8,Journals!$J$9:$J$1007564,"Interest Receivables from Sukuk")-SUMIFS(Journals!$L$9:$L$1007564,Journals!$D$9:$D$1007564,"&gt;"&amp;$E$7,Journals!$D$9:$D$1007564,"&lt;"&amp;$E$8,Journals!$J$9:$J$1007564,"Interest Receivables from Sukuk"))</f>
        <v>0</v>
      </c>
      <c r="I9" s="405">
        <f>MAX(0,SUMIFS(Journals!$L$9:$L$1007564,Journals!$D$9:$D$1007564,"&gt;"&amp;$E$7,Journals!$D$9:$D$1007564,"&lt;"&amp;$E$8,Journals!$J$9:$J$1007564,"Interest Receivables from Sukuk")-SUMIFS(Journals!$K$9:$K$1007564,Journals!$D$9:$D$1007564,"&gt;"&amp;$E$7,Journals!$D$9:$D$1007564,"&lt;"&amp;$E$8,Journals!$J$9:$J$1007564,"Interest Receivables from Sukuk"))</f>
        <v>205490.73881868093</v>
      </c>
      <c r="J9" s="406">
        <f>SUMIFS(Journals!$K$9:$K$1007564,Journals!$D$9:$D$1007564,"&lt;"&amp;$F$7,Journals!$J$9:$J$1007564,"Interest Receivables from Sukuk")-SUMIFS(Journals!$L$9:$L$1007564,Journals!$D$9:$D$1007564,"&lt;"&amp;$F$7,Journals!$J$9:$J$1007564,"Interest Receivables from Sukuk")</f>
        <v>205490.73881868087</v>
      </c>
      <c r="K9" s="406"/>
      <c r="L9" s="407">
        <f>J9+H9-I9</f>
        <v>0</v>
      </c>
      <c r="M9" s="407"/>
      <c r="N9" s="408"/>
      <c r="O9" s="408"/>
      <c r="P9" s="24"/>
    </row>
    <row r="10" spans="1:16" ht="12" customHeight="1" x14ac:dyDescent="0.2">
      <c r="A10" s="102"/>
      <c r="B10" s="237"/>
      <c r="C10" s="237"/>
      <c r="D10" s="237"/>
      <c r="E10" s="102"/>
      <c r="F10" s="102"/>
      <c r="G10" s="115" t="s">
        <v>1284</v>
      </c>
      <c r="H10" s="405">
        <f>MAX(0,SUMIFS(Journals!$K$9:$K$1007564,Journals!$D$9:$D$1007564,"&gt;"&amp;$E$7,Journals!$D$9:$D$1007564,"&lt;"&amp;$E$8,Journals!$J$9:$J$1007564,"Interest Receivables from Bond")-SUMIFS(Journals!$L$9:$L$1007564,Journals!$D$9:$D$1007564,"&gt;"&amp;$E$7,Journals!$D$9:$D$1007564,"&lt;"&amp;$E$8,Journals!$J$9:$J$1007564,"Interest Receivables from Bond"))</f>
        <v>0</v>
      </c>
      <c r="I10" s="405">
        <f>MAX(0,SUMIFS(Journals!$L$9:$L$1007564,Journals!$D$9:$D$1007564,"&gt;"&amp;$E$7,Journals!$D$9:$D$1007564,"&lt;"&amp;$E$8,Journals!$J$9:$J$1007564,"Interest Receivables from Bond")-SUMIFS(Journals!$K$9:$K$1007564,Journals!$D$9:$D$1007564,"&gt;"&amp;$E$7,Journals!$D$9:$D$1007564,"&lt;"&amp;$E$8,Journals!$J$9:$J$1007564,"Interest Receivables from Bond"))</f>
        <v>208338.75585696497</v>
      </c>
      <c r="J10" s="406">
        <f>SUMIFS(Journals!$K$9:$K$1007564,Journals!$D$9:$D$1007564,"&lt;"&amp;$F$7,Journals!$J$9:$J$1007564,"Interest Receivables from Bond")-SUMIFS(Journals!$L$9:$L$1007564,Journals!$D$9:$D$1007564,"&lt;"&amp;$F$7,Journals!$J$9:$J$1007564,"Interest Receivables from Bond")</f>
        <v>267553.12519230717</v>
      </c>
      <c r="K10" s="406"/>
      <c r="L10" s="407">
        <f>J10+H10-I10</f>
        <v>59214.369335342199</v>
      </c>
      <c r="M10" s="407"/>
      <c r="N10" s="408"/>
      <c r="O10" s="408"/>
      <c r="P10" s="24"/>
    </row>
    <row r="11" spans="1:16" ht="12" customHeight="1" x14ac:dyDescent="0.2">
      <c r="A11" s="102"/>
      <c r="B11" s="102"/>
      <c r="C11" s="102"/>
      <c r="D11" s="102"/>
      <c r="E11" s="102"/>
      <c r="F11" s="102"/>
      <c r="G11" s="115" t="str">
        <f>'Chart of Accounts'!B5</f>
        <v>Preliminary &amp; issue expenses</v>
      </c>
      <c r="H11" s="405">
        <f>MAX(0,SUMIFS(Journals!$K$9:$K$1007564,Journals!$D$9:$D$1007564,"&gt;"&amp;$E$7,Journals!$D$9:$D$1007564,"&lt;"&amp;$E$8,Journals!$J$9:$J$1007564,"Preliminary &amp; issue expenses")-SUMIFS(Journals!$L$9:$L$1007564,Journals!$D$9:$D$1007564,"&gt;"&amp;$E$7,Journals!$D$9:$D$1007564,"&lt;"&amp;$E$8,Journals!$J$9:$J$1007564,"Preliminary &amp; issue expenses"))</f>
        <v>0</v>
      </c>
      <c r="I11" s="405">
        <f>MAX(0,SUMIFS(Journals!$L$9:$L$1007564,Journals!$D$9:$D$1007564,"&gt;"&amp;$E$7,Journals!$D$9:$D$1007564,"&lt;"&amp;$E$8,Journals!$J$9:$J$1007564,"Preliminary &amp; issue expenses")-SUMIFS(Journals!$K$9:$K$1007564,Journals!$D$9:$D$1007564,"&gt;"&amp;$E$7,Journals!$D$9:$D$1007564,"&lt;"&amp;$E$8,Journals!$J$9:$J$1007564,"Preliminary &amp; issue expenses"))</f>
        <v>184261.72703296697</v>
      </c>
      <c r="J11" s="406">
        <f>SUMIFS(Journals!$K$9:$K$1007564,Journals!$D$9:$D$1007564,"&lt;"&amp;$F$7,Journals!$J$9:$J$1007564,"Preliminary &amp; issue expenses")-SUMIFS(Journals!$L$9:$L$1007564,Journals!$D$9:$D$1007564,"&lt;"&amp;$F$7,Journals!$J$9:$J$1007564,"Preliminary &amp; issue expenses")</f>
        <v>743991.08725274727</v>
      </c>
      <c r="K11" s="406"/>
      <c r="L11" s="407">
        <f>J11+H11-I11</f>
        <v>559729.36021978036</v>
      </c>
      <c r="M11" s="407"/>
      <c r="N11" s="408"/>
      <c r="O11" s="408"/>
    </row>
    <row r="12" spans="1:16" ht="12" customHeight="1" x14ac:dyDescent="0.2">
      <c r="A12" s="102"/>
      <c r="B12" s="102"/>
      <c r="C12" s="102"/>
      <c r="D12" s="102"/>
      <c r="E12" s="102"/>
      <c r="F12" s="102"/>
      <c r="G12" s="115" t="str">
        <f>'Chart of Accounts'!B6</f>
        <v>Accrued Management Fee</v>
      </c>
      <c r="H12" s="405">
        <f>SUMIFS(Journals!$K$9:$K$1006910,Journals!$D$9:$D$1006910,"&gt;"&amp;$E$7,Journals!$D$9:$D$1006910,"&lt;"&amp;$E$8,Journals!$J$9:$J$1006910,"Accrued Management Fee")</f>
        <v>2674281.6349788802</v>
      </c>
      <c r="I12" s="405">
        <f>MAX(0,SUMIFS(Journals!$L$9:$L$1006910,Journals!$D$9:$D$1006910,"&gt;"&amp;$E$7,Journals!$D$9:$D$1006910,"&lt;"&amp;$E$8,Journals!$J$9:$J$1006910,"Accrued Management Fee"))</f>
        <v>2325669.3981555058</v>
      </c>
      <c r="J12" s="406"/>
      <c r="K12" s="406">
        <f>SUMIFS(Journals!$L$9:$L$1007564,Journals!$D$9:$D$1007564,"&lt;"&amp;$F$7,Journals!$J$9:$J$1007564,"Accrued Management Fee")-SUMIFS(Journals!$K$9:$K$1007564,Journals!$D$9:$D$1007564,"&lt;"&amp;$F$7,Journals!$J$9:$J$1007564,"Accrued Management Fee")</f>
        <v>585053.53863442084</v>
      </c>
      <c r="L12" s="407"/>
      <c r="M12" s="407">
        <f t="shared" ref="M12:M21" si="0">K12+I12-H12</f>
        <v>236441.30181104643</v>
      </c>
      <c r="N12" s="408"/>
      <c r="O12" s="408"/>
    </row>
    <row r="13" spans="1:16" ht="12" customHeight="1" x14ac:dyDescent="0.2">
      <c r="A13" s="102"/>
      <c r="B13" s="102"/>
      <c r="C13" s="102"/>
      <c r="D13" s="102"/>
      <c r="E13" s="102"/>
      <c r="F13" s="102"/>
      <c r="G13" s="115" t="str">
        <f>'Chart of Accounts'!B7</f>
        <v>Accrued Trustee Fee</v>
      </c>
      <c r="H13" s="405">
        <f>MAX(0,SUMIFS(Journals!$K$9:$K$1007564,Journals!$D$9:$D$1007564,"&gt;"&amp;$E$7,Journals!$D$9:$D$1007564,"&lt;"&amp;$E$8,Journals!$J$9:$J$1007564,"accrued trustee fee")-SUMIFS(Journals!$L$9:$L$1007564,Journals!$D$9:$D$1007564,"&gt;"&amp;$E$7,Journals!$D$9:$D$1007564,"&lt;"&amp;$E$8,Journals!$J$9:$J$1007564,"accrued trustee fee"))</f>
        <v>207.9149893890135</v>
      </c>
      <c r="I13" s="405">
        <f>MAX(0,SUMIFS(Journals!$L$9:$L$1007564,Journals!$D$9:$D$1007564,"&gt;"&amp;$E$7,Journals!$D$9:$D$1007564,"&lt;"&amp;$E$8,Journals!$J$9:$J$1007564,"accrued trustee fee")-SUMIFS(Journals!$K$9:$K$1007564,Journals!$D$9:$D$1007564,"&gt;"&amp;$E$7,Journals!$D$9:$D$1007564,"&lt;"&amp;$E$8,Journals!$J$9:$J$1007564,"accrued trustee fee"))</f>
        <v>0</v>
      </c>
      <c r="J13" s="406"/>
      <c r="K13" s="406">
        <f>SUMIFS(Journals!$L$9:$L$1007564,Journals!$D$9:$D$1007564,"&lt;"&amp;$F$7,Journals!$J$9:$J$1007564,"Accrued Trustee Fee")-SUMIFS(Journals!$K$9:$K$1007564,Journals!$D$9:$D$1007564,"&lt;"&amp;$F$7,Journals!$J$9:$J$1007564,"Accrued Trustee Fee")</f>
        <v>66024.419411186682</v>
      </c>
      <c r="L13" s="407"/>
      <c r="M13" s="407">
        <f t="shared" si="0"/>
        <v>65816.504421797668</v>
      </c>
      <c r="N13" s="408"/>
      <c r="O13" s="408"/>
    </row>
    <row r="14" spans="1:16" ht="12" customHeight="1" x14ac:dyDescent="0.2">
      <c r="A14" s="102"/>
      <c r="B14" s="102"/>
      <c r="C14" s="102"/>
      <c r="D14" s="102"/>
      <c r="E14" s="102"/>
      <c r="F14" s="102"/>
      <c r="G14" s="115" t="str">
        <f>'Chart of Accounts'!B8</f>
        <v>Accrued Custodian Fee</v>
      </c>
      <c r="H14" s="405">
        <f>MAX(0,SUMIFS(Journals!$K$9:$K$1007564,Journals!$D$9:$D$1007564,"&gt;"&amp;$E$7,Journals!$D$9:$D$1007564,"&lt;"&amp;$E$8,Journals!$J$9:$J$1007564,"accrued custodian fee")-SUMIFS(Journals!$L$9:$L$1007564,Journals!$D$9:$D$1007564,"&gt;"&amp;$E$7,Journals!$D$9:$D$1007564,"&lt;"&amp;$E$8,Journals!$J$9:$J$1007564,"accrued custodian fee"))</f>
        <v>0</v>
      </c>
      <c r="I14" s="405">
        <f>MAX(0,SUMIFS(Journals!$L$9:$L$1007564,Journals!$D$9:$D$1007564,"&gt;"&amp;$E$7,Journals!$D$9:$D$1007564,"&lt;"&amp;$E$8,Journals!$J$9:$J$1007564,"accrued custodian fee")-SUMIFS(Journals!$K$9:$K$1007564,Journals!$D$9:$D$1007564,"&gt;"&amp;$E$7,Journals!$D$9:$D$1007564,"&lt;"&amp;$E$8,Journals!$J$9:$J$1007564,"accrued custodian fee"))</f>
        <v>123123.68233037347</v>
      </c>
      <c r="J14" s="406"/>
      <c r="K14" s="406">
        <f>SUMIFS(Journals!$L$9:$L$1007564,Journals!$D$9:$D$1007564,"&lt;"&amp;$F$7,Journals!$J$9:$J$1007564,"Accrued Custodian Fee")-SUMIFS(Journals!$K$9:$K$1007564,Journals!$D$9:$D$1007564,"&lt;"&amp;$F$7,Journals!$J$9:$J$1007564,"Accrued Custodian Fee")</f>
        <v>0</v>
      </c>
      <c r="L14" s="407"/>
      <c r="M14" s="407">
        <f t="shared" si="0"/>
        <v>123123.68233037347</v>
      </c>
      <c r="N14" s="408"/>
      <c r="O14" s="408"/>
    </row>
    <row r="15" spans="1:16" ht="12" customHeight="1" x14ac:dyDescent="0.2">
      <c r="A15" s="102"/>
      <c r="B15" s="102"/>
      <c r="C15" s="102"/>
      <c r="D15" s="102"/>
      <c r="E15" s="102"/>
      <c r="F15" s="102"/>
      <c r="G15" s="115" t="str">
        <f>'Chart of Accounts'!B9</f>
        <v>Accrued BSEC fee</v>
      </c>
      <c r="H15" s="405">
        <f>MAX(0,SUMIFS(Journals!$K$9:$K$1007564,Journals!$D$9:$D$1007564,"&gt;"&amp;$E$7,Journals!$D$9:$D$1007564,"&lt;"&amp;$E$8,Journals!$J$9:$J$1007564,"accrued bsec fee")-SUMIFS(Journals!$L$9:$L$1007564,Journals!$D$9:$D$1007564,"&gt;"&amp;$E$7,Journals!$D$9:$D$1007564,"&lt;"&amp;$E$8,Journals!$J$9:$J$1007564,"accrued bsec fee"))</f>
        <v>0</v>
      </c>
      <c r="I15" s="405">
        <f>MAX(0,SUMIFS(Journals!$L$9:$L$1007564,Journals!$D$9:$D$1007564,"&gt;"&amp;$E$7,Journals!$D$9:$D$1007564,"&lt;"&amp;$E$8,Journals!$J$9:$J$1007564,"accrued bsec fee")-SUMIFS(Journals!$K$9:$K$1007564,Journals!$D$9:$D$1007564,"&gt;"&amp;$E$7,Journals!$D$9:$D$1007564,"&lt;"&amp;$E$8,Journals!$J$9:$J$1007564,"accrued bsec fee"))</f>
        <v>0</v>
      </c>
      <c r="J15" s="406"/>
      <c r="K15" s="406">
        <f>SUMIFS(Journals!$L$9:$L$1007564,Journals!$D$9:$D$1007564,"&lt;"&amp;$F$7,Journals!$J$9:$J$1007564,"accrued bsec fee")-SUMIFS(Journals!$K$9:$K$1007564,Journals!$D$9:$D$1007564,"&lt;"&amp;$F$7,Journals!$J$9:$J$1007564,"accrued bsec fee")</f>
        <v>0</v>
      </c>
      <c r="L15" s="407"/>
      <c r="M15" s="407">
        <f t="shared" si="0"/>
        <v>0</v>
      </c>
      <c r="N15" s="408"/>
      <c r="O15" s="408"/>
    </row>
    <row r="16" spans="1:16" ht="12" customHeight="1" x14ac:dyDescent="0.2">
      <c r="A16" s="102"/>
      <c r="B16" s="102"/>
      <c r="C16" s="102"/>
      <c r="D16" s="102"/>
      <c r="E16" s="102"/>
      <c r="F16" s="102"/>
      <c r="G16" s="115" t="str">
        <f>'Chart of Accounts'!B10</f>
        <v>Accrued Audit Fee</v>
      </c>
      <c r="H16" s="405">
        <f>MAX(0,SUMIFS(Journals!$K$9:$K$1006983,Journals!$D$9:$D$1006983,"&gt;"&amp;$E$7,Journals!$D$9:$D$1006983,"&lt;"&amp;$E$8,Journals!$J$9:$J$1006983,"accrued audit fee"))</f>
        <v>34500</v>
      </c>
      <c r="I16" s="405">
        <f>MAX(0,SUMIFS(Journals!$L$9:$L$1006983,Journals!$D$9:$D$1006983,"&gt;"&amp;$E$7,Journals!$D$9:$D$1006983,"&lt;"&amp;$E$8,Journals!$J$9:$J$1006983,"accrued audit fee"))</f>
        <v>40250</v>
      </c>
      <c r="J16" s="406"/>
      <c r="K16" s="406">
        <f>SUMIFS(Journals!$L$9:$L$1007564,Journals!$D$9:$D$1007564,"&lt;"&amp;$F$7,Journals!$J$9:$J$1007564,"accrued audit fee")-SUMIFS(Journals!$K$9:$K$1007564,Journals!$D$9:$D$1007564,"&lt;"&amp;$F$7,Journals!$J$9:$J$1007564,"accrued audit fee")</f>
        <v>34500</v>
      </c>
      <c r="L16" s="407"/>
      <c r="M16" s="407">
        <f t="shared" si="0"/>
        <v>40250</v>
      </c>
      <c r="N16" s="408"/>
      <c r="O16" s="408"/>
    </row>
    <row r="17" spans="1:25" ht="12" customHeight="1" x14ac:dyDescent="0.2">
      <c r="A17" s="102"/>
      <c r="B17" s="102"/>
      <c r="C17" s="102"/>
      <c r="D17" s="102"/>
      <c r="E17" s="102"/>
      <c r="F17" s="102"/>
      <c r="G17" s="115" t="str">
        <f>'Chart of Accounts'!B11</f>
        <v>Accrued CDBL Fee</v>
      </c>
      <c r="H17" s="405">
        <f>MAX(0,SUMIFS(Journals!$K$9:$K$1007564,Journals!$D$9:$D$1007564,"&gt;"&amp;$E$7,Journals!$D$9:$D$1007564,"&lt;"&amp;$E$8,Journals!$J$9:$J$1007564,"accrued CDBL fee")-SUMIFS(Journals!$L$9:$L$1007564,Journals!$D$9:$D$1007564,"&gt;"&amp;$E$7,Journals!$D$9:$D$1007564,"&lt;"&amp;$E$8,Journals!$J$9:$J$1007564,"accrued CDBL fee"))</f>
        <v>0</v>
      </c>
      <c r="I17" s="405">
        <f>MAX(0,SUMIFS(Journals!$L$9:$L$1007564,Journals!$D$9:$D$1007564,"&gt;"&amp;$E$7,Journals!$D$9:$D$1007564,"&lt;"&amp;$E$8,Journals!$J$9:$J$1007564,"accrued CDBL fee")-SUMIFS(Journals!$K$9:$K$1007564,Journals!$D$9:$D$1007564,"&gt;"&amp;$E$7,Journals!$D$9:$D$1007564,"&lt;"&amp;$E$8,Journals!$J$9:$J$1007564,"accrued CDBL fee"))</f>
        <v>0</v>
      </c>
      <c r="J17" s="406"/>
      <c r="K17" s="406">
        <f>SUMIFS(Journals!$L$9:$L$1007564,Journals!$D$9:$D$1007564,"&lt;"&amp;$F$7,Journals!$J$9:$J$1007564,"accrued cdbl fee")-SUMIFS(Journals!$K$9:$K$1007564,Journals!$D$9:$D$1007564,"&lt;"&amp;$F$7,Journals!$J$9:$J$1007564,"accrued cdbl fee")</f>
        <v>0</v>
      </c>
      <c r="L17" s="407"/>
      <c r="M17" s="407">
        <f t="shared" si="0"/>
        <v>0</v>
      </c>
      <c r="N17" s="408"/>
      <c r="O17" s="408"/>
    </row>
    <row r="18" spans="1:25" ht="12" customHeight="1" x14ac:dyDescent="0.2">
      <c r="A18" s="102"/>
      <c r="B18" s="102"/>
      <c r="C18" s="102"/>
      <c r="D18" s="102"/>
      <c r="E18" s="102"/>
      <c r="F18" s="102"/>
      <c r="G18" s="115" t="str">
        <f>'Chart of Accounts'!B12</f>
        <v>Fixed Deposit Receipts (FDR)</v>
      </c>
      <c r="H18" s="405">
        <f>MAX(0,SUMIFS(Journals!$K$9:$K$1007564,Journals!$D$9:$D$1007564,"&gt;"&amp;$E$7,Journals!$D$9:$D$1007564,"&lt;"&amp;$E$8,Journals!$J$9:$J$1007564,"Fixed Deposit Receipts (FDR)")-SUMIFS(Journals!$L$9:$L$1007564,Journals!$D$9:$D$1007564,"&gt;"&amp;$E$7,Journals!$D$9:$D$1007564,"&lt;"&amp;$E$8,Journals!$J$9:$J$1007564,"Fixed Deposit Receipts (FDR)"))</f>
        <v>0</v>
      </c>
      <c r="I18" s="405">
        <f>MAX(0,SUMIFS(Journals!$L$9:$L$1007564,Journals!$D$9:$D$1007564,"&gt;"&amp;$E$7,Journals!$D$9:$D$1007564,"&lt;"&amp;$E$8,Journals!$J$9:$J$1007564,"Fixed Deposit Receipts (FDR)")-SUMIFS(Journals!$K$9:$K$1007564,Journals!$D$9:$D$1007564,"&gt;"&amp;$E$7,Journals!$D$9:$D$1007564,"&lt;"&amp;$E$8,Journals!$J$9:$J$1007564,"Fixed Deposit Receipts (FDR)"))</f>
        <v>5000000</v>
      </c>
      <c r="J18" s="406">
        <f>SUMIFS(Journals!$K$9:$K$1007564,Journals!$D$9:$D$1007564,"&lt;"&amp;$F$7,Journals!$J$9:$J$1007564,"Fixed Deposit Receipts (FDR)")-SUMIFS(Journals!$L$9:$L$1007564,Journals!$D$9:$D$1007564,"&lt;"&amp;$F$7,Journals!$J$9:$J$1007564,"Fixed Deposit Receipts (FDR)")</f>
        <v>90000000</v>
      </c>
      <c r="K18" s="406"/>
      <c r="L18" s="407">
        <f>J18+H18-I18</f>
        <v>85000000</v>
      </c>
      <c r="M18" s="407"/>
      <c r="N18" s="408"/>
      <c r="O18" s="408"/>
    </row>
    <row r="19" spans="1:25" ht="12" customHeight="1" x14ac:dyDescent="0.2">
      <c r="A19" s="102"/>
      <c r="B19" s="102"/>
      <c r="C19" s="102"/>
      <c r="D19" s="104"/>
      <c r="E19" s="102"/>
      <c r="F19" s="102"/>
      <c r="G19" s="115" t="str">
        <f>'Chart of Accounts'!B13</f>
        <v>Cash and cash equivalents</v>
      </c>
      <c r="H19" s="405">
        <f>MAX(0,SUMIFS(Journals!$K$9:$K$1007564,Journals!$D$9:$D$1007564,"&gt;"&amp;$E$7,Journals!$D$9:$D$1007564,"&lt;"&amp;$E$8,Journals!$J$9:$J$1007564,"Cash and cash equivalents")-SUMIFS(Journals!$L$9:$L$1007564,Journals!$D$9:$D$1007564,"&gt;"&amp;$E$7,Journals!$D$9:$D$1007564,"&lt;"&amp;$E$8,Journals!$J$9:$J$1007564,"Cash and cash equivalents"))</f>
        <v>2160071.7950003147</v>
      </c>
      <c r="I19" s="405">
        <f>MAX(0,SUMIFS(Journals!$L$9:$L$1007564,Journals!$D$9:$D$1007564,"&gt;"&amp;$E$7,Journals!$D$9:$D$1007564,"&lt;"&amp;$E$8,Journals!$J$9:$J$1007564,"Cash and cash equivalents")-SUMIFS(Journals!$K$9:$K$1007564,Journals!$D$9:$D$1007564,"&gt;"&amp;$E$7,Journals!$D$9:$D$1007564,"&lt;"&amp;$E$8,Journals!$J$9:$J$1007564,"Cash and cash equivalents"))</f>
        <v>0</v>
      </c>
      <c r="J19" s="406">
        <f>SUMIFS(Journals!$K$9:$K$1007564,Journals!$D$9:$D$1007564,"&lt;"&amp;$F$7,Journals!$J$9:$J$1007564,"Cash and cash equivalents")-SUMIFS(Journals!$L$9:$L$1007564,Journals!$D$9:$D$1007564,"&lt;"&amp;$F$7,Journals!$J$9:$J$1007564,"Cash and cash equivalents")</f>
        <v>13359585.160000086</v>
      </c>
      <c r="K19" s="406"/>
      <c r="L19" s="407">
        <f>J19+H19-I19</f>
        <v>15519656.955000401</v>
      </c>
      <c r="M19" s="407"/>
      <c r="N19" s="408"/>
      <c r="O19" s="408"/>
    </row>
    <row r="20" spans="1:25" ht="12" customHeight="1" x14ac:dyDescent="0.2">
      <c r="A20" s="102"/>
      <c r="B20" s="102"/>
      <c r="C20" s="102"/>
      <c r="D20" s="102"/>
      <c r="E20" s="102"/>
      <c r="F20" s="102"/>
      <c r="G20" s="115" t="str">
        <f>'Chart of Accounts'!B14</f>
        <v>Unit Capital</v>
      </c>
      <c r="H20" s="405">
        <f>MAX(0,SUMIFS(Journals!$K$9:$K$1007564,Journals!$D$9:$D$1007564,"&gt;"&amp;$E$7,Journals!$D$9:$D$1007564,"&lt;"&amp;$E$8,Journals!$J$9:$J$1007564,"unit capital"))</f>
        <v>250287210</v>
      </c>
      <c r="I20" s="405">
        <f>MAX(0,SUMIFS(Journals!$L$9:$L$1007564,Journals!$D$9:$D$1007564,"&gt;"&amp;$E$7,Journals!$D$9:$D$1007564,"&lt;"&amp;$E$8,Journals!$J$9:$J$1007564,"unit capital"))</f>
        <v>394108550</v>
      </c>
      <c r="J20" s="406"/>
      <c r="K20" s="406">
        <f>SUMIFS(Journals!$L$9:$L$1007564,Journals!$D$9:$D$1007564,"&lt;"&amp;$F$7,Journals!$J$9:$J$1007564,"unit capital")-SUMIFS(Journals!$K$9:$K$1007564,Journals!$D$9:$D$1007564,"&lt;"&amp;$F$7,Journals!$J$9:$J$1007564,"unit capital")</f>
        <v>318556230</v>
      </c>
      <c r="L20" s="407"/>
      <c r="M20" s="407">
        <f t="shared" si="0"/>
        <v>462377570</v>
      </c>
      <c r="N20" s="408"/>
      <c r="O20" s="408"/>
    </row>
    <row r="21" spans="1:25" ht="12" customHeight="1" x14ac:dyDescent="0.2">
      <c r="A21" s="102"/>
      <c r="B21" s="118"/>
      <c r="C21" s="102"/>
      <c r="D21" s="102"/>
      <c r="E21" s="102"/>
      <c r="F21" s="102"/>
      <c r="G21" s="115" t="str">
        <f>'Chart of Accounts'!B15</f>
        <v>Unit premium reserve</v>
      </c>
      <c r="H21" s="405">
        <f>MAX(0,SUMIFS(Journals!$K$9:$K$1007564,Journals!$D$9:$D$1007564,"&gt;"&amp;$E$7,Journals!$D$9:$D$1007564,"&lt;"&amp;$E$8,Journals!$J$9:$J$1007564,"Unit premium reserve"))</f>
        <v>53649164.444000028</v>
      </c>
      <c r="I21" s="405">
        <f>MAX(0,SUMIFS(Journals!$L$9:$L$1007564,Journals!$D$9:$D$1007564,"&gt;"&amp;$E$7,Journals!$D$9:$D$1007564,"&lt;"&amp;$E$8,Journals!$J$9:$J$1007564,"unit premium reserve"))</f>
        <v>79033602.38000001</v>
      </c>
      <c r="J21" s="406"/>
      <c r="K21" s="406">
        <f>SUMIFS(Journals!$L$9:$L$1007564,Journals!$D$9:$D$1007564,"&lt;"&amp;$F$7,Journals!$J$9:$J$1007564,"unit premium reserve")-SUMIFS(Journals!$K$9:$K$1007564,Journals!$D$9:$D$1007564,"&lt;"&amp;$F$7,Journals!$J$9:$J$1007564,"unit premium reserve")</f>
        <v>15909099.836000003</v>
      </c>
      <c r="L21" s="407"/>
      <c r="M21" s="407">
        <f t="shared" si="0"/>
        <v>41293537.771999992</v>
      </c>
      <c r="N21" s="408"/>
      <c r="O21" s="408"/>
    </row>
    <row r="22" spans="1:25" ht="12" customHeight="1" x14ac:dyDescent="0.2">
      <c r="A22" s="102"/>
      <c r="B22" s="118"/>
      <c r="C22" s="102"/>
      <c r="D22" s="102"/>
      <c r="E22" s="102"/>
      <c r="F22" s="102"/>
      <c r="G22" s="115" t="str">
        <f>'Chart of Accounts'!B16</f>
        <v>Interest income</v>
      </c>
      <c r="H22" s="405">
        <f>MAX(0,SUMIFS(Journals!$K$9:$K$1007564,Journals!$D$9:$D$1007564,"&gt;"&amp;$E$7,Journals!$D$9:$D$1007564,"&lt;"&amp;$E$8,Journals!$J$9:$J$1007564,"interest income")-SUMIFS(Journals!$L$9:$L$1007564,Journals!$D$9:$D$1007564,"&gt;"&amp;$E$7,Journals!$D$9:$D$1007564,"&lt;"&amp;$E$8,Journals!$J$9:$J$1007564,"interest income"))</f>
        <v>0</v>
      </c>
      <c r="I22" s="405">
        <f>MAX(0,SUMIFS(Journals!$L$9:$L$1007564,Journals!$D$9:$D$1007564,"&gt;"&amp;$E$7,Journals!$D$9:$D$1007564,"&lt;"&amp;$E$8,Journals!$J$9:$J$1007564,"interest income")-SUMIFS(Journals!$K$9:$K$1007564,Journals!$D$9:$D$1007564,"&gt;"&amp;$E$7,Journals!$D$9:$D$1007564,"&lt;"&amp;$E$8,Journals!$J$9:$J$1007564,"interest income"))</f>
        <v>10083228.475684037</v>
      </c>
      <c r="J22" s="406"/>
      <c r="K22" s="406">
        <f>SUMIFS(Journals!$L$9:$L$1006983,Journals!$D$9:$D$1006983,"&lt;"&amp;$F$7,Journals!$J$9:$J$1006983,"Interest income")-SUMIFS(Journals!$K$9:$K$1006983,Journals!$D$9:$D$1006983,"&lt;"&amp;$F$7,Journals!$J$9:$J$1006983,"Interest income")</f>
        <v>9836187.665877685</v>
      </c>
      <c r="L22" s="407"/>
      <c r="M22" s="407">
        <f t="shared" ref="M22:M30" si="1">K22+I22-H22</f>
        <v>19919416.141561724</v>
      </c>
      <c r="N22" s="408"/>
      <c r="O22" s="408">
        <f>SUMIFS(Journals!$L$9:$L$1007564,Journals!$D$9:$D$1007564,"&lt;"&amp;$F$7,Journals!$J$9:$J$1007564,"interest income")-SUMIFS(Journals!$K$9:$K$1007564,Journals!$D$9:$D$1007564,"&lt;"&amp;$F$7,Journals!$J$9:$J$1007564,"interest income")</f>
        <v>9836187.665877685</v>
      </c>
      <c r="Q22" s="5"/>
    </row>
    <row r="23" spans="1:25" ht="12" customHeight="1" x14ac:dyDescent="0.2">
      <c r="A23" s="102"/>
      <c r="B23" s="118"/>
      <c r="C23" s="102"/>
      <c r="D23" s="102"/>
      <c r="E23" s="102"/>
      <c r="F23" s="102"/>
      <c r="G23" s="115" t="s">
        <v>1845</v>
      </c>
      <c r="H23" s="405">
        <f>MAX(0,SUMIFS(Journals!$K$9:$K$1007494,Journals!$D$9:$D$1007494,"&gt;"&amp;$E$7,Journals!$D$9:$D$1007494,"&lt;"&amp;$E$8,Journals!$J$9:$J$1007494,"Interest income from T-Bond")-SUMIFS(Journals!$L$9:$L$1007494,Journals!$D$9:$D$1007494,"&gt;"&amp;$E$7,Journals!$D$9:$D$1007494,"&lt;"&amp;$E$8,Journals!$J$9:$J$1007494,"Interest income from T-Bond"))</f>
        <v>0</v>
      </c>
      <c r="I23" s="405">
        <f>MAX(0,SUMIFS(Journals!$L$9:$L$1007564,Journals!$D$9:$D$1007564,"&gt;"&amp;$E$7,Journals!$D$9:$D$1007564,"&lt;"&amp;$E$8,Journals!$J$9:$J$1007564,"Interest income from T-Bond")-SUMIFS(Journals!$K$9:$K$1007564,Journals!$D$9:$D$1007564,"&gt;"&amp;$E$7,Journals!$D$9:$D$1007564,"&lt;"&amp;$E$8,Journals!$J$9:$J$1007564,"Interest income from T-Bond"))</f>
        <v>33626216</v>
      </c>
      <c r="J23" s="406"/>
      <c r="K23" s="406">
        <f>SUMIFS(Journals!$L$9:$L$1007494,Journals!$D$9:$D$1007494,"&lt;"&amp;$F$7,Journals!$J$9:$J$1007494,"Interest income from T-Bond")-SUMIFS(Journals!$K$9:$K$1007494,Journals!$D$9:$D$1007494,"&lt;"&amp;$F$7,Journals!$J$9:$J$1007494,"Interest income from T-Bond")</f>
        <v>0</v>
      </c>
      <c r="L23" s="407"/>
      <c r="M23" s="407">
        <f t="shared" si="1"/>
        <v>33626216</v>
      </c>
      <c r="N23" s="408"/>
      <c r="O23" s="408">
        <f>SUMIFS(Journals!$L$9:$L$1007494,Journals!$D$9:$D$1007494,"&lt;"&amp;$F$7,Journals!$J$9:$J$1007494,"Interest income from T-Bond")-SUMIFS(Journals!$K$9:$K$1007494,Journals!$D$9:$D$1007494,"&lt;"&amp;$F$7,Journals!$J$9:$J$1007494,"Interest income from T-Bond")</f>
        <v>0</v>
      </c>
      <c r="T23" s="395"/>
      <c r="U23" s="395"/>
      <c r="V23" s="395"/>
      <c r="W23" s="395"/>
      <c r="X23" s="395"/>
      <c r="Y23" s="395"/>
    </row>
    <row r="24" spans="1:25" ht="12" customHeight="1" x14ac:dyDescent="0.2">
      <c r="A24" s="102"/>
      <c r="B24" s="118"/>
      <c r="C24" s="102"/>
      <c r="D24" s="102"/>
      <c r="E24" s="102"/>
      <c r="F24" s="102"/>
      <c r="G24" s="115" t="s">
        <v>1581</v>
      </c>
      <c r="H24" s="405">
        <f>MAX(0,SUMIFS(Journals!$K$9:$K$1007564,Journals!$D$9:$D$1007564,"&gt;"&amp;$E$7,Journals!$D$9:$D$1007564,"&lt;"&amp;$E$8,Journals!$J$9:$J$1007564,"Interest income from BXSUKUK")-SUMIFS(Journals!$L$9:$L$1007564,Journals!$D$9:$D$1007564,"&gt;"&amp;$E$7,Journals!$D$9:$D$1007564,"&lt;"&amp;$E$8,Journals!$J$9:$J$1007564,"Interest income from BXSUKUK"))</f>
        <v>0</v>
      </c>
      <c r="I24" s="405">
        <f>MAX(0,SUMIFS(Journals!$L$9:$L$1007564,Journals!$D$9:$D$1007564,"&gt;"&amp;$E$7,Journals!$D$9:$D$1007564,"&lt;"&amp;$E$8,Journals!$J$9:$J$1007564,"Interest income from BXSUKUK")-SUMIFS(Journals!$K$9:$K$1007564,Journals!$D$9:$D$1007564,"&gt;"&amp;$E$7,Journals!$D$9:$D$1007564,"&lt;"&amp;$E$8,Journals!$J$9:$J$1007564,"Interest income from BXSUKUK"))</f>
        <v>15985.71118131909</v>
      </c>
      <c r="J24" s="406"/>
      <c r="K24" s="406">
        <f>SUMIFS(Journals!$L$9:$L$1007564,Journals!$D$9:$D$1007564,"&lt;"&amp;$F$7,Journals!$J$9:$J$1007564,"Interest income from BXSUKUK")-SUMIFS(Journals!$K$9:$K$1007564,Journals!$D$9:$D$1007564,"&lt;"&amp;$F$7,Journals!$J$9:$J$1007564,"Interest income from BXSUKUK")</f>
        <v>432657.02824175771</v>
      </c>
      <c r="L24" s="407"/>
      <c r="M24" s="407">
        <f t="shared" si="1"/>
        <v>448642.7394230768</v>
      </c>
      <c r="N24" s="408"/>
      <c r="O24" s="408">
        <f>SUMIFS(Journals!$L$9:$L$1007564,Journals!$D$9:$D$1007564,"&lt;"&amp;$F$7,Journals!$J$9:$J$1007564,"Interest income from BXSUKUK")-SUMIFS(Journals!$K$9:$K$1007564,Journals!$D$9:$D$1007564,"&lt;"&amp;$F$7,Journals!$J$9:$J$1007564,"Interest income from BXSUKUK")</f>
        <v>432657.02824175771</v>
      </c>
      <c r="Q24" s="5"/>
    </row>
    <row r="25" spans="1:25" ht="12" customHeight="1" x14ac:dyDescent="0.2">
      <c r="A25" s="102"/>
      <c r="B25" s="118"/>
      <c r="C25" s="102"/>
      <c r="D25" s="102"/>
      <c r="E25" s="102"/>
      <c r="F25" s="102"/>
      <c r="G25" s="115" t="s">
        <v>1582</v>
      </c>
      <c r="H25" s="405">
        <f>MAX(0,SUMIFS(Journals!$K$9:$K$1007564,Journals!$D$9:$D$1007564,"&gt;"&amp;$E$7,Journals!$D$9:$D$1007564,"&lt;"&amp;$E$8,Journals!$J$9:$J$1007564,"Interest income from APSCL")-SUMIFS(Journals!$L$9:$L$1007564,Journals!$D$9:$D$1007564,"&gt;"&amp;$E$7,Journals!$D$9:$D$1007564,"&lt;"&amp;$E$8,Journals!$J$9:$J$1007564,"Interest income from APSCL"))</f>
        <v>0</v>
      </c>
      <c r="I25" s="405">
        <f>MAX(0,SUMIFS(Journals!$L$9:$L$1007564,Journals!$D$9:$D$1007564,"&gt;"&amp;$E$7,Journals!$D$9:$D$1007564,"&lt;"&amp;$E$8,Journals!$J$9:$J$1007564,"Interest income from APSCL")-SUMIFS(Journals!$K$9:$K$1007564,Journals!$D$9:$D$1007564,"&gt;"&amp;$E$7,Journals!$D$9:$D$1007564,"&lt;"&amp;$E$8,Journals!$J$9:$J$1007564,"Interest income from APSCL"))</f>
        <v>294873.75414303504</v>
      </c>
      <c r="J25" s="406"/>
      <c r="K25" s="406">
        <f>SUMIFS(Journals!$L$9:$L$1007564,Journals!$D$9:$D$1007564,"&lt;"&amp;$F$7,Journals!$J$9:$J$1007564,"Interest income from APSCL")-SUMIFS(Journals!$K$9:$K$1007564,Journals!$D$9:$D$1007564,"&lt;"&amp;$F$7,Journals!$J$9:$J$1007564,"Interest income from APSCL")</f>
        <v>983653.12519230717</v>
      </c>
      <c r="L25" s="407"/>
      <c r="M25" s="407">
        <f t="shared" si="1"/>
        <v>1278526.8793353422</v>
      </c>
      <c r="N25" s="408"/>
      <c r="O25" s="408">
        <f>SUMIFS(Journals!$L$9:$L$1007564,Journals!$D$9:$D$1007564,"&lt;"&amp;$F$7,Journals!$J$9:$J$1007564,"Interest income from APSCL")-SUMIFS(Journals!$K$9:$K$1007564,Journals!$D$9:$D$1007564,"&lt;"&amp;$F$7,Journals!$J$9:$J$1007564,"Interest income from APSCL")</f>
        <v>983653.12519230717</v>
      </c>
      <c r="Q25" s="5"/>
    </row>
    <row r="26" spans="1:25" ht="12" customHeight="1" x14ac:dyDescent="0.2">
      <c r="A26" s="102"/>
      <c r="B26" s="118"/>
      <c r="C26" s="102"/>
      <c r="D26" s="102"/>
      <c r="E26" s="102"/>
      <c r="F26" s="102"/>
      <c r="G26" s="115" t="s">
        <v>2008</v>
      </c>
      <c r="H26" s="405">
        <f>MAX(0,SUMIFS(Journals!$K$9:$K$1007564,Journals!$D$9:$D$1007564,"&gt;"&amp;$E$7,Journals!$D$9:$D$1007564,"&lt;"&amp;$E$8,Journals!$J$9:$J$1007564,"Interest income from Bank Asia Bond")-SUMIFS(Journals!$L$9:$L$1007564,Journals!$D$9:$D$1007564,"&gt;"&amp;$E$7,Journals!$D$9:$D$1007564,"&lt;"&amp;$E$8,Journals!$J$9:$J$1007564,"Interest income from Bank Asia Bond"))</f>
        <v>0</v>
      </c>
      <c r="I26" s="405">
        <f>MAX(0,SUMIFS(Journals!$L$9:$L$1007564,Journals!$D$9:$D$1007564,"&gt;"&amp;$E$7,Journals!$D$9:$D$1007564,"&lt;"&amp;$E$8,Journals!$J$9:$J$1007564,"Interest income from Bank Asia Bond")-SUMIFS(Journals!$K$9:$K$1007564,Journals!$D$9:$D$1007564,"&gt;"&amp;$E$7,Journals!$D$9:$D$1007564,"&lt;"&amp;$E$8,Journals!$J$9:$J$1007564,"Interest income from Bank Asia Bond"))</f>
        <v>873164.87340659346</v>
      </c>
      <c r="J26" s="406"/>
      <c r="K26" s="406">
        <f>SUMIFS(Journals!$L$9:$L$1007564,Journals!$D$9:$D$1007564,"&lt;"&amp;$F$7,Journals!$J$9:$J$1007564,"Interest income from Bank Asia Bond")-SUMIFS(Journals!$K$9:$K$1007564,Journals!$D$9:$D$1007564,"&lt;"&amp;$F$7,Journals!$J$9:$J$1007564,"Interest income from Bank Asia Bond")</f>
        <v>0</v>
      </c>
      <c r="L26" s="407"/>
      <c r="M26" s="407">
        <f>K26+I26-H26</f>
        <v>873164.87340659346</v>
      </c>
      <c r="N26" s="408"/>
      <c r="O26" s="408">
        <f>SUMIFS(Journals!$L$9:$L$1007564,Journals!$D$9:$D$1007564,"&lt;"&amp;$F$7,Journals!$J$9:$J$1007564,"Interest income from Bank Asia Bond")-SUMIFS(Journals!$K$9:$K$1007564,Journals!$D$9:$D$1007564,"&lt;"&amp;$F$7,Journals!$J$9:$J$1007564,"Interest income from Bank Asia Bond")</f>
        <v>0</v>
      </c>
      <c r="Q26" s="5"/>
    </row>
    <row r="27" spans="1:25" ht="12" customHeight="1" x14ac:dyDescent="0.2">
      <c r="A27" s="102"/>
      <c r="B27" s="118"/>
      <c r="C27" s="102"/>
      <c r="D27" s="102"/>
      <c r="E27" s="102"/>
      <c r="F27" s="102"/>
      <c r="G27" s="115" t="s">
        <v>1979</v>
      </c>
      <c r="H27" s="405">
        <f>MAX(0,SUMIFS(Journals!$K$9:$K$1007564,Journals!$D$9:$D$1007564,"&gt;"&amp;$E$7,Journals!$D$9:$D$1007564,"&lt;"&amp;$E$8,Journals!$J$9:$J$1007564,"Interest income from BRAC Bank Bond")-SUMIFS(Journals!$L$9:$L$1007564,Journals!$D$9:$D$1007564,"&gt;"&amp;$E$7,Journals!$D$9:$D$1007564,"&lt;"&amp;$E$8,Journals!$J$9:$J$1007564,"Interest income from BRAC Bank Bond"))</f>
        <v>0</v>
      </c>
      <c r="I27" s="405">
        <f>MAX(0,SUMIFS(Journals!$L$9:$L$1007564,Journals!$D$9:$D$1007564,"&gt;"&amp;$E$7,Journals!$D$9:$D$1007564,"&lt;"&amp;$E$8,Journals!$J$9:$J$1007564,"Interest income from BRAC Bank Bond")-SUMIFS(Journals!$K$9:$K$1007564,Journals!$D$9:$D$1007564,"&gt;"&amp;$E$7,Journals!$D$9:$D$1007564,"&lt;"&amp;$E$8,Journals!$J$9:$J$1007564,"Interest income from BRAC Bank Bond"))</f>
        <v>2800879.1208791207</v>
      </c>
      <c r="J27" s="406"/>
      <c r="K27" s="406">
        <f>SUMIFS(Journals!$L$9:$L$1007564,Journals!$D$9:$D$1007564,"&lt;"&amp;$F$7,Journals!$J$9:$J$1007564,"Interest income from BRAC Bank Bond")-SUMIFS(Journals!$K$9:$K$1007564,Journals!$D$9:$D$1007564,"&lt;"&amp;$F$7,Journals!$J$9:$J$1007564,"Interest income from BRAC Bank Bond")</f>
        <v>0</v>
      </c>
      <c r="L27" s="407"/>
      <c r="M27" s="407">
        <f>K27+I27-H27</f>
        <v>2800879.1208791207</v>
      </c>
      <c r="N27" s="408"/>
      <c r="O27" s="408">
        <f>SUMIFS(Journals!$L$9:$L$1007564,Journals!$D$9:$D$1007564,"&lt;"&amp;$F$7,Journals!$J$9:$J$1007564,"Interest income from BRAC Bank Bond")-SUMIFS(Journals!$K$9:$K$1007564,Journals!$D$9:$D$1007564,"&lt;"&amp;$F$7,Journals!$J$9:$J$1007564,"Interest income from BRAC Bank Bond")</f>
        <v>0</v>
      </c>
      <c r="Q27" s="5"/>
    </row>
    <row r="28" spans="1:25" ht="12" customHeight="1" x14ac:dyDescent="0.2">
      <c r="A28" s="102"/>
      <c r="B28" s="118"/>
      <c r="C28" s="102"/>
      <c r="D28" s="102"/>
      <c r="E28" s="102"/>
      <c r="F28" s="102"/>
      <c r="G28" s="115" t="s">
        <v>2089</v>
      </c>
      <c r="H28" s="405">
        <f>MAX(0,SUMIFS(Journals!$K$9:$K$1007564,Journals!$D$9:$D$1007564,"&gt;"&amp;$E$7,Journals!$D$9:$D$1007564,"&lt;"&amp;$E$8,Journals!$J$9:$J$1007564,"Interest income from Dhaka Bank Bond")-SUMIFS(Journals!$L$9:$L$1007564,Journals!$D$9:$D$1007564,"&gt;"&amp;$E$7,Journals!$D$9:$D$1007564,"&lt;"&amp;$E$8,Journals!$J$9:$J$1007564,"Interest income from Dhaka Bank Bond"))</f>
        <v>0</v>
      </c>
      <c r="I28" s="405">
        <f>MAX(0,SUMIFS(Journals!$L$9:$L$1007564,Journals!$D$9:$D$1007564,"&gt;"&amp;$E$7,Journals!$D$9:$D$1007564,"&lt;"&amp;$E$8,Journals!$J$9:$J$1007564,"Interest income from Dhaka Bank Bond")-SUMIFS(Journals!$K$9:$K$1007564,Journals!$D$9:$D$1007564,"&gt;"&amp;$E$7,Journals!$D$9:$D$1007564,"&lt;"&amp;$E$8,Journals!$J$9:$J$1007564,"Interest income from Dhaka Bank Bond"))</f>
        <v>0</v>
      </c>
      <c r="J28" s="406"/>
      <c r="K28" s="406">
        <f>SUMIFS(Journals!$L$9:$L$1007564,Journals!$D$9:$D$1007564,"&lt;"&amp;$F$7,Journals!$J$9:$J$1007564,"Interest income from Dhaka Bank Bond")-SUMIFS(Journals!$K$9:$K$1007564,Journals!$D$9:$D$1007564,"&lt;"&amp;$F$7,Journals!$J$9:$J$1007564,"Interest income from Dhaka Bank Bond")</f>
        <v>0</v>
      </c>
      <c r="L28" s="407"/>
      <c r="M28" s="407">
        <f t="shared" ref="M28" si="2">K28+I28-H28</f>
        <v>0</v>
      </c>
      <c r="N28" s="408"/>
      <c r="O28" s="408">
        <f>SUMIFS(Journals!$L$9:$L$1007564,Journals!$D$9:$D$1007564,"&lt;"&amp;$F$7,Journals!$J$9:$J$1007564,"Interest income from Dhaka Bank Bond")-SUMIFS(Journals!$K$9:$K$1007564,Journals!$D$9:$D$1007564,"&lt;"&amp;$F$7,Journals!$J$9:$J$1007564,"Interest income from Dhaka Bank Bond")</f>
        <v>0</v>
      </c>
      <c r="Q28" s="5"/>
    </row>
    <row r="29" spans="1:25" ht="12" customHeight="1" x14ac:dyDescent="0.2">
      <c r="A29" s="102"/>
      <c r="B29" s="118"/>
      <c r="C29" s="102"/>
      <c r="D29" s="102"/>
      <c r="E29" s="102"/>
      <c r="F29" s="102"/>
      <c r="G29" s="115" t="s">
        <v>1583</v>
      </c>
      <c r="H29" s="405">
        <f>MAX(0,SUMIFS(Journals!$K$9:$K$1007564,Journals!$D$9:$D$1007564,"&gt;"&amp;$E$7,Journals!$D$9:$D$1007564,"&lt;"&amp;$E$8,Journals!$J$9:$J$1007564,"Interest income from Bank Acc.")-SUMIFS(Journals!$L$9:$L$1007564,Journals!$D$9:$D$1007564,"&gt;"&amp;$E$7,Journals!$D$9:$D$1007564,"&lt;"&amp;$E$8,Journals!$J$9:$J$1007564,"Interest income from Bank Acc."))</f>
        <v>0</v>
      </c>
      <c r="I29" s="405">
        <f>MAX(0,SUMIFS(Journals!$L$9:$L$1007564,Journals!$D$9:$D$1007564,"&gt;"&amp;$E$7,Journals!$D$9:$D$1007564,"&lt;"&amp;$E$8,Journals!$J$9:$J$1007564,"Interest income from Bank Acc.")-SUMIFS(Journals!$K$9:$K$1007564,Journals!$D$9:$D$1007564,"&gt;"&amp;$E$7,Journals!$D$9:$D$1007564,"&lt;"&amp;$E$8,Journals!$J$9:$J$1007564,"Interest income from Bank Acc."))</f>
        <v>0</v>
      </c>
      <c r="J29" s="406"/>
      <c r="K29" s="406">
        <f>SUMIFS(Journals!$L$9:$L$1007564,Journals!$D$9:$D$1007564,"&lt;"&amp;$F$7,Journals!$J$9:$J$1007564,"Interest income from Bank Acc.")-SUMIFS(Journals!$K$9:$K$1007564,Journals!$D$9:$D$1007564,"&lt;"&amp;$F$7,Journals!$J$9:$J$1007564,"Interest income from Bank Acc.")</f>
        <v>0</v>
      </c>
      <c r="L29" s="407"/>
      <c r="M29" s="407">
        <f t="shared" si="1"/>
        <v>0</v>
      </c>
      <c r="N29" s="408"/>
      <c r="O29" s="408">
        <f>SUMIFS(Journals!$L$9:$L$1007564,Journals!$D$9:$D$1007564,"&lt;"&amp;$F$7,Journals!$J$9:$J$1007564,"Interest income from Bank Acc.")-SUMIFS(Journals!$K$9:$K$1007564,Journals!$D$9:$D$1007564,"&lt;"&amp;$F$7,Journals!$J$9:$J$1007564,"Interest income from Bank Acc.")</f>
        <v>0</v>
      </c>
      <c r="Q29" s="5"/>
    </row>
    <row r="30" spans="1:25" ht="12" customHeight="1" x14ac:dyDescent="0.2">
      <c r="A30" s="102"/>
      <c r="B30" s="118"/>
      <c r="C30" s="102"/>
      <c r="D30" s="102"/>
      <c r="E30" s="102"/>
      <c r="F30" s="102"/>
      <c r="G30" s="115" t="s">
        <v>1584</v>
      </c>
      <c r="H30" s="405">
        <f>MAX(0,SUMIFS(Journals!$K$9:$K$1007564,Journals!$D$9:$D$1007564,"&gt;"&amp;$E$7,Journals!$D$9:$D$1007564,"&lt;"&amp;$E$8,Journals!$J$9:$J$1007564,"Interest income from FDR")-SUMIFS(Journals!$L$9:$L$1007564,Journals!$D$9:$D$1007564,"&gt;"&amp;$E$7,Journals!$D$9:$D$1007564,"&lt;"&amp;$E$8,Journals!$J$9:$J$1007564,"Interest income from FDR"))</f>
        <v>0</v>
      </c>
      <c r="I30" s="405">
        <f>MAX(0,SUMIFS(Journals!$L$9:$L$1007564,Journals!$D$9:$D$1007564,"&gt;"&amp;$E$7,Journals!$D$9:$D$1007564,"&lt;"&amp;$E$8,Journals!$J$9:$J$1007564,"Interest income from FDR")-SUMIFS(Journals!$K$9:$K$1007564,Journals!$D$9:$D$1007564,"&gt;"&amp;$E$7,Journals!$D$9:$D$1007564,"&lt;"&amp;$E$8,Journals!$J$9:$J$1007564,"Interest income from FDR"))</f>
        <v>0</v>
      </c>
      <c r="J30" s="406"/>
      <c r="K30" s="406">
        <f>SUMIFS(Journals!$L$9:$L$1007564,Journals!$D$9:$D$1007564,"&lt;"&amp;$F$7,Journals!$J$9:$J$1007564,"Interest income from FDR")-SUMIFS(Journals!$K$9:$K$1007564,Journals!$D$9:$D$1007564,"&lt;"&amp;$F$7,Journals!$J$9:$J$1007564,"Interest income from FDR")</f>
        <v>0</v>
      </c>
      <c r="L30" s="407"/>
      <c r="M30" s="407">
        <f t="shared" si="1"/>
        <v>0</v>
      </c>
      <c r="N30" s="408"/>
      <c r="O30" s="408">
        <f>SUMIFS(Journals!$L$9:$L$1007564,Journals!$D$9:$D$1007564,"&lt;"&amp;$F$7,Journals!$J$9:$J$1007564,"Interest income from FDR")-SUMIFS(Journals!$K$9:$K$1007564,Journals!$D$9:$D$1007564,"&lt;"&amp;$F$7,Journals!$J$9:$J$1007564,"Interest income from FDR")</f>
        <v>0</v>
      </c>
      <c r="Q30" s="5"/>
    </row>
    <row r="31" spans="1:25" ht="12" customHeight="1" x14ac:dyDescent="0.2">
      <c r="A31" s="102"/>
      <c r="B31" s="118"/>
      <c r="C31" s="102"/>
      <c r="D31" s="102"/>
      <c r="E31" s="102"/>
      <c r="F31" s="102"/>
      <c r="G31" s="115" t="s">
        <v>1585</v>
      </c>
      <c r="H31" s="405">
        <f>MAX(0,SUMIFS(Journals!$K$9:$K$1007564,Journals!$D$9:$D$1007564,"&gt;"&amp;$E$7,Journals!$D$9:$D$1007564,"&lt;"&amp;$E$8,Journals!$J$9:$J$1007564,"Interest income reduce for Bond Premium")-SUMIFS(Journals!$L$9:$L$1007564,Journals!$D$9:$D$1007564,"&gt;"&amp;$E$7,Journals!$D$9:$D$1007564,"&lt;"&amp;$E$8,Journals!$J$9:$J$1007564,"Interest income reduce for Bond Premium"))</f>
        <v>0</v>
      </c>
      <c r="I31" s="405">
        <f>MAX(0,SUMIFS(Journals!$L$9:$L$1007564,Journals!$D$9:$D$1007564,"&gt;"&amp;$E$7,Journals!$D$9:$D$1007564,"&lt;"&amp;$E$8,Journals!$J$9:$J$1007564,"Interest income reduce for Bond Premium")-SUMIFS(Journals!$K$9:$K$1007564,Journals!$D$9:$D$1007564,"&gt;"&amp;$E$7,Journals!$D$9:$D$1007564,"&lt;"&amp;$E$8,Journals!$J$9:$J$1007564,"Interest income reduce for Bond Premium"))</f>
        <v>0</v>
      </c>
      <c r="J31" s="406">
        <f>SUMIFS(Journals!$K$9:$K$1006983,Journals!$D$9:$D$1006983,"&lt;"&amp;$F$7,Journals!$J$9:$J$1006983,"Interest income reduce for Bond Premium")-SUMIFS(Journals!$L$9:$L$1006983,Journals!$D$9:$D$1006983,"&lt;"&amp;$F$7,Journals!$J$9:$J$1006983,"Interest income reduce for Bond Premium")</f>
        <v>0</v>
      </c>
      <c r="K31" s="406"/>
      <c r="L31" s="407">
        <f>J31+H31-I31</f>
        <v>0</v>
      </c>
      <c r="M31" s="407"/>
      <c r="N31" s="408"/>
      <c r="O31" s="408"/>
      <c r="Q31" s="5"/>
    </row>
    <row r="32" spans="1:25" ht="12" customHeight="1" x14ac:dyDescent="0.2">
      <c r="A32" s="102"/>
      <c r="B32" s="102"/>
      <c r="C32" s="102"/>
      <c r="D32" s="102"/>
      <c r="E32" s="102"/>
      <c r="F32" s="102"/>
      <c r="G32" s="115" t="str">
        <f>'Chart of Accounts'!B24</f>
        <v>Bank charges and excise duties</v>
      </c>
      <c r="H32" s="405">
        <f>MAX(0,SUMIFS(Journals!$K$9:$K$1007564,Journals!$D$9:$D$1007564,"&gt;"&amp;$E$7,Journals!$D$9:$D$1007564,"&lt;"&amp;$E$8,Journals!$J$9:$J$1007564,"Bank charges and excise duties")-SUMIFS(Journals!$L$9:$L$1007564,Journals!$D$9:$D$1007564,"&gt;"&amp;$E$7,Journals!$D$9:$D$1007564,"&lt;"&amp;$E$8,Journals!$J$9:$J$1007564,"Bank charges and excise duties"))</f>
        <v>197576.65</v>
      </c>
      <c r="I32" s="405">
        <f>MAX(0,SUMIFS(Journals!$L$9:$L$1007564,Journals!$D$9:$D$1007564,"&gt;"&amp;$E$7,Journals!$D$9:$D$1007564,"&lt;"&amp;$E$8,Journals!$J$9:$J$1007564,"Bank charges and excise duties")-SUMIFS(Journals!$K$9:$K$1007564,Journals!$D$9:$D$1007564,"&gt;"&amp;$E$7,Journals!$D$9:$D$1007564,"&lt;"&amp;$E$8,Journals!$J$9:$J$1007564,"Bank charges and excise duties"))</f>
        <v>0</v>
      </c>
      <c r="J32" s="406"/>
      <c r="K32" s="406"/>
      <c r="L32" s="407"/>
      <c r="M32" s="407"/>
      <c r="N32" s="408">
        <f>SUMIFS(Journals!$K$9:$K$1007564,Journals!$D$9:$D$1007564,"&lt;"&amp;$F$7,Journals!$J$9:$J$1007564,"Bank charges and excise duties")-SUMIFS(Journals!$L$9:$L$1007564,Journals!$D$9:$D$1007564,"&lt;"&amp;$F$7,Journals!$J$9:$J$1007564,"Bank charges and excise duties")</f>
        <v>448498.70599975472</v>
      </c>
      <c r="O32" s="408"/>
      <c r="Q32" s="5"/>
    </row>
    <row r="33" spans="1:25" ht="12" customHeight="1" x14ac:dyDescent="0.2">
      <c r="A33" s="102"/>
      <c r="B33" s="102"/>
      <c r="C33" s="102"/>
      <c r="D33" s="102"/>
      <c r="E33" s="102"/>
      <c r="F33" s="102"/>
      <c r="G33" s="115" t="str">
        <f>'Chart of Accounts'!B25</f>
        <v>Brokerage commission</v>
      </c>
      <c r="H33" s="405">
        <f>MAX(0,SUMIFS(Journals!$K$9:$K$1007564,Journals!$D$9:$D$1007564,"&gt;"&amp;$E$7,Journals!$D$9:$D$1007564,"&lt;"&amp;$E$8,Journals!$J$9:$J$1007564,"brokerage commission")-SUMIFS(Journals!$L$9:$L$1007564,Journals!$D$9:$D$1007564,"&gt;"&amp;$E$7,Journals!$D$9:$D$1007564,"&lt;"&amp;$E$8,Journals!$J$9:$J$1007564,"brokerage commission"))</f>
        <v>16190.198200000001</v>
      </c>
      <c r="I33" s="405">
        <f>MAX(0,SUMIFS(Journals!$L$9:$L$1007564,Journals!$D$9:$D$1007564,"&gt;"&amp;$E$7,Journals!$D$9:$D$1007564,"&lt;"&amp;$E$8,Journals!$J$9:$J$1007564,"brokerage commission")-SUMIFS(Journals!$K$9:$K$1007564,Journals!$D$9:$D$1007564,"&gt;"&amp;$E$7,Journals!$D$9:$D$1007564,"&lt;"&amp;$E$8,Journals!$J$9:$J$1007564,"brokerage commission"))</f>
        <v>0</v>
      </c>
      <c r="J33" s="406"/>
      <c r="K33" s="406"/>
      <c r="L33" s="407"/>
      <c r="M33" s="407"/>
      <c r="N33" s="408">
        <f>SUMIFS(Journals!$K$9:$K$1007564,Journals!$D$9:$D$1007564,"&lt;"&amp;$F$7,Journals!$J$9:$J$1007564,"brokerage commission")-SUMIFS(Journals!$L$9:$L$1007564,Journals!$D$9:$D$1007564,"&lt;"&amp;$F$7,Journals!$J$9:$J$1007564,"brokerage commission")</f>
        <v>6215.7199999999993</v>
      </c>
      <c r="O33" s="408"/>
      <c r="Q33" s="5"/>
    </row>
    <row r="34" spans="1:25" ht="12" customHeight="1" x14ac:dyDescent="0.2">
      <c r="A34" s="102"/>
      <c r="B34" s="102"/>
      <c r="C34" s="102"/>
      <c r="D34" s="114"/>
      <c r="E34" s="102"/>
      <c r="F34" s="102"/>
      <c r="G34" s="115" t="s">
        <v>72</v>
      </c>
      <c r="H34" s="405">
        <f>MAX(0,SUMIFS(Journals!$K$9:$K$1007564,Journals!$D$9:$D$1007564,"&gt;"&amp;$E$7,Journals!$D$9:$D$1007564,"&lt;"&amp;$E$8,Journals!$J$9:$J$1007564,"Unrealized gain on securities")-SUMIFS(Journals!$L$9:$L$1007564,Journals!$D$9:$D$1007564,"&gt;"&amp;$E$7,Journals!$D$9:$D$1007564,"&lt;"&amp;$E$8,Journals!$J$9:$J$1007564,"Unrealized gain on securities"))</f>
        <v>0</v>
      </c>
      <c r="I34" s="405">
        <f>MAX(0,SUMIFS(Journals!$L$9:$L$1007564,Journals!$D$9:$D$1007564,"&gt;"&amp;$E$7,Journals!$D$9:$D$1007564,"&lt;"&amp;$E$8,Journals!$J$9:$J$1007564,"Unrealized gain on securities")-SUMIFS(Journals!$K$9:$K$1007564,Journals!$D$9:$D$1007564,"&gt;"&amp;$E$7,Journals!$D$9:$D$1007564,"&lt;"&amp;$E$8,Journals!$J$9:$J$1007564,"Unrealized gain on securities"))</f>
        <v>903883.5</v>
      </c>
      <c r="J34" s="406">
        <f>SUMIFS(Journals!$K$9:$K$1006983,Journals!$D$9:$D$1006983,"&lt;"&amp;$F$7,Journals!$J$9:$J$1006983,"Unrealized gain on securities")-SUMIFS(Journals!$L$9:$L$1006983,Journals!$D$9:$D$1006983,"&lt;"&amp;$F$7,Journals!$J$9:$J$1006983,"Unrealized gain on securities")</f>
        <v>743252.61999999732</v>
      </c>
      <c r="K34" s="406"/>
      <c r="L34" s="407"/>
      <c r="M34" s="407"/>
      <c r="N34" s="408">
        <f>SUMIFS(Journals!K6:K1007561,Journals!D6:D1007561,"&lt;"&amp;F4,Journals!J6:J1007561,"Unrealized gain on securities")-SUMIFS(Journals!L6:L1007561,Journals!D6:D1007561,"&lt;"&amp;F4,Journals!J6:J1007561,"Unrealized gain on securities")</f>
        <v>0</v>
      </c>
      <c r="O34" s="408">
        <f>SUMIFS(Journals!$L$9:$L$1003833,Journals!$D$9:$D$1003833,"&lt;"&amp;$F$7,Journals!$J$9:$J$1003833,"unrealized gain on securities")-SUMIFS(Journals!$K$9:$K$1003833,Journals!$D$9:$D$1003833,"&lt;"&amp;$F$7,Journals!$J$9:$J$1003833,"unrealized gain on securities")</f>
        <v>-743252.61999999732</v>
      </c>
      <c r="P34" s="5"/>
      <c r="Q34" s="5"/>
    </row>
    <row r="35" spans="1:25" ht="12" customHeight="1" x14ac:dyDescent="0.2">
      <c r="A35" s="102"/>
      <c r="B35" s="102"/>
      <c r="C35" s="102"/>
      <c r="D35" s="114"/>
      <c r="E35" s="102"/>
      <c r="F35" s="102"/>
      <c r="G35" s="115" t="s">
        <v>1458</v>
      </c>
      <c r="H35" s="405">
        <f>MAX(0,SUMIFS(Journals!$K$9:$K$1007564,Journals!$D$9:$D$1007564,"&gt;"&amp;$E$7,Journals!$D$9:$D$1007564,"&lt;"&amp;$E$8,Journals!$J$9:$J$1007564,"Unrealized gain on T-Bill")-SUMIFS(Journals!$L$9:$L$1007564,Journals!$D$9:$D$1007564,"&gt;"&amp;$E$7,Journals!$D$9:$D$1007564,"&lt;"&amp;$E$8,Journals!$J$9:$J$1007564,"Unrealized gain on T-Bill"))</f>
        <v>1185081</v>
      </c>
      <c r="I35" s="405">
        <f>MAX(0,SUMIFS(Journals!$L$9:$L$1007564,Journals!$D$9:$D$1007564,"&gt;"&amp;$E$7,Journals!$D$9:$D$1007564,"&lt;"&amp;$E$8,Journals!$J$9:$J$1007564,"Unrealized gain on T-Bill")-SUMIFS(Journals!$K$9:$K$1007564,Journals!$D$9:$D$1007564,"&gt;"&amp;$E$7,Journals!$D$9:$D$1007564,"&lt;"&amp;$E$8,Journals!$J$9:$J$1007564,"Unrealized gain on T-Bill"))</f>
        <v>0</v>
      </c>
      <c r="J35" s="406"/>
      <c r="K35" s="406">
        <f>SUMIFS(Journals!$L$9:$L$1007564,Journals!$D$9:$D$1007564,"&lt;"&amp;$F$7,Journals!$J$9:$J$1007564,"Unrealized gain on T-Bill")-SUMIFS(Journals!$K$9:$K$1007564,Journals!$D$9:$D$1007564,"&lt;"&amp;$F$7,Journals!$J$9:$J$1007564,"Unrealized gain on T-Bill")</f>
        <v>1185080.8000000119</v>
      </c>
      <c r="L35" s="407"/>
      <c r="M35" s="407"/>
      <c r="N35" s="408">
        <f>SUMIFS(Journals!K7:K1007562,Journals!D7:D1007562,"&lt;"&amp;F5,Journals!J7:J1007562,"Unrealized gain on T-Bill")-SUMIFS(Journals!L7:L1007562,Journals!D7:D1007562,"&lt;"&amp;F5,Journals!J7:J1007562,"Unrealized gain on T-Bill")</f>
        <v>0</v>
      </c>
      <c r="O35" s="408">
        <f>SUMIFS(Journals!$L$9:$L$995849,Journals!$D$9:$D$995849,"&lt;"&amp;$F$7,Journals!$J$9:$J$995849,"Unrealized gain on T-Bill")-SUMIFS(Journals!$K$9:$K$995849,Journals!$D$9:$D$995849,"&lt;"&amp;$F$7,Journals!$J$9:$J$995849,"Unrealized gain on T-Bill")</f>
        <v>1185080.8000000119</v>
      </c>
      <c r="Q35" s="5"/>
    </row>
    <row r="36" spans="1:25" ht="12" customHeight="1" x14ac:dyDescent="0.2">
      <c r="A36" s="102"/>
      <c r="B36" s="102"/>
      <c r="C36" s="102"/>
      <c r="D36" s="114"/>
      <c r="E36" s="102"/>
      <c r="F36" s="102"/>
      <c r="G36" s="115" t="s">
        <v>1459</v>
      </c>
      <c r="H36" s="405">
        <f>MAX(0,SUMIFS(Journals!$K$9:$K$1007564,Journals!$D$9:$D$1007564,"&gt;"&amp;$E$7,Journals!$D$9:$D$1007564,"&lt;"&amp;$E$8,Journals!$J$9:$J$1007564,"Unrealized gain on T-Bond")-SUMIFS(Journals!$L$9:$L$1007564,Journals!$D$9:$D$1007564,"&gt;"&amp;$E$7,Journals!$D$9:$D$1007564,"&lt;"&amp;$E$8,Journals!$J$9:$J$1007564,"Unrealized gain on T-Bond"))</f>
        <v>0</v>
      </c>
      <c r="I36" s="405">
        <f>MAX(0,SUMIFS(Journals!$L$9:$L$1007564,Journals!$D$9:$D$1007564,"&gt;"&amp;$E$7,Journals!$D$9:$D$1007564,"&lt;"&amp;$E$8,Journals!$J$9:$J$1007564,"Unrealized gain on T-Bond")-SUMIFS(Journals!$K$9:$K$1007564,Journals!$D$9:$D$1007564,"&gt;"&amp;$E$7,Journals!$D$9:$D$1007564,"&lt;"&amp;$E$8,Journals!$J$9:$J$1007564,"Unrealized gain on T-Bond"))</f>
        <v>2659228.0539998412</v>
      </c>
      <c r="J36" s="406"/>
      <c r="K36" s="406">
        <f>SUMIFS(Journals!$L$9:$L$1007564,Journals!$D$9:$D$1007564,"&lt;"&amp;$F$7,Journals!$J$9:$J$1007564,"Unrealized gain on T-Bond")-SUMIFS(Journals!$K$9:$K$1007564,Journals!$D$9:$D$1007564,"&lt;"&amp;$F$7,Journals!$J$9:$J$1007564,"Unrealized gain on T-Bond")</f>
        <v>2033627.1100000143</v>
      </c>
      <c r="L36" s="407"/>
      <c r="M36" s="407"/>
      <c r="N36" s="408">
        <f>SUMIFS(Journals!K8:K1007563,Journals!D8:D1007563,"&lt;"&amp;F6,Journals!J8:J1007563,"Unrealized gain on T-Bond")-SUMIFS(Journals!L8:L1007563,Journals!D8:D1007563,"&lt;"&amp;F6,Journals!J8:J1007563,"Unrealized gain on T-Bond")</f>
        <v>0</v>
      </c>
      <c r="O36" s="408">
        <f>SUMIFS(Journals!$L$9:$L$995849,Journals!$D$9:$D$995849,"&lt;"&amp;$F$7,Journals!$J$9:$J$995849,"Unrealized gain on T-Bond")-SUMIFS(Journals!$K$9:$K$995849,Journals!$D$9:$D$995849,"&lt;"&amp;$F$7,Journals!$J$9:$J$995849,"Unrealized gain on T-Bond")</f>
        <v>2033627.1100000143</v>
      </c>
      <c r="Q36" s="5"/>
    </row>
    <row r="37" spans="1:25" ht="12" customHeight="1" x14ac:dyDescent="0.2">
      <c r="A37" s="102"/>
      <c r="B37" s="104"/>
      <c r="C37" s="102"/>
      <c r="D37" s="102"/>
      <c r="E37" s="102"/>
      <c r="F37" s="102"/>
      <c r="G37" s="115" t="str">
        <f>'Chart of Accounts'!B29</f>
        <v>Unrealized loss on securities</v>
      </c>
      <c r="H37" s="405">
        <f>MAX(0,SUMIFS(Journals!$K$9:$K$1007564,Journals!$D$9:$D$1007564,"&gt;"&amp;$E$7,Journals!$D$9:$D$1007564,"&lt;"&amp;$E$8,Journals!$J$9:$J$1007564,"Unrealized loss on securities")-SUMIFS(Journals!$L$9:$L$1007564,Journals!$D$9:$D$1007564,"&gt;"&amp;$E$7,Journals!$D$9:$D$1007564,"&lt;"&amp;$E$8,Journals!$J$9:$J$1007564,"Unrealized loss on securities"))</f>
        <v>0</v>
      </c>
      <c r="I37" s="405">
        <f>MAX(0,SUMIFS(Journals!$L$9:$L$1007564,Journals!$D$9:$D$1007564,"&gt;"&amp;$E$7,Journals!$D$9:$D$1007564,"&lt;"&amp;$E$8,Journals!$J$9:$J$1007564,"Unrealized loss on securities")-SUMIFS(Journals!$K$9:$K$1007564,Journals!$D$9:$D$1007564,"&gt;"&amp;$E$7,Journals!$D$9:$D$1007564,"&lt;"&amp;$E$8,Journals!$J$9:$J$1007564,"Unrealized loss on securities"))</f>
        <v>0</v>
      </c>
      <c r="J37" s="406"/>
      <c r="K37" s="406"/>
      <c r="L37" s="407"/>
      <c r="M37" s="407"/>
      <c r="N37" s="408">
        <f>SUMIFS(Journals!K9:K1007564,Journals!D9:D1007564,"&lt;"&amp;F7,Journals!J9:J1007564,"unrealized loss on securities")-SUMIFS(Journals!L9:L1007564,Journals!D9:D1007564,"&lt;"&amp;F7,Journals!J9:J1007564,"unrealized loss on securities")</f>
        <v>0</v>
      </c>
      <c r="O37" s="408"/>
      <c r="Q37" s="5"/>
    </row>
    <row r="38" spans="1:25" ht="12" customHeight="1" x14ac:dyDescent="0.2">
      <c r="A38" s="102"/>
      <c r="B38" s="102"/>
      <c r="C38" s="102"/>
      <c r="D38" s="102"/>
      <c r="E38" s="102"/>
      <c r="F38" s="102"/>
      <c r="G38" s="115" t="str">
        <f>'Chart of Accounts'!B30</f>
        <v>Amortization of preliminary and issue expense</v>
      </c>
      <c r="H38" s="405">
        <f>MAX(0,SUMIFS(Journals!$K$9:$K$1007564,Journals!$D$9:$D$1007564,"&gt;"&amp;$E$7,Journals!$D$9:$D$1007564,"&lt;"&amp;$E$8,Journals!$J$9:$J$1007564,"Amortization of preliminary and issue expense")-SUMIFS(Journals!$L$9:$L$1007564,Journals!$D$9:$D$1007564,"&gt;"&amp;$E$7,Journals!$D$9:$D$1007564,"&lt;"&amp;$E$8,Journals!$J$9:$J$1007564,"Amortization of preliminary and issue expense"))</f>
        <v>184261.72703296697</v>
      </c>
      <c r="I38" s="405">
        <f>MAX(0,SUMIFS(Journals!$L$9:$L$1007564,Journals!$D$9:$D$1007564,"&gt;"&amp;$E$7,Journals!$D$9:$D$1007564,"&lt;"&amp;$E$8,Journals!$J$9:$J$1007564,"Amortization of preliminary and issue expense")-SUMIFS(Journals!$K$9:$K$1007564,Journals!$D$9:$D$1007564,"&gt;"&amp;$E$7,Journals!$D$9:$D$1007564,"&lt;"&amp;$E$8,Journals!$J$9:$J$1007564,"Amortization of preliminary and issue expense"))</f>
        <v>0</v>
      </c>
      <c r="J38" s="406"/>
      <c r="K38" s="406"/>
      <c r="L38" s="407"/>
      <c r="M38" s="407"/>
      <c r="N38" s="408">
        <f>SUMIFS(Journals!$K$9:$K$1007564,Journals!$D$9:$D$1007564,"&lt;"&amp;$F$7,Journals!$J$9:$J$1007564,"Amortization of preliminary and issue expense")-SUMIFS(Journals!$L$9:$L$1007564,Journals!$D$9:$D$1007564,"&lt;"&amp;$F$7,Journals!$J$9:$J$1007564,"Amortization of preliminary and issue expense")</f>
        <v>256008.91274725267</v>
      </c>
      <c r="O38" s="408"/>
      <c r="Q38" s="5"/>
    </row>
    <row r="39" spans="1:25" ht="12" customHeight="1" x14ac:dyDescent="0.2">
      <c r="A39" s="102"/>
      <c r="B39" s="102"/>
      <c r="C39" s="102"/>
      <c r="D39" s="102"/>
      <c r="E39" s="102"/>
      <c r="F39" s="102"/>
      <c r="G39" s="115" t="str">
        <f>'Chart of Accounts'!B31</f>
        <v>Management Fee</v>
      </c>
      <c r="H39" s="405">
        <f>MAX(0,SUMIFS(Journals!$K$9:$K$1007564,Journals!$D$9:$D$1007564,"&gt;"&amp;$E$7,Journals!$D$9:$D$1007564,"&lt;"&amp;$E$8,Journals!$J$9:$J$1007564,"management fee")-SUMIFS(Journals!$L$9:$L$1007564,Journals!$D$9:$D$1007564,"&gt;"&amp;$E$7,Journals!$D$9:$D$1007564,"&lt;"&amp;$E$8,Journals!$J$9:$J$1007564,"management fee"))</f>
        <v>2325669.3981555058</v>
      </c>
      <c r="I39" s="405">
        <f>MAX(0,SUMIFS(Journals!$L$9:$L$1007564,Journals!$D$9:$D$1007564,"&gt;"&amp;$E$7,Journals!$D$9:$D$1007564,"&lt;"&amp;$E$8,Journals!$J$9:$J$1007564,"management fee")-SUMIFS(Journals!$K$9:$K$1007564,Journals!$D$9:$D$1007564,"&gt;"&amp;$E$7,Journals!$D$9:$D$1007564,"&lt;"&amp;$E$8,Journals!$J$9:$J$1007564,"management fee"))</f>
        <v>0</v>
      </c>
      <c r="J39" s="406"/>
      <c r="K39" s="406"/>
      <c r="L39" s="407"/>
      <c r="M39" s="407"/>
      <c r="N39" s="408">
        <f>SUMIFS(Journals!$K$9:$K$1007564,Journals!$D$9:$D$1007564,"&lt;"&amp;$F$7,Journals!$J$9:$J$1007564,"management fee")-SUMIFS(Journals!$L$9:$L$1007564,Journals!$D$9:$D$1007564,"&lt;"&amp;$F$7,Journals!$J$9:$J$1007564,"management fee")</f>
        <v>1060053.5386344208</v>
      </c>
      <c r="O39" s="408"/>
      <c r="Q39" s="5"/>
    </row>
    <row r="40" spans="1:25" ht="12" customHeight="1" x14ac:dyDescent="0.2">
      <c r="A40" s="102"/>
      <c r="B40" s="102"/>
      <c r="C40" s="102"/>
      <c r="D40" s="102"/>
      <c r="E40" s="102"/>
      <c r="F40" s="102"/>
      <c r="G40" s="115" t="str">
        <f>'Chart of Accounts'!B32</f>
        <v>Trustee fee</v>
      </c>
      <c r="H40" s="405">
        <f>MAX(0,SUMIFS(Journals!$K$9:$K$1007564,Journals!$D$9:$D$1007564,"&gt;"&amp;$E$7,Journals!$D$9:$D$1007564,"&lt;"&amp;$E$8,Journals!$J$9:$J$1007564,"trustee fee")-SUMIFS(Journals!$L$9:$L$1007564,Journals!$D$9:$D$1007564,"&gt;"&amp;$E$7,Journals!$D$9:$D$1007564,"&lt;"&amp;$E$8,Journals!$J$9:$J$1007564,"trustee fee"))</f>
        <v>233022.31501061097</v>
      </c>
      <c r="I40" s="405">
        <f>MAX(0,SUMIFS(Journals!$L$9:$L$1007564,Journals!$D$9:$D$1007564,"&gt;"&amp;$E$7,Journals!$D$9:$D$1007564,"&lt;"&amp;$E$8,Journals!$J$9:$J$1007564,"trustee fee")-SUMIFS(Journals!$K$9:$K$1007564,Journals!$D$9:$D$1007564,"&gt;"&amp;$E$7,Journals!$D$9:$D$1007564,"&lt;"&amp;$E$8,Journals!$J$9:$J$1007564,"trustee fee"))</f>
        <v>0</v>
      </c>
      <c r="J40" s="406"/>
      <c r="K40" s="406"/>
      <c r="L40" s="407"/>
      <c r="M40" s="407"/>
      <c r="N40" s="408">
        <f>SUMIFS(Journals!$K$9:$K$1007564,Journals!$D$9:$D$1007564,"&lt;"&amp;$F$7,Journals!$J$9:$J$1007564,"trustee fee")-SUMIFS(Journals!$L$9:$L$1007564,Journals!$D$9:$D$1007564,"&lt;"&amp;$F$7,Journals!$J$9:$J$1007564,"trustee fee")</f>
        <v>128184.37941118669</v>
      </c>
      <c r="O40" s="408"/>
      <c r="Q40" s="5"/>
    </row>
    <row r="41" spans="1:25" ht="12" customHeight="1" x14ac:dyDescent="0.2">
      <c r="A41" s="102"/>
      <c r="B41" s="102"/>
      <c r="C41" s="102"/>
      <c r="D41" s="102"/>
      <c r="E41" s="102"/>
      <c r="F41" s="102"/>
      <c r="G41" s="115" t="s">
        <v>1847</v>
      </c>
      <c r="H41" s="405">
        <f>MAX(0,SUMIFS(Journals!$K$9:$K$1007494,Journals!$D$9:$D$1007494,"&gt;"&amp;$E$7,Journals!$D$9:$D$1007494,"&lt;"&amp;$E$8,Journals!$J$9:$J$1007494,"Advanced BSEC Annual Fee")-SUMIFS(Journals!$L$9:$L$1007494,Journals!$D$9:$D$1007494,"&gt;"&amp;$E$7,Journals!$D$9:$D$1007494,"&lt;"&amp;$E$8,Journals!$J$9:$J$1007494,"Advanced BSEC Annual Fee"))</f>
        <v>0</v>
      </c>
      <c r="I41" s="405">
        <f>MAX(0,SUMIFS(Journals!$L$9:$L$1007494,Journals!$D$9:$D$1007494,"&gt;"&amp;$E$7,Journals!$D$9:$D$1007494,"&lt;"&amp;$E$8,Journals!$J$9:$J$1007494,"Advanced BSEC Annual Fee")-SUMIFS(Journals!$K$9:$K$1007494,Journals!$D$9:$D$1007494,"&gt;"&amp;$E$7,Journals!$D$9:$D$1007494,"&lt;"&amp;$E$8,Journals!$J$9:$J$1007494,"Advanced BSEC Annual Fee"))</f>
        <v>0</v>
      </c>
      <c r="J41" s="406">
        <f>SUMIFS(Journals!$K$9:$K$1007494,Journals!$D$9:$D$1007494,"&lt;"&amp;$F$7,Journals!$J$9:$J$1007494,"Advanced BSEC Annual Fee")-SUMIFS(Journals!$L$9:$L$1007494,Journals!$D$9:$D$1007494,"&lt;"&amp;$F$7,Journals!$J$9:$J$1007494,"Advanced BSEC Annual Fee")</f>
        <v>0</v>
      </c>
      <c r="K41" s="406"/>
      <c r="L41" s="407">
        <f>J41+H41-I41</f>
        <v>0</v>
      </c>
      <c r="M41" s="407"/>
      <c r="N41" s="408"/>
      <c r="O41" s="408"/>
      <c r="T41" s="395"/>
      <c r="U41" s="395"/>
      <c r="V41" s="395"/>
      <c r="W41" s="395"/>
      <c r="X41" s="395"/>
      <c r="Y41" s="395"/>
    </row>
    <row r="42" spans="1:25" ht="12" customHeight="1" x14ac:dyDescent="0.2">
      <c r="A42" s="102"/>
      <c r="B42" s="102"/>
      <c r="C42" s="102"/>
      <c r="D42" s="102"/>
      <c r="E42" s="102"/>
      <c r="F42" s="102"/>
      <c r="G42" s="115" t="str">
        <f>'Chart of Accounts'!B33</f>
        <v>BSEC Annual Fee</v>
      </c>
      <c r="H42" s="405">
        <f>MAX(0,SUMIFS(Journals!$K$9:$K$1007564,Journals!$D$9:$D$1007564,"&gt;"&amp;$E$7,Journals!$D$9:$D$1007564,"&lt;"&amp;$E$8,Journals!$J$9:$J$1007564,"bsec annual fee")-SUMIFS(Journals!$L$9:$L$1007564,Journals!$D$9:$D$1007564,"&gt;"&amp;$E$7,Journals!$D$9:$D$1007564,"&lt;"&amp;$E$8,Journals!$J$9:$J$1007564,"bsec annual fee"))</f>
        <v>355635.5</v>
      </c>
      <c r="I42" s="405">
        <f>MAX(0,SUMIFS(Journals!$L$9:$L$1007564,Journals!$D$9:$D$1007564,"&gt;"&amp;$E$7,Journals!$D$9:$D$1007564,"&lt;"&amp;$E$8,Journals!$J$9:$J$1007564,"bsec annual fee")-SUMIFS(Journals!$K$9:$K$1007564,Journals!$D$9:$D$1007564,"&gt;"&amp;$E$7,Journals!$D$9:$D$1007564,"&lt;"&amp;$E$8,Journals!$J$9:$J$1007564,"bsec annual fee"))</f>
        <v>0</v>
      </c>
      <c r="J42" s="406"/>
      <c r="K42" s="406"/>
      <c r="L42" s="407"/>
      <c r="M42" s="407"/>
      <c r="N42" s="408">
        <f>SUMIFS(Journals!$K$9:$K$1007564,Journals!$D$9:$D$1007564,"&lt;"&amp;$F$7,Journals!$J$9:$J$1007564,"bsec annual fee")-SUMIFS(Journals!$L$9:$L$1007564,Journals!$D$9:$D$1007564,"&lt;"&amp;$F$7,Journals!$J$9:$J$1007564,"bsec annual fee")</f>
        <v>125666.74</v>
      </c>
      <c r="O42" s="408"/>
      <c r="Q42" s="5"/>
    </row>
    <row r="43" spans="1:25" ht="12" customHeight="1" x14ac:dyDescent="0.2">
      <c r="A43" s="102"/>
      <c r="B43" s="102"/>
      <c r="C43" s="102"/>
      <c r="D43" s="102"/>
      <c r="E43" s="102"/>
      <c r="F43" s="102"/>
      <c r="G43" s="115" t="str">
        <f>'Chart of Accounts'!B34</f>
        <v>Audit fee</v>
      </c>
      <c r="H43" s="405">
        <f>MAX(0,SUMIFS(Journals!$K$9:$K$1007564,Journals!$D$9:$D$1007564,"&gt;"&amp;$E$7,Journals!$D$9:$D$1007564,"&lt;"&amp;$E$8,Journals!$J$9:$J$1007564,"audit fee")-SUMIFS(Journals!$L$9:$L$1007564,Journals!$D$9:$D$1007564,"&gt;"&amp;$E$7,Journals!$D$9:$D$1007564,"&lt;"&amp;$E$8,Journals!$J$9:$J$1007564,"audit fee"))</f>
        <v>35000</v>
      </c>
      <c r="I43" s="405">
        <f>MAX(0,SUMIFS(Journals!$L$9:$L$1007564,Journals!$D$9:$D$1007564,"&gt;"&amp;$E$7,Journals!$D$9:$D$1007564,"&lt;"&amp;$E$8,Journals!$J$9:$J$1007564,"audit fee")-SUMIFS(Journals!$K$9:$K$1007564,Journals!$D$9:$D$1007564,"&gt;"&amp;$E$7,Journals!$D$9:$D$1007564,"&lt;"&amp;$E$8,Journals!$J$9:$J$1007564,"audit fee"))</f>
        <v>0</v>
      </c>
      <c r="J43" s="406"/>
      <c r="K43" s="406"/>
      <c r="L43" s="407"/>
      <c r="M43" s="407"/>
      <c r="N43" s="408">
        <f>SUMIFS(Journals!$K$9:$K$1007564,Journals!$D$9:$D$1007564,"&lt;"&amp;$F$7,Journals!$J$9:$J$1007564,"audit fee")-SUMIFS(Journals!$L$9:$L$1007564,Journals!$D$9:$D$1007564,"&lt;"&amp;$F$7,Journals!$J$9:$J$1007564,"audit fee")</f>
        <v>54500</v>
      </c>
      <c r="O43" s="408"/>
      <c r="Q43" s="5"/>
    </row>
    <row r="44" spans="1:25" ht="12" customHeight="1" x14ac:dyDescent="0.2">
      <c r="A44" s="102"/>
      <c r="B44" s="102"/>
      <c r="C44" s="102"/>
      <c r="D44" s="102"/>
      <c r="E44" s="102"/>
      <c r="F44" s="102"/>
      <c r="G44" s="115" t="str">
        <f>'Chart of Accounts'!B35</f>
        <v>CDBL charges</v>
      </c>
      <c r="H44" s="405">
        <f>MAX(0,SUMIFS(Journals!$K$9:$K$1007564,Journals!$D$9:$D$1007564,"&gt;"&amp;$E$7,Journals!$D$9:$D$1007564,"&lt;"&amp;$E$8,Journals!$J$9:$J$1007564,"cdbl charges")-SUMIFS(Journals!$L$9:$L$1007564,Journals!$D$9:$D$1007564,"&gt;"&amp;$E$7,Journals!$D$9:$D$1007564,"&lt;"&amp;$E$8,Journals!$J$9:$J$1007564,"cdbl charges"))</f>
        <v>1903.25</v>
      </c>
      <c r="I44" s="405">
        <f>MAX(0,SUMIFS(Journals!$L$9:$L$1007564,Journals!$D$9:$D$1007564,"&gt;"&amp;$E$7,Journals!$D$9:$D$1007564,"&lt;"&amp;$E$8,Journals!$J$9:$J$1007564,"cdbl charges")-SUMIFS(Journals!$K$9:$K$1007564,Journals!$D$9:$D$1007564,"&gt;"&amp;$E$7,Journals!$D$9:$D$1007564,"&lt;"&amp;$E$8,Journals!$J$9:$J$1007564,"cdbl charges"))</f>
        <v>0</v>
      </c>
      <c r="J44" s="406"/>
      <c r="K44" s="406"/>
      <c r="L44" s="407"/>
      <c r="M44" s="407"/>
      <c r="N44" s="408">
        <f>SUMIFS(Journals!$K$9:$K$1007564,Journals!$D$9:$D$1007564,"&lt;"&amp;$F$7,Journals!$J$9:$J$1007564,"cdbl charges")-SUMIFS(Journals!$L$9:$L$1007564,Journals!$D$9:$D$1007564,"&lt;"&amp;$F$7,Journals!$J$9:$J$1007564,"cdbl charges")</f>
        <v>2680.09</v>
      </c>
      <c r="O44" s="408"/>
      <c r="Q44" s="5"/>
    </row>
    <row r="45" spans="1:25" ht="12" customHeight="1" x14ac:dyDescent="0.2">
      <c r="A45" s="102"/>
      <c r="B45" s="102"/>
      <c r="C45" s="102"/>
      <c r="D45" s="102"/>
      <c r="E45" s="102"/>
      <c r="F45" s="102"/>
      <c r="G45" s="115" t="str">
        <f>'Chart of Accounts'!B36</f>
        <v>Fair value adjustment</v>
      </c>
      <c r="H45" s="405">
        <f>MAX(0,SUMIFS(Journals!$K$9:$K$1007564,Journals!$D$9:$D$1007564,"&gt;"&amp;$E$7,Journals!$D$9:$D$1007564,"&lt;"&amp;$E$8,Journals!$J$9:$J$1007564,"Fair value adjustment")-SUMIFS(Journals!$L$9:$L$1007564,Journals!$D$9:$D$1007564,"&gt;"&amp;$E$7,Journals!$D$9:$D$1007564,"&lt;"&amp;$E$8,Journals!$J$9:$J$1007564,"Fair value adjustment"))</f>
        <v>903883.5</v>
      </c>
      <c r="I45" s="405">
        <f>MAX(0,SUMIFS(Journals!$L$9:$L$1007564,Journals!$D$9:$D$1007564,"&gt;"&amp;$E$7,Journals!$D$9:$D$1007564,"&lt;"&amp;$E$8,Journals!$J$9:$J$1007564,"fair value adjustment")-SUMIFS(Journals!$K$9:$K$1007564,Journals!$D$9:$D$1007564,"&gt;"&amp;$E$7,Journals!$D$9:$D$1007564,"&lt;"&amp;$E$8,Journals!$J$9:$J$1007564,"fair value adjustment"))</f>
        <v>0</v>
      </c>
      <c r="J45" s="406">
        <f>MAX(0,SUMIFS(Journals!K9:K1007564,Journals!D9:D1007564,"&lt;"&amp;F7,Journals!J9:J1007564,"fair value adjustment")-SUMIFS(Journals!L9:L1007564,Journals!D9:D1007564,"&lt;"&amp;F7,Journals!J9:J1007564,"fair value adjustment"))</f>
        <v>0</v>
      </c>
      <c r="K45" s="406">
        <f>MAX(0,SUMIFS(Journals!L9:L1007564,Journals!D9:D1007564,"&lt;"&amp;F7,Journals!J9:J1007564,"Fair value adjustment")-SUMIFS(Journals!K9:K1007564,Journals!D9:D1007564,"&lt;"&amp;F7,Journals!J9:J1007564,"fair value adjustment"))</f>
        <v>743252.61999999732</v>
      </c>
      <c r="L45" s="407">
        <f>MAX(0,H45+J45-K45)</f>
        <v>160630.88000000268</v>
      </c>
      <c r="M45" s="407">
        <f>MAX(0,I45+K45-L45)</f>
        <v>582621.73999999464</v>
      </c>
      <c r="N45" s="408"/>
      <c r="O45" s="408"/>
      <c r="Q45" s="5"/>
    </row>
    <row r="46" spans="1:25" ht="12" customHeight="1" x14ac:dyDescent="0.2">
      <c r="A46" s="102"/>
      <c r="B46" s="102"/>
      <c r="C46" s="102"/>
      <c r="D46" s="102"/>
      <c r="E46" s="102"/>
      <c r="F46" s="102"/>
      <c r="G46" s="115" t="s">
        <v>1460</v>
      </c>
      <c r="H46" s="405">
        <f>MAX(0,SUMIFS(Journals!$K$9:$K$1007564,Journals!$D$9:$D$1007564,"&gt;"&amp;$E$7,Journals!$D$9:$D$1007564,"&lt;"&amp;$E$8,Journals!$J$9:$J$1007564,"Fair value adjustment in T-Bill")-SUMIFS(Journals!$L$9:$L$1007564,Journals!$D$9:$D$1007564,"&gt;"&amp;$E$7,Journals!$D$9:$D$1007564,"&lt;"&amp;$E$8,Journals!$J$9:$J$1007564,"Fair value adjustment in T-Bill"))</f>
        <v>0</v>
      </c>
      <c r="I46" s="405">
        <f>MAX(0,SUMIFS(Journals!$L$9:$L$1007564,Journals!$D$9:$D$1007564,"&gt;"&amp;$E$7,Journals!$D$9:$D$1007564,"&lt;"&amp;$E$8,Journals!$J$9:$J$1007564,"fair value adjustment in T-Bill")-SUMIFS(Journals!$K$9:$K$1007564,Journals!$D$9:$D$1007564,"&gt;"&amp;$E$7,Journals!$D$9:$D$1007564,"&lt;"&amp;$E$8,Journals!$J$9:$J$1007564,"fair value adjustment in T-Bill"))</f>
        <v>1185081</v>
      </c>
      <c r="J46" s="406">
        <f>MAX(0,SUMIFS(Journals!K9:K1007564,Journals!D9:D1007564,"&lt;"&amp;F7,Journals!J9:J1007564,"fair value adjustment in T-Bill")-SUMIFS(Journals!L9:L1007564,Journals!D9:D1007564,"&lt;"&amp;F7,Journals!J9:J1007564,"fair value adjustment in T-Bill"))</f>
        <v>1185080.8000000119</v>
      </c>
      <c r="K46" s="406">
        <f>MAX(0,SUMIFS(Journals!L9:L1007564,Journals!D9:D1007564,"&lt;"&amp;F7,Journals!J9:J1007564,"Fair value adjustment in T-Bill")-SUMIFS(Journals!K9:K1007564,Journals!D9:D1007564,"&lt;"&amp;F7,Journals!J9:J1007564,"fair value adjustment in T-Bill"))</f>
        <v>0</v>
      </c>
      <c r="L46" s="407">
        <f>MAX(0,H46-I46+J46-K46)</f>
        <v>0</v>
      </c>
      <c r="M46" s="407">
        <f>MAX(0,I46-H46-J46+K46)</f>
        <v>0.19999998807907104</v>
      </c>
      <c r="N46" s="408"/>
      <c r="O46" s="408"/>
      <c r="Q46" s="5"/>
    </row>
    <row r="47" spans="1:25" ht="12" customHeight="1" x14ac:dyDescent="0.2">
      <c r="A47" s="102"/>
      <c r="B47" s="102"/>
      <c r="C47" s="102"/>
      <c r="D47" s="102"/>
      <c r="E47" s="102"/>
      <c r="F47" s="102"/>
      <c r="G47" s="115" t="s">
        <v>1461</v>
      </c>
      <c r="H47" s="405">
        <f>MAX(0,SUMIFS(Journals!$K$9:$K$1007564,Journals!$D$9:$D$1007564,"&gt;"&amp;$E$7,Journals!$D$9:$D$1007564,"&lt;"&amp;$E$8,Journals!$J$9:$J$1007564,"Fair value adjustment in T-Bond")-SUMIFS(Journals!$L$9:$L$1007564,Journals!$D$9:$D$1007564,"&gt;"&amp;$E$7,Journals!$D$9:$D$1007564,"&lt;"&amp;$E$8,Journals!$J$9:$J$1007564,"Fair value adjustment in T-Bond"))</f>
        <v>2659228.0539998412</v>
      </c>
      <c r="I47" s="405">
        <f>MAX(0,SUMIFS(Journals!$L$9:$L$1007564,Journals!$D$9:$D$1007564,"&gt;"&amp;$E$7,Journals!$D$9:$D$1007564,"&lt;"&amp;$E$8,Journals!$J$9:$J$1007564,"fair value adjustment in T-Bond")-SUMIFS(Journals!$K$9:$K$1007564,Journals!$D$9:$D$1007564,"&gt;"&amp;$E$7,Journals!$D$9:$D$1007564,"&lt;"&amp;$E$8,Journals!$J$9:$J$1007564,"fair value adjustment in T-Bond"))</f>
        <v>0</v>
      </c>
      <c r="J47" s="406">
        <f>MAX(0,SUMIFS(Journals!K9:K1003833,Journals!D9:D1003833,"&lt;"&amp;F7,Journals!J9:J1003833,"Fair value adjustment in T-Bond")-SUMIFS(Journals!L9:L1003833,Journals!D9:D1003833,"&lt;"&amp;F7,Journals!J9:J1003833,"Fair value adjustment in T-Bond"))</f>
        <v>2033627.1100000143</v>
      </c>
      <c r="K47" s="406">
        <f>MAX(0,SUMIFS(Journals!L9:L1007564,Journals!D9:D1007564,"&lt;"&amp;F7,Journals!J9:J1007564,"Fair value adjustment in T-Bond")-SUMIFS(Journals!K9:K1007564,Journals!D9:D1007564,"&lt;"&amp;F7,Journals!J9:J1007564,"fair value adjustment in T-Bond"))</f>
        <v>0</v>
      </c>
      <c r="L47" s="407">
        <f>MAX(0,H47-I47+J47-K47)</f>
        <v>4692855.1639998555</v>
      </c>
      <c r="M47" s="407">
        <f>MAX(0,I47-H47-J47+K47)</f>
        <v>0</v>
      </c>
      <c r="N47" s="408"/>
      <c r="O47" s="408"/>
      <c r="Q47" s="5"/>
    </row>
    <row r="48" spans="1:25" ht="12" customHeight="1" x14ac:dyDescent="0.2">
      <c r="A48" s="102"/>
      <c r="B48" s="102"/>
      <c r="C48" s="102"/>
      <c r="D48" s="102"/>
      <c r="E48" s="102"/>
      <c r="F48" s="102"/>
      <c r="G48" s="115" t="str">
        <f>'Chart of Accounts'!B39</f>
        <v>Interest receivables from FDR</v>
      </c>
      <c r="H48" s="405">
        <f>MAX(0,SUMIFS(Journals!$K$9:$K$1007564,Journals!$D$9:$D$1007564,"&gt;"&amp;$E$7,Journals!$D$9:$D$1007564,"&lt;"&amp;$E$8,Journals!$J$9:$J$1007564,"Interest receivables from FDR")-SUMIFS(Journals!$L$9:$L$1007564,Journals!$D$9:$D$1007564,"&gt;"&amp;$E$7,Journals!$D$9:$D$1007564,"&lt;"&amp;$E$8,Journals!$J$9:$J$1007564,"Interest receivables from FDR"))</f>
        <v>196601.92366299406</v>
      </c>
      <c r="I48" s="405">
        <f>MAX(0,SUMIFS(Journals!$L$9:$L$1007564,Journals!$D$9:$D$1007564,"&gt;"&amp;$E$7,Journals!$D$9:$D$1007564,"&lt;"&amp;$E$8,Journals!$J$9:$J$1007564,"Interest receivables from FDR")-SUMIFS(Journals!$K$9:$K$1007564,Journals!$D$9:$D$1007564,"&gt;"&amp;$E$7,Journals!$D$9:$D$1007564,"&lt;"&amp;$E$8,Journals!$J$9:$J$1007564,"Interest receivables from FDR"))</f>
        <v>0</v>
      </c>
      <c r="J48" s="406">
        <f>SUMIFS(Journals!$K$9:$K$1007564,Journals!$D$9:$D$1007564,"&lt;"&amp;$F$7,Journals!$J$9:$J$1007564,"Interest receivables from FDR")-SUMIFS(Journals!$L$9:$L$1007564,Journals!$D$9:$D$1007564,"&lt;"&amp;$F$7,Journals!$J$9:$J$1007564,"Interest receivables from FDR")</f>
        <v>1165151.0938461609</v>
      </c>
      <c r="K48" s="406"/>
      <c r="L48" s="407">
        <f>J48+H48-I48</f>
        <v>1361753.017509155</v>
      </c>
      <c r="M48" s="407"/>
      <c r="N48" s="408"/>
      <c r="O48" s="408"/>
      <c r="Q48" s="5"/>
    </row>
    <row r="49" spans="1:17" ht="12" customHeight="1" x14ac:dyDescent="0.2">
      <c r="A49" s="102"/>
      <c r="B49" s="104"/>
      <c r="C49" s="102"/>
      <c r="D49" s="102"/>
      <c r="E49" s="102"/>
      <c r="F49" s="102"/>
      <c r="G49" s="115" t="str">
        <f>'Chart of Accounts'!B40</f>
        <v>Payable to broker</v>
      </c>
      <c r="H49" s="405">
        <f>MAX(0,SUMIFS(Journals!$K$9:$K$1007564,Journals!$D$9:$D$1007564,"&gt;"&amp;$E$7,Journals!$D$9:$D$1007564,"&lt;"&amp;$E$8,Journals!$J$9:$J$1007564,"payable to broker")-SUMIFS(Journals!$L$9:$L$1007564,Journals!$D$9:$D$1007564,"&gt;"&amp;$E$7,Journals!$D$9:$D$1007564,"&lt;"&amp;$E$8,Journals!$J$9:$J$1007564,"payable to broker"))</f>
        <v>0</v>
      </c>
      <c r="I49" s="405">
        <f>MAX(0,SUMIFS(Journals!$L$9:$L$1007564,Journals!$D$9:$D$1007564,"&gt;"&amp;$E$7,Journals!$D$9:$D$1007564,"&lt;"&amp;$E$8,Journals!$J$9:$J$1007564,"payable to broker")-SUMIFS(Journals!$K$9:$K$1007564,Journals!$D$9:$D$1007564,"&gt;"&amp;$E$7,Journals!$D$9:$D$1007564,"&lt;"&amp;$E$8,Journals!$J$9:$J$1007564,"payable to broker"))</f>
        <v>0</v>
      </c>
      <c r="J49" s="406"/>
      <c r="K49" s="406">
        <f>SUMIFS(Journals!$L$9:$L$1007564,Journals!$D$9:$D$1007564,"&lt;"&amp;$F$7,Journals!$J$9:$J$1007564,"payable to broker")-SUMIFS(Journals!$K$9:$K$1007564,Journals!$D$9:$D$1007564,"&lt;"&amp;$F$7,Journals!$J$9:$J$1007564,"payable to broker")</f>
        <v>0</v>
      </c>
      <c r="L49" s="407"/>
      <c r="M49" s="407">
        <f>K49+I49-H49</f>
        <v>0</v>
      </c>
      <c r="N49" s="408"/>
      <c r="O49" s="408"/>
      <c r="P49" s="5"/>
      <c r="Q49" s="5"/>
    </row>
    <row r="50" spans="1:17" ht="12" customHeight="1" x14ac:dyDescent="0.2">
      <c r="A50" s="102"/>
      <c r="B50" s="102"/>
      <c r="C50" s="102"/>
      <c r="D50" s="102"/>
      <c r="E50" s="102"/>
      <c r="F50" s="102"/>
      <c r="G50" s="115" t="str">
        <f>'Chart of Accounts'!B41</f>
        <v>Other operating expenses</v>
      </c>
      <c r="H50" s="405">
        <f>MAX(0,SUMIFS(Journals!$K$9:$K$1007564,Journals!$D$9:$D$1007564,"&gt;"&amp;$E$7,Journals!$D$9:$D$1007564,"&lt;"&amp;$E$8,Journals!$J$9:$J$1007564,"OTHER OPERATING EXPENSES")-SUMIFS(Journals!$L$9:$L$1007564,Journals!$D$9:$D$1007564,"&gt;"&amp;$E$7,Journals!$D$9:$D$1007564,"&lt;"&amp;$E$8,Journals!$J$9:$J$1007564,"OTHER OPERATING EXPENSES"))</f>
        <v>0</v>
      </c>
      <c r="I50" s="405">
        <f>MAX(0,SUMIFS(Journals!$L$9:$L$1007564,Journals!$D$9:$D$1007564,"&gt;"&amp;$E$7,Journals!$D$9:$D$1007564,"&lt;"&amp;$E$8,Journals!$J$9:$J$1007564,"OTHER OPERATING EXPENSES")-SUMIFS(Journals!$K$9:$K$1007564,Journals!$D$9:$D$1007564,"&gt;"&amp;$E$7,Journals!$D$9:$D$1007564,"&lt;"&amp;$E$8,Journals!$J$9:$J$1007564,"OTHER OPERATING EXPENSES"))</f>
        <v>0</v>
      </c>
      <c r="J50" s="406"/>
      <c r="K50" s="406"/>
      <c r="L50" s="407"/>
      <c r="M50" s="407"/>
      <c r="N50" s="408">
        <f>SUMIFS(Journals!$K$9:$K$1007564,Journals!$D$9:$D$1007564,"&lt;"&amp;$F$7,Journals!$J$9:$J$1007564,"OTHER OPERATING EXPENSES")-SUMIFS(Journals!$L$9:$L$1007564,Journals!$D$9:$D$1007564,"&lt;"&amp;$F$7,Journals!$J$9:$J$1007564,"OTHER OPERATING EXPENSES")</f>
        <v>46800</v>
      </c>
      <c r="O50" s="408"/>
      <c r="Q50" s="5"/>
    </row>
    <row r="51" spans="1:17" ht="12" customHeight="1" x14ac:dyDescent="0.2">
      <c r="A51" s="102"/>
      <c r="B51" s="102"/>
      <c r="C51" s="102"/>
      <c r="D51" s="102"/>
      <c r="E51" s="102"/>
      <c r="F51" s="102"/>
      <c r="G51" s="115" t="str">
        <f>'Chart of Accounts'!B42</f>
        <v>Dividend income</v>
      </c>
      <c r="H51" s="405">
        <f>MAX(0,SUMIFS(Journals!$K$9:$K$1007564,Journals!$D$9:$D$1007564,"&gt;"&amp;$E$7,Journals!$D$9:$D$1007564,"&lt;"&amp;$E$8,Journals!$J$9:$J$1007564,"dividend income")-SUMIFS(Journals!$L$9:$L$1007564,Journals!$D$9:$D$1007564,"&gt;"&amp;$E$7,Journals!$D$9:$D$1007564,"&lt;"&amp;$E$8,Journals!$J$9:$J$1007564,"dividend income"))</f>
        <v>0</v>
      </c>
      <c r="I51" s="405">
        <f>MAX(0,SUMIFS(Journals!$L$9:$L$1007564,Journals!$D$9:$D$1007564,"&gt;"&amp;$E$7,Journals!$D$9:$D$1007564,"&lt;"&amp;$E$8,Journals!$J$9:$J$1007564,"dividend income")-SUMIFS(Journals!$K$9:$K$1007564,Journals!$D$9:$D$1007564,"&gt;"&amp;$E$7,Journals!$D$9:$D$1007564,"&lt;"&amp;$E$8,Journals!$J$9:$J$1007564,"dividend income"))</f>
        <v>0</v>
      </c>
      <c r="J51" s="406"/>
      <c r="K51" s="406"/>
      <c r="L51" s="407"/>
      <c r="M51" s="407"/>
      <c r="N51" s="408"/>
      <c r="O51" s="408">
        <f>SUMIFS(Journals!$L$9:$L$1007564,Journals!$D$9:$D$1007564,"&lt;"&amp;$F$7,Journals!$J$9:$J$1007564,"dividend income")-SUMIFS(Journals!$K$9:$K$1007564,Journals!$D$9:$D$1007564,"&lt;"&amp;$F$7,Journals!$J$9:$J$1007564,"dividend income")</f>
        <v>1124298.5999999999</v>
      </c>
      <c r="P51" s="5"/>
      <c r="Q51" s="5"/>
    </row>
    <row r="52" spans="1:17" ht="12" customHeight="1" x14ac:dyDescent="0.2">
      <c r="A52" s="102"/>
      <c r="B52" s="102"/>
      <c r="C52" s="102"/>
      <c r="D52" s="102"/>
      <c r="E52" s="102"/>
      <c r="F52" s="102"/>
      <c r="G52" s="115" t="str">
        <f>'Chart of Accounts'!B43</f>
        <v>Dividend receivable</v>
      </c>
      <c r="H52" s="405">
        <f>MAX(0,SUMIFS(Journals!$K$9:$K$1007494,Journals!$D$9:$D$1007494,"&gt;"&amp;$E$7,Journals!$D$9:$D$1007494,"&lt;"&amp;$E$8,Journals!$J$9:$J$1007494,"dividend receivable"))</f>
        <v>0</v>
      </c>
      <c r="I52" s="405">
        <f>MAX(0,SUMIFS(Journals!$L$9:$L$1007494,Journals!$D$9:$D$1007494,"&gt;"&amp;$E$7,Journals!$D$9:$D$1007494,"&lt;"&amp;$E$8,Journals!$J$9:$J$1007494,"dividend receivable"))</f>
        <v>0</v>
      </c>
      <c r="J52" s="406">
        <f>SUMIFS(Journals!$K$9:$K$1007564,Journals!$D$9:$D$1007564,"&lt;"&amp;$F$7,Journals!$J$9:$J$1007564,"dividend receivable")-SUMIFS(Journals!$L$9:$L$1007564,Journals!$D$9:$D$1007564,"&lt;"&amp;$F$7,Journals!$J$9:$J$1007564,"dividend receivable")</f>
        <v>0</v>
      </c>
      <c r="K52" s="406"/>
      <c r="L52" s="407">
        <f>J52+H52-I52</f>
        <v>0</v>
      </c>
      <c r="M52" s="407"/>
      <c r="N52" s="408"/>
      <c r="O52" s="408"/>
      <c r="Q52" s="5"/>
    </row>
    <row r="53" spans="1:17" ht="12" customHeight="1" x14ac:dyDescent="0.2">
      <c r="A53" s="102"/>
      <c r="B53" s="102"/>
      <c r="C53" s="102"/>
      <c r="D53" s="102"/>
      <c r="E53" s="102"/>
      <c r="F53" s="102"/>
      <c r="G53" s="115" t="str">
        <f>'Chart of Accounts'!B44</f>
        <v>Custodian fee</v>
      </c>
      <c r="H53" s="405">
        <f>MAX(0,SUMIFS(Journals!$K$9:$K$1007564,Journals!$D$9:$D$1007564,"&gt;"&amp;$E$7,Journals!$D$9:$D$1007564,"&lt;"&amp;$E$8,Journals!$J$9:$J$1007564,"custodian fee")-SUMIFS(Journals!$L$9:$L$1007564,Journals!$D$9:$D$1007564,"&gt;"&amp;$E$7,Journals!$D$9:$D$1007564,"&lt;"&amp;$E$8,Journals!$J$9:$J$1007564,"custodian fee"))</f>
        <v>313675.02110899612</v>
      </c>
      <c r="I53" s="405"/>
      <c r="J53" s="406"/>
      <c r="K53" s="406"/>
      <c r="L53" s="407"/>
      <c r="M53" s="407"/>
      <c r="N53" s="408">
        <f>SUMIFS(Journals!$K$9:$K$1007564,Journals!$D$9:$D$1007564,"&lt;"&amp;$F$7,Journals!$J$9:$J$1007564,"custodian fee")-SUMIFS(Journals!$L$9:$L$1007564,Journals!$D$9:$D$1007564,"&lt;"&amp;$F$7,Journals!$J$9:$J$1007564,"custodian fee")</f>
        <v>55573.67</v>
      </c>
      <c r="O53" s="408"/>
      <c r="P53" s="5"/>
      <c r="Q53" s="5"/>
    </row>
    <row r="54" spans="1:17" ht="12" customHeight="1" x14ac:dyDescent="0.2">
      <c r="A54" s="102"/>
      <c r="B54" s="102"/>
      <c r="C54" s="102"/>
      <c r="D54" s="102"/>
      <c r="E54" s="102"/>
      <c r="F54" s="102"/>
      <c r="G54" s="115" t="str">
        <f>'Chart of Accounts'!B45</f>
        <v>IPO Application</v>
      </c>
      <c r="H54" s="405">
        <f>MAX(0,SUMIFS(Journals!$K$9:$K$1007564,Journals!$D$9:$D$1007564,"&gt;"&amp;$E$7,Journals!$D$9:$D$1007564,"&lt;"&amp;$E$8,Journals!$J$9:$J$1007564,"IPO APPLICATION")-SUMIFS(Journals!$L$9:$L$1007564,Journals!$D$9:$D$1007564,"&gt;"&amp;$E$7,Journals!$D$9:$D$1007564,"&lt;"&amp;$E$8,Journals!$J$9:$J$1007564,"IPO APPLICATION"))</f>
        <v>0</v>
      </c>
      <c r="I54" s="405">
        <f>MAX(0,SUMIFS(Journals!$L$9:$L$1007564,Journals!$D$9:$D$1007564,"&gt;"&amp;$E$7,Journals!$D$9:$D$1007564,"&lt;"&amp;$E$8,Journals!$J$9:$J$1007564,"IPO APPLICATION")-SUMIFS(Journals!$K$9:$K$1007564,Journals!$D$9:$D$1007564,"&gt;"&amp;$E$7,Journals!$D$9:$D$1007564,"&lt;"&amp;$E$8,Journals!$J$9:$J$1007564,"IPO APPLICATION"))</f>
        <v>0</v>
      </c>
      <c r="J54" s="406">
        <f>SUMIFS(Journals!$K$9:$K$1007564,Journals!$D$9:$D$1007564,"&lt;"&amp;$F$7,Journals!$J$9:$J$1007564,"IPO APPLICATION")-SUMIFS(Journals!$L$9:$L$1007564,Journals!$D$9:$D$1007564,"&lt;"&amp;$F$7,Journals!$J$9:$J$1007564,"IPO APPLICATION")</f>
        <v>0</v>
      </c>
      <c r="K54" s="406"/>
      <c r="L54" s="407">
        <f>J54+H54-I54</f>
        <v>0</v>
      </c>
      <c r="M54" s="407"/>
      <c r="N54" s="408"/>
      <c r="O54" s="408"/>
      <c r="Q54" s="5"/>
    </row>
    <row r="55" spans="1:17" ht="12" customHeight="1" x14ac:dyDescent="0.2">
      <c r="A55" s="102"/>
      <c r="B55" s="102"/>
      <c r="C55" s="102"/>
      <c r="D55" s="102"/>
      <c r="E55" s="102"/>
      <c r="F55" s="102"/>
      <c r="G55" s="115" t="str">
        <f>'Chart of Accounts'!B46</f>
        <v>IPO Application Fee</v>
      </c>
      <c r="H55" s="405">
        <f>MAX(0,SUMIFS(Journals!$K$9:$K$1007564,Journals!$D$9:$D$1007564,"&gt;"&amp;$E$7,Journals!$D$9:$D$1007564,"&lt;"&amp;$E$8,Journals!$J$9:$J$1007564,"IPO APPLICATION FEE")-SUMIFS(Journals!$L$9:$L$1007564,Journals!$D$9:$D$1007564,"&gt;"&amp;$E$7,Journals!$D$9:$D$1007564,"&lt;"&amp;$E$8,Journals!$J$9:$J$1007564,"IPO APPLICATION FEE"))</f>
        <v>0</v>
      </c>
      <c r="I55" s="405"/>
      <c r="J55" s="406"/>
      <c r="K55" s="406"/>
      <c r="L55" s="407"/>
      <c r="M55" s="407"/>
      <c r="N55" s="408">
        <f>SUMIFS(Journals!$K$9:$K$1007564,Journals!$D$9:$D$1007564,"&lt;"&amp;$F$7,Journals!$J$9:$J$1007564,"IPO APPLICATION FEE")-SUMIFS(Journals!$L$9:$L$1007564,Journals!$D$9:$D$1007564,"&lt;"&amp;$F$7,Journals!$J$9:$J$1007564,"IPO APPLICATION FEE")</f>
        <v>6000</v>
      </c>
      <c r="O55" s="408"/>
      <c r="Q55" s="5"/>
    </row>
    <row r="56" spans="1:17" ht="12" customHeight="1" x14ac:dyDescent="0.2">
      <c r="A56" s="102"/>
      <c r="B56" s="102"/>
      <c r="C56" s="102"/>
      <c r="D56" s="102"/>
      <c r="E56" s="102"/>
      <c r="F56" s="102"/>
      <c r="G56" s="115" t="s">
        <v>179</v>
      </c>
      <c r="H56" s="405">
        <f>MAX(0,SUMIFS(Journals!$K$9:$K$1007564,Journals!$D$9:$D$1007564,"&gt;"&amp;$E$7,Journals!$D$9:$D$1007564,"&lt;"&amp;$E$8,Journals!$J$9:$J$1007564,"realized gain")-SUMIFS(Journals!$L$9:$L$1007564,Journals!$D$9:$D$1007564,"&gt;"&amp;$E$7,Journals!$D$9:$D$1007564,"&lt;"&amp;$E$8,Journals!$J$9:$J$1007564,"realized gain"))</f>
        <v>565912.5</v>
      </c>
      <c r="I56" s="405">
        <f>MAX(0,SUMIFS(Journals!$L$9:$L$1007564,Journals!$D$9:$D$1007564,"&gt;"&amp;$E$7,Journals!$D$9:$D$1007564,"&lt;"&amp;$E$8,Journals!$J$9:$J$1007564,"realized gain")-SUMIFS(Journals!$K$9:$K$1007564,Journals!$D$9:$D$1007564,"&gt;"&amp;$E$7,Journals!$D$9:$D$1007564,"&lt;"&amp;$E$8,Journals!$J$9:$J$1007564,"realized gain"))</f>
        <v>0</v>
      </c>
      <c r="J56" s="406"/>
      <c r="K56" s="406"/>
      <c r="L56" s="407"/>
      <c r="M56" s="407"/>
      <c r="N56" s="408"/>
      <c r="O56" s="408">
        <f>SUMIFS(Journals!$L$9:$L$1007564,Journals!$D$9:$D$1007564,"&lt;"&amp;$F$7,Journals!$J$9:$J$1007564,"realized gain")-SUMIFS(Journals!$K$9:$K$1007564,Journals!$D$9:$D$1007564,"&lt;"&amp;$F$7,Journals!$J$9:$J$1007564,"realized gain")</f>
        <v>1217617.5500000003</v>
      </c>
      <c r="Q56" s="5"/>
    </row>
    <row r="57" spans="1:17" ht="12" customHeight="1" x14ac:dyDescent="0.2">
      <c r="A57" s="102"/>
      <c r="B57" s="102"/>
      <c r="C57" s="102"/>
      <c r="D57" s="102"/>
      <c r="E57" s="102"/>
      <c r="F57" s="102"/>
      <c r="G57" s="115" t="s">
        <v>1588</v>
      </c>
      <c r="H57" s="405">
        <f>MAX(0,SUMIFS(Journals!$K$9:$K$1007564,Journals!$D$9:$D$1007564,"&gt;"&amp;$E$7,Journals!$D$9:$D$1007564,"&lt;"&amp;$E$8,Journals!$J$9:$J$1007564,"Realized gain from Bond Premium")-SUMIFS(Journals!$L$9:$L$1007564,Journals!$D$9:$D$1007564,"&gt;"&amp;$E$7,Journals!$D$9:$D$1007564,"&lt;"&amp;$E$8,Journals!$J$9:$J$1007564,"Realized gain from Bond Premium"))</f>
        <v>0</v>
      </c>
      <c r="I57" s="405">
        <f>MAX(0,SUMIFS(Journals!$L$9:$L$1007564,Journals!$D$9:$D$1007564,"&gt;"&amp;$E$7,Journals!$D$9:$D$1007564,"&lt;"&amp;$E$8,Journals!$J$9:$J$1007564,"Realized gain from Bond Premium")-SUMIFS(Journals!$K$9:$K$1007564,Journals!$D$9:$D$1007564,"&gt;"&amp;$E$7,Journals!$D$9:$D$1007564,"&lt;"&amp;$E$8,Journals!$J$9:$J$1007564,"Realized gain from Bond Premium"))</f>
        <v>0</v>
      </c>
      <c r="J57" s="406"/>
      <c r="K57" s="406"/>
      <c r="L57" s="407"/>
      <c r="M57" s="407"/>
      <c r="N57" s="408"/>
      <c r="O57" s="408">
        <f>SUMIFS(Journals!$L$9:$L$1007564,Journals!$D$9:$D$1007564,"&lt;"&amp;$F$7,Journals!$J$9:$J$1007564,"Realized gain from Bond Premium")-SUMIFS(Journals!$K$9:$K$1007564,Journals!$D$9:$D$1007564,"&lt;"&amp;$F$7,Journals!$J$9:$J$1007564,"Realized gain from Bond Premium")</f>
        <v>0</v>
      </c>
      <c r="Q57" s="5"/>
    </row>
    <row r="58" spans="1:17" ht="12" customHeight="1" x14ac:dyDescent="0.2">
      <c r="A58" s="102"/>
      <c r="B58" s="102"/>
      <c r="C58" s="102"/>
      <c r="D58" s="102"/>
      <c r="E58" s="102"/>
      <c r="F58" s="102"/>
      <c r="G58" s="115" t="s">
        <v>1462</v>
      </c>
      <c r="H58" s="405">
        <f>MAX(0,SUMIFS(Journals!$K$9:$K$1007564,Journals!$D$9:$D$1007564,"&gt;"&amp;$E$7,Journals!$D$9:$D$1007564,"&lt;"&amp;$E$8,Journals!$J$9:$J$1007564,"realized gain on T-Bill")-SUMIFS(Journals!$L$9:$L$1007564,Journals!$D$9:$D$1007564,"&gt;"&amp;$E$7,Journals!$D$9:$D$1007564,"&lt;"&amp;$E$8,Journals!$J$9:$J$1007564,"realized gain on T-Bill"))</f>
        <v>0</v>
      </c>
      <c r="I58" s="405">
        <f>MAX(0,SUMIFS(Journals!$L$9:$L$1007564,Journals!$D$9:$D$1007564,"&gt;"&amp;$E$7,Journals!$D$9:$D$1007564,"&lt;"&amp;$E$8,Journals!$J$9:$J$1007564,"realized gain on T-Bill")-SUMIFS(Journals!$K$9:$K$1007564,Journals!$D$9:$D$1007564,"&gt;"&amp;$E$7,Journals!$D$9:$D$1007564,"&lt;"&amp;$E$8,Journals!$J$9:$J$1007564,"realized gain on T-Bill"))</f>
        <v>5614592.5</v>
      </c>
      <c r="J58" s="406"/>
      <c r="K58" s="406"/>
      <c r="L58" s="407"/>
      <c r="M58" s="407"/>
      <c r="N58" s="408"/>
      <c r="O58" s="408">
        <f>SUMIFS(Journals!$L$9:$L$1007564,Journals!$D$9:$D$1007564,"&lt;"&amp;$F$7,Journals!$J$9:$J$1007564,"realized gain on T-Bill")-SUMIFS(Journals!$K$9:$K$1007564,Journals!$D$9:$D$1007564,"&lt;"&amp;$F$7,Journals!$J$9:$J$1007564,"realized gain on T-Bill")</f>
        <v>7756762.7000000002</v>
      </c>
      <c r="Q58" s="5"/>
    </row>
    <row r="59" spans="1:17" ht="12" customHeight="1" x14ac:dyDescent="0.2">
      <c r="A59" s="102"/>
      <c r="B59" s="102"/>
      <c r="C59" s="102"/>
      <c r="D59" s="102"/>
      <c r="E59" s="102"/>
      <c r="F59" s="102"/>
      <c r="G59" s="115" t="s">
        <v>1463</v>
      </c>
      <c r="H59" s="405">
        <f>MAX(0,SUMIFS(Journals!$K$9:$K$1007564,Journals!$D$9:$D$1007564,"&gt;"&amp;$E$7,Journals!$D$9:$D$1007564,"&lt;"&amp;$E$8,Journals!$J$9:$J$1007564,"realized gain on T-Bond")-SUMIFS(Journals!$L$9:$L$1007564,Journals!$D$9:$D$1007564,"&gt;"&amp;$E$7,Journals!$D$9:$D$1007564,"&lt;"&amp;$E$8,Journals!$J$9:$J$1007564,"realized gain on T-Bond"))</f>
        <v>0</v>
      </c>
      <c r="I59" s="405">
        <f>MAX(0,SUMIFS(Journals!$L$9:$L$1007564,Journals!$D$9:$D$1007564,"&gt;"&amp;$E$7,Journals!$D$9:$D$1007564,"&lt;"&amp;$E$8,Journals!$J$9:$J$1007564,"realized gain on T-Bond")-SUMIFS(Journals!$K$9:$K$1007564,Journals!$D$9:$D$1007564,"&gt;"&amp;$E$7,Journals!$D$9:$D$1007564,"&lt;"&amp;$E$8,Journals!$J$9:$J$1007564,"realized gain on T-Bond"))</f>
        <v>4592616.8999999939</v>
      </c>
      <c r="J59" s="406"/>
      <c r="K59" s="406"/>
      <c r="L59" s="407"/>
      <c r="M59" s="407"/>
      <c r="N59" s="408"/>
      <c r="O59" s="408">
        <f>SUMIFS(Journals!$L$9:$L$1007564,Journals!$D$9:$D$1007564,"&lt;"&amp;$F$7,Journals!$J$9:$J$1007564,"realized gain on T-Bond")-SUMIFS(Journals!$K$9:$K$1007564,Journals!$D$9:$D$1007564,"&lt;"&amp;$F$7,Journals!$J$9:$J$1007564,"realized gain on T-Bond")</f>
        <v>-482528.1</v>
      </c>
      <c r="Q59" s="5"/>
    </row>
    <row r="60" spans="1:17" ht="12" customHeight="1" x14ac:dyDescent="0.2">
      <c r="A60" s="102"/>
      <c r="B60" s="102"/>
      <c r="C60" s="102"/>
      <c r="D60" s="102"/>
      <c r="E60" s="102"/>
      <c r="F60" s="102"/>
      <c r="G60" s="115" t="s">
        <v>178</v>
      </c>
      <c r="H60" s="405">
        <f>MAX(0,SUMIFS(Journals!$K$9:$K$1007564,Journals!$D$9:$D$1007564,"&gt;"&amp;$E$7,Journals!$D$9:$D$1007564,"&lt;"&amp;$E$8,Journals!$J$9:$J$1007564,"receivable from broker")-SUMIFS(Journals!$L$9:$L$1007564,Journals!$D$9:$D$1007564,"&gt;"&amp;$E$7,Journals!$D$9:$D$1007564,"&lt;"&amp;$E$8,Journals!$J$9:$J$1007564,"receivable from broker"))</f>
        <v>134104.6417999994</v>
      </c>
      <c r="I60" s="405">
        <f>MAX(0,SUMIFS(Journals!$L$9:$L$1007564,Journals!$D$9:$D$1007564,"&gt;"&amp;$E$7,Journals!$D$9:$D$1007564,"&lt;"&amp;$E$8,Journals!$J$9:$J$1007564,"receivable from broker")-SUMIFS(Journals!$K$9:$K$1007564,Journals!$D$9:$D$1007564,"&gt;"&amp;$E$7,Journals!$D$9:$D$1007564,"&lt;"&amp;$E$8,Journals!$J$9:$J$1007564,"receivable from broker"))</f>
        <v>0</v>
      </c>
      <c r="J60" s="406">
        <f>SUMIFS(Journals!$K$9:$K$1007564,Journals!$D$9:$D$1007564,"&lt;"&amp;$F$7,Journals!$J$9:$J$1007564,"receivable from broker")-SUMIFS(Journals!$L$9:$L$1007564,Journals!$D$9:$D$1007564,"&lt;"&amp;$F$7,Journals!$J$9:$J$1007564,"receivable from broker")</f>
        <v>0</v>
      </c>
      <c r="K60" s="406"/>
      <c r="L60" s="407">
        <f>J60+H60-I60</f>
        <v>134104.6417999994</v>
      </c>
      <c r="M60" s="407"/>
      <c r="N60" s="408"/>
      <c r="O60" s="408"/>
    </row>
    <row r="61" spans="1:17" ht="12" customHeight="1" x14ac:dyDescent="0.2">
      <c r="A61" s="102"/>
      <c r="B61" s="102"/>
      <c r="C61" s="102"/>
      <c r="D61" s="102"/>
      <c r="E61" s="102"/>
      <c r="F61" s="102"/>
      <c r="G61" s="115" t="s">
        <v>293</v>
      </c>
      <c r="H61" s="405">
        <f>MAX(0,SUMIFS(Journals!$K$9:$K$1007564,Journals!$D$9:$D$1007564,"&gt;"&amp;$E$7,Journals!$D$9:$D$1007564,"&lt;"&amp;$E$8,Journals!$J$9:$J$1007564,"dividend equalization reserve"))</f>
        <v>0</v>
      </c>
      <c r="I61" s="405">
        <f>MAX(0,SUMIFS(Journals!$L$9:$L$1007564,Journals!$D$9:$D$1007564,"&gt;"&amp;$E$7,Journals!$D$9:$D$1007564,"&lt;"&amp;$E$8,Journals!$J$9:$J$1007564,"dividend equalization reserve"))</f>
        <v>0</v>
      </c>
      <c r="J61" s="406"/>
      <c r="K61" s="406">
        <f>SUMIFS(Journals!$L$9:$L$1007564,Journals!$D$9:$D$1007564,"&lt;"&amp;$F$7,Journals!$J$9:$J$1007564,"Dividend Equalization Reserve")-SUMIFS(Journals!$K$9:$K$1007564,Journals!$D$9:$D$1007564,"&lt;"&amp;$F$7,Journals!$J$9:$J$1007564,"Dividend Equalization Reserve")</f>
        <v>0</v>
      </c>
      <c r="L61" s="407">
        <f>H61</f>
        <v>0</v>
      </c>
      <c r="M61" s="407">
        <f>I61</f>
        <v>0</v>
      </c>
      <c r="N61" s="408"/>
      <c r="O61" s="408"/>
    </row>
    <row r="62" spans="1:17" ht="12" customHeight="1" x14ac:dyDescent="0.2">
      <c r="A62" s="102"/>
      <c r="B62" s="102"/>
      <c r="C62" s="102"/>
      <c r="D62" s="102"/>
      <c r="E62" s="102"/>
      <c r="F62" s="102"/>
      <c r="G62" s="115" t="s">
        <v>296</v>
      </c>
      <c r="H62" s="405">
        <f>MAX(0,SUMIFS(Journals!$K$9:$K$1007564,Journals!$D$9:$D$1007564,"&gt;"&amp;$E$7,Journals!$D$9:$D$1007564,"&lt;"&amp;$E$8,Journals!$J$9:$J$1007564,"retained earnings")-SUMIFS(Journals!$L$9:$L$1007564,Journals!$D$9:$D$1007564,"&gt;"&amp;$E$7,Journals!$D$9:$D$1007564,"&lt;"&amp;$E$8,Journals!$J$9:$J$1007564,"retained earnings"))</f>
        <v>0</v>
      </c>
      <c r="I62" s="405">
        <f>MAX(0,SUMIFS(Journals!$L$9:$L$1007564,Journals!$D$9:$D$1007564,"&gt;"&amp;$E$7,Journals!$D$9:$D$1007564,"&lt;"&amp;$E$8,Journals!$J$9:$J$1007564,"retained earnings")-SUMIFS(Journals!$K$9:$K$1007564,Journals!$D$9:$D$1007564,"&gt;"&amp;$E$7,Journals!$D$9:$D$1007564,"&lt;"&amp;$E$8,Journals!$J$9:$J$1007564,"retained earnings"))</f>
        <v>0</v>
      </c>
      <c r="J62" s="406"/>
      <c r="K62" s="406"/>
      <c r="L62" s="407"/>
      <c r="M62" s="407"/>
      <c r="N62" s="408"/>
      <c r="O62" s="408"/>
    </row>
    <row r="63" spans="1:17" ht="12" customHeight="1" x14ac:dyDescent="0.2">
      <c r="A63" s="102"/>
      <c r="B63" s="102"/>
      <c r="C63" s="102"/>
      <c r="D63" s="102"/>
      <c r="E63" s="102"/>
      <c r="F63" s="102"/>
      <c r="G63" s="115" t="s">
        <v>295</v>
      </c>
      <c r="H63" s="405">
        <f>MAX(0,SUMIFS(Journals!$K$9:$K$1007564,Journals!$D$9:$D$1007564,"&gt;"&amp;$E$7,Journals!$D$9:$D$1007564,"&lt;"&amp;$E$8,Journals!$J$9:$J$1007564,"dividend payable"))</f>
        <v>0</v>
      </c>
      <c r="I63" s="405">
        <f>MAX(0,SUMIFS(Journals!$L$9:$L$1007564,Journals!$D$9:$D$1007564,"&gt;"&amp;$E$7,Journals!$D$9:$D$1007564,"&lt;"&amp;$E$8,Journals!$J$9:$J$1007564,"dividend payable"))</f>
        <v>0</v>
      </c>
      <c r="J63" s="406"/>
      <c r="K63" s="406"/>
      <c r="L63" s="407"/>
      <c r="M63" s="407"/>
      <c r="N63" s="408"/>
      <c r="O63" s="408"/>
    </row>
    <row r="64" spans="1:17" ht="12" customHeight="1" x14ac:dyDescent="0.2">
      <c r="A64" s="102"/>
      <c r="B64" s="102"/>
      <c r="C64" s="102"/>
      <c r="D64" s="102"/>
      <c r="E64" s="102"/>
      <c r="F64" s="102"/>
      <c r="G64" s="115" t="s">
        <v>457</v>
      </c>
      <c r="H64" s="405">
        <f>MAX(0,SUMIFS(Journals!$K$9:$K$1007564,Journals!$D$9:$D$1007564,"&gt;"&amp;$E$7,Journals!$D$9:$D$1007564,"&lt;"&amp;$E$8,Journals!$J$9:$J$1007564,"Withholding Tax Payable"))</f>
        <v>535456.31999999995</v>
      </c>
      <c r="I64" s="405">
        <f>MAX(0,SUMIFS(Journals!$L$9:$L$1007564,Journals!$D$9:$D$1007564,"&gt;"&amp;$E$7,Journals!$D$9:$D$1007564,"&lt;"&amp;$E$8,Journals!$J$9:$J$1007564,"Withholding Tax Payable"))</f>
        <v>585347.10827624379</v>
      </c>
      <c r="J64" s="406">
        <f>SUMIFS(Journals!$K$9:$K$1003833,Journals!$D$9:$D$1003833,"&lt;"&amp;$F$7,Journals!$J$9:$J$1003833,"Withholding Tax Payable")-SUMIFS(Journals!$L$9:$L$1003833,Journals!$D$9:$D$1003833,"&lt;"&amp;$F$7,Journals!$J$9:$J$1003833,"Withholding Tax Payable")</f>
        <v>-53250</v>
      </c>
      <c r="K64" s="406">
        <f>SUMIFS(Journals!$L$9:$L$1003833,Journals!$D$9:$D$1003833,"&lt;"&amp;$F$7,Journals!$J$9:$J$1003833,"Withholding Tax Payable")-SUMIFS(Journals!$K$9:$K$1003833,Journals!$D$9:$D$1003833,"&lt;"&amp;$F$7,Journals!$J$9:$J$1003833,"Withholding Tax Payable")</f>
        <v>53250</v>
      </c>
      <c r="L64" s="407"/>
      <c r="M64" s="407">
        <f>K64+I64-H64</f>
        <v>103140.78827624384</v>
      </c>
      <c r="N64" s="408"/>
      <c r="O64" s="408"/>
    </row>
    <row r="65" spans="1:15" ht="12" customHeight="1" x14ac:dyDescent="0.2">
      <c r="A65" s="102"/>
      <c r="B65" s="102"/>
      <c r="C65" s="102"/>
      <c r="D65" s="102"/>
      <c r="E65" s="102"/>
      <c r="F65" s="102"/>
      <c r="G65" s="115" t="s">
        <v>1580</v>
      </c>
      <c r="H65" s="405">
        <f>MAX(0,SUMIFS(Journals!$K$9:$K$1007564,Journals!$D$9:$D$1007564,"&gt;"&amp;$E$7,Journals!$D$9:$D$1007564,"&lt;"&amp;$E$8,Journals!$J$9:$J$1007564,"Investments in Bond (BXSUKUK)")-SUMIFS(Journals!$L$9:$L$1007564,Journals!$D$9:$D$1007564,"&gt;"&amp;$E$7,Journals!$D$9:$D$1007564,"&lt;"&amp;$E$8,Journals!$J$9:$J$1007564,"Investments in Bond (BXSUKUK)"))</f>
        <v>0</v>
      </c>
      <c r="I65" s="405">
        <f>MAX(0,SUMIFS(Journals!$L$9:$L$1007564,Journals!$D$9:$D$1007564,"&gt;"&amp;$E$7,Journals!$D$9:$D$1007564,"&lt;"&amp;$E$8,Journals!$J$9:$J$1007564,"Investments in Bond (BXSUKUK)")-SUMIFS(Journals!$K$9:$K$1007564,Journals!$D$9:$D$1007564,"&gt;"&amp;$E$7,Journals!$D$9:$D$1007564,"&lt;"&amp;$E$8,Journals!$J$9:$J$1007564,"Investments in Bond (BXSUKUK)"))</f>
        <v>3041240</v>
      </c>
      <c r="J65" s="406">
        <f>SUMIFS(Journals!$K$9:$K$1007564,Journals!$D$9:$D$1007564,"&lt;"&amp;$F$7,Journals!$J$9:$J$1007564,"Investments in Bond (BXSUKUK)")-SUMIFS(Journals!$L$9:$L$1007564,Journals!$D$9:$D$1007564,"&lt;"&amp;$F$7,Journals!$J$9:$J$1007564,"Investments in Bond (BXSUKUK)")</f>
        <v>3041240</v>
      </c>
      <c r="K65" s="406"/>
      <c r="L65" s="407">
        <f>J65+H65-I65</f>
        <v>0</v>
      </c>
      <c r="M65" s="407"/>
      <c r="N65" s="408"/>
      <c r="O65" s="408"/>
    </row>
    <row r="66" spans="1:15" ht="12" customHeight="1" x14ac:dyDescent="0.2">
      <c r="A66" s="102"/>
      <c r="B66" s="102"/>
      <c r="C66" s="102"/>
      <c r="D66" s="102"/>
      <c r="E66" s="102"/>
      <c r="F66" s="102"/>
      <c r="G66" s="115" t="str">
        <f>'Chart of Accounts'!B59</f>
        <v>Investments in Bond (APSCL)</v>
      </c>
      <c r="H66" s="405">
        <f>MAX(0,SUMIFS(Journals!$K$9:$K$1007564,Journals!$D$9:$D$1007564,"&gt;"&amp;$E$7,Journals!$D$9:$D$1007564,"&lt;"&amp;$E$8,Journals!$J$9:$J$1007564,"Investments in Bond (APSCL)")-SUMIFS(Journals!$L$9:$L$1007564,Journals!$D$9:$D$1007564,"&gt;"&amp;$E$7,Journals!$D$9:$D$1007564,"&lt;"&amp;$E$8,Journals!$J$9:$J$1007564,"Investments in Bond (APSCL)"))</f>
        <v>0</v>
      </c>
      <c r="I66" s="405">
        <f>MAX(0,SUMIFS(Journals!$L$9:$L$1007564,Journals!$D$9:$D$1007564,"&gt;"&amp;$E$7,Journals!$D$9:$D$1007564,"&lt;"&amp;$E$8,Journals!$J$9:$J$1007564,"Investments in Bond (APSCL)")-SUMIFS(Journals!$K$9:$K$1007564,Journals!$D$9:$D$1007564,"&gt;"&amp;$E$7,Journals!$D$9:$D$1007564,"&lt;"&amp;$E$8,Journals!$J$9:$J$1007564,"Investments in Bond (APSCL)"))</f>
        <v>2296386.5</v>
      </c>
      <c r="J66" s="406">
        <f>SUMIFS(Journals!$K$9:$K$1007564,Journals!$D$9:$D$1007564,"&lt;"&amp;$F$7,Journals!$J$9:$J$1007564,"Investments in Bond (APSCL)")-SUMIFS(Journals!$L$9:$L$1007564,Journals!$D$9:$D$1007564,"&lt;"&amp;$F$7,Journals!$J$9:$J$1007564,"Investments in Bond (APSCL)")</f>
        <v>5503950</v>
      </c>
      <c r="K66" s="406"/>
      <c r="L66" s="407">
        <f>J66+H66-I66</f>
        <v>3207563.5</v>
      </c>
      <c r="M66" s="407"/>
      <c r="N66" s="408"/>
      <c r="O66" s="408"/>
    </row>
    <row r="67" spans="1:15" ht="12" customHeight="1" x14ac:dyDescent="0.2">
      <c r="A67" s="102"/>
      <c r="B67" s="102"/>
      <c r="C67" s="102"/>
      <c r="D67" s="105"/>
      <c r="E67" s="102"/>
      <c r="F67" s="102"/>
      <c r="G67" s="115" t="s">
        <v>1266</v>
      </c>
      <c r="H67" s="405">
        <f>SUMIFS(Journals!$K$9:$K$1007564,Journals!$D$9:$D$1007564,"&gt;"&amp;$E$7,Journals!$D$9:$D$1007564,"&lt;"&amp;$E$8,Journals!$J$9:$J$1007564,"Bond Premium")</f>
        <v>0</v>
      </c>
      <c r="I67" s="405">
        <f>MAX(0,SUMIFS(Journals!$L$9:$L$1007564,Journals!$D$9:$D$1007564,"&gt;"&amp;$E$7,Journals!$D$9:$D$1007564,"&lt;"&amp;$E$8,Journals!$J$9:$J$1007564,"Bond Premium"))</f>
        <v>0</v>
      </c>
      <c r="J67" s="406">
        <f>SUMIFS(Journals!$K$9:$K$1007564,Journals!$D$9:$D$1007564,"&lt;"&amp;$F$7,Journals!$J$9:$J$1007564,"Bond Premium")-SUMIFS(Journals!$L$9:$L$1007564,Journals!$D$9:$D$1007564,"&lt;"&amp;$F$7,Journals!$J$9:$J$1007564,"Bond Premium")</f>
        <v>0</v>
      </c>
      <c r="K67" s="406"/>
      <c r="L67" s="407">
        <f>J67+H67-I67</f>
        <v>0</v>
      </c>
      <c r="M67" s="407">
        <f>K67+I67-H67</f>
        <v>0</v>
      </c>
      <c r="N67" s="408"/>
      <c r="O67" s="408"/>
    </row>
    <row r="68" spans="1:15" ht="12" customHeight="1" x14ac:dyDescent="0.2">
      <c r="A68" s="102"/>
      <c r="B68" s="102"/>
      <c r="C68" s="102"/>
      <c r="D68" s="102"/>
      <c r="E68" s="102"/>
      <c r="F68" s="102"/>
      <c r="G68" s="115" t="s">
        <v>1283</v>
      </c>
      <c r="H68" s="405">
        <f>MAX(0,SUMIFS(Journals!$K$9:$K$1007564,Journals!$D$9:$D$1007564,"&gt;"&amp;$E$7,Journals!$D$9:$D$1007564,"&lt;"&amp;$E$8,Journals!$J$9:$J$1007564,"Redemption Receivable")-SUMIFS(Journals!$L$9:$L$1007564,Journals!$D$9:$D$1007564,"&gt;"&amp;$E$7,Journals!$D$9:$D$1007564,"&lt;"&amp;$E$8,Journals!$J$9:$J$1007564,"Redemption Receivable"))</f>
        <v>0</v>
      </c>
      <c r="I68" s="405">
        <f>MAX(0,SUMIFS(Journals!$L$9:$L$1007564,Journals!$D$9:$D$1007564,"&gt;"&amp;$E$7,Journals!$D$9:$D$1007564,"&lt;"&amp;$E$8,Journals!$J$9:$J$1007564,"Redemption Receivable")-SUMIFS(Journals!$K$9:$K$1007564,Journals!$D$9:$D$1007564,"&gt;"&amp;$E$7,Journals!$D$9:$D$1007564,"&lt;"&amp;$E$8,Journals!$J$9:$J$1007564,"Redemption Receivable"))</f>
        <v>0</v>
      </c>
      <c r="J68" s="406">
        <f>SUMIFS(Journals!$K$9:$K$1007564,Journals!$D$9:$D$1007564,"&lt;"&amp;$F$7,Journals!$J$9:$J$1007564,"Redemption Receivable")-SUMIFS(Journals!$L$9:$L$1007564,Journals!$D$9:$D$1007564,"&lt;"&amp;$F$7,Journals!$J$9:$J$1007564,"Redemption Receivable")</f>
        <v>0</v>
      </c>
      <c r="K68" s="406"/>
      <c r="L68" s="407">
        <f>J68+H68-I68</f>
        <v>0</v>
      </c>
      <c r="M68" s="407"/>
      <c r="N68" s="408"/>
      <c r="O68" s="408"/>
    </row>
    <row r="69" spans="1:15" ht="12" customHeight="1" x14ac:dyDescent="0.2">
      <c r="A69" s="102"/>
      <c r="B69" s="102"/>
      <c r="C69" s="102"/>
      <c r="D69" s="102"/>
      <c r="E69" s="102"/>
      <c r="F69" s="102"/>
      <c r="G69" s="115" t="s">
        <v>1282</v>
      </c>
      <c r="H69" s="405">
        <f>MAX(0,SUMIFS(Journals!$K$9:$K$1007564,Journals!$D$9:$D$1007564,"&gt;"&amp;$E$7,Journals!$D$9:$D$1007564,"&lt;"&amp;$E$8,Journals!$J$9:$J$1007564,"Redemption of Investment")-SUMIFS(Journals!$L$9:$L$1007564,Journals!$D$9:$D$1007564,"&gt;"&amp;$E$7,Journals!$D$9:$D$1007564,"&lt;"&amp;$E$8,Journals!$J$9:$J$1007564,"Redemption of Investment"))</f>
        <v>0</v>
      </c>
      <c r="I69" s="405">
        <f>MAX(0,SUMIFS(Journals!$L$9:$L$1007564,Journals!$D$9:$D$1007564,"&gt;"&amp;$E$7,Journals!$D$9:$D$1007564,"&lt;"&amp;$E$8,Journals!$J$9:$J$1007564,"Redemption of Investment")-SUMIFS(Journals!$K$9:$K$1007564,Journals!$D$9:$D$1007564,"&gt;"&amp;$E$7,Journals!$D$9:$D$1007564,"&lt;"&amp;$E$8,Journals!$J$9:$J$1007564,"Redemption of Investment"))</f>
        <v>0</v>
      </c>
      <c r="J69" s="406"/>
      <c r="K69" s="406"/>
      <c r="L69" s="407"/>
      <c r="M69" s="407"/>
      <c r="N69" s="408"/>
      <c r="O69" s="408"/>
    </row>
    <row r="70" spans="1:15" ht="12" customHeight="1" x14ac:dyDescent="0.2">
      <c r="A70" s="102"/>
      <c r="B70" s="102"/>
      <c r="C70" s="102"/>
      <c r="D70" s="102"/>
      <c r="E70" s="102"/>
      <c r="F70" s="102"/>
      <c r="G70" s="115" t="s">
        <v>1475</v>
      </c>
      <c r="H70" s="405">
        <f>MAX(0,SUMIFS(Journals!$K$9:$K$1007564,Journals!$D$9:$D$1007564,"&gt;"&amp;$E$7,Journals!$D$9:$D$1007564,"&lt;"&amp;$E$8,Journals!$J$9:$J$1007564,"Investments in T-Bond (Contract)")-SUMIFS(Journals!$L$9:$L$1007564,Journals!$D$9:$D$1007564,"&gt;"&amp;$E$7,Journals!$D$9:$D$1007564,"&lt;"&amp;$E$8,Journals!$J$9:$J$1007564,"Investments in T-Bond (Contract)"))</f>
        <v>0</v>
      </c>
      <c r="I70" s="405">
        <f>MAX(0,SUMIFS(Journals!$L$9:$L$1007564,Journals!$D$9:$D$1007564,"&gt;"&amp;$E$7,Journals!$D$9:$D$1007564,"&lt;"&amp;$E$8,Journals!$J$9:$J$1007564,"Investments in T-Bond (Contract)")-SUMIFS(Journals!$K$9:$K$1007564,Journals!$D$9:$D$1007564,"&gt;"&amp;$E$7,Journals!$D$9:$D$1007564,"&lt;"&amp;$E$8,Journals!$J$9:$J$1007564,"Investments in T-Bond (Contract)"))</f>
        <v>0</v>
      </c>
      <c r="J70" s="406">
        <f>SUMIFS(Journals!$K$9:$K$1007564,Journals!$D$9:$D$1007564,"&lt;"&amp;$F$7,Journals!$J$9:$J$1007564,"Investments in T-Bond (Contract)")-SUMIFS(Journals!$L$9:$L$1007564,Journals!$D$9:$D$1007564,"&lt;"&amp;$F$7,Journals!$J$9:$J$1007564,"Investments in T-Bond (Contract)")</f>
        <v>0</v>
      </c>
      <c r="K70" s="406"/>
      <c r="L70" s="407">
        <f>J70+H70-I70</f>
        <v>0</v>
      </c>
      <c r="M70" s="407"/>
      <c r="N70" s="408"/>
      <c r="O70" s="408"/>
    </row>
    <row r="71" spans="1:15" ht="12" customHeight="1" x14ac:dyDescent="0.2">
      <c r="A71" s="102"/>
      <c r="B71" s="102"/>
      <c r="C71" s="102"/>
      <c r="D71" s="102"/>
      <c r="E71" s="102"/>
      <c r="F71" s="102"/>
      <c r="G71" s="115" t="s">
        <v>1476</v>
      </c>
      <c r="H71" s="405">
        <f>MAX(0,SUMIFS(Journals!$K$9:$K$1007564,Journals!$D$9:$D$1007564,"&gt;"&amp;$E$7,Journals!$D$9:$D$1007564,"&lt;"&amp;$E$8,Journals!$J$9:$J$1007564,"Interest Receivables from T.Bond (Contract)")-SUMIFS(Journals!$L$9:$L$1007564,Journals!$D$9:$D$1007564,"&gt;"&amp;$E$7,Journals!$D$9:$D$1007564,"&lt;"&amp;$E$8,Journals!$J$9:$J$1007564,"Interest Receivables from T.Bond (Contract)"))</f>
        <v>0</v>
      </c>
      <c r="I71" s="405">
        <f>MAX(0,SUMIFS(Journals!$L$9:$L$1007564,Journals!$D$9:$D$1007564,"&gt;"&amp;$E$7,Journals!$D$9:$D$1007564,"&lt;"&amp;$E$8,Journals!$J$9:$J$1007564,"Interest Receivables from T.Bond (Contract)")-SUMIFS(Journals!$K$9:$K$1007564,Journals!$D$9:$D$1007564,"&gt;"&amp;$E$7,Journals!$D$9:$D$1007564,"&lt;"&amp;$E$8,Journals!$J$9:$J$1007564,"Interest Receivables from T.Bond (Contract)"))</f>
        <v>0</v>
      </c>
      <c r="J71" s="406">
        <f>SUMIFS(Journals!$K$9:$K$1007564,Journals!$D$9:$D$1007564,"&lt;"&amp;$F$7,Journals!$J$9:$J$1007564,"Interest Receivables from T.Bond (Contract)")-SUMIFS(Journals!$L$9:$L$1007564,Journals!$D$9:$D$1007564,"&lt;"&amp;$F$7,Journals!$J$9:$J$1007564,"Interest Receivables from T.Bond (Contract)")</f>
        <v>9.9999986123293638E-3</v>
      </c>
      <c r="K71" s="406"/>
      <c r="L71" s="407">
        <f>J71+H71-I71</f>
        <v>9.9999986123293638E-3</v>
      </c>
      <c r="M71" s="407"/>
      <c r="N71" s="408"/>
      <c r="O71" s="408"/>
    </row>
    <row r="72" spans="1:15" ht="12" customHeight="1" x14ac:dyDescent="0.2">
      <c r="A72" s="102"/>
      <c r="B72" s="102"/>
      <c r="C72" s="102"/>
      <c r="D72" s="102"/>
      <c r="E72" s="102"/>
      <c r="F72" s="102"/>
      <c r="G72" s="115" t="s">
        <v>1392</v>
      </c>
      <c r="H72" s="405">
        <f>MAX(0,SUMIFS(Journals!$K$9:$K$1007306,Journals!$D$9:$D$1007306,"&gt;"&amp;$E$7,Journals!$D$9:$D$1007306,"&lt;"&amp;$E$8,Journals!$J$9:$J$1007306,"Preliminary and issue expense (Liability)"))</f>
        <v>942012.2</v>
      </c>
      <c r="I72" s="405">
        <f>MAX(0,SUMIFS(Journals!$L$9:$L$1007306,Journals!$D$9:$D$1007306,"&gt;"&amp;$E$7,Journals!$D$9:$D$1007306,"&lt;"&amp;$E$8,Journals!$J$9:$J$1007306,"Preliminary and issue expense (Liability)"))</f>
        <v>0</v>
      </c>
      <c r="J72" s="406">
        <f>MAX(0,SUMIFS(Journals!K30:K1007515,Journals!D30:D1007515,"&lt;"&amp;F40,Journals!J30:J1007515,"Preliminary and issue expense (Liability)")-SUMIFS(Journals!L30:L1007515,Journals!D30:D1007515,"&lt;"&amp;F40,Journals!J30:J1007515,"Preliminary and issue expense (Liability)"))</f>
        <v>0</v>
      </c>
      <c r="K72" s="406">
        <f>SUMIFS(Journals!$L$9:$L$1007494,Journals!$D$9:$D$1007494,"&lt;"&amp;$F$7,Journals!$J$9:$J$1007494,"Preliminary and issue expense (Liability)")-SUMIFS(Journals!$K$9:$K$1007494,Journals!$D$9:$D$1007494,"&lt;"&amp;$F$7,Journals!$J$9:$J$1007494,"Preliminary and issue expense (Liability)")</f>
        <v>942012.2</v>
      </c>
      <c r="L72" s="407"/>
      <c r="M72" s="407">
        <f>K72+I72-H72</f>
        <v>0</v>
      </c>
      <c r="N72" s="408"/>
      <c r="O72" s="408"/>
    </row>
    <row r="73" spans="1:15" ht="12" customHeight="1" x14ac:dyDescent="0.2">
      <c r="A73" s="102"/>
      <c r="B73" s="102"/>
      <c r="C73" s="102"/>
      <c r="D73" s="102"/>
      <c r="E73" s="102"/>
      <c r="F73" s="102"/>
      <c r="G73" s="115" t="s">
        <v>1455</v>
      </c>
      <c r="H73" s="405">
        <f>MAX(0,SUMIFS(Journals!$K$9:$K$1007564,Journals!$D$9:$D$1007564,"&gt;"&amp;$E$7,Journals!$D$9:$D$1007564,"&lt;"&amp;$E$8,Journals!$J$9:$J$1007564,"Investments in T-Bill")-SUMIFS(Journals!$L$9:$L$1007564,Journals!$D$9:$D$1007564,"&gt;"&amp;$E$7,Journals!$D$9:$D$1007564,"&lt;"&amp;$E$8,Journals!$J$9:$J$1007564,"Investments in T-Bill"))</f>
        <v>0</v>
      </c>
      <c r="I73" s="405">
        <f>MAX(0,SUMIFS(Journals!$L$9:$L$1003833,Journals!$D$9:$D$1003833,"&gt;"&amp;$E$7,Journals!$D$9:$D$1003833,"&lt;"&amp;$E$8,Journals!$J$9:$J$1003833,"Interest Receivables from T-Bill")-SUMIFS(Journals!$K$9:$K$1003833,Journals!$D$9:$D$1003833,"&gt;"&amp;$E$7,Journals!$D$9:$D$1003833,"&lt;"&amp;$E$8,Journals!$J$9:$J$1003833,"Interest Receivables from T-Bill"))</f>
        <v>0</v>
      </c>
      <c r="J73" s="406"/>
      <c r="K73" s="406"/>
      <c r="L73" s="407">
        <f t="shared" ref="L73:L82" si="3">J73+H73-I73</f>
        <v>0</v>
      </c>
      <c r="M73" s="407"/>
      <c r="N73" s="408"/>
      <c r="O73" s="408"/>
    </row>
    <row r="74" spans="1:15" ht="12" customHeight="1" x14ac:dyDescent="0.2">
      <c r="A74" s="102"/>
      <c r="B74" s="102"/>
      <c r="C74" s="102"/>
      <c r="D74" s="102"/>
      <c r="E74" s="102"/>
      <c r="F74" s="102"/>
      <c r="G74" s="115" t="s">
        <v>1456</v>
      </c>
      <c r="H74" s="405">
        <f>MAX(0,SUMIFS(Journals!$K$9:$K$1007564,Journals!$D$9:$D$1007564,"&gt;"&amp;$E$7,Journals!$D$9:$D$1007564,"&lt;"&amp;$E$8,Journals!$J$9:$J$1007564,"Interest Receivables from T-Bill")-SUMIFS(Journals!$L$9:$L$1007564,Journals!$D$9:$D$1007564,"&gt;"&amp;$E$7,Journals!$D$9:$D$1007564,"&lt;"&amp;$E$8,Journals!$J$9:$J$1007564,"Interest Receivables from T-Bill"))</f>
        <v>0</v>
      </c>
      <c r="I74" s="405">
        <f>MAX(0,SUMIFS(Journals!$L$9:$L$1007564,Journals!$D$9:$D$1007564,"&gt;"&amp;$E$7,Journals!$D$9:$D$1007564,"&lt;"&amp;$E$8,Journals!$J$9:$J$1007564,"Interest Receivables from T-Bill")-SUMIFS(Journals!$K$9:$K$1007564,Journals!$D$9:$D$1007564,"&gt;"&amp;$E$7,Journals!$D$9:$D$1007564,"&lt;"&amp;$E$8,Journals!$J$9:$J$1007564,"Interest Receivables from T-Bill"))</f>
        <v>0</v>
      </c>
      <c r="J74" s="406"/>
      <c r="K74" s="406"/>
      <c r="L74" s="407">
        <f t="shared" si="3"/>
        <v>0</v>
      </c>
      <c r="M74" s="407"/>
      <c r="N74" s="408"/>
      <c r="O74" s="408"/>
    </row>
    <row r="75" spans="1:15" ht="12" customHeight="1" x14ac:dyDescent="0.2">
      <c r="A75" s="102"/>
      <c r="B75" s="102"/>
      <c r="C75" s="102"/>
      <c r="D75" s="102"/>
      <c r="E75" s="102"/>
      <c r="F75" s="102"/>
      <c r="G75" s="115" t="s">
        <v>1837</v>
      </c>
      <c r="H75" s="405">
        <f>MAX(0,SUMIFS(Journals!$K$9:$K$1007564,Journals!$D$9:$D$1007564,"&gt;"&amp;$E$7,Journals!$D$9:$D$1007564,"&lt;"&amp;$E$8,Journals!$J$9:$J$1007564,"Investments in T-Bond")-SUMIFS(Journals!$L$9:$L$1007564,Journals!$D$9:$D$1007564,"&gt;"&amp;$E$7,Journals!$D$9:$D$1007564,"&lt;"&amp;$E$8,Journals!$J$9:$J$1007564,"Investments in T-Bond"))</f>
        <v>280798383.15500021</v>
      </c>
      <c r="I75" s="405">
        <f>MAX(0,SUMIFS(Journals!$L$9:$L$1007564,Journals!$D$9:$D$1007564,"&gt;"&amp;$E$7,Journals!$D$9:$D$1007564,"&lt;"&amp;$E$8,Journals!$J$9:$J$1007564,"Investments in T-Bond")-SUMIFS(Journals!$K$9:$K$1007564,Journals!$D$9:$D$1007564,"&gt;"&amp;$E$7,Journals!$D$9:$D$1007564,"&lt;"&amp;$E$8,Journals!$J$9:$J$1007564,"Investments in T-Bond"))</f>
        <v>0</v>
      </c>
      <c r="J75" s="406">
        <f>SUMIFS(Journals!$K$9:$K$1003833,Journals!$D$9:$D$1003833,"&lt;"&amp;$F$7,Journals!$J$9:$J$1003833,"Investments in T-Bond")-SUMIFS(Journals!$L$9:$L$1003833,Journals!$D$9:$D$1003833,"&lt;"&amp;$F$7,Journals!$J$9:$J$1003833,"Investments in T-Bond")</f>
        <v>84476195.00999999</v>
      </c>
      <c r="K75" s="406"/>
      <c r="L75" s="407">
        <f t="shared" si="3"/>
        <v>365274578.1650002</v>
      </c>
      <c r="M75" s="407"/>
      <c r="N75" s="408"/>
      <c r="O75" s="408"/>
    </row>
    <row r="76" spans="1:15" ht="12" customHeight="1" x14ac:dyDescent="0.2">
      <c r="A76" s="102"/>
      <c r="B76" s="102"/>
      <c r="C76" s="102"/>
      <c r="D76" s="102"/>
      <c r="E76" s="102"/>
      <c r="F76" s="102"/>
      <c r="G76" s="115" t="s">
        <v>1873</v>
      </c>
      <c r="H76" s="405">
        <f>MAX(0,SUMIFS(Journals!$K$9:$K$1003763,Journals!$D$9:$D$1003763,"&gt;"&amp;$E$7,Journals!$D$9:$D$1003763,"&lt;"&amp;$E$8,Journals!$J$9:$J$1003763,"Interest Receivables from T-Bond")-SUMIFS(Journals!$L$9:$L$1003763,Journals!$D$9:$D$1003763,"&gt;"&amp;$E$7,Journals!$D$9:$D$1003763,"&lt;"&amp;$E$8,Journals!$J$9:$J$1003763,"Interest Receivables from T-Bond"))</f>
        <v>0</v>
      </c>
      <c r="I76" s="405">
        <f>MAX(0,SUMIFS(Journals!$L$9:$L$1003833,Journals!$D$9:$D$1003833,"&gt;"&amp;$E$7,Journals!$D$9:$D$1003833,"&lt;"&amp;$E$8,Journals!$J$9:$J$1003833,"Interest Receivables from T-Bond")-SUMIFS(Journals!$K$9:$K$1003833,Journals!$D$9:$D$1003833,"&gt;"&amp;$E$7,Journals!$D$9:$D$1003833,"&lt;"&amp;$E$8,Journals!$J$9:$J$1003833,"Interest Receivables from T-Bond"))</f>
        <v>0</v>
      </c>
      <c r="J76" s="406"/>
      <c r="K76" s="406"/>
      <c r="L76" s="407">
        <f t="shared" si="3"/>
        <v>0</v>
      </c>
      <c r="M76" s="407"/>
      <c r="N76" s="408"/>
      <c r="O76" s="408"/>
    </row>
    <row r="77" spans="1:15" ht="12" customHeight="1" x14ac:dyDescent="0.2">
      <c r="G77" s="28" t="s">
        <v>1977</v>
      </c>
      <c r="H77" s="405">
        <f>MAX(0,SUMIFS(Journals!$K$9:$K$1007564,Journals!$D$9:$D$1007564,"&gt;"&amp;$E$7,Journals!$D$9:$D$1007564,"&lt;"&amp;$E$8,Journals!$J$9:$J$1007564,"Investments in BRAC Bank 2nd Subordinated Bond")-SUMIFS(Journals!$L$9:$L$1007564,Journals!$D$9:$D$1007564,"&gt;"&amp;$E$7,Journals!$D$9:$D$1007564,"&lt;"&amp;$E$8,Journals!$J$9:$J$1007564,"Investments in BRAC Bank 2nd Subordinated Bond"))</f>
        <v>59000000</v>
      </c>
      <c r="I77" s="405">
        <f>MAX(0,SUMIFS(Journals!$L$9:$L$1007564,Journals!$D$9:$D$1007564,"&gt;"&amp;$E$7,Journals!$D$9:$D$1007564,"&lt;"&amp;$E$8,Journals!$J$9:$J$1007564,"Investments in BRAC Bank 2nd Subordinated Bond")-SUMIFS(Journals!$K$9:$K$1007564,Journals!$D$9:$D$1007564,"&gt;"&amp;$E$7,Journals!$D$9:$D$1007564,"&lt;"&amp;$E$8,Journals!$J$9:$J$1007564,"Investments in BRAC Bank 2nd Subordinated Bond"))</f>
        <v>0</v>
      </c>
      <c r="J77" s="406">
        <f>SUMIFS(Journals!$K$9:$K$1007564,Journals!$D$9:$D$1007564,"&lt;"&amp;$F$7,Journals!$J$9:$J$1007564,"Investments in BRAC Bank 2nd Subordinated Bond")-SUMIFS(Journals!$L$9:$L$1007564,Journals!$D$9:$D$1007564,"&lt;"&amp;$F$7,Journals!$J$9:$J$1007564,"Investments in BRAC Bank 2nd Subordinated Bond")</f>
        <v>0</v>
      </c>
      <c r="K77" s="406"/>
      <c r="L77" s="407">
        <f t="shared" si="3"/>
        <v>59000000</v>
      </c>
      <c r="M77" s="407"/>
      <c r="N77" s="408"/>
      <c r="O77" s="408"/>
    </row>
    <row r="78" spans="1:15" ht="12" customHeight="1" x14ac:dyDescent="0.2">
      <c r="G78" s="115" t="s">
        <v>1978</v>
      </c>
      <c r="H78" s="405">
        <f>MAX(0,SUMIFS(Journals!$K$9:$K$1007564,Journals!$D$9:$D$1007564,"&gt;"&amp;$E$7,Journals!$D$9:$D$1007564,"&lt;"&amp;$E$8,Journals!$J$9:$J$1007564,"Interest Receivables from BRAC Bank Bond")-SUMIFS(Journals!$L$9:$L$1007564,Journals!$D$9:$D$1007564,"&gt;"&amp;$E$7,Journals!$D$9:$D$1007564,"&lt;"&amp;$E$8,Journals!$J$9:$J$1007564,"Interest Receivables from BRAC Bank Bond"))</f>
        <v>2800879.1208791207</v>
      </c>
      <c r="I78" s="405">
        <f>MAX(0,SUMIFS(Journals!$L$9:$L$1007564,Journals!$D$9:$D$1007564,"&gt;"&amp;$E$7,Journals!$D$9:$D$1007564,"&lt;"&amp;$E$8,Journals!$J$9:$J$1007564,"Interest Receivables from BRAC Bank Bond")-SUMIFS(Journals!$K$9:$K$1007564,Journals!$D$9:$D$1007564,"&gt;"&amp;$E$7,Journals!$D$9:$D$1007564,"&lt;"&amp;$E$8,Journals!$J$9:$J$1007564,"Interest Receivables from BRAC Bank Bond"))</f>
        <v>0</v>
      </c>
      <c r="J78" s="406">
        <f>SUMIFS(Journals!$K$9:$K$1007564,Journals!$D$9:$D$1007564,"&lt;"&amp;$F$7,Journals!$J$9:$J$1007564,"Interest Receivables from BRAC Bank Bond")-SUMIFS(Journals!$L$9:$L$1007564,Journals!$D$9:$D$1007564,"&lt;"&amp;$F$7,Journals!$J$9:$J$1007564,"Interest Receivables from BRAC Bank Bond")</f>
        <v>0</v>
      </c>
      <c r="K78" s="406"/>
      <c r="L78" s="407">
        <f t="shared" si="3"/>
        <v>2800879.1208791207</v>
      </c>
      <c r="M78" s="407"/>
      <c r="N78" s="408"/>
      <c r="O78" s="408"/>
    </row>
    <row r="79" spans="1:15" ht="12" customHeight="1" x14ac:dyDescent="0.2">
      <c r="G79" s="115" t="s">
        <v>2003</v>
      </c>
      <c r="H79" s="405">
        <f>MAX(0,SUMIFS(Journals!$K$9:$K$1007564,Journals!$D$9:$D$1007564,"&gt;"&amp;$E$7,Journals!$D$9:$D$1007564,"&lt;"&amp;$E$8,Journals!$J$9:$J$1007564,"Investments in Bank Asia 4th Subordinated Bond")-SUMIFS(Journals!$L$9:$L$1007564,Journals!$D$9:$D$1007564,"&gt;"&amp;$E$7,Journals!$D$9:$D$1007564,"&lt;"&amp;$E$8,Journals!$J$9:$J$1007564,"Investments in Bank Asia 4th Subordinated Bond"))</f>
        <v>40000000</v>
      </c>
      <c r="I79" s="405">
        <f>MAX(0,SUMIFS(Journals!$L$9:$L$1007564,Journals!$D$9:$D$1007564,"&gt;"&amp;$E$7,Journals!$D$9:$D$1007564,"&lt;"&amp;$E$8,Journals!$J$9:$J$1007564,"Investments in Bank Asia 4th Subordinated Bond")-SUMIFS(Journals!$K$9:$K$1007564,Journals!$D$9:$D$1007564,"&gt;"&amp;$E$7,Journals!$D$9:$D$1007564,"&lt;"&amp;$E$8,Journals!$J$9:$J$1007564,"Investments in Bank Asia 4th Subordinated Bond"))</f>
        <v>0</v>
      </c>
      <c r="J79" s="406">
        <f>SUMIFS(Journals!$K$9:$K$1007564,Journals!$D$9:$D$1007564,"&lt;"&amp;$F$7,Journals!$J$9:$J$1007564,"Investments in Bank Asia 4th Subordinated Bond")-SUMIFS(Journals!$L$9:$L$1007564,Journals!$D$9:$D$1007564,"&lt;"&amp;$F$7,Journals!$J$9:$J$1007564,"Investments in Bank Asia 4th Subordinated Bond")</f>
        <v>0</v>
      </c>
      <c r="K79" s="406"/>
      <c r="L79" s="407">
        <f t="shared" si="3"/>
        <v>40000000</v>
      </c>
      <c r="M79" s="407"/>
      <c r="N79" s="408"/>
      <c r="O79" s="408"/>
    </row>
    <row r="80" spans="1:15" ht="12" customHeight="1" x14ac:dyDescent="0.2">
      <c r="G80" s="115" t="s">
        <v>2004</v>
      </c>
      <c r="H80" s="405">
        <f>MAX(0,SUMIFS(Journals!$K$9:$K$1007564,Journals!$D$9:$D$1007564,"&gt;"&amp;$E$7,Journals!$D$9:$D$1007564,"&lt;"&amp;$E$8,Journals!$J$9:$J$1007564,"Interest Receivables from Bank Asia Bond")-SUMIFS(Journals!$L$9:$L$1007564,Journals!$D$9:$D$1007564,"&gt;"&amp;$E$7,Journals!$D$9:$D$1007564,"&lt;"&amp;$E$8,Journals!$J$9:$J$1007564,"Interest Receivables from Bank Asia Bond"))</f>
        <v>873164.87340659346</v>
      </c>
      <c r="I80" s="405">
        <f>MAX(0,SUMIFS(Journals!$L$9:$L$1007564,Journals!$D$9:$D$1007564,"&gt;"&amp;$E$7,Journals!$D$9:$D$1007564,"&lt;"&amp;$E$8,Journals!$J$9:$J$1007564,"Interest Receivables from Bank Asia Bond")-SUMIFS(Journals!$K$9:$K$1007564,Journals!$D$9:$D$1007564,"&gt;"&amp;$E$7,Journals!$D$9:$D$1007564,"&lt;"&amp;$E$8,Journals!$J$9:$J$1007564,"Interest Receivables from Bank Asia Bond"))</f>
        <v>0</v>
      </c>
      <c r="J80" s="406">
        <f>SUMIFS(Journals!$K$9:$K$1007564,Journals!$D$9:$D$1007564,"&lt;"&amp;$F$7,Journals!$J$9:$J$1007564,"Interest Receivables from Bank Asia Bond")-SUMIFS(Journals!$L$9:$L$1007564,Journals!$D$9:$D$1007564,"&lt;"&amp;$F$7,Journals!$J$9:$J$1007564,"Interest Receivables from Bank Asia Bond")</f>
        <v>0</v>
      </c>
      <c r="K80" s="406"/>
      <c r="L80" s="407">
        <f t="shared" si="3"/>
        <v>873164.87340659346</v>
      </c>
      <c r="M80" s="407"/>
      <c r="N80" s="408"/>
      <c r="O80" s="408"/>
    </row>
    <row r="81" spans="7:15" ht="12" customHeight="1" x14ac:dyDescent="0.2">
      <c r="G81" s="115" t="s">
        <v>2085</v>
      </c>
      <c r="H81" s="405">
        <f>MAX(0,SUMIFS(Journals!$K$9:$K$1003833,Journals!$D$9:$D$1003833,"&gt;"&amp;$E$7,Journals!$D$9:$D$1003833,"&lt;"&amp;$E$8,Journals!$J$9:$J$1003833,"Investments in Dhaka Bank 4th Subordinated Bond")-SUMIFS(Journals!$L$9:$L$1003833,Journals!$D$9:$D$1003833,"&gt;"&amp;$E$7,Journals!$D$9:$D$1003833,"&lt;"&amp;$E$8,Journals!$J$9:$J$1003833,"Investments in Dhaka Bank 4th Subordinated Bond"))</f>
        <v>0</v>
      </c>
      <c r="I81" s="405">
        <f>MAX(0,SUMIFS(Journals!$L$9:$L$1003833,Journals!$D$9:$D$1003833,"&gt;"&amp;$E$7,Journals!$D$9:$D$1003833,"&lt;"&amp;$E$8,Journals!$J$9:$J$1003833,"Investments in Dhaka Bank 4th Subordinated Bond")-SUMIFS(Journals!$K$9:$K$1003833,Journals!$D$9:$D$1003833,"&gt;"&amp;$E$7,Journals!$D$9:$D$1003833,"&lt;"&amp;$E$8,Journals!$J$9:$J$1003833,"Investments in Dhaka Bank 4th Subordinated Bond"))</f>
        <v>0</v>
      </c>
      <c r="J81" s="406">
        <f>SUMIFS(Journals!$K$9:$K$1003833,Journals!$D$9:$D$1003833,"&lt;"&amp;$F$7,Journals!$J$9:$J$1003833,"Investments in Dhaka Bank 4th Subordinated Bond")-SUMIFS(Journals!$L$9:$L$1003833,Journals!$D$9:$D$1003833,"&lt;"&amp;$F$7,Journals!$J$9:$J$1003833,"Investments in Dhaka Bank 4th Subordinated Bond")</f>
        <v>0</v>
      </c>
      <c r="K81" s="406"/>
      <c r="L81" s="407">
        <f t="shared" si="3"/>
        <v>0</v>
      </c>
      <c r="M81" s="407"/>
      <c r="N81" s="408"/>
      <c r="O81" s="408"/>
    </row>
    <row r="82" spans="7:15" ht="12" customHeight="1" x14ac:dyDescent="0.2">
      <c r="G82" s="115" t="s">
        <v>2086</v>
      </c>
      <c r="H82" s="405">
        <f>MAX(0,SUMIFS(Journals!$K$9:$K$1007564,Journals!$D$9:$D$1007564,"&gt;"&amp;$E$7,Journals!$D$9:$D$1007564,"&lt;"&amp;$E$8,Journals!$J$9:$J$1007564,"Interest Receivables from Dhaka Bank 4th Subordinated Bond")-SUMIFS(Journals!$L$9:$L$1007564,Journals!$D$9:$D$1007564,"&gt;"&amp;$E$7,Journals!$D$9:$D$1007564,"&lt;"&amp;$E$8,Journals!$J$9:$J$1007564,"Interest Receivables from Dhaka Bank 4th Subordinated Bond"))</f>
        <v>0</v>
      </c>
      <c r="I82" s="405">
        <f>MAX(0,SUMIFS(Journals!$L$9:$L$1007564,Journals!$D$9:$D$1007564,"&gt;"&amp;$E$7,Journals!$D$9:$D$1007564,"&lt;"&amp;$E$8,Journals!$J$9:$J$1007564,"Interest Receivables from Dhaka Bank 4th Subordinated Bond")-SUMIFS(Journals!$K$9:$K$1007564,Journals!$D$9:$D$1007564,"&gt;"&amp;$E$7,Journals!$D$9:$D$1007564,"&lt;"&amp;$E$8,Journals!$J$9:$J$1007564,"Interest Receivables from Dhaka Bank 4th Subordinated Bond"))</f>
        <v>0</v>
      </c>
      <c r="J82" s="406">
        <f>SUMIFS(Journals!$K$9:$K$1007564,Journals!$D$9:$D$1007564,"&lt;"&amp;$F$7,Journals!$J$9:$J$1007564,"Interest Receivables from Dhaka Bank 4th Subordinated Bond")-SUMIFS(Journals!$L$9:$L$1007564,Journals!$D$9:$D$1007564,"&lt;"&amp;$F$7,Journals!$J$9:$J$1007564,"Interest Receivables from Dhaka Bank 4th Subordinated Bond")</f>
        <v>0</v>
      </c>
      <c r="K82" s="406"/>
      <c r="L82" s="407">
        <f t="shared" si="3"/>
        <v>0</v>
      </c>
      <c r="M82" s="407"/>
      <c r="N82" s="408"/>
      <c r="O82" s="408"/>
    </row>
    <row r="83" spans="7:15" ht="12" customHeight="1" x14ac:dyDescent="0.2">
      <c r="H83" s="3"/>
      <c r="I83" s="395"/>
    </row>
    <row r="84" spans="7:15" ht="12" customHeight="1" x14ac:dyDescent="0.2">
      <c r="H84" s="3"/>
    </row>
    <row r="85" spans="7:15" ht="12" customHeight="1" x14ac:dyDescent="0.2">
      <c r="O85" s="448"/>
    </row>
    <row r="86" spans="7:15" ht="12" customHeight="1" x14ac:dyDescent="0.2">
      <c r="O86" s="448"/>
    </row>
    <row r="87" spans="7:15" ht="12" customHeight="1" x14ac:dyDescent="0.2">
      <c r="O87" s="448"/>
    </row>
    <row r="88" spans="7:15" ht="12" customHeight="1" x14ac:dyDescent="0.2"/>
    <row r="89" spans="7:15" ht="12" customHeight="1" x14ac:dyDescent="0.2"/>
    <row r="90" spans="7:15" ht="12" customHeight="1" x14ac:dyDescent="0.2"/>
    <row r="91" spans="7:15" ht="12" customHeight="1" x14ac:dyDescent="0.2"/>
    <row r="92" spans="7:15" ht="12" customHeight="1" x14ac:dyDescent="0.2"/>
    <row r="93" spans="7:15" ht="12" customHeight="1" x14ac:dyDescent="0.2"/>
    <row r="94" spans="7:15" ht="12" customHeight="1" x14ac:dyDescent="0.2"/>
    <row r="95" spans="7:15" ht="12" customHeight="1" x14ac:dyDescent="0.2"/>
    <row r="96" spans="7:15"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sheetData>
  <mergeCells count="10">
    <mergeCell ref="B5:D5"/>
    <mergeCell ref="H5:I5"/>
    <mergeCell ref="J5:M5"/>
    <mergeCell ref="N5:O5"/>
    <mergeCell ref="A1:D1"/>
    <mergeCell ref="G1:O1"/>
    <mergeCell ref="A2:D2"/>
    <mergeCell ref="G2:O2"/>
    <mergeCell ref="A3:D3"/>
    <mergeCell ref="G3:O3"/>
  </mergeCells>
  <conditionalFormatting sqref="G1:O3">
    <cfRule type="cellIs" dxfId="15" priority="1" operator="notEqual">
      <formula>0</formula>
    </cfRule>
    <cfRule type="cellIs" dxfId="14" priority="2" operator="equal">
      <formula>0</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pageSetUpPr fitToPage="1"/>
  </sheetPr>
  <dimension ref="A2:P63"/>
  <sheetViews>
    <sheetView showGridLines="0" tabSelected="1" zoomScale="115" zoomScaleNormal="115" workbookViewId="0">
      <selection activeCell="J18" sqref="J18"/>
    </sheetView>
  </sheetViews>
  <sheetFormatPr defaultColWidth="8.85546875" defaultRowHeight="12.75" x14ac:dyDescent="0.2"/>
  <cols>
    <col min="1" max="1" width="40.42578125" style="5" customWidth="1"/>
    <col min="2" max="2" width="6.7109375" style="9" customWidth="1"/>
    <col min="3" max="3" width="18.5703125" style="5" customWidth="1"/>
    <col min="4" max="4" width="0.5703125" style="5" customWidth="1"/>
    <col min="5" max="5" width="18" style="5" customWidth="1"/>
    <col min="6" max="7" width="13.5703125" style="5" bestFit="1" customWidth="1"/>
    <col min="8" max="8" width="18.42578125" style="2" customWidth="1"/>
    <col min="9" max="9" width="15.7109375" style="2" bestFit="1" customWidth="1"/>
    <col min="10" max="10" width="17.85546875" style="2" bestFit="1" customWidth="1"/>
    <col min="11" max="11" width="14" style="2" bestFit="1" customWidth="1"/>
    <col min="12" max="12" width="10.7109375" style="2" bestFit="1" customWidth="1"/>
    <col min="13" max="13" width="12.28515625" style="2" bestFit="1" customWidth="1"/>
    <col min="14" max="15" width="13.5703125" style="2" bestFit="1" customWidth="1"/>
    <col min="16" max="16" width="11.85546875" style="2" bestFit="1" customWidth="1"/>
    <col min="17" max="16384" width="8.85546875" style="2"/>
  </cols>
  <sheetData>
    <row r="2" spans="1:11" x14ac:dyDescent="0.2">
      <c r="A2" s="501" t="s">
        <v>1184</v>
      </c>
      <c r="B2" s="501"/>
      <c r="C2" s="501"/>
      <c r="D2" s="501"/>
      <c r="E2" s="501"/>
      <c r="F2" s="17"/>
      <c r="G2" s="17"/>
      <c r="I2" s="30"/>
    </row>
    <row r="3" spans="1:11" x14ac:dyDescent="0.2">
      <c r="A3" s="502" t="s">
        <v>229</v>
      </c>
      <c r="B3" s="502"/>
      <c r="C3" s="502"/>
      <c r="D3" s="502"/>
      <c r="E3" s="502"/>
      <c r="H3" s="2" t="s">
        <v>2133</v>
      </c>
      <c r="I3" s="172">
        <v>35319588</v>
      </c>
      <c r="J3" s="171">
        <f ca="1">TODAY()</f>
        <v>46110</v>
      </c>
    </row>
    <row r="4" spans="1:11" x14ac:dyDescent="0.2">
      <c r="A4" s="502" t="s">
        <v>1953</v>
      </c>
      <c r="B4" s="502"/>
      <c r="C4" s="502"/>
      <c r="D4" s="502"/>
      <c r="E4" s="502"/>
      <c r="I4" s="172">
        <v>0</v>
      </c>
    </row>
    <row r="5" spans="1:11" x14ac:dyDescent="0.2">
      <c r="H5" s="2" t="s">
        <v>2132</v>
      </c>
      <c r="I5" s="205">
        <v>337447970.07399994</v>
      </c>
      <c r="J5" s="457"/>
      <c r="K5" s="457"/>
    </row>
    <row r="6" spans="1:11" s="1" customFormat="1" x14ac:dyDescent="0.2">
      <c r="A6" s="499" t="s">
        <v>0</v>
      </c>
      <c r="B6" s="500" t="s">
        <v>20</v>
      </c>
      <c r="C6" s="61">
        <f>'TB-C'!F8</f>
        <v>46202</v>
      </c>
      <c r="D6" s="60"/>
      <c r="E6" s="61">
        <f>'TB-P'!F8</f>
        <v>45838</v>
      </c>
      <c r="F6" s="14"/>
      <c r="G6" s="14"/>
    </row>
    <row r="7" spans="1:11" s="1" customFormat="1" x14ac:dyDescent="0.2">
      <c r="A7" s="499"/>
      <c r="B7" s="500"/>
      <c r="C7" s="62" t="s">
        <v>21</v>
      </c>
      <c r="D7" s="16"/>
      <c r="E7" s="62" t="s">
        <v>22</v>
      </c>
      <c r="F7" s="14"/>
      <c r="G7" s="14"/>
      <c r="I7" s="410">
        <f>ABS(I9)</f>
        <v>0</v>
      </c>
    </row>
    <row r="8" spans="1:11" x14ac:dyDescent="0.2">
      <c r="A8" s="16" t="s">
        <v>1</v>
      </c>
      <c r="C8" s="3"/>
      <c r="D8" s="6"/>
      <c r="E8" s="3"/>
      <c r="H8" s="70" t="s">
        <v>206</v>
      </c>
      <c r="I8" s="70" t="s">
        <v>207</v>
      </c>
      <c r="J8" s="70" t="s">
        <v>208</v>
      </c>
    </row>
    <row r="9" spans="1:11" x14ac:dyDescent="0.2">
      <c r="A9" s="14" t="s">
        <v>85</v>
      </c>
      <c r="C9" s="411">
        <f>'TB-C'!$L$7+'TB-C'!L65+'TB-C'!L66</f>
        <v>34762893.630000003</v>
      </c>
      <c r="D9" s="412"/>
      <c r="E9" s="411">
        <f>'TB-P'!$L$7+'TB-P'!L65+'TB-P'!L66</f>
        <v>6005214.1199999973</v>
      </c>
      <c r="H9" s="204">
        <f>I3-C9</f>
        <v>556694.36999999732</v>
      </c>
      <c r="I9" s="483">
        <f>H9-C10</f>
        <v>0</v>
      </c>
      <c r="J9" s="204">
        <f>C35+I9+I13+I16</f>
        <v>587700480.48185372</v>
      </c>
    </row>
    <row r="10" spans="1:11" ht="15" customHeight="1" x14ac:dyDescent="0.2">
      <c r="A10" s="14" t="s">
        <v>86</v>
      </c>
      <c r="C10" s="413">
        <f>IF('TB-C'!$L$45&gt;0,'TB-C'!$L$45,-'TB-C'!$M$45)</f>
        <v>556694.36999999732</v>
      </c>
      <c r="D10" s="413"/>
      <c r="E10" s="413">
        <f>IF('TB-P'!$L$45&gt;0,'TB-P'!$L$45,-'TB-P'!$M$45)</f>
        <v>160630.88000000268</v>
      </c>
      <c r="H10" s="505">
        <f>J9/C51</f>
        <v>14.26713904481749</v>
      </c>
      <c r="I10" s="505"/>
      <c r="J10" s="505"/>
      <c r="K10" s="456"/>
    </row>
    <row r="11" spans="1:11" x14ac:dyDescent="0.2">
      <c r="A11" s="15" t="s">
        <v>1449</v>
      </c>
      <c r="B11" s="9">
        <v>1</v>
      </c>
      <c r="C11" s="54">
        <f>C9+C10</f>
        <v>35319588</v>
      </c>
      <c r="D11" s="56">
        <f>D9+D10</f>
        <v>0</v>
      </c>
      <c r="E11" s="54">
        <f>E9+E10</f>
        <v>6165845</v>
      </c>
      <c r="F11" s="30"/>
      <c r="G11" s="30"/>
      <c r="H11" s="24" t="s">
        <v>1473</v>
      </c>
      <c r="I11" s="484">
        <f>ABS(I13)</f>
        <v>5.9604644775390625E-8</v>
      </c>
    </row>
    <row r="12" spans="1:11" x14ac:dyDescent="0.2">
      <c r="A12" s="14" t="s">
        <v>1466</v>
      </c>
      <c r="C12" s="324">
        <f>'TB-C'!L73</f>
        <v>0.20000004768371582</v>
      </c>
      <c r="D12" s="6"/>
      <c r="E12" s="324">
        <f>'TB-P'!L73</f>
        <v>0</v>
      </c>
      <c r="F12" s="30"/>
      <c r="G12" s="30"/>
      <c r="H12" s="70" t="s">
        <v>206</v>
      </c>
      <c r="I12" s="70" t="s">
        <v>207</v>
      </c>
      <c r="K12" s="458"/>
    </row>
    <row r="13" spans="1:11" x14ac:dyDescent="0.2">
      <c r="A13" s="14" t="s">
        <v>1467</v>
      </c>
      <c r="C13" s="324">
        <f>IF('TB-C'!$L$46&gt;0,'TB-C'!$L$46,-'TB-C'!$M$46)</f>
        <v>-0.19999998807907104</v>
      </c>
      <c r="D13" s="6"/>
      <c r="E13" s="324">
        <f>IF('TB-P'!$L$46&gt;0,'TB-P'!$L$46,-'TB-P'!$M$46)</f>
        <v>-0.19999998807907104</v>
      </c>
      <c r="F13" s="30"/>
      <c r="G13" s="30"/>
      <c r="H13" s="483">
        <f>I4-C12</f>
        <v>-0.20000004768371582</v>
      </c>
      <c r="I13" s="483">
        <f>H13-C13</f>
        <v>-5.9604644775390625E-8</v>
      </c>
    </row>
    <row r="14" spans="1:11" x14ac:dyDescent="0.2">
      <c r="A14" s="15" t="s">
        <v>1465</v>
      </c>
      <c r="B14" s="9">
        <v>1</v>
      </c>
      <c r="C14" s="56">
        <f>C13+C12</f>
        <v>5.9604644775390625E-8</v>
      </c>
      <c r="D14" s="6"/>
      <c r="E14" s="56">
        <f>E13+E12</f>
        <v>-0.19999998807907104</v>
      </c>
      <c r="F14" s="30"/>
      <c r="G14" s="30"/>
      <c r="H14" s="24" t="s">
        <v>1474</v>
      </c>
      <c r="I14" s="7">
        <f>ABS(I16)</f>
        <v>0</v>
      </c>
    </row>
    <row r="15" spans="1:11" x14ac:dyDescent="0.2">
      <c r="A15" s="14" t="s">
        <v>1468</v>
      </c>
      <c r="C15" s="324">
        <f>'TB-C'!L75+'TB-C'!L70</f>
        <v>308025494.67421353</v>
      </c>
      <c r="D15" s="6"/>
      <c r="E15" s="324">
        <f>'TB-P'!L75+'TB-P'!L70</f>
        <v>365274578.1650002</v>
      </c>
      <c r="F15" s="359"/>
      <c r="G15" s="359"/>
      <c r="H15" s="70" t="s">
        <v>206</v>
      </c>
      <c r="I15" s="70" t="s">
        <v>207</v>
      </c>
    </row>
    <row r="16" spans="1:11" x14ac:dyDescent="0.2">
      <c r="A16" s="14" t="s">
        <v>1469</v>
      </c>
      <c r="C16" s="324">
        <f>IF('TB-C'!$L$47&gt;0,'TB-C'!$L$47,-'TB-C'!$M$47)</f>
        <v>29422475.399786413</v>
      </c>
      <c r="D16" s="6"/>
      <c r="E16" s="324">
        <f>IF('TB-P'!$L$47&gt;0,'TB-P'!$L$47,-'TB-P'!$M$47)</f>
        <v>4692855.1639998555</v>
      </c>
      <c r="F16" s="30"/>
      <c r="G16" s="30"/>
      <c r="H16" s="204">
        <f>I5-C15</f>
        <v>29422475.399786413</v>
      </c>
      <c r="I16" s="483">
        <f>H16-C16</f>
        <v>0</v>
      </c>
      <c r="J16" s="457"/>
    </row>
    <row r="17" spans="1:16" x14ac:dyDescent="0.2">
      <c r="A17" s="15" t="s">
        <v>1464</v>
      </c>
      <c r="B17" s="9">
        <v>1</v>
      </c>
      <c r="C17" s="56">
        <f>C16+C15</f>
        <v>337447970.07399994</v>
      </c>
      <c r="D17" s="6"/>
      <c r="E17" s="56">
        <f>E16+E15</f>
        <v>369967433.32900006</v>
      </c>
      <c r="F17" s="30"/>
      <c r="G17" s="481"/>
      <c r="H17" s="24"/>
      <c r="I17" s="24"/>
      <c r="J17" s="164"/>
      <c r="K17" s="45"/>
    </row>
    <row r="18" spans="1:16" x14ac:dyDescent="0.2">
      <c r="A18" s="15" t="s">
        <v>1981</v>
      </c>
      <c r="B18" s="9">
        <v>1</v>
      </c>
      <c r="C18" s="56">
        <f>'TB-C'!L77+'TB-C'!L79+'TB-C'!L81</f>
        <v>124000000</v>
      </c>
      <c r="D18" s="6"/>
      <c r="E18" s="56">
        <f>'TB-P'!L77+'TB-P'!L79+'TB-P'!L81</f>
        <v>99000000</v>
      </c>
      <c r="F18" s="30"/>
      <c r="G18" s="481"/>
      <c r="H18" s="24"/>
      <c r="I18" s="24"/>
      <c r="K18" s="45"/>
    </row>
    <row r="19" spans="1:16" x14ac:dyDescent="0.2">
      <c r="A19" s="15" t="s">
        <v>157</v>
      </c>
      <c r="B19" s="9">
        <v>2</v>
      </c>
      <c r="C19" s="56">
        <f>'TB-C'!$L$18</f>
        <v>54000000</v>
      </c>
      <c r="D19" s="6"/>
      <c r="E19" s="56">
        <f>'TB-P'!$L$18</f>
        <v>85000000</v>
      </c>
      <c r="F19" s="30"/>
      <c r="G19" s="481"/>
      <c r="H19" s="24"/>
      <c r="I19" s="24"/>
      <c r="J19" s="24"/>
    </row>
    <row r="20" spans="1:16" x14ac:dyDescent="0.2">
      <c r="A20" s="15" t="s">
        <v>177</v>
      </c>
      <c r="B20" s="9">
        <v>3</v>
      </c>
      <c r="C20" s="56">
        <f>'TB-C'!$L$54</f>
        <v>0</v>
      </c>
      <c r="D20" s="6"/>
      <c r="E20" s="56">
        <f>'TB-P'!$L$54</f>
        <v>0</v>
      </c>
      <c r="F20" s="509"/>
      <c r="G20" s="507" t="s">
        <v>1509</v>
      </c>
      <c r="H20" s="310" t="s">
        <v>1290</v>
      </c>
      <c r="I20" s="331">
        <v>5972545.3700000001</v>
      </c>
      <c r="J20" s="45">
        <f>SUM(I20:I27)</f>
        <v>31458524.616035223</v>
      </c>
      <c r="K20" s="24"/>
      <c r="L20" s="47"/>
      <c r="M20" s="47"/>
      <c r="N20" s="47"/>
      <c r="O20" s="47"/>
      <c r="P20" s="47"/>
    </row>
    <row r="21" spans="1:16" x14ac:dyDescent="0.2">
      <c r="A21" s="5" t="s">
        <v>6</v>
      </c>
      <c r="B21" s="9">
        <v>3</v>
      </c>
      <c r="C21" s="56">
        <f>'TB-C'!$L$48+'TB-C'!$L$52+'TB-C'!$L$60+'TB-C'!L8+'TB-C'!L10+'TB-C'!L68+'TB-C'!L71+'TB-C'!L9+'TB-C'!L76+'TB-C'!L78+'TB-C'!L80+'TB-C'!L82</f>
        <v>5585320.3727122601</v>
      </c>
      <c r="D21" s="6"/>
      <c r="E21" s="56">
        <f>'TB-P'!$L$48+'TB-P'!$L$52+'TB-P'!$L$60+'TB-P'!L8+'TB-P'!L10+'TB-P'!L68+'TB-P'!L71+'TB-P'!L9+'TB-P'!L76+'TB-P'!L78+'TB-P'!L80+'TB-P'!L82</f>
        <v>5231878.8408503057</v>
      </c>
      <c r="F21" s="509"/>
      <c r="G21" s="507"/>
      <c r="H21" s="310" t="s">
        <v>1291</v>
      </c>
      <c r="I21" s="331">
        <v>1692096.0760352258</v>
      </c>
      <c r="J21" s="44">
        <f>J20-C23</f>
        <v>0</v>
      </c>
      <c r="K21" s="24"/>
      <c r="L21" s="180"/>
      <c r="M21" s="180"/>
      <c r="N21" s="181"/>
      <c r="O21" s="181"/>
      <c r="P21" s="181"/>
    </row>
    <row r="22" spans="1:16" x14ac:dyDescent="0.2">
      <c r="A22" s="5" t="s">
        <v>7</v>
      </c>
      <c r="C22" s="56">
        <f>'TB-C'!L41</f>
        <v>138836.11054944998</v>
      </c>
      <c r="D22" s="6"/>
      <c r="E22" s="56">
        <v>0</v>
      </c>
      <c r="F22" s="356"/>
      <c r="G22" s="482" t="s">
        <v>1403</v>
      </c>
      <c r="H22" s="310" t="s">
        <v>1331</v>
      </c>
      <c r="I22" s="331">
        <f>23650677.9-8000</f>
        <v>23642677.899999999</v>
      </c>
      <c r="J22" s="45"/>
      <c r="K22" s="24"/>
    </row>
    <row r="23" spans="1:16" x14ac:dyDescent="0.2">
      <c r="A23" s="5" t="s">
        <v>8</v>
      </c>
      <c r="B23" s="9">
        <v>4</v>
      </c>
      <c r="C23" s="56">
        <f>'TB-C'!$L$19</f>
        <v>31458524.616035223</v>
      </c>
      <c r="D23" s="6"/>
      <c r="E23" s="56">
        <f>'TB-P'!$L$19</f>
        <v>15519656.955000401</v>
      </c>
      <c r="F23" s="510"/>
      <c r="G23" s="508" t="s">
        <v>1510</v>
      </c>
      <c r="H23" s="310" t="s">
        <v>1316</v>
      </c>
      <c r="I23" s="445">
        <v>40037.120000000003</v>
      </c>
      <c r="J23" s="45"/>
      <c r="K23" s="24"/>
    </row>
    <row r="24" spans="1:16" x14ac:dyDescent="0.2">
      <c r="A24" s="5" t="s">
        <v>9</v>
      </c>
      <c r="B24" s="9">
        <v>5</v>
      </c>
      <c r="C24" s="55">
        <f>'TB-C'!L11</f>
        <v>421015.47582417633</v>
      </c>
      <c r="D24" s="6"/>
      <c r="E24" s="55">
        <f>'TB-P'!$L$11</f>
        <v>559729.36021978036</v>
      </c>
      <c r="F24" s="510"/>
      <c r="G24" s="508"/>
      <c r="H24" s="310" t="s">
        <v>1312</v>
      </c>
      <c r="I24" s="445">
        <v>0</v>
      </c>
      <c r="J24" s="457"/>
    </row>
    <row r="25" spans="1:16" ht="13.5" thickBot="1" x14ac:dyDescent="0.25">
      <c r="A25" s="14" t="s">
        <v>10</v>
      </c>
      <c r="C25" s="443">
        <f>SUM(C17:C24)+C14+C11</f>
        <v>588371254.64912105</v>
      </c>
      <c r="D25" s="7"/>
      <c r="E25" s="443">
        <f>SUM(E17:E24)+E14+E11</f>
        <v>581444543.28507066</v>
      </c>
      <c r="F25" s="357"/>
      <c r="G25" s="357" t="s">
        <v>1511</v>
      </c>
      <c r="H25" s="310" t="s">
        <v>1436</v>
      </c>
      <c r="I25" s="331">
        <v>2715.57</v>
      </c>
    </row>
    <row r="26" spans="1:16" ht="13.5" customHeight="1" thickTop="1" x14ac:dyDescent="0.2">
      <c r="F26" s="357"/>
      <c r="G26" s="357" t="s">
        <v>1512</v>
      </c>
      <c r="H26" s="310" t="s">
        <v>1522</v>
      </c>
      <c r="I26" s="331">
        <v>42593.7</v>
      </c>
    </row>
    <row r="27" spans="1:16" x14ac:dyDescent="0.2">
      <c r="A27" s="16" t="s">
        <v>2</v>
      </c>
      <c r="F27" s="357"/>
      <c r="G27" s="357" t="s">
        <v>1836</v>
      </c>
      <c r="H27" s="310" t="s">
        <v>1835</v>
      </c>
      <c r="I27" s="331">
        <v>65858.880000000005</v>
      </c>
    </row>
    <row r="28" spans="1:16" ht="15" x14ac:dyDescent="0.25">
      <c r="A28" s="75" t="s">
        <v>158</v>
      </c>
      <c r="H28"/>
      <c r="I28" s="182"/>
      <c r="J28" s="164"/>
    </row>
    <row r="29" spans="1:16" ht="3.75" customHeight="1" x14ac:dyDescent="0.25">
      <c r="A29" s="77" t="s">
        <v>162</v>
      </c>
      <c r="H29"/>
      <c r="I29"/>
    </row>
    <row r="30" spans="1:16" x14ac:dyDescent="0.2">
      <c r="A30" s="5" t="s">
        <v>163</v>
      </c>
      <c r="B30" s="9">
        <v>6</v>
      </c>
      <c r="C30" s="63">
        <f>'TB-C'!$M$20</f>
        <v>411925950</v>
      </c>
      <c r="E30" s="63">
        <f>'TB-P'!$M$20</f>
        <v>462377570</v>
      </c>
      <c r="G30" s="45"/>
      <c r="H30" s="5"/>
      <c r="I30" s="235"/>
      <c r="L30" s="24"/>
    </row>
    <row r="31" spans="1:16" x14ac:dyDescent="0.2">
      <c r="A31" s="5" t="s">
        <v>11</v>
      </c>
      <c r="B31" s="9">
        <v>7</v>
      </c>
      <c r="C31" s="64">
        <f>'TB-C'!$M$21</f>
        <v>23036942.299999982</v>
      </c>
      <c r="E31" s="64">
        <f>'TB-P'!$M$21</f>
        <v>41293537.771999992</v>
      </c>
      <c r="I31" s="45"/>
      <c r="J31" s="164"/>
    </row>
    <row r="32" spans="1:16" x14ac:dyDescent="0.2">
      <c r="A32" s="5" t="s">
        <v>294</v>
      </c>
      <c r="C32" s="64">
        <f>E!E16</f>
        <v>0</v>
      </c>
      <c r="E32" s="64">
        <f>E!E31</f>
        <v>0</v>
      </c>
      <c r="I32" s="45"/>
    </row>
    <row r="33" spans="1:11" x14ac:dyDescent="0.2">
      <c r="A33" s="5" t="s">
        <v>1208</v>
      </c>
      <c r="B33" s="9">
        <v>8</v>
      </c>
      <c r="C33" s="64">
        <f>E!F16</f>
        <v>31164250.569786422</v>
      </c>
      <c r="E33" s="64">
        <f>E!F31</f>
        <v>6038566.8439998701</v>
      </c>
      <c r="H33" s="448"/>
      <c r="I33" s="164"/>
    </row>
    <row r="34" spans="1:11" x14ac:dyDescent="0.2">
      <c r="A34" s="5" t="s">
        <v>12</v>
      </c>
      <c r="C34" s="65">
        <f>E!$D$16</f>
        <v>121573337.61206734</v>
      </c>
      <c r="E34" s="65">
        <f>E!D31</f>
        <v>71166096.58830516</v>
      </c>
      <c r="I34" s="30"/>
    </row>
    <row r="35" spans="1:11" s="1" customFormat="1" x14ac:dyDescent="0.2">
      <c r="A35" s="14" t="s">
        <v>155</v>
      </c>
      <c r="B35" s="4"/>
      <c r="C35" s="66">
        <f>SUM(C30:C34)</f>
        <v>587700480.48185372</v>
      </c>
      <c r="D35" s="14">
        <f>SUM(D30:D34)</f>
        <v>0</v>
      </c>
      <c r="E35" s="66">
        <f>SUM(E30:E34)</f>
        <v>580875771.20430505</v>
      </c>
      <c r="F35" s="14"/>
      <c r="G35" s="14"/>
      <c r="I35" s="14"/>
      <c r="J35" s="2"/>
      <c r="K35" s="2"/>
    </row>
    <row r="36" spans="1:11" x14ac:dyDescent="0.2">
      <c r="A36" s="14" t="s">
        <v>3</v>
      </c>
    </row>
    <row r="37" spans="1:11" ht="16.149999999999999" customHeight="1" x14ac:dyDescent="0.2">
      <c r="A37" s="5" t="s">
        <v>78</v>
      </c>
      <c r="C37" s="54">
        <f>'TB-C'!M64+'TB-C'!M49</f>
        <v>100540.28385395207</v>
      </c>
      <c r="E37" s="54">
        <f>'TB-P'!M64+'TB-P'!M49</f>
        <v>103140.78827624384</v>
      </c>
    </row>
    <row r="38" spans="1:11" ht="16.149999999999999" customHeight="1" x14ac:dyDescent="0.2">
      <c r="A38" s="5" t="s">
        <v>297</v>
      </c>
      <c r="C38" s="56">
        <v>0</v>
      </c>
      <c r="E38" s="56">
        <f>'TB-P'!M63</f>
        <v>0</v>
      </c>
    </row>
    <row r="39" spans="1:11" ht="16.149999999999999" customHeight="1" x14ac:dyDescent="0.2">
      <c r="A39" s="5" t="s">
        <v>79</v>
      </c>
      <c r="B39" s="9">
        <v>9</v>
      </c>
      <c r="C39" s="55">
        <f>SUM('TB-C'!$M$12:$M$17)+'TB-C'!K71</f>
        <v>570233.88675401243</v>
      </c>
      <c r="E39" s="55">
        <f>SUM('TB-P'!$M$12:$M$17)+'TB-P'!M72</f>
        <v>465631.48856321757</v>
      </c>
    </row>
    <row r="40" spans="1:11" ht="17.45" customHeight="1" x14ac:dyDescent="0.2">
      <c r="A40" s="14" t="s">
        <v>166</v>
      </c>
      <c r="C40" s="74">
        <f>SUM(C37:C39)</f>
        <v>670774.17060796451</v>
      </c>
      <c r="D40" s="7">
        <f>SUM(D37)</f>
        <v>0</v>
      </c>
      <c r="E40" s="74">
        <f>SUM(E37:E39)</f>
        <v>568772.27683946141</v>
      </c>
    </row>
    <row r="41" spans="1:11" ht="7.15" customHeight="1" x14ac:dyDescent="0.2">
      <c r="A41" s="16"/>
      <c r="C41" s="67"/>
      <c r="E41" s="67"/>
    </row>
    <row r="42" spans="1:11" ht="13.5" thickBot="1" x14ac:dyDescent="0.25">
      <c r="A42" s="14" t="s">
        <v>4</v>
      </c>
      <c r="C42" s="57">
        <f>SUM(C35,C40)</f>
        <v>588371254.65246165</v>
      </c>
      <c r="D42" s="7">
        <f>D35+D40</f>
        <v>0</v>
      </c>
      <c r="E42" s="57">
        <f>E35+E40</f>
        <v>581444543.48114455</v>
      </c>
      <c r="H42" s="5"/>
      <c r="I42" s="5"/>
    </row>
    <row r="43" spans="1:11" ht="13.5" thickTop="1" x14ac:dyDescent="0.2">
      <c r="C43" s="76"/>
      <c r="E43" s="76"/>
      <c r="I43" s="24"/>
    </row>
    <row r="44" spans="1:11" x14ac:dyDescent="0.2">
      <c r="A44" s="14" t="s">
        <v>5</v>
      </c>
      <c r="C44" s="67">
        <f>C35</f>
        <v>587700480.48185372</v>
      </c>
      <c r="D44" s="7"/>
      <c r="E44" s="67">
        <f>E35</f>
        <v>580875771.20430505</v>
      </c>
      <c r="H44" s="5"/>
      <c r="I44" s="5"/>
    </row>
    <row r="45" spans="1:11" x14ac:dyDescent="0.2">
      <c r="A45" s="14"/>
      <c r="C45" s="7"/>
      <c r="E45" s="7"/>
      <c r="J45" s="30"/>
    </row>
    <row r="46" spans="1:11" x14ac:dyDescent="0.2">
      <c r="A46" s="14" t="s">
        <v>156</v>
      </c>
      <c r="C46" s="234">
        <f>C44/C51</f>
        <v>14.26713904481749</v>
      </c>
      <c r="E46" s="234">
        <f>E35/E51</f>
        <v>12.562801677518765</v>
      </c>
      <c r="F46" s="24"/>
      <c r="G46" s="24"/>
    </row>
    <row r="47" spans="1:11" x14ac:dyDescent="0.2">
      <c r="A47" s="5" t="s">
        <v>13</v>
      </c>
      <c r="B47" s="9">
        <v>10</v>
      </c>
      <c r="C47" s="235">
        <f>(C35-C10-C13-C16)/C51</f>
        <v>13.539358491788807</v>
      </c>
      <c r="E47" s="235">
        <f>(E35-E10-E13-E16)/E51</f>
        <v>12.457833656600283</v>
      </c>
      <c r="H47" s="24"/>
    </row>
    <row r="48" spans="1:11" x14ac:dyDescent="0.2">
      <c r="A48" s="5" t="s">
        <v>14</v>
      </c>
      <c r="B48" s="9">
        <v>11</v>
      </c>
      <c r="C48" s="235">
        <f>(C35)/(C51)</f>
        <v>14.26713904481749</v>
      </c>
      <c r="E48" s="235">
        <f>(E35)/(E51)</f>
        <v>12.562801677518765</v>
      </c>
    </row>
    <row r="50" spans="1:11" x14ac:dyDescent="0.2">
      <c r="A50" s="506" t="s">
        <v>165</v>
      </c>
      <c r="B50" s="506"/>
      <c r="C50" s="506"/>
      <c r="D50" s="506"/>
      <c r="E50" s="506"/>
    </row>
    <row r="51" spans="1:11" s="1" customFormat="1" x14ac:dyDescent="0.2">
      <c r="A51" s="14" t="s">
        <v>74</v>
      </c>
      <c r="B51" s="4"/>
      <c r="C51" s="14">
        <f>ROUND(C30/10,0)</f>
        <v>41192595</v>
      </c>
      <c r="D51" s="14"/>
      <c r="E51" s="14">
        <f>E!B31/10</f>
        <v>46237757</v>
      </c>
      <c r="F51" s="14"/>
      <c r="G51" s="14"/>
      <c r="I51" s="50"/>
      <c r="J51" s="2"/>
      <c r="K51" s="2"/>
    </row>
    <row r="52" spans="1:11" x14ac:dyDescent="0.2">
      <c r="H52" s="24"/>
    </row>
    <row r="53" spans="1:11" x14ac:dyDescent="0.2">
      <c r="C53" s="24"/>
      <c r="H53" s="3"/>
      <c r="I53" s="3"/>
    </row>
    <row r="54" spans="1:11" x14ac:dyDescent="0.2">
      <c r="C54" s="24"/>
      <c r="H54" s="3"/>
      <c r="I54" s="3"/>
    </row>
    <row r="56" spans="1:11" x14ac:dyDescent="0.2">
      <c r="A56" s="5" t="s">
        <v>1178</v>
      </c>
      <c r="C56" s="503" t="s">
        <v>40</v>
      </c>
      <c r="D56" s="503"/>
      <c r="E56" s="503"/>
      <c r="H56" s="5"/>
      <c r="I56" s="5"/>
    </row>
    <row r="57" spans="1:11" x14ac:dyDescent="0.2">
      <c r="A57" s="5" t="s">
        <v>1179</v>
      </c>
      <c r="C57" s="503" t="s">
        <v>1179</v>
      </c>
      <c r="D57" s="503"/>
      <c r="E57" s="503"/>
    </row>
    <row r="59" spans="1:11" x14ac:dyDescent="0.2">
      <c r="I59" s="24"/>
    </row>
    <row r="62" spans="1:11" x14ac:dyDescent="0.2">
      <c r="A62" s="504" t="s">
        <v>1180</v>
      </c>
      <c r="B62" s="504"/>
      <c r="C62" s="504"/>
      <c r="D62" s="504"/>
      <c r="E62" s="504"/>
    </row>
    <row r="63" spans="1:11" x14ac:dyDescent="0.2">
      <c r="A63" s="504" t="s">
        <v>1181</v>
      </c>
      <c r="B63" s="504"/>
      <c r="C63" s="504"/>
      <c r="D63" s="504"/>
      <c r="E63" s="504"/>
    </row>
  </sheetData>
  <mergeCells count="15">
    <mergeCell ref="C56:E56"/>
    <mergeCell ref="C57:E57"/>
    <mergeCell ref="A62:E62"/>
    <mergeCell ref="A63:E63"/>
    <mergeCell ref="H10:J10"/>
    <mergeCell ref="A50:E50"/>
    <mergeCell ref="G20:G21"/>
    <mergeCell ref="G23:G24"/>
    <mergeCell ref="F20:F21"/>
    <mergeCell ref="F23:F24"/>
    <mergeCell ref="A6:A7"/>
    <mergeCell ref="B6:B7"/>
    <mergeCell ref="A2:E2"/>
    <mergeCell ref="A3:E3"/>
    <mergeCell ref="A4:E4"/>
  </mergeCells>
  <conditionalFormatting sqref="C25">
    <cfRule type="cellIs" dxfId="13" priority="11" operator="between">
      <formula>$C$42+1</formula>
      <formula>$C$3-1</formula>
    </cfRule>
    <cfRule type="cellIs" dxfId="12" priority="12" operator="equal">
      <formula>$C$42</formula>
    </cfRule>
    <cfRule type="cellIs" dxfId="11" priority="16" operator="equal">
      <formula>$C$42</formula>
    </cfRule>
  </conditionalFormatting>
  <conditionalFormatting sqref="E25">
    <cfRule type="cellIs" dxfId="10" priority="1" operator="equal">
      <formula>$E$42</formula>
    </cfRule>
    <cfRule type="cellIs" dxfId="9" priority="2" operator="between">
      <formula>$C$42+1</formula>
      <formula>$C$3-1</formula>
    </cfRule>
    <cfRule type="cellIs" dxfId="8" priority="3" operator="equal">
      <formula>$C$42</formula>
    </cfRule>
    <cfRule type="cellIs" dxfId="7" priority="4" operator="equal">
      <formula>$C$42</formula>
    </cfRule>
  </conditionalFormatting>
  <printOptions horizontalCentered="1"/>
  <pageMargins left="0.7" right="0.7" top="0.75" bottom="0.75" header="0.3" footer="0.3"/>
  <pageSetup paperSize="9" scale="4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pageSetUpPr fitToPage="1"/>
  </sheetPr>
  <dimension ref="A1:H51"/>
  <sheetViews>
    <sheetView showGridLines="0" zoomScale="115" zoomScaleNormal="115" zoomScaleSheetLayoutView="100" workbookViewId="0">
      <selection activeCell="B68" sqref="B68"/>
    </sheetView>
  </sheetViews>
  <sheetFormatPr defaultColWidth="8.85546875" defaultRowHeight="12.75" x14ac:dyDescent="0.2"/>
  <cols>
    <col min="1" max="1" width="42.42578125" style="2" bestFit="1" customWidth="1"/>
    <col min="2" max="2" width="8" style="9" customWidth="1"/>
    <col min="3" max="3" width="18.7109375" style="2" customWidth="1"/>
    <col min="4" max="4" width="0.5703125" style="2" customWidth="1"/>
    <col min="5" max="5" width="18.85546875" style="2" customWidth="1"/>
    <col min="6" max="6" width="11.28515625" style="2" bestFit="1" customWidth="1"/>
    <col min="7" max="16384" width="8.85546875" style="2"/>
  </cols>
  <sheetData>
    <row r="1" spans="1:8" x14ac:dyDescent="0.2">
      <c r="A1" s="556" t="s">
        <v>1184</v>
      </c>
      <c r="B1" s="556"/>
      <c r="C1" s="556"/>
      <c r="D1" s="556"/>
      <c r="E1" s="556"/>
      <c r="F1" s="18"/>
    </row>
    <row r="2" spans="1:8" x14ac:dyDescent="0.2">
      <c r="A2" s="557" t="s">
        <v>230</v>
      </c>
      <c r="B2" s="557"/>
      <c r="C2" s="557"/>
      <c r="D2" s="557"/>
      <c r="E2" s="557"/>
    </row>
    <row r="3" spans="1:8" x14ac:dyDescent="0.2">
      <c r="A3" s="557" t="s">
        <v>1952</v>
      </c>
      <c r="B3" s="557"/>
      <c r="C3" s="557"/>
      <c r="D3" s="557"/>
      <c r="E3" s="557"/>
    </row>
    <row r="5" spans="1:8" ht="12.6" customHeight="1" x14ac:dyDescent="0.2">
      <c r="A5" s="500" t="s">
        <v>0</v>
      </c>
      <c r="B5" s="500" t="s">
        <v>20</v>
      </c>
      <c r="C5" s="61">
        <f>'TB-C'!F8</f>
        <v>46202</v>
      </c>
      <c r="D5" s="68"/>
      <c r="E5" s="61">
        <f>'TB-P'!F8</f>
        <v>45838</v>
      </c>
    </row>
    <row r="6" spans="1:8" ht="12" customHeight="1" x14ac:dyDescent="0.2">
      <c r="A6" s="500"/>
      <c r="B6" s="500"/>
      <c r="C6" s="69" t="s">
        <v>21</v>
      </c>
      <c r="D6" s="9"/>
      <c r="E6" s="69" t="s">
        <v>22</v>
      </c>
    </row>
    <row r="7" spans="1:8" ht="4.5" customHeight="1" x14ac:dyDescent="0.2">
      <c r="A7" s="1"/>
      <c r="B7" s="4"/>
      <c r="C7" s="3"/>
      <c r="D7" s="6"/>
      <c r="E7" s="3"/>
    </row>
    <row r="8" spans="1:8" x14ac:dyDescent="0.2">
      <c r="A8" s="20" t="s">
        <v>23</v>
      </c>
      <c r="B8" s="46"/>
      <c r="C8" s="6"/>
      <c r="D8" s="6"/>
      <c r="E8" s="6"/>
    </row>
    <row r="9" spans="1:8" x14ac:dyDescent="0.2">
      <c r="A9" s="8" t="s">
        <v>1194</v>
      </c>
      <c r="B9" s="79">
        <v>12</v>
      </c>
      <c r="C9" s="54">
        <f>SUM('TB-C'!I22:I30)-SUM('TB-C'!H22:H30)</f>
        <v>41796428.766231753</v>
      </c>
      <c r="D9" s="6"/>
      <c r="E9" s="54">
        <f>SUM('TB-P'!I22:I30)-SUM('TB-P'!H22:H30)</f>
        <v>47694347.935294114</v>
      </c>
    </row>
    <row r="10" spans="1:8" x14ac:dyDescent="0.2">
      <c r="A10" s="2" t="s">
        <v>24</v>
      </c>
      <c r="B10" s="80">
        <v>13</v>
      </c>
      <c r="C10" s="56">
        <f>IF('TB-C'!I56&gt;0,'TB-C'!I56,-'TB-C'!H56)+IF('TB-C'!I57&gt;0,'TB-C'!I57-'TB-C'!H57)</f>
        <v>4382688.74</v>
      </c>
      <c r="D10" s="6"/>
      <c r="E10" s="56">
        <f>IF('TB-P'!I56&gt;0,'TB-P'!I56,-'TB-P'!H56)+IF('TB-P'!I57&gt;0,'TB-P'!I520-'TB-P'!H57)</f>
        <v>-565912.5</v>
      </c>
      <c r="H10" s="164"/>
    </row>
    <row r="11" spans="1:8" x14ac:dyDescent="0.2">
      <c r="A11" s="2" t="s">
        <v>1470</v>
      </c>
      <c r="B11" s="80">
        <v>14</v>
      </c>
      <c r="C11" s="56">
        <f>IF('TB-C'!I58&gt;0,'TB-C'!I58,-'TB-C'!H58)</f>
        <v>0</v>
      </c>
      <c r="D11" s="6"/>
      <c r="E11" s="56">
        <f>IF('TB-P'!I58&gt;0,'TB-P'!I58,-'TB-P'!H58)</f>
        <v>5614592.5</v>
      </c>
      <c r="H11" s="164"/>
    </row>
    <row r="12" spans="1:8" x14ac:dyDescent="0.2">
      <c r="A12" s="2" t="s">
        <v>1471</v>
      </c>
      <c r="B12" s="80">
        <v>15</v>
      </c>
      <c r="C12" s="56">
        <f>IF('TB-C'!I59&gt;0,'TB-C'!I59,-'TB-C'!H59)</f>
        <v>7438790.0492135789</v>
      </c>
      <c r="D12" s="6"/>
      <c r="E12" s="56">
        <f>IF('TB-P'!I59&gt;0,'TB-P'!I59,-'TB-P'!H59)</f>
        <v>4592616.8999999939</v>
      </c>
      <c r="H12" s="164"/>
    </row>
    <row r="13" spans="1:8" x14ac:dyDescent="0.2">
      <c r="A13" s="2" t="s">
        <v>1195</v>
      </c>
      <c r="B13" s="80">
        <v>16</v>
      </c>
      <c r="C13" s="56">
        <f>'TB-C'!$I$51</f>
        <v>201382.5</v>
      </c>
      <c r="D13" s="6"/>
      <c r="E13" s="56">
        <f>'TB-P'!$I$51</f>
        <v>0</v>
      </c>
    </row>
    <row r="14" spans="1:8" x14ac:dyDescent="0.2">
      <c r="A14" s="187" t="s">
        <v>1189</v>
      </c>
      <c r="B14" s="4"/>
      <c r="C14" s="67">
        <f>SUM(C9:C13)</f>
        <v>53819290.055445336</v>
      </c>
      <c r="D14" s="7">
        <f>SUM(D9:D13)</f>
        <v>0</v>
      </c>
      <c r="E14" s="67">
        <f>SUM(E9:E13)</f>
        <v>57335644.835294105</v>
      </c>
    </row>
    <row r="15" spans="1:8" x14ac:dyDescent="0.2">
      <c r="C15" s="6"/>
      <c r="D15" s="6"/>
      <c r="E15" s="6"/>
    </row>
    <row r="16" spans="1:8" x14ac:dyDescent="0.2">
      <c r="A16" s="1" t="s">
        <v>25</v>
      </c>
      <c r="B16" s="4"/>
    </row>
    <row r="17" spans="1:6" ht="13.9" customHeight="1" x14ac:dyDescent="0.2">
      <c r="A17" s="2" t="s">
        <v>120</v>
      </c>
      <c r="C17" s="54">
        <f>'TB-C'!$H$39</f>
        <v>2130135.1347301933</v>
      </c>
      <c r="E17" s="54">
        <f>'TB-P'!$H$39</f>
        <v>2325669.3981555058</v>
      </c>
      <c r="F17" s="5"/>
    </row>
    <row r="18" spans="1:6" x14ac:dyDescent="0.2">
      <c r="A18" s="2" t="s">
        <v>1196</v>
      </c>
      <c r="C18" s="56">
        <f>'TB-C'!$H$42</f>
        <v>442041.40945055004</v>
      </c>
      <c r="E18" s="56">
        <f>'TB-P'!$H$42</f>
        <v>355635.5</v>
      </c>
      <c r="F18" s="5"/>
    </row>
    <row r="19" spans="1:6" x14ac:dyDescent="0.2">
      <c r="A19" s="2" t="s">
        <v>119</v>
      </c>
      <c r="C19" s="56">
        <f>'TB-C'!$H$38</f>
        <v>138713.88439560405</v>
      </c>
      <c r="E19" s="56">
        <f>'TB-P'!$H$38</f>
        <v>184261.72703296697</v>
      </c>
      <c r="F19" s="5"/>
    </row>
    <row r="20" spans="1:6" x14ac:dyDescent="0.2">
      <c r="A20" s="8" t="s">
        <v>118</v>
      </c>
      <c r="B20" s="47"/>
      <c r="C20" s="56">
        <v>0</v>
      </c>
      <c r="E20" s="56">
        <v>0</v>
      </c>
      <c r="F20" s="5"/>
    </row>
    <row r="21" spans="1:6" x14ac:dyDescent="0.2">
      <c r="A21" s="2" t="s">
        <v>1197</v>
      </c>
      <c r="C21" s="56">
        <f>'TB-C'!$H$44</f>
        <v>96969</v>
      </c>
      <c r="E21" s="56">
        <f>'TB-P'!$H$44</f>
        <v>1903.25</v>
      </c>
      <c r="F21" s="5"/>
    </row>
    <row r="22" spans="1:6" x14ac:dyDescent="0.2">
      <c r="A22" s="2" t="s">
        <v>1198</v>
      </c>
      <c r="C22" s="56">
        <f>'TB-C'!$H$40</f>
        <v>213013.50312477144</v>
      </c>
      <c r="E22" s="56">
        <f>'TB-P'!$H$40</f>
        <v>233022.31501061097</v>
      </c>
      <c r="F22" s="5"/>
    </row>
    <row r="23" spans="1:6" x14ac:dyDescent="0.2">
      <c r="A23" s="2" t="s">
        <v>1199</v>
      </c>
      <c r="C23" s="56">
        <f>'TB-C'!$H$53</f>
        <v>220439.88998204077</v>
      </c>
      <c r="E23" s="56">
        <f>'TB-P'!$H$53</f>
        <v>313675.02110899612</v>
      </c>
      <c r="F23" s="5"/>
    </row>
    <row r="24" spans="1:6" ht="13.5" customHeight="1" x14ac:dyDescent="0.2">
      <c r="A24" s="2" t="s">
        <v>1200</v>
      </c>
      <c r="C24" s="56">
        <f>'TB-C'!$H$55</f>
        <v>0</v>
      </c>
      <c r="E24" s="56">
        <f>'TB-P'!$H$55</f>
        <v>0</v>
      </c>
      <c r="F24" s="5"/>
    </row>
    <row r="25" spans="1:6" ht="13.5" customHeight="1" x14ac:dyDescent="0.2">
      <c r="A25" s="2" t="s">
        <v>1201</v>
      </c>
      <c r="C25" s="56">
        <f>'TB-C'!$H$33</f>
        <v>3714.7300000000005</v>
      </c>
      <c r="E25" s="56">
        <f>'TB-P'!$H$33</f>
        <v>16190.198200000001</v>
      </c>
      <c r="F25" s="5"/>
    </row>
    <row r="26" spans="1:6" ht="13.9" customHeight="1" x14ac:dyDescent="0.2">
      <c r="A26" s="2" t="s">
        <v>1202</v>
      </c>
      <c r="C26" s="56">
        <f>'TB-C'!$H$43</f>
        <v>0</v>
      </c>
      <c r="E26" s="56">
        <f>'TB-P'!$H$43</f>
        <v>35000</v>
      </c>
      <c r="F26" s="5"/>
    </row>
    <row r="27" spans="1:6" x14ac:dyDescent="0.2">
      <c r="A27" s="2" t="s">
        <v>1203</v>
      </c>
      <c r="C27" s="55">
        <f>IF('TB-C'!H32&gt;0,'TB-C'!H32,-'TB-C'!I32)</f>
        <v>167021.48000000001</v>
      </c>
      <c r="E27" s="444">
        <f>'TB-P'!$H$32</f>
        <v>197576.65</v>
      </c>
      <c r="F27" s="5"/>
    </row>
    <row r="28" spans="1:6" x14ac:dyDescent="0.2">
      <c r="A28" s="2" t="s">
        <v>1193</v>
      </c>
      <c r="C28" s="56">
        <v>0</v>
      </c>
      <c r="E28" s="56">
        <v>0</v>
      </c>
      <c r="F28" s="5"/>
    </row>
    <row r="29" spans="1:6" ht="13.5" customHeight="1" x14ac:dyDescent="0.2">
      <c r="A29" s="2" t="s">
        <v>1192</v>
      </c>
      <c r="C29" s="55">
        <f>'TB-C'!$H$50</f>
        <v>0</v>
      </c>
      <c r="E29" s="55">
        <f>'TB-P'!$H$50</f>
        <v>0</v>
      </c>
      <c r="F29" s="5"/>
    </row>
    <row r="30" spans="1:6" x14ac:dyDescent="0.2">
      <c r="A30" s="187" t="s">
        <v>1190</v>
      </c>
      <c r="B30" s="4"/>
      <c r="C30" s="74">
        <f>SUM(C17:C29)</f>
        <v>3412049.03168316</v>
      </c>
      <c r="D30" s="7">
        <f>SUM(D17:D29)</f>
        <v>0</v>
      </c>
      <c r="E30" s="74">
        <f>SUM(E17:E29)</f>
        <v>3662934.0595080797</v>
      </c>
    </row>
    <row r="31" spans="1:6" x14ac:dyDescent="0.2">
      <c r="A31" s="187" t="s">
        <v>1191</v>
      </c>
      <c r="B31" s="4"/>
      <c r="C31" s="7">
        <f>C14-C30</f>
        <v>50407241.023762174</v>
      </c>
      <c r="D31" s="7"/>
      <c r="E31" s="7">
        <f>E14-E30</f>
        <v>53672710.775786027</v>
      </c>
    </row>
    <row r="32" spans="1:6" x14ac:dyDescent="0.2">
      <c r="A32" s="188" t="s">
        <v>1450</v>
      </c>
      <c r="B32" s="9">
        <v>17</v>
      </c>
      <c r="C32" s="6">
        <f>-IF('TB-C'!$I$45&gt;0,'TB-C'!$I$45,0)-IF('TB-C'!$I$46&gt;0,'TB-C'!$I$46,0)-IF('TB-C'!$I$47&gt;0,'TB-C'!$I$47,0)</f>
        <v>0</v>
      </c>
      <c r="D32" s="6"/>
      <c r="E32" s="6">
        <f>-IF('TB-P'!$I$45&gt;0,'TB-P'!$I$45,0)-IF('TB-P'!$I$46&gt;0,'TB-P'!$I$46,0)-IF('TB-P'!$I$47&gt;0,'TB-P'!$I$47,0)</f>
        <v>-1185081</v>
      </c>
    </row>
    <row r="33" spans="1:6" ht="13.5" thickBot="1" x14ac:dyDescent="0.25">
      <c r="A33" s="187" t="s">
        <v>15</v>
      </c>
      <c r="B33" s="4"/>
      <c r="C33" s="57">
        <f>C31+C32</f>
        <v>50407241.023762174</v>
      </c>
      <c r="E33" s="57">
        <f>E31+E32</f>
        <v>52487629.775786027</v>
      </c>
    </row>
    <row r="34" spans="1:6" ht="13.5" thickTop="1" x14ac:dyDescent="0.2"/>
    <row r="35" spans="1:6" ht="13.5" thickBot="1" x14ac:dyDescent="0.25">
      <c r="A35" s="4"/>
      <c r="B35" s="4"/>
      <c r="C35" s="7"/>
      <c r="E35" s="7"/>
    </row>
    <row r="36" spans="1:6" ht="13.5" thickBot="1" x14ac:dyDescent="0.25">
      <c r="A36" s="4" t="s">
        <v>164</v>
      </c>
      <c r="B36" s="4">
        <v>18</v>
      </c>
      <c r="C36" s="32">
        <f>C33/C39</f>
        <v>1.2236966625618555</v>
      </c>
      <c r="E36" s="32">
        <f>E33/E39</f>
        <v>1.1351681651812398</v>
      </c>
    </row>
    <row r="37" spans="1:6" x14ac:dyDescent="0.2">
      <c r="A37" s="4"/>
      <c r="B37" s="4"/>
      <c r="C37" s="43"/>
      <c r="E37" s="43"/>
    </row>
    <row r="38" spans="1:6" x14ac:dyDescent="0.2">
      <c r="A38" s="506" t="s">
        <v>165</v>
      </c>
      <c r="B38" s="506"/>
      <c r="C38" s="506"/>
      <c r="D38" s="506"/>
      <c r="E38" s="506"/>
    </row>
    <row r="39" spans="1:6" s="1" customFormat="1" x14ac:dyDescent="0.2">
      <c r="A39" s="1" t="s">
        <v>74</v>
      </c>
      <c r="B39" s="4"/>
      <c r="C39" s="23">
        <f>BS!C51</f>
        <v>41192595</v>
      </c>
      <c r="E39" s="23">
        <f>BS!E51</f>
        <v>46237757</v>
      </c>
      <c r="F39" s="19"/>
    </row>
    <row r="41" spans="1:6" x14ac:dyDescent="0.2">
      <c r="F41" s="5"/>
    </row>
    <row r="43" spans="1:6" x14ac:dyDescent="0.2">
      <c r="A43" s="5"/>
      <c r="C43" s="5"/>
      <c r="D43" s="5"/>
      <c r="E43" s="5"/>
    </row>
    <row r="44" spans="1:6" x14ac:dyDescent="0.2">
      <c r="A44" s="5" t="s">
        <v>1178</v>
      </c>
      <c r="C44" s="503" t="s">
        <v>40</v>
      </c>
      <c r="D44" s="503"/>
      <c r="E44" s="503"/>
    </row>
    <row r="45" spans="1:6" x14ac:dyDescent="0.2">
      <c r="A45" s="5" t="s">
        <v>1179</v>
      </c>
      <c r="C45" s="503" t="s">
        <v>1179</v>
      </c>
      <c r="D45" s="503"/>
      <c r="E45" s="503"/>
      <c r="F45" s="31"/>
    </row>
    <row r="46" spans="1:6" x14ac:dyDescent="0.2">
      <c r="A46" s="5"/>
      <c r="C46" s="5"/>
      <c r="D46" s="5"/>
      <c r="E46" s="5"/>
    </row>
    <row r="47" spans="1:6" x14ac:dyDescent="0.2">
      <c r="A47" s="5"/>
      <c r="C47" s="5"/>
      <c r="D47" s="5"/>
      <c r="E47" s="5"/>
    </row>
    <row r="48" spans="1:6" x14ac:dyDescent="0.2">
      <c r="A48" s="5"/>
      <c r="C48" s="5"/>
      <c r="D48" s="5"/>
      <c r="E48" s="5"/>
    </row>
    <row r="49" spans="1:5" x14ac:dyDescent="0.2">
      <c r="A49" s="5"/>
      <c r="C49" s="5"/>
      <c r="D49" s="5"/>
      <c r="E49" s="5"/>
    </row>
    <row r="50" spans="1:5" x14ac:dyDescent="0.2">
      <c r="A50" s="504" t="s">
        <v>1180</v>
      </c>
      <c r="B50" s="504"/>
      <c r="C50" s="504"/>
      <c r="D50" s="504"/>
      <c r="E50" s="504"/>
    </row>
    <row r="51" spans="1:5" x14ac:dyDescent="0.2">
      <c r="A51" s="504" t="s">
        <v>1181</v>
      </c>
      <c r="B51" s="504"/>
      <c r="C51" s="504"/>
      <c r="D51" s="504"/>
      <c r="E51" s="504"/>
    </row>
  </sheetData>
  <mergeCells count="10">
    <mergeCell ref="C44:E44"/>
    <mergeCell ref="C45:E45"/>
    <mergeCell ref="A50:E50"/>
    <mergeCell ref="A51:E51"/>
    <mergeCell ref="A38:E38"/>
    <mergeCell ref="A1:E1"/>
    <mergeCell ref="A2:E2"/>
    <mergeCell ref="A3:E3"/>
    <mergeCell ref="A5:A6"/>
    <mergeCell ref="B5:B6"/>
  </mergeCells>
  <pageMargins left="0.7" right="0.7" top="0.75" bottom="0.75" header="0.3" footer="0.3"/>
  <pageSetup paperSize="9" scale="7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pageSetUpPr fitToPage="1"/>
  </sheetPr>
  <dimension ref="A1:L45"/>
  <sheetViews>
    <sheetView showGridLines="0" topLeftCell="A4" zoomScale="115" zoomScaleNormal="115" zoomScaleSheetLayoutView="100" workbookViewId="0">
      <selection activeCell="F21" sqref="F21"/>
    </sheetView>
  </sheetViews>
  <sheetFormatPr defaultColWidth="9.140625" defaultRowHeight="12.75" x14ac:dyDescent="0.2"/>
  <cols>
    <col min="1" max="1" width="31.140625" style="2" customWidth="1"/>
    <col min="2" max="2" width="17.140625" style="2" customWidth="1"/>
    <col min="3" max="3" width="17.28515625" style="2" customWidth="1"/>
    <col min="4" max="4" width="13" style="2" customWidth="1"/>
    <col min="5" max="5" width="13" style="2" hidden="1" customWidth="1"/>
    <col min="6" max="6" width="15.42578125" style="2" customWidth="1"/>
    <col min="7" max="7" width="14" style="2" customWidth="1"/>
    <col min="8" max="8" width="9.140625" style="2"/>
    <col min="9" max="9" width="12.85546875" style="2" bestFit="1" customWidth="1"/>
    <col min="10" max="10" width="12" style="2" bestFit="1" customWidth="1"/>
    <col min="11" max="11" width="9.140625" style="2"/>
    <col min="12" max="12" width="11.28515625" style="2" bestFit="1" customWidth="1"/>
    <col min="13" max="16384" width="9.140625" style="2"/>
  </cols>
  <sheetData>
    <row r="1" spans="1:11" x14ac:dyDescent="0.2">
      <c r="A1" s="556" t="s">
        <v>1184</v>
      </c>
      <c r="B1" s="556"/>
      <c r="C1" s="556"/>
      <c r="D1" s="556"/>
      <c r="E1" s="556"/>
      <c r="F1" s="556"/>
      <c r="G1" s="556"/>
    </row>
    <row r="2" spans="1:11" x14ac:dyDescent="0.2">
      <c r="A2" s="557" t="s">
        <v>231</v>
      </c>
      <c r="B2" s="557"/>
      <c r="C2" s="557"/>
      <c r="D2" s="557"/>
      <c r="E2" s="557"/>
      <c r="F2" s="557"/>
      <c r="G2" s="557"/>
    </row>
    <row r="3" spans="1:11" x14ac:dyDescent="0.2">
      <c r="A3" s="557" t="s">
        <v>1951</v>
      </c>
      <c r="B3" s="557"/>
      <c r="C3" s="557"/>
      <c r="D3" s="557"/>
      <c r="E3" s="557"/>
      <c r="F3" s="557"/>
      <c r="G3" s="557"/>
    </row>
    <row r="4" spans="1:11" ht="3" customHeight="1" x14ac:dyDescent="0.2">
      <c r="A4" s="4"/>
      <c r="B4" s="4"/>
      <c r="C4" s="4"/>
    </row>
    <row r="5" spans="1:11" ht="6" customHeight="1" x14ac:dyDescent="0.2">
      <c r="A5" s="4"/>
      <c r="B5" s="4"/>
      <c r="C5" s="4"/>
    </row>
    <row r="6" spans="1:11" ht="38.25" x14ac:dyDescent="0.2">
      <c r="A6" s="70" t="s">
        <v>0</v>
      </c>
      <c r="B6" s="186" t="s">
        <v>16</v>
      </c>
      <c r="C6" s="189" t="s">
        <v>69</v>
      </c>
      <c r="D6" s="189" t="s">
        <v>26</v>
      </c>
      <c r="E6" s="189" t="s">
        <v>293</v>
      </c>
      <c r="F6" s="189" t="s">
        <v>1204</v>
      </c>
      <c r="G6" s="189" t="s">
        <v>17</v>
      </c>
    </row>
    <row r="7" spans="1:11" ht="2.4500000000000002" customHeight="1" thickBot="1" x14ac:dyDescent="0.25">
      <c r="A7" s="35"/>
      <c r="B7" s="36"/>
      <c r="C7" s="37"/>
    </row>
    <row r="8" spans="1:11" x14ac:dyDescent="0.2">
      <c r="A8" s="10" t="s">
        <v>1206</v>
      </c>
      <c r="B8" s="11">
        <f>'TB-C'!$K$20</f>
        <v>462377570</v>
      </c>
      <c r="C8" s="11">
        <f>'TB-C'!K21</f>
        <v>41293537.772</v>
      </c>
      <c r="D8" s="11">
        <f>D31</f>
        <v>71166096.58830516</v>
      </c>
      <c r="E8" s="11">
        <v>0</v>
      </c>
      <c r="F8" s="11">
        <f>F31</f>
        <v>6038566.8439998701</v>
      </c>
      <c r="G8" s="21">
        <f>SUM(B8:F8)</f>
        <v>580875771.20430505</v>
      </c>
      <c r="I8" s="24"/>
      <c r="J8" s="448"/>
      <c r="K8" s="5"/>
    </row>
    <row r="9" spans="1:11" x14ac:dyDescent="0.2">
      <c r="A9" s="12" t="s">
        <v>64</v>
      </c>
      <c r="B9" s="6">
        <f>'TB-C'!I20</f>
        <v>212650510</v>
      </c>
      <c r="C9" s="6">
        <f>'TB-C'!I21</f>
        <v>70419619.879999995</v>
      </c>
      <c r="D9" s="6">
        <v>0</v>
      </c>
      <c r="E9" s="6">
        <v>0</v>
      </c>
      <c r="F9" s="6">
        <v>0</v>
      </c>
      <c r="G9" s="22">
        <f>SUM(B9:E9)</f>
        <v>283070129.88</v>
      </c>
    </row>
    <row r="10" spans="1:11" x14ac:dyDescent="0.2">
      <c r="A10" s="12" t="s">
        <v>65</v>
      </c>
      <c r="B10" s="6">
        <f>-'TB-C'!H20</f>
        <v>-263102130</v>
      </c>
      <c r="C10" s="6">
        <f>-'TB-C'!H21</f>
        <v>-88676215.352000013</v>
      </c>
      <c r="D10" s="6">
        <v>0</v>
      </c>
      <c r="E10" s="6">
        <v>0</v>
      </c>
      <c r="F10" s="6">
        <v>0</v>
      </c>
      <c r="G10" s="22">
        <f>SUM(B10:E10)</f>
        <v>-351778345.352</v>
      </c>
    </row>
    <row r="11" spans="1:11" x14ac:dyDescent="0.2">
      <c r="A11" s="12" t="s">
        <v>1207</v>
      </c>
      <c r="B11" s="6">
        <v>0</v>
      </c>
      <c r="C11" s="6">
        <v>0</v>
      </c>
      <c r="D11" s="6">
        <f>-'TB-C'!I61</f>
        <v>0</v>
      </c>
      <c r="E11" s="6">
        <f>'TB-C'!I61</f>
        <v>0</v>
      </c>
      <c r="F11" s="6">
        <v>0</v>
      </c>
      <c r="G11" s="22">
        <f>SUM(B11:E11)</f>
        <v>0</v>
      </c>
    </row>
    <row r="12" spans="1:11" x14ac:dyDescent="0.2">
      <c r="A12" s="12" t="s">
        <v>1205</v>
      </c>
      <c r="B12" s="6">
        <v>0</v>
      </c>
      <c r="C12" s="6">
        <v>0</v>
      </c>
      <c r="D12" s="6">
        <f>-'TB-C'!M63</f>
        <v>0</v>
      </c>
      <c r="E12" s="6">
        <v>0</v>
      </c>
      <c r="F12" s="6">
        <v>0</v>
      </c>
      <c r="G12" s="22">
        <f>SUM(B12:F12)</f>
        <v>0</v>
      </c>
    </row>
    <row r="13" spans="1:11" x14ac:dyDescent="0.2">
      <c r="A13" s="12" t="s">
        <v>89</v>
      </c>
      <c r="B13" s="6">
        <v>0</v>
      </c>
      <c r="C13" s="6">
        <v>0</v>
      </c>
      <c r="D13" s="6">
        <f>-'TB-C'!H63</f>
        <v>0</v>
      </c>
      <c r="E13" s="6">
        <v>0</v>
      </c>
      <c r="F13" s="6">
        <v>0</v>
      </c>
      <c r="G13" s="22">
        <f>SUM(B13:F13)</f>
        <v>0</v>
      </c>
    </row>
    <row r="14" spans="1:11" x14ac:dyDescent="0.2">
      <c r="A14" s="12" t="s">
        <v>1265</v>
      </c>
      <c r="B14" s="6">
        <v>0</v>
      </c>
      <c r="C14" s="6">
        <v>0</v>
      </c>
      <c r="D14" s="6">
        <v>0</v>
      </c>
      <c r="E14" s="6">
        <v>0</v>
      </c>
      <c r="F14" s="6">
        <f>IF('TB-C'!H45&gt;0,'TB-C'!$H$45,0)+IF('TB-C'!H46&gt;0,'TB-C'!$H$46,0)+IF('TB-C'!H47&gt;0,'TB-C'!$H$47,0)</f>
        <v>25125683.725786552</v>
      </c>
      <c r="G14" s="22">
        <f>SUM(B14:F14)</f>
        <v>25125683.725786552</v>
      </c>
    </row>
    <row r="15" spans="1:11" ht="13.5" thickBot="1" x14ac:dyDescent="0.25">
      <c r="A15" s="169" t="s">
        <v>66</v>
      </c>
      <c r="B15" s="13">
        <v>0</v>
      </c>
      <c r="C15" s="13">
        <v>0</v>
      </c>
      <c r="D15" s="13">
        <f>IS!$C$33</f>
        <v>50407241.023762174</v>
      </c>
      <c r="E15" s="13">
        <v>0</v>
      </c>
      <c r="F15" s="13">
        <v>0</v>
      </c>
      <c r="G15" s="183">
        <f>SUM(B15:F15)</f>
        <v>50407241.023762174</v>
      </c>
    </row>
    <row r="16" spans="1:11" ht="13.5" thickBot="1" x14ac:dyDescent="0.25">
      <c r="A16" s="71" t="s">
        <v>67</v>
      </c>
      <c r="B16" s="53">
        <f t="shared" ref="B16:G16" si="0">SUM(B8:B15)</f>
        <v>411925950</v>
      </c>
      <c r="C16" s="53">
        <f t="shared" si="0"/>
        <v>23036942.299999982</v>
      </c>
      <c r="D16" s="53">
        <f t="shared" si="0"/>
        <v>121573337.61206734</v>
      </c>
      <c r="E16" s="53">
        <f t="shared" si="0"/>
        <v>0</v>
      </c>
      <c r="F16" s="53">
        <f t="shared" si="0"/>
        <v>31164250.569786422</v>
      </c>
      <c r="G16" s="53">
        <f t="shared" si="0"/>
        <v>587700480.48185384</v>
      </c>
    </row>
    <row r="17" spans="1:12" ht="13.5" thickTop="1" x14ac:dyDescent="0.2">
      <c r="A17" s="4"/>
      <c r="B17" s="7"/>
      <c r="C17" s="6"/>
    </row>
    <row r="18" spans="1:12" ht="3.6" customHeight="1" x14ac:dyDescent="0.2">
      <c r="A18" s="9"/>
      <c r="B18" s="7"/>
    </row>
    <row r="19" spans="1:12" x14ac:dyDescent="0.2">
      <c r="A19" s="557" t="s">
        <v>1176</v>
      </c>
      <c r="B19" s="557"/>
      <c r="C19" s="557"/>
      <c r="D19" s="557"/>
      <c r="E19" s="557"/>
      <c r="F19" s="557"/>
      <c r="G19" s="557"/>
    </row>
    <row r="20" spans="1:12" x14ac:dyDescent="0.2">
      <c r="A20" s="4"/>
      <c r="B20" s="4"/>
      <c r="C20" s="4"/>
      <c r="L20" s="3"/>
    </row>
    <row r="21" spans="1:12" ht="38.25" x14ac:dyDescent="0.2">
      <c r="A21" s="70" t="s">
        <v>0</v>
      </c>
      <c r="B21" s="186" t="s">
        <v>16</v>
      </c>
      <c r="C21" s="189" t="s">
        <v>69</v>
      </c>
      <c r="D21" s="189" t="s">
        <v>26</v>
      </c>
      <c r="E21" s="189" t="s">
        <v>293</v>
      </c>
      <c r="F21" s="189" t="s">
        <v>1204</v>
      </c>
      <c r="G21" s="189" t="s">
        <v>17</v>
      </c>
    </row>
    <row r="22" spans="1:12" ht="3" customHeight="1" thickBot="1" x14ac:dyDescent="0.25">
      <c r="A22" s="35"/>
      <c r="B22" s="36"/>
      <c r="C22" s="37"/>
    </row>
    <row r="23" spans="1:12" x14ac:dyDescent="0.2">
      <c r="A23" s="10" t="s">
        <v>63</v>
      </c>
      <c r="B23" s="11">
        <f>'TB-P'!$K$20</f>
        <v>318556230</v>
      </c>
      <c r="C23" s="11">
        <f>'TB-P'!K21</f>
        <v>15909099.836000003</v>
      </c>
      <c r="D23" s="11">
        <f>SUM('TB-P'!$O$7:$O$82)-SUM('TB-P'!$N$7:$N$82)-SUM('TB-P'!O34:O36)</f>
        <v>18678466.812519133</v>
      </c>
      <c r="E23" s="11">
        <f>'TB-P'!K61</f>
        <v>0</v>
      </c>
      <c r="F23" s="11">
        <f>SUM('TB-P'!O34:O36)</f>
        <v>2475455.2900000289</v>
      </c>
      <c r="G23" s="21">
        <f t="shared" ref="G23:G30" si="1">SUM(B23:F23)</f>
        <v>355619251.93851918</v>
      </c>
      <c r="I23" s="45"/>
    </row>
    <row r="24" spans="1:12" x14ac:dyDescent="0.2">
      <c r="A24" s="12" t="s">
        <v>64</v>
      </c>
      <c r="B24" s="6">
        <f>'TB-P'!I20</f>
        <v>394108550</v>
      </c>
      <c r="C24" s="6">
        <f>'TB-P'!I21</f>
        <v>79033602.38000001</v>
      </c>
      <c r="D24" s="6">
        <v>0</v>
      </c>
      <c r="E24" s="6">
        <v>0</v>
      </c>
      <c r="F24" s="6">
        <v>0</v>
      </c>
      <c r="G24" s="22">
        <f t="shared" si="1"/>
        <v>473142152.38</v>
      </c>
      <c r="I24" s="457"/>
      <c r="J24" s="5"/>
    </row>
    <row r="25" spans="1:12" x14ac:dyDescent="0.2">
      <c r="A25" s="12" t="s">
        <v>65</v>
      </c>
      <c r="B25" s="6">
        <f>-'TB-P'!H20</f>
        <v>-250287210</v>
      </c>
      <c r="C25" s="6">
        <f>-'TB-P'!H21</f>
        <v>-53649164.444000028</v>
      </c>
      <c r="D25" s="6">
        <v>0</v>
      </c>
      <c r="E25" s="6">
        <v>0</v>
      </c>
      <c r="F25" s="6">
        <v>0</v>
      </c>
      <c r="G25" s="22">
        <f t="shared" si="1"/>
        <v>-303936374.44400001</v>
      </c>
    </row>
    <row r="26" spans="1:12" x14ac:dyDescent="0.2">
      <c r="A26" s="12" t="s">
        <v>293</v>
      </c>
      <c r="B26" s="6">
        <v>0</v>
      </c>
      <c r="C26" s="6">
        <v>0</v>
      </c>
      <c r="D26" s="6">
        <f>-'TB-P'!I77</f>
        <v>0</v>
      </c>
      <c r="E26" s="6">
        <f>'TB-P'!I61</f>
        <v>0</v>
      </c>
      <c r="F26" s="6">
        <v>0</v>
      </c>
      <c r="G26" s="22">
        <f t="shared" si="1"/>
        <v>0</v>
      </c>
    </row>
    <row r="27" spans="1:12" x14ac:dyDescent="0.2">
      <c r="A27" s="12" t="s">
        <v>295</v>
      </c>
      <c r="B27" s="6">
        <v>0</v>
      </c>
      <c r="C27" s="6">
        <v>0</v>
      </c>
      <c r="D27" s="6">
        <f>-'TB-P'!M81</f>
        <v>0</v>
      </c>
      <c r="E27" s="6">
        <v>0</v>
      </c>
      <c r="F27" s="6">
        <v>0</v>
      </c>
      <c r="G27" s="22">
        <f t="shared" si="1"/>
        <v>0</v>
      </c>
    </row>
    <row r="28" spans="1:12" x14ac:dyDescent="0.2">
      <c r="A28" s="12" t="s">
        <v>89</v>
      </c>
      <c r="B28" s="6">
        <v>0</v>
      </c>
      <c r="C28" s="6">
        <v>0</v>
      </c>
      <c r="D28" s="6">
        <f>-'TB-P'!H81</f>
        <v>0</v>
      </c>
      <c r="E28" s="6">
        <v>0</v>
      </c>
      <c r="F28" s="6">
        <v>0</v>
      </c>
      <c r="G28" s="22">
        <f t="shared" si="1"/>
        <v>0</v>
      </c>
      <c r="H28" s="5"/>
    </row>
    <row r="29" spans="1:12" x14ac:dyDescent="0.2">
      <c r="A29" s="12" t="s">
        <v>1265</v>
      </c>
      <c r="B29" s="6">
        <v>0</v>
      </c>
      <c r="C29" s="6">
        <v>0</v>
      </c>
      <c r="D29" s="6">
        <v>0</v>
      </c>
      <c r="E29" s="6">
        <v>0</v>
      </c>
      <c r="F29" s="6">
        <f>IF('TB-P'!H45&gt;0,'TB-P'!$H$45,0)+IF('TB-P'!H46&gt;0,'TB-P'!$H$46,0)+IF('TB-P'!H47&gt;0,'TB-P'!$H$47,0)</f>
        <v>3563111.5539998412</v>
      </c>
      <c r="G29" s="22">
        <f t="shared" si="1"/>
        <v>3563111.5539998412</v>
      </c>
    </row>
    <row r="30" spans="1:12" ht="13.5" thickBot="1" x14ac:dyDescent="0.25">
      <c r="A30" s="169" t="s">
        <v>66</v>
      </c>
      <c r="B30" s="13">
        <v>0</v>
      </c>
      <c r="C30" s="13">
        <v>0</v>
      </c>
      <c r="D30" s="13">
        <f>IS!E33</f>
        <v>52487629.775786027</v>
      </c>
      <c r="E30" s="13">
        <v>0</v>
      </c>
      <c r="F30" s="13">
        <v>0</v>
      </c>
      <c r="G30" s="183">
        <f t="shared" si="1"/>
        <v>52487629.775786027</v>
      </c>
    </row>
    <row r="31" spans="1:12" ht="13.5" thickBot="1" x14ac:dyDescent="0.25">
      <c r="A31" s="71" t="s">
        <v>67</v>
      </c>
      <c r="B31" s="53">
        <f t="shared" ref="B31:G31" si="2">SUM(B23:B30)</f>
        <v>462377570</v>
      </c>
      <c r="C31" s="53">
        <f t="shared" si="2"/>
        <v>41293537.771999992</v>
      </c>
      <c r="D31" s="53">
        <f t="shared" si="2"/>
        <v>71166096.58830516</v>
      </c>
      <c r="E31" s="53">
        <f t="shared" si="2"/>
        <v>0</v>
      </c>
      <c r="F31" s="53">
        <f t="shared" si="2"/>
        <v>6038566.8439998701</v>
      </c>
      <c r="G31" s="53">
        <f t="shared" si="2"/>
        <v>580875771.20430493</v>
      </c>
    </row>
    <row r="32" spans="1:12" ht="13.5" thickTop="1" x14ac:dyDescent="0.2">
      <c r="A32" s="1"/>
      <c r="B32" s="7"/>
      <c r="C32" s="7"/>
      <c r="D32" s="7"/>
      <c r="E32" s="7"/>
      <c r="F32" s="7"/>
      <c r="G32" s="7"/>
    </row>
    <row r="33" spans="1:7" ht="15" customHeight="1" x14ac:dyDescent="0.2">
      <c r="A33" s="558" t="s">
        <v>1182</v>
      </c>
      <c r="B33" s="558"/>
      <c r="C33" s="558"/>
      <c r="D33" s="558"/>
      <c r="E33" s="558"/>
      <c r="F33" s="558"/>
      <c r="G33" s="558"/>
    </row>
    <row r="34" spans="1:7" x14ac:dyDescent="0.2">
      <c r="A34" s="5"/>
      <c r="B34" s="9"/>
      <c r="C34" s="5"/>
      <c r="D34" s="5"/>
      <c r="E34" s="5"/>
      <c r="F34" s="5"/>
    </row>
    <row r="35" spans="1:7" x14ac:dyDescent="0.2">
      <c r="A35" s="5"/>
      <c r="B35" s="9"/>
      <c r="C35" s="5"/>
      <c r="D35" s="5"/>
      <c r="E35" s="5"/>
      <c r="F35" s="5"/>
    </row>
    <row r="36" spans="1:7" x14ac:dyDescent="0.2">
      <c r="A36" s="5"/>
      <c r="B36" s="9"/>
      <c r="C36" s="5"/>
      <c r="D36" s="5"/>
      <c r="E36" s="5"/>
      <c r="F36" s="5"/>
    </row>
    <row r="37" spans="1:7" x14ac:dyDescent="0.2">
      <c r="A37" s="5"/>
      <c r="B37" s="9"/>
      <c r="C37" s="5"/>
      <c r="D37" s="5"/>
      <c r="E37" s="5"/>
      <c r="F37" s="5"/>
    </row>
    <row r="38" spans="1:7" x14ac:dyDescent="0.2">
      <c r="A38" s="5" t="s">
        <v>1178</v>
      </c>
      <c r="B38" s="9"/>
      <c r="C38" s="503" t="s">
        <v>40</v>
      </c>
      <c r="D38" s="503"/>
      <c r="E38" s="503"/>
      <c r="F38" s="503"/>
      <c r="G38" s="503"/>
    </row>
    <row r="39" spans="1:7" x14ac:dyDescent="0.2">
      <c r="A39" s="5" t="s">
        <v>1179</v>
      </c>
      <c r="B39" s="9"/>
      <c r="C39" s="503" t="s">
        <v>1179</v>
      </c>
      <c r="D39" s="503"/>
      <c r="E39" s="503"/>
      <c r="F39" s="503"/>
      <c r="G39" s="503"/>
    </row>
    <row r="40" spans="1:7" x14ac:dyDescent="0.2">
      <c r="A40" s="5"/>
      <c r="B40" s="9"/>
      <c r="C40" s="5"/>
      <c r="D40" s="5"/>
      <c r="E40" s="5"/>
      <c r="F40" s="5"/>
    </row>
    <row r="41" spans="1:7" x14ac:dyDescent="0.2">
      <c r="A41" s="5"/>
      <c r="B41" s="9"/>
      <c r="C41" s="5"/>
      <c r="D41" s="5"/>
      <c r="E41" s="5"/>
      <c r="F41" s="5"/>
    </row>
    <row r="42" spans="1:7" x14ac:dyDescent="0.2">
      <c r="A42" s="5"/>
      <c r="B42" s="9"/>
      <c r="C42" s="5"/>
      <c r="D42" s="5"/>
      <c r="E42" s="5"/>
      <c r="F42" s="5"/>
    </row>
    <row r="43" spans="1:7" x14ac:dyDescent="0.2">
      <c r="A43" s="5"/>
      <c r="B43" s="9"/>
      <c r="C43" s="5"/>
      <c r="D43" s="5"/>
      <c r="E43" s="5"/>
      <c r="F43" s="5"/>
    </row>
    <row r="44" spans="1:7" x14ac:dyDescent="0.2">
      <c r="A44" s="504" t="s">
        <v>1180</v>
      </c>
      <c r="B44" s="504"/>
      <c r="C44" s="504"/>
      <c r="D44" s="504"/>
      <c r="E44" s="504"/>
      <c r="F44" s="504"/>
      <c r="G44" s="504"/>
    </row>
    <row r="45" spans="1:7" x14ac:dyDescent="0.2">
      <c r="A45" s="504" t="s">
        <v>1181</v>
      </c>
      <c r="B45" s="504"/>
      <c r="C45" s="504"/>
      <c r="D45" s="504"/>
      <c r="E45" s="504"/>
      <c r="F45" s="504"/>
      <c r="G45" s="504"/>
    </row>
  </sheetData>
  <dataConsolidate link="1"/>
  <mergeCells count="9">
    <mergeCell ref="C38:G38"/>
    <mergeCell ref="C39:G39"/>
    <mergeCell ref="A44:G44"/>
    <mergeCell ref="A45:G45"/>
    <mergeCell ref="A1:G1"/>
    <mergeCell ref="A2:G2"/>
    <mergeCell ref="A3:G3"/>
    <mergeCell ref="A19:G19"/>
    <mergeCell ref="A33:G33"/>
  </mergeCells>
  <printOptions horizontalCentered="1"/>
  <pageMargins left="0.7" right="0.7" top="0.75" bottom="0.75" header="0.3" footer="0.3"/>
  <pageSetup paperSize="9" scale="81"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pageSetUpPr fitToPage="1"/>
  </sheetPr>
  <dimension ref="A1:L61"/>
  <sheetViews>
    <sheetView showGridLines="0" zoomScale="130" zoomScaleNormal="130" zoomScaleSheetLayoutView="100" workbookViewId="0">
      <selection activeCell="F43" sqref="F43"/>
    </sheetView>
  </sheetViews>
  <sheetFormatPr defaultColWidth="8.85546875" defaultRowHeight="12.75" x14ac:dyDescent="0.2"/>
  <cols>
    <col min="1" max="1" width="58" style="3" bestFit="1" customWidth="1"/>
    <col min="2" max="2" width="19.7109375" style="96" customWidth="1"/>
    <col min="3" max="3" width="0.5703125" style="6" customWidth="1"/>
    <col min="4" max="4" width="18.5703125" style="3" customWidth="1"/>
    <col min="5" max="5" width="14.5703125" style="2" customWidth="1"/>
    <col min="6" max="6" width="13.5703125" style="2" customWidth="1"/>
    <col min="7" max="7" width="13.140625" style="2" bestFit="1" customWidth="1"/>
    <col min="8" max="8" width="14.85546875" style="2" bestFit="1" customWidth="1"/>
    <col min="9" max="9" width="13.28515625" style="2" customWidth="1"/>
    <col min="10" max="10" width="13.140625" style="2" customWidth="1"/>
    <col min="11" max="12" width="13.28515625" style="2" bestFit="1" customWidth="1"/>
    <col min="13" max="16384" width="8.85546875" style="2"/>
  </cols>
  <sheetData>
    <row r="1" spans="1:12" x14ac:dyDescent="0.2">
      <c r="A1" s="559" t="s">
        <v>1184</v>
      </c>
      <c r="B1" s="559"/>
      <c r="C1" s="559"/>
      <c r="D1" s="559"/>
      <c r="E1" s="18"/>
      <c r="F1" s="18"/>
      <c r="G1" s="18"/>
    </row>
    <row r="2" spans="1:12" x14ac:dyDescent="0.2">
      <c r="A2" s="560" t="s">
        <v>232</v>
      </c>
      <c r="B2" s="560"/>
      <c r="C2" s="560"/>
      <c r="D2" s="560"/>
    </row>
    <row r="3" spans="1:12" x14ac:dyDescent="0.2">
      <c r="A3" s="560" t="s">
        <v>1177</v>
      </c>
      <c r="B3" s="560"/>
      <c r="C3" s="560"/>
      <c r="D3" s="560"/>
    </row>
    <row r="4" spans="1:12" ht="6" customHeight="1" x14ac:dyDescent="0.2"/>
    <row r="5" spans="1:12" ht="13.15" customHeight="1" thickBot="1" x14ac:dyDescent="0.25">
      <c r="A5" s="561" t="s">
        <v>0</v>
      </c>
      <c r="B5" s="61">
        <f>'TB-C'!F8</f>
        <v>46202</v>
      </c>
      <c r="C5" s="68"/>
      <c r="D5" s="61">
        <f>'TB-P'!F8</f>
        <v>45838</v>
      </c>
    </row>
    <row r="6" spans="1:12" ht="13.5" thickBot="1" x14ac:dyDescent="0.25">
      <c r="A6" s="561"/>
      <c r="B6" s="97" t="s">
        <v>21</v>
      </c>
      <c r="C6" s="72"/>
      <c r="D6" s="73" t="s">
        <v>22</v>
      </c>
      <c r="G6" s="184" t="s">
        <v>1183</v>
      </c>
      <c r="H6" s="283">
        <f>BS!C23</f>
        <v>31458524.616035223</v>
      </c>
    </row>
    <row r="7" spans="1:12" ht="5.25" customHeight="1" thickBot="1" x14ac:dyDescent="0.25">
      <c r="A7" s="23"/>
    </row>
    <row r="8" spans="1:12" ht="13.5" thickBot="1" x14ac:dyDescent="0.25">
      <c r="A8" s="38" t="s">
        <v>27</v>
      </c>
      <c r="B8" s="98"/>
      <c r="D8" s="6"/>
      <c r="F8" s="24"/>
      <c r="G8" s="184"/>
      <c r="H8" s="185">
        <f>H6-B43</f>
        <v>94994186.641011357</v>
      </c>
    </row>
    <row r="9" spans="1:12" x14ac:dyDescent="0.2">
      <c r="A9" s="3" t="s">
        <v>28</v>
      </c>
      <c r="B9" s="469">
        <v>53644385.920000002</v>
      </c>
      <c r="D9" s="54">
        <v>720525.5300000048</v>
      </c>
      <c r="E9" s="95"/>
      <c r="F9" s="95"/>
      <c r="G9" s="95"/>
      <c r="I9" s="24"/>
    </row>
    <row r="10" spans="1:12" x14ac:dyDescent="0.2">
      <c r="A10" s="3" t="s">
        <v>29</v>
      </c>
      <c r="B10" s="444">
        <f>SUM(IS!C10:'IS'!C12)</f>
        <v>11821478.789213579</v>
      </c>
      <c r="D10" s="56">
        <v>494233.3</v>
      </c>
      <c r="E10" s="95"/>
      <c r="F10" s="95"/>
      <c r="G10" s="95"/>
    </row>
    <row r="11" spans="1:12" x14ac:dyDescent="0.2">
      <c r="A11" s="3" t="s">
        <v>30</v>
      </c>
      <c r="B11" s="444">
        <f>'TB-C'!I52+('TB-C'!I51-'TB-C'!H52)</f>
        <v>201382.5</v>
      </c>
      <c r="D11" s="444">
        <v>0</v>
      </c>
      <c r="E11" s="95"/>
      <c r="F11" s="95"/>
      <c r="G11" s="45"/>
      <c r="H11" s="45"/>
      <c r="I11" s="45"/>
      <c r="J11" s="45"/>
      <c r="K11" s="24"/>
      <c r="L11" s="24"/>
    </row>
    <row r="12" spans="1:12" x14ac:dyDescent="0.2">
      <c r="A12" s="3" t="s">
        <v>31</v>
      </c>
      <c r="B12" s="444">
        <f>-'TB-C'!H12</f>
        <v>-2188653.5728940405</v>
      </c>
      <c r="C12" s="7"/>
      <c r="D12" s="444">
        <v>0</v>
      </c>
      <c r="E12" s="95"/>
      <c r="F12" s="95"/>
      <c r="G12" s="45"/>
      <c r="H12" s="45"/>
      <c r="I12" s="45"/>
      <c r="J12" s="45"/>
      <c r="K12" s="24"/>
      <c r="L12" s="24"/>
    </row>
    <row r="13" spans="1:12" x14ac:dyDescent="0.2">
      <c r="A13" s="3" t="s">
        <v>32</v>
      </c>
      <c r="B13" s="444">
        <f>-IF('TB-C'!I13='TB-C'!H40,0,IF('TB-C'!I13=0,'TB-C'!H13+'TB-C'!H40,'TB-C'!H40-'TB-C'!I13))</f>
        <v>-65816.504421797668</v>
      </c>
      <c r="D13" s="444">
        <v>0</v>
      </c>
      <c r="E13" s="95"/>
      <c r="F13" s="95"/>
      <c r="G13" s="45"/>
      <c r="H13" s="45"/>
      <c r="I13" s="45"/>
      <c r="J13" s="45"/>
      <c r="K13" s="24"/>
      <c r="L13" s="24"/>
    </row>
    <row r="14" spans="1:12" x14ac:dyDescent="0.2">
      <c r="A14" s="3" t="s">
        <v>160</v>
      </c>
      <c r="B14" s="444">
        <f>-IF('TB-C'!I15='TB-C'!H42,0,IF('TB-C'!I15=0,'TB-C'!H15+'TB-C'!H42,'TB-C'!H42-'TB-C'!H15))</f>
        <v>-442041.40945055004</v>
      </c>
      <c r="D14" s="56">
        <v>0</v>
      </c>
      <c r="E14" s="95"/>
      <c r="F14" s="95"/>
      <c r="G14" s="45"/>
      <c r="H14" s="45"/>
      <c r="I14" s="45"/>
      <c r="J14" s="45"/>
      <c r="K14" s="24"/>
      <c r="L14" s="24"/>
    </row>
    <row r="15" spans="1:12" x14ac:dyDescent="0.2">
      <c r="A15" s="3" t="s">
        <v>1328</v>
      </c>
      <c r="B15" s="444">
        <f>-IS!$C$25</f>
        <v>-3714.7300000000005</v>
      </c>
      <c r="D15" s="444">
        <v>-3262.3500000000004</v>
      </c>
      <c r="E15" s="95"/>
      <c r="F15" s="95"/>
      <c r="G15" s="45"/>
      <c r="H15" s="45"/>
      <c r="I15" s="45"/>
      <c r="J15" s="45"/>
      <c r="K15" s="24"/>
      <c r="L15" s="24"/>
    </row>
    <row r="16" spans="1:12" ht="13.9" customHeight="1" x14ac:dyDescent="0.2">
      <c r="A16" s="3" t="s">
        <v>33</v>
      </c>
      <c r="B16" s="444">
        <f>-IS!$C$27</f>
        <v>-167021.48000000001</v>
      </c>
      <c r="D16" s="56">
        <v>-35752.639999999999</v>
      </c>
      <c r="E16" s="95"/>
      <c r="F16" s="95"/>
      <c r="G16" s="45"/>
      <c r="H16" s="45"/>
      <c r="I16" s="45"/>
      <c r="J16" s="45"/>
      <c r="K16" s="24"/>
      <c r="L16" s="24"/>
    </row>
    <row r="17" spans="1:12" ht="13.9" customHeight="1" x14ac:dyDescent="0.2">
      <c r="A17" s="3" t="s">
        <v>172</v>
      </c>
      <c r="B17" s="444">
        <f>-IF('TB-C'!I135='TB-C'!H44,0,IF('TB-C'!I17=0,'TB-C'!H17+'TB-C'!H44,'TB-C'!H44-'TB-C'!H17))</f>
        <v>-96969</v>
      </c>
      <c r="D17" s="56">
        <v>-2467.29</v>
      </c>
      <c r="E17" s="95"/>
      <c r="F17" s="95"/>
      <c r="G17" s="95"/>
      <c r="H17" s="95"/>
      <c r="I17" s="95"/>
      <c r="J17" s="95"/>
    </row>
    <row r="18" spans="1:12" ht="13.9" customHeight="1" x14ac:dyDescent="0.2">
      <c r="A18" s="3" t="s">
        <v>174</v>
      </c>
      <c r="B18" s="444">
        <f>-IF('TB-C'!I14='TB-C'!H53,0,IF('TB-C'!I14=0,'TB-C'!H14+'TB-C'!H53,'TB-C'!H53-'TB-C'!H14))</f>
        <v>-220439.88998204077</v>
      </c>
      <c r="D18" s="56">
        <v>0</v>
      </c>
      <c r="E18" s="95"/>
      <c r="F18" s="95"/>
      <c r="G18" s="95"/>
      <c r="H18" s="95"/>
      <c r="J18" s="95"/>
    </row>
    <row r="19" spans="1:12" ht="13.9" customHeight="1" x14ac:dyDescent="0.2">
      <c r="A19" s="3" t="s">
        <v>181</v>
      </c>
      <c r="B19" s="444">
        <f>-'TB-C'!$H$55</f>
        <v>0</v>
      </c>
      <c r="D19" s="56">
        <v>-3000</v>
      </c>
      <c r="E19" s="95"/>
      <c r="F19" s="95"/>
      <c r="G19" s="95"/>
      <c r="H19" s="45"/>
      <c r="J19" s="45"/>
      <c r="L19" s="24"/>
    </row>
    <row r="20" spans="1:12" ht="13.9" customHeight="1" x14ac:dyDescent="0.2">
      <c r="A20" s="3" t="s">
        <v>589</v>
      </c>
      <c r="B20" s="444">
        <f>-'TB-C'!H16</f>
        <v>-40250</v>
      </c>
      <c r="D20" s="444">
        <v>0</v>
      </c>
      <c r="E20" s="95"/>
      <c r="F20" s="95"/>
      <c r="G20" s="95"/>
    </row>
    <row r="21" spans="1:12" ht="13.9" customHeight="1" x14ac:dyDescent="0.2">
      <c r="A21" s="3" t="s">
        <v>1606</v>
      </c>
      <c r="B21" s="444">
        <f>-'TB-C'!H64</f>
        <v>-355701.13044217974</v>
      </c>
      <c r="D21" s="444"/>
      <c r="E21" s="95"/>
      <c r="F21" s="95"/>
      <c r="G21" s="95"/>
    </row>
    <row r="22" spans="1:12" ht="13.9" customHeight="1" x14ac:dyDescent="0.2">
      <c r="A22" s="3" t="s">
        <v>169</v>
      </c>
      <c r="B22" s="470">
        <f>-'TB-C'!$H$50</f>
        <v>0</v>
      </c>
      <c r="D22" s="55">
        <v>-46800</v>
      </c>
      <c r="E22" s="95"/>
      <c r="F22" s="95"/>
      <c r="G22" s="95"/>
    </row>
    <row r="23" spans="1:12" x14ac:dyDescent="0.2">
      <c r="A23" s="39" t="s">
        <v>18</v>
      </c>
      <c r="B23" s="471">
        <f>SUM(B9:B22)</f>
        <v>62086639.492022984</v>
      </c>
      <c r="C23" s="7">
        <v>0</v>
      </c>
      <c r="D23" s="471">
        <v>1123476.5500000047</v>
      </c>
      <c r="E23" s="95"/>
      <c r="F23" s="95"/>
      <c r="G23" s="95"/>
    </row>
    <row r="24" spans="1:12" ht="13.9" customHeight="1" x14ac:dyDescent="0.2">
      <c r="A24" s="6"/>
      <c r="B24" s="98"/>
      <c r="D24" s="6"/>
      <c r="E24" s="95"/>
      <c r="F24" s="95"/>
      <c r="G24" s="95"/>
    </row>
    <row r="25" spans="1:12" x14ac:dyDescent="0.2">
      <c r="A25" s="38" t="s">
        <v>34</v>
      </c>
      <c r="B25" s="98"/>
      <c r="D25" s="6"/>
      <c r="E25" s="95"/>
      <c r="F25" s="95"/>
      <c r="G25" s="95"/>
      <c r="I25" s="164"/>
    </row>
    <row r="26" spans="1:12" x14ac:dyDescent="0.2">
      <c r="A26" s="3" t="s">
        <v>1327</v>
      </c>
      <c r="B26" s="469">
        <v>-4433743</v>
      </c>
      <c r="D26" s="469">
        <v>-30173550</v>
      </c>
      <c r="E26" s="95"/>
      <c r="F26" s="95"/>
      <c r="G26" s="95"/>
      <c r="H26" s="95"/>
    </row>
    <row r="27" spans="1:12" x14ac:dyDescent="0.2">
      <c r="A27" s="3" t="s">
        <v>1472</v>
      </c>
      <c r="B27" s="444">
        <f>'TB-C'!I73</f>
        <v>0</v>
      </c>
      <c r="D27" s="444">
        <v>0</v>
      </c>
      <c r="E27" s="95"/>
      <c r="F27" s="95"/>
      <c r="G27" s="95"/>
      <c r="H27" s="95"/>
      <c r="I27" s="164"/>
    </row>
    <row r="28" spans="1:12" x14ac:dyDescent="0.2">
      <c r="A28" s="3" t="s">
        <v>1838</v>
      </c>
      <c r="B28" s="444">
        <f>-'TB-C'!H75</f>
        <v>0</v>
      </c>
      <c r="D28" s="444">
        <v>-10851038.26</v>
      </c>
      <c r="E28" s="95"/>
      <c r="F28" s="95"/>
      <c r="G28" s="95"/>
      <c r="H28" s="95"/>
    </row>
    <row r="29" spans="1:12" x14ac:dyDescent="0.2">
      <c r="A29" s="15" t="s">
        <v>2060</v>
      </c>
      <c r="B29" s="444">
        <v>-99000000</v>
      </c>
      <c r="D29" s="444">
        <v>0</v>
      </c>
      <c r="E29" s="95"/>
      <c r="F29" s="95"/>
      <c r="G29" s="95"/>
      <c r="H29" s="95"/>
    </row>
    <row r="30" spans="1:12" x14ac:dyDescent="0.2">
      <c r="A30" s="3" t="s">
        <v>180</v>
      </c>
      <c r="B30" s="444">
        <f>-'TB-C'!H54</f>
        <v>0</v>
      </c>
      <c r="D30" s="444">
        <v>0</v>
      </c>
      <c r="E30" s="95"/>
      <c r="F30" s="95"/>
      <c r="G30" s="95"/>
    </row>
    <row r="31" spans="1:12" x14ac:dyDescent="0.2">
      <c r="A31" s="3" t="s">
        <v>35</v>
      </c>
      <c r="B31" s="444">
        <f>'TB-C'!I18</f>
        <v>31000000</v>
      </c>
      <c r="D31" s="444">
        <v>-73500000</v>
      </c>
      <c r="E31" s="95"/>
      <c r="F31" s="95"/>
      <c r="G31" s="95"/>
      <c r="H31" s="95"/>
    </row>
    <row r="32" spans="1:12" x14ac:dyDescent="0.2">
      <c r="A32" s="3" t="s">
        <v>90</v>
      </c>
      <c r="B32" s="470">
        <v>0</v>
      </c>
      <c r="D32" s="470">
        <v>-57987.8</v>
      </c>
      <c r="E32" s="95"/>
      <c r="F32" s="95"/>
      <c r="G32" s="95"/>
    </row>
    <row r="33" spans="1:8" x14ac:dyDescent="0.2">
      <c r="A33" s="23" t="s">
        <v>36</v>
      </c>
      <c r="B33" s="471">
        <f>SUM(B26:B32)</f>
        <v>-72433743</v>
      </c>
      <c r="C33" s="7">
        <v>0</v>
      </c>
      <c r="D33" s="67">
        <v>-114582576.05999999</v>
      </c>
      <c r="E33" s="95"/>
      <c r="F33" s="95"/>
      <c r="G33" s="95"/>
    </row>
    <row r="34" spans="1:8" ht="16.149999999999999" customHeight="1" x14ac:dyDescent="0.2">
      <c r="A34" s="6"/>
      <c r="B34" s="98"/>
      <c r="D34" s="6"/>
      <c r="E34" s="95"/>
      <c r="F34" s="95"/>
      <c r="G34" s="95"/>
    </row>
    <row r="35" spans="1:8" ht="17.45" customHeight="1" x14ac:dyDescent="0.2">
      <c r="A35" s="38" t="s">
        <v>37</v>
      </c>
      <c r="B35" s="98"/>
      <c r="D35" s="6"/>
      <c r="E35" s="95"/>
      <c r="F35" s="95"/>
      <c r="G35" s="95"/>
    </row>
    <row r="36" spans="1:8" ht="14.45" customHeight="1" x14ac:dyDescent="0.2">
      <c r="A36" s="40" t="s">
        <v>1329</v>
      </c>
      <c r="B36" s="469">
        <f>'TB-C'!I20+'TB-C'!I21</f>
        <v>283070129.88</v>
      </c>
      <c r="D36" s="469">
        <v>146701841</v>
      </c>
      <c r="E36" s="95"/>
      <c r="F36" s="95"/>
      <c r="G36" s="95"/>
      <c r="H36" s="5"/>
    </row>
    <row r="37" spans="1:8" ht="14.45" customHeight="1" x14ac:dyDescent="0.2">
      <c r="A37" s="40" t="s">
        <v>1330</v>
      </c>
      <c r="B37" s="444">
        <f>-('TB-C'!H20+'TB-C'!H21)</f>
        <v>-351778345.352</v>
      </c>
      <c r="D37" s="444">
        <v>-23818623.199999999</v>
      </c>
      <c r="E37" s="95"/>
      <c r="F37" s="95"/>
      <c r="G37" s="95"/>
      <c r="H37" s="5"/>
    </row>
    <row r="38" spans="1:8" x14ac:dyDescent="0.2">
      <c r="A38" s="3" t="s">
        <v>115</v>
      </c>
      <c r="B38" s="470">
        <f>-'TB-C'!H63</f>
        <v>0</v>
      </c>
      <c r="D38" s="470">
        <v>0</v>
      </c>
      <c r="E38" s="95"/>
      <c r="F38" s="95"/>
      <c r="G38" s="95"/>
    </row>
    <row r="39" spans="1:8" x14ac:dyDescent="0.2">
      <c r="A39" s="23" t="s">
        <v>38</v>
      </c>
      <c r="B39" s="471">
        <f>SUM(B36:B38)</f>
        <v>-68708215.472000003</v>
      </c>
      <c r="C39" s="6">
        <v>0</v>
      </c>
      <c r="D39" s="472">
        <v>122883217.8</v>
      </c>
      <c r="E39" s="95"/>
      <c r="F39" s="95"/>
      <c r="G39" s="95"/>
    </row>
    <row r="40" spans="1:8" ht="13.9" customHeight="1" x14ac:dyDescent="0.2">
      <c r="A40" s="6"/>
      <c r="B40" s="472"/>
      <c r="D40" s="58"/>
      <c r="E40" s="95"/>
      <c r="F40" s="95"/>
      <c r="G40" s="95"/>
    </row>
    <row r="41" spans="1:8" x14ac:dyDescent="0.2">
      <c r="A41" s="38" t="s">
        <v>19</v>
      </c>
      <c r="B41" s="98">
        <f>SUM(B23,B33,B39)</f>
        <v>-79055318.979977012</v>
      </c>
      <c r="C41" s="6">
        <v>0</v>
      </c>
      <c r="D41" s="98">
        <v>9424118.2900000215</v>
      </c>
      <c r="E41" s="95"/>
      <c r="F41" s="95"/>
      <c r="G41" s="95"/>
    </row>
    <row r="42" spans="1:8" x14ac:dyDescent="0.2">
      <c r="A42" s="3" t="s">
        <v>116</v>
      </c>
      <c r="B42" s="473">
        <f>'TB-C'!J19</f>
        <v>15519656.955000877</v>
      </c>
      <c r="D42" s="473">
        <v>0</v>
      </c>
      <c r="E42" s="95"/>
      <c r="F42" s="95"/>
      <c r="G42" s="95"/>
    </row>
    <row r="43" spans="1:8" s="1" customFormat="1" ht="15" customHeight="1" thickBot="1" x14ac:dyDescent="0.25">
      <c r="A43" s="23" t="s">
        <v>117</v>
      </c>
      <c r="B43" s="311">
        <f>B41+B42</f>
        <v>-63535662.024976134</v>
      </c>
      <c r="C43" s="7">
        <f>C41+C42</f>
        <v>0</v>
      </c>
      <c r="D43" s="53">
        <f>D41+D42</f>
        <v>9424118.2900000215</v>
      </c>
      <c r="E43" s="95"/>
      <c r="F43" s="95"/>
      <c r="G43" s="95"/>
    </row>
    <row r="44" spans="1:8" ht="13.5" thickTop="1" x14ac:dyDescent="0.2">
      <c r="B44" s="99"/>
      <c r="D44" s="6"/>
    </row>
    <row r="45" spans="1:8" ht="16.149999999999999" customHeight="1" x14ac:dyDescent="0.2">
      <c r="A45" s="41" t="s">
        <v>39</v>
      </c>
      <c r="B45" s="99">
        <f>B23/B47</f>
        <v>1.5072281678787895</v>
      </c>
      <c r="D45" s="99">
        <f>D23/D47</f>
        <v>2.4297816825327508E-2</v>
      </c>
    </row>
    <row r="46" spans="1:8" x14ac:dyDescent="0.2">
      <c r="A46" s="42"/>
      <c r="B46" s="98"/>
      <c r="D46" s="6"/>
    </row>
    <row r="47" spans="1:8" ht="13.15" customHeight="1" x14ac:dyDescent="0.2">
      <c r="A47" s="42" t="s">
        <v>74</v>
      </c>
      <c r="B47" s="99">
        <f>BS!C51</f>
        <v>41192595</v>
      </c>
      <c r="D47" s="7">
        <f>BS!E51</f>
        <v>46237757</v>
      </c>
    </row>
    <row r="48" spans="1:8" ht="13.15" customHeight="1" x14ac:dyDescent="0.2">
      <c r="A48" s="42"/>
      <c r="B48" s="99"/>
      <c r="D48" s="7"/>
    </row>
    <row r="49" spans="1:6" x14ac:dyDescent="0.2">
      <c r="A49" s="558" t="s">
        <v>1182</v>
      </c>
      <c r="B49" s="558"/>
      <c r="C49" s="558"/>
      <c r="D49" s="558"/>
    </row>
    <row r="50" spans="1:6" x14ac:dyDescent="0.2">
      <c r="A50" s="5"/>
      <c r="B50" s="9"/>
      <c r="C50" s="5"/>
      <c r="D50" s="5"/>
      <c r="E50" s="5"/>
      <c r="F50" s="5"/>
    </row>
    <row r="51" spans="1:6" x14ac:dyDescent="0.2">
      <c r="A51" s="5"/>
      <c r="B51" s="9"/>
      <c r="C51" s="5"/>
      <c r="D51" s="5"/>
      <c r="E51" s="5"/>
      <c r="F51" s="5"/>
    </row>
    <row r="52" spans="1:6" x14ac:dyDescent="0.2">
      <c r="A52" s="5"/>
      <c r="B52" s="9"/>
      <c r="C52" s="5"/>
      <c r="D52" s="5"/>
      <c r="E52" s="5"/>
      <c r="F52" s="5"/>
    </row>
    <row r="53" spans="1:6" x14ac:dyDescent="0.2">
      <c r="A53" s="5"/>
      <c r="B53" s="5"/>
      <c r="C53" s="5"/>
      <c r="D53" s="5"/>
      <c r="E53" s="5"/>
      <c r="F53" s="5"/>
    </row>
    <row r="54" spans="1:6" x14ac:dyDescent="0.2">
      <c r="A54" s="5" t="s">
        <v>1178</v>
      </c>
      <c r="B54" s="503" t="s">
        <v>40</v>
      </c>
      <c r="C54" s="503"/>
      <c r="D54" s="503"/>
    </row>
    <row r="55" spans="1:6" x14ac:dyDescent="0.2">
      <c r="A55" s="5" t="s">
        <v>1179</v>
      </c>
      <c r="B55" s="503" t="s">
        <v>1179</v>
      </c>
      <c r="C55" s="503"/>
      <c r="D55" s="503"/>
      <c r="E55" s="5"/>
      <c r="F55" s="5"/>
    </row>
    <row r="56" spans="1:6" x14ac:dyDescent="0.2">
      <c r="A56" s="5"/>
      <c r="B56" s="9"/>
      <c r="C56" s="5"/>
      <c r="D56" s="5"/>
      <c r="E56" s="5"/>
      <c r="F56" s="5"/>
    </row>
    <row r="57" spans="1:6" x14ac:dyDescent="0.2">
      <c r="A57" s="5"/>
      <c r="B57" s="9"/>
      <c r="C57" s="5"/>
      <c r="D57" s="5"/>
      <c r="E57" s="5"/>
      <c r="F57" s="5"/>
    </row>
    <row r="58" spans="1:6" x14ac:dyDescent="0.2">
      <c r="A58" s="5"/>
      <c r="B58" s="9"/>
      <c r="C58" s="5"/>
      <c r="D58" s="5"/>
      <c r="E58" s="5"/>
      <c r="F58" s="5"/>
    </row>
    <row r="59" spans="1:6" x14ac:dyDescent="0.2">
      <c r="A59" s="5"/>
      <c r="B59" s="9"/>
      <c r="C59" s="5"/>
      <c r="D59" s="5"/>
      <c r="E59" s="14"/>
      <c r="F59" s="14"/>
    </row>
    <row r="60" spans="1:6" x14ac:dyDescent="0.2">
      <c r="A60" s="504" t="s">
        <v>1180</v>
      </c>
      <c r="B60" s="504"/>
      <c r="C60" s="504"/>
      <c r="D60" s="504"/>
    </row>
    <row r="61" spans="1:6" x14ac:dyDescent="0.2">
      <c r="A61" s="504" t="s">
        <v>1181</v>
      </c>
      <c r="B61" s="504"/>
      <c r="C61" s="504"/>
      <c r="D61" s="504"/>
    </row>
  </sheetData>
  <mergeCells count="9">
    <mergeCell ref="A61:D61"/>
    <mergeCell ref="B54:D54"/>
    <mergeCell ref="A60:D60"/>
    <mergeCell ref="A49:D49"/>
    <mergeCell ref="A1:D1"/>
    <mergeCell ref="A2:D2"/>
    <mergeCell ref="A3:D3"/>
    <mergeCell ref="A5:A6"/>
    <mergeCell ref="B55:D55"/>
  </mergeCells>
  <printOptions horizontalCentered="1"/>
  <pageMargins left="0.7" right="0.7" top="0.75" bottom="0.75" header="0.3" footer="0.3"/>
  <pageSetup paperSize="9" scale="73"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C2:P27"/>
  <sheetViews>
    <sheetView topLeftCell="B1" zoomScale="115" zoomScaleNormal="115" workbookViewId="0">
      <selection activeCell="E13" sqref="E13:E14"/>
    </sheetView>
  </sheetViews>
  <sheetFormatPr defaultColWidth="8.85546875" defaultRowHeight="12.75" x14ac:dyDescent="0.2"/>
  <cols>
    <col min="1" max="2" width="8.85546875" style="2"/>
    <col min="3" max="3" width="27.5703125" style="2" bestFit="1" customWidth="1"/>
    <col min="4" max="4" width="15" style="2" bestFit="1" customWidth="1"/>
    <col min="5" max="5" width="15" style="2" customWidth="1"/>
    <col min="6" max="6" width="17" style="2" customWidth="1"/>
    <col min="7" max="7" width="11.28515625" style="2" bestFit="1" customWidth="1"/>
    <col min="8" max="8" width="16" style="2" bestFit="1" customWidth="1"/>
    <col min="9" max="9" width="3" style="2" customWidth="1"/>
    <col min="10" max="10" width="27.42578125" style="2" customWidth="1"/>
    <col min="11" max="11" width="53.28515625" style="2" customWidth="1"/>
    <col min="12" max="12" width="12.85546875" style="2" bestFit="1" customWidth="1"/>
    <col min="13" max="13" width="10.42578125" style="2" bestFit="1" customWidth="1"/>
    <col min="14" max="16384" width="8.85546875" style="2"/>
  </cols>
  <sheetData>
    <row r="2" spans="3:16" ht="13.5" thickBot="1" x14ac:dyDescent="0.25">
      <c r="I2" s="565" t="s">
        <v>106</v>
      </c>
      <c r="J2" s="565"/>
      <c r="K2" s="565"/>
      <c r="L2" s="565"/>
    </row>
    <row r="3" spans="3:16" ht="13.5" thickBot="1" x14ac:dyDescent="0.25">
      <c r="I3" s="284">
        <v>1</v>
      </c>
      <c r="J3" s="288" t="s">
        <v>1337</v>
      </c>
      <c r="K3" s="288" t="s">
        <v>1337</v>
      </c>
      <c r="L3" s="285">
        <v>201191</v>
      </c>
    </row>
    <row r="4" spans="3:16" ht="13.9" customHeight="1" thickBot="1" x14ac:dyDescent="0.25">
      <c r="C4" s="2" t="s">
        <v>104</v>
      </c>
      <c r="D4" s="29">
        <f ca="1">TODAY()</f>
        <v>46110</v>
      </c>
      <c r="E4" s="29"/>
      <c r="F4" s="29"/>
      <c r="I4" s="566">
        <v>2</v>
      </c>
      <c r="J4" s="566" t="s">
        <v>1338</v>
      </c>
      <c r="K4" s="289" t="s">
        <v>1339</v>
      </c>
      <c r="L4" s="286">
        <v>100000</v>
      </c>
    </row>
    <row r="5" spans="3:16" ht="13.5" thickBot="1" x14ac:dyDescent="0.25">
      <c r="C5" s="2" t="s">
        <v>112</v>
      </c>
      <c r="D5" s="29">
        <v>43908</v>
      </c>
      <c r="E5" s="29"/>
      <c r="F5" s="29"/>
      <c r="I5" s="567"/>
      <c r="J5" s="567"/>
      <c r="K5" s="289" t="s">
        <v>1340</v>
      </c>
      <c r="L5" s="286">
        <v>500000</v>
      </c>
    </row>
    <row r="6" spans="3:16" ht="15.75" thickBot="1" x14ac:dyDescent="0.3">
      <c r="C6" t="s">
        <v>107</v>
      </c>
      <c r="D6" s="29">
        <v>44196</v>
      </c>
      <c r="E6" s="29"/>
      <c r="I6" s="567"/>
      <c r="J6" s="567"/>
      <c r="K6" s="289" t="s">
        <v>1341</v>
      </c>
      <c r="L6" s="286">
        <v>75000</v>
      </c>
    </row>
    <row r="7" spans="3:16" ht="15.75" thickBot="1" x14ac:dyDescent="0.3">
      <c r="C7"/>
      <c r="D7" s="29"/>
      <c r="E7" s="29"/>
      <c r="I7" s="567"/>
      <c r="J7" s="567"/>
      <c r="K7" s="289" t="s">
        <v>1342</v>
      </c>
      <c r="L7" s="286">
        <v>15009</v>
      </c>
      <c r="M7" s="45">
        <v>15487.8</v>
      </c>
    </row>
    <row r="8" spans="3:16" ht="13.5" thickBot="1" x14ac:dyDescent="0.25">
      <c r="C8" s="2" t="s">
        <v>105</v>
      </c>
      <c r="D8" s="3">
        <f>NAV</f>
        <v>587700480.48185372</v>
      </c>
      <c r="E8" s="3"/>
      <c r="F8" s="3"/>
      <c r="G8" s="3"/>
      <c r="H8" s="3"/>
      <c r="I8" s="567"/>
      <c r="J8" s="567"/>
      <c r="K8" s="289" t="s">
        <v>1343</v>
      </c>
      <c r="L8" s="286">
        <v>20000</v>
      </c>
      <c r="M8" s="45">
        <v>40000</v>
      </c>
      <c r="N8" s="3"/>
      <c r="O8" s="3"/>
      <c r="P8" s="3"/>
    </row>
    <row r="9" spans="3:16" ht="13.5" thickBot="1" x14ac:dyDescent="0.25">
      <c r="C9" s="2" t="s">
        <v>106</v>
      </c>
      <c r="D9" s="3">
        <v>1000000</v>
      </c>
      <c r="E9" s="3"/>
      <c r="F9" s="3">
        <v>942012.2</v>
      </c>
      <c r="G9" s="3"/>
      <c r="H9" s="3"/>
      <c r="I9" s="568"/>
      <c r="J9" s="568"/>
      <c r="K9" s="289" t="s">
        <v>1344</v>
      </c>
      <c r="L9" s="286">
        <v>2500</v>
      </c>
      <c r="M9" s="45">
        <v>2500</v>
      </c>
      <c r="N9" s="3"/>
      <c r="O9" s="3"/>
      <c r="P9" s="3"/>
    </row>
    <row r="10" spans="3:16" ht="13.5" thickBot="1" x14ac:dyDescent="0.25">
      <c r="I10" s="566">
        <v>3</v>
      </c>
      <c r="J10" s="569" t="s">
        <v>1345</v>
      </c>
      <c r="K10" s="289" t="s">
        <v>1346</v>
      </c>
      <c r="L10" s="286">
        <v>66800</v>
      </c>
      <c r="M10" s="45"/>
    </row>
    <row r="11" spans="3:16" ht="13.5" thickBot="1" x14ac:dyDescent="0.25">
      <c r="C11" s="1" t="s">
        <v>108</v>
      </c>
      <c r="E11" s="2" t="s">
        <v>2111</v>
      </c>
      <c r="I11" s="568"/>
      <c r="J11" s="570"/>
      <c r="K11" s="289" t="s">
        <v>1347</v>
      </c>
      <c r="L11" s="286">
        <v>19500</v>
      </c>
      <c r="M11" s="45"/>
    </row>
    <row r="12" spans="3:16" ht="13.5" thickBot="1" x14ac:dyDescent="0.25">
      <c r="C12" s="2" t="s">
        <v>106</v>
      </c>
      <c r="D12" s="24">
        <f>F9/(52*5)</f>
        <v>3623.123846153846</v>
      </c>
      <c r="E12" s="24">
        <f>D12/7</f>
        <v>517.58912087912086</v>
      </c>
      <c r="I12" s="562" t="s">
        <v>123</v>
      </c>
      <c r="J12" s="563"/>
      <c r="K12" s="564"/>
      <c r="L12" s="287">
        <v>1000000</v>
      </c>
      <c r="M12" s="45">
        <f>SUM(M7:M11)</f>
        <v>57987.8</v>
      </c>
    </row>
    <row r="13" spans="3:16" x14ac:dyDescent="0.2">
      <c r="C13" s="2" t="s">
        <v>77</v>
      </c>
      <c r="D13" s="45">
        <f>D8*F13/52</f>
        <v>56509.661584793626</v>
      </c>
      <c r="E13" s="24">
        <f t="shared" ref="E13:E14" si="0">D13/7</f>
        <v>8072.8087978276608</v>
      </c>
      <c r="F13" s="30">
        <v>5.0000000000000001E-3</v>
      </c>
      <c r="G13" s="2" t="s">
        <v>1186</v>
      </c>
      <c r="H13" s="45"/>
      <c r="I13" s="3"/>
      <c r="K13" s="3" t="s">
        <v>1348</v>
      </c>
      <c r="L13" s="45">
        <f>M7+M8+M9</f>
        <v>57987.8</v>
      </c>
    </row>
    <row r="14" spans="3:16" x14ac:dyDescent="0.2">
      <c r="C14" s="2" t="s">
        <v>109</v>
      </c>
      <c r="D14" s="24">
        <f>D8*F14/52</f>
        <v>5650.966158479363</v>
      </c>
      <c r="E14" s="24">
        <f t="shared" si="0"/>
        <v>807.28087978276619</v>
      </c>
      <c r="F14" s="30">
        <v>5.0000000000000001E-4</v>
      </c>
      <c r="G14" s="2" t="s">
        <v>1185</v>
      </c>
      <c r="H14" s="45"/>
      <c r="I14" s="3"/>
      <c r="K14" s="3" t="s">
        <v>1349</v>
      </c>
      <c r="L14" s="292">
        <f>L12-L13</f>
        <v>942012.2</v>
      </c>
    </row>
    <row r="15" spans="3:16" x14ac:dyDescent="0.2">
      <c r="D15" s="24"/>
      <c r="E15" s="24"/>
      <c r="F15" s="30"/>
      <c r="H15" s="45"/>
      <c r="I15" s="3"/>
      <c r="K15" s="3"/>
    </row>
    <row r="16" spans="3:16" x14ac:dyDescent="0.2">
      <c r="D16" s="24"/>
      <c r="E16" s="24"/>
      <c r="F16" s="30"/>
      <c r="H16" s="45"/>
      <c r="I16" s="3"/>
      <c r="K16" s="3"/>
    </row>
    <row r="17" spans="3:11" x14ac:dyDescent="0.2">
      <c r="C17" s="203" t="s">
        <v>81</v>
      </c>
      <c r="D17" s="204" cm="1">
        <f t="array" ref="D17">_xlfn.IFS(NAV&lt;100000000,100000,NAV&gt;100000000,(NAV*0.1%))</f>
        <v>587700.48048185371</v>
      </c>
      <c r="E17" s="24"/>
      <c r="F17" s="30">
        <v>1E-3</v>
      </c>
      <c r="G17" s="2">
        <v>580877.52</v>
      </c>
      <c r="H17" s="45">
        <f>G17/52</f>
        <v>11170.721538461539</v>
      </c>
      <c r="I17" s="24"/>
      <c r="K17" s="3"/>
    </row>
    <row r="18" spans="3:11" x14ac:dyDescent="0.2">
      <c r="C18" s="203" t="s">
        <v>271</v>
      </c>
      <c r="D18" s="205">
        <f>(IF(NAV&lt;50000001,NAV*2.5%,IF(NAV&lt;250000001,(50000000*2.5%)+(NAV-50000000)*2%,IF(NAV&lt;500000001,(50000000*2.5%)+(200000000*2%)+((NAV-250000000)*1.5%),(50000000*2.5%)+(200000000*2%)+(250000000*1.5%)+((NAV-500000000)*1%)))))/52</f>
        <v>189942.40009266417</v>
      </c>
      <c r="E18" s="44"/>
      <c r="F18" s="30"/>
      <c r="H18" s="45"/>
    </row>
    <row r="19" spans="3:11" x14ac:dyDescent="0.2">
      <c r="C19" s="203" t="s">
        <v>111</v>
      </c>
      <c r="D19" s="204">
        <v>40000</v>
      </c>
      <c r="E19" s="24"/>
      <c r="F19" s="30" t="s">
        <v>1187</v>
      </c>
      <c r="H19" s="457"/>
      <c r="I19" s="3"/>
    </row>
    <row r="20" spans="3:11" x14ac:dyDescent="0.2">
      <c r="C20" s="203" t="s">
        <v>1188</v>
      </c>
      <c r="D20" s="204">
        <v>6000</v>
      </c>
      <c r="E20" s="24"/>
      <c r="F20" s="30" t="s">
        <v>1187</v>
      </c>
      <c r="I20" s="3"/>
    </row>
    <row r="21" spans="3:11" x14ac:dyDescent="0.2">
      <c r="C21" s="203" t="s">
        <v>110</v>
      </c>
      <c r="D21" s="205">
        <v>20000</v>
      </c>
      <c r="E21" s="44"/>
      <c r="F21" s="30"/>
      <c r="I21" s="3"/>
    </row>
    <row r="22" spans="3:11" x14ac:dyDescent="0.2">
      <c r="F22" s="30"/>
    </row>
    <row r="23" spans="3:11" x14ac:dyDescent="0.2">
      <c r="F23" s="30"/>
    </row>
    <row r="24" spans="3:11" x14ac:dyDescent="0.2">
      <c r="F24" s="30"/>
    </row>
    <row r="25" spans="3:11" x14ac:dyDescent="0.2">
      <c r="F25" s="30"/>
    </row>
    <row r="26" spans="3:11" x14ac:dyDescent="0.2">
      <c r="F26" s="30"/>
    </row>
    <row r="27" spans="3:11" x14ac:dyDescent="0.2">
      <c r="F27" s="30"/>
    </row>
  </sheetData>
  <dataConsolidate link="1"/>
  <mergeCells count="6">
    <mergeCell ref="I12:K12"/>
    <mergeCell ref="I2:L2"/>
    <mergeCell ref="I4:I9"/>
    <mergeCell ref="J4:J9"/>
    <mergeCell ref="I10:I11"/>
    <mergeCell ref="J10:J1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BE1B-595C-4AF3-81CA-7E08C03C4A2D}">
  <dimension ref="B1:U184"/>
  <sheetViews>
    <sheetView workbookViewId="0">
      <pane xSplit="8" ySplit="4" topLeftCell="I168" activePane="bottomRight" state="frozen"/>
      <selection pane="topRight" activeCell="I1" sqref="I1"/>
      <selection pane="bottomLeft" activeCell="A4" sqref="A4"/>
      <selection pane="bottomRight" activeCell="J184" sqref="J184"/>
    </sheetView>
  </sheetViews>
  <sheetFormatPr defaultRowHeight="15" x14ac:dyDescent="0.25"/>
  <cols>
    <col min="2" max="2" width="10.5703125" bestFit="1" customWidth="1"/>
    <col min="3" max="3" width="15.28515625" bestFit="1" customWidth="1"/>
    <col min="4" max="4" width="14.28515625" bestFit="1" customWidth="1"/>
    <col min="5" max="5" width="15.28515625" bestFit="1" customWidth="1"/>
    <col min="6" max="6" width="14.28515625" bestFit="1" customWidth="1"/>
    <col min="7" max="7" width="14.5703125" customWidth="1"/>
    <col min="8" max="8" width="12.85546875" customWidth="1"/>
    <col min="9" max="9" width="11.42578125" customWidth="1"/>
    <col min="10" max="11" width="10.5703125" customWidth="1"/>
    <col min="13" max="13" width="10.42578125" bestFit="1" customWidth="1"/>
    <col min="20" max="20" width="11.5703125" bestFit="1" customWidth="1"/>
  </cols>
  <sheetData>
    <row r="1" spans="2:21" x14ac:dyDescent="0.25">
      <c r="C1" s="416" t="s">
        <v>1474</v>
      </c>
      <c r="D1" s="416" t="s">
        <v>1473</v>
      </c>
      <c r="E1" s="416" t="s">
        <v>1432</v>
      </c>
      <c r="F1" s="416" t="s">
        <v>1886</v>
      </c>
      <c r="G1" s="420" t="s">
        <v>1889</v>
      </c>
    </row>
    <row r="2" spans="2:21" x14ac:dyDescent="0.25">
      <c r="B2" s="419" t="s">
        <v>1887</v>
      </c>
      <c r="C2" s="417">
        <f>BS!C17</f>
        <v>337447970.07399994</v>
      </c>
      <c r="D2" s="417">
        <f>BS!C12</f>
        <v>0.20000004768371582</v>
      </c>
      <c r="E2" s="417">
        <f>BS!C19</f>
        <v>54000000</v>
      </c>
      <c r="F2" s="417">
        <f>BS!C11</f>
        <v>35319588</v>
      </c>
      <c r="G2" s="421">
        <f>(((F2+E2+D2+C2)*0.05%/360))</f>
        <v>592.732719825</v>
      </c>
    </row>
    <row r="3" spans="2:21" x14ac:dyDescent="0.25">
      <c r="B3" s="419" t="s">
        <v>1887</v>
      </c>
      <c r="C3" s="417">
        <f>BS!C17</f>
        <v>337447970.07399994</v>
      </c>
      <c r="D3" s="417">
        <f>BS!C12</f>
        <v>0.20000004768371582</v>
      </c>
      <c r="E3" s="417">
        <f>BS!C19</f>
        <v>54000000</v>
      </c>
      <c r="F3" s="417">
        <f>BS!C11</f>
        <v>35319588</v>
      </c>
      <c r="G3" s="421">
        <f>((F3+E3+D3+C3)*0.05%/12)/4</f>
        <v>4445.4953986874998</v>
      </c>
    </row>
    <row r="4" spans="2:21" x14ac:dyDescent="0.25">
      <c r="B4" s="419" t="s">
        <v>1888</v>
      </c>
      <c r="C4" s="418">
        <f>C3</f>
        <v>337447970.07399994</v>
      </c>
      <c r="D4" s="418">
        <f>D3</f>
        <v>0.20000004768371582</v>
      </c>
      <c r="E4" s="418">
        <f>E3</f>
        <v>54000000</v>
      </c>
      <c r="F4" s="418">
        <f>F3</f>
        <v>35319588</v>
      </c>
      <c r="G4" s="421">
        <f>((F3+E3+D3+C3)*0.05%/12)</f>
        <v>17781.981594749999</v>
      </c>
      <c r="I4" s="190" t="s">
        <v>104</v>
      </c>
      <c r="J4" s="190" t="s">
        <v>1887</v>
      </c>
      <c r="K4" s="190"/>
      <c r="L4" s="190" t="s">
        <v>1890</v>
      </c>
      <c r="M4" s="190" t="s">
        <v>1891</v>
      </c>
    </row>
    <row r="5" spans="2:21" x14ac:dyDescent="0.25">
      <c r="H5" s="414"/>
      <c r="I5" s="415">
        <v>45554</v>
      </c>
      <c r="J5" s="430">
        <v>4072.4281795000002</v>
      </c>
      <c r="K5" s="430"/>
    </row>
    <row r="6" spans="2:21" x14ac:dyDescent="0.25">
      <c r="I6" s="415">
        <f>I5+7</f>
        <v>45561</v>
      </c>
      <c r="J6" s="430"/>
      <c r="K6" s="430"/>
    </row>
    <row r="7" spans="2:21" x14ac:dyDescent="0.25">
      <c r="I7" s="415">
        <f t="shared" ref="I7:I68" si="0">I6+7</f>
        <v>45568</v>
      </c>
      <c r="J7" s="430"/>
      <c r="K7" s="430"/>
    </row>
    <row r="8" spans="2:21" x14ac:dyDescent="0.25">
      <c r="I8" s="415">
        <f t="shared" si="0"/>
        <v>45575</v>
      </c>
      <c r="J8" s="430"/>
      <c r="K8" s="430"/>
    </row>
    <row r="9" spans="2:21" x14ac:dyDescent="0.25">
      <c r="I9" s="415">
        <f t="shared" si="0"/>
        <v>45582</v>
      </c>
      <c r="J9" s="430"/>
      <c r="K9" s="430"/>
    </row>
    <row r="10" spans="2:21" x14ac:dyDescent="0.25">
      <c r="I10" s="415">
        <f t="shared" si="0"/>
        <v>45589</v>
      </c>
      <c r="J10" s="430"/>
      <c r="K10" s="430"/>
    </row>
    <row r="11" spans="2:21" x14ac:dyDescent="0.25">
      <c r="I11" s="415">
        <f t="shared" si="0"/>
        <v>45596</v>
      </c>
      <c r="J11" s="430"/>
      <c r="K11" s="430"/>
      <c r="M11">
        <f>L11-SUM(J7:J11)</f>
        <v>0</v>
      </c>
    </row>
    <row r="12" spans="2:21" x14ac:dyDescent="0.25">
      <c r="I12" s="415">
        <f t="shared" si="0"/>
        <v>45603</v>
      </c>
      <c r="J12" s="430">
        <v>4389.8175498229166</v>
      </c>
      <c r="K12" s="430"/>
    </row>
    <row r="13" spans="2:21" ht="16.5" x14ac:dyDescent="0.35">
      <c r="I13" s="415">
        <f t="shared" si="0"/>
        <v>45610</v>
      </c>
      <c r="J13" s="430">
        <v>4313.1195259895831</v>
      </c>
      <c r="K13" s="430"/>
      <c r="T13" s="446"/>
    </row>
    <row r="14" spans="2:21" x14ac:dyDescent="0.25">
      <c r="I14" s="415">
        <f t="shared" si="0"/>
        <v>45617</v>
      </c>
      <c r="J14" s="430">
        <v>4029.6789788020833</v>
      </c>
      <c r="K14" s="430"/>
      <c r="S14" s="414"/>
      <c r="T14" s="447"/>
    </row>
    <row r="15" spans="2:21" x14ac:dyDescent="0.25">
      <c r="I15" s="415">
        <f t="shared" si="0"/>
        <v>45624</v>
      </c>
      <c r="J15" s="430">
        <v>4336.8559338020832</v>
      </c>
      <c r="K15" s="430"/>
      <c r="M15">
        <f>L15-SUM(J12:J15)</f>
        <v>-17069.471988416666</v>
      </c>
      <c r="T15" s="414"/>
      <c r="U15" s="414"/>
    </row>
    <row r="16" spans="2:21" x14ac:dyDescent="0.25">
      <c r="I16" s="415">
        <f t="shared" si="0"/>
        <v>45631</v>
      </c>
      <c r="J16" s="430">
        <v>4386.4045229374979</v>
      </c>
      <c r="K16" s="430"/>
    </row>
    <row r="17" spans="9:13" x14ac:dyDescent="0.25">
      <c r="I17" s="415">
        <f t="shared" si="0"/>
        <v>45638</v>
      </c>
      <c r="J17" s="430">
        <v>4124.1136175625006</v>
      </c>
      <c r="K17" s="430"/>
    </row>
    <row r="18" spans="9:13" x14ac:dyDescent="0.25">
      <c r="I18" s="415">
        <f t="shared" si="0"/>
        <v>45645</v>
      </c>
      <c r="J18" s="430">
        <v>4357.2476208333328</v>
      </c>
      <c r="K18" s="430"/>
    </row>
    <row r="19" spans="9:13" x14ac:dyDescent="0.25">
      <c r="I19" s="415">
        <f t="shared" si="0"/>
        <v>45652</v>
      </c>
      <c r="J19" s="430">
        <v>4332.6896060937488</v>
      </c>
      <c r="K19" s="430"/>
      <c r="M19">
        <f>L19-SUM(J16:J19)</f>
        <v>-17200.455367427079</v>
      </c>
    </row>
    <row r="20" spans="9:13" x14ac:dyDescent="0.25">
      <c r="I20" s="415">
        <f t="shared" si="0"/>
        <v>45659</v>
      </c>
      <c r="J20" s="430">
        <v>4332.6896060937488</v>
      </c>
      <c r="K20" s="430"/>
    </row>
    <row r="21" spans="9:13" x14ac:dyDescent="0.25">
      <c r="I21" s="415">
        <f t="shared" si="0"/>
        <v>45666</v>
      </c>
      <c r="J21" s="430">
        <v>4428.4385191666652</v>
      </c>
      <c r="K21" s="430"/>
    </row>
    <row r="22" spans="9:13" x14ac:dyDescent="0.25">
      <c r="I22" s="415">
        <f t="shared" si="0"/>
        <v>45673</v>
      </c>
      <c r="J22" s="430">
        <v>4465.0440261458343</v>
      </c>
      <c r="K22" s="430"/>
    </row>
    <row r="23" spans="9:13" x14ac:dyDescent="0.25">
      <c r="I23" s="415">
        <f t="shared" si="0"/>
        <v>45680</v>
      </c>
      <c r="J23" s="430">
        <v>4662.9076691875007</v>
      </c>
      <c r="K23" s="430"/>
    </row>
    <row r="24" spans="9:13" x14ac:dyDescent="0.25">
      <c r="I24" s="415">
        <f t="shared" si="0"/>
        <v>45687</v>
      </c>
      <c r="J24" s="430">
        <v>4730.9739360833328</v>
      </c>
      <c r="K24" s="430"/>
    </row>
    <row r="25" spans="9:13" x14ac:dyDescent="0.25">
      <c r="I25" s="415">
        <f t="shared" si="0"/>
        <v>45694</v>
      </c>
      <c r="J25" s="430">
        <v>4918.0636154479153</v>
      </c>
      <c r="K25" s="430"/>
    </row>
    <row r="26" spans="9:13" x14ac:dyDescent="0.25">
      <c r="I26" s="415">
        <f t="shared" si="0"/>
        <v>45701</v>
      </c>
      <c r="J26" s="430">
        <v>5169.8315885937491</v>
      </c>
      <c r="K26" s="430"/>
    </row>
    <row r="27" spans="9:13" x14ac:dyDescent="0.25">
      <c r="I27" s="415">
        <f t="shared" si="0"/>
        <v>45708</v>
      </c>
      <c r="J27" s="430">
        <v>5383.5447373229154</v>
      </c>
      <c r="K27" s="430"/>
    </row>
    <row r="28" spans="9:13" x14ac:dyDescent="0.25">
      <c r="I28" s="415">
        <f t="shared" si="0"/>
        <v>45715</v>
      </c>
      <c r="J28" s="430">
        <v>5387.6630274791651</v>
      </c>
      <c r="K28" s="430"/>
    </row>
    <row r="29" spans="9:13" x14ac:dyDescent="0.25">
      <c r="I29" s="415">
        <f t="shared" si="0"/>
        <v>45722</v>
      </c>
      <c r="J29" s="430">
        <v>5373.5748882187509</v>
      </c>
      <c r="K29" s="430"/>
    </row>
    <row r="30" spans="9:13" x14ac:dyDescent="0.25">
      <c r="I30" s="415">
        <f t="shared" si="0"/>
        <v>45729</v>
      </c>
      <c r="J30" s="430">
        <v>5339.4975297812498</v>
      </c>
      <c r="K30" s="430"/>
    </row>
    <row r="31" spans="9:13" x14ac:dyDescent="0.25">
      <c r="I31" s="415">
        <f t="shared" si="0"/>
        <v>45736</v>
      </c>
      <c r="J31" s="430">
        <v>4868.4779206249996</v>
      </c>
      <c r="K31" s="430"/>
    </row>
    <row r="32" spans="9:13" x14ac:dyDescent="0.25">
      <c r="I32" s="415">
        <f t="shared" si="0"/>
        <v>45743</v>
      </c>
      <c r="J32" s="430">
        <v>4858.2868796979174</v>
      </c>
      <c r="K32" s="430"/>
    </row>
    <row r="33" spans="9:11" x14ac:dyDescent="0.25">
      <c r="I33" s="415">
        <f t="shared" si="0"/>
        <v>45750</v>
      </c>
      <c r="J33" s="430">
        <v>4858.2868796979174</v>
      </c>
      <c r="K33" s="430"/>
    </row>
    <row r="34" spans="9:11" x14ac:dyDescent="0.25">
      <c r="I34" s="415">
        <f t="shared" si="0"/>
        <v>45757</v>
      </c>
      <c r="J34" s="430">
        <v>4856.2315776145842</v>
      </c>
      <c r="K34" s="430"/>
    </row>
    <row r="35" spans="9:11" x14ac:dyDescent="0.25">
      <c r="I35" s="415">
        <f t="shared" si="0"/>
        <v>45764</v>
      </c>
      <c r="J35" s="430">
        <v>4686.6379081979167</v>
      </c>
      <c r="K35" s="430"/>
    </row>
    <row r="36" spans="9:11" x14ac:dyDescent="0.25">
      <c r="I36" s="415">
        <f t="shared" si="0"/>
        <v>45771</v>
      </c>
      <c r="J36" s="430">
        <v>4174.0958786770834</v>
      </c>
      <c r="K36" s="430"/>
    </row>
    <row r="37" spans="9:11" x14ac:dyDescent="0.25">
      <c r="I37" s="415">
        <v>45777</v>
      </c>
      <c r="J37" s="430">
        <v>4584.28960728125</v>
      </c>
      <c r="K37" s="430"/>
    </row>
    <row r="38" spans="9:11" x14ac:dyDescent="0.25">
      <c r="I38" s="415">
        <f>I37+8</f>
        <v>45785</v>
      </c>
      <c r="J38" s="430">
        <v>4620.3410651770837</v>
      </c>
      <c r="K38" s="430"/>
    </row>
    <row r="39" spans="9:11" x14ac:dyDescent="0.25">
      <c r="I39" s="415">
        <f t="shared" si="0"/>
        <v>45792</v>
      </c>
      <c r="J39" s="430">
        <v>4632.4914305729171</v>
      </c>
      <c r="K39" s="430"/>
    </row>
    <row r="40" spans="9:11" x14ac:dyDescent="0.25">
      <c r="I40" s="415">
        <f t="shared" si="0"/>
        <v>45799</v>
      </c>
      <c r="J40" s="430">
        <v>4632.4914305729171</v>
      </c>
      <c r="K40" s="430"/>
    </row>
    <row r="41" spans="9:11" x14ac:dyDescent="0.25">
      <c r="I41" s="415">
        <f t="shared" si="0"/>
        <v>45806</v>
      </c>
      <c r="J41" s="430">
        <v>4632.4914305729171</v>
      </c>
      <c r="K41" s="430"/>
    </row>
    <row r="42" spans="9:11" x14ac:dyDescent="0.25">
      <c r="I42" s="415">
        <f t="shared" si="0"/>
        <v>45813</v>
      </c>
      <c r="J42" s="430">
        <v>4825.2085811354173</v>
      </c>
      <c r="K42" s="430"/>
    </row>
    <row r="43" spans="9:11" x14ac:dyDescent="0.25">
      <c r="I43" s="415">
        <f t="shared" si="0"/>
        <v>45820</v>
      </c>
      <c r="J43" s="430">
        <v>4801.8745334791665</v>
      </c>
      <c r="K43" s="430"/>
    </row>
    <row r="44" spans="9:11" x14ac:dyDescent="0.25">
      <c r="I44" s="415">
        <f t="shared" si="0"/>
        <v>45827</v>
      </c>
      <c r="J44" s="430">
        <v>4762.86417265625</v>
      </c>
      <c r="K44" s="430"/>
    </row>
    <row r="45" spans="9:11" x14ac:dyDescent="0.25">
      <c r="I45" s="415">
        <f t="shared" si="0"/>
        <v>45834</v>
      </c>
      <c r="J45" s="430">
        <v>4812.0953138020832</v>
      </c>
      <c r="K45" s="430"/>
    </row>
    <row r="46" spans="9:11" x14ac:dyDescent="0.25">
      <c r="I46" s="415">
        <f>I45+4</f>
        <v>45838</v>
      </c>
      <c r="J46" s="430">
        <f>4761.95/7*2</f>
        <v>1360.5571428571427</v>
      </c>
      <c r="K46" s="430"/>
    </row>
    <row r="47" spans="9:11" x14ac:dyDescent="0.25">
      <c r="I47" s="415">
        <f>I46+3</f>
        <v>45841</v>
      </c>
      <c r="J47" s="430">
        <f>G3-J46</f>
        <v>3084.9382558303569</v>
      </c>
      <c r="K47" s="430"/>
    </row>
    <row r="48" spans="9:11" x14ac:dyDescent="0.25">
      <c r="I48" s="415">
        <f t="shared" si="0"/>
        <v>45848</v>
      </c>
      <c r="J48" s="430">
        <v>4793.4050987708333</v>
      </c>
      <c r="K48" s="430"/>
    </row>
    <row r="49" spans="9:11" x14ac:dyDescent="0.25">
      <c r="I49" s="415">
        <f t="shared" si="0"/>
        <v>45855</v>
      </c>
      <c r="J49" s="430">
        <v>5220.6937676666666</v>
      </c>
      <c r="K49" s="430"/>
    </row>
    <row r="50" spans="9:11" x14ac:dyDescent="0.25">
      <c r="I50" s="415">
        <f t="shared" si="0"/>
        <v>45862</v>
      </c>
      <c r="J50" s="430">
        <v>5362.4467204490466</v>
      </c>
      <c r="K50" s="430"/>
    </row>
    <row r="51" spans="9:11" x14ac:dyDescent="0.25">
      <c r="I51" s="415">
        <f t="shared" si="0"/>
        <v>45869</v>
      </c>
      <c r="J51" s="430">
        <v>5504.0311848958345</v>
      </c>
      <c r="K51" s="430"/>
    </row>
    <row r="52" spans="9:11" x14ac:dyDescent="0.25">
      <c r="I52" s="415">
        <f t="shared" si="0"/>
        <v>45876</v>
      </c>
      <c r="J52" s="430">
        <v>5497.4878417847785</v>
      </c>
      <c r="K52" s="430"/>
    </row>
    <row r="53" spans="9:11" x14ac:dyDescent="0.25">
      <c r="I53" s="415">
        <f t="shared" si="0"/>
        <v>45883</v>
      </c>
      <c r="J53" s="430">
        <v>5551.9314212499994</v>
      </c>
      <c r="K53" s="430"/>
    </row>
    <row r="54" spans="9:11" x14ac:dyDescent="0.25">
      <c r="I54" s="415">
        <f t="shared" si="0"/>
        <v>45890</v>
      </c>
      <c r="J54" s="430">
        <v>5369.370178718751</v>
      </c>
      <c r="K54" s="430"/>
    </row>
    <row r="55" spans="9:11" x14ac:dyDescent="0.25">
      <c r="I55" s="415">
        <f t="shared" si="0"/>
        <v>45897</v>
      </c>
      <c r="J55" s="430">
        <v>5348.7566286583342</v>
      </c>
      <c r="K55" s="430"/>
    </row>
    <row r="56" spans="9:11" x14ac:dyDescent="0.25">
      <c r="I56" s="415">
        <f t="shared" si="0"/>
        <v>45904</v>
      </c>
      <c r="J56" s="430">
        <v>5006.7592287916659</v>
      </c>
      <c r="K56" s="430"/>
    </row>
    <row r="57" spans="9:11" x14ac:dyDescent="0.25">
      <c r="I57" s="415">
        <f t="shared" si="0"/>
        <v>45911</v>
      </c>
      <c r="J57" s="430">
        <v>5025.2643845552084</v>
      </c>
      <c r="K57" s="430"/>
    </row>
    <row r="58" spans="9:11" x14ac:dyDescent="0.25">
      <c r="I58" s="415">
        <f t="shared" si="0"/>
        <v>45918</v>
      </c>
      <c r="J58" s="430">
        <v>5054.5536176281248</v>
      </c>
      <c r="K58" s="430"/>
    </row>
    <row r="59" spans="9:11" x14ac:dyDescent="0.25">
      <c r="I59" s="415">
        <f t="shared" si="0"/>
        <v>45925</v>
      </c>
      <c r="J59" s="430">
        <v>5119.2018915927083</v>
      </c>
      <c r="K59" s="430"/>
    </row>
    <row r="60" spans="9:11" x14ac:dyDescent="0.25">
      <c r="I60" s="415">
        <f t="shared" si="0"/>
        <v>45932</v>
      </c>
      <c r="J60" s="430">
        <v>5150.8734137093752</v>
      </c>
      <c r="K60" s="430"/>
    </row>
    <row r="61" spans="9:11" x14ac:dyDescent="0.25">
      <c r="I61" s="415">
        <f t="shared" si="0"/>
        <v>45939</v>
      </c>
      <c r="J61" s="430">
        <v>4888.2457290218745</v>
      </c>
      <c r="K61" s="430"/>
    </row>
    <row r="62" spans="9:11" x14ac:dyDescent="0.25">
      <c r="I62" s="415">
        <f t="shared" si="0"/>
        <v>45946</v>
      </c>
      <c r="J62" s="430">
        <v>4685.8966884781239</v>
      </c>
      <c r="K62" s="430"/>
    </row>
    <row r="63" spans="9:11" x14ac:dyDescent="0.25">
      <c r="I63" s="415">
        <f t="shared" si="0"/>
        <v>45953</v>
      </c>
      <c r="J63" s="430">
        <v>4668.5836086833324</v>
      </c>
      <c r="K63" s="430"/>
    </row>
    <row r="64" spans="9:11" x14ac:dyDescent="0.25">
      <c r="I64" s="415">
        <f t="shared" si="0"/>
        <v>45960</v>
      </c>
      <c r="J64" s="430">
        <v>4529.0847178885415</v>
      </c>
      <c r="K64" s="430"/>
    </row>
    <row r="65" spans="9:11" x14ac:dyDescent="0.25">
      <c r="I65" s="415">
        <f t="shared" si="0"/>
        <v>45967</v>
      </c>
      <c r="J65" s="430">
        <v>4515.9184460520837</v>
      </c>
      <c r="K65" s="430"/>
    </row>
    <row r="66" spans="9:11" x14ac:dyDescent="0.25">
      <c r="I66" s="415">
        <f t="shared" si="0"/>
        <v>45974</v>
      </c>
      <c r="J66" s="430">
        <v>4422.9512354916651</v>
      </c>
      <c r="K66" s="430"/>
    </row>
    <row r="67" spans="9:11" x14ac:dyDescent="0.25">
      <c r="I67" s="415">
        <f t="shared" si="0"/>
        <v>45981</v>
      </c>
      <c r="J67" s="430">
        <v>4507.1983196729161</v>
      </c>
      <c r="K67" s="430"/>
    </row>
    <row r="68" spans="9:11" x14ac:dyDescent="0.25">
      <c r="I68" s="415">
        <f t="shared" si="0"/>
        <v>45988</v>
      </c>
      <c r="J68" s="430">
        <v>4353.2717169895832</v>
      </c>
      <c r="K68" s="430"/>
    </row>
    <row r="69" spans="9:11" x14ac:dyDescent="0.25">
      <c r="I69" s="415">
        <v>45991</v>
      </c>
      <c r="J69" s="479">
        <v>621.89595956994049</v>
      </c>
      <c r="K69" s="430"/>
    </row>
    <row r="70" spans="9:11" x14ac:dyDescent="0.25">
      <c r="I70" s="415">
        <f>I69+1</f>
        <v>45992</v>
      </c>
      <c r="J70" s="479">
        <v>619.428426688988</v>
      </c>
      <c r="K70" s="430"/>
    </row>
    <row r="71" spans="9:11" x14ac:dyDescent="0.25">
      <c r="I71" s="415">
        <f t="shared" ref="I71:I134" si="1">I70+1</f>
        <v>45993</v>
      </c>
      <c r="J71" s="479">
        <v>619.56925167113081</v>
      </c>
      <c r="K71" s="430"/>
    </row>
    <row r="72" spans="9:11" x14ac:dyDescent="0.25">
      <c r="I72" s="415">
        <f t="shared" si="1"/>
        <v>45994</v>
      </c>
      <c r="J72" s="479">
        <v>619.00454447619052</v>
      </c>
      <c r="K72" s="430"/>
    </row>
    <row r="73" spans="9:11" x14ac:dyDescent="0.25">
      <c r="I73" s="415">
        <f t="shared" si="1"/>
        <v>45995</v>
      </c>
      <c r="J73" s="479">
        <v>619.42381830208342</v>
      </c>
      <c r="K73" s="430"/>
    </row>
    <row r="74" spans="9:11" x14ac:dyDescent="0.25">
      <c r="I74" s="415">
        <f t="shared" si="1"/>
        <v>45996</v>
      </c>
      <c r="J74" s="479">
        <v>619.42381830208342</v>
      </c>
      <c r="K74" s="430"/>
    </row>
    <row r="75" spans="9:11" x14ac:dyDescent="0.25">
      <c r="I75" s="415">
        <f t="shared" si="1"/>
        <v>45997</v>
      </c>
      <c r="J75" s="479">
        <v>619.42381830208342</v>
      </c>
      <c r="K75" s="430"/>
    </row>
    <row r="76" spans="9:11" x14ac:dyDescent="0.25">
      <c r="I76" s="415">
        <f t="shared" si="1"/>
        <v>45998</v>
      </c>
      <c r="J76" s="479">
        <v>619.42381830208342</v>
      </c>
      <c r="K76" s="430"/>
    </row>
    <row r="77" spans="9:11" x14ac:dyDescent="0.25">
      <c r="I77" s="415">
        <f t="shared" si="1"/>
        <v>45999</v>
      </c>
      <c r="J77" s="479">
        <v>621.41720826488086</v>
      </c>
      <c r="K77" s="430"/>
    </row>
    <row r="78" spans="9:11" x14ac:dyDescent="0.25">
      <c r="I78" s="415">
        <f t="shared" si="1"/>
        <v>46000</v>
      </c>
      <c r="J78" s="479">
        <v>621.41720826488086</v>
      </c>
      <c r="K78" s="430"/>
    </row>
    <row r="79" spans="9:11" x14ac:dyDescent="0.25">
      <c r="I79" s="415">
        <f t="shared" si="1"/>
        <v>46001</v>
      </c>
      <c r="J79" s="479">
        <v>625.46111969940478</v>
      </c>
      <c r="K79" s="430"/>
    </row>
    <row r="80" spans="9:11" x14ac:dyDescent="0.25">
      <c r="I80" s="415">
        <f t="shared" si="1"/>
        <v>46002</v>
      </c>
      <c r="J80" s="479">
        <v>625.44688480803575</v>
      </c>
      <c r="K80" s="430"/>
    </row>
    <row r="81" spans="9:11" x14ac:dyDescent="0.25">
      <c r="I81" s="415">
        <f t="shared" si="1"/>
        <v>46003</v>
      </c>
      <c r="J81" s="479">
        <v>625.44688480803575</v>
      </c>
      <c r="K81" s="430"/>
    </row>
    <row r="82" spans="9:11" x14ac:dyDescent="0.25">
      <c r="I82" s="415">
        <f t="shared" si="1"/>
        <v>46004</v>
      </c>
      <c r="J82" s="479">
        <v>625.44688480803575</v>
      </c>
    </row>
    <row r="83" spans="9:11" x14ac:dyDescent="0.25">
      <c r="I83" s="415">
        <f t="shared" si="1"/>
        <v>46005</v>
      </c>
      <c r="J83" s="156">
        <v>625.58854876636894</v>
      </c>
    </row>
    <row r="84" spans="9:11" x14ac:dyDescent="0.25">
      <c r="I84" s="415">
        <f t="shared" si="1"/>
        <v>46006</v>
      </c>
      <c r="J84" s="156">
        <v>625.73412836160719</v>
      </c>
    </row>
    <row r="85" spans="9:11" x14ac:dyDescent="0.25">
      <c r="I85" s="415">
        <f t="shared" si="1"/>
        <v>46007</v>
      </c>
      <c r="J85" s="156">
        <v>628.86889377529758</v>
      </c>
    </row>
    <row r="86" spans="9:11" x14ac:dyDescent="0.25">
      <c r="I86" s="415">
        <f t="shared" si="1"/>
        <v>46008</v>
      </c>
      <c r="J86" s="156">
        <v>628.86889377529758</v>
      </c>
    </row>
    <row r="87" spans="9:11" x14ac:dyDescent="0.25">
      <c r="I87" s="415">
        <f t="shared" si="1"/>
        <v>46009</v>
      </c>
      <c r="J87" s="156">
        <v>628.94116990327382</v>
      </c>
    </row>
    <row r="88" spans="9:11" x14ac:dyDescent="0.25">
      <c r="I88" s="415">
        <f t="shared" si="1"/>
        <v>46010</v>
      </c>
      <c r="J88" s="156">
        <v>628.75179914136902</v>
      </c>
    </row>
    <row r="89" spans="9:11" x14ac:dyDescent="0.25">
      <c r="I89" s="415">
        <f t="shared" si="1"/>
        <v>46011</v>
      </c>
      <c r="J89" s="156">
        <v>628.75179914136902</v>
      </c>
    </row>
    <row r="90" spans="9:11" x14ac:dyDescent="0.25">
      <c r="I90" s="415">
        <f t="shared" si="1"/>
        <v>46012</v>
      </c>
      <c r="J90" s="156">
        <v>628.75179914136902</v>
      </c>
    </row>
    <row r="91" spans="9:11" x14ac:dyDescent="0.25">
      <c r="I91" s="415">
        <f t="shared" si="1"/>
        <v>46013</v>
      </c>
      <c r="J91" s="156">
        <v>628.75179914136902</v>
      </c>
    </row>
    <row r="92" spans="9:11" x14ac:dyDescent="0.25">
      <c r="I92" s="415">
        <f t="shared" si="1"/>
        <v>46014</v>
      </c>
      <c r="J92" s="156">
        <v>628.75179914136902</v>
      </c>
    </row>
    <row r="93" spans="9:11" x14ac:dyDescent="0.25">
      <c r="I93" s="415">
        <f t="shared" si="1"/>
        <v>46015</v>
      </c>
      <c r="J93" s="156">
        <v>628.75179914136902</v>
      </c>
    </row>
    <row r="94" spans="9:11" x14ac:dyDescent="0.25">
      <c r="I94" s="415">
        <f t="shared" si="1"/>
        <v>46016</v>
      </c>
      <c r="J94" s="156">
        <v>629.97965848660704</v>
      </c>
    </row>
    <row r="95" spans="9:11" x14ac:dyDescent="0.25">
      <c r="I95" s="415">
        <f t="shared" si="1"/>
        <v>46017</v>
      </c>
      <c r="J95" s="156">
        <v>629.97965848660704</v>
      </c>
    </row>
    <row r="96" spans="9:11" x14ac:dyDescent="0.25">
      <c r="I96" s="415">
        <f t="shared" si="1"/>
        <v>46018</v>
      </c>
      <c r="J96" s="156">
        <v>629.97965848660704</v>
      </c>
    </row>
    <row r="97" spans="9:10" x14ac:dyDescent="0.25">
      <c r="I97" s="415">
        <f t="shared" si="1"/>
        <v>46019</v>
      </c>
      <c r="J97" s="156">
        <v>629.97965848660704</v>
      </c>
    </row>
    <row r="98" spans="9:10" x14ac:dyDescent="0.25">
      <c r="I98" s="415">
        <f t="shared" si="1"/>
        <v>46020</v>
      </c>
      <c r="J98" s="156">
        <v>629.97965848660704</v>
      </c>
    </row>
    <row r="99" spans="9:10" x14ac:dyDescent="0.25">
      <c r="I99" s="415">
        <f t="shared" si="1"/>
        <v>46021</v>
      </c>
      <c r="J99" s="156">
        <v>629.97965848660704</v>
      </c>
    </row>
    <row r="100" spans="9:10" x14ac:dyDescent="0.25">
      <c r="I100" s="415">
        <f t="shared" si="1"/>
        <v>46022</v>
      </c>
      <c r="J100" s="156">
        <v>628.8053670357142</v>
      </c>
    </row>
    <row r="101" spans="9:10" x14ac:dyDescent="0.25">
      <c r="I101" s="415">
        <f t="shared" si="1"/>
        <v>46023</v>
      </c>
      <c r="J101" s="156">
        <v>628.8053670357142</v>
      </c>
    </row>
    <row r="102" spans="9:10" x14ac:dyDescent="0.25">
      <c r="I102" s="415">
        <f t="shared" si="1"/>
        <v>46024</v>
      </c>
      <c r="J102" s="156">
        <v>628.34780577976198</v>
      </c>
    </row>
    <row r="103" spans="9:10" x14ac:dyDescent="0.25">
      <c r="I103" s="415">
        <f t="shared" si="1"/>
        <v>46025</v>
      </c>
      <c r="J103" s="156">
        <v>628.34780577976198</v>
      </c>
    </row>
    <row r="104" spans="9:10" x14ac:dyDescent="0.25">
      <c r="I104" s="415">
        <f t="shared" si="1"/>
        <v>46026</v>
      </c>
      <c r="J104" s="156">
        <v>628.34780577976198</v>
      </c>
    </row>
    <row r="105" spans="9:10" x14ac:dyDescent="0.25">
      <c r="I105" s="415">
        <f t="shared" si="1"/>
        <v>46027</v>
      </c>
      <c r="J105" s="156">
        <v>628.34780577976198</v>
      </c>
    </row>
    <row r="106" spans="9:10" x14ac:dyDescent="0.25">
      <c r="I106" s="415">
        <f t="shared" si="1"/>
        <v>46028</v>
      </c>
      <c r="J106" s="156">
        <v>628.34780577976198</v>
      </c>
    </row>
    <row r="107" spans="9:10" x14ac:dyDescent="0.25">
      <c r="I107" s="415">
        <f t="shared" si="1"/>
        <v>46029</v>
      </c>
      <c r="J107" s="156">
        <v>628.34780577976198</v>
      </c>
    </row>
    <row r="108" spans="9:10" x14ac:dyDescent="0.25">
      <c r="I108" s="415">
        <f t="shared" si="1"/>
        <v>46030</v>
      </c>
      <c r="J108" s="156">
        <v>628.34780577976198</v>
      </c>
    </row>
    <row r="109" spans="9:10" x14ac:dyDescent="0.25">
      <c r="I109" s="415">
        <f t="shared" si="1"/>
        <v>46031</v>
      </c>
      <c r="J109" s="156">
        <v>630.00322487797609</v>
      </c>
    </row>
    <row r="110" spans="9:10" x14ac:dyDescent="0.25">
      <c r="I110" s="415">
        <f t="shared" si="1"/>
        <v>46032</v>
      </c>
      <c r="J110" s="156">
        <v>630.00322487797609</v>
      </c>
    </row>
    <row r="111" spans="9:10" x14ac:dyDescent="0.25">
      <c r="I111" s="415">
        <f t="shared" si="1"/>
        <v>46033</v>
      </c>
      <c r="J111" s="156">
        <v>630.00322487797609</v>
      </c>
    </row>
    <row r="112" spans="9:10" x14ac:dyDescent="0.25">
      <c r="I112" s="415">
        <f t="shared" si="1"/>
        <v>46034</v>
      </c>
      <c r="J112" s="156">
        <v>588.14061836944461</v>
      </c>
    </row>
    <row r="113" spans="9:10" x14ac:dyDescent="0.25">
      <c r="I113" s="415">
        <f t="shared" si="1"/>
        <v>46035</v>
      </c>
      <c r="J113" s="156">
        <v>589.59052811527783</v>
      </c>
    </row>
    <row r="114" spans="9:10" x14ac:dyDescent="0.25">
      <c r="I114" s="415">
        <f t="shared" si="1"/>
        <v>46036</v>
      </c>
      <c r="J114" s="156">
        <v>590.55153665277783</v>
      </c>
    </row>
    <row r="115" spans="9:10" x14ac:dyDescent="0.25">
      <c r="I115" s="415">
        <f t="shared" si="1"/>
        <v>46037</v>
      </c>
      <c r="J115" s="156">
        <v>590.69387867638875</v>
      </c>
    </row>
    <row r="116" spans="9:10" x14ac:dyDescent="0.25">
      <c r="I116" s="415">
        <f t="shared" si="1"/>
        <v>46038</v>
      </c>
      <c r="J116" s="156">
        <v>588.7439825125</v>
      </c>
    </row>
    <row r="117" spans="9:10" x14ac:dyDescent="0.25">
      <c r="I117" s="415">
        <f t="shared" si="1"/>
        <v>46039</v>
      </c>
      <c r="J117" s="156">
        <v>588.7439825125</v>
      </c>
    </row>
    <row r="118" spans="9:10" x14ac:dyDescent="0.25">
      <c r="I118" s="415">
        <f t="shared" si="1"/>
        <v>46040</v>
      </c>
      <c r="J118" s="156">
        <v>588.7439825125</v>
      </c>
    </row>
    <row r="119" spans="9:10" x14ac:dyDescent="0.25">
      <c r="I119" s="415">
        <f t="shared" si="1"/>
        <v>46041</v>
      </c>
      <c r="J119" s="156">
        <v>588.88997582361105</v>
      </c>
    </row>
    <row r="120" spans="9:10" x14ac:dyDescent="0.25">
      <c r="I120" s="415">
        <f t="shared" si="1"/>
        <v>46042</v>
      </c>
      <c r="J120" s="479">
        <v>592.23996594444441</v>
      </c>
    </row>
    <row r="121" spans="9:10" x14ac:dyDescent="0.25">
      <c r="I121" s="415">
        <f t="shared" si="1"/>
        <v>46043</v>
      </c>
      <c r="J121" s="479">
        <v>592.40654287916652</v>
      </c>
    </row>
    <row r="122" spans="9:10" x14ac:dyDescent="0.25">
      <c r="I122" s="415">
        <f t="shared" si="1"/>
        <v>46044</v>
      </c>
      <c r="J122" s="479">
        <v>590.86938668333335</v>
      </c>
    </row>
    <row r="123" spans="9:10" x14ac:dyDescent="0.25">
      <c r="I123" s="415">
        <f t="shared" si="1"/>
        <v>46045</v>
      </c>
      <c r="J123" s="156">
        <v>589.80412384722206</v>
      </c>
    </row>
    <row r="124" spans="9:10" x14ac:dyDescent="0.25">
      <c r="I124" s="415">
        <f t="shared" si="1"/>
        <v>46046</v>
      </c>
      <c r="J124" s="156">
        <v>589.80412384722206</v>
      </c>
    </row>
    <row r="125" spans="9:10" x14ac:dyDescent="0.25">
      <c r="I125" s="415">
        <f t="shared" si="1"/>
        <v>46047</v>
      </c>
      <c r="J125" s="156">
        <v>589.80412384722206</v>
      </c>
    </row>
    <row r="126" spans="9:10" x14ac:dyDescent="0.25">
      <c r="I126" s="415">
        <f t="shared" si="1"/>
        <v>46048</v>
      </c>
      <c r="J126" s="156">
        <v>589.80412384722206</v>
      </c>
    </row>
    <row r="127" spans="9:10" x14ac:dyDescent="0.25">
      <c r="I127" s="415">
        <f t="shared" si="1"/>
        <v>46049</v>
      </c>
      <c r="J127" s="156">
        <v>591.55724559305554</v>
      </c>
    </row>
    <row r="128" spans="9:10" x14ac:dyDescent="0.25">
      <c r="I128" s="415">
        <f t="shared" si="1"/>
        <v>46050</v>
      </c>
      <c r="J128" s="156">
        <v>591.55724559305554</v>
      </c>
    </row>
    <row r="129" spans="9:10" x14ac:dyDescent="0.25">
      <c r="I129" s="415">
        <f t="shared" si="1"/>
        <v>46051</v>
      </c>
      <c r="J129" s="156">
        <v>593.0032035097222</v>
      </c>
    </row>
    <row r="130" spans="9:10" x14ac:dyDescent="0.25">
      <c r="I130" s="415">
        <f t="shared" si="1"/>
        <v>46052</v>
      </c>
      <c r="J130" s="156">
        <v>591.62517096805561</v>
      </c>
    </row>
    <row r="131" spans="9:10" x14ac:dyDescent="0.25">
      <c r="I131" s="415">
        <f t="shared" si="1"/>
        <v>46053</v>
      </c>
      <c r="J131" s="156">
        <v>591.62517096805561</v>
      </c>
    </row>
    <row r="132" spans="9:10" x14ac:dyDescent="0.25">
      <c r="I132" s="415">
        <f t="shared" si="1"/>
        <v>46054</v>
      </c>
      <c r="J132" s="156">
        <v>591.62517096805561</v>
      </c>
    </row>
    <row r="133" spans="9:10" x14ac:dyDescent="0.25">
      <c r="I133" s="415">
        <f t="shared" si="1"/>
        <v>46055</v>
      </c>
      <c r="J133" s="156">
        <v>592.1773635930557</v>
      </c>
    </row>
    <row r="134" spans="9:10" x14ac:dyDescent="0.25">
      <c r="I134" s="415">
        <f t="shared" si="1"/>
        <v>46056</v>
      </c>
      <c r="J134" s="156">
        <v>592.1773635930557</v>
      </c>
    </row>
    <row r="135" spans="9:10" x14ac:dyDescent="0.25">
      <c r="I135" s="415">
        <f t="shared" ref="I135:I168" si="2">I134+1</f>
        <v>46057</v>
      </c>
      <c r="J135" s="156">
        <v>592.58668089722221</v>
      </c>
    </row>
    <row r="136" spans="9:10" x14ac:dyDescent="0.25">
      <c r="I136" s="415">
        <f t="shared" si="2"/>
        <v>46058</v>
      </c>
      <c r="J136" s="156">
        <v>592.58668089722221</v>
      </c>
    </row>
    <row r="137" spans="9:10" x14ac:dyDescent="0.25">
      <c r="I137" s="415">
        <f t="shared" si="2"/>
        <v>46059</v>
      </c>
      <c r="J137" s="156">
        <v>592.65483575833332</v>
      </c>
    </row>
    <row r="138" spans="9:10" x14ac:dyDescent="0.25">
      <c r="I138" s="415">
        <f t="shared" si="2"/>
        <v>46060</v>
      </c>
      <c r="J138" s="156">
        <v>592.65483575833332</v>
      </c>
    </row>
    <row r="139" spans="9:10" x14ac:dyDescent="0.25">
      <c r="I139" s="415">
        <f t="shared" si="2"/>
        <v>46061</v>
      </c>
      <c r="J139" s="156">
        <v>592.65483575833332</v>
      </c>
    </row>
    <row r="140" spans="9:10" x14ac:dyDescent="0.25">
      <c r="I140" s="415">
        <f t="shared" si="2"/>
        <v>46062</v>
      </c>
      <c r="J140" s="156">
        <v>593.0647434013888</v>
      </c>
    </row>
    <row r="141" spans="9:10" x14ac:dyDescent="0.25">
      <c r="I141" s="415">
        <f t="shared" si="2"/>
        <v>46063</v>
      </c>
      <c r="J141" s="156">
        <v>593.33467398333323</v>
      </c>
    </row>
    <row r="142" spans="9:10" x14ac:dyDescent="0.25">
      <c r="I142" s="415">
        <f t="shared" si="2"/>
        <v>46064</v>
      </c>
      <c r="J142" s="156">
        <v>594.01916357638902</v>
      </c>
    </row>
    <row r="143" spans="9:10" x14ac:dyDescent="0.25">
      <c r="I143" s="415">
        <f t="shared" si="2"/>
        <v>46065</v>
      </c>
      <c r="J143" s="156">
        <v>594.01916357638902</v>
      </c>
    </row>
    <row r="144" spans="9:10" x14ac:dyDescent="0.25">
      <c r="I144" s="415">
        <f t="shared" si="2"/>
        <v>46066</v>
      </c>
      <c r="J144" s="156">
        <v>594.01916357638902</v>
      </c>
    </row>
    <row r="145" spans="9:10" x14ac:dyDescent="0.25">
      <c r="I145" s="415">
        <f t="shared" si="2"/>
        <v>46067</v>
      </c>
      <c r="J145" s="156">
        <v>594.01916357638902</v>
      </c>
    </row>
    <row r="146" spans="9:10" x14ac:dyDescent="0.25">
      <c r="I146" s="415">
        <f t="shared" si="2"/>
        <v>46068</v>
      </c>
      <c r="J146" s="156">
        <v>594.01916357638902</v>
      </c>
    </row>
    <row r="147" spans="9:10" x14ac:dyDescent="0.25">
      <c r="I147" s="415">
        <f t="shared" si="2"/>
        <v>46069</v>
      </c>
      <c r="J147" s="156">
        <v>594.01916357638902</v>
      </c>
    </row>
    <row r="148" spans="9:10" x14ac:dyDescent="0.25">
      <c r="I148" s="415">
        <f t="shared" si="2"/>
        <v>46070</v>
      </c>
      <c r="J148" s="156">
        <v>594.01916357638902</v>
      </c>
    </row>
    <row r="149" spans="9:10" x14ac:dyDescent="0.25">
      <c r="I149" s="415">
        <f t="shared" si="2"/>
        <v>46071</v>
      </c>
      <c r="J149" s="156">
        <v>586.18859747222234</v>
      </c>
    </row>
    <row r="150" spans="9:10" x14ac:dyDescent="0.25">
      <c r="I150" s="415">
        <f t="shared" si="2"/>
        <v>46072</v>
      </c>
      <c r="J150" s="156">
        <v>586.32272151111113</v>
      </c>
    </row>
    <row r="151" spans="9:10" x14ac:dyDescent="0.25">
      <c r="I151" s="415">
        <f t="shared" si="2"/>
        <v>46073</v>
      </c>
      <c r="J151" s="156">
        <v>586.4980103097223</v>
      </c>
    </row>
    <row r="152" spans="9:10" x14ac:dyDescent="0.25">
      <c r="I152" s="415">
        <f t="shared" si="2"/>
        <v>46074</v>
      </c>
      <c r="J152" s="156">
        <v>586.4980103097223</v>
      </c>
    </row>
    <row r="153" spans="9:10" x14ac:dyDescent="0.25">
      <c r="I153" s="415">
        <f t="shared" si="2"/>
        <v>46075</v>
      </c>
      <c r="J153" s="156">
        <v>586.4980103097223</v>
      </c>
    </row>
    <row r="154" spans="9:10" x14ac:dyDescent="0.25">
      <c r="I154" s="415">
        <f t="shared" si="2"/>
        <v>46076</v>
      </c>
      <c r="J154" s="156">
        <v>586.63224050833333</v>
      </c>
    </row>
    <row r="155" spans="9:10" x14ac:dyDescent="0.25">
      <c r="I155" s="415">
        <f t="shared" si="2"/>
        <v>46077</v>
      </c>
      <c r="J155" s="156">
        <v>586.7702227625</v>
      </c>
    </row>
    <row r="156" spans="9:10" x14ac:dyDescent="0.25">
      <c r="I156" s="415">
        <f t="shared" si="2"/>
        <v>46078</v>
      </c>
      <c r="J156" s="156">
        <v>586.7702227625</v>
      </c>
    </row>
    <row r="157" spans="9:10" x14ac:dyDescent="0.25">
      <c r="I157" s="415">
        <f t="shared" si="2"/>
        <v>46079</v>
      </c>
      <c r="J157" s="156">
        <v>588.02310123055565</v>
      </c>
    </row>
    <row r="158" spans="9:10" x14ac:dyDescent="0.25">
      <c r="I158" s="415">
        <f t="shared" si="2"/>
        <v>46080</v>
      </c>
      <c r="J158" s="156">
        <v>589.13188771388911</v>
      </c>
    </row>
    <row r="159" spans="9:10" x14ac:dyDescent="0.25">
      <c r="I159" s="415">
        <f t="shared" si="2"/>
        <v>46081</v>
      </c>
      <c r="J159" s="156">
        <v>589.13188771388911</v>
      </c>
    </row>
    <row r="160" spans="9:10" x14ac:dyDescent="0.25">
      <c r="I160" s="415">
        <f t="shared" si="2"/>
        <v>46082</v>
      </c>
      <c r="J160" s="156">
        <v>589.13188771388911</v>
      </c>
    </row>
    <row r="161" spans="9:10" x14ac:dyDescent="0.25">
      <c r="I161" s="415">
        <f t="shared" si="2"/>
        <v>46083</v>
      </c>
      <c r="J161" s="430">
        <v>589.26995712361122</v>
      </c>
    </row>
    <row r="162" spans="9:10" x14ac:dyDescent="0.25">
      <c r="I162" s="415">
        <f t="shared" si="2"/>
        <v>46084</v>
      </c>
      <c r="J162" s="430">
        <v>589.3896696055557</v>
      </c>
    </row>
    <row r="163" spans="9:10" x14ac:dyDescent="0.25">
      <c r="I163" s="415">
        <f t="shared" si="2"/>
        <v>46085</v>
      </c>
      <c r="J163">
        <v>590.47168173611101</v>
      </c>
    </row>
    <row r="164" spans="9:10" x14ac:dyDescent="0.25">
      <c r="I164" s="415">
        <f t="shared" si="2"/>
        <v>46086</v>
      </c>
      <c r="J164">
        <v>590.60299150277785</v>
      </c>
    </row>
    <row r="165" spans="9:10" x14ac:dyDescent="0.25">
      <c r="I165" s="415">
        <f t="shared" si="2"/>
        <v>46087</v>
      </c>
      <c r="J165">
        <v>591.01207621250023</v>
      </c>
    </row>
    <row r="166" spans="9:10" x14ac:dyDescent="0.25">
      <c r="I166" s="415">
        <f t="shared" si="2"/>
        <v>46088</v>
      </c>
      <c r="J166">
        <v>591.01207621250023</v>
      </c>
    </row>
    <row r="167" spans="9:10" x14ac:dyDescent="0.25">
      <c r="I167" s="415">
        <f t="shared" si="2"/>
        <v>46089</v>
      </c>
      <c r="J167">
        <v>591.01207621250023</v>
      </c>
    </row>
    <row r="168" spans="9:10" x14ac:dyDescent="0.25">
      <c r="I168" s="415">
        <f t="shared" si="2"/>
        <v>46090</v>
      </c>
      <c r="J168" s="414">
        <v>591.39243451666653</v>
      </c>
    </row>
    <row r="169" spans="9:10" x14ac:dyDescent="0.25">
      <c r="I169" s="415">
        <v>46091</v>
      </c>
      <c r="J169">
        <v>591.56016564166669</v>
      </c>
    </row>
    <row r="170" spans="9:10" x14ac:dyDescent="0.25">
      <c r="I170" s="415">
        <v>46092</v>
      </c>
      <c r="J170">
        <v>592.06658594861119</v>
      </c>
    </row>
    <row r="171" spans="9:10" x14ac:dyDescent="0.25">
      <c r="I171" s="415">
        <v>46093</v>
      </c>
      <c r="J171">
        <v>592.20623338472228</v>
      </c>
    </row>
    <row r="172" spans="9:10" x14ac:dyDescent="0.25">
      <c r="I172" s="415">
        <v>46094</v>
      </c>
      <c r="J172">
        <v>592.60771810555559</v>
      </c>
    </row>
    <row r="173" spans="9:10" x14ac:dyDescent="0.25">
      <c r="I173" s="415">
        <v>46095</v>
      </c>
      <c r="J173">
        <v>592.60771810555559</v>
      </c>
    </row>
    <row r="174" spans="9:10" x14ac:dyDescent="0.25">
      <c r="I174" s="415">
        <v>46096</v>
      </c>
      <c r="J174">
        <v>592.60771810555559</v>
      </c>
    </row>
    <row r="175" spans="9:10" x14ac:dyDescent="0.25">
      <c r="I175" s="415">
        <v>46097</v>
      </c>
      <c r="J175">
        <v>592.74589751527776</v>
      </c>
    </row>
    <row r="176" spans="9:10" x14ac:dyDescent="0.25">
      <c r="I176" s="415">
        <v>46098</v>
      </c>
      <c r="J176">
        <v>593.69473611111118</v>
      </c>
    </row>
    <row r="177" spans="9:10" x14ac:dyDescent="0.25">
      <c r="I177" s="415">
        <v>46099</v>
      </c>
      <c r="J177">
        <v>593.69473611111118</v>
      </c>
    </row>
    <row r="178" spans="9:10" x14ac:dyDescent="0.25">
      <c r="I178" s="415">
        <v>46100</v>
      </c>
      <c r="J178">
        <v>593.69473611111118</v>
      </c>
    </row>
    <row r="179" spans="9:10" x14ac:dyDescent="0.25">
      <c r="I179" s="415">
        <v>46101</v>
      </c>
      <c r="J179">
        <v>593.69473611111118</v>
      </c>
    </row>
    <row r="180" spans="9:10" x14ac:dyDescent="0.25">
      <c r="I180" s="415">
        <v>46102</v>
      </c>
      <c r="J180">
        <v>593.69473611111118</v>
      </c>
    </row>
    <row r="181" spans="9:10" x14ac:dyDescent="0.25">
      <c r="I181" s="415">
        <v>46103</v>
      </c>
      <c r="J181">
        <v>593.69473611111118</v>
      </c>
    </row>
    <row r="182" spans="9:10" x14ac:dyDescent="0.25">
      <c r="I182" s="415">
        <v>46104</v>
      </c>
      <c r="J182">
        <v>593.69473611111118</v>
      </c>
    </row>
    <row r="183" spans="9:10" x14ac:dyDescent="0.25">
      <c r="I183" s="415">
        <v>46105</v>
      </c>
      <c r="J183">
        <v>593.69473611111118</v>
      </c>
    </row>
    <row r="184" spans="9:10" x14ac:dyDescent="0.25">
      <c r="I184" s="415">
        <v>46106</v>
      </c>
      <c r="J184">
        <v>592.732719825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191"/>
  <sheetViews>
    <sheetView zoomScale="85" zoomScaleNormal="85" workbookViewId="0">
      <selection activeCell="A12" sqref="A12"/>
    </sheetView>
  </sheetViews>
  <sheetFormatPr defaultColWidth="20.7109375" defaultRowHeight="19.899999999999999" customHeight="1" x14ac:dyDescent="0.25"/>
  <cols>
    <col min="1" max="1" width="20.7109375" style="206"/>
    <col min="2" max="3" width="24.7109375" style="206" customWidth="1"/>
    <col min="4" max="4" width="26.28515625" style="258" customWidth="1"/>
    <col min="5" max="8" width="20.7109375" style="206" customWidth="1"/>
    <col min="9" max="16384" width="20.7109375" style="206"/>
  </cols>
  <sheetData>
    <row r="1" spans="1:14" ht="19.899999999999999" customHeight="1" thickBot="1" x14ac:dyDescent="0.3">
      <c r="A1" s="253"/>
      <c r="B1" s="574">
        <f>D2+F2+H2+J2+L2+N2</f>
        <v>350913.57649069454</v>
      </c>
      <c r="C1" s="573" t="s">
        <v>1232</v>
      </c>
      <c r="D1" s="572"/>
      <c r="E1" s="571" t="s">
        <v>1261</v>
      </c>
      <c r="F1" s="572"/>
      <c r="G1" s="571" t="s">
        <v>1407</v>
      </c>
      <c r="H1" s="572"/>
      <c r="I1" s="571" t="s">
        <v>1404</v>
      </c>
      <c r="J1" s="572"/>
      <c r="K1" s="571" t="s">
        <v>1577</v>
      </c>
      <c r="L1" s="572"/>
      <c r="M1" s="571" t="s">
        <v>2022</v>
      </c>
      <c r="N1" s="572"/>
    </row>
    <row r="2" spans="1:14" ht="19.899999999999999" customHeight="1" thickBot="1" x14ac:dyDescent="0.3">
      <c r="A2" s="330">
        <f ca="1">TODAY()+2</f>
        <v>46112</v>
      </c>
      <c r="B2" s="575"/>
      <c r="D2" s="304">
        <f>SUM(D97:D279)</f>
        <v>195581.29593749996</v>
      </c>
      <c r="E2" s="296"/>
      <c r="F2" s="304">
        <f>SUM(F97:F279)</f>
        <v>134597.10751125007</v>
      </c>
      <c r="G2" s="296"/>
      <c r="H2" s="304">
        <f>SUM(H97:H279)</f>
        <v>4677.4725862500027</v>
      </c>
      <c r="J2" s="304">
        <f>SUM(J97:J279)</f>
        <v>1334.2925483333383</v>
      </c>
      <c r="L2" s="304">
        <f>SUM(L97:L279)</f>
        <v>1427.8913295833336</v>
      </c>
      <c r="N2" s="304">
        <f>SUM(N97:N279)</f>
        <v>13295.516577777773</v>
      </c>
    </row>
    <row r="3" spans="1:14" ht="22.5" customHeight="1" x14ac:dyDescent="0.25">
      <c r="A3" s="257"/>
      <c r="B3" s="252" t="s">
        <v>104</v>
      </c>
      <c r="C3" s="297" t="s">
        <v>1401</v>
      </c>
      <c r="D3" s="294" t="s">
        <v>1231</v>
      </c>
      <c r="E3" s="297" t="s">
        <v>1402</v>
      </c>
      <c r="F3" s="294" t="s">
        <v>1260</v>
      </c>
      <c r="G3" s="297" t="s">
        <v>1403</v>
      </c>
      <c r="H3" s="294" t="s">
        <v>1297</v>
      </c>
      <c r="I3" s="252" t="s">
        <v>1405</v>
      </c>
      <c r="J3" s="252" t="s">
        <v>1406</v>
      </c>
      <c r="K3" s="297" t="s">
        <v>1564</v>
      </c>
      <c r="L3" s="252" t="s">
        <v>1565</v>
      </c>
      <c r="M3" s="453" t="s">
        <v>1836</v>
      </c>
      <c r="N3" s="454" t="s">
        <v>2021</v>
      </c>
    </row>
    <row r="4" spans="1:14" ht="22.5" customHeight="1" x14ac:dyDescent="0.25">
      <c r="A4" s="257"/>
      <c r="B4" s="252"/>
      <c r="C4" s="297"/>
      <c r="D4" s="294">
        <f>'Bank Int.'!$C4*7.5%/360</f>
        <v>0</v>
      </c>
      <c r="E4" s="252"/>
      <c r="F4" s="294"/>
      <c r="G4" s="297"/>
      <c r="H4" s="294"/>
      <c r="I4" s="252"/>
      <c r="J4" s="252">
        <f>'Bank Int.'!$I4*6.5%/360</f>
        <v>0</v>
      </c>
      <c r="K4" s="297"/>
      <c r="L4" s="252">
        <f>'Bank Int.'!$J4*6.5%/360</f>
        <v>0</v>
      </c>
      <c r="M4" s="460"/>
      <c r="N4" s="461"/>
    </row>
    <row r="5" spans="1:14" ht="22.5" customHeight="1" x14ac:dyDescent="0.25">
      <c r="A5" s="257"/>
      <c r="B5" s="252"/>
      <c r="C5" s="297"/>
      <c r="D5" s="294">
        <f>'Bank Int.'!$C5*7.5%/360</f>
        <v>0</v>
      </c>
      <c r="E5" s="252"/>
      <c r="F5" s="294"/>
      <c r="G5" s="297"/>
      <c r="H5" s="294"/>
      <c r="I5" s="252"/>
      <c r="J5" s="252">
        <f>'Bank Int.'!$I5*6.5%/360</f>
        <v>0</v>
      </c>
      <c r="K5" s="297"/>
      <c r="L5" s="252">
        <f>'Bank Int.'!$J5*6.5%/360</f>
        <v>0</v>
      </c>
      <c r="M5" s="460"/>
      <c r="N5" s="461"/>
    </row>
    <row r="6" spans="1:14" ht="22.5" customHeight="1" x14ac:dyDescent="0.25">
      <c r="A6" s="257"/>
      <c r="B6" s="252"/>
      <c r="C6" s="297"/>
      <c r="D6" s="294">
        <f>'Bank Int.'!$C6*7.5%/360</f>
        <v>0</v>
      </c>
      <c r="E6" s="252"/>
      <c r="F6" s="294"/>
      <c r="G6" s="297"/>
      <c r="H6" s="294"/>
      <c r="I6" s="252"/>
      <c r="J6" s="252">
        <f>'Bank Int.'!$I6*6.5%/360</f>
        <v>0</v>
      </c>
      <c r="K6" s="297"/>
      <c r="L6" s="252">
        <f>'Bank Int.'!$J6*6.5%/360</f>
        <v>0</v>
      </c>
      <c r="M6" s="460"/>
      <c r="N6" s="461"/>
    </row>
    <row r="7" spans="1:14" ht="22.5" customHeight="1" x14ac:dyDescent="0.25">
      <c r="A7" s="257"/>
      <c r="B7" s="252"/>
      <c r="C7" s="297"/>
      <c r="D7" s="294">
        <f>'Bank Int.'!$C7*7.5%/360</f>
        <v>0</v>
      </c>
      <c r="E7" s="252"/>
      <c r="F7" s="294"/>
      <c r="G7" s="297"/>
      <c r="H7" s="294"/>
      <c r="I7" s="252"/>
      <c r="J7" s="252">
        <f>'Bank Int.'!$I7*6.5%/360</f>
        <v>0</v>
      </c>
      <c r="K7" s="297"/>
      <c r="L7" s="252">
        <f>'Bank Int.'!$J7*6.5%/360</f>
        <v>0</v>
      </c>
      <c r="M7" s="460"/>
      <c r="N7" s="461"/>
    </row>
    <row r="8" spans="1:14" ht="22.5" customHeight="1" x14ac:dyDescent="0.25">
      <c r="A8" s="257"/>
      <c r="B8" s="252"/>
      <c r="C8" s="297"/>
      <c r="D8" s="294">
        <f>'Bank Int.'!$C8*7.5%/360</f>
        <v>0</v>
      </c>
      <c r="E8" s="252"/>
      <c r="F8" s="294"/>
      <c r="G8" s="297"/>
      <c r="H8" s="294"/>
      <c r="I8" s="252"/>
      <c r="J8" s="252">
        <f>'Bank Int.'!$I8*6.5%/360</f>
        <v>0</v>
      </c>
      <c r="K8" s="297"/>
      <c r="L8" s="252">
        <f>'Bank Int.'!$J8*6.5%/360</f>
        <v>0</v>
      </c>
      <c r="M8" s="460"/>
      <c r="N8" s="461"/>
    </row>
    <row r="9" spans="1:14" ht="22.5" customHeight="1" x14ac:dyDescent="0.25">
      <c r="A9" s="257"/>
      <c r="B9" s="252"/>
      <c r="C9" s="297"/>
      <c r="D9" s="294">
        <f>'Bank Int.'!$C9*7.5%/360</f>
        <v>0</v>
      </c>
      <c r="E9" s="252"/>
      <c r="F9" s="294"/>
      <c r="G9" s="297"/>
      <c r="H9" s="294"/>
      <c r="I9" s="252"/>
      <c r="J9" s="252">
        <f>'Bank Int.'!$I9*6.5%/360</f>
        <v>0</v>
      </c>
      <c r="K9" s="297"/>
      <c r="L9" s="252">
        <f>'Bank Int.'!$J9*6.5%/360</f>
        <v>0</v>
      </c>
      <c r="M9" s="460"/>
      <c r="N9" s="461"/>
    </row>
    <row r="10" spans="1:14" ht="22.5" customHeight="1" x14ac:dyDescent="0.25">
      <c r="A10" s="257"/>
      <c r="B10" s="252"/>
      <c r="C10" s="297"/>
      <c r="D10" s="294">
        <f>'Bank Int.'!$C10*7.5%/360</f>
        <v>0</v>
      </c>
      <c r="E10" s="252"/>
      <c r="F10" s="294"/>
      <c r="G10" s="297"/>
      <c r="H10" s="294"/>
      <c r="I10" s="252"/>
      <c r="J10" s="252">
        <f>'Bank Int.'!$I10*6.5%/360</f>
        <v>0</v>
      </c>
      <c r="K10" s="297"/>
      <c r="L10" s="252">
        <f>'Bank Int.'!$J10*6.5%/360</f>
        <v>0</v>
      </c>
      <c r="M10" s="460"/>
      <c r="N10" s="461"/>
    </row>
    <row r="11" spans="1:14" ht="22.5" customHeight="1" x14ac:dyDescent="0.25">
      <c r="A11" s="257"/>
      <c r="B11" s="252"/>
      <c r="C11" s="297"/>
      <c r="D11" s="294">
        <f>'Bank Int.'!$C11*7.5%/360</f>
        <v>0</v>
      </c>
      <c r="E11" s="252"/>
      <c r="F11" s="294"/>
      <c r="G11" s="297"/>
      <c r="H11" s="294"/>
      <c r="I11" s="252"/>
      <c r="J11" s="252">
        <f>'Bank Int.'!$I11*6.5%/360</f>
        <v>0</v>
      </c>
      <c r="K11" s="297"/>
      <c r="L11" s="252">
        <f>'Bank Int.'!$J11*6.5%/360</f>
        <v>0</v>
      </c>
      <c r="M11" s="460"/>
      <c r="N11" s="461"/>
    </row>
    <row r="12" spans="1:14" ht="22.5" customHeight="1" x14ac:dyDescent="0.25">
      <c r="A12" s="257">
        <f>Table3[[#This Row],[Interest]]+Table3[[#This Row],[Interest2]]+Table3[[#This Row],[Interest4]]+Table3[[#This Row],[Interest42]]+Table3[[#This Row],[Interest5]]+N12</f>
        <v>1870.6657070833332</v>
      </c>
      <c r="B12" s="253">
        <f t="shared" ref="B12:B38" si="0">B13+1</f>
        <v>45741</v>
      </c>
      <c r="C12" s="298">
        <v>5972545.3700000001</v>
      </c>
      <c r="D12" s="295">
        <f>'Bank Int.'!$C12*7.5%/360</f>
        <v>1244.2802854166666</v>
      </c>
      <c r="E12" s="306">
        <v>2147681.08</v>
      </c>
      <c r="F12" s="303">
        <f>Table3[[#This Row],[Mid 146]]*4.5%/360</f>
        <v>268.46013499999998</v>
      </c>
      <c r="G12" s="305">
        <v>23642677.899999999</v>
      </c>
      <c r="H12" s="303">
        <f>'Bank Int.'!$G12*0.5%/360</f>
        <v>328.37052638888883</v>
      </c>
      <c r="I12" s="254">
        <v>40037.120000000003</v>
      </c>
      <c r="J12" s="307">
        <f>'Bank Int.'!$I12*6.5%/360</f>
        <v>7.2289244444444449</v>
      </c>
      <c r="K12" s="337">
        <v>42593.7</v>
      </c>
      <c r="L12" s="467">
        <f>'Bank Int.'!$K12*6.5%/360</f>
        <v>7.690529166666666</v>
      </c>
      <c r="M12" s="451">
        <v>65858.880000000005</v>
      </c>
      <c r="N12" s="452">
        <f>'Bank Int.'!$M12*8%/360</f>
        <v>14.635306666666668</v>
      </c>
    </row>
    <row r="13" spans="1:14" ht="22.5" customHeight="1" x14ac:dyDescent="0.25">
      <c r="A13" s="257">
        <f>Table3[[#This Row],[Interest]]+Table3[[#This Row],[Interest2]]+Table3[[#This Row],[Interest4]]+Table3[[#This Row],[Interest42]]+Table3[[#This Row],[Interest5]]+N13</f>
        <v>1828.6431466666666</v>
      </c>
      <c r="B13" s="253">
        <f t="shared" si="0"/>
        <v>45740</v>
      </c>
      <c r="C13" s="298">
        <v>5972545.3700000001</v>
      </c>
      <c r="D13" s="295">
        <f>'Bank Int.'!$C13*7.5%/360</f>
        <v>1244.2802854166666</v>
      </c>
      <c r="E13" s="306">
        <v>1820787.93</v>
      </c>
      <c r="F13" s="303">
        <f>Table3[[#This Row],[Mid 146]]*4.5%/360</f>
        <v>227.59849124999997</v>
      </c>
      <c r="G13" s="305">
        <v>23559091.899999999</v>
      </c>
      <c r="H13" s="303">
        <f>'Bank Int.'!$G13*0.5%/360</f>
        <v>327.20960972222224</v>
      </c>
      <c r="I13" s="254">
        <v>40037.120000000003</v>
      </c>
      <c r="J13" s="307">
        <f>'Bank Int.'!$I13*6.5%/360</f>
        <v>7.2289244444444449</v>
      </c>
      <c r="K13" s="337">
        <v>42593.7</v>
      </c>
      <c r="L13" s="467">
        <f>'Bank Int.'!$K13*6.5%/360</f>
        <v>7.690529166666666</v>
      </c>
      <c r="M13" s="451">
        <v>65858.880000000005</v>
      </c>
      <c r="N13" s="452">
        <f>'Bank Int.'!$M13*8%/360</f>
        <v>14.635306666666668</v>
      </c>
    </row>
    <row r="14" spans="1:14" ht="22.5" customHeight="1" x14ac:dyDescent="0.25">
      <c r="A14" s="257">
        <f>Table3[[#This Row],[Interest]]+Table3[[#This Row],[Interest2]]+Table3[[#This Row],[Interest4]]+Table3[[#This Row],[Interest42]]+Table3[[#This Row],[Interest5]]+N14</f>
        <v>1717.9337716666664</v>
      </c>
      <c r="B14" s="253">
        <f t="shared" si="0"/>
        <v>45739</v>
      </c>
      <c r="C14" s="298">
        <v>5972545.3700000001</v>
      </c>
      <c r="D14" s="295">
        <f>'Bank Int.'!$C14*7.5%/360</f>
        <v>1244.2802854166666</v>
      </c>
      <c r="E14" s="306">
        <v>935112.93</v>
      </c>
      <c r="F14" s="303">
        <f>Table3[[#This Row],[Mid 146]]*4.5%/360</f>
        <v>116.88911625</v>
      </c>
      <c r="G14" s="305">
        <v>23559091.899999999</v>
      </c>
      <c r="H14" s="303">
        <f>'Bank Int.'!$G14*0.5%/360</f>
        <v>327.20960972222224</v>
      </c>
      <c r="I14" s="254">
        <v>40037.120000000003</v>
      </c>
      <c r="J14" s="307">
        <f>'Bank Int.'!$I14*6.5%/360</f>
        <v>7.2289244444444449</v>
      </c>
      <c r="K14" s="337">
        <v>42593.7</v>
      </c>
      <c r="L14" s="467">
        <f>'Bank Int.'!$K14*6.5%/360</f>
        <v>7.690529166666666</v>
      </c>
      <c r="M14" s="451">
        <v>65858.880000000005</v>
      </c>
      <c r="N14" s="452">
        <f>'Bank Int.'!$M14*8%/360</f>
        <v>14.635306666666668</v>
      </c>
    </row>
    <row r="15" spans="1:14" ht="22.5" customHeight="1" x14ac:dyDescent="0.25">
      <c r="A15" s="257">
        <f>Table3[[#This Row],[Interest]]+Table3[[#This Row],[Interest2]]+Table3[[#This Row],[Interest4]]+Table3[[#This Row],[Interest42]]+Table3[[#This Row],[Interest5]]+N15</f>
        <v>1717.9337716666664</v>
      </c>
      <c r="B15" s="253">
        <f t="shared" si="0"/>
        <v>45738</v>
      </c>
      <c r="C15" s="298">
        <v>5972545.3700000001</v>
      </c>
      <c r="D15" s="295">
        <f>'Bank Int.'!$C15*7.5%/360</f>
        <v>1244.2802854166666</v>
      </c>
      <c r="E15" s="306">
        <v>935112.93</v>
      </c>
      <c r="F15" s="303">
        <f>Table3[[#This Row],[Mid 146]]*4.5%/360</f>
        <v>116.88911625</v>
      </c>
      <c r="G15" s="305">
        <v>23559091.899999999</v>
      </c>
      <c r="H15" s="303">
        <f>'Bank Int.'!$G15*0.5%/360</f>
        <v>327.20960972222224</v>
      </c>
      <c r="I15" s="254">
        <v>40037.120000000003</v>
      </c>
      <c r="J15" s="307">
        <f>'Bank Int.'!$I15*6.5%/360</f>
        <v>7.2289244444444449</v>
      </c>
      <c r="K15" s="337">
        <v>42593.7</v>
      </c>
      <c r="L15" s="467">
        <f>'Bank Int.'!$K15*6.5%/360</f>
        <v>7.690529166666666</v>
      </c>
      <c r="M15" s="451">
        <v>65858.880000000005</v>
      </c>
      <c r="N15" s="452">
        <f>'Bank Int.'!$M15*8%/360</f>
        <v>14.635306666666668</v>
      </c>
    </row>
    <row r="16" spans="1:14" ht="22.5" customHeight="1" x14ac:dyDescent="0.25">
      <c r="A16" s="257">
        <f>Table3[[#This Row],[Interest]]+Table3[[#This Row],[Interest2]]+Table3[[#This Row],[Interest4]]+Table3[[#This Row],[Interest42]]+Table3[[#This Row],[Interest5]]+N16</f>
        <v>1717.9337716666664</v>
      </c>
      <c r="B16" s="253">
        <f t="shared" si="0"/>
        <v>45737</v>
      </c>
      <c r="C16" s="298">
        <v>5972545.3700000001</v>
      </c>
      <c r="D16" s="295">
        <f>'Bank Int.'!$C16*7.5%/360</f>
        <v>1244.2802854166666</v>
      </c>
      <c r="E16" s="306">
        <v>935112.93</v>
      </c>
      <c r="F16" s="303">
        <f>Table3[[#This Row],[Mid 146]]*4.5%/360</f>
        <v>116.88911625</v>
      </c>
      <c r="G16" s="305">
        <v>23559091.899999999</v>
      </c>
      <c r="H16" s="303">
        <f>'Bank Int.'!$G16*0.5%/360</f>
        <v>327.20960972222224</v>
      </c>
      <c r="I16" s="254">
        <v>40037.120000000003</v>
      </c>
      <c r="J16" s="307">
        <f>'Bank Int.'!$I16*6.5%/360</f>
        <v>7.2289244444444449</v>
      </c>
      <c r="K16" s="337">
        <v>42593.7</v>
      </c>
      <c r="L16" s="467">
        <f>'Bank Int.'!$K16*6.5%/360</f>
        <v>7.690529166666666</v>
      </c>
      <c r="M16" s="451">
        <v>65858.880000000005</v>
      </c>
      <c r="N16" s="452">
        <f>'Bank Int.'!$M16*8%/360</f>
        <v>14.635306666666668</v>
      </c>
    </row>
    <row r="17" spans="1:14" ht="22.5" customHeight="1" x14ac:dyDescent="0.25">
      <c r="A17" s="257">
        <f>Table3[[#This Row],[Interest]]+Table3[[#This Row],[Interest2]]+Table3[[#This Row],[Interest4]]+Table3[[#This Row],[Interest42]]+Table3[[#This Row],[Interest5]]+N17</f>
        <v>1717.9337716666664</v>
      </c>
      <c r="B17" s="253">
        <f t="shared" si="0"/>
        <v>45736</v>
      </c>
      <c r="C17" s="298">
        <v>5972545.3700000001</v>
      </c>
      <c r="D17" s="295">
        <f>'Bank Int.'!$C17*7.5%/360</f>
        <v>1244.2802854166666</v>
      </c>
      <c r="E17" s="306">
        <v>935112.93</v>
      </c>
      <c r="F17" s="303">
        <f>Table3[[#This Row],[Mid 146]]*4.5%/360</f>
        <v>116.88911625</v>
      </c>
      <c r="G17" s="305">
        <v>23559091.899999999</v>
      </c>
      <c r="H17" s="303">
        <f>'Bank Int.'!$G17*0.5%/360</f>
        <v>327.20960972222224</v>
      </c>
      <c r="I17" s="254">
        <v>40037.120000000003</v>
      </c>
      <c r="J17" s="307">
        <f>'Bank Int.'!$I17*6.5%/360</f>
        <v>7.2289244444444449</v>
      </c>
      <c r="K17" s="337">
        <v>42593.7</v>
      </c>
      <c r="L17" s="467">
        <f>'Bank Int.'!$K17*6.5%/360</f>
        <v>7.690529166666666</v>
      </c>
      <c r="M17" s="451">
        <v>65858.880000000005</v>
      </c>
      <c r="N17" s="452">
        <f>'Bank Int.'!$M17*8%/360</f>
        <v>14.635306666666668</v>
      </c>
    </row>
    <row r="18" spans="1:14" ht="22.5" customHeight="1" x14ac:dyDescent="0.25">
      <c r="A18" s="257">
        <f>Table3[[#This Row],[Interest]]+Table3[[#This Row],[Interest2]]+Table3[[#This Row],[Interest4]]+Table3[[#This Row],[Interest42]]+Table3[[#This Row],[Interest5]]+N18</f>
        <v>1717.9337716666664</v>
      </c>
      <c r="B18" s="253">
        <f t="shared" si="0"/>
        <v>45735</v>
      </c>
      <c r="C18" s="298">
        <v>5972545.3700000001</v>
      </c>
      <c r="D18" s="295">
        <f>'Bank Int.'!$C18*7.5%/360</f>
        <v>1244.2802854166666</v>
      </c>
      <c r="E18" s="306">
        <v>935112.93</v>
      </c>
      <c r="F18" s="303">
        <f>Table3[[#This Row],[Mid 146]]*4.5%/360</f>
        <v>116.88911625</v>
      </c>
      <c r="G18" s="305">
        <v>23559091.899999999</v>
      </c>
      <c r="H18" s="303">
        <f>'Bank Int.'!$G18*0.5%/360</f>
        <v>327.20960972222224</v>
      </c>
      <c r="I18" s="254">
        <v>40037.120000000003</v>
      </c>
      <c r="J18" s="307">
        <f>'Bank Int.'!$I18*6.5%/360</f>
        <v>7.2289244444444449</v>
      </c>
      <c r="K18" s="337">
        <v>42593.7</v>
      </c>
      <c r="L18" s="467">
        <f>'Bank Int.'!$K18*6.5%/360</f>
        <v>7.690529166666666</v>
      </c>
      <c r="M18" s="451">
        <v>65858.880000000005</v>
      </c>
      <c r="N18" s="452">
        <f>'Bank Int.'!$M18*8%/360</f>
        <v>14.635306666666668</v>
      </c>
    </row>
    <row r="19" spans="1:14" ht="22.5" customHeight="1" x14ac:dyDescent="0.25">
      <c r="A19" s="257">
        <f>Table3[[#This Row],[Interest]]+Table3[[#This Row],[Interest2]]+Table3[[#This Row],[Interest4]]+Table3[[#This Row],[Interest42]]+Table3[[#This Row],[Interest5]]+N19</f>
        <v>1717.9337716666664</v>
      </c>
      <c r="B19" s="253">
        <f t="shared" si="0"/>
        <v>45734</v>
      </c>
      <c r="C19" s="298">
        <v>5972545.3700000001</v>
      </c>
      <c r="D19" s="295">
        <f>'Bank Int.'!$C19*7.5%/360</f>
        <v>1244.2802854166666</v>
      </c>
      <c r="E19" s="306">
        <v>935112.93</v>
      </c>
      <c r="F19" s="303">
        <f>Table3[[#This Row],[Mid 146]]*4.5%/360</f>
        <v>116.88911625</v>
      </c>
      <c r="G19" s="305">
        <v>23559091.899999999</v>
      </c>
      <c r="H19" s="303">
        <f>'Bank Int.'!$G19*0.5%/360</f>
        <v>327.20960972222224</v>
      </c>
      <c r="I19" s="254">
        <v>40037.120000000003</v>
      </c>
      <c r="J19" s="307">
        <f>'Bank Int.'!$I19*6.5%/360</f>
        <v>7.2289244444444449</v>
      </c>
      <c r="K19" s="337">
        <v>42593.7</v>
      </c>
      <c r="L19" s="467">
        <f>'Bank Int.'!$K19*6.5%/360</f>
        <v>7.690529166666666</v>
      </c>
      <c r="M19" s="451">
        <v>65858.880000000005</v>
      </c>
      <c r="N19" s="452">
        <f>'Bank Int.'!$M19*8%/360</f>
        <v>14.635306666666668</v>
      </c>
    </row>
    <row r="20" spans="1:14" ht="22.5" customHeight="1" x14ac:dyDescent="0.25">
      <c r="A20" s="257">
        <f>Table3[[#This Row],[Interest]]+Table3[[#This Row],[Interest2]]+Table3[[#This Row],[Interest4]]+Table3[[#This Row],[Interest42]]+Table3[[#This Row],[Interest5]]+N20</f>
        <v>1717.9337716666664</v>
      </c>
      <c r="B20" s="253">
        <f t="shared" si="0"/>
        <v>45733</v>
      </c>
      <c r="C20" s="298">
        <v>5972545.3700000001</v>
      </c>
      <c r="D20" s="295">
        <f>'Bank Int.'!$C20*7.5%/360</f>
        <v>1244.2802854166666</v>
      </c>
      <c r="E20" s="306">
        <v>935112.93</v>
      </c>
      <c r="F20" s="303">
        <f>Table3[[#This Row],[Mid 146]]*4.5%/360</f>
        <v>116.88911625</v>
      </c>
      <c r="G20" s="305">
        <v>23559091.899999999</v>
      </c>
      <c r="H20" s="303">
        <f>'Bank Int.'!$G20*0.5%/360</f>
        <v>327.20960972222224</v>
      </c>
      <c r="I20" s="254">
        <v>40037.120000000003</v>
      </c>
      <c r="J20" s="307">
        <f>'Bank Int.'!$I20*6.5%/360</f>
        <v>7.2289244444444449</v>
      </c>
      <c r="K20" s="337">
        <v>42593.7</v>
      </c>
      <c r="L20" s="467">
        <f>'Bank Int.'!$K20*6.5%/360</f>
        <v>7.690529166666666</v>
      </c>
      <c r="M20" s="451">
        <v>65858.880000000005</v>
      </c>
      <c r="N20" s="452">
        <f>'Bank Int.'!$M20*8%/360</f>
        <v>14.635306666666668</v>
      </c>
    </row>
    <row r="21" spans="1:14" ht="22.5" customHeight="1" x14ac:dyDescent="0.25">
      <c r="A21" s="257">
        <f>Table3[[#This Row],[Interest]]+Table3[[#This Row],[Interest2]]+Table3[[#This Row],[Interest4]]+Table3[[#This Row],[Interest42]]+Table3[[#This Row],[Interest5]]+N21</f>
        <v>1717.9337716666664</v>
      </c>
      <c r="B21" s="253">
        <f t="shared" si="0"/>
        <v>45732</v>
      </c>
      <c r="C21" s="298">
        <v>5972545.3700000001</v>
      </c>
      <c r="D21" s="295">
        <f>'Bank Int.'!$C21*7.5%/360</f>
        <v>1244.2802854166666</v>
      </c>
      <c r="E21" s="306">
        <v>935112.93</v>
      </c>
      <c r="F21" s="303">
        <f>Table3[[#This Row],[Mid 146]]*4.5%/360</f>
        <v>116.88911625</v>
      </c>
      <c r="G21" s="305">
        <v>23559091.899999999</v>
      </c>
      <c r="H21" s="303">
        <f>'Bank Int.'!$G21*0.5%/360</f>
        <v>327.20960972222224</v>
      </c>
      <c r="I21" s="254">
        <v>40037.120000000003</v>
      </c>
      <c r="J21" s="307">
        <f>'Bank Int.'!$I21*6.5%/360</f>
        <v>7.2289244444444449</v>
      </c>
      <c r="K21" s="337">
        <v>42593.7</v>
      </c>
      <c r="L21" s="467">
        <f>'Bank Int.'!$K21*6.5%/360</f>
        <v>7.690529166666666</v>
      </c>
      <c r="M21" s="451">
        <v>65858.880000000005</v>
      </c>
      <c r="N21" s="452">
        <f>'Bank Int.'!$M21*8%/360</f>
        <v>14.635306666666668</v>
      </c>
    </row>
    <row r="22" spans="1:14" ht="22.5" customHeight="1" x14ac:dyDescent="0.25">
      <c r="A22" s="257">
        <f>Table3[[#This Row],[Interest]]+Table3[[#This Row],[Interest2]]+Table3[[#This Row],[Interest4]]+Table3[[#This Row],[Interest42]]+Table3[[#This Row],[Interest5]]+N22</f>
        <v>1399.9330749999997</v>
      </c>
      <c r="B22" s="253">
        <f t="shared" si="0"/>
        <v>45731</v>
      </c>
      <c r="C22" s="298">
        <v>5972545.3700000001</v>
      </c>
      <c r="D22" s="295">
        <f>'Bank Int.'!$C22*7.5%/360</f>
        <v>1244.2802854166666</v>
      </c>
      <c r="E22" s="306">
        <v>935112.93</v>
      </c>
      <c r="F22" s="303">
        <f>Table3[[#This Row],[Mid 146]]*4.5%/360</f>
        <v>116.88911625</v>
      </c>
      <c r="G22" s="305">
        <v>663041.74</v>
      </c>
      <c r="H22" s="303">
        <f>'Bank Int.'!$G22*0.5%/360</f>
        <v>9.2089130555555556</v>
      </c>
      <c r="I22" s="254">
        <v>40037.120000000003</v>
      </c>
      <c r="J22" s="307">
        <f>'Bank Int.'!$I22*6.5%/360</f>
        <v>7.2289244444444449</v>
      </c>
      <c r="K22" s="337">
        <v>42593.7</v>
      </c>
      <c r="L22" s="467">
        <f>'Bank Int.'!$K22*6.5%/360</f>
        <v>7.690529166666666</v>
      </c>
      <c r="M22" s="451">
        <v>65858.880000000005</v>
      </c>
      <c r="N22" s="452">
        <f>'Bank Int.'!$M22*8%/360</f>
        <v>14.635306666666668</v>
      </c>
    </row>
    <row r="23" spans="1:14" ht="22.5" customHeight="1" x14ac:dyDescent="0.25">
      <c r="A23" s="257">
        <f>Table3[[#This Row],[Interest]]+Table3[[#This Row],[Interest2]]+Table3[[#This Row],[Interest4]]+Table3[[#This Row],[Interest42]]+Table3[[#This Row],[Interest5]]+N23</f>
        <v>1396.9764944444444</v>
      </c>
      <c r="B23" s="253">
        <f t="shared" si="0"/>
        <v>45730</v>
      </c>
      <c r="C23" s="298">
        <v>5991685.4500000002</v>
      </c>
      <c r="D23" s="295">
        <f>'Bank Int.'!$C23*7.5%/360</f>
        <v>1248.2678020833334</v>
      </c>
      <c r="E23" s="306">
        <v>935112.93</v>
      </c>
      <c r="F23" s="303">
        <f>Table3[[#This Row],[Mid 146]]*4.5%/360</f>
        <v>116.88911625</v>
      </c>
      <c r="G23" s="305">
        <v>163066.74</v>
      </c>
      <c r="H23" s="303">
        <f>'Bank Int.'!$G23*0.5%/360</f>
        <v>2.2648158333333335</v>
      </c>
      <c r="I23" s="254">
        <v>40037.120000000003</v>
      </c>
      <c r="J23" s="307">
        <f>'Bank Int.'!$I23*6.5%/360</f>
        <v>7.2289244444444449</v>
      </c>
      <c r="K23" s="337">
        <v>42593.7</v>
      </c>
      <c r="L23" s="467">
        <f>'Bank Int.'!$K23*6.5%/360</f>
        <v>7.690529166666666</v>
      </c>
      <c r="M23" s="451">
        <v>65858.880000000005</v>
      </c>
      <c r="N23" s="452">
        <f>'Bank Int.'!$M23*8%/360</f>
        <v>14.635306666666668</v>
      </c>
    </row>
    <row r="24" spans="1:14" ht="22.5" customHeight="1" x14ac:dyDescent="0.25">
      <c r="A24" s="257">
        <f>Table3[[#This Row],[Interest]]+Table3[[#This Row],[Interest2]]+Table3[[#This Row],[Interest4]]+Table3[[#This Row],[Interest42]]+Table3[[#This Row],[Interest5]]+N24</f>
        <v>1396.9764944444444</v>
      </c>
      <c r="B24" s="253">
        <f t="shared" si="0"/>
        <v>45729</v>
      </c>
      <c r="C24" s="298">
        <v>5991685.4500000002</v>
      </c>
      <c r="D24" s="295">
        <f>'Bank Int.'!$C24*7.5%/360</f>
        <v>1248.2678020833334</v>
      </c>
      <c r="E24" s="306">
        <v>935112.93</v>
      </c>
      <c r="F24" s="303">
        <f>Table3[[#This Row],[Mid 146]]*4.5%/360</f>
        <v>116.88911625</v>
      </c>
      <c r="G24" s="305">
        <v>163066.74</v>
      </c>
      <c r="H24" s="303">
        <f>'Bank Int.'!$G24*0.5%/360</f>
        <v>2.2648158333333335</v>
      </c>
      <c r="I24" s="254">
        <v>40037.120000000003</v>
      </c>
      <c r="J24" s="307">
        <f>'Bank Int.'!$I24*6.5%/360</f>
        <v>7.2289244444444449</v>
      </c>
      <c r="K24" s="337">
        <v>42593.7</v>
      </c>
      <c r="L24" s="467">
        <f>'Bank Int.'!$K24*6.5%/360</f>
        <v>7.690529166666666</v>
      </c>
      <c r="M24" s="451">
        <v>65858.880000000005</v>
      </c>
      <c r="N24" s="452">
        <f>'Bank Int.'!$M24*8%/360</f>
        <v>14.635306666666668</v>
      </c>
    </row>
    <row r="25" spans="1:14" ht="22.5" customHeight="1" x14ac:dyDescent="0.25">
      <c r="A25" s="257">
        <f>Table3[[#This Row],[Interest]]+Table3[[#This Row],[Interest2]]+Table3[[#This Row],[Interest4]]+Table3[[#This Row],[Interest42]]+Table3[[#This Row],[Interest5]]+N25</f>
        <v>1396.9764944444444</v>
      </c>
      <c r="B25" s="253">
        <f t="shared" si="0"/>
        <v>45728</v>
      </c>
      <c r="C25" s="298">
        <v>5991685.4500000002</v>
      </c>
      <c r="D25" s="295">
        <f>'Bank Int.'!$C25*7.5%/360</f>
        <v>1248.2678020833334</v>
      </c>
      <c r="E25" s="306">
        <v>935112.93</v>
      </c>
      <c r="F25" s="303">
        <f>Table3[[#This Row],[Mid 146]]*4.5%/360</f>
        <v>116.88911625</v>
      </c>
      <c r="G25" s="305">
        <v>163066.74</v>
      </c>
      <c r="H25" s="303">
        <f>'Bank Int.'!$G25*0.5%/360</f>
        <v>2.2648158333333335</v>
      </c>
      <c r="I25" s="254">
        <v>40037.120000000003</v>
      </c>
      <c r="J25" s="307">
        <f>'Bank Int.'!$I25*6.5%/360</f>
        <v>7.2289244444444449</v>
      </c>
      <c r="K25" s="337">
        <v>42593.7</v>
      </c>
      <c r="L25" s="467">
        <f>'Bank Int.'!$K25*6.5%/360</f>
        <v>7.690529166666666</v>
      </c>
      <c r="M25" s="451">
        <v>65858.880000000005</v>
      </c>
      <c r="N25" s="452">
        <f>'Bank Int.'!$M25*8%/360</f>
        <v>14.635306666666668</v>
      </c>
    </row>
    <row r="26" spans="1:14" ht="22.5" customHeight="1" x14ac:dyDescent="0.25">
      <c r="A26" s="257">
        <f>Table3[[#This Row],[Interest]]+Table3[[#This Row],[Interest2]]+Table3[[#This Row],[Interest4]]+Table3[[#This Row],[Interest42]]+Table3[[#This Row],[Interest5]]+N26</f>
        <v>5448.7842270833326</v>
      </c>
      <c r="B26" s="253">
        <f t="shared" si="0"/>
        <v>45727</v>
      </c>
      <c r="C26" s="298">
        <v>25902902.899999999</v>
      </c>
      <c r="D26" s="295">
        <f>'Bank Int.'!$C26*7.5%/360</f>
        <v>5396.4381041666657</v>
      </c>
      <c r="E26" s="306">
        <v>174767.93</v>
      </c>
      <c r="F26" s="303">
        <f>Table3[[#This Row],[Mid 146]]*4.5%/360</f>
        <v>21.845991249999997</v>
      </c>
      <c r="G26" s="305">
        <v>68066.740000000005</v>
      </c>
      <c r="H26" s="303">
        <f>'Bank Int.'!$G26*0.5%/360</f>
        <v>0.94537138888888894</v>
      </c>
      <c r="I26" s="254">
        <v>40037.120000000003</v>
      </c>
      <c r="J26" s="307">
        <f>'Bank Int.'!$I26*6.5%/360</f>
        <v>7.2289244444444449</v>
      </c>
      <c r="K26" s="337">
        <v>42593.7</v>
      </c>
      <c r="L26" s="467">
        <f>'Bank Int.'!$K26*6.5%/360</f>
        <v>7.690529166666666</v>
      </c>
      <c r="M26" s="451">
        <v>65858.880000000005</v>
      </c>
      <c r="N26" s="452">
        <f>'Bank Int.'!$M26*8%/360</f>
        <v>14.635306666666668</v>
      </c>
    </row>
    <row r="27" spans="1:14" ht="22.5" customHeight="1" x14ac:dyDescent="0.25">
      <c r="A27" s="257">
        <f>Table3[[#This Row],[Interest]]+Table3[[#This Row],[Interest2]]+Table3[[#This Row],[Interest4]]+Table3[[#This Row],[Interest42]]+Table3[[#This Row],[Interest5]]+N27</f>
        <v>5367.1653104166662</v>
      </c>
      <c r="B27" s="253">
        <f t="shared" si="0"/>
        <v>45726</v>
      </c>
      <c r="C27" s="298">
        <v>25402902.899999999</v>
      </c>
      <c r="D27" s="295">
        <f>'Bank Int.'!$C27*7.5%/360</f>
        <v>5292.2714374999996</v>
      </c>
      <c r="E27" s="306">
        <v>355149.93</v>
      </c>
      <c r="F27" s="303">
        <f>Table3[[#This Row],[Mid 146]]*4.5%/360</f>
        <v>44.393741249999998</v>
      </c>
      <c r="G27" s="305">
        <v>68066.740000000005</v>
      </c>
      <c r="H27" s="303">
        <f>'Bank Int.'!$G27*0.5%/360</f>
        <v>0.94537138888888894</v>
      </c>
      <c r="I27" s="254">
        <v>40037.120000000003</v>
      </c>
      <c r="J27" s="307">
        <f>'Bank Int.'!$I27*6.5%/360</f>
        <v>7.2289244444444449</v>
      </c>
      <c r="K27" s="337">
        <v>42593.7</v>
      </c>
      <c r="L27" s="467">
        <f>'Bank Int.'!$K27*6.5%/360</f>
        <v>7.690529166666666</v>
      </c>
      <c r="M27" s="451">
        <v>65858.880000000005</v>
      </c>
      <c r="N27" s="452">
        <f>'Bank Int.'!$M27*8%/360</f>
        <v>14.635306666666668</v>
      </c>
    </row>
    <row r="28" spans="1:14" ht="22.5" customHeight="1" x14ac:dyDescent="0.25">
      <c r="A28" s="257">
        <f>Table3[[#This Row],[Interest]]+Table3[[#This Row],[Interest2]]+Table3[[#This Row],[Interest4]]+Table3[[#This Row],[Interest42]]+Table3[[#This Row],[Interest5]]+N28</f>
        <v>5365.4850173611112</v>
      </c>
      <c r="B28" s="253">
        <f t="shared" si="0"/>
        <v>45725</v>
      </c>
      <c r="C28" s="298">
        <v>25395504.16</v>
      </c>
      <c r="D28" s="295">
        <f>'Bank Int.'!$C28*7.5%/360</f>
        <v>5290.7300333333333</v>
      </c>
      <c r="E28" s="306">
        <v>355149.93</v>
      </c>
      <c r="F28" s="303">
        <f>Table3[[#This Row],[Mid 146]]*4.5%/360</f>
        <v>44.393741249999998</v>
      </c>
      <c r="G28" s="305">
        <v>58066.74</v>
      </c>
      <c r="H28" s="303">
        <f>'Bank Int.'!$G28*0.5%/360</f>
        <v>0.8064825000000001</v>
      </c>
      <c r="I28" s="254">
        <v>40037.120000000003</v>
      </c>
      <c r="J28" s="307">
        <f>'Bank Int.'!$I28*6.5%/360</f>
        <v>7.2289244444444449</v>
      </c>
      <c r="K28" s="337">
        <v>42593.7</v>
      </c>
      <c r="L28" s="467">
        <f>'Bank Int.'!$K28*6.5%/360</f>
        <v>7.690529166666666</v>
      </c>
      <c r="M28" s="451">
        <v>65858.880000000005</v>
      </c>
      <c r="N28" s="452">
        <f>'Bank Int.'!$M28*8%/360</f>
        <v>14.635306666666668</v>
      </c>
    </row>
    <row r="29" spans="1:14" ht="22.5" customHeight="1" x14ac:dyDescent="0.25">
      <c r="A29" s="257">
        <f>Table3[[#This Row],[Interest]]+Table3[[#This Row],[Interest2]]+Table3[[#This Row],[Interest4]]+Table3[[#This Row],[Interest42]]+Table3[[#This Row],[Interest5]]+N29</f>
        <v>4733.5522697222232</v>
      </c>
      <c r="B29" s="253">
        <f t="shared" si="0"/>
        <v>45724</v>
      </c>
      <c r="C29" s="298">
        <v>22296693.640000001</v>
      </c>
      <c r="D29" s="295">
        <f>'Bank Int.'!$C29*7.5%/360</f>
        <v>4645.1445083333338</v>
      </c>
      <c r="E29" s="306">
        <v>253483.26</v>
      </c>
      <c r="F29" s="303">
        <f>Table3[[#This Row],[Mid 146]]*4.5%/360</f>
        <v>31.6854075</v>
      </c>
      <c r="G29" s="305">
        <v>1956066.74</v>
      </c>
      <c r="H29" s="303">
        <f>'Bank Int.'!$G29*0.5%/360</f>
        <v>27.167593611111116</v>
      </c>
      <c r="I29" s="254">
        <v>40037.120000000003</v>
      </c>
      <c r="J29" s="307">
        <f>'Bank Int.'!$I29*6.5%/360</f>
        <v>7.2289244444444449</v>
      </c>
      <c r="K29" s="337">
        <v>42593.7</v>
      </c>
      <c r="L29" s="467">
        <f>'Bank Int.'!$K29*6.5%/360</f>
        <v>7.690529166666666</v>
      </c>
      <c r="M29" s="451">
        <v>65858.880000000005</v>
      </c>
      <c r="N29" s="452">
        <f>'Bank Int.'!$M29*8%/360</f>
        <v>14.635306666666668</v>
      </c>
    </row>
    <row r="30" spans="1:14" ht="22.5" customHeight="1" x14ac:dyDescent="0.25">
      <c r="A30" s="257">
        <f>Table3[[#This Row],[Interest]]+Table3[[#This Row],[Interest2]]+Table3[[#This Row],[Interest4]]+Table3[[#This Row],[Interest42]]+Table3[[#This Row],[Interest5]]+N30</f>
        <v>4752.3015349999996</v>
      </c>
      <c r="B30" s="253">
        <f t="shared" si="0"/>
        <v>45723</v>
      </c>
      <c r="C30" s="298">
        <v>22410721.780000001</v>
      </c>
      <c r="D30" s="295">
        <f>'Bank Int.'!$C30*7.5%/360</f>
        <v>4668.900370833333</v>
      </c>
      <c r="E30" s="306">
        <v>253483.26</v>
      </c>
      <c r="F30" s="303">
        <f>Table3[[#This Row],[Mid 146]]*4.5%/360</f>
        <v>31.6854075</v>
      </c>
      <c r="G30" s="305">
        <v>1595591.74</v>
      </c>
      <c r="H30" s="303">
        <f>'Bank Int.'!$G30*0.5%/360</f>
        <v>22.16099638888889</v>
      </c>
      <c r="I30" s="254">
        <v>40037.120000000003</v>
      </c>
      <c r="J30" s="307">
        <f>'Bank Int.'!$I30*6.5%/360</f>
        <v>7.2289244444444449</v>
      </c>
      <c r="K30" s="337">
        <v>42593.7</v>
      </c>
      <c r="L30" s="467">
        <f>'Bank Int.'!$K30*6.5%/360</f>
        <v>7.690529166666666</v>
      </c>
      <c r="M30" s="451">
        <v>65858.880000000005</v>
      </c>
      <c r="N30" s="452">
        <f>'Bank Int.'!$M30*8%/360</f>
        <v>14.635306666666668</v>
      </c>
    </row>
    <row r="31" spans="1:14" ht="22.5" customHeight="1" x14ac:dyDescent="0.25">
      <c r="A31" s="257">
        <f>Table3[[#This Row],[Interest]]+Table3[[#This Row],[Interest2]]+Table3[[#This Row],[Interest4]]+Table3[[#This Row],[Interest42]]+Table3[[#This Row],[Interest5]]+N31</f>
        <v>4752.3015349999996</v>
      </c>
      <c r="B31" s="253">
        <f t="shared" si="0"/>
        <v>45722</v>
      </c>
      <c r="C31" s="298">
        <v>22410721.780000001</v>
      </c>
      <c r="D31" s="295">
        <f>'Bank Int.'!$C31*7.5%/360</f>
        <v>4668.900370833333</v>
      </c>
      <c r="E31" s="306">
        <v>253483.26</v>
      </c>
      <c r="F31" s="303">
        <f>Table3[[#This Row],[Mid 146]]*4.5%/360</f>
        <v>31.6854075</v>
      </c>
      <c r="G31" s="305">
        <v>1595591.74</v>
      </c>
      <c r="H31" s="303">
        <f>'Bank Int.'!$G31*0.5%/360</f>
        <v>22.16099638888889</v>
      </c>
      <c r="I31" s="254">
        <v>40037.120000000003</v>
      </c>
      <c r="J31" s="307">
        <f>'Bank Int.'!$I31*6.5%/360</f>
        <v>7.2289244444444449</v>
      </c>
      <c r="K31" s="337">
        <v>42593.7</v>
      </c>
      <c r="L31" s="467">
        <f>'Bank Int.'!$K31*6.5%/360</f>
        <v>7.690529166666666</v>
      </c>
      <c r="M31" s="451">
        <v>65858.880000000005</v>
      </c>
      <c r="N31" s="452">
        <f>'Bank Int.'!$M31*8%/360</f>
        <v>14.635306666666668</v>
      </c>
    </row>
    <row r="32" spans="1:14" ht="22.5" customHeight="1" x14ac:dyDescent="0.25">
      <c r="A32" s="257">
        <f>Table3[[#This Row],[Interest]]+Table3[[#This Row],[Interest2]]+Table3[[#This Row],[Interest4]]+Table3[[#This Row],[Interest42]]+Table3[[#This Row],[Interest5]]+N32</f>
        <v>4752.3015349999996</v>
      </c>
      <c r="B32" s="253">
        <f t="shared" si="0"/>
        <v>45721</v>
      </c>
      <c r="C32" s="298">
        <v>22410721.780000001</v>
      </c>
      <c r="D32" s="295">
        <f>'Bank Int.'!$C32*7.5%/360</f>
        <v>4668.900370833333</v>
      </c>
      <c r="E32" s="306">
        <v>253483.26</v>
      </c>
      <c r="F32" s="303">
        <f>Table3[[#This Row],[Mid 146]]*4.5%/360</f>
        <v>31.6854075</v>
      </c>
      <c r="G32" s="305">
        <v>1595591.74</v>
      </c>
      <c r="H32" s="303">
        <f>'Bank Int.'!$G32*0.5%/360</f>
        <v>22.16099638888889</v>
      </c>
      <c r="I32" s="254">
        <v>40037.120000000003</v>
      </c>
      <c r="J32" s="307">
        <f>'Bank Int.'!$I32*6.5%/360</f>
        <v>7.2289244444444449</v>
      </c>
      <c r="K32" s="337">
        <v>42593.7</v>
      </c>
      <c r="L32" s="467">
        <f>'Bank Int.'!$K32*6.5%/360</f>
        <v>7.690529166666666</v>
      </c>
      <c r="M32" s="451">
        <v>65858.880000000005</v>
      </c>
      <c r="N32" s="452">
        <f>'Bank Int.'!$M32*8%/360</f>
        <v>14.635306666666668</v>
      </c>
    </row>
    <row r="33" spans="1:14" ht="22.5" customHeight="1" x14ac:dyDescent="0.25">
      <c r="A33" s="257">
        <f>Table3[[#This Row],[Interest]]+Table3[[#This Row],[Interest2]]+Table3[[#This Row],[Interest4]]+Table3[[#This Row],[Interest42]]+Table3[[#This Row],[Interest5]]+N33</f>
        <v>1079.3491019444441</v>
      </c>
      <c r="B33" s="253">
        <f t="shared" si="0"/>
        <v>45720</v>
      </c>
      <c r="C33" s="298">
        <v>3310779.78</v>
      </c>
      <c r="D33" s="295">
        <f>'Bank Int.'!$C33*7.5%/360</f>
        <v>689.74578749999989</v>
      </c>
      <c r="E33" s="306">
        <v>680878.24</v>
      </c>
      <c r="F33" s="303">
        <f>Table3[[#This Row],[Mid 146]]*4.5%/360</f>
        <v>85.109780000000001</v>
      </c>
      <c r="G33" s="305">
        <v>19795591.739999998</v>
      </c>
      <c r="H33" s="303">
        <f>'Bank Int.'!$G33*0.5%/360</f>
        <v>274.93877416666663</v>
      </c>
      <c r="I33" s="254">
        <v>40037.120000000003</v>
      </c>
      <c r="J33" s="307">
        <f>'Bank Int.'!$I33*6.5%/360</f>
        <v>7.2289244444444449</v>
      </c>
      <c r="K33" s="337">
        <v>42593.7</v>
      </c>
      <c r="L33" s="467">
        <f>'Bank Int.'!$K33*6.5%/360</f>
        <v>7.690529166666666</v>
      </c>
      <c r="M33" s="451">
        <v>65858.880000000005</v>
      </c>
      <c r="N33" s="452">
        <f>'Bank Int.'!$M33*8%/360</f>
        <v>14.635306666666668</v>
      </c>
    </row>
    <row r="34" spans="1:14" ht="22.5" customHeight="1" x14ac:dyDescent="0.25">
      <c r="A34" s="257">
        <f>Table3[[#This Row],[Interest]]+Table3[[#This Row],[Interest2]]+Table3[[#This Row],[Interest4]]+Table3[[#This Row],[Interest42]]+Table3[[#This Row],[Interest5]]+N34</f>
        <v>348.92243527777782</v>
      </c>
      <c r="B34" s="253">
        <f t="shared" si="0"/>
        <v>45719</v>
      </c>
      <c r="C34" s="298">
        <v>810829.78</v>
      </c>
      <c r="D34" s="295">
        <f>'Bank Int.'!$C34*7.5%/360</f>
        <v>168.92287083333335</v>
      </c>
      <c r="E34" s="306">
        <v>670708.24</v>
      </c>
      <c r="F34" s="303">
        <f>Table3[[#This Row],[Mid 146]]*4.5%/360</f>
        <v>83.838529999999992</v>
      </c>
      <c r="G34" s="305">
        <v>4795651.74</v>
      </c>
      <c r="H34" s="303">
        <f>'Bank Int.'!$G34*0.5%/360</f>
        <v>66.60627416666668</v>
      </c>
      <c r="I34" s="254">
        <v>40037.120000000003</v>
      </c>
      <c r="J34" s="307">
        <f>'Bank Int.'!$I34*6.5%/360</f>
        <v>7.2289244444444449</v>
      </c>
      <c r="K34" s="337">
        <v>42593.7</v>
      </c>
      <c r="L34" s="467">
        <f>'Bank Int.'!$K34*6.5%/360</f>
        <v>7.690529166666666</v>
      </c>
      <c r="M34" s="451">
        <v>65858.880000000005</v>
      </c>
      <c r="N34" s="452">
        <f>'Bank Int.'!$M34*8%/360</f>
        <v>14.635306666666668</v>
      </c>
    </row>
    <row r="35" spans="1:14" ht="22.5" customHeight="1" x14ac:dyDescent="0.25">
      <c r="A35" s="257">
        <f>Table3[[#This Row],[Interest]]+Table3[[#This Row],[Interest2]]+Table3[[#This Row],[Interest4]]+Table3[[#This Row],[Interest42]]+Table3[[#This Row],[Interest5]]+N35</f>
        <v>203.08910194444448</v>
      </c>
      <c r="B35" s="253">
        <f t="shared" si="0"/>
        <v>45718</v>
      </c>
      <c r="C35" s="298">
        <v>110829.78</v>
      </c>
      <c r="D35" s="295">
        <f>'Bank Int.'!$C35*7.5%/360</f>
        <v>23.089537500000002</v>
      </c>
      <c r="E35" s="306">
        <v>670708.24</v>
      </c>
      <c r="F35" s="303">
        <f>Table3[[#This Row],[Mid 146]]*4.5%/360</f>
        <v>83.838529999999992</v>
      </c>
      <c r="G35" s="305">
        <v>4795651.74</v>
      </c>
      <c r="H35" s="303">
        <f>'Bank Int.'!$G35*0.5%/360</f>
        <v>66.60627416666668</v>
      </c>
      <c r="I35" s="254">
        <v>40037.120000000003</v>
      </c>
      <c r="J35" s="307">
        <f>'Bank Int.'!$I35*6.5%/360</f>
        <v>7.2289244444444449</v>
      </c>
      <c r="K35" s="337">
        <v>42593.7</v>
      </c>
      <c r="L35" s="467">
        <f>'Bank Int.'!$K35*6.5%/360</f>
        <v>7.690529166666666</v>
      </c>
      <c r="M35" s="451">
        <v>65858.880000000005</v>
      </c>
      <c r="N35" s="452">
        <f>'Bank Int.'!$M35*8%/360</f>
        <v>14.635306666666668</v>
      </c>
    </row>
    <row r="36" spans="1:14" ht="22.5" customHeight="1" x14ac:dyDescent="0.25">
      <c r="A36" s="257">
        <f>Table3[[#This Row],[Interest]]+Table3[[#This Row],[Interest2]]+Table3[[#This Row],[Interest4]]+Table3[[#This Row],[Interest42]]+Table3[[#This Row],[Interest5]]+N36</f>
        <v>1239.8852172222219</v>
      </c>
      <c r="B36" s="253">
        <f t="shared" si="0"/>
        <v>45717</v>
      </c>
      <c r="C36" s="298">
        <v>4428117.8</v>
      </c>
      <c r="D36" s="295">
        <f>'Bank Int.'!$C36*7.5%/360</f>
        <v>922.52454166666655</v>
      </c>
      <c r="E36" s="306">
        <v>1770708.24</v>
      </c>
      <c r="F36" s="303">
        <f>Table3[[#This Row],[Mid 146]]*4.5%/360</f>
        <v>221.33852999999996</v>
      </c>
      <c r="G36" s="305">
        <v>4785651.74</v>
      </c>
      <c r="H36" s="303">
        <f>'Bank Int.'!$G36*0.5%/360</f>
        <v>66.46738527777778</v>
      </c>
      <c r="I36" s="254">
        <v>40037.120000000003</v>
      </c>
      <c r="J36" s="307">
        <f>'Bank Int.'!$I36*6.5%/360</f>
        <v>7.2289244444444449</v>
      </c>
      <c r="K36" s="337">
        <v>42593.7</v>
      </c>
      <c r="L36" s="467">
        <f>'Bank Int.'!$K36*6.5%/360</f>
        <v>7.690529166666666</v>
      </c>
      <c r="M36" s="451">
        <v>65858.880000000005</v>
      </c>
      <c r="N36" s="452">
        <f>'Bank Int.'!$M36*8%/360</f>
        <v>14.635306666666668</v>
      </c>
    </row>
    <row r="37" spans="1:14" ht="22.5" customHeight="1" x14ac:dyDescent="0.25">
      <c r="A37" s="257">
        <f>Table3[[#This Row],[Interest]]+Table3[[#This Row],[Interest2]]+Table3[[#This Row],[Interest4]]+Table3[[#This Row],[Interest42]]+Table3[[#This Row],[Interest5]]+N37</f>
        <v>2178.8313283333337</v>
      </c>
      <c r="B37" s="253">
        <f t="shared" si="0"/>
        <v>45716</v>
      </c>
      <c r="C37" s="298">
        <v>9228337.8000000007</v>
      </c>
      <c r="D37" s="295">
        <f>'Bank Int.'!$C37*7.5%/360</f>
        <v>1922.5703750000002</v>
      </c>
      <c r="E37" s="306">
        <v>1719308.24</v>
      </c>
      <c r="F37" s="303">
        <f>Table3[[#This Row],[Mid 146]]*4.5%/360</f>
        <v>214.91352999999998</v>
      </c>
      <c r="G37" s="305">
        <v>849071.74</v>
      </c>
      <c r="H37" s="303">
        <f>'Bank Int.'!$G37*0.5%/360</f>
        <v>11.792663055555554</v>
      </c>
      <c r="I37" s="254">
        <v>40037.120000000003</v>
      </c>
      <c r="J37" s="307">
        <f>'Bank Int.'!$I37*6.5%/360</f>
        <v>7.2289244444444449</v>
      </c>
      <c r="K37" s="337">
        <v>42593.7</v>
      </c>
      <c r="L37" s="467">
        <f>'Bank Int.'!$K37*6.5%/360</f>
        <v>7.690529166666666</v>
      </c>
      <c r="M37" s="451">
        <v>65858.880000000005</v>
      </c>
      <c r="N37" s="452">
        <f>'Bank Int.'!$M37*8%/360</f>
        <v>14.635306666666668</v>
      </c>
    </row>
    <row r="38" spans="1:14" ht="22.5" customHeight="1" x14ac:dyDescent="0.25">
      <c r="A38" s="257">
        <f>Table3[[#This Row],[Interest]]+Table3[[#This Row],[Interest2]]+Table3[[#This Row],[Interest4]]+Table3[[#This Row],[Interest42]]+Table3[[#This Row],[Interest5]]+N38</f>
        <v>2178.8313283333337</v>
      </c>
      <c r="B38" s="253">
        <f t="shared" si="0"/>
        <v>45715</v>
      </c>
      <c r="C38" s="298">
        <v>9228337.8000000007</v>
      </c>
      <c r="D38" s="295">
        <f>'Bank Int.'!$C38*7.5%/360</f>
        <v>1922.5703750000002</v>
      </c>
      <c r="E38" s="306">
        <v>1719308.24</v>
      </c>
      <c r="F38" s="303">
        <f>Table3[[#This Row],[Mid 146]]*4.5%/360</f>
        <v>214.91352999999998</v>
      </c>
      <c r="G38" s="305">
        <v>849071.74</v>
      </c>
      <c r="H38" s="303">
        <f>'Bank Int.'!$G38*0.5%/360</f>
        <v>11.792663055555554</v>
      </c>
      <c r="I38" s="254">
        <v>40037.120000000003</v>
      </c>
      <c r="J38" s="307">
        <f>'Bank Int.'!$I38*6.5%/360</f>
        <v>7.2289244444444449</v>
      </c>
      <c r="K38" s="337">
        <v>42593.7</v>
      </c>
      <c r="L38" s="467">
        <f>'Bank Int.'!$K38*6.5%/360</f>
        <v>7.690529166666666</v>
      </c>
      <c r="M38" s="451">
        <v>65858.880000000005</v>
      </c>
      <c r="N38" s="452">
        <f>'Bank Int.'!$M38*8%/360</f>
        <v>14.635306666666668</v>
      </c>
    </row>
    <row r="39" spans="1:14" ht="22.5" customHeight="1" x14ac:dyDescent="0.25">
      <c r="A39" s="257">
        <f>Table3[[#This Row],[Interest]]+Table3[[#This Row],[Interest2]]+Table3[[#This Row],[Interest4]]+Table3[[#This Row],[Interest42]]+Table3[[#This Row],[Interest5]]+N39</f>
        <v>2178.8313283333337</v>
      </c>
      <c r="B39" s="253">
        <f t="shared" ref="B39:B45" si="1">B40+1</f>
        <v>45714</v>
      </c>
      <c r="C39" s="298">
        <v>9228337.8000000007</v>
      </c>
      <c r="D39" s="295">
        <f>'Bank Int.'!$C39*7.5%/360</f>
        <v>1922.5703750000002</v>
      </c>
      <c r="E39" s="306">
        <v>1719308.24</v>
      </c>
      <c r="F39" s="303">
        <f>Table3[[#This Row],[Mid 146]]*4.5%/360</f>
        <v>214.91352999999998</v>
      </c>
      <c r="G39" s="305">
        <v>849071.74</v>
      </c>
      <c r="H39" s="303">
        <f>'Bank Int.'!$G39*0.5%/360</f>
        <v>11.792663055555554</v>
      </c>
      <c r="I39" s="254">
        <v>40037.120000000003</v>
      </c>
      <c r="J39" s="307">
        <f>'Bank Int.'!$I39*6.5%/360</f>
        <v>7.2289244444444449</v>
      </c>
      <c r="K39" s="337">
        <v>42593.7</v>
      </c>
      <c r="L39" s="467">
        <f>'Bank Int.'!$K39*6.5%/360</f>
        <v>7.690529166666666</v>
      </c>
      <c r="M39" s="451">
        <v>65858.880000000005</v>
      </c>
      <c r="N39" s="452">
        <f>'Bank Int.'!$M39*8%/360</f>
        <v>14.635306666666668</v>
      </c>
    </row>
    <row r="40" spans="1:14" ht="22.5" customHeight="1" x14ac:dyDescent="0.25">
      <c r="A40" s="257">
        <f>Table3[[#This Row],[Interest]]+Table3[[#This Row],[Interest2]]+Table3[[#This Row],[Interest4]]+Table3[[#This Row],[Interest42]]+Table3[[#This Row],[Interest5]]+N40</f>
        <v>2281.5275383333337</v>
      </c>
      <c r="B40" s="253">
        <f t="shared" si="1"/>
        <v>45713</v>
      </c>
      <c r="C40" s="298">
        <v>9228337.8000000007</v>
      </c>
      <c r="D40" s="295">
        <f>'Bank Int.'!$C40*7.5%/360</f>
        <v>1922.5703750000002</v>
      </c>
      <c r="E40" s="306">
        <v>2540877.92</v>
      </c>
      <c r="F40" s="303">
        <f>Table3[[#This Row],[Mid 146]]*4.5%/360</f>
        <v>317.60973999999999</v>
      </c>
      <c r="G40" s="305">
        <v>849071.74</v>
      </c>
      <c r="H40" s="303">
        <f>'Bank Int.'!$G40*0.5%/360</f>
        <v>11.792663055555554</v>
      </c>
      <c r="I40" s="254">
        <v>40037.120000000003</v>
      </c>
      <c r="J40" s="307">
        <f>'Bank Int.'!$I40*6.5%/360</f>
        <v>7.2289244444444449</v>
      </c>
      <c r="K40" s="337">
        <v>42593.7</v>
      </c>
      <c r="L40" s="467">
        <f>'Bank Int.'!$K40*6.5%/360</f>
        <v>7.690529166666666</v>
      </c>
      <c r="M40" s="451">
        <v>65858.880000000005</v>
      </c>
      <c r="N40" s="452">
        <f>'Bank Int.'!$M40*8%/360</f>
        <v>14.635306666666668</v>
      </c>
    </row>
    <row r="41" spans="1:14" ht="22.5" customHeight="1" x14ac:dyDescent="0.25">
      <c r="A41" s="257">
        <f>Table3[[#This Row],[Interest]]+Table3[[#This Row],[Interest2]]+Table3[[#This Row],[Interest4]]+Table3[[#This Row],[Interest42]]+Table3[[#This Row],[Interest5]]+N41</f>
        <v>2281.5275383333337</v>
      </c>
      <c r="B41" s="253">
        <f t="shared" si="1"/>
        <v>45712</v>
      </c>
      <c r="C41" s="298">
        <v>9228337.8000000007</v>
      </c>
      <c r="D41" s="295">
        <f>'Bank Int.'!$C41*7.5%/360</f>
        <v>1922.5703750000002</v>
      </c>
      <c r="E41" s="306">
        <v>2540877.92</v>
      </c>
      <c r="F41" s="303">
        <f>Table3[[#This Row],[Mid 146]]*4.5%/360</f>
        <v>317.60973999999999</v>
      </c>
      <c r="G41" s="305">
        <v>849071.74</v>
      </c>
      <c r="H41" s="303">
        <f>'Bank Int.'!$G41*0.5%/360</f>
        <v>11.792663055555554</v>
      </c>
      <c r="I41" s="254">
        <v>40037.120000000003</v>
      </c>
      <c r="J41" s="307">
        <f>'Bank Int.'!$I41*6.5%/360</f>
        <v>7.2289244444444449</v>
      </c>
      <c r="K41" s="337">
        <v>42593.7</v>
      </c>
      <c r="L41" s="467">
        <f>'Bank Int.'!$K41*6.5%/360</f>
        <v>7.690529166666666</v>
      </c>
      <c r="M41" s="451">
        <v>65858.880000000005</v>
      </c>
      <c r="N41" s="452">
        <f>'Bank Int.'!$M41*8%/360</f>
        <v>14.635306666666668</v>
      </c>
    </row>
    <row r="42" spans="1:14" ht="22.5" customHeight="1" x14ac:dyDescent="0.25">
      <c r="A42" s="257">
        <f>Table3[[#This Row],[Interest]]+Table3[[#This Row],[Interest2]]+Table3[[#This Row],[Interest4]]+Table3[[#This Row],[Interest42]]+Table3[[#This Row],[Interest5]]+N42</f>
        <v>2281.5275383333337</v>
      </c>
      <c r="B42" s="253">
        <f t="shared" si="1"/>
        <v>45711</v>
      </c>
      <c r="C42" s="298">
        <v>9228337.8000000007</v>
      </c>
      <c r="D42" s="295">
        <f>'Bank Int.'!$C42*7.5%/360</f>
        <v>1922.5703750000002</v>
      </c>
      <c r="E42" s="306">
        <v>2540877.92</v>
      </c>
      <c r="F42" s="303">
        <f>Table3[[#This Row],[Mid 146]]*4.5%/360</f>
        <v>317.60973999999999</v>
      </c>
      <c r="G42" s="305">
        <v>849071.74</v>
      </c>
      <c r="H42" s="303">
        <f>'Bank Int.'!$G42*0.5%/360</f>
        <v>11.792663055555554</v>
      </c>
      <c r="I42" s="254">
        <v>40037.120000000003</v>
      </c>
      <c r="J42" s="307">
        <f>'Bank Int.'!$I42*6.5%/360</f>
        <v>7.2289244444444449</v>
      </c>
      <c r="K42" s="337">
        <v>42593.7</v>
      </c>
      <c r="L42" s="467">
        <f>'Bank Int.'!$K42*6.5%/360</f>
        <v>7.690529166666666</v>
      </c>
      <c r="M42" s="451">
        <v>65858.880000000005</v>
      </c>
      <c r="N42" s="452">
        <f>'Bank Int.'!$M42*8%/360</f>
        <v>14.635306666666668</v>
      </c>
    </row>
    <row r="43" spans="1:14" ht="22.5" customHeight="1" x14ac:dyDescent="0.25">
      <c r="A43" s="257">
        <f>Table3[[#This Row],[Interest]]+Table3[[#This Row],[Interest2]]+Table3[[#This Row],[Interest4]]+Table3[[#This Row],[Interest42]]+Table3[[#This Row],[Interest5]]+N43</f>
        <v>2074.3289272222219</v>
      </c>
      <c r="B43" s="253">
        <f t="shared" si="1"/>
        <v>45710</v>
      </c>
      <c r="C43" s="298">
        <v>8328337.7999999998</v>
      </c>
      <c r="D43" s="295">
        <f>'Bank Int.'!$C43*7.5%/360</f>
        <v>1735.0703749999998</v>
      </c>
      <c r="E43" s="306">
        <v>2372177.9199999999</v>
      </c>
      <c r="F43" s="303">
        <f>Table3[[#This Row],[Mid 146]]*4.5%/360</f>
        <v>296.52224000000001</v>
      </c>
      <c r="G43" s="305">
        <v>949071.74</v>
      </c>
      <c r="H43" s="303">
        <f>'Bank Int.'!$G43*0.5%/360</f>
        <v>13.181551944444443</v>
      </c>
      <c r="I43" s="254">
        <v>40037.120000000003</v>
      </c>
      <c r="J43" s="307">
        <f>'Bank Int.'!$I43*6.5%/360</f>
        <v>7.2289244444444449</v>
      </c>
      <c r="K43" s="337">
        <v>42593.7</v>
      </c>
      <c r="L43" s="467">
        <f>'Bank Int.'!$K43*6.5%/360</f>
        <v>7.690529166666666</v>
      </c>
      <c r="M43" s="451">
        <v>65858.880000000005</v>
      </c>
      <c r="N43" s="452">
        <f>'Bank Int.'!$M43*8%/360</f>
        <v>14.635306666666668</v>
      </c>
    </row>
    <row r="44" spans="1:14" ht="22.5" customHeight="1" x14ac:dyDescent="0.25">
      <c r="A44" s="257">
        <f>Table3[[#This Row],[Interest]]+Table3[[#This Row],[Interest2]]+Table3[[#This Row],[Interest4]]+Table3[[#This Row],[Interest42]]+Table3[[#This Row],[Interest5]]+N44</f>
        <v>2231.9055938888891</v>
      </c>
      <c r="B44" s="253">
        <f t="shared" si="1"/>
        <v>45709</v>
      </c>
      <c r="C44" s="298">
        <v>9084705.8000000007</v>
      </c>
      <c r="D44" s="295">
        <f>'Bank Int.'!$C44*7.5%/360</f>
        <v>1892.6470416666668</v>
      </c>
      <c r="E44" s="306">
        <v>2372177.9199999999</v>
      </c>
      <c r="F44" s="303">
        <f>Table3[[#This Row],[Mid 146]]*4.5%/360</f>
        <v>296.52224000000001</v>
      </c>
      <c r="G44" s="305">
        <v>949071.74</v>
      </c>
      <c r="H44" s="303">
        <f>'Bank Int.'!$G44*0.5%/360</f>
        <v>13.181551944444443</v>
      </c>
      <c r="I44" s="254">
        <v>40037.120000000003</v>
      </c>
      <c r="J44" s="307">
        <f>'Bank Int.'!$I44*6.5%/360</f>
        <v>7.2289244444444449</v>
      </c>
      <c r="K44" s="337">
        <v>42593.7</v>
      </c>
      <c r="L44" s="467">
        <f>'Bank Int.'!$K44*6.5%/360</f>
        <v>7.690529166666666</v>
      </c>
      <c r="M44" s="451">
        <v>65858.880000000005</v>
      </c>
      <c r="N44" s="452">
        <f>'Bank Int.'!$M44*8%/360</f>
        <v>14.635306666666668</v>
      </c>
    </row>
    <row r="45" spans="1:14" ht="22.5" customHeight="1" x14ac:dyDescent="0.25">
      <c r="A45" s="257">
        <f>Table3[[#This Row],[Interest]]+Table3[[#This Row],[Interest2]]+Table3[[#This Row],[Interest4]]+Table3[[#This Row],[Interest42]]+Table3[[#This Row],[Interest5]]+N45</f>
        <v>2231.9055938888891</v>
      </c>
      <c r="B45" s="253">
        <f t="shared" si="1"/>
        <v>45708</v>
      </c>
      <c r="C45" s="298">
        <v>9084705.8000000007</v>
      </c>
      <c r="D45" s="295">
        <f>'Bank Int.'!$C45*7.5%/360</f>
        <v>1892.6470416666668</v>
      </c>
      <c r="E45" s="306">
        <v>2372177.9199999999</v>
      </c>
      <c r="F45" s="303">
        <f>Table3[[#This Row],[Mid 146]]*4.5%/360</f>
        <v>296.52224000000001</v>
      </c>
      <c r="G45" s="305">
        <v>949071.74</v>
      </c>
      <c r="H45" s="303">
        <f>'Bank Int.'!$G45*0.5%/360</f>
        <v>13.181551944444443</v>
      </c>
      <c r="I45" s="254">
        <v>40037.120000000003</v>
      </c>
      <c r="J45" s="307">
        <f>'Bank Int.'!$I45*6.5%/360</f>
        <v>7.2289244444444449</v>
      </c>
      <c r="K45" s="337">
        <v>42593.7</v>
      </c>
      <c r="L45" s="467">
        <f>'Bank Int.'!$K45*6.5%/360</f>
        <v>7.690529166666666</v>
      </c>
      <c r="M45" s="451">
        <v>65858.880000000005</v>
      </c>
      <c r="N45" s="452">
        <f>'Bank Int.'!$M45*8%/360</f>
        <v>14.635306666666668</v>
      </c>
    </row>
    <row r="46" spans="1:14" ht="22.5" customHeight="1" x14ac:dyDescent="0.25">
      <c r="A46" s="257">
        <f>Table3[[#This Row],[Interest]]+Table3[[#This Row],[Interest2]]+Table3[[#This Row],[Interest4]]+Table3[[#This Row],[Interest42]]+Table3[[#This Row],[Interest5]]+N46</f>
        <v>2231.9055938888891</v>
      </c>
      <c r="B46" s="253">
        <f t="shared" ref="B46:B66" si="2">B47+1</f>
        <v>45707</v>
      </c>
      <c r="C46" s="298">
        <v>9084705.8000000007</v>
      </c>
      <c r="D46" s="295">
        <f>'Bank Int.'!$C46*7.5%/360</f>
        <v>1892.6470416666668</v>
      </c>
      <c r="E46" s="306">
        <v>2372177.9199999999</v>
      </c>
      <c r="F46" s="303">
        <f>Table3[[#This Row],[Mid 146]]*4.5%/360</f>
        <v>296.52224000000001</v>
      </c>
      <c r="G46" s="305">
        <v>949071.74</v>
      </c>
      <c r="H46" s="303">
        <f>'Bank Int.'!$G46*0.5%/360</f>
        <v>13.181551944444443</v>
      </c>
      <c r="I46" s="254">
        <v>40037.120000000003</v>
      </c>
      <c r="J46" s="307">
        <f>'Bank Int.'!$I46*6.5%/360</f>
        <v>7.2289244444444449</v>
      </c>
      <c r="K46" s="337">
        <v>42593.7</v>
      </c>
      <c r="L46" s="467">
        <f>'Bank Int.'!$K46*6.5%/360</f>
        <v>7.690529166666666</v>
      </c>
      <c r="M46" s="451">
        <v>65858.880000000005</v>
      </c>
      <c r="N46" s="452">
        <f>'Bank Int.'!$M46*8%/360</f>
        <v>14.635306666666668</v>
      </c>
    </row>
    <row r="47" spans="1:14" ht="22.5" customHeight="1" x14ac:dyDescent="0.25">
      <c r="A47" s="257">
        <f>Table3[[#This Row],[Interest]]+Table3[[#This Row],[Interest2]]+Table3[[#This Row],[Interest4]]+Table3[[#This Row],[Interest42]]+Table3[[#This Row],[Interest5]]+N47</f>
        <v>2298.7916477777781</v>
      </c>
      <c r="B47" s="253">
        <f t="shared" si="2"/>
        <v>45706</v>
      </c>
      <c r="C47" s="298">
        <v>9463704.7200000007</v>
      </c>
      <c r="D47" s="295">
        <f>'Bank Int.'!$C47*7.5%/360</f>
        <v>1971.6051500000001</v>
      </c>
      <c r="E47" s="306">
        <v>2372177.9199999999</v>
      </c>
      <c r="F47" s="303">
        <f>Table3[[#This Row],[Mid 146]]*4.5%/360</f>
        <v>296.52224000000001</v>
      </c>
      <c r="G47" s="305">
        <v>79883.820000000007</v>
      </c>
      <c r="H47" s="303">
        <f>'Bank Int.'!$G47*0.5%/360</f>
        <v>1.1094975000000002</v>
      </c>
      <c r="I47" s="254">
        <v>40037.120000000003</v>
      </c>
      <c r="J47" s="307">
        <f>'Bank Int.'!$I47*6.5%/360</f>
        <v>7.2289244444444449</v>
      </c>
      <c r="K47" s="337">
        <v>42593.7</v>
      </c>
      <c r="L47" s="467">
        <f>'Bank Int.'!$K47*6.5%/360</f>
        <v>7.690529166666666</v>
      </c>
      <c r="M47" s="451">
        <v>65858.880000000005</v>
      </c>
      <c r="N47" s="452">
        <f>'Bank Int.'!$M47*8%/360</f>
        <v>14.635306666666668</v>
      </c>
    </row>
    <row r="48" spans="1:14" ht="22.5" customHeight="1" x14ac:dyDescent="0.25">
      <c r="A48" s="257">
        <f>Table3[[#This Row],[Interest]]+Table3[[#This Row],[Interest2]]+Table3[[#This Row],[Interest4]]+Table3[[#This Row],[Interest42]]+Table3[[#This Row],[Interest5]]+N48</f>
        <v>269.74118944444439</v>
      </c>
      <c r="B48" s="253">
        <f t="shared" si="2"/>
        <v>45705</v>
      </c>
      <c r="C48" s="298">
        <v>263804.71999999997</v>
      </c>
      <c r="D48" s="295">
        <f>'Bank Int.'!$C48*7.5%/360</f>
        <v>54.959316666666652</v>
      </c>
      <c r="E48" s="306">
        <v>1472940.92</v>
      </c>
      <c r="F48" s="303">
        <f>Table3[[#This Row],[Mid 146]]*4.5%/360</f>
        <v>184.11761499999997</v>
      </c>
      <c r="G48" s="305">
        <v>79883.820000000007</v>
      </c>
      <c r="H48" s="303">
        <f>'Bank Int.'!$G48*0.5%/360</f>
        <v>1.1094975000000002</v>
      </c>
      <c r="I48" s="254">
        <v>40037.120000000003</v>
      </c>
      <c r="J48" s="307">
        <f>'Bank Int.'!$I48*6.5%/360</f>
        <v>7.2289244444444449</v>
      </c>
      <c r="K48" s="337">
        <v>42593.7</v>
      </c>
      <c r="L48" s="467">
        <f>'Bank Int.'!$K48*6.5%/360</f>
        <v>7.690529166666666</v>
      </c>
      <c r="M48" s="451">
        <v>65858.880000000005</v>
      </c>
      <c r="N48" s="452">
        <f>'Bank Int.'!$M48*8%/360</f>
        <v>14.635306666666668</v>
      </c>
    </row>
    <row r="49" spans="1:14" ht="22.5" customHeight="1" x14ac:dyDescent="0.25">
      <c r="A49" s="257">
        <f>Table3[[#This Row],[Interest]]+Table3[[#This Row],[Interest2]]+Table3[[#This Row],[Interest4]]+Table3[[#This Row],[Interest42]]+Table3[[#This Row],[Interest5]]+N49</f>
        <v>273.48408944444446</v>
      </c>
      <c r="B49" s="253">
        <f t="shared" si="2"/>
        <v>45704</v>
      </c>
      <c r="C49" s="298">
        <v>1160290.6399999999</v>
      </c>
      <c r="D49" s="295">
        <f>'Bank Int.'!$C49*7.5%/360</f>
        <v>241.72721666666666</v>
      </c>
      <c r="E49" s="306">
        <v>8740.92</v>
      </c>
      <c r="F49" s="303">
        <f>Table3[[#This Row],[Mid 146]]*4.5%/360</f>
        <v>1.0926149999999999</v>
      </c>
      <c r="G49" s="305">
        <v>79883.820000000007</v>
      </c>
      <c r="H49" s="303">
        <f>'Bank Int.'!$G49*0.5%/360</f>
        <v>1.1094975000000002</v>
      </c>
      <c r="I49" s="254">
        <v>40037.120000000003</v>
      </c>
      <c r="J49" s="307">
        <f>'Bank Int.'!$I49*6.5%/360</f>
        <v>7.2289244444444449</v>
      </c>
      <c r="K49" s="337">
        <v>42593.7</v>
      </c>
      <c r="L49" s="467">
        <f>'Bank Int.'!$K49*6.5%/360</f>
        <v>7.690529166666666</v>
      </c>
      <c r="M49" s="451">
        <v>65858.880000000005</v>
      </c>
      <c r="N49" s="452">
        <f>'Bank Int.'!$M49*8%/360</f>
        <v>14.635306666666668</v>
      </c>
    </row>
    <row r="50" spans="1:14" ht="22.5" customHeight="1" x14ac:dyDescent="0.25">
      <c r="A50" s="257">
        <f>Table3[[#This Row],[Interest]]+Table3[[#This Row],[Interest2]]+Table3[[#This Row],[Interest4]]+Table3[[#This Row],[Interest42]]+Table3[[#This Row],[Interest5]]+N50</f>
        <v>745.61484583333333</v>
      </c>
      <c r="B50" s="253">
        <f t="shared" si="2"/>
        <v>45703</v>
      </c>
      <c r="C50" s="298">
        <v>33511.980000000003</v>
      </c>
      <c r="D50" s="295">
        <f>'Bank Int.'!$C50*7.5%/360</f>
        <v>6.9816625000000005</v>
      </c>
      <c r="E50" s="306">
        <v>5538740.9199999999</v>
      </c>
      <c r="F50" s="303">
        <f>Table3[[#This Row],[Mid 146]]*4.5%/360</f>
        <v>692.34261499999991</v>
      </c>
      <c r="G50" s="305">
        <v>1204978.18</v>
      </c>
      <c r="H50" s="303">
        <f>'Bank Int.'!$G50*0.5%/360</f>
        <v>16.735808055555555</v>
      </c>
      <c r="I50" s="254">
        <v>40037.120000000003</v>
      </c>
      <c r="J50" s="307">
        <f>'Bank Int.'!$I50*6.5%/360</f>
        <v>7.2289244444444449</v>
      </c>
      <c r="K50" s="337">
        <v>42593.7</v>
      </c>
      <c r="L50" s="467">
        <f>'Bank Int.'!$K50*6.5%/360</f>
        <v>7.690529166666666</v>
      </c>
      <c r="M50" s="451">
        <v>65858.880000000005</v>
      </c>
      <c r="N50" s="452">
        <f>'Bank Int.'!$M50*8%/360</f>
        <v>14.635306666666668</v>
      </c>
    </row>
    <row r="51" spans="1:14" ht="22.5" customHeight="1" x14ac:dyDescent="0.25">
      <c r="A51" s="257">
        <f>Table3[[#This Row],[Interest]]+Table3[[#This Row],[Interest2]]+Table3[[#This Row],[Interest4]]+Table3[[#This Row],[Interest42]]+Table3[[#This Row],[Interest5]]+N51</f>
        <v>1707.5884611111107</v>
      </c>
      <c r="B51" s="253">
        <f t="shared" si="2"/>
        <v>45702</v>
      </c>
      <c r="C51" s="298">
        <v>7033611.9800000004</v>
      </c>
      <c r="D51" s="295">
        <f>'Bank Int.'!$C51*7.5%/360</f>
        <v>1465.3358291666666</v>
      </c>
      <c r="E51" s="306">
        <v>1527807.62</v>
      </c>
      <c r="F51" s="303">
        <f>Table3[[#This Row],[Mid 146]]*4.5%/360</f>
        <v>190.97595250000001</v>
      </c>
      <c r="G51" s="305">
        <v>1563978.18</v>
      </c>
      <c r="H51" s="303">
        <f>'Bank Int.'!$G51*0.5%/360</f>
        <v>21.721919166666666</v>
      </c>
      <c r="I51" s="254">
        <v>40037.120000000003</v>
      </c>
      <c r="J51" s="307">
        <f>'Bank Int.'!$I51*6.5%/360</f>
        <v>7.2289244444444449</v>
      </c>
      <c r="K51" s="337">
        <v>42593.7</v>
      </c>
      <c r="L51" s="467">
        <f>'Bank Int.'!$K51*6.5%/360</f>
        <v>7.690529166666666</v>
      </c>
      <c r="M51" s="451">
        <v>65858.880000000005</v>
      </c>
      <c r="N51" s="452">
        <f>'Bank Int.'!$M51*8%/360</f>
        <v>14.635306666666668</v>
      </c>
    </row>
    <row r="52" spans="1:14" ht="22.5" customHeight="1" x14ac:dyDescent="0.25">
      <c r="A52" s="257">
        <f>Table3[[#This Row],[Interest]]+Table3[[#This Row],[Interest2]]+Table3[[#This Row],[Interest4]]+Table3[[#This Row],[Interest42]]+Table3[[#This Row],[Interest5]]+N52</f>
        <v>1707.5884611111107</v>
      </c>
      <c r="B52" s="253">
        <f t="shared" si="2"/>
        <v>45701</v>
      </c>
      <c r="C52" s="298">
        <v>7033611.9800000004</v>
      </c>
      <c r="D52" s="295">
        <f>'Bank Int.'!$C52*7.5%/360</f>
        <v>1465.3358291666666</v>
      </c>
      <c r="E52" s="306">
        <v>1527807.62</v>
      </c>
      <c r="F52" s="303">
        <f>Table3[[#This Row],[Mid 146]]*4.5%/360</f>
        <v>190.97595250000001</v>
      </c>
      <c r="G52" s="305">
        <v>1563978.18</v>
      </c>
      <c r="H52" s="303">
        <f>'Bank Int.'!$G52*0.5%/360</f>
        <v>21.721919166666666</v>
      </c>
      <c r="I52" s="254">
        <v>40037.120000000003</v>
      </c>
      <c r="J52" s="307">
        <f>'Bank Int.'!$I52*6.5%/360</f>
        <v>7.2289244444444449</v>
      </c>
      <c r="K52" s="337">
        <v>42593.7</v>
      </c>
      <c r="L52" s="467">
        <f>'Bank Int.'!$K52*6.5%/360</f>
        <v>7.690529166666666</v>
      </c>
      <c r="M52" s="451">
        <v>65858.880000000005</v>
      </c>
      <c r="N52" s="452">
        <f>'Bank Int.'!$M52*8%/360</f>
        <v>14.635306666666668</v>
      </c>
    </row>
    <row r="53" spans="1:14" ht="22.5" customHeight="1" x14ac:dyDescent="0.25">
      <c r="A53" s="257">
        <f>Table3[[#This Row],[Interest]]+Table3[[#This Row],[Interest2]]+Table3[[#This Row],[Interest4]]+Table3[[#This Row],[Interest42]]+Table3[[#This Row],[Interest5]]+N53</f>
        <v>1707.5884611111107</v>
      </c>
      <c r="B53" s="253">
        <f t="shared" si="2"/>
        <v>45700</v>
      </c>
      <c r="C53" s="298">
        <v>7033611.9800000004</v>
      </c>
      <c r="D53" s="295">
        <f>'Bank Int.'!$C53*7.5%/360</f>
        <v>1465.3358291666666</v>
      </c>
      <c r="E53" s="306">
        <v>1527807.62</v>
      </c>
      <c r="F53" s="303">
        <f>Table3[[#This Row],[Mid 146]]*4.5%/360</f>
        <v>190.97595250000001</v>
      </c>
      <c r="G53" s="305">
        <v>1563978.18</v>
      </c>
      <c r="H53" s="303">
        <f>'Bank Int.'!$G53*0.5%/360</f>
        <v>21.721919166666666</v>
      </c>
      <c r="I53" s="254">
        <v>40037.120000000003</v>
      </c>
      <c r="J53" s="307">
        <f>'Bank Int.'!$I53*6.5%/360</f>
        <v>7.2289244444444449</v>
      </c>
      <c r="K53" s="337">
        <v>42593.7</v>
      </c>
      <c r="L53" s="467">
        <f>'Bank Int.'!$K53*6.5%/360</f>
        <v>7.690529166666666</v>
      </c>
      <c r="M53" s="451">
        <v>65858.880000000005</v>
      </c>
      <c r="N53" s="452">
        <f>'Bank Int.'!$M53*8%/360</f>
        <v>14.635306666666668</v>
      </c>
    </row>
    <row r="54" spans="1:14" ht="22.5" customHeight="1" x14ac:dyDescent="0.25">
      <c r="A54" s="257">
        <f>Table3[[#This Row],[Interest]]+Table3[[#This Row],[Interest2]]+Table3[[#This Row],[Interest4]]+Table3[[#This Row],[Interest42]]+Table3[[#This Row],[Interest5]]+N54</f>
        <v>1707.5884611111107</v>
      </c>
      <c r="B54" s="253">
        <f t="shared" si="2"/>
        <v>45699</v>
      </c>
      <c r="C54" s="298">
        <v>7033611.9800000004</v>
      </c>
      <c r="D54" s="295">
        <f>'Bank Int.'!$C54*7.5%/360</f>
        <v>1465.3358291666666</v>
      </c>
      <c r="E54" s="306">
        <v>1527807.62</v>
      </c>
      <c r="F54" s="303">
        <f>Table3[[#This Row],[Mid 146]]*4.5%/360</f>
        <v>190.97595250000001</v>
      </c>
      <c r="G54" s="305">
        <v>1563978.18</v>
      </c>
      <c r="H54" s="303">
        <f>'Bank Int.'!$G54*0.5%/360</f>
        <v>21.721919166666666</v>
      </c>
      <c r="I54" s="254">
        <v>40037.120000000003</v>
      </c>
      <c r="J54" s="307">
        <f>'Bank Int.'!$I54*6.5%/360</f>
        <v>7.2289244444444449</v>
      </c>
      <c r="K54" s="337">
        <v>42593.7</v>
      </c>
      <c r="L54" s="467">
        <f>'Bank Int.'!$K54*6.5%/360</f>
        <v>7.690529166666666</v>
      </c>
      <c r="M54" s="451">
        <v>65858.880000000005</v>
      </c>
      <c r="N54" s="452">
        <f>'Bank Int.'!$M54*8%/360</f>
        <v>14.635306666666668</v>
      </c>
    </row>
    <row r="55" spans="1:14" ht="22.5" customHeight="1" x14ac:dyDescent="0.25">
      <c r="A55" s="257">
        <f>Table3[[#This Row],[Interest]]+Table3[[#This Row],[Interest2]]+Table3[[#This Row],[Interest4]]+Table3[[#This Row],[Interest42]]+Table3[[#This Row],[Interest5]]+N55</f>
        <v>1707.5884611111107</v>
      </c>
      <c r="B55" s="253">
        <f t="shared" si="2"/>
        <v>45698</v>
      </c>
      <c r="C55" s="298">
        <v>7033611.9800000004</v>
      </c>
      <c r="D55" s="295">
        <f>'Bank Int.'!$C55*7.5%/360</f>
        <v>1465.3358291666666</v>
      </c>
      <c r="E55" s="306">
        <v>1527807.62</v>
      </c>
      <c r="F55" s="303">
        <f>Table3[[#This Row],[Mid 146]]*4.5%/360</f>
        <v>190.97595250000001</v>
      </c>
      <c r="G55" s="305">
        <v>1563978.18</v>
      </c>
      <c r="H55" s="303">
        <f>'Bank Int.'!$G55*0.5%/360</f>
        <v>21.721919166666666</v>
      </c>
      <c r="I55" s="254">
        <v>40037.120000000003</v>
      </c>
      <c r="J55" s="307">
        <f>'Bank Int.'!$I55*6.5%/360</f>
        <v>7.2289244444444449</v>
      </c>
      <c r="K55" s="337">
        <v>42593.7</v>
      </c>
      <c r="L55" s="467">
        <f>'Bank Int.'!$K55*6.5%/360</f>
        <v>7.690529166666666</v>
      </c>
      <c r="M55" s="451">
        <v>65858.880000000005</v>
      </c>
      <c r="N55" s="452">
        <f>'Bank Int.'!$M55*8%/360</f>
        <v>14.635306666666668</v>
      </c>
    </row>
    <row r="56" spans="1:14" ht="22.5" customHeight="1" x14ac:dyDescent="0.25">
      <c r="A56" s="257">
        <f>Table3[[#This Row],[Interest]]+Table3[[#This Row],[Interest2]]+Table3[[#This Row],[Interest4]]+Table3[[#This Row],[Interest42]]+Table3[[#This Row],[Interest5]]+N56</f>
        <v>1698.4716458333332</v>
      </c>
      <c r="B56" s="253">
        <f t="shared" si="2"/>
        <v>45697</v>
      </c>
      <c r="C56" s="298">
        <v>7058611.9800000004</v>
      </c>
      <c r="D56" s="295">
        <f>'Bank Int.'!$C56*7.5%/360</f>
        <v>1470.5441625000001</v>
      </c>
      <c r="E56" s="306">
        <v>1426140.95</v>
      </c>
      <c r="F56" s="303">
        <f>Table3[[#This Row],[Mid 146]]*4.5%/360</f>
        <v>178.26761875</v>
      </c>
      <c r="G56" s="305">
        <v>1563978.18</v>
      </c>
      <c r="H56" s="303">
        <f>'Bank Int.'!$G56*0.5%/360</f>
        <v>21.721919166666666</v>
      </c>
      <c r="I56" s="254">
        <v>40382.120000000003</v>
      </c>
      <c r="J56" s="307">
        <f>'Bank Int.'!$I56*6.5%/360</f>
        <v>7.2912161111111118</v>
      </c>
      <c r="K56" s="337">
        <v>43214.87</v>
      </c>
      <c r="L56" s="467">
        <f>'Bank Int.'!$K56*6.5%/360</f>
        <v>7.8026848611111115</v>
      </c>
      <c r="M56" s="451">
        <v>57798.2</v>
      </c>
      <c r="N56" s="452">
        <f>'Bank Int.'!$M56*8%/360</f>
        <v>12.844044444444444</v>
      </c>
    </row>
    <row r="57" spans="1:14" ht="22.5" customHeight="1" x14ac:dyDescent="0.25">
      <c r="A57" s="257">
        <f>Table3[[#This Row],[Interest]]+Table3[[#This Row],[Interest2]]+Table3[[#This Row],[Interest4]]+Table3[[#This Row],[Interest42]]+Table3[[#This Row],[Interest5]]+N57</f>
        <v>1294.5390458333331</v>
      </c>
      <c r="B57" s="253">
        <f t="shared" si="2"/>
        <v>45696</v>
      </c>
      <c r="C57" s="298">
        <v>5083135.5</v>
      </c>
      <c r="D57" s="295">
        <f>'Bank Int.'!$C57*7.5%/360</f>
        <v>1058.9865625</v>
      </c>
      <c r="E57" s="306">
        <v>1426140.95</v>
      </c>
      <c r="F57" s="303">
        <f>Table3[[#This Row],[Mid 146]]*4.5%/360</f>
        <v>178.26761875</v>
      </c>
      <c r="G57" s="305">
        <v>2112978.1800000002</v>
      </c>
      <c r="H57" s="303">
        <f>'Bank Int.'!$G57*0.5%/360</f>
        <v>29.346919166666666</v>
      </c>
      <c r="I57" s="254">
        <v>40382.120000000003</v>
      </c>
      <c r="J57" s="307">
        <f>'Bank Int.'!$I57*6.5%/360</f>
        <v>7.2912161111111118</v>
      </c>
      <c r="K57" s="337">
        <v>43214.87</v>
      </c>
      <c r="L57" s="467">
        <f>'Bank Int.'!$K57*6.5%/360</f>
        <v>7.8026848611111115</v>
      </c>
      <c r="M57" s="451">
        <v>57798.2</v>
      </c>
      <c r="N57" s="452">
        <f>'Bank Int.'!$M57*8%/360</f>
        <v>12.844044444444444</v>
      </c>
    </row>
    <row r="58" spans="1:14" ht="22.5" customHeight="1" x14ac:dyDescent="0.25">
      <c r="A58" s="257">
        <f>Table3[[#This Row],[Interest]]+Table3[[#This Row],[Interest2]]+Table3[[#This Row],[Interest4]]+Table3[[#This Row],[Interest42]]+Table3[[#This Row],[Interest5]]+N58</f>
        <v>1294.5390458333331</v>
      </c>
      <c r="B58" s="253">
        <f t="shared" si="2"/>
        <v>45695</v>
      </c>
      <c r="C58" s="298">
        <v>5083135.5</v>
      </c>
      <c r="D58" s="295">
        <f>'Bank Int.'!$C58*7.5%/360</f>
        <v>1058.9865625</v>
      </c>
      <c r="E58" s="306">
        <v>1426140.95</v>
      </c>
      <c r="F58" s="303">
        <f>Table3[[#This Row],[Mid 146]]*4.5%/360</f>
        <v>178.26761875</v>
      </c>
      <c r="G58" s="305">
        <v>2112978.1800000002</v>
      </c>
      <c r="H58" s="303">
        <f>'Bank Int.'!$G58*0.5%/360</f>
        <v>29.346919166666666</v>
      </c>
      <c r="I58" s="254">
        <v>40382.120000000003</v>
      </c>
      <c r="J58" s="307">
        <f>'Bank Int.'!$I58*6.5%/360</f>
        <v>7.2912161111111118</v>
      </c>
      <c r="K58" s="337">
        <v>43214.87</v>
      </c>
      <c r="L58" s="467">
        <f>'Bank Int.'!$K58*6.5%/360</f>
        <v>7.8026848611111115</v>
      </c>
      <c r="M58" s="451">
        <v>57798.2</v>
      </c>
      <c r="N58" s="452">
        <f>'Bank Int.'!$M58*8%/360</f>
        <v>12.844044444444444</v>
      </c>
    </row>
    <row r="59" spans="1:14" ht="22.5" customHeight="1" x14ac:dyDescent="0.25">
      <c r="A59" s="257">
        <f>Table3[[#This Row],[Interest]]+Table3[[#This Row],[Interest2]]+Table3[[#This Row],[Interest4]]+Table3[[#This Row],[Interest42]]+Table3[[#This Row],[Interest5]]+N59</f>
        <v>1294.5390458333331</v>
      </c>
      <c r="B59" s="253">
        <f t="shared" si="2"/>
        <v>45694</v>
      </c>
      <c r="C59" s="298">
        <v>5083135.5</v>
      </c>
      <c r="D59" s="295">
        <f>'Bank Int.'!$C59*7.5%/360</f>
        <v>1058.9865625</v>
      </c>
      <c r="E59" s="306">
        <v>1426140.95</v>
      </c>
      <c r="F59" s="303">
        <f>Table3[[#This Row],[Mid 146]]*4.5%/360</f>
        <v>178.26761875</v>
      </c>
      <c r="G59" s="305">
        <v>2112978.1800000002</v>
      </c>
      <c r="H59" s="303">
        <f>'Bank Int.'!$G59*0.5%/360</f>
        <v>29.346919166666666</v>
      </c>
      <c r="I59" s="254">
        <v>40382.120000000003</v>
      </c>
      <c r="J59" s="307">
        <f>'Bank Int.'!$I59*6.5%/360</f>
        <v>7.2912161111111118</v>
      </c>
      <c r="K59" s="337">
        <v>43214.87</v>
      </c>
      <c r="L59" s="467">
        <f>'Bank Int.'!$K59*6.5%/360</f>
        <v>7.8026848611111115</v>
      </c>
      <c r="M59" s="451">
        <v>57798.2</v>
      </c>
      <c r="N59" s="452">
        <f>'Bank Int.'!$M59*8%/360</f>
        <v>12.844044444444444</v>
      </c>
    </row>
    <row r="60" spans="1:14" ht="22.5" customHeight="1" x14ac:dyDescent="0.25">
      <c r="A60" s="257">
        <f>Table3[[#This Row],[Interest]]+Table3[[#This Row],[Interest2]]+Table3[[#This Row],[Interest4]]+Table3[[#This Row],[Interest42]]+Table3[[#This Row],[Interest5]]+N60</f>
        <v>1273.2682241666666</v>
      </c>
      <c r="B60" s="253">
        <f t="shared" si="2"/>
        <v>45693</v>
      </c>
      <c r="C60" s="298">
        <v>5083135.5</v>
      </c>
      <c r="D60" s="295">
        <f>'Bank Int.'!$C60*7.5%/360</f>
        <v>1058.9865625</v>
      </c>
      <c r="E60" s="306">
        <v>1283807.71</v>
      </c>
      <c r="F60" s="303">
        <f>Table3[[#This Row],[Mid 146]]*4.5%/360</f>
        <v>160.47596375000001</v>
      </c>
      <c r="G60" s="305">
        <v>1862478.18</v>
      </c>
      <c r="H60" s="303">
        <f>'Bank Int.'!$G60*0.5%/360</f>
        <v>25.867752500000002</v>
      </c>
      <c r="I60" s="254">
        <v>40382.120000000003</v>
      </c>
      <c r="J60" s="307">
        <f>'Bank Int.'!$I60*6.5%/360</f>
        <v>7.2912161111111118</v>
      </c>
      <c r="K60" s="337">
        <v>43214.87</v>
      </c>
      <c r="L60" s="467">
        <f>'Bank Int.'!$K60*6.5%/360</f>
        <v>7.8026848611111115</v>
      </c>
      <c r="M60" s="451">
        <v>57798.2</v>
      </c>
      <c r="N60" s="452">
        <f>'Bank Int.'!$M60*8%/360</f>
        <v>12.844044444444444</v>
      </c>
    </row>
    <row r="61" spans="1:14" ht="22.5" customHeight="1" x14ac:dyDescent="0.25">
      <c r="A61" s="257">
        <f>Table3[[#This Row],[Interest]]+Table3[[#This Row],[Interest2]]+Table3[[#This Row],[Interest4]]+Table3[[#This Row],[Interest42]]+Table3[[#This Row],[Interest5]]+N61</f>
        <v>1371.1497574999999</v>
      </c>
      <c r="B61" s="253">
        <f t="shared" si="2"/>
        <v>45692</v>
      </c>
      <c r="C61" s="298">
        <v>5552966.8600000003</v>
      </c>
      <c r="D61" s="295">
        <f>'Bank Int.'!$C61*7.5%/360</f>
        <v>1156.8680958333332</v>
      </c>
      <c r="E61" s="306">
        <v>1283807.71</v>
      </c>
      <c r="F61" s="303">
        <f>Table3[[#This Row],[Mid 146]]*4.5%/360</f>
        <v>160.47596375000001</v>
      </c>
      <c r="G61" s="305">
        <v>1862478.18</v>
      </c>
      <c r="H61" s="303">
        <f>'Bank Int.'!$G61*0.5%/360</f>
        <v>25.867752500000002</v>
      </c>
      <c r="I61" s="254">
        <v>40382.120000000003</v>
      </c>
      <c r="J61" s="307">
        <f>'Bank Int.'!$I61*6.5%/360</f>
        <v>7.2912161111111118</v>
      </c>
      <c r="K61" s="337">
        <v>43214.87</v>
      </c>
      <c r="L61" s="467">
        <f>'Bank Int.'!$K61*6.5%/360</f>
        <v>7.8026848611111115</v>
      </c>
      <c r="M61" s="451">
        <v>57798.2</v>
      </c>
      <c r="N61" s="452">
        <f>'Bank Int.'!$M61*8%/360</f>
        <v>12.844044444444444</v>
      </c>
    </row>
    <row r="62" spans="1:14" ht="22.5" customHeight="1" x14ac:dyDescent="0.25">
      <c r="A62" s="257">
        <f>Table3[[#This Row],[Interest]]+Table3[[#This Row],[Interest2]]+Table3[[#This Row],[Interest4]]+Table3[[#This Row],[Interest42]]+Table3[[#This Row],[Interest5]]+N62</f>
        <v>1371.1497574999999</v>
      </c>
      <c r="B62" s="253">
        <f t="shared" si="2"/>
        <v>45691</v>
      </c>
      <c r="C62" s="298">
        <v>5552966.8600000003</v>
      </c>
      <c r="D62" s="295">
        <f>'Bank Int.'!$C62*7.5%/360</f>
        <v>1156.8680958333332</v>
      </c>
      <c r="E62" s="306">
        <v>1283807.71</v>
      </c>
      <c r="F62" s="303">
        <f>Table3[[#This Row],[Mid 146]]*4.5%/360</f>
        <v>160.47596375000001</v>
      </c>
      <c r="G62" s="305">
        <v>1862478.18</v>
      </c>
      <c r="H62" s="303">
        <f>'Bank Int.'!$G62*0.5%/360</f>
        <v>25.867752500000002</v>
      </c>
      <c r="I62" s="254">
        <v>40382.120000000003</v>
      </c>
      <c r="J62" s="307">
        <f>'Bank Int.'!$I62*6.5%/360</f>
        <v>7.2912161111111118</v>
      </c>
      <c r="K62" s="337">
        <v>43214.87</v>
      </c>
      <c r="L62" s="467">
        <f>'Bank Int.'!$K62*6.5%/360</f>
        <v>7.8026848611111115</v>
      </c>
      <c r="M62" s="451">
        <v>57798.2</v>
      </c>
      <c r="N62" s="452">
        <f>'Bank Int.'!$M62*8%/360</f>
        <v>12.844044444444444</v>
      </c>
    </row>
    <row r="63" spans="1:14" ht="22.5" customHeight="1" x14ac:dyDescent="0.25">
      <c r="A63" s="257">
        <f>Table3[[#This Row],[Interest]]+Table3[[#This Row],[Interest2]]+Table3[[#This Row],[Interest4]]+Table3[[#This Row],[Interest42]]+Table3[[#This Row],[Interest5]]+N63</f>
        <v>1371.1497574999999</v>
      </c>
      <c r="B63" s="253">
        <f t="shared" si="2"/>
        <v>45690</v>
      </c>
      <c r="C63" s="298">
        <v>5552966.8600000003</v>
      </c>
      <c r="D63" s="295">
        <f>'Bank Int.'!$C63*7.5%/360</f>
        <v>1156.8680958333332</v>
      </c>
      <c r="E63" s="306">
        <v>1283807.71</v>
      </c>
      <c r="F63" s="303">
        <f>Table3[[#This Row],[Mid 146]]*4.5%/360</f>
        <v>160.47596375000001</v>
      </c>
      <c r="G63" s="305">
        <v>1862478.18</v>
      </c>
      <c r="H63" s="303">
        <f>'Bank Int.'!$G63*0.5%/360</f>
        <v>25.867752500000002</v>
      </c>
      <c r="I63" s="254">
        <v>40382.120000000003</v>
      </c>
      <c r="J63" s="307">
        <f>'Bank Int.'!$I63*6.5%/360</f>
        <v>7.2912161111111118</v>
      </c>
      <c r="K63" s="337">
        <v>43214.87</v>
      </c>
      <c r="L63" s="467">
        <f>'Bank Int.'!$K63*6.5%/360</f>
        <v>7.8026848611111115</v>
      </c>
      <c r="M63" s="451">
        <v>57798.2</v>
      </c>
      <c r="N63" s="452">
        <f>'Bank Int.'!$M63*8%/360</f>
        <v>12.844044444444444</v>
      </c>
    </row>
    <row r="64" spans="1:14" ht="22.5" customHeight="1" x14ac:dyDescent="0.25">
      <c r="A64" s="257">
        <f>Table3[[#This Row],[Interest]]+Table3[[#This Row],[Interest2]]+Table3[[#This Row],[Interest4]]+Table3[[#This Row],[Interest42]]+Table3[[#This Row],[Interest5]]+N64</f>
        <v>1491.7648408333334</v>
      </c>
      <c r="B64" s="253">
        <f t="shared" si="2"/>
        <v>45689</v>
      </c>
      <c r="C64" s="298">
        <v>5693859.2599999998</v>
      </c>
      <c r="D64" s="295">
        <f>'Bank Int.'!$C64*7.5%/360</f>
        <v>1186.2206791666665</v>
      </c>
      <c r="E64" s="306">
        <v>2113907.71</v>
      </c>
      <c r="F64" s="303">
        <f>Table3[[#This Row],[Mid 146]]*4.5%/360</f>
        <v>264.23846374999999</v>
      </c>
      <c r="G64" s="305">
        <v>962478.18</v>
      </c>
      <c r="H64" s="303">
        <f>'Bank Int.'!$G64*0.5%/360</f>
        <v>13.367752500000002</v>
      </c>
      <c r="I64" s="254">
        <v>40382.120000000003</v>
      </c>
      <c r="J64" s="307">
        <f>'Bank Int.'!$I64*6.5%/360</f>
        <v>7.2912161111111118</v>
      </c>
      <c r="K64" s="337">
        <v>43214.87</v>
      </c>
      <c r="L64" s="467">
        <f>'Bank Int.'!$K64*6.5%/360</f>
        <v>7.8026848611111115</v>
      </c>
      <c r="M64" s="451">
        <v>57798.2</v>
      </c>
      <c r="N64" s="452">
        <f>'Bank Int.'!$M64*8%/360</f>
        <v>12.844044444444444</v>
      </c>
    </row>
    <row r="65" spans="1:14" ht="22.5" customHeight="1" x14ac:dyDescent="0.25">
      <c r="A65" s="257">
        <f>Table3[[#This Row],[Interest]]+Table3[[#This Row],[Interest2]]+Table3[[#This Row],[Interest4]]+Table3[[#This Row],[Interest42]]+Table3[[#This Row],[Interest5]]+N65</f>
        <v>1870.1008061111111</v>
      </c>
      <c r="B65" s="253">
        <f t="shared" si="2"/>
        <v>45688</v>
      </c>
      <c r="C65" s="298">
        <v>8052303.5199999996</v>
      </c>
      <c r="D65" s="295">
        <f>'Bank Int.'!$C65*7.5%/360</f>
        <v>1677.5632333333333</v>
      </c>
      <c r="E65" s="306">
        <v>1210966.1100000001</v>
      </c>
      <c r="F65" s="303">
        <f>Table3[[#This Row],[Mid 146]]*4.5%/360</f>
        <v>151.37076375000001</v>
      </c>
      <c r="G65" s="305">
        <v>952478.18</v>
      </c>
      <c r="H65" s="303">
        <f>'Bank Int.'!$G65*0.5%/360</f>
        <v>13.228863611111112</v>
      </c>
      <c r="I65" s="254">
        <v>40382.120000000003</v>
      </c>
      <c r="J65" s="307">
        <f>'Bank Int.'!$I65*6.5%/360</f>
        <v>7.2912161111111118</v>
      </c>
      <c r="K65" s="337">
        <v>43214.87</v>
      </c>
      <c r="L65" s="467">
        <f>'Bank Int.'!$K65*6.5%/360</f>
        <v>7.8026848611111115</v>
      </c>
      <c r="M65" s="451">
        <v>57798.2</v>
      </c>
      <c r="N65" s="452">
        <f>'Bank Int.'!$M65*8%/360</f>
        <v>12.844044444444444</v>
      </c>
    </row>
    <row r="66" spans="1:14" ht="22.5" customHeight="1" x14ac:dyDescent="0.25">
      <c r="A66" s="257">
        <f>Table3[[#This Row],[Interest]]+Table3[[#This Row],[Interest2]]+Table3[[#This Row],[Interest4]]+Table3[[#This Row],[Interest42]]+Table3[[#This Row],[Interest5]]+N66</f>
        <v>1870.1008061111111</v>
      </c>
      <c r="B66" s="253">
        <f t="shared" si="2"/>
        <v>45687</v>
      </c>
      <c r="C66" s="298">
        <v>8052303.5199999996</v>
      </c>
      <c r="D66" s="295">
        <f>'Bank Int.'!$C66*7.5%/360</f>
        <v>1677.5632333333333</v>
      </c>
      <c r="E66" s="306">
        <v>1210966.1100000001</v>
      </c>
      <c r="F66" s="303">
        <f>Table3[[#This Row],[Mid 146]]*4.5%/360</f>
        <v>151.37076375000001</v>
      </c>
      <c r="G66" s="305">
        <v>952478.18</v>
      </c>
      <c r="H66" s="303">
        <f>'Bank Int.'!$G66*0.5%/360</f>
        <v>13.228863611111112</v>
      </c>
      <c r="I66" s="254">
        <v>40382.120000000003</v>
      </c>
      <c r="J66" s="307">
        <f>'Bank Int.'!$I66*6.5%/360</f>
        <v>7.2912161111111118</v>
      </c>
      <c r="K66" s="337">
        <v>43214.87</v>
      </c>
      <c r="L66" s="467">
        <f>'Bank Int.'!$K66*6.5%/360</f>
        <v>7.8026848611111115</v>
      </c>
      <c r="M66" s="451">
        <v>57798.2</v>
      </c>
      <c r="N66" s="452">
        <f>'Bank Int.'!$M66*8%/360</f>
        <v>12.844044444444444</v>
      </c>
    </row>
    <row r="67" spans="1:14" ht="22.5" customHeight="1" x14ac:dyDescent="0.25">
      <c r="A67" s="257">
        <f>Table3[[#This Row],[Interest]]+Table3[[#This Row],[Interest2]]+Table3[[#This Row],[Interest4]]+Table3[[#This Row],[Interest42]]+Table3[[#This Row],[Interest5]]+N67</f>
        <v>1870.1008061111111</v>
      </c>
      <c r="B67" s="253">
        <f t="shared" ref="B67:B72" si="3">B68+1</f>
        <v>45686</v>
      </c>
      <c r="C67" s="298">
        <v>8052303.5199999996</v>
      </c>
      <c r="D67" s="295">
        <f>'Bank Int.'!$C67*7.5%/360</f>
        <v>1677.5632333333333</v>
      </c>
      <c r="E67" s="306">
        <v>1210966.1100000001</v>
      </c>
      <c r="F67" s="303">
        <f>Table3[[#This Row],[Mid 146]]*4.5%/360</f>
        <v>151.37076375000001</v>
      </c>
      <c r="G67" s="305">
        <v>952478.18</v>
      </c>
      <c r="H67" s="303">
        <f>'Bank Int.'!$G67*0.5%/360</f>
        <v>13.228863611111112</v>
      </c>
      <c r="I67" s="254">
        <v>40382.120000000003</v>
      </c>
      <c r="J67" s="307">
        <f>'Bank Int.'!$I67*6.5%/360</f>
        <v>7.2912161111111118</v>
      </c>
      <c r="K67" s="337">
        <v>43214.87</v>
      </c>
      <c r="L67" s="467">
        <f>'Bank Int.'!$K67*6.5%/360</f>
        <v>7.8026848611111115</v>
      </c>
      <c r="M67" s="451">
        <v>57798.2</v>
      </c>
      <c r="N67" s="452">
        <f>'Bank Int.'!$M67*8%/360</f>
        <v>12.844044444444444</v>
      </c>
    </row>
    <row r="68" spans="1:14" ht="22.5" customHeight="1" x14ac:dyDescent="0.25">
      <c r="A68" s="257">
        <f>Table3[[#This Row],[Interest]]+Table3[[#This Row],[Interest2]]+Table3[[#This Row],[Interest4]]+Table3[[#This Row],[Interest42]]+Table3[[#This Row],[Interest5]]+N68</f>
        <v>1999.217620972222</v>
      </c>
      <c r="B68" s="253">
        <f t="shared" si="3"/>
        <v>45685</v>
      </c>
      <c r="C68" s="298">
        <v>8052303.5199999996</v>
      </c>
      <c r="D68" s="295">
        <f>'Bank Int.'!$C68*7.5%/360</f>
        <v>1677.5632333333333</v>
      </c>
      <c r="E68" s="306">
        <v>2230966.11</v>
      </c>
      <c r="F68" s="303">
        <f>Table3[[#This Row],[Mid 146]]*4.5%/360</f>
        <v>278.87076374999998</v>
      </c>
      <c r="G68" s="305">
        <v>952478.18</v>
      </c>
      <c r="H68" s="303">
        <f>'Bank Int.'!$G68*0.5%/360</f>
        <v>13.228863611111112</v>
      </c>
      <c r="I68" s="254">
        <v>40037.120000000003</v>
      </c>
      <c r="J68" s="307">
        <f>'Bank Int.'!$I68*6.5%/360</f>
        <v>7.2289244444444449</v>
      </c>
      <c r="K68" s="337">
        <v>42593.7</v>
      </c>
      <c r="L68" s="467">
        <f>'Bank Int.'!$K68*6.5%/360</f>
        <v>7.690529166666666</v>
      </c>
      <c r="M68" s="451">
        <v>65858.880000000005</v>
      </c>
      <c r="N68" s="452">
        <f>'Bank Int.'!$M68*8%/360</f>
        <v>14.635306666666668</v>
      </c>
    </row>
    <row r="69" spans="1:14" ht="22.5" customHeight="1" x14ac:dyDescent="0.25">
      <c r="A69" s="257">
        <f>Table3[[#This Row],[Interest]]+Table3[[#This Row],[Interest2]]+Table3[[#This Row],[Interest4]]+Table3[[#This Row],[Interest42]]+Table3[[#This Row],[Interest5]]+N69</f>
        <v>1867.3230283333332</v>
      </c>
      <c r="B69" s="253">
        <f t="shared" si="3"/>
        <v>45684</v>
      </c>
      <c r="C69" s="298">
        <v>8052303.5199999996</v>
      </c>
      <c r="D69" s="295">
        <f>'Bank Int.'!$C69*7.5%/360</f>
        <v>1677.5632333333333</v>
      </c>
      <c r="E69" s="306">
        <v>1210966.1100000001</v>
      </c>
      <c r="F69" s="303">
        <f>Table3[[#This Row],[Mid 146]]*4.5%/360</f>
        <v>151.37076375000001</v>
      </c>
      <c r="G69" s="305">
        <v>752478.18</v>
      </c>
      <c r="H69" s="303">
        <f>'Bank Int.'!$G69*0.5%/360</f>
        <v>10.451085833333334</v>
      </c>
      <c r="I69" s="254">
        <v>40382.120000000003</v>
      </c>
      <c r="J69" s="307">
        <f>'Bank Int.'!$I69*6.5%/360</f>
        <v>7.2912161111111118</v>
      </c>
      <c r="K69" s="337">
        <v>43214.87</v>
      </c>
      <c r="L69" s="467">
        <f>'Bank Int.'!$K69*6.5%/360</f>
        <v>7.8026848611111115</v>
      </c>
      <c r="M69" s="451">
        <v>57798.2</v>
      </c>
      <c r="N69" s="452">
        <f>'Bank Int.'!$M69*8%/360</f>
        <v>12.844044444444444</v>
      </c>
    </row>
    <row r="70" spans="1:14" ht="22.5" customHeight="1" x14ac:dyDescent="0.25">
      <c r="A70" s="257">
        <f>Table3[[#This Row],[Interest]]+Table3[[#This Row],[Interest2]]+Table3[[#This Row],[Interest4]]+Table3[[#This Row],[Interest42]]+Table3[[#This Row],[Interest5]]+N70</f>
        <v>1937.2571290277774</v>
      </c>
      <c r="B70" s="253">
        <f t="shared" si="3"/>
        <v>45683</v>
      </c>
      <c r="C70" s="298">
        <v>8428929.8699999992</v>
      </c>
      <c r="D70" s="295">
        <f>'Bank Int.'!$C70*7.5%/360</f>
        <v>1756.0270562499998</v>
      </c>
      <c r="E70" s="306">
        <v>1210966.1100000001</v>
      </c>
      <c r="F70" s="303">
        <f>Table3[[#This Row],[Mid 146]]*4.5%/360</f>
        <v>151.37076375000001</v>
      </c>
      <c r="G70" s="305">
        <v>138338.18</v>
      </c>
      <c r="H70" s="303">
        <f>'Bank Int.'!$G70*0.5%/360</f>
        <v>1.921363611111111</v>
      </c>
      <c r="I70" s="254">
        <v>40382.120000000003</v>
      </c>
      <c r="J70" s="307">
        <f>'Bank Int.'!$I70*6.5%/360</f>
        <v>7.2912161111111118</v>
      </c>
      <c r="K70" s="337">
        <v>43214.87</v>
      </c>
      <c r="L70" s="467">
        <f>'Bank Int.'!$K70*6.5%/360</f>
        <v>7.8026848611111115</v>
      </c>
      <c r="M70" s="451">
        <v>57798.2</v>
      </c>
      <c r="N70" s="452">
        <f>'Bank Int.'!$M70*8%/360</f>
        <v>12.844044444444444</v>
      </c>
    </row>
    <row r="71" spans="1:14" ht="22.5" customHeight="1" x14ac:dyDescent="0.25">
      <c r="A71" s="257">
        <f>Table3[[#This Row],[Interest]]+Table3[[#This Row],[Interest2]]+Table3[[#This Row],[Interest4]]+Table3[[#This Row],[Interest42]]+Table3[[#This Row],[Interest5]]+N71</f>
        <v>1937.2571290277774</v>
      </c>
      <c r="B71" s="253">
        <f t="shared" si="3"/>
        <v>45682</v>
      </c>
      <c r="C71" s="298">
        <v>8428929.8699999992</v>
      </c>
      <c r="D71" s="295">
        <f>'Bank Int.'!$C71*7.5%/360</f>
        <v>1756.0270562499998</v>
      </c>
      <c r="E71" s="306">
        <v>1210966.1100000001</v>
      </c>
      <c r="F71" s="303">
        <f>Table3[[#This Row],[Mid 146]]*4.5%/360</f>
        <v>151.37076375000001</v>
      </c>
      <c r="G71" s="305">
        <v>138338.18</v>
      </c>
      <c r="H71" s="303">
        <f>'Bank Int.'!$G71*0.5%/360</f>
        <v>1.921363611111111</v>
      </c>
      <c r="I71" s="254">
        <v>40382.120000000003</v>
      </c>
      <c r="J71" s="307">
        <f>'Bank Int.'!$I71*6.5%/360</f>
        <v>7.2912161111111118</v>
      </c>
      <c r="K71" s="337">
        <v>43214.87</v>
      </c>
      <c r="L71" s="467">
        <f>'Bank Int.'!$K71*6.5%/360</f>
        <v>7.8026848611111115</v>
      </c>
      <c r="M71" s="451">
        <v>57798.2</v>
      </c>
      <c r="N71" s="452">
        <f>'Bank Int.'!$M71*8%/360</f>
        <v>12.844044444444444</v>
      </c>
    </row>
    <row r="72" spans="1:14" ht="22.5" customHeight="1" x14ac:dyDescent="0.25">
      <c r="A72" s="257">
        <f>Table3[[#This Row],[Interest]]+Table3[[#This Row],[Interest2]]+Table3[[#This Row],[Interest4]]+Table3[[#This Row],[Interest42]]+Table3[[#This Row],[Interest5]]+N72</f>
        <v>1937.2571290277774</v>
      </c>
      <c r="B72" s="253">
        <f t="shared" si="3"/>
        <v>45681</v>
      </c>
      <c r="C72" s="298">
        <v>8428929.8699999992</v>
      </c>
      <c r="D72" s="295">
        <f>'Bank Int.'!$C72*7.5%/360</f>
        <v>1756.0270562499998</v>
      </c>
      <c r="E72" s="306">
        <v>1210966.1100000001</v>
      </c>
      <c r="F72" s="303">
        <f>Table3[[#This Row],[Mid 146]]*4.5%/360</f>
        <v>151.37076375000001</v>
      </c>
      <c r="G72" s="305">
        <v>138338.18</v>
      </c>
      <c r="H72" s="303">
        <f>'Bank Int.'!$G72*0.5%/360</f>
        <v>1.921363611111111</v>
      </c>
      <c r="I72" s="254">
        <v>40382.120000000003</v>
      </c>
      <c r="J72" s="307">
        <f>'Bank Int.'!$I72*6.5%/360</f>
        <v>7.2912161111111118</v>
      </c>
      <c r="K72" s="337">
        <v>43214.87</v>
      </c>
      <c r="L72" s="467">
        <f>'Bank Int.'!$K72*6.5%/360</f>
        <v>7.8026848611111115</v>
      </c>
      <c r="M72" s="451">
        <v>57798.2</v>
      </c>
      <c r="N72" s="452">
        <f>'Bank Int.'!$M72*8%/360</f>
        <v>12.844044444444444</v>
      </c>
    </row>
    <row r="73" spans="1:14" ht="22.5" customHeight="1" x14ac:dyDescent="0.25">
      <c r="A73" s="257">
        <f>Table3[[#This Row],[Interest]]+Table3[[#This Row],[Interest2]]+Table3[[#This Row],[Interest4]]+Table3[[#This Row],[Interest42]]+Table3[[#This Row],[Interest5]]+N73</f>
        <v>1937.2571290277774</v>
      </c>
      <c r="B73" s="253">
        <f>B74+1</f>
        <v>45680</v>
      </c>
      <c r="C73" s="298">
        <v>8428929.8699999992</v>
      </c>
      <c r="D73" s="295">
        <f>'Bank Int.'!$C73*7.5%/360</f>
        <v>1756.0270562499998</v>
      </c>
      <c r="E73" s="306">
        <v>1210966.1100000001</v>
      </c>
      <c r="F73" s="303">
        <f>Table3[[#This Row],[Mid 146]]*4.5%/360</f>
        <v>151.37076375000001</v>
      </c>
      <c r="G73" s="305">
        <v>138338.18</v>
      </c>
      <c r="H73" s="303">
        <f>'Bank Int.'!$G73*0.5%/360</f>
        <v>1.921363611111111</v>
      </c>
      <c r="I73" s="254">
        <v>40382.120000000003</v>
      </c>
      <c r="J73" s="307">
        <f>'Bank Int.'!$I73*6.5%/360</f>
        <v>7.2912161111111118</v>
      </c>
      <c r="K73" s="337">
        <v>43214.87</v>
      </c>
      <c r="L73" s="467">
        <f>'Bank Int.'!$K73*6.5%/360</f>
        <v>7.8026848611111115</v>
      </c>
      <c r="M73" s="451">
        <v>57798.2</v>
      </c>
      <c r="N73" s="452">
        <f>'Bank Int.'!$M73*8%/360</f>
        <v>12.844044444444444</v>
      </c>
    </row>
    <row r="74" spans="1:14" ht="22.5" customHeight="1" x14ac:dyDescent="0.25">
      <c r="A74" s="257">
        <f>Table3[[#This Row],[Interest]]+Table3[[#This Row],[Interest2]]+Table3[[#This Row],[Interest4]]+Table3[[#This Row],[Interest42]]+Table3[[#This Row],[Interest5]]+N74</f>
        <v>1937.2571290277774</v>
      </c>
      <c r="B74" s="253">
        <f t="shared" ref="B74:B80" si="4">B75+1</f>
        <v>45679</v>
      </c>
      <c r="C74" s="298">
        <v>8428929.8699999992</v>
      </c>
      <c r="D74" s="295">
        <f>'Bank Int.'!$C74*7.5%/360</f>
        <v>1756.0270562499998</v>
      </c>
      <c r="E74" s="306">
        <v>1210966.1100000001</v>
      </c>
      <c r="F74" s="303">
        <f>Table3[[#This Row],[Mid 146]]*4.5%/360</f>
        <v>151.37076375000001</v>
      </c>
      <c r="G74" s="305">
        <v>138338.18</v>
      </c>
      <c r="H74" s="303">
        <f>'Bank Int.'!$G74*0.5%/360</f>
        <v>1.921363611111111</v>
      </c>
      <c r="I74" s="465">
        <v>40382.120000000003</v>
      </c>
      <c r="J74" s="307">
        <f>'Bank Int.'!$I74*6.5%/360</f>
        <v>7.2912161111111118</v>
      </c>
      <c r="K74" s="468">
        <v>43214.87</v>
      </c>
      <c r="L74" s="467">
        <f>'Bank Int.'!$K74*6.5%/360</f>
        <v>7.8026848611111115</v>
      </c>
      <c r="M74" s="451">
        <v>57798.2</v>
      </c>
      <c r="N74" s="452">
        <f>'Bank Int.'!$M74*8%/360</f>
        <v>12.844044444444444</v>
      </c>
    </row>
    <row r="75" spans="1:14" ht="22.5" customHeight="1" x14ac:dyDescent="0.25">
      <c r="A75" s="257"/>
      <c r="B75" s="253">
        <f t="shared" si="4"/>
        <v>45678</v>
      </c>
      <c r="C75" s="298">
        <v>8428929.8699999992</v>
      </c>
      <c r="D75" s="295">
        <f>'Bank Int.'!$C75*7.5%/360</f>
        <v>1756.0270562499998</v>
      </c>
      <c r="E75" s="306">
        <v>2966.11</v>
      </c>
      <c r="F75" s="303">
        <f>Table3[[#This Row],[Mid 146]]*4.5%/360</f>
        <v>0.37076375</v>
      </c>
      <c r="G75" s="305">
        <v>138338.18</v>
      </c>
      <c r="H75" s="303">
        <f>'Bank Int.'!$G75*0.5%/360</f>
        <v>1.921363611111111</v>
      </c>
      <c r="I75" s="465">
        <v>40382.120000000003</v>
      </c>
      <c r="J75" s="307">
        <f>'Bank Int.'!$I75*6.5%/360</f>
        <v>7.2912161111111118</v>
      </c>
      <c r="K75" s="468">
        <v>43214.87</v>
      </c>
      <c r="L75" s="467">
        <f>'Bank Int.'!$K75*6.5%/360</f>
        <v>7.8026848611111115</v>
      </c>
      <c r="M75" s="451">
        <v>57798.2</v>
      </c>
      <c r="N75" s="452">
        <f>'Bank Int.'!$M75*8%/360</f>
        <v>12.844044444444444</v>
      </c>
    </row>
    <row r="76" spans="1:14" ht="22.5" customHeight="1" x14ac:dyDescent="0.25">
      <c r="A76" s="257"/>
      <c r="B76" s="253">
        <f t="shared" si="4"/>
        <v>45677</v>
      </c>
      <c r="C76" s="298">
        <v>8515127.8699999992</v>
      </c>
      <c r="D76" s="295">
        <f>'Bank Int.'!$C76*7.5%/360</f>
        <v>1773.9849729166663</v>
      </c>
      <c r="E76" s="306">
        <v>2966.11</v>
      </c>
      <c r="F76" s="303">
        <f>Table3[[#This Row],[Mid 146]]*4.5%/360</f>
        <v>0.37076375</v>
      </c>
      <c r="G76" s="305">
        <v>18338.18</v>
      </c>
      <c r="H76" s="303">
        <f>'Bank Int.'!$G76*0.5%/360</f>
        <v>0.25469694444444446</v>
      </c>
      <c r="I76" s="465">
        <v>40382.120000000003</v>
      </c>
      <c r="J76" s="307">
        <f>'Bank Int.'!$I76*6.5%/360</f>
        <v>7.2912161111111118</v>
      </c>
      <c r="K76" s="468">
        <v>43214.87</v>
      </c>
      <c r="L76" s="467">
        <f>'Bank Int.'!$K76*6.5%/360</f>
        <v>7.8026848611111115</v>
      </c>
      <c r="M76" s="451">
        <v>57798.2</v>
      </c>
      <c r="N76" s="452">
        <f>'Bank Int.'!$M76*8%/360</f>
        <v>12.844044444444444</v>
      </c>
    </row>
    <row r="77" spans="1:14" ht="22.5" customHeight="1" x14ac:dyDescent="0.25">
      <c r="A77" s="257"/>
      <c r="B77" s="253">
        <f t="shared" si="4"/>
        <v>45676</v>
      </c>
      <c r="C77" s="298">
        <v>8515127.8699999992</v>
      </c>
      <c r="D77" s="295">
        <f>'Bank Int.'!$C77*7.5%/360</f>
        <v>1773.9849729166663</v>
      </c>
      <c r="E77" s="306">
        <v>2966.11</v>
      </c>
      <c r="F77" s="303">
        <f>Table3[[#This Row],[Mid 146]]*4.5%/360</f>
        <v>0.37076375</v>
      </c>
      <c r="G77" s="305">
        <v>38338.18</v>
      </c>
      <c r="H77" s="303">
        <f>'Bank Int.'!$G77*0.5%/360</f>
        <v>0.53247472222222225</v>
      </c>
      <c r="I77" s="465">
        <v>40382.120000000003</v>
      </c>
      <c r="J77" s="307">
        <f>'Bank Int.'!$I77*6.5%/360</f>
        <v>7.2912161111111118</v>
      </c>
      <c r="K77" s="468">
        <v>43214.87</v>
      </c>
      <c r="L77" s="467">
        <f>'Bank Int.'!$K77*6.5%/360</f>
        <v>7.8026848611111115</v>
      </c>
      <c r="M77" s="451">
        <v>57798.2</v>
      </c>
      <c r="N77" s="452">
        <f>'Bank Int.'!$M77*8%/360</f>
        <v>12.844044444444444</v>
      </c>
    </row>
    <row r="78" spans="1:14" ht="22.5" customHeight="1" x14ac:dyDescent="0.25">
      <c r="A78" s="257"/>
      <c r="B78" s="253">
        <f t="shared" si="4"/>
        <v>45675</v>
      </c>
      <c r="C78" s="298">
        <v>415127.87</v>
      </c>
      <c r="D78" s="295">
        <f>'Bank Int.'!$C78*7.5%/360</f>
        <v>86.484972916666663</v>
      </c>
      <c r="E78" s="306">
        <v>3502966.11</v>
      </c>
      <c r="F78" s="303">
        <f>Table3[[#This Row],[Mid 146]]*4.5%/360</f>
        <v>437.87076374999992</v>
      </c>
      <c r="G78" s="305">
        <v>4638338.18</v>
      </c>
      <c r="H78" s="303">
        <f>'Bank Int.'!$G78*0.5%/360</f>
        <v>64.421363611111104</v>
      </c>
      <c r="I78" s="465">
        <v>40382.120000000003</v>
      </c>
      <c r="J78" s="307">
        <f>'Bank Int.'!$I78*6.5%/360</f>
        <v>7.2912161111111118</v>
      </c>
      <c r="K78" s="468">
        <v>43214.87</v>
      </c>
      <c r="L78" s="467">
        <f>'Bank Int.'!$K78*6.5%/360</f>
        <v>7.8026848611111115</v>
      </c>
      <c r="M78" s="451">
        <v>57798.2</v>
      </c>
      <c r="N78" s="452">
        <f>'Bank Int.'!$M78*8%/360</f>
        <v>12.844044444444444</v>
      </c>
    </row>
    <row r="79" spans="1:14" ht="22.5" customHeight="1" x14ac:dyDescent="0.25">
      <c r="A79" s="257"/>
      <c r="B79" s="253">
        <f t="shared" si="4"/>
        <v>45674</v>
      </c>
      <c r="C79" s="298">
        <v>885070.27</v>
      </c>
      <c r="D79" s="295">
        <f>'Bank Int.'!$C79*7.5%/360</f>
        <v>184.38963958333335</v>
      </c>
      <c r="E79" s="306">
        <v>1620322.36</v>
      </c>
      <c r="F79" s="303">
        <f>Table3[[#This Row],[Mid 146]]*4.5%/360</f>
        <v>202.54029500000001</v>
      </c>
      <c r="G79" s="305">
        <v>1640458.18</v>
      </c>
      <c r="H79" s="303">
        <f>'Bank Int.'!$G79*0.5%/360</f>
        <v>22.784141388888887</v>
      </c>
      <c r="I79" s="465">
        <v>40382.120000000003</v>
      </c>
      <c r="J79" s="307">
        <f>'Bank Int.'!$I79*6.5%/360</f>
        <v>7.2912161111111118</v>
      </c>
      <c r="K79" s="468">
        <v>43214.87</v>
      </c>
      <c r="L79" s="467">
        <f>'Bank Int.'!$K79*6.5%/360</f>
        <v>7.8026848611111115</v>
      </c>
      <c r="M79" s="451">
        <v>57798.2</v>
      </c>
      <c r="N79" s="452">
        <f>'Bank Int.'!$M79*8%/360</f>
        <v>12.844044444444444</v>
      </c>
    </row>
    <row r="80" spans="1:14" ht="22.5" customHeight="1" x14ac:dyDescent="0.25">
      <c r="A80" s="257"/>
      <c r="B80" s="253">
        <f t="shared" si="4"/>
        <v>45673</v>
      </c>
      <c r="C80" s="298">
        <v>885070.27</v>
      </c>
      <c r="D80" s="295">
        <f>'Bank Int.'!$C80*7.5%/360</f>
        <v>184.38963958333335</v>
      </c>
      <c r="E80" s="306">
        <v>1620322.36</v>
      </c>
      <c r="F80" s="303">
        <f>Table3[[#This Row],[Mid 146]]*4.5%/360</f>
        <v>202.54029500000001</v>
      </c>
      <c r="G80" s="305">
        <v>1640458.18</v>
      </c>
      <c r="H80" s="303">
        <f>'Bank Int.'!$G80*0.5%/360</f>
        <v>22.784141388888887</v>
      </c>
      <c r="I80" s="465">
        <v>40382.120000000003</v>
      </c>
      <c r="J80" s="307">
        <f>'Bank Int.'!$I80*6.5%/360</f>
        <v>7.2912161111111118</v>
      </c>
      <c r="K80" s="468">
        <v>43214.87</v>
      </c>
      <c r="L80" s="467">
        <f>'Bank Int.'!$K80*6.5%/360</f>
        <v>7.8026848611111115</v>
      </c>
      <c r="M80" s="451">
        <v>57798.2</v>
      </c>
      <c r="N80" s="452">
        <f>'Bank Int.'!$M80*8%/360</f>
        <v>12.844044444444444</v>
      </c>
    </row>
    <row r="81" spans="1:14" ht="22.5" customHeight="1" x14ac:dyDescent="0.25">
      <c r="A81" s="257"/>
      <c r="B81" s="253">
        <f t="shared" ref="B81:B87" si="5">B82+1</f>
        <v>45672</v>
      </c>
      <c r="C81" s="298">
        <v>885070.27</v>
      </c>
      <c r="D81" s="295">
        <f>'Bank Int.'!$C81*7.5%/360</f>
        <v>184.38963958333335</v>
      </c>
      <c r="E81" s="306">
        <v>1620322.36</v>
      </c>
      <c r="F81" s="303">
        <f>Table3[[#This Row],[Mid 146]]*4.5%/360</f>
        <v>202.54029500000001</v>
      </c>
      <c r="G81" s="305">
        <v>4140518.18</v>
      </c>
      <c r="H81" s="303">
        <f>'Bank Int.'!$G81*0.5%/360</f>
        <v>57.507196944444452</v>
      </c>
      <c r="I81" s="465">
        <v>40382.120000000003</v>
      </c>
      <c r="J81" s="307">
        <f>'Bank Int.'!$I81*6.5%/360</f>
        <v>7.2912161111111118</v>
      </c>
      <c r="K81" s="468">
        <v>43214.87</v>
      </c>
      <c r="L81" s="467">
        <f>'Bank Int.'!$K81*6.5%/360</f>
        <v>7.8026848611111115</v>
      </c>
      <c r="M81" s="451">
        <v>57798.2</v>
      </c>
      <c r="N81" s="452">
        <f>'Bank Int.'!$M81*8%/360</f>
        <v>12.844044444444444</v>
      </c>
    </row>
    <row r="82" spans="1:14" ht="22.5" customHeight="1" x14ac:dyDescent="0.25">
      <c r="A82" s="257"/>
      <c r="B82" s="253">
        <f t="shared" si="5"/>
        <v>45671</v>
      </c>
      <c r="C82" s="298">
        <v>485070.27</v>
      </c>
      <c r="D82" s="295">
        <f>'Bank Int.'!$C82*7.5%/360</f>
        <v>101.05630625000001</v>
      </c>
      <c r="E82" s="306">
        <v>1620294.86</v>
      </c>
      <c r="F82" s="303">
        <f>Table3[[#This Row],[Mid 146]]*4.5%/360</f>
        <v>202.5368575</v>
      </c>
      <c r="G82" s="305">
        <v>1512518.18</v>
      </c>
      <c r="H82" s="303">
        <f>'Bank Int.'!$G82*0.5%/360</f>
        <v>21.007196944444445</v>
      </c>
      <c r="I82" s="465">
        <v>40382.120000000003</v>
      </c>
      <c r="J82" s="307">
        <f>'Bank Int.'!$I82*6.5%/360</f>
        <v>7.2912161111111118</v>
      </c>
      <c r="K82" s="468">
        <v>43214.87</v>
      </c>
      <c r="L82" s="467">
        <f>'Bank Int.'!$K82*6.5%/360</f>
        <v>7.8026848611111115</v>
      </c>
      <c r="M82" s="451">
        <v>57798.2</v>
      </c>
      <c r="N82" s="452">
        <f>'Bank Int.'!$M82*8%/360</f>
        <v>12.844044444444444</v>
      </c>
    </row>
    <row r="83" spans="1:14" ht="22.5" customHeight="1" x14ac:dyDescent="0.25">
      <c r="A83" s="257"/>
      <c r="B83" s="253">
        <f t="shared" si="5"/>
        <v>45670</v>
      </c>
      <c r="C83" s="298">
        <v>385070.27</v>
      </c>
      <c r="D83" s="295">
        <f>'Bank Int.'!$C83*7.5%/360</f>
        <v>80.222972916666677</v>
      </c>
      <c r="E83" s="306">
        <v>1620294.86</v>
      </c>
      <c r="F83" s="303">
        <f>Table3[[#This Row],[Mid 146]]*4.5%/360</f>
        <v>202.5368575</v>
      </c>
      <c r="G83" s="305">
        <v>7578.18</v>
      </c>
      <c r="H83" s="303">
        <f>'Bank Int.'!$G83*0.5%/360</f>
        <v>0.1052525</v>
      </c>
      <c r="I83" s="465">
        <v>40382.120000000003</v>
      </c>
      <c r="J83" s="307">
        <f>'Bank Int.'!$I83*6.5%/360</f>
        <v>7.2912161111111118</v>
      </c>
      <c r="K83" s="468">
        <v>43214.87</v>
      </c>
      <c r="L83" s="467">
        <f>'Bank Int.'!$K83*6.5%/360</f>
        <v>7.8026848611111115</v>
      </c>
      <c r="M83" s="451">
        <v>57798.2</v>
      </c>
      <c r="N83" s="452">
        <f>'Bank Int.'!$M83*8%/360</f>
        <v>12.844044444444444</v>
      </c>
    </row>
    <row r="84" spans="1:14" ht="22.5" customHeight="1" x14ac:dyDescent="0.25">
      <c r="A84" s="257"/>
      <c r="B84" s="253">
        <f t="shared" si="5"/>
        <v>45669</v>
      </c>
      <c r="C84" s="298">
        <v>1055170.27</v>
      </c>
      <c r="D84" s="295">
        <f>'Bank Int.'!$C84*7.5%/360</f>
        <v>219.82713958333335</v>
      </c>
      <c r="E84" s="306">
        <v>1620294.86</v>
      </c>
      <c r="F84" s="303">
        <f>Table3[[#This Row],[Mid 146]]*4.5%/360</f>
        <v>202.5368575</v>
      </c>
      <c r="G84" s="305">
        <v>237578.18</v>
      </c>
      <c r="H84" s="303">
        <f>'Bank Int.'!$G84*0.5%/360</f>
        <v>3.2996969444444448</v>
      </c>
      <c r="I84" s="465">
        <v>40382.120000000003</v>
      </c>
      <c r="J84" s="307">
        <f>'Bank Int.'!$I84*6.5%/360</f>
        <v>7.2912161111111118</v>
      </c>
      <c r="K84" s="468">
        <v>43214.87</v>
      </c>
      <c r="L84" s="467">
        <f>'Bank Int.'!$K84*6.5%/360</f>
        <v>7.8026848611111115</v>
      </c>
      <c r="M84" s="451">
        <v>57798.2</v>
      </c>
      <c r="N84" s="452">
        <f>'Bank Int.'!$M84*8%/360</f>
        <v>12.844044444444444</v>
      </c>
    </row>
    <row r="85" spans="1:14" ht="22.5" customHeight="1" x14ac:dyDescent="0.25">
      <c r="A85" s="257"/>
      <c r="B85" s="253">
        <f t="shared" si="5"/>
        <v>45668</v>
      </c>
      <c r="C85" s="298">
        <v>1143655.48</v>
      </c>
      <c r="D85" s="295">
        <f>'Bank Int.'!$C85*7.5%/360</f>
        <v>238.26155833333331</v>
      </c>
      <c r="E85" s="306">
        <v>1155628.19</v>
      </c>
      <c r="F85" s="303">
        <f>Table3[[#This Row],[Mid 146]]*4.5%/360</f>
        <v>144.45352374999999</v>
      </c>
      <c r="G85" s="305">
        <v>212578.18</v>
      </c>
      <c r="H85" s="303">
        <f>'Bank Int.'!$G85*0.5%/360</f>
        <v>2.9524747222222221</v>
      </c>
      <c r="I85" s="465">
        <v>40382.120000000003</v>
      </c>
      <c r="J85" s="307">
        <f>'Bank Int.'!$I85*6.5%/360</f>
        <v>7.2912161111111118</v>
      </c>
      <c r="K85" s="468">
        <v>43214.87</v>
      </c>
      <c r="L85" s="467">
        <f>'Bank Int.'!$K85*6.5%/360</f>
        <v>7.8026848611111115</v>
      </c>
      <c r="M85" s="451">
        <v>57798.2</v>
      </c>
      <c r="N85" s="452">
        <f>'Bank Int.'!$M85*8%/360</f>
        <v>12.844044444444444</v>
      </c>
    </row>
    <row r="86" spans="1:14" ht="22.5" customHeight="1" x14ac:dyDescent="0.25">
      <c r="A86" s="257"/>
      <c r="B86" s="253">
        <f t="shared" si="5"/>
        <v>45667</v>
      </c>
      <c r="C86" s="298">
        <v>1143655.48</v>
      </c>
      <c r="D86" s="295">
        <f>'Bank Int.'!$C86*7.5%/360</f>
        <v>238.26155833333331</v>
      </c>
      <c r="E86" s="306">
        <v>1155628.19</v>
      </c>
      <c r="F86" s="303">
        <f>Table3[[#This Row],[Mid 146]]*4.5%/360</f>
        <v>144.45352374999999</v>
      </c>
      <c r="G86" s="305">
        <v>212578.18</v>
      </c>
      <c r="H86" s="303">
        <f>'Bank Int.'!$G86*0.5%/360</f>
        <v>2.9524747222222221</v>
      </c>
      <c r="I86" s="465">
        <v>40382.120000000003</v>
      </c>
      <c r="J86" s="307">
        <f>'Bank Int.'!$I86*6.5%/360</f>
        <v>7.2912161111111118</v>
      </c>
      <c r="K86" s="468">
        <v>43214.87</v>
      </c>
      <c r="L86" s="467">
        <f>'Bank Int.'!$K86*6.5%/360</f>
        <v>7.8026848611111115</v>
      </c>
      <c r="M86" s="451">
        <v>57798.2</v>
      </c>
      <c r="N86" s="452">
        <f>'Bank Int.'!$M86*8%/360</f>
        <v>12.844044444444444</v>
      </c>
    </row>
    <row r="87" spans="1:14" ht="22.5" customHeight="1" x14ac:dyDescent="0.25">
      <c r="A87" s="257"/>
      <c r="B87" s="253">
        <f t="shared" si="5"/>
        <v>45666</v>
      </c>
      <c r="C87" s="298">
        <v>1143655.48</v>
      </c>
      <c r="D87" s="295">
        <f>'Bank Int.'!$C87*7.5%/360</f>
        <v>238.26155833333331</v>
      </c>
      <c r="E87" s="306">
        <v>1155628.19</v>
      </c>
      <c r="F87" s="303">
        <f>Table3[[#This Row],[Mid 146]]*4.5%/360</f>
        <v>144.45352374999999</v>
      </c>
      <c r="G87" s="305">
        <v>212578.18</v>
      </c>
      <c r="H87" s="303">
        <f>'Bank Int.'!$G87*0.5%/360</f>
        <v>2.9524747222222221</v>
      </c>
      <c r="I87" s="465">
        <v>40382.120000000003</v>
      </c>
      <c r="J87" s="307">
        <f>'Bank Int.'!$I87*6.5%/360</f>
        <v>7.2912161111111118</v>
      </c>
      <c r="K87" s="468">
        <v>43214.87</v>
      </c>
      <c r="L87" s="467">
        <f>'Bank Int.'!$K87*6.5%/360</f>
        <v>7.8026848611111115</v>
      </c>
      <c r="M87" s="451">
        <v>57798.2</v>
      </c>
      <c r="N87" s="452">
        <f>'Bank Int.'!$M87*8%/360</f>
        <v>12.844044444444444</v>
      </c>
    </row>
    <row r="88" spans="1:14" ht="22.5" customHeight="1" x14ac:dyDescent="0.25">
      <c r="A88" s="257"/>
      <c r="B88" s="253">
        <f t="shared" ref="B88:B94" si="6">B89+1</f>
        <v>45665</v>
      </c>
      <c r="C88" s="298">
        <v>1143655.48</v>
      </c>
      <c r="D88" s="295">
        <f>'Bank Int.'!$C88*7.5%/360</f>
        <v>238.26155833333331</v>
      </c>
      <c r="E88" s="306">
        <v>1155628.19</v>
      </c>
      <c r="F88" s="303">
        <f>Table3[[#This Row],[Mid 146]]*4.5%/360</f>
        <v>144.45352374999999</v>
      </c>
      <c r="G88" s="305">
        <v>212578.18</v>
      </c>
      <c r="H88" s="303">
        <f>'Bank Int.'!$G88*0.5%/360</f>
        <v>2.9524747222222221</v>
      </c>
      <c r="I88" s="465">
        <v>40382.120000000003</v>
      </c>
      <c r="J88" s="307">
        <f>'Bank Int.'!$I88*6.5%/360</f>
        <v>7.2912161111111118</v>
      </c>
      <c r="K88" s="468">
        <v>43214.87</v>
      </c>
      <c r="L88" s="467">
        <f>'Bank Int.'!$K88*6.5%/360</f>
        <v>7.8026848611111115</v>
      </c>
      <c r="M88" s="451">
        <v>57798.2</v>
      </c>
      <c r="N88" s="452">
        <f>'Bank Int.'!$M88*8%/360</f>
        <v>12.844044444444444</v>
      </c>
    </row>
    <row r="89" spans="1:14" ht="22.5" customHeight="1" x14ac:dyDescent="0.25">
      <c r="A89" s="257"/>
      <c r="B89" s="253">
        <f t="shared" si="6"/>
        <v>45664</v>
      </c>
      <c r="C89" s="298">
        <v>3871442.48</v>
      </c>
      <c r="D89" s="295">
        <f>'Bank Int.'!$C89*7.5%/360</f>
        <v>806.55051666666668</v>
      </c>
      <c r="E89" s="306">
        <v>1155628.19</v>
      </c>
      <c r="F89" s="303">
        <f>Table3[[#This Row],[Mid 146]]*4.5%/360</f>
        <v>144.45352374999999</v>
      </c>
      <c r="G89" s="305">
        <v>212578.18</v>
      </c>
      <c r="H89" s="303">
        <f>'Bank Int.'!$G89*0.5%/360</f>
        <v>2.9524747222222221</v>
      </c>
      <c r="I89" s="465">
        <v>40382.120000000003</v>
      </c>
      <c r="J89" s="307">
        <f>'Bank Int.'!$I89*6.5%/360</f>
        <v>7.2912161111111118</v>
      </c>
      <c r="K89" s="468">
        <v>43214.87</v>
      </c>
      <c r="L89" s="467">
        <f>'Bank Int.'!$K89*6.5%/360</f>
        <v>7.8026848611111115</v>
      </c>
      <c r="M89" s="451">
        <v>57798.2</v>
      </c>
      <c r="N89" s="452">
        <f>'Bank Int.'!$M89*8%/360</f>
        <v>12.844044444444444</v>
      </c>
    </row>
    <row r="90" spans="1:14" ht="22.5" customHeight="1" x14ac:dyDescent="0.25">
      <c r="A90" s="257"/>
      <c r="B90" s="253">
        <f t="shared" si="6"/>
        <v>45663</v>
      </c>
      <c r="C90" s="298">
        <v>3871442.48</v>
      </c>
      <c r="D90" s="295">
        <f>'Bank Int.'!$C90*7.5%/360</f>
        <v>806.55051666666668</v>
      </c>
      <c r="E90" s="306">
        <v>1155628.19</v>
      </c>
      <c r="F90" s="303">
        <f>Table3[[#This Row],[Mid 146]]*4.5%/360</f>
        <v>144.45352374999999</v>
      </c>
      <c r="G90" s="305">
        <v>212578.18</v>
      </c>
      <c r="H90" s="303">
        <f>'Bank Int.'!$G90*0.5%/360</f>
        <v>2.9524747222222221</v>
      </c>
      <c r="I90" s="465">
        <v>40382.120000000003</v>
      </c>
      <c r="J90" s="307">
        <f>'Bank Int.'!$I90*6.5%/360</f>
        <v>7.2912161111111118</v>
      </c>
      <c r="K90" s="468">
        <v>43214.87</v>
      </c>
      <c r="L90" s="467">
        <f>'Bank Int.'!$K90*6.5%/360</f>
        <v>7.8026848611111115</v>
      </c>
      <c r="M90" s="451">
        <v>57798.2</v>
      </c>
      <c r="N90" s="452">
        <f>'Bank Int.'!$M90*8%/360</f>
        <v>12.844044444444444</v>
      </c>
    </row>
    <row r="91" spans="1:14" ht="22.5" customHeight="1" x14ac:dyDescent="0.25">
      <c r="A91" s="257"/>
      <c r="B91" s="253">
        <f t="shared" si="6"/>
        <v>45662</v>
      </c>
      <c r="C91" s="298">
        <v>3871442.48</v>
      </c>
      <c r="D91" s="295">
        <f>'Bank Int.'!$C91*7.5%/360</f>
        <v>806.55051666666668</v>
      </c>
      <c r="E91" s="306">
        <v>1155628.19</v>
      </c>
      <c r="F91" s="303">
        <f>Table3[[#This Row],[Mid 146]]*4.5%/360</f>
        <v>144.45352374999999</v>
      </c>
      <c r="G91" s="305">
        <v>212578.18</v>
      </c>
      <c r="H91" s="303">
        <f>'Bank Int.'!$G91*0.5%/360</f>
        <v>2.9524747222222221</v>
      </c>
      <c r="I91" s="465">
        <v>40382.120000000003</v>
      </c>
      <c r="J91" s="307">
        <f>'Bank Int.'!$I91*6.5%/360</f>
        <v>7.2912161111111118</v>
      </c>
      <c r="K91" s="468">
        <v>43214.87</v>
      </c>
      <c r="L91" s="467">
        <f>'Bank Int.'!$K91*6.5%/360</f>
        <v>7.8026848611111115</v>
      </c>
      <c r="M91" s="451">
        <v>57798.2</v>
      </c>
      <c r="N91" s="452">
        <f>'Bank Int.'!$M91*8%/360</f>
        <v>12.844044444444444</v>
      </c>
    </row>
    <row r="92" spans="1:14" ht="22.5" customHeight="1" x14ac:dyDescent="0.25">
      <c r="A92" s="257"/>
      <c r="B92" s="253">
        <f t="shared" si="6"/>
        <v>45661</v>
      </c>
      <c r="C92" s="298">
        <v>1284394.95</v>
      </c>
      <c r="D92" s="295">
        <f>'Bank Int.'!$C92*7.5%/360</f>
        <v>267.58228124999999</v>
      </c>
      <c r="E92" s="306">
        <v>1155628.19</v>
      </c>
      <c r="F92" s="303">
        <f>Table3[[#This Row],[Mid 146]]*4.5%/360</f>
        <v>144.45352374999999</v>
      </c>
      <c r="G92" s="305">
        <v>74578.179999999993</v>
      </c>
      <c r="H92" s="303">
        <f>'Bank Int.'!$G92*0.5%/360</f>
        <v>1.0358080555555556</v>
      </c>
      <c r="I92" s="465">
        <v>40382.120000000003</v>
      </c>
      <c r="J92" s="307">
        <f>'Bank Int.'!$I92*6.5%/360</f>
        <v>7.2912161111111118</v>
      </c>
      <c r="K92" s="468">
        <v>43214.87</v>
      </c>
      <c r="L92" s="467">
        <f>'Bank Int.'!$K92*6.5%/360</f>
        <v>7.8026848611111115</v>
      </c>
      <c r="M92" s="451">
        <v>57798.2</v>
      </c>
      <c r="N92" s="452">
        <f>'Bank Int.'!$M92*8%/360</f>
        <v>12.844044444444444</v>
      </c>
    </row>
    <row r="93" spans="1:14" ht="22.5" customHeight="1" x14ac:dyDescent="0.25">
      <c r="A93" s="257"/>
      <c r="B93" s="253">
        <f t="shared" si="6"/>
        <v>45660</v>
      </c>
      <c r="C93" s="298">
        <v>1284394.95</v>
      </c>
      <c r="D93" s="295">
        <f>'Bank Int.'!$C93*7.5%/360</f>
        <v>267.58228124999999</v>
      </c>
      <c r="E93" s="306">
        <v>871467.48</v>
      </c>
      <c r="F93" s="303">
        <f>Table3[[#This Row],[Mid 146]]*4.5%/360</f>
        <v>108.933435</v>
      </c>
      <c r="G93" s="305">
        <v>1274578.18</v>
      </c>
      <c r="H93" s="303">
        <f>'Bank Int.'!$G93*0.5%/360</f>
        <v>17.70247472222222</v>
      </c>
      <c r="I93" s="465">
        <v>40382.120000000003</v>
      </c>
      <c r="J93" s="307">
        <f>'Bank Int.'!$I93*6.5%/360</f>
        <v>7.2912161111111118</v>
      </c>
      <c r="K93" s="468">
        <v>43214.87</v>
      </c>
      <c r="L93" s="467">
        <f>'Bank Int.'!$K93*6.5%/360</f>
        <v>7.8026848611111115</v>
      </c>
      <c r="M93" s="451">
        <v>57798.2</v>
      </c>
      <c r="N93" s="452">
        <f>'Bank Int.'!$M93*8%/360</f>
        <v>12.844044444444444</v>
      </c>
    </row>
    <row r="94" spans="1:14" ht="22.5" customHeight="1" x14ac:dyDescent="0.25">
      <c r="A94" s="257"/>
      <c r="B94" s="253">
        <f t="shared" si="6"/>
        <v>45659</v>
      </c>
      <c r="C94" s="298">
        <v>1284394.95</v>
      </c>
      <c r="D94" s="295">
        <f>'Bank Int.'!$C94*7.5%/360</f>
        <v>267.58228124999999</v>
      </c>
      <c r="E94" s="306">
        <v>871467.48</v>
      </c>
      <c r="F94" s="303">
        <f>Table3[[#This Row],[Mid 146]]*4.5%/360</f>
        <v>108.933435</v>
      </c>
      <c r="G94" s="305">
        <v>1274578.18</v>
      </c>
      <c r="H94" s="303">
        <f>'Bank Int.'!$G94*0.5%/360</f>
        <v>17.70247472222222</v>
      </c>
      <c r="I94" s="465">
        <v>40382.120000000003</v>
      </c>
      <c r="J94" s="307">
        <f>'Bank Int.'!$I94*6.5%/360</f>
        <v>7.2912161111111118</v>
      </c>
      <c r="K94" s="468">
        <v>43214.87</v>
      </c>
      <c r="L94" s="467">
        <f>'Bank Int.'!$K94*6.5%/360</f>
        <v>7.8026848611111115</v>
      </c>
      <c r="M94" s="451">
        <v>57798.2</v>
      </c>
      <c r="N94" s="452">
        <f>'Bank Int.'!$M94*8%/360</f>
        <v>12.844044444444444</v>
      </c>
    </row>
    <row r="95" spans="1:14" ht="22.5" customHeight="1" x14ac:dyDescent="0.25">
      <c r="A95" s="257"/>
      <c r="B95" s="253">
        <v>45658</v>
      </c>
      <c r="C95" s="298">
        <v>1284394.95</v>
      </c>
      <c r="D95" s="295">
        <f>'Bank Int.'!$C95*7.5%/360</f>
        <v>267.58228124999999</v>
      </c>
      <c r="E95" s="306">
        <v>871467.48</v>
      </c>
      <c r="F95" s="303">
        <f>Table3[[#This Row],[Mid 146]]*4.5%/360</f>
        <v>108.933435</v>
      </c>
      <c r="G95" s="305">
        <v>1274578.18</v>
      </c>
      <c r="H95" s="303">
        <f>'Bank Int.'!$G95*0.5%/360</f>
        <v>17.70247472222222</v>
      </c>
      <c r="I95" s="465">
        <v>40382.120000000003</v>
      </c>
      <c r="J95" s="307">
        <f>'Bank Int.'!$I95*6.5%/360</f>
        <v>7.2912161111111118</v>
      </c>
      <c r="K95" s="468">
        <v>43214.87</v>
      </c>
      <c r="L95" s="467">
        <f>'Bank Int.'!$K95*6.5%/360</f>
        <v>7.8026848611111115</v>
      </c>
      <c r="M95" s="451">
        <v>57798.2</v>
      </c>
      <c r="N95" s="452">
        <f>'Bank Int.'!$M95*8%/360</f>
        <v>12.844044444444444</v>
      </c>
    </row>
    <row r="96" spans="1:14" ht="22.5" customHeight="1" x14ac:dyDescent="0.25">
      <c r="A96" s="257"/>
      <c r="B96" s="253"/>
      <c r="C96" s="298"/>
      <c r="D96" s="295">
        <f>'Bank Int.'!$C96*7.5%/360</f>
        <v>0</v>
      </c>
      <c r="E96" s="254"/>
      <c r="F96" s="254"/>
      <c r="G96" s="305"/>
      <c r="H96" s="254"/>
      <c r="I96" s="254"/>
      <c r="J96" s="307">
        <f>'Bank Int.'!$I96*6.5%/360</f>
        <v>0</v>
      </c>
      <c r="K96" s="337"/>
      <c r="L96" s="307">
        <f>'Bank Int.'!$J96*6.5%/360</f>
        <v>0</v>
      </c>
      <c r="M96" s="460"/>
      <c r="N96" s="461"/>
    </row>
    <row r="97" spans="1:14" ht="22.5" customHeight="1" x14ac:dyDescent="0.25">
      <c r="A97" s="257"/>
      <c r="B97" s="253">
        <f t="shared" ref="B97:B102" si="7">B98+1</f>
        <v>46021</v>
      </c>
      <c r="C97" s="298">
        <v>871467.48</v>
      </c>
      <c r="D97" s="295">
        <f>'Bank Int.'!$C97*7.5%/360</f>
        <v>181.555725</v>
      </c>
      <c r="E97" s="306">
        <v>1284394.95</v>
      </c>
      <c r="F97" s="303">
        <f>Table3[[#This Row],[Mid 146]]*4.5%/360</f>
        <v>160.54936874999999</v>
      </c>
      <c r="G97" s="305">
        <v>1284923.18</v>
      </c>
      <c r="H97" s="303">
        <f>'Bank Int.'!$G97*0.5%/360</f>
        <v>17.846155277777775</v>
      </c>
      <c r="I97" s="465">
        <v>40382.120000000003</v>
      </c>
      <c r="J97" s="307">
        <f>'Bank Int.'!$I97*6.5%/360</f>
        <v>7.2912161111111118</v>
      </c>
      <c r="K97" s="468">
        <v>43214.87</v>
      </c>
      <c r="L97" s="467">
        <f>'Bank Int.'!$K97*6.5%/360</f>
        <v>7.8026848611111115</v>
      </c>
      <c r="M97" s="451">
        <v>57798.2</v>
      </c>
      <c r="N97" s="452">
        <f>'Bank Int.'!$M97*8%/360</f>
        <v>12.844044444444444</v>
      </c>
    </row>
    <row r="98" spans="1:14" ht="22.5" customHeight="1" x14ac:dyDescent="0.25">
      <c r="A98" s="257"/>
      <c r="B98" s="253">
        <f t="shared" si="7"/>
        <v>46020</v>
      </c>
      <c r="C98" s="298">
        <v>80711.48</v>
      </c>
      <c r="D98" s="295">
        <f>'Bank Int.'!$C98*7.5%/360</f>
        <v>16.814891666666668</v>
      </c>
      <c r="E98" s="306">
        <v>3012033.97</v>
      </c>
      <c r="F98" s="303">
        <f>Table3[[#This Row],[Mid 146]]*4.5%/360</f>
        <v>376.50424624999999</v>
      </c>
      <c r="G98" s="305">
        <v>1279923.18</v>
      </c>
      <c r="H98" s="303">
        <f>'Bank Int.'!$G98*0.5%/360</f>
        <v>17.776710833333333</v>
      </c>
      <c r="I98" s="465">
        <v>40382.120000000003</v>
      </c>
      <c r="J98" s="307">
        <f>'Bank Int.'!$I98*6.5%/360</f>
        <v>7.2912161111111118</v>
      </c>
      <c r="K98" s="468">
        <v>43214.87</v>
      </c>
      <c r="L98" s="467">
        <f>'Bank Int.'!$K98*6.5%/360</f>
        <v>7.8026848611111115</v>
      </c>
      <c r="M98" s="451">
        <v>57798.2</v>
      </c>
      <c r="N98" s="452">
        <f>'Bank Int.'!$M98*8%/360</f>
        <v>12.844044444444444</v>
      </c>
    </row>
    <row r="99" spans="1:14" ht="22.5" customHeight="1" x14ac:dyDescent="0.25">
      <c r="A99" s="257"/>
      <c r="B99" s="253">
        <f t="shared" si="7"/>
        <v>46019</v>
      </c>
      <c r="C99" s="298">
        <v>80711.48</v>
      </c>
      <c r="D99" s="295">
        <f>'Bank Int.'!$C99*7.5%/360</f>
        <v>16.814891666666668</v>
      </c>
      <c r="E99" s="306">
        <v>901483.97</v>
      </c>
      <c r="F99" s="303">
        <f>Table3[[#This Row],[Mid 146]]*4.5%/360</f>
        <v>112.68549625</v>
      </c>
      <c r="G99" s="305">
        <v>1240923.18</v>
      </c>
      <c r="H99" s="303">
        <f>'Bank Int.'!$G99*0.5%/360</f>
        <v>17.235044166666665</v>
      </c>
      <c r="I99" s="465">
        <v>40382.120000000003</v>
      </c>
      <c r="J99" s="307">
        <f>'Bank Int.'!$I99*6.5%/360</f>
        <v>7.2912161111111118</v>
      </c>
      <c r="K99" s="468">
        <v>43214.87</v>
      </c>
      <c r="L99" s="467">
        <f>'Bank Int.'!$K99*6.5%/360</f>
        <v>7.8026848611111115</v>
      </c>
      <c r="M99" s="451">
        <v>57798.2</v>
      </c>
      <c r="N99" s="452">
        <f>'Bank Int.'!$M99*8%/360</f>
        <v>12.844044444444444</v>
      </c>
    </row>
    <row r="100" spans="1:14" ht="22.5" customHeight="1" x14ac:dyDescent="0.25">
      <c r="A100" s="257"/>
      <c r="B100" s="253">
        <f t="shared" si="7"/>
        <v>46018</v>
      </c>
      <c r="C100" s="298">
        <v>380811.48</v>
      </c>
      <c r="D100" s="295">
        <f>'Bank Int.'!$C100*7.5%/360</f>
        <v>79.335724999999996</v>
      </c>
      <c r="E100" s="306">
        <v>1604983.97</v>
      </c>
      <c r="F100" s="303">
        <f>Table3[[#This Row],[Mid 146]]*4.5%/360</f>
        <v>200.62299624999997</v>
      </c>
      <c r="G100" s="305">
        <v>803283.18</v>
      </c>
      <c r="H100" s="303">
        <f>'Bank Int.'!$G100*0.5%/360</f>
        <v>11.156710833333335</v>
      </c>
      <c r="I100" s="465">
        <v>40382.120000000003</v>
      </c>
      <c r="J100" s="307">
        <f>'Bank Int.'!$I100*6.5%/360</f>
        <v>7.2912161111111118</v>
      </c>
      <c r="K100" s="468">
        <v>43214.87</v>
      </c>
      <c r="L100" s="467">
        <f>'Bank Int.'!$K100*6.5%/360</f>
        <v>7.8026848611111115</v>
      </c>
      <c r="M100" s="451">
        <v>57798.2</v>
      </c>
      <c r="N100" s="452">
        <f>'Bank Int.'!$M100*8%/360</f>
        <v>12.844044444444444</v>
      </c>
    </row>
    <row r="101" spans="1:14" ht="22.5" customHeight="1" x14ac:dyDescent="0.25">
      <c r="A101" s="257"/>
      <c r="B101" s="253">
        <f t="shared" si="7"/>
        <v>46017</v>
      </c>
      <c r="C101" s="298">
        <v>380811.48</v>
      </c>
      <c r="D101" s="295">
        <f>'Bank Int.'!$C101*7.5%/360</f>
        <v>79.335724999999996</v>
      </c>
      <c r="E101" s="306">
        <v>1604983.97</v>
      </c>
      <c r="F101" s="303">
        <f>Table3[[#This Row],[Mid 146]]*4.5%/360</f>
        <v>200.62299624999997</v>
      </c>
      <c r="G101" s="305">
        <v>803283.18</v>
      </c>
      <c r="H101" s="303">
        <f>'Bank Int.'!$G101*0.5%/360</f>
        <v>11.156710833333335</v>
      </c>
      <c r="I101" s="465">
        <v>40382.120000000003</v>
      </c>
      <c r="J101" s="307">
        <f>'Bank Int.'!$I101*6.5%/360</f>
        <v>7.2912161111111118</v>
      </c>
      <c r="K101" s="468">
        <v>43214.87</v>
      </c>
      <c r="L101" s="467">
        <f>'Bank Int.'!$K101*6.5%/360</f>
        <v>7.8026848611111115</v>
      </c>
      <c r="M101" s="451">
        <v>57798.2</v>
      </c>
      <c r="N101" s="452">
        <f>'Bank Int.'!$M101*8%/360</f>
        <v>12.844044444444444</v>
      </c>
    </row>
    <row r="102" spans="1:14" ht="22.5" customHeight="1" x14ac:dyDescent="0.25">
      <c r="A102" s="257"/>
      <c r="B102" s="253">
        <f t="shared" si="7"/>
        <v>46016</v>
      </c>
      <c r="C102" s="298">
        <v>380811.48</v>
      </c>
      <c r="D102" s="295">
        <f>'Bank Int.'!$C102*7.5%/360</f>
        <v>79.335724999999996</v>
      </c>
      <c r="E102" s="306">
        <v>1604983.97</v>
      </c>
      <c r="F102" s="303">
        <f>Table3[[#This Row],[Mid 146]]*4.5%/360</f>
        <v>200.62299624999997</v>
      </c>
      <c r="G102" s="305">
        <v>803283.18</v>
      </c>
      <c r="H102" s="303">
        <f>'Bank Int.'!$G102*0.5%/360</f>
        <v>11.156710833333335</v>
      </c>
      <c r="I102" s="465">
        <v>40382.120000000003</v>
      </c>
      <c r="J102" s="307">
        <f>'Bank Int.'!$I102*6.5%/360</f>
        <v>7.2912161111111118</v>
      </c>
      <c r="K102" s="468">
        <v>43214.87</v>
      </c>
      <c r="L102" s="467">
        <f>'Bank Int.'!$K102*6.5%/360</f>
        <v>7.8026848611111115</v>
      </c>
      <c r="M102" s="451">
        <v>57798.2</v>
      </c>
      <c r="N102" s="452">
        <f>'Bank Int.'!$M102*8%/360</f>
        <v>12.844044444444444</v>
      </c>
    </row>
    <row r="103" spans="1:14" ht="22.5" customHeight="1" x14ac:dyDescent="0.25">
      <c r="A103" s="257"/>
      <c r="B103" s="253">
        <f t="shared" ref="B103:B108" si="8">B104+1</f>
        <v>46015</v>
      </c>
      <c r="C103" s="298">
        <v>380811.48</v>
      </c>
      <c r="D103" s="295">
        <f>'Bank Int.'!$C103*7.5%/360</f>
        <v>79.335724999999996</v>
      </c>
      <c r="E103" s="306">
        <v>1604983.97</v>
      </c>
      <c r="F103" s="303">
        <f>Table3[[#This Row],[Mid 146]]*4.5%/360</f>
        <v>200.62299624999997</v>
      </c>
      <c r="G103" s="305">
        <v>803283.18</v>
      </c>
      <c r="H103" s="303">
        <f>'Bank Int.'!$G103*0.5%/360</f>
        <v>11.156710833333335</v>
      </c>
      <c r="I103" s="465">
        <v>40382.120000000003</v>
      </c>
      <c r="J103" s="307">
        <f>'Bank Int.'!$I103*6.5%/360</f>
        <v>7.2912161111111118</v>
      </c>
      <c r="K103" s="468">
        <v>43214.87</v>
      </c>
      <c r="L103" s="467">
        <f>'Bank Int.'!$K103*6.5%/360</f>
        <v>7.8026848611111115</v>
      </c>
      <c r="M103" s="451">
        <v>57798.2</v>
      </c>
      <c r="N103" s="452">
        <f>'Bank Int.'!$M103*8%/360</f>
        <v>12.844044444444444</v>
      </c>
    </row>
    <row r="104" spans="1:14" ht="22.5" customHeight="1" x14ac:dyDescent="0.25">
      <c r="A104" s="257"/>
      <c r="B104" s="253">
        <f t="shared" si="8"/>
        <v>46014</v>
      </c>
      <c r="C104" s="298">
        <v>380811.48</v>
      </c>
      <c r="D104" s="295">
        <f>'Bank Int.'!$C104*7.5%/360</f>
        <v>79.335724999999996</v>
      </c>
      <c r="E104" s="306">
        <v>2378377.36</v>
      </c>
      <c r="F104" s="303">
        <f>Table3[[#This Row],[Mid 146]]*4.5%/360</f>
        <v>297.29716999999999</v>
      </c>
      <c r="G104" s="305">
        <v>803283.18</v>
      </c>
      <c r="H104" s="303">
        <f>'Bank Int.'!$G104*0.5%/360</f>
        <v>11.156710833333335</v>
      </c>
      <c r="I104" s="465">
        <v>40382.120000000003</v>
      </c>
      <c r="J104" s="307">
        <f>'Bank Int.'!$I104*6.5%/360</f>
        <v>7.2912161111111118</v>
      </c>
      <c r="K104" s="468">
        <v>43214.87</v>
      </c>
      <c r="L104" s="467">
        <f>'Bank Int.'!$K104*6.5%/360</f>
        <v>7.8026848611111115</v>
      </c>
      <c r="M104" s="451">
        <v>57798.2</v>
      </c>
      <c r="N104" s="452">
        <f>'Bank Int.'!$M104*8%/360</f>
        <v>12.844044444444444</v>
      </c>
    </row>
    <row r="105" spans="1:14" ht="22.5" customHeight="1" x14ac:dyDescent="0.25">
      <c r="A105" s="257"/>
      <c r="B105" s="253">
        <f t="shared" si="8"/>
        <v>46013</v>
      </c>
      <c r="C105" s="298">
        <v>2380911.48</v>
      </c>
      <c r="D105" s="295">
        <f>'Bank Int.'!$C105*7.5%/360</f>
        <v>496.02322500000002</v>
      </c>
      <c r="E105" s="306">
        <v>7520956.04</v>
      </c>
      <c r="F105" s="303">
        <f>Table3[[#This Row],[Mid 146]]*4.5%/360</f>
        <v>940.119505</v>
      </c>
      <c r="G105" s="305">
        <v>803283.18</v>
      </c>
      <c r="H105" s="303">
        <f>'Bank Int.'!$G105*0.5%/360</f>
        <v>11.156710833333335</v>
      </c>
      <c r="I105" s="465">
        <v>40382.120000000003</v>
      </c>
      <c r="J105" s="307">
        <f>'Bank Int.'!$I105*6.5%/360</f>
        <v>7.2912161111111118</v>
      </c>
      <c r="K105" s="468">
        <v>43214.87</v>
      </c>
      <c r="L105" s="467">
        <f>'Bank Int.'!$K105*6.5%/360</f>
        <v>7.8026848611111115</v>
      </c>
      <c r="M105" s="451">
        <v>57798.2</v>
      </c>
      <c r="N105" s="452">
        <f>'Bank Int.'!$M105*8%/360</f>
        <v>12.844044444444444</v>
      </c>
    </row>
    <row r="106" spans="1:14" ht="22.5" customHeight="1" x14ac:dyDescent="0.25">
      <c r="A106" s="257"/>
      <c r="B106" s="253">
        <f t="shared" si="8"/>
        <v>46012</v>
      </c>
      <c r="C106" s="298">
        <v>3702745.04</v>
      </c>
      <c r="D106" s="295">
        <f>'Bank Int.'!$C106*7.5%/360</f>
        <v>771.40521666666655</v>
      </c>
      <c r="E106" s="306">
        <v>7617040.8899999997</v>
      </c>
      <c r="F106" s="303">
        <f>Table3[[#This Row],[Mid 146]]*4.5%/360</f>
        <v>952.13011125000003</v>
      </c>
      <c r="G106" s="305">
        <v>803283.18</v>
      </c>
      <c r="H106" s="303">
        <f>'Bank Int.'!$G106*0.5%/360</f>
        <v>11.156710833333335</v>
      </c>
      <c r="I106" s="465">
        <v>40382.120000000003</v>
      </c>
      <c r="J106" s="307">
        <f>'Bank Int.'!$I106*6.5%/360</f>
        <v>7.2912161111111118</v>
      </c>
      <c r="K106" s="468">
        <v>43214.87</v>
      </c>
      <c r="L106" s="467">
        <f>'Bank Int.'!$K106*6.5%/360</f>
        <v>7.8026848611111115</v>
      </c>
      <c r="M106" s="451">
        <v>57798.2</v>
      </c>
      <c r="N106" s="452">
        <f>'Bank Int.'!$M106*8%/360</f>
        <v>12.844044444444444</v>
      </c>
    </row>
    <row r="107" spans="1:14" ht="22.5" customHeight="1" x14ac:dyDescent="0.25">
      <c r="A107" s="257"/>
      <c r="B107" s="253">
        <f t="shared" si="8"/>
        <v>46011</v>
      </c>
      <c r="C107" s="298">
        <v>4205303.04</v>
      </c>
      <c r="D107" s="295">
        <f>'Bank Int.'!$C107*7.5%/360</f>
        <v>876.10479999999995</v>
      </c>
      <c r="E107" s="306">
        <v>7093641.5</v>
      </c>
      <c r="F107" s="303">
        <f>Table3[[#This Row],[Mid 146]]*4.5%/360</f>
        <v>886.70518749999997</v>
      </c>
      <c r="G107" s="305">
        <v>803283.18</v>
      </c>
      <c r="H107" s="303">
        <f>'Bank Int.'!$G107*0.5%/360</f>
        <v>11.156710833333335</v>
      </c>
      <c r="I107" s="465">
        <v>40382.120000000003</v>
      </c>
      <c r="J107" s="307">
        <f>'Bank Int.'!$I107*6.5%/360</f>
        <v>7.2912161111111118</v>
      </c>
      <c r="K107" s="468">
        <v>43214.87</v>
      </c>
      <c r="L107" s="467">
        <f>'Bank Int.'!$K107*6.5%/360</f>
        <v>7.8026848611111115</v>
      </c>
      <c r="M107" s="451">
        <v>57798.2</v>
      </c>
      <c r="N107" s="452">
        <f>'Bank Int.'!$M107*8%/360</f>
        <v>12.844044444444444</v>
      </c>
    </row>
    <row r="108" spans="1:14" ht="22.5" customHeight="1" x14ac:dyDescent="0.25">
      <c r="A108" s="257"/>
      <c r="B108" s="253">
        <f t="shared" si="8"/>
        <v>46010</v>
      </c>
      <c r="C108" s="298">
        <v>4205303.04</v>
      </c>
      <c r="D108" s="295">
        <f>'Bank Int.'!$C108*7.5%/360</f>
        <v>876.10479999999995</v>
      </c>
      <c r="E108" s="306">
        <v>7093641.5</v>
      </c>
      <c r="F108" s="303">
        <f>Table3[[#This Row],[Mid 146]]*4.5%/360</f>
        <v>886.70518749999997</v>
      </c>
      <c r="G108" s="305">
        <v>803283.18</v>
      </c>
      <c r="H108" s="303">
        <f>'Bank Int.'!$G108*0.5%/360</f>
        <v>11.156710833333335</v>
      </c>
      <c r="I108" s="465">
        <v>40382.120000000003</v>
      </c>
      <c r="J108" s="307">
        <f>'Bank Int.'!$I108*6.5%/360</f>
        <v>7.2912161111111118</v>
      </c>
      <c r="K108" s="468">
        <v>43214.87</v>
      </c>
      <c r="L108" s="467">
        <f>'Bank Int.'!$K108*6.5%/360</f>
        <v>7.8026848611111115</v>
      </c>
      <c r="M108" s="451">
        <v>57798.2</v>
      </c>
      <c r="N108" s="452">
        <f>'Bank Int.'!$M108*8%/360</f>
        <v>12.844044444444444</v>
      </c>
    </row>
    <row r="109" spans="1:14" ht="22.5" customHeight="1" x14ac:dyDescent="0.25">
      <c r="A109" s="257"/>
      <c r="B109" s="253">
        <f t="shared" ref="B109:B122" si="9">B110+1</f>
        <v>46009</v>
      </c>
      <c r="C109" s="298">
        <v>4205303.04</v>
      </c>
      <c r="D109" s="295">
        <f>'Bank Int.'!$C109*7.5%/360</f>
        <v>876.10479999999995</v>
      </c>
      <c r="E109" s="306">
        <v>7100223.1500000004</v>
      </c>
      <c r="F109" s="303">
        <f>Table3[[#This Row],[Mid 146]]*4.5%/360</f>
        <v>887.52789375000009</v>
      </c>
      <c r="G109" s="305">
        <v>803283.18</v>
      </c>
      <c r="H109" s="303">
        <f>'Bank Int.'!$G109*0.5%/360</f>
        <v>11.156710833333335</v>
      </c>
      <c r="I109" s="465">
        <v>40382.120000000003</v>
      </c>
      <c r="J109" s="307">
        <f>'Bank Int.'!$I109*6.5%/360</f>
        <v>7.2912161111111118</v>
      </c>
      <c r="K109" s="468">
        <v>43214.87</v>
      </c>
      <c r="L109" s="467">
        <f>'Bank Int.'!$K109*6.5%/360</f>
        <v>7.8026848611111115</v>
      </c>
      <c r="M109" s="451">
        <v>57798.2</v>
      </c>
      <c r="N109" s="452">
        <f>'Bank Int.'!$M109*8%/360</f>
        <v>12.844044444444444</v>
      </c>
    </row>
    <row r="110" spans="1:14" ht="22.5" customHeight="1" x14ac:dyDescent="0.25">
      <c r="A110" s="257"/>
      <c r="B110" s="253">
        <f t="shared" si="9"/>
        <v>46008</v>
      </c>
      <c r="C110" s="298">
        <v>4620382.24</v>
      </c>
      <c r="D110" s="295">
        <f>'Bank Int.'!$C110*7.5%/360</f>
        <v>962.57963333333339</v>
      </c>
      <c r="E110" s="306">
        <v>7038223.1500000004</v>
      </c>
      <c r="F110" s="303">
        <f>Table3[[#This Row],[Mid 146]]*4.5%/360</f>
        <v>879.77789375000009</v>
      </c>
      <c r="G110" s="305">
        <v>433283.18</v>
      </c>
      <c r="H110" s="303">
        <f>'Bank Int.'!$G110*0.5%/360</f>
        <v>6.0178219444444441</v>
      </c>
      <c r="I110" s="465">
        <v>40382.120000000003</v>
      </c>
      <c r="J110" s="307">
        <f>'Bank Int.'!$I110*6.5%/360</f>
        <v>7.2912161111111118</v>
      </c>
      <c r="K110" s="468">
        <v>43214.87</v>
      </c>
      <c r="L110" s="467">
        <f>'Bank Int.'!$K110*6.5%/360</f>
        <v>7.8026848611111115</v>
      </c>
      <c r="M110" s="451">
        <v>57798.2</v>
      </c>
      <c r="N110" s="452">
        <f>'Bank Int.'!$M110*8%/360</f>
        <v>12.844044444444444</v>
      </c>
    </row>
    <row r="111" spans="1:14" ht="22.5" customHeight="1" x14ac:dyDescent="0.25">
      <c r="A111" s="257"/>
      <c r="B111" s="253">
        <f t="shared" si="9"/>
        <v>46007</v>
      </c>
      <c r="C111" s="298">
        <v>4320382.24</v>
      </c>
      <c r="D111" s="295">
        <f>'Bank Int.'!$C111*7.5%/360</f>
        <v>900.07963333333339</v>
      </c>
      <c r="E111" s="306">
        <v>11949880.470000001</v>
      </c>
      <c r="F111" s="303">
        <f>Table3[[#This Row],[Mid 146]]*4.5%/360</f>
        <v>1493.73505875</v>
      </c>
      <c r="G111" s="305">
        <v>433283.18</v>
      </c>
      <c r="H111" s="303">
        <f>'Bank Int.'!$G111*0.5%/360</f>
        <v>6.0178219444444441</v>
      </c>
      <c r="I111" s="465">
        <v>40382.120000000003</v>
      </c>
      <c r="J111" s="307">
        <f>'Bank Int.'!$I111*6.5%/360</f>
        <v>7.2912161111111118</v>
      </c>
      <c r="K111" s="468">
        <v>43214.87</v>
      </c>
      <c r="L111" s="467">
        <f>'Bank Int.'!$K111*6.5%/360</f>
        <v>7.8026848611111115</v>
      </c>
      <c r="M111" s="451">
        <v>57798.2</v>
      </c>
      <c r="N111" s="452">
        <f>'Bank Int.'!$M111*8%/360</f>
        <v>12.844044444444444</v>
      </c>
    </row>
    <row r="112" spans="1:14" ht="22.5" customHeight="1" x14ac:dyDescent="0.25">
      <c r="A112" s="257"/>
      <c r="B112" s="253">
        <f t="shared" si="9"/>
        <v>46006</v>
      </c>
      <c r="C112" s="298">
        <v>3320407.24</v>
      </c>
      <c r="D112" s="295">
        <f>'Bank Int.'!$C112*7.5%/360</f>
        <v>691.75150833333339</v>
      </c>
      <c r="E112" s="306">
        <v>11949880.470000001</v>
      </c>
      <c r="F112" s="303">
        <f>Table3[[#This Row],[Mid 146]]*4.5%/360</f>
        <v>1493.73505875</v>
      </c>
      <c r="G112" s="305">
        <v>433283.18</v>
      </c>
      <c r="H112" s="303">
        <f>'Bank Int.'!$G112*0.5%/360</f>
        <v>6.0178219444444441</v>
      </c>
      <c r="I112" s="465">
        <v>40382.120000000003</v>
      </c>
      <c r="J112" s="307">
        <f>'Bank Int.'!$I112*6.5%/360</f>
        <v>7.2912161111111118</v>
      </c>
      <c r="K112" s="468">
        <v>43214.87</v>
      </c>
      <c r="L112" s="467">
        <f>'Bank Int.'!$K112*6.5%/360</f>
        <v>7.8026848611111115</v>
      </c>
      <c r="M112" s="451">
        <v>57798.2</v>
      </c>
      <c r="N112" s="452">
        <f>'Bank Int.'!$M112*8%/360</f>
        <v>12.844044444444444</v>
      </c>
    </row>
    <row r="113" spans="1:14" ht="22.5" customHeight="1" x14ac:dyDescent="0.25">
      <c r="A113" s="257"/>
      <c r="B113" s="253">
        <f t="shared" si="9"/>
        <v>46005</v>
      </c>
      <c r="C113" s="298">
        <v>5220447.8</v>
      </c>
      <c r="D113" s="295">
        <f>'Bank Int.'!$C113*7.5%/360</f>
        <v>1087.5932916666666</v>
      </c>
      <c r="E113" s="306">
        <v>11949880.470000001</v>
      </c>
      <c r="F113" s="303">
        <f>Table3[[#This Row],[Mid 146]]*4.5%/360</f>
        <v>1493.73505875</v>
      </c>
      <c r="G113" s="305">
        <v>433283.18</v>
      </c>
      <c r="H113" s="303">
        <f>'Bank Int.'!$G113*0.5%/360</f>
        <v>6.0178219444444441</v>
      </c>
      <c r="I113" s="465">
        <v>40382.120000000003</v>
      </c>
      <c r="J113" s="307">
        <f>'Bank Int.'!$I113*6.5%/360</f>
        <v>7.2912161111111118</v>
      </c>
      <c r="K113" s="468">
        <v>43214.87</v>
      </c>
      <c r="L113" s="467">
        <f>'Bank Int.'!$K113*6.5%/360</f>
        <v>7.8026848611111115</v>
      </c>
      <c r="M113" s="451">
        <v>57798.2</v>
      </c>
      <c r="N113" s="452">
        <f>'Bank Int.'!$M113*8%/360</f>
        <v>12.844044444444444</v>
      </c>
    </row>
    <row r="114" spans="1:14" ht="22.5" customHeight="1" x14ac:dyDescent="0.25">
      <c r="A114" s="257"/>
      <c r="B114" s="253">
        <f t="shared" si="9"/>
        <v>46004</v>
      </c>
      <c r="C114" s="298">
        <v>5220447.8</v>
      </c>
      <c r="D114" s="295">
        <f>'Bank Int.'!$C114*7.5%/360</f>
        <v>1087.5932916666666</v>
      </c>
      <c r="E114" s="306">
        <v>11490130.470000001</v>
      </c>
      <c r="F114" s="303">
        <f>Table3[[#This Row],[Mid 146]]*4.5%/360</f>
        <v>1436.26630875</v>
      </c>
      <c r="G114" s="305">
        <v>433283.18</v>
      </c>
      <c r="H114" s="303">
        <f>'Bank Int.'!$G114*0.5%/360</f>
        <v>6.0178219444444441</v>
      </c>
      <c r="I114" s="465">
        <v>40382.120000000003</v>
      </c>
      <c r="J114" s="307">
        <f>'Bank Int.'!$I114*6.5%/360</f>
        <v>7.2912161111111118</v>
      </c>
      <c r="K114" s="468">
        <v>43214.87</v>
      </c>
      <c r="L114" s="467">
        <f>'Bank Int.'!$K114*6.5%/360</f>
        <v>7.8026848611111115</v>
      </c>
      <c r="M114" s="451">
        <v>57798.2</v>
      </c>
      <c r="N114" s="452">
        <f>'Bank Int.'!$M114*8%/360</f>
        <v>12.844044444444444</v>
      </c>
    </row>
    <row r="115" spans="1:14" ht="22.5" customHeight="1" x14ac:dyDescent="0.25">
      <c r="A115" s="257"/>
      <c r="B115" s="253">
        <f t="shared" si="9"/>
        <v>46003</v>
      </c>
      <c r="C115" s="298">
        <v>5220447.8</v>
      </c>
      <c r="D115" s="295">
        <f>'Bank Int.'!$C115*7.5%/360</f>
        <v>1087.5932916666666</v>
      </c>
      <c r="E115" s="306">
        <v>11490130.470000001</v>
      </c>
      <c r="F115" s="303">
        <f>Table3[[#This Row],[Mid 146]]*4.5%/360</f>
        <v>1436.26630875</v>
      </c>
      <c r="G115" s="305">
        <v>433283.18</v>
      </c>
      <c r="H115" s="303">
        <f>'Bank Int.'!$G115*0.5%/360</f>
        <v>6.0178219444444441</v>
      </c>
      <c r="I115" s="465">
        <v>40382.120000000003</v>
      </c>
      <c r="J115" s="307">
        <f>'Bank Int.'!$I115*6.5%/360</f>
        <v>7.2912161111111118</v>
      </c>
      <c r="K115" s="468">
        <v>43214.87</v>
      </c>
      <c r="L115" s="467">
        <f>'Bank Int.'!$K115*6.5%/360</f>
        <v>7.8026848611111115</v>
      </c>
      <c r="M115" s="451">
        <v>57798.2</v>
      </c>
      <c r="N115" s="452">
        <f>'Bank Int.'!$M115*8%/360</f>
        <v>12.844044444444444</v>
      </c>
    </row>
    <row r="116" spans="1:14" ht="22.5" customHeight="1" x14ac:dyDescent="0.25">
      <c r="A116" s="257"/>
      <c r="B116" s="253">
        <f t="shared" si="9"/>
        <v>46002</v>
      </c>
      <c r="C116" s="298">
        <v>5220447.8</v>
      </c>
      <c r="D116" s="295">
        <f>'Bank Int.'!$C116*7.5%/360</f>
        <v>1087.5932916666666</v>
      </c>
      <c r="E116" s="306">
        <v>11490130.470000001</v>
      </c>
      <c r="F116" s="303">
        <f>Table3[[#This Row],[Mid 146]]*4.5%/360</f>
        <v>1436.26630875</v>
      </c>
      <c r="G116" s="305">
        <v>433283.18</v>
      </c>
      <c r="H116" s="303">
        <f>'Bank Int.'!$G116*0.5%/360</f>
        <v>6.0178219444444441</v>
      </c>
      <c r="I116" s="465">
        <v>40382.120000000003</v>
      </c>
      <c r="J116" s="307">
        <f>'Bank Int.'!$I116*6.5%/360</f>
        <v>7.2912161111111118</v>
      </c>
      <c r="K116" s="468">
        <v>43214.87</v>
      </c>
      <c r="L116" s="467">
        <f>'Bank Int.'!$K116*6.5%/360</f>
        <v>7.8026848611111115</v>
      </c>
      <c r="M116" s="451">
        <v>57798.2</v>
      </c>
      <c r="N116" s="452">
        <f>'Bank Int.'!$M116*8%/360</f>
        <v>12.844044444444444</v>
      </c>
    </row>
    <row r="117" spans="1:14" ht="22.5" customHeight="1" x14ac:dyDescent="0.25">
      <c r="A117" s="257"/>
      <c r="B117" s="253">
        <f t="shared" si="9"/>
        <v>46001</v>
      </c>
      <c r="C117" s="298">
        <v>5220447.8</v>
      </c>
      <c r="D117" s="295">
        <f>'Bank Int.'!$C117*7.5%/360</f>
        <v>1087.5932916666666</v>
      </c>
      <c r="E117" s="306">
        <v>12012667.869999999</v>
      </c>
      <c r="F117" s="303">
        <f>Table3[[#This Row],[Mid 146]]*4.5%/360</f>
        <v>1501.5834837499999</v>
      </c>
      <c r="G117" s="305">
        <v>328283.18</v>
      </c>
      <c r="H117" s="303">
        <f>'Bank Int.'!$G117*0.5%/360</f>
        <v>4.559488611111111</v>
      </c>
      <c r="I117" s="465">
        <v>40382.120000000003</v>
      </c>
      <c r="J117" s="307">
        <f>'Bank Int.'!$I117*6.5%/360</f>
        <v>7.2912161111111118</v>
      </c>
      <c r="K117" s="468">
        <v>43214.87</v>
      </c>
      <c r="L117" s="467">
        <f>'Bank Int.'!$K117*6.5%/360</f>
        <v>7.8026848611111115</v>
      </c>
      <c r="M117" s="451">
        <v>57798.2</v>
      </c>
      <c r="N117" s="452">
        <f>'Bank Int.'!$M117*8%/360</f>
        <v>12.844044444444444</v>
      </c>
    </row>
    <row r="118" spans="1:14" ht="22.5" customHeight="1" x14ac:dyDescent="0.25">
      <c r="A118" s="257"/>
      <c r="B118" s="253">
        <f t="shared" si="9"/>
        <v>46000</v>
      </c>
      <c r="C118" s="298">
        <v>5220447.8</v>
      </c>
      <c r="D118" s="295">
        <f>'Bank Int.'!$C118*7.5%/360</f>
        <v>1087.5932916666666</v>
      </c>
      <c r="E118" s="306">
        <v>12012667.869999999</v>
      </c>
      <c r="F118" s="303">
        <f>Table3[[#This Row],[Mid 146]]*4.5%/360</f>
        <v>1501.5834837499999</v>
      </c>
      <c r="G118" s="305">
        <v>335283.18</v>
      </c>
      <c r="H118" s="303">
        <f>'Bank Int.'!$G118*0.5%/360</f>
        <v>4.6567108333333334</v>
      </c>
      <c r="I118" s="465">
        <v>40382.120000000003</v>
      </c>
      <c r="J118" s="307">
        <f>'Bank Int.'!$I118*6.5%/360</f>
        <v>7.2912161111111118</v>
      </c>
      <c r="K118" s="468">
        <v>43214.87</v>
      </c>
      <c r="L118" s="467">
        <f>'Bank Int.'!$K118*6.5%/360</f>
        <v>7.8026848611111115</v>
      </c>
      <c r="M118" s="451">
        <v>57798.2</v>
      </c>
      <c r="N118" s="452">
        <f>'Bank Int.'!$M118*8%/360</f>
        <v>12.844044444444444</v>
      </c>
    </row>
    <row r="119" spans="1:14" ht="22.5" customHeight="1" x14ac:dyDescent="0.25">
      <c r="A119" s="257"/>
      <c r="B119" s="253">
        <f t="shared" si="9"/>
        <v>45999</v>
      </c>
      <c r="C119" s="298">
        <v>5020457.8</v>
      </c>
      <c r="D119" s="295">
        <f>'Bank Int.'!$C119*7.5%/360</f>
        <v>1045.9287083333331</v>
      </c>
      <c r="E119" s="306">
        <v>14961737.289999999</v>
      </c>
      <c r="F119" s="303">
        <f>Table3[[#This Row],[Mid 146]]*4.5%/360</f>
        <v>1870.2171612499999</v>
      </c>
      <c r="G119" s="305">
        <v>335283.18</v>
      </c>
      <c r="H119" s="303">
        <f>'Bank Int.'!$G119*0.5%/360</f>
        <v>4.6567108333333334</v>
      </c>
      <c r="I119" s="465">
        <v>40382.120000000003</v>
      </c>
      <c r="J119" s="307">
        <f>'Bank Int.'!$I119*6.5%/360</f>
        <v>7.2912161111111118</v>
      </c>
      <c r="K119" s="468">
        <v>43214.87</v>
      </c>
      <c r="L119" s="467">
        <f>'Bank Int.'!$K119*6.5%/360</f>
        <v>7.8026848611111115</v>
      </c>
      <c r="M119" s="451">
        <v>57798.2</v>
      </c>
      <c r="N119" s="452">
        <f>'Bank Int.'!$M119*8%/360</f>
        <v>12.844044444444444</v>
      </c>
    </row>
    <row r="120" spans="1:14" ht="22.5" customHeight="1" x14ac:dyDescent="0.25">
      <c r="A120" s="257"/>
      <c r="B120" s="253">
        <f t="shared" si="9"/>
        <v>45998</v>
      </c>
      <c r="C120" s="298">
        <v>5116861.22</v>
      </c>
      <c r="D120" s="295">
        <f>'Bank Int.'!$C120*7.5%/360</f>
        <v>1066.0127541666666</v>
      </c>
      <c r="E120" s="306">
        <v>15163783.449999999</v>
      </c>
      <c r="F120" s="303">
        <f>Table3[[#This Row],[Mid 146]]*4.5%/360</f>
        <v>1895.4729312499999</v>
      </c>
      <c r="G120" s="305">
        <v>193283.18</v>
      </c>
      <c r="H120" s="303">
        <f>'Bank Int.'!$G120*0.5%/360</f>
        <v>2.684488611111111</v>
      </c>
      <c r="I120" s="465">
        <v>40382.120000000003</v>
      </c>
      <c r="J120" s="307">
        <f>'Bank Int.'!$I120*6.5%/360</f>
        <v>7.2912161111111118</v>
      </c>
      <c r="K120" s="468">
        <v>43214.87</v>
      </c>
      <c r="L120" s="467">
        <f>'Bank Int.'!$K120*6.5%/360</f>
        <v>7.8026848611111115</v>
      </c>
      <c r="M120" s="451">
        <v>57798.2</v>
      </c>
      <c r="N120" s="452">
        <f>'Bank Int.'!$M120*8%/360</f>
        <v>12.844044444444444</v>
      </c>
    </row>
    <row r="121" spans="1:14" ht="22.5" customHeight="1" x14ac:dyDescent="0.25">
      <c r="A121" s="257"/>
      <c r="B121" s="253">
        <f t="shared" si="9"/>
        <v>45997</v>
      </c>
      <c r="C121" s="298">
        <v>5116861.22</v>
      </c>
      <c r="D121" s="295">
        <f>'Bank Int.'!$C121*7.5%/360</f>
        <v>1066.0127541666666</v>
      </c>
      <c r="E121" s="306">
        <v>15021450.210000001</v>
      </c>
      <c r="F121" s="303">
        <f>Table3[[#This Row],[Mid 146]]*4.5%/360</f>
        <v>1877.6812762500001</v>
      </c>
      <c r="G121" s="305">
        <v>193283.18</v>
      </c>
      <c r="H121" s="303">
        <f>'Bank Int.'!$G121*0.5%/360</f>
        <v>2.684488611111111</v>
      </c>
      <c r="I121" s="465">
        <v>40382.120000000003</v>
      </c>
      <c r="J121" s="307">
        <f>'Bank Int.'!$I121*6.5%/360</f>
        <v>7.2912161111111118</v>
      </c>
      <c r="K121" s="468">
        <v>43214.87</v>
      </c>
      <c r="L121" s="467">
        <f>'Bank Int.'!$K121*6.5%/360</f>
        <v>7.8026848611111115</v>
      </c>
      <c r="M121" s="451">
        <v>57798.2</v>
      </c>
      <c r="N121" s="452">
        <f>'Bank Int.'!$M121*8%/360</f>
        <v>12.844044444444444</v>
      </c>
    </row>
    <row r="122" spans="1:14" ht="22.5" customHeight="1" x14ac:dyDescent="0.25">
      <c r="A122" s="257"/>
      <c r="B122" s="253">
        <f t="shared" si="9"/>
        <v>45996</v>
      </c>
      <c r="C122" s="298">
        <v>5116861.22</v>
      </c>
      <c r="D122" s="295">
        <f>'Bank Int.'!$C122*7.5%/360</f>
        <v>1066.0127541666666</v>
      </c>
      <c r="E122" s="306">
        <v>15021450.210000001</v>
      </c>
      <c r="F122" s="303">
        <f>Table3[[#This Row],[Mid 146]]*4.5%/360</f>
        <v>1877.6812762500001</v>
      </c>
      <c r="G122" s="305">
        <v>193283.18</v>
      </c>
      <c r="H122" s="303">
        <f>'Bank Int.'!$G122*0.5%/360</f>
        <v>2.684488611111111</v>
      </c>
      <c r="I122" s="465">
        <v>40382.120000000003</v>
      </c>
      <c r="J122" s="307">
        <f>'Bank Int.'!$I122*6.5%/360</f>
        <v>7.2912161111111118</v>
      </c>
      <c r="K122" s="468">
        <v>43214.87</v>
      </c>
      <c r="L122" s="467">
        <f>'Bank Int.'!$K122*6.5%/360</f>
        <v>7.8026848611111115</v>
      </c>
      <c r="M122" s="451">
        <v>57798.2</v>
      </c>
      <c r="N122" s="452">
        <f>'Bank Int.'!$M122*8%/360</f>
        <v>12.844044444444444</v>
      </c>
    </row>
    <row r="123" spans="1:14" ht="22.5" customHeight="1" x14ac:dyDescent="0.25">
      <c r="A123" s="257"/>
      <c r="B123" s="253">
        <f>B124+1</f>
        <v>45995</v>
      </c>
      <c r="C123" s="298">
        <v>5116861.22</v>
      </c>
      <c r="D123" s="295">
        <f>'Bank Int.'!$C123*7.5%/360</f>
        <v>1066.0127541666666</v>
      </c>
      <c r="E123" s="306">
        <v>15021450.210000001</v>
      </c>
      <c r="F123" s="303">
        <f>Table3[[#This Row],[Mid 146]]*4.5%/360</f>
        <v>1877.6812762500001</v>
      </c>
      <c r="G123" s="305">
        <v>67283.179999999993</v>
      </c>
      <c r="H123" s="303">
        <f>'Bank Int.'!$G123*0.5%/360</f>
        <v>0.93448861111111103</v>
      </c>
      <c r="I123" s="465">
        <v>40382.120000000003</v>
      </c>
      <c r="J123" s="307">
        <f>'Bank Int.'!$I123*6.5%/360</f>
        <v>7.2912161111111118</v>
      </c>
      <c r="K123" s="468">
        <v>43214.87</v>
      </c>
      <c r="L123" s="467">
        <f>'Bank Int.'!$K123*6.5%/360</f>
        <v>7.8026848611111115</v>
      </c>
      <c r="M123" s="451">
        <v>57798.2</v>
      </c>
      <c r="N123" s="452">
        <f>'Bank Int.'!$M123*8%/360</f>
        <v>12.844044444444444</v>
      </c>
    </row>
    <row r="124" spans="1:14" ht="22.5" customHeight="1" x14ac:dyDescent="0.25">
      <c r="A124" s="257"/>
      <c r="B124" s="253">
        <f>B125+1</f>
        <v>45994</v>
      </c>
      <c r="C124" s="298">
        <v>2959855.22</v>
      </c>
      <c r="D124" s="295">
        <f>'Bank Int.'!$C124*7.5%/360</f>
        <v>616.63650416666667</v>
      </c>
      <c r="E124" s="306">
        <v>15021450.210000001</v>
      </c>
      <c r="F124" s="303">
        <f>Table3[[#This Row],[Mid 146]]*4.5%/360</f>
        <v>1877.6812762500001</v>
      </c>
      <c r="G124" s="305">
        <v>1627283.18</v>
      </c>
      <c r="H124" s="303">
        <f>'Bank Int.'!$G124*0.5%/360</f>
        <v>22.601155277777778</v>
      </c>
      <c r="I124" s="465">
        <v>40382.120000000003</v>
      </c>
      <c r="J124" s="307">
        <f>'Bank Int.'!$I124*6.5%/360</f>
        <v>7.2912161111111118</v>
      </c>
      <c r="K124" s="468">
        <v>43214.87</v>
      </c>
      <c r="L124" s="467">
        <f>'Bank Int.'!$K124*6.5%/360</f>
        <v>7.8026848611111115</v>
      </c>
      <c r="M124" s="451">
        <v>57798.2</v>
      </c>
      <c r="N124" s="452">
        <f>'Bank Int.'!$M124*8%/360</f>
        <v>12.844044444444444</v>
      </c>
    </row>
    <row r="125" spans="1:14" ht="22.5" customHeight="1" x14ac:dyDescent="0.25">
      <c r="A125" s="257"/>
      <c r="B125" s="253">
        <f>B126+1</f>
        <v>45993</v>
      </c>
      <c r="C125" s="298">
        <v>2959855.22</v>
      </c>
      <c r="D125" s="295">
        <f>'Bank Int.'!$C125*7.5%/360</f>
        <v>616.63650416666667</v>
      </c>
      <c r="E125" s="306">
        <v>15021450.210000001</v>
      </c>
      <c r="F125" s="303">
        <f>Table3[[#This Row],[Mid 146]]*4.5%/360</f>
        <v>1877.6812762500001</v>
      </c>
      <c r="G125" s="305">
        <v>1627283.18</v>
      </c>
      <c r="H125" s="303">
        <f>'Bank Int.'!$G125*0.5%/360</f>
        <v>22.601155277777778</v>
      </c>
      <c r="I125" s="465">
        <v>40382.120000000003</v>
      </c>
      <c r="J125" s="307">
        <f>'Bank Int.'!$I125*6.5%/360</f>
        <v>7.2912161111111118</v>
      </c>
      <c r="K125" s="468">
        <v>43214.87</v>
      </c>
      <c r="L125" s="467">
        <f>'Bank Int.'!$K125*6.5%/360</f>
        <v>7.8026848611111115</v>
      </c>
      <c r="M125" s="451">
        <v>57798.2</v>
      </c>
      <c r="N125" s="452">
        <f>'Bank Int.'!$M125*8%/360</f>
        <v>12.844044444444444</v>
      </c>
    </row>
    <row r="126" spans="1:14" ht="22.5" customHeight="1" x14ac:dyDescent="0.25">
      <c r="A126" s="257"/>
      <c r="B126" s="253">
        <f>B127+1</f>
        <v>45992</v>
      </c>
      <c r="C126" s="298">
        <v>2959855.22</v>
      </c>
      <c r="D126" s="295">
        <f>'Bank Int.'!$C126*7.5%/360</f>
        <v>616.63650416666667</v>
      </c>
      <c r="E126" s="306">
        <v>15021450.210000001</v>
      </c>
      <c r="F126" s="303">
        <f>Table3[[#This Row],[Mid 146]]*4.5%/360</f>
        <v>1877.6812762500001</v>
      </c>
      <c r="G126" s="305">
        <v>1627283.18</v>
      </c>
      <c r="H126" s="303">
        <f>'Bank Int.'!$G126*0.5%/360</f>
        <v>22.601155277777778</v>
      </c>
      <c r="I126" s="465">
        <v>40382.120000000003</v>
      </c>
      <c r="J126" s="307">
        <f>'Bank Int.'!$I126*6.5%/360</f>
        <v>7.2912161111111118</v>
      </c>
      <c r="K126" s="468">
        <v>43214.87</v>
      </c>
      <c r="L126" s="467">
        <f>'Bank Int.'!$K126*6.5%/360</f>
        <v>7.8026848611111115</v>
      </c>
      <c r="M126" s="451">
        <v>57798.2</v>
      </c>
      <c r="N126" s="452">
        <f>'Bank Int.'!$M126*8%/360</f>
        <v>12.844044444444444</v>
      </c>
    </row>
    <row r="127" spans="1:14" ht="22.5" customHeight="1" x14ac:dyDescent="0.25">
      <c r="A127" s="257"/>
      <c r="B127" s="253">
        <f>B128+1</f>
        <v>45991</v>
      </c>
      <c r="C127" s="298">
        <v>3222492.74</v>
      </c>
      <c r="D127" s="295">
        <f>'Bank Int.'!$C127*7.5%/360</f>
        <v>671.35265416666675</v>
      </c>
      <c r="E127" s="306">
        <v>15021450.210000001</v>
      </c>
      <c r="F127" s="303">
        <f>Table3[[#This Row],[Mid 146]]*4.5%/360</f>
        <v>1877.6812762500001</v>
      </c>
      <c r="G127" s="305">
        <v>627283.18000000005</v>
      </c>
      <c r="H127" s="303">
        <f>'Bank Int.'!$G127*0.5%/360</f>
        <v>8.7122663888888905</v>
      </c>
      <c r="I127" s="465">
        <v>40382.120000000003</v>
      </c>
      <c r="J127" s="307">
        <f>'Bank Int.'!$I127*6.5%/360</f>
        <v>7.2912161111111118</v>
      </c>
      <c r="K127" s="468">
        <v>43214.87</v>
      </c>
      <c r="L127" s="467">
        <f>'Bank Int.'!$K127*6.5%/360</f>
        <v>7.8026848611111115</v>
      </c>
      <c r="M127" s="451">
        <v>57798.2</v>
      </c>
      <c r="N127" s="452">
        <f>'Bank Int.'!$M127*8%/360</f>
        <v>12.844044444444444</v>
      </c>
    </row>
    <row r="128" spans="1:14" ht="22.5" customHeight="1" x14ac:dyDescent="0.25">
      <c r="A128" s="257"/>
      <c r="B128" s="253">
        <v>45990</v>
      </c>
      <c r="C128" s="298">
        <v>3972592.74</v>
      </c>
      <c r="D128" s="295">
        <f>'Bank Int.'!$C128*7.5%/360</f>
        <v>827.6234874999999</v>
      </c>
      <c r="E128" s="306">
        <v>14348450.210000001</v>
      </c>
      <c r="F128" s="303">
        <f>Table3[[#This Row],[Mid 146]]*4.5%/360</f>
        <v>1793.5562762500001</v>
      </c>
      <c r="G128" s="305">
        <v>627283.18000000005</v>
      </c>
      <c r="H128" s="303">
        <f>'Bank Int.'!$G128*0.5%/360</f>
        <v>8.7122663888888905</v>
      </c>
      <c r="I128" s="465">
        <v>40382.120000000003</v>
      </c>
      <c r="J128" s="307">
        <f>'Bank Int.'!$I128*6.5%/360</f>
        <v>7.2912161111111118</v>
      </c>
      <c r="K128" s="468">
        <v>43214.87</v>
      </c>
      <c r="L128" s="467">
        <f>'Bank Int.'!$K128*6.5%/360</f>
        <v>7.8026848611111115</v>
      </c>
      <c r="M128" s="451">
        <v>57798.2</v>
      </c>
      <c r="N128" s="452">
        <f>'Bank Int.'!$M128*8%/360</f>
        <v>12.844044444444444</v>
      </c>
    </row>
    <row r="129" spans="1:14" ht="22.5" customHeight="1" x14ac:dyDescent="0.25">
      <c r="A129" s="257"/>
      <c r="B129" s="253">
        <f t="shared" ref="B129:B134" si="10">B128-1</f>
        <v>45989</v>
      </c>
      <c r="C129" s="298">
        <v>3972592.74</v>
      </c>
      <c r="D129" s="295">
        <f>'Bank Int.'!$C129*7.5%/360</f>
        <v>827.6234874999999</v>
      </c>
      <c r="E129" s="306">
        <v>14348450.210000001</v>
      </c>
      <c r="F129" s="303">
        <f>Table3[[#This Row],[Mid 146]]*4.5%/360</f>
        <v>1793.5562762500001</v>
      </c>
      <c r="G129" s="305">
        <v>627283.18000000005</v>
      </c>
      <c r="H129" s="303">
        <f>'Bank Int.'!$G129*0.5%/360</f>
        <v>8.7122663888888905</v>
      </c>
      <c r="I129" s="465">
        <v>40382.120000000003</v>
      </c>
      <c r="J129" s="307">
        <f>'Bank Int.'!$I129*6.5%/360</f>
        <v>7.2912161111111118</v>
      </c>
      <c r="K129" s="468">
        <v>43214.87</v>
      </c>
      <c r="L129" s="467">
        <f>'Bank Int.'!$K129*6.5%/360</f>
        <v>7.8026848611111115</v>
      </c>
      <c r="M129" s="451">
        <v>57798.2</v>
      </c>
      <c r="N129" s="452">
        <f>'Bank Int.'!$M129*8%/360</f>
        <v>12.844044444444444</v>
      </c>
    </row>
    <row r="130" spans="1:14" ht="22.5" customHeight="1" x14ac:dyDescent="0.25">
      <c r="A130" s="257"/>
      <c r="B130" s="253">
        <f t="shared" si="10"/>
        <v>45988</v>
      </c>
      <c r="C130" s="298">
        <v>3972592.74</v>
      </c>
      <c r="D130" s="295">
        <f>'Bank Int.'!$C130*7.5%/360</f>
        <v>827.6234874999999</v>
      </c>
      <c r="E130" s="306">
        <v>14348450.210000001</v>
      </c>
      <c r="F130" s="303">
        <f>Table3[[#This Row],[Mid 146]]*4.5%/360</f>
        <v>1793.5562762500001</v>
      </c>
      <c r="G130" s="305">
        <v>627283.18000000005</v>
      </c>
      <c r="H130" s="303">
        <f>'Bank Int.'!$G130*0.5%/360</f>
        <v>8.7122663888888905</v>
      </c>
      <c r="I130" s="465">
        <v>40382.120000000003</v>
      </c>
      <c r="J130" s="307">
        <f>'Bank Int.'!$I130*6.5%/360</f>
        <v>7.2912161111111118</v>
      </c>
      <c r="K130" s="468">
        <v>43214.87</v>
      </c>
      <c r="L130" s="467">
        <f>'Bank Int.'!$K130*6.5%/360</f>
        <v>7.8026848611111115</v>
      </c>
      <c r="M130" s="451">
        <v>57798.2</v>
      </c>
      <c r="N130" s="452">
        <f>'Bank Int.'!$M130*8%/360</f>
        <v>12.844044444444444</v>
      </c>
    </row>
    <row r="131" spans="1:14" ht="22.5" customHeight="1" x14ac:dyDescent="0.25">
      <c r="A131" s="257"/>
      <c r="B131" s="253">
        <f t="shared" si="10"/>
        <v>45987</v>
      </c>
      <c r="C131" s="298">
        <v>5472692.7400000002</v>
      </c>
      <c r="D131" s="295">
        <f>'Bank Int.'!$C131*7.5%/360</f>
        <v>1140.1443208333333</v>
      </c>
      <c r="E131" s="306">
        <v>14348450.210000001</v>
      </c>
      <c r="F131" s="303">
        <f>Table3[[#This Row],[Mid 146]]*4.5%/360</f>
        <v>1793.5562762500001</v>
      </c>
      <c r="G131" s="305">
        <v>665923.18000000005</v>
      </c>
      <c r="H131" s="303">
        <f>'Bank Int.'!$G131*0.5%/360</f>
        <v>9.2489330555555558</v>
      </c>
      <c r="I131" s="465">
        <v>40382.120000000003</v>
      </c>
      <c r="J131" s="307">
        <f>'Bank Int.'!$I131*6.5%/360</f>
        <v>7.2912161111111118</v>
      </c>
      <c r="K131" s="468">
        <v>43214.87</v>
      </c>
      <c r="L131" s="467">
        <f>'Bank Int.'!$K131*6.5%/360</f>
        <v>7.8026848611111115</v>
      </c>
      <c r="M131" s="451">
        <v>57798.2</v>
      </c>
      <c r="N131" s="452">
        <f>'Bank Int.'!$M131*8%/360</f>
        <v>12.844044444444444</v>
      </c>
    </row>
    <row r="132" spans="1:14" ht="22.5" customHeight="1" x14ac:dyDescent="0.25">
      <c r="A132" s="257"/>
      <c r="B132" s="253">
        <f t="shared" si="10"/>
        <v>45986</v>
      </c>
      <c r="C132" s="298">
        <v>5272702.74</v>
      </c>
      <c r="D132" s="295">
        <f>'Bank Int.'!$C132*7.5%/360</f>
        <v>1098.4797375000001</v>
      </c>
      <c r="E132" s="306">
        <v>1332249.29</v>
      </c>
      <c r="F132" s="303">
        <f>Table3[[#This Row],[Mid 146]]*4.5%/360</f>
        <v>166.53116125</v>
      </c>
      <c r="G132" s="305">
        <v>208283.18</v>
      </c>
      <c r="H132" s="303">
        <f>'Bank Int.'!$G132*0.5%/360</f>
        <v>2.8928219444444445</v>
      </c>
      <c r="I132" s="465">
        <v>40382.120000000003</v>
      </c>
      <c r="J132" s="307">
        <f>'Bank Int.'!$I132*6.5%/360</f>
        <v>7.2912161111111118</v>
      </c>
      <c r="K132" s="468">
        <v>43214.87</v>
      </c>
      <c r="L132" s="467">
        <f>'Bank Int.'!$K132*6.5%/360</f>
        <v>7.8026848611111115</v>
      </c>
      <c r="M132" s="451">
        <v>57798.2</v>
      </c>
      <c r="N132" s="452">
        <f>'Bank Int.'!$M132*8%/360</f>
        <v>12.844044444444444</v>
      </c>
    </row>
    <row r="133" spans="1:14" ht="22.5" customHeight="1" x14ac:dyDescent="0.25">
      <c r="A133" s="257"/>
      <c r="B133" s="253">
        <f t="shared" si="10"/>
        <v>45985</v>
      </c>
      <c r="C133" s="298">
        <v>8671552.7400000002</v>
      </c>
      <c r="D133" s="295">
        <f>'Bank Int.'!$C133*7.5%/360</f>
        <v>1806.5734875000001</v>
      </c>
      <c r="E133" s="306">
        <v>1332249.29</v>
      </c>
      <c r="F133" s="303">
        <f>Table3[[#This Row],[Mid 146]]*4.5%/360</f>
        <v>166.53116125</v>
      </c>
      <c r="G133" s="305">
        <v>73293.179999999993</v>
      </c>
      <c r="H133" s="303">
        <f>'Bank Int.'!$G133*0.5%/360</f>
        <v>1.0179608333333332</v>
      </c>
      <c r="I133" s="465">
        <v>40382.120000000003</v>
      </c>
      <c r="J133" s="307">
        <f>'Bank Int.'!$I133*6.5%/360</f>
        <v>7.2912161111111118</v>
      </c>
      <c r="K133" s="468">
        <v>43214.87</v>
      </c>
      <c r="L133" s="467">
        <f>'Bank Int.'!$K133*6.5%/360</f>
        <v>7.8026848611111115</v>
      </c>
      <c r="M133" s="451">
        <v>57798.2</v>
      </c>
      <c r="N133" s="452">
        <f>'Bank Int.'!$M133*8%/360</f>
        <v>12.844044444444444</v>
      </c>
    </row>
    <row r="134" spans="1:14" ht="22.5" customHeight="1" x14ac:dyDescent="0.25">
      <c r="A134" s="257"/>
      <c r="B134" s="253">
        <f t="shared" si="10"/>
        <v>45984</v>
      </c>
      <c r="C134" s="298">
        <v>7949610.7400000002</v>
      </c>
      <c r="D134" s="295">
        <f>'Bank Int.'!$C134*7.5%/360</f>
        <v>1656.1689041666666</v>
      </c>
      <c r="E134" s="306">
        <v>1332249.29</v>
      </c>
      <c r="F134" s="303">
        <f>Table3[[#This Row],[Mid 146]]*4.5%/360</f>
        <v>166.53116125</v>
      </c>
      <c r="G134" s="305">
        <v>73293.179999999993</v>
      </c>
      <c r="H134" s="303">
        <f>'Bank Int.'!$G134*0.5%/360</f>
        <v>1.0179608333333332</v>
      </c>
      <c r="I134" s="465">
        <v>40382.120000000003</v>
      </c>
      <c r="J134" s="307">
        <f>'Bank Int.'!$I134*6.5%/360</f>
        <v>7.2912161111111118</v>
      </c>
      <c r="K134" s="468">
        <v>43214.87</v>
      </c>
      <c r="L134" s="467">
        <f>'Bank Int.'!$K134*6.5%/360</f>
        <v>7.8026848611111115</v>
      </c>
      <c r="M134" s="451">
        <v>57798.2</v>
      </c>
      <c r="N134" s="452">
        <f>'Bank Int.'!$M134*8%/360</f>
        <v>12.844044444444444</v>
      </c>
    </row>
    <row r="135" spans="1:14" ht="22.5" customHeight="1" x14ac:dyDescent="0.25">
      <c r="A135" s="257"/>
      <c r="B135" s="253">
        <v>45983</v>
      </c>
      <c r="C135" s="298">
        <v>7949670.7400000002</v>
      </c>
      <c r="D135" s="295">
        <f>'Bank Int.'!$C135*7.5%/360</f>
        <v>1656.1814041666667</v>
      </c>
      <c r="E135" s="306">
        <v>680939.69</v>
      </c>
      <c r="F135" s="303">
        <f>Table3[[#This Row],[Mid 146]]*4.5%/360</f>
        <v>85.117461249999991</v>
      </c>
      <c r="G135" s="305">
        <v>73293.179999999993</v>
      </c>
      <c r="H135" s="303">
        <f>'Bank Int.'!$G135*0.5%/360</f>
        <v>1.0179608333333332</v>
      </c>
      <c r="I135" s="465">
        <v>40382.120000000003</v>
      </c>
      <c r="J135" s="307">
        <f>'Bank Int.'!$I135*6.5%/360</f>
        <v>7.2912161111111118</v>
      </c>
      <c r="K135" s="468">
        <v>43214.87</v>
      </c>
      <c r="L135" s="467">
        <f>'Bank Int.'!$K135*6.5%/360</f>
        <v>7.8026848611111115</v>
      </c>
      <c r="M135" s="451">
        <v>57798.2</v>
      </c>
      <c r="N135" s="452">
        <f>'Bank Int.'!$M135*8%/360</f>
        <v>12.844044444444444</v>
      </c>
    </row>
    <row r="136" spans="1:14" ht="22.5" customHeight="1" x14ac:dyDescent="0.25">
      <c r="A136" s="257"/>
      <c r="B136" s="253">
        <f t="shared" ref="B136:B141" si="11">B135-1</f>
        <v>45982</v>
      </c>
      <c r="C136" s="298">
        <v>7949670.7400000002</v>
      </c>
      <c r="D136" s="295">
        <f>'Bank Int.'!$C136*7.5%/360</f>
        <v>1656.1814041666667</v>
      </c>
      <c r="E136" s="306">
        <v>680939.69</v>
      </c>
      <c r="F136" s="303">
        <f>Table3[[#This Row],[Mid 146]]*4.5%/360</f>
        <v>85.117461249999991</v>
      </c>
      <c r="G136" s="305">
        <v>73293.179999999993</v>
      </c>
      <c r="H136" s="303">
        <f>'Bank Int.'!$G136*0.5%/360</f>
        <v>1.0179608333333332</v>
      </c>
      <c r="I136" s="465">
        <v>40382.120000000003</v>
      </c>
      <c r="J136" s="307">
        <f>'Bank Int.'!$I136*6.5%/360</f>
        <v>7.2912161111111118</v>
      </c>
      <c r="K136" s="468">
        <v>43214.87</v>
      </c>
      <c r="L136" s="467">
        <f>'Bank Int.'!$K136*6.5%/360</f>
        <v>7.8026848611111115</v>
      </c>
      <c r="M136" s="451">
        <v>57798.2</v>
      </c>
      <c r="N136" s="452">
        <f>'Bank Int.'!$M136*8%/360</f>
        <v>12.844044444444444</v>
      </c>
    </row>
    <row r="137" spans="1:14" ht="22.5" customHeight="1" x14ac:dyDescent="0.25">
      <c r="A137" s="257"/>
      <c r="B137" s="253">
        <f t="shared" si="11"/>
        <v>45981</v>
      </c>
      <c r="C137" s="298">
        <v>7949670.7400000002</v>
      </c>
      <c r="D137" s="295">
        <f>'Bank Int.'!$C137*7.5%/360</f>
        <v>1656.1814041666667</v>
      </c>
      <c r="E137" s="306">
        <v>680939.69</v>
      </c>
      <c r="F137" s="303">
        <f>Table3[[#This Row],[Mid 146]]*4.5%/360</f>
        <v>85.117461249999991</v>
      </c>
      <c r="G137" s="305">
        <v>73293.179999999993</v>
      </c>
      <c r="H137" s="303">
        <f>'Bank Int.'!$G137*0.5%/360</f>
        <v>1.0179608333333332</v>
      </c>
      <c r="I137" s="465">
        <v>40382.120000000003</v>
      </c>
      <c r="J137" s="307">
        <f>'Bank Int.'!$I137*6.5%/360</f>
        <v>7.2912161111111118</v>
      </c>
      <c r="K137" s="468">
        <v>43214.87</v>
      </c>
      <c r="L137" s="467">
        <f>'Bank Int.'!$K137*6.5%/360</f>
        <v>7.8026848611111115</v>
      </c>
      <c r="M137" s="451">
        <v>57798.2</v>
      </c>
      <c r="N137" s="452">
        <f>'Bank Int.'!$M137*8%/360</f>
        <v>12.844044444444444</v>
      </c>
    </row>
    <row r="138" spans="1:14" ht="22.5" customHeight="1" x14ac:dyDescent="0.25">
      <c r="A138" s="257"/>
      <c r="B138" s="253">
        <f t="shared" si="11"/>
        <v>45980</v>
      </c>
      <c r="C138" s="298">
        <v>4692609.74</v>
      </c>
      <c r="D138" s="295">
        <f>'Bank Int.'!$C138*7.5%/360</f>
        <v>977.62702916666672</v>
      </c>
      <c r="E138" s="306">
        <v>680939.69</v>
      </c>
      <c r="F138" s="303">
        <f>Table3[[#This Row],[Mid 146]]*4.5%/360</f>
        <v>85.117461249999991</v>
      </c>
      <c r="G138" s="305">
        <v>2073293.18</v>
      </c>
      <c r="H138" s="303">
        <f>'Bank Int.'!$G138*0.5%/360</f>
        <v>28.795738611111108</v>
      </c>
      <c r="I138" s="465">
        <v>40382.120000000003</v>
      </c>
      <c r="J138" s="307">
        <f>'Bank Int.'!$I138*6.5%/360</f>
        <v>7.2912161111111118</v>
      </c>
      <c r="K138" s="468">
        <v>43214.87</v>
      </c>
      <c r="L138" s="467">
        <f>'Bank Int.'!$K138*6.5%/360</f>
        <v>7.8026848611111115</v>
      </c>
      <c r="M138" s="451">
        <v>57798.2</v>
      </c>
      <c r="N138" s="452">
        <f>'Bank Int.'!$M138*8%/360</f>
        <v>12.844044444444444</v>
      </c>
    </row>
    <row r="139" spans="1:14" ht="22.5" customHeight="1" x14ac:dyDescent="0.25">
      <c r="A139" s="257"/>
      <c r="B139" s="253">
        <f t="shared" si="11"/>
        <v>45979</v>
      </c>
      <c r="C139" s="298">
        <v>1692809.74</v>
      </c>
      <c r="D139" s="295">
        <f>'Bank Int.'!$C139*7.5%/360</f>
        <v>352.66869583333329</v>
      </c>
      <c r="E139" s="306">
        <v>20680939.690000001</v>
      </c>
      <c r="F139" s="303">
        <f>Table3[[#This Row],[Mid 146]]*4.5%/360</f>
        <v>2585.1174612499999</v>
      </c>
      <c r="G139" s="305">
        <v>2073293.18</v>
      </c>
      <c r="H139" s="303">
        <f>'Bank Int.'!$G139*0.5%/360</f>
        <v>28.795738611111108</v>
      </c>
      <c r="I139" s="465">
        <v>40382.120000000003</v>
      </c>
      <c r="J139" s="307">
        <f>'Bank Int.'!$I139*6.5%/360</f>
        <v>7.2912161111111118</v>
      </c>
      <c r="K139" s="468">
        <v>43214.87</v>
      </c>
      <c r="L139" s="467">
        <f>'Bank Int.'!$K139*6.5%/360</f>
        <v>7.8026848611111115</v>
      </c>
      <c r="M139" s="451">
        <v>57798.2</v>
      </c>
      <c r="N139" s="452">
        <f>'Bank Int.'!$M139*8%/360</f>
        <v>12.844044444444444</v>
      </c>
    </row>
    <row r="140" spans="1:14" ht="22.5" customHeight="1" x14ac:dyDescent="0.25">
      <c r="A140" s="257"/>
      <c r="B140" s="253">
        <f t="shared" si="11"/>
        <v>45978</v>
      </c>
      <c r="C140" s="298">
        <v>1986141.57</v>
      </c>
      <c r="D140" s="295">
        <f>'Bank Int.'!$C140*7.5%/360</f>
        <v>413.77949375000003</v>
      </c>
      <c r="E140" s="306">
        <v>680940.55</v>
      </c>
      <c r="F140" s="303">
        <f>Table3[[#This Row],[Mid 146]]*4.5%/360</f>
        <v>85.117568750000004</v>
      </c>
      <c r="G140" s="305">
        <v>123293.18</v>
      </c>
      <c r="H140" s="303">
        <f>'Bank Int.'!$G140*0.5%/360</f>
        <v>1.7124052777777778</v>
      </c>
      <c r="I140" s="465">
        <v>40382.120000000003</v>
      </c>
      <c r="J140" s="307">
        <f>'Bank Int.'!$I140*6.5%/360</f>
        <v>7.2912161111111118</v>
      </c>
      <c r="K140" s="468">
        <v>43214.87</v>
      </c>
      <c r="L140" s="467">
        <f>'Bank Int.'!$K140*6.5%/360</f>
        <v>7.8026848611111115</v>
      </c>
      <c r="M140" s="451">
        <v>57798.2</v>
      </c>
      <c r="N140" s="452">
        <f>'Bank Int.'!$M140*8%/360</f>
        <v>12.844044444444444</v>
      </c>
    </row>
    <row r="141" spans="1:14" ht="22.5" customHeight="1" x14ac:dyDescent="0.25">
      <c r="A141" s="257"/>
      <c r="B141" s="253">
        <f t="shared" si="11"/>
        <v>45977</v>
      </c>
      <c r="C141" s="298">
        <v>759413.74</v>
      </c>
      <c r="D141" s="295">
        <f>'Bank Int.'!$C141*7.5%/360</f>
        <v>158.21119583333333</v>
      </c>
      <c r="E141" s="306">
        <v>5430230.9500000002</v>
      </c>
      <c r="F141" s="303">
        <f>Table3[[#This Row],[Mid 146]]*4.5%/360</f>
        <v>678.77886875000002</v>
      </c>
      <c r="G141" s="305">
        <v>123293.18</v>
      </c>
      <c r="H141" s="303">
        <f>'Bank Int.'!$G141*0.5%/360</f>
        <v>1.7124052777777778</v>
      </c>
      <c r="I141" s="465">
        <v>40382.120000000003</v>
      </c>
      <c r="J141" s="307">
        <f>'Bank Int.'!$I141*6.5%/360</f>
        <v>7.2912161111111118</v>
      </c>
      <c r="K141" s="468">
        <v>43214.87</v>
      </c>
      <c r="L141" s="467">
        <f>'Bank Int.'!$K141*6.5%/360</f>
        <v>7.8026848611111115</v>
      </c>
      <c r="M141" s="451">
        <v>57798.2</v>
      </c>
      <c r="N141" s="452">
        <f>'Bank Int.'!$M141*8%/360</f>
        <v>12.844044444444444</v>
      </c>
    </row>
    <row r="142" spans="1:14" ht="22.5" customHeight="1" x14ac:dyDescent="0.25">
      <c r="A142" s="257"/>
      <c r="B142" s="253">
        <v>45976</v>
      </c>
      <c r="C142" s="298">
        <v>1199028.74</v>
      </c>
      <c r="D142" s="295">
        <f>'Bank Int.'!$C142*7.5%/360</f>
        <v>249.79765416666666</v>
      </c>
      <c r="E142" s="306">
        <v>5259280.95</v>
      </c>
      <c r="F142" s="303">
        <f>Table3[[#This Row],[Mid 146]]*4.5%/360</f>
        <v>657.41011875000004</v>
      </c>
      <c r="G142" s="305">
        <v>8293.18</v>
      </c>
      <c r="H142" s="303">
        <f>'Bank Int.'!$G142*0.5%/360</f>
        <v>0.11518305555555557</v>
      </c>
      <c r="I142" s="465">
        <v>40382.120000000003</v>
      </c>
      <c r="J142" s="307">
        <f>'Bank Int.'!$I142*6.5%/360</f>
        <v>7.2912161111111118</v>
      </c>
      <c r="K142" s="468">
        <v>43214.87</v>
      </c>
      <c r="L142" s="467">
        <f>'Bank Int.'!$K142*6.5%/360</f>
        <v>7.8026848611111115</v>
      </c>
      <c r="M142" s="451">
        <v>57798.2</v>
      </c>
      <c r="N142" s="452">
        <f>'Bank Int.'!$M142*8%/360</f>
        <v>12.844044444444444</v>
      </c>
    </row>
    <row r="143" spans="1:14" ht="22.5" customHeight="1" x14ac:dyDescent="0.25">
      <c r="A143" s="257"/>
      <c r="B143" s="253">
        <f t="shared" ref="B143:B148" si="12">B142-1</f>
        <v>45975</v>
      </c>
      <c r="C143" s="298">
        <v>1199028.74</v>
      </c>
      <c r="D143" s="295">
        <f>'Bank Int.'!$C143*7.5%/360</f>
        <v>249.79765416666666</v>
      </c>
      <c r="E143" s="306">
        <v>5259280.95</v>
      </c>
      <c r="F143" s="303">
        <f>Table3[[#This Row],[Mid 146]]*4.5%/360</f>
        <v>657.41011875000004</v>
      </c>
      <c r="G143" s="305">
        <v>8293.18</v>
      </c>
      <c r="H143" s="303">
        <f>'Bank Int.'!$G143*0.5%/360</f>
        <v>0.11518305555555557</v>
      </c>
      <c r="I143" s="465">
        <v>40382.120000000003</v>
      </c>
      <c r="J143" s="307">
        <f>'Bank Int.'!$I143*6.5%/360</f>
        <v>7.2912161111111118</v>
      </c>
      <c r="K143" s="468">
        <v>43214.87</v>
      </c>
      <c r="L143" s="467">
        <f>'Bank Int.'!$K143*6.5%/360</f>
        <v>7.8026848611111115</v>
      </c>
      <c r="M143" s="451">
        <v>57798.2</v>
      </c>
      <c r="N143" s="452">
        <f>'Bank Int.'!$M143*8%/360</f>
        <v>12.844044444444444</v>
      </c>
    </row>
    <row r="144" spans="1:14" ht="22.5" customHeight="1" x14ac:dyDescent="0.25">
      <c r="A144" s="257"/>
      <c r="B144" s="253">
        <f t="shared" si="12"/>
        <v>45974</v>
      </c>
      <c r="C144" s="298">
        <v>1199028.74</v>
      </c>
      <c r="D144" s="295">
        <f>'Bank Int.'!$C144*7.5%/360</f>
        <v>249.79765416666666</v>
      </c>
      <c r="E144" s="306">
        <v>5259280.95</v>
      </c>
      <c r="F144" s="303">
        <f>Table3[[#This Row],[Mid 146]]*4.5%/360</f>
        <v>657.41011875000004</v>
      </c>
      <c r="G144" s="305">
        <v>8293.18</v>
      </c>
      <c r="H144" s="303">
        <f>'Bank Int.'!$G144*0.5%/360</f>
        <v>0.11518305555555557</v>
      </c>
      <c r="I144" s="465">
        <v>40382.120000000003</v>
      </c>
      <c r="J144" s="307">
        <f>'Bank Int.'!$I144*6.5%/360</f>
        <v>7.2912161111111118</v>
      </c>
      <c r="K144" s="468">
        <v>43214.87</v>
      </c>
      <c r="L144" s="467">
        <f>'Bank Int.'!$K144*6.5%/360</f>
        <v>7.8026848611111115</v>
      </c>
      <c r="M144" s="451">
        <v>57798.2</v>
      </c>
      <c r="N144" s="452">
        <f>'Bank Int.'!$M144*8%/360</f>
        <v>12.844044444444444</v>
      </c>
    </row>
    <row r="145" spans="1:14" ht="22.5" customHeight="1" x14ac:dyDescent="0.25">
      <c r="A145" s="257"/>
      <c r="B145" s="253">
        <f t="shared" si="12"/>
        <v>45973</v>
      </c>
      <c r="C145" s="298">
        <v>1199028.74</v>
      </c>
      <c r="D145" s="295">
        <f>'Bank Int.'!$C145*7.5%/360</f>
        <v>249.79765416666666</v>
      </c>
      <c r="E145" s="306">
        <v>416340.8</v>
      </c>
      <c r="F145" s="303">
        <f>Table3[[#This Row],[Mid 146]]*4.5%/360</f>
        <v>52.0426</v>
      </c>
      <c r="G145" s="305">
        <v>8293.18</v>
      </c>
      <c r="H145" s="303">
        <f>'Bank Int.'!$G145*0.5%/360</f>
        <v>0.11518305555555557</v>
      </c>
      <c r="I145" s="465">
        <v>40382.120000000003</v>
      </c>
      <c r="J145" s="307">
        <f>'Bank Int.'!$I145*6.5%/360</f>
        <v>7.2912161111111118</v>
      </c>
      <c r="K145" s="468">
        <v>43214.87</v>
      </c>
      <c r="L145" s="467">
        <f>'Bank Int.'!$K145*6.5%/360</f>
        <v>7.8026848611111115</v>
      </c>
      <c r="M145" s="451">
        <v>57798.2</v>
      </c>
      <c r="N145" s="452">
        <f>'Bank Int.'!$M145*8%/360</f>
        <v>12.844044444444444</v>
      </c>
    </row>
    <row r="146" spans="1:14" ht="22.5" customHeight="1" x14ac:dyDescent="0.25">
      <c r="A146" s="257"/>
      <c r="B146" s="253">
        <f t="shared" si="12"/>
        <v>45972</v>
      </c>
      <c r="C146" s="298">
        <v>1199028.74</v>
      </c>
      <c r="D146" s="295">
        <f>'Bank Int.'!$C146*7.5%/360</f>
        <v>249.79765416666666</v>
      </c>
      <c r="E146" s="306">
        <v>530719.97</v>
      </c>
      <c r="F146" s="303">
        <f>Table3[[#This Row],[Mid 146]]*4.5%/360</f>
        <v>66.339996249999999</v>
      </c>
      <c r="G146" s="305">
        <v>8293.18</v>
      </c>
      <c r="H146" s="303">
        <f>'Bank Int.'!$G146*0.5%/360</f>
        <v>0.11518305555555557</v>
      </c>
      <c r="I146" s="465">
        <v>40382.120000000003</v>
      </c>
      <c r="J146" s="307">
        <f>'Bank Int.'!$I146*6.5%/360</f>
        <v>7.2912161111111118</v>
      </c>
      <c r="K146" s="468">
        <v>43214.87</v>
      </c>
      <c r="L146" s="467">
        <f>'Bank Int.'!$K146*6.5%/360</f>
        <v>7.8026848611111115</v>
      </c>
      <c r="M146" s="451">
        <v>57798.2</v>
      </c>
      <c r="N146" s="452">
        <f>'Bank Int.'!$M146*8%/360</f>
        <v>12.844044444444444</v>
      </c>
    </row>
    <row r="147" spans="1:14" ht="22.5" customHeight="1" x14ac:dyDescent="0.25">
      <c r="A147" s="257"/>
      <c r="B147" s="253">
        <f t="shared" si="12"/>
        <v>45971</v>
      </c>
      <c r="C147" s="298">
        <v>3264304.06</v>
      </c>
      <c r="D147" s="295">
        <f>'Bank Int.'!$C147*7.5%/360</f>
        <v>680.0633458333333</v>
      </c>
      <c r="E147" s="306">
        <v>219569.97</v>
      </c>
      <c r="F147" s="303">
        <f>Table3[[#This Row],[Mid 146]]*4.5%/360</f>
        <v>27.446246249999998</v>
      </c>
      <c r="G147" s="305">
        <v>8293.18</v>
      </c>
      <c r="H147" s="303">
        <f>'Bank Int.'!$G147*0.5%/360</f>
        <v>0.11518305555555557</v>
      </c>
      <c r="I147" s="465">
        <v>40382.120000000003</v>
      </c>
      <c r="J147" s="307">
        <f>'Bank Int.'!$I147*6.5%/360</f>
        <v>7.2912161111111118</v>
      </c>
      <c r="K147" s="468">
        <v>43214.87</v>
      </c>
      <c r="L147" s="467">
        <f>'Bank Int.'!$K147*6.5%/360</f>
        <v>7.8026848611111115</v>
      </c>
      <c r="M147" s="451">
        <v>57798.2</v>
      </c>
      <c r="N147" s="452">
        <f>'Bank Int.'!$M147*8%/360</f>
        <v>12.844044444444444</v>
      </c>
    </row>
    <row r="148" spans="1:14" ht="22.5" customHeight="1" x14ac:dyDescent="0.25">
      <c r="A148" s="257"/>
      <c r="B148" s="253">
        <f t="shared" si="12"/>
        <v>45970</v>
      </c>
      <c r="C148" s="298">
        <v>348561.24</v>
      </c>
      <c r="D148" s="295">
        <f>'Bank Int.'!$C148*7.5%/360</f>
        <v>72.616924999999995</v>
      </c>
      <c r="E148" s="306">
        <v>118103.3</v>
      </c>
      <c r="F148" s="303">
        <f>Table3[[#This Row],[Mid 146]]*4.5%/360</f>
        <v>14.762912500000001</v>
      </c>
      <c r="G148" s="305">
        <v>273293.18</v>
      </c>
      <c r="H148" s="303">
        <f>'Bank Int.'!$G148*0.5%/360</f>
        <v>3.7957386111111111</v>
      </c>
      <c r="I148" s="465">
        <v>40382.120000000003</v>
      </c>
      <c r="J148" s="307">
        <f>'Bank Int.'!$I148*6.5%/360</f>
        <v>7.2912161111111118</v>
      </c>
      <c r="K148" s="468">
        <v>43214.87</v>
      </c>
      <c r="L148" s="467">
        <f>'Bank Int.'!$K148*6.5%/360</f>
        <v>7.8026848611111115</v>
      </c>
      <c r="M148" s="451">
        <v>57798.2</v>
      </c>
      <c r="N148" s="452">
        <f>'Bank Int.'!$M148*8%/360</f>
        <v>12.844044444444444</v>
      </c>
    </row>
    <row r="149" spans="1:14" ht="22.5" customHeight="1" x14ac:dyDescent="0.25">
      <c r="A149" s="257"/>
      <c r="B149" s="253">
        <v>45969</v>
      </c>
      <c r="C149" s="298">
        <v>29371.61</v>
      </c>
      <c r="D149" s="295">
        <f>'Bank Int.'!$C149*7.5%/360</f>
        <v>6.1190854166666666</v>
      </c>
      <c r="E149" s="306">
        <v>9603.81</v>
      </c>
      <c r="F149" s="303">
        <f>Table3[[#This Row],[Mid 146]]*4.5%/360</f>
        <v>1.2004762499999999</v>
      </c>
      <c r="G149" s="305">
        <v>271293.18</v>
      </c>
      <c r="H149" s="303">
        <f>'Bank Int.'!$G149*0.5%/360</f>
        <v>3.767960833333333</v>
      </c>
      <c r="I149" s="465">
        <v>40382.120000000003</v>
      </c>
      <c r="J149" s="307">
        <f>'Bank Int.'!$I149*6.5%/360</f>
        <v>7.2912161111111118</v>
      </c>
      <c r="K149" s="468">
        <v>43214.87</v>
      </c>
      <c r="L149" s="467">
        <f>'Bank Int.'!$K149*6.5%/360</f>
        <v>7.8026848611111115</v>
      </c>
      <c r="M149" s="451">
        <v>57798.2</v>
      </c>
      <c r="N149" s="452">
        <f>'Bank Int.'!$M149*8%/360</f>
        <v>12.844044444444444</v>
      </c>
    </row>
    <row r="150" spans="1:14" ht="22.5" customHeight="1" x14ac:dyDescent="0.25">
      <c r="A150" s="257"/>
      <c r="B150" s="253">
        <f t="shared" ref="B150:B155" si="13">B149-1</f>
        <v>45968</v>
      </c>
      <c r="C150" s="298">
        <v>29371.61</v>
      </c>
      <c r="D150" s="295">
        <f>'Bank Int.'!$C150*7.5%/360</f>
        <v>6.1190854166666666</v>
      </c>
      <c r="E150" s="306">
        <v>9603.81</v>
      </c>
      <c r="F150" s="303">
        <f>Table3[[#This Row],[Mid 146]]*4.5%/360</f>
        <v>1.2004762499999999</v>
      </c>
      <c r="G150" s="305">
        <v>271293.18</v>
      </c>
      <c r="H150" s="303">
        <f>'Bank Int.'!$G150*0.5%/360</f>
        <v>3.767960833333333</v>
      </c>
      <c r="I150" s="465">
        <v>40382.120000000003</v>
      </c>
      <c r="J150" s="307">
        <f>'Bank Int.'!$I150*6.5%/360</f>
        <v>7.2912161111111118</v>
      </c>
      <c r="K150" s="468">
        <v>43214.87</v>
      </c>
      <c r="L150" s="467">
        <f>'Bank Int.'!$K150*6.5%/360</f>
        <v>7.8026848611111115</v>
      </c>
      <c r="M150" s="451">
        <v>57798.2</v>
      </c>
      <c r="N150" s="452">
        <f>'Bank Int.'!$M150*8%/360</f>
        <v>12.844044444444444</v>
      </c>
    </row>
    <row r="151" spans="1:14" ht="22.5" customHeight="1" x14ac:dyDescent="0.25">
      <c r="A151" s="257"/>
      <c r="B151" s="253">
        <f t="shared" si="13"/>
        <v>45967</v>
      </c>
      <c r="C151" s="298">
        <v>29371.61</v>
      </c>
      <c r="D151" s="295">
        <f>'Bank Int.'!$C151*7.5%/360</f>
        <v>6.1190854166666666</v>
      </c>
      <c r="E151" s="306">
        <v>9603.81</v>
      </c>
      <c r="F151" s="303">
        <f>Table3[[#This Row],[Mid 146]]*4.5%/360</f>
        <v>1.2004762499999999</v>
      </c>
      <c r="G151" s="305">
        <v>271293.18</v>
      </c>
      <c r="H151" s="303">
        <f>'Bank Int.'!$G151*0.5%/360</f>
        <v>3.767960833333333</v>
      </c>
      <c r="I151" s="465">
        <v>40382.120000000003</v>
      </c>
      <c r="J151" s="307">
        <f>'Bank Int.'!$I151*6.5%/360</f>
        <v>7.2912161111111118</v>
      </c>
      <c r="K151" s="468">
        <v>43214.87</v>
      </c>
      <c r="L151" s="467">
        <f>'Bank Int.'!$K151*6.5%/360</f>
        <v>7.8026848611111115</v>
      </c>
      <c r="M151" s="451">
        <v>57798.2</v>
      </c>
      <c r="N151" s="452">
        <f>'Bank Int.'!$M151*8%/360</f>
        <v>12.844044444444444</v>
      </c>
    </row>
    <row r="152" spans="1:14" ht="22.5" customHeight="1" x14ac:dyDescent="0.25">
      <c r="A152" s="257"/>
      <c r="B152" s="253">
        <f t="shared" si="13"/>
        <v>45966</v>
      </c>
      <c r="C152" s="298">
        <v>4371.6099999999997</v>
      </c>
      <c r="D152" s="295">
        <f>'Bank Int.'!$C152*7.5%/360</f>
        <v>0.91075208333333335</v>
      </c>
      <c r="E152" s="306">
        <v>9603.81</v>
      </c>
      <c r="F152" s="303">
        <f>Table3[[#This Row],[Mid 146]]*4.5%/360</f>
        <v>1.2004762499999999</v>
      </c>
      <c r="G152" s="305">
        <v>301293.18</v>
      </c>
      <c r="H152" s="303">
        <f>'Bank Int.'!$G152*0.5%/360</f>
        <v>4.1846274999999995</v>
      </c>
      <c r="I152" s="465">
        <v>40382.120000000003</v>
      </c>
      <c r="J152" s="307">
        <f>'Bank Int.'!$I152*6.5%/360</f>
        <v>7.2912161111111118</v>
      </c>
      <c r="K152" s="468">
        <v>43214.87</v>
      </c>
      <c r="L152" s="467">
        <f>'Bank Int.'!$K152*6.5%/360</f>
        <v>7.8026848611111115</v>
      </c>
      <c r="M152" s="451">
        <v>57798.2</v>
      </c>
      <c r="N152" s="452">
        <f>'Bank Int.'!$M152*8%/360</f>
        <v>12.844044444444444</v>
      </c>
    </row>
    <row r="153" spans="1:14" ht="22.5" customHeight="1" x14ac:dyDescent="0.25">
      <c r="A153" s="257"/>
      <c r="B153" s="253">
        <f t="shared" si="13"/>
        <v>45965</v>
      </c>
      <c r="C153" s="298">
        <v>1435747.24</v>
      </c>
      <c r="D153" s="295">
        <f>'Bank Int.'!$C153*7.5%/360</f>
        <v>299.11400833333329</v>
      </c>
      <c r="E153" s="306">
        <v>609603.81000000006</v>
      </c>
      <c r="F153" s="303">
        <f>Table3[[#This Row],[Mid 146]]*4.5%/360</f>
        <v>76.200476250000008</v>
      </c>
      <c r="G153" s="305">
        <v>33293.18</v>
      </c>
      <c r="H153" s="303">
        <f>'Bank Int.'!$G153*0.5%/360</f>
        <v>0.46240527777777779</v>
      </c>
      <c r="I153" s="465">
        <v>40382.120000000003</v>
      </c>
      <c r="J153" s="307">
        <f>'Bank Int.'!$I153*6.5%/360</f>
        <v>7.2912161111111118</v>
      </c>
      <c r="K153" s="468">
        <v>43214.87</v>
      </c>
      <c r="L153" s="467">
        <f>'Bank Int.'!$K153*6.5%/360</f>
        <v>7.8026848611111115</v>
      </c>
      <c r="M153" s="451">
        <v>57798.2</v>
      </c>
      <c r="N153" s="452">
        <f>'Bank Int.'!$M153*8%/360</f>
        <v>12.844044444444444</v>
      </c>
    </row>
    <row r="154" spans="1:14" ht="22.5" customHeight="1" x14ac:dyDescent="0.25">
      <c r="A154" s="257"/>
      <c r="B154" s="253">
        <f t="shared" si="13"/>
        <v>45964</v>
      </c>
      <c r="C154" s="298">
        <v>1435747.24</v>
      </c>
      <c r="D154" s="295">
        <f>'Bank Int.'!$C154*7.5%/360</f>
        <v>299.11400833333329</v>
      </c>
      <c r="E154" s="306">
        <v>467470.57</v>
      </c>
      <c r="F154" s="303">
        <f>Table3[[#This Row],[Mid 146]]*4.5%/360</f>
        <v>58.433821250000001</v>
      </c>
      <c r="G154" s="305">
        <v>33293.18</v>
      </c>
      <c r="H154" s="303">
        <f>'Bank Int.'!$G154*0.5%/360</f>
        <v>0.46240527777777779</v>
      </c>
      <c r="I154" s="465">
        <v>40382.120000000003</v>
      </c>
      <c r="J154" s="307">
        <f>'Bank Int.'!$I154*6.5%/360</f>
        <v>7.2912161111111118</v>
      </c>
      <c r="K154" s="468">
        <v>43214.87</v>
      </c>
      <c r="L154" s="467">
        <f>'Bank Int.'!$K154*6.5%/360</f>
        <v>7.8026848611111115</v>
      </c>
      <c r="M154" s="451">
        <v>57798.2</v>
      </c>
      <c r="N154" s="452">
        <f>'Bank Int.'!$M154*8%/360</f>
        <v>12.844044444444444</v>
      </c>
    </row>
    <row r="155" spans="1:14" ht="22.5" customHeight="1" x14ac:dyDescent="0.25">
      <c r="A155" s="257"/>
      <c r="B155" s="253">
        <f t="shared" si="13"/>
        <v>45963</v>
      </c>
      <c r="C155" s="298">
        <v>980160.83</v>
      </c>
      <c r="D155" s="295">
        <f>'Bank Int.'!$C155*7.5%/360</f>
        <v>204.20017291666665</v>
      </c>
      <c r="E155" s="306">
        <v>2468470.5699999998</v>
      </c>
      <c r="F155" s="303">
        <f>Table3[[#This Row],[Mid 146]]*4.5%/360</f>
        <v>308.55882124999999</v>
      </c>
      <c r="G155" s="305">
        <v>33293.18</v>
      </c>
      <c r="H155" s="303">
        <f>'Bank Int.'!$G155*0.5%/360</f>
        <v>0.46240527777777779</v>
      </c>
      <c r="I155" s="465">
        <v>40382.120000000003</v>
      </c>
      <c r="J155" s="307">
        <f>'Bank Int.'!$I155*6.5%/360</f>
        <v>7.2912161111111118</v>
      </c>
      <c r="K155" s="468">
        <v>43214.87</v>
      </c>
      <c r="L155" s="467">
        <f>'Bank Int.'!$K155*6.5%/360</f>
        <v>7.8026848611111115</v>
      </c>
      <c r="M155" s="451">
        <v>57798.2</v>
      </c>
      <c r="N155" s="452">
        <f>'Bank Int.'!$M155*8%/360</f>
        <v>12.844044444444444</v>
      </c>
    </row>
    <row r="156" spans="1:14" ht="22.5" customHeight="1" x14ac:dyDescent="0.25">
      <c r="A156" s="257"/>
      <c r="B156" s="253">
        <v>45962</v>
      </c>
      <c r="C156" s="298">
        <v>480270.83</v>
      </c>
      <c r="D156" s="295">
        <f>'Bank Int.'!$C156*7.5%/360</f>
        <v>100.05642291666668</v>
      </c>
      <c r="E156" s="306">
        <v>4468470.57</v>
      </c>
      <c r="F156" s="303">
        <f>Table3[[#This Row],[Mid 146]]*4.5%/360</f>
        <v>558.55882125000005</v>
      </c>
      <c r="G156" s="305">
        <v>37613.18</v>
      </c>
      <c r="H156" s="303">
        <f>'Bank Int.'!$G156*0.5%/360</f>
        <v>0.52240527777777779</v>
      </c>
      <c r="I156" s="465">
        <v>40382.120000000003</v>
      </c>
      <c r="J156" s="307">
        <f>'Bank Int.'!$I156*6.5%/360</f>
        <v>7.2912161111111118</v>
      </c>
      <c r="K156" s="468">
        <v>43214.87</v>
      </c>
      <c r="L156" s="467">
        <f>'Bank Int.'!$K156*6.5%/360</f>
        <v>7.8026848611111115</v>
      </c>
      <c r="M156" s="451">
        <v>57798.2</v>
      </c>
      <c r="N156" s="452">
        <f>'Bank Int.'!$M156*8%/360</f>
        <v>12.844044444444444</v>
      </c>
    </row>
    <row r="157" spans="1:14" ht="22.5" customHeight="1" x14ac:dyDescent="0.25">
      <c r="A157" s="257"/>
      <c r="B157" s="253">
        <f t="shared" ref="B157:B162" si="14">B156-1</f>
        <v>45961</v>
      </c>
      <c r="C157" s="298">
        <v>480270.83</v>
      </c>
      <c r="D157" s="295">
        <f>'Bank Int.'!$C157*7.5%/360</f>
        <v>100.05642291666668</v>
      </c>
      <c r="E157" s="306">
        <v>4468470.57</v>
      </c>
      <c r="F157" s="303">
        <f>Table3[[#This Row],[Mid 146]]*4.5%/360</f>
        <v>558.55882125000005</v>
      </c>
      <c r="G157" s="305">
        <v>37613.18</v>
      </c>
      <c r="H157" s="303">
        <f>'Bank Int.'!$G157*0.5%/360</f>
        <v>0.52240527777777779</v>
      </c>
      <c r="I157" s="465">
        <v>40382.120000000003</v>
      </c>
      <c r="J157" s="307">
        <f>'Bank Int.'!$I157*6.5%/360</f>
        <v>7.2912161111111118</v>
      </c>
      <c r="K157" s="468">
        <v>43214.87</v>
      </c>
      <c r="L157" s="467">
        <f>'Bank Int.'!$K157*6.5%/360</f>
        <v>7.8026848611111115</v>
      </c>
      <c r="M157" s="451">
        <v>57798.2</v>
      </c>
      <c r="N157" s="452">
        <f>'Bank Int.'!$M157*8%/360</f>
        <v>12.844044444444444</v>
      </c>
    </row>
    <row r="158" spans="1:14" ht="22.5" customHeight="1" x14ac:dyDescent="0.25">
      <c r="A158" s="257"/>
      <c r="B158" s="253">
        <f t="shared" si="14"/>
        <v>45960</v>
      </c>
      <c r="C158" s="298">
        <v>480270.83</v>
      </c>
      <c r="D158" s="295">
        <f>'Bank Int.'!$C158*7.5%/360</f>
        <v>100.05642291666668</v>
      </c>
      <c r="E158" s="306">
        <v>4468470.57</v>
      </c>
      <c r="F158" s="303">
        <f>Table3[[#This Row],[Mid 146]]*4.5%/360</f>
        <v>558.55882125000005</v>
      </c>
      <c r="G158" s="305">
        <v>37613.18</v>
      </c>
      <c r="H158" s="303">
        <f>'Bank Int.'!$G158*0.5%/360</f>
        <v>0.52240527777777779</v>
      </c>
      <c r="I158" s="465">
        <v>40382.120000000003</v>
      </c>
      <c r="J158" s="307">
        <f>'Bank Int.'!$I158*6.5%/360</f>
        <v>7.2912161111111118</v>
      </c>
      <c r="K158" s="468">
        <v>43214.87</v>
      </c>
      <c r="L158" s="467">
        <f>'Bank Int.'!$K158*6.5%/360</f>
        <v>7.8026848611111115</v>
      </c>
      <c r="M158" s="451">
        <v>57798.2</v>
      </c>
      <c r="N158" s="452">
        <f>'Bank Int.'!$M158*8%/360</f>
        <v>12.844044444444444</v>
      </c>
    </row>
    <row r="159" spans="1:14" ht="22.5" customHeight="1" x14ac:dyDescent="0.25">
      <c r="A159" s="257"/>
      <c r="B159" s="253">
        <f t="shared" si="14"/>
        <v>45959</v>
      </c>
      <c r="C159" s="298">
        <v>1428620.83</v>
      </c>
      <c r="D159" s="295">
        <f>'Bank Int.'!$C159*7.5%/360</f>
        <v>297.62933958333332</v>
      </c>
      <c r="E159" s="306">
        <v>962349.95</v>
      </c>
      <c r="F159" s="303">
        <f>Table3[[#This Row],[Mid 146]]*4.5%/360</f>
        <v>120.29374374999999</v>
      </c>
      <c r="G159" s="305">
        <v>37613.18</v>
      </c>
      <c r="H159" s="303">
        <f>'Bank Int.'!$G159*0.5%/360</f>
        <v>0.52240527777777779</v>
      </c>
      <c r="I159" s="465">
        <v>40382.120000000003</v>
      </c>
      <c r="J159" s="307">
        <f>'Bank Int.'!$I159*6.5%/360</f>
        <v>7.2912161111111118</v>
      </c>
      <c r="K159" s="468">
        <v>43214.87</v>
      </c>
      <c r="L159" s="467">
        <f>'Bank Int.'!$K159*6.5%/360</f>
        <v>7.8026848611111115</v>
      </c>
      <c r="M159" s="451">
        <v>57798.2</v>
      </c>
      <c r="N159" s="452">
        <f>'Bank Int.'!$M159*8%/360</f>
        <v>12.844044444444444</v>
      </c>
    </row>
    <row r="160" spans="1:14" ht="22.5" customHeight="1" x14ac:dyDescent="0.25">
      <c r="A160" s="257"/>
      <c r="B160" s="253">
        <f t="shared" si="14"/>
        <v>45958</v>
      </c>
      <c r="C160" s="298">
        <v>1428620.83</v>
      </c>
      <c r="D160" s="295">
        <f>'Bank Int.'!$C160*7.5%/360</f>
        <v>297.62933958333332</v>
      </c>
      <c r="E160" s="306">
        <v>962349.95</v>
      </c>
      <c r="F160" s="303">
        <f>Table3[[#This Row],[Mid 146]]*4.5%/360</f>
        <v>120.29374374999999</v>
      </c>
      <c r="G160" s="305">
        <v>37613.18</v>
      </c>
      <c r="H160" s="303">
        <f>'Bank Int.'!$G160*0.5%/360</f>
        <v>0.52240527777777779</v>
      </c>
      <c r="I160" s="465">
        <v>40382.120000000003</v>
      </c>
      <c r="J160" s="307">
        <f>'Bank Int.'!$I160*6.5%/360</f>
        <v>7.2912161111111118</v>
      </c>
      <c r="K160" s="468">
        <v>43214.87</v>
      </c>
      <c r="L160" s="467">
        <f>'Bank Int.'!$K160*6.5%/360</f>
        <v>7.8026848611111115</v>
      </c>
      <c r="M160" s="451">
        <v>57798.2</v>
      </c>
      <c r="N160" s="452">
        <f>'Bank Int.'!$M160*8%/360</f>
        <v>12.844044444444444</v>
      </c>
    </row>
    <row r="161" spans="1:14" ht="22.5" customHeight="1" x14ac:dyDescent="0.25">
      <c r="A161" s="257"/>
      <c r="B161" s="253">
        <f t="shared" si="14"/>
        <v>45957</v>
      </c>
      <c r="C161" s="298">
        <v>1521628.44</v>
      </c>
      <c r="D161" s="295">
        <f>'Bank Int.'!$C161*7.5%/360</f>
        <v>317.00592499999999</v>
      </c>
      <c r="E161" s="306">
        <v>10962549.949999999</v>
      </c>
      <c r="F161" s="303">
        <f>Table3[[#This Row],[Mid 146]]*4.5%/360</f>
        <v>1370.3187437499998</v>
      </c>
      <c r="G161" s="305">
        <v>37613.18</v>
      </c>
      <c r="H161" s="303">
        <f>'Bank Int.'!$G161*0.5%/360</f>
        <v>0.52240527777777779</v>
      </c>
      <c r="I161" s="465">
        <v>40382.120000000003</v>
      </c>
      <c r="J161" s="307">
        <f>'Bank Int.'!$I161*6.5%/360</f>
        <v>7.2912161111111118</v>
      </c>
      <c r="K161" s="468">
        <v>43214.87</v>
      </c>
      <c r="L161" s="467">
        <f>'Bank Int.'!$K161*6.5%/360</f>
        <v>7.8026848611111115</v>
      </c>
      <c r="M161" s="451">
        <v>57798.2</v>
      </c>
      <c r="N161" s="452">
        <f>'Bank Int.'!$M161*8%/360</f>
        <v>12.844044444444444</v>
      </c>
    </row>
    <row r="162" spans="1:14" ht="22.5" customHeight="1" x14ac:dyDescent="0.25">
      <c r="A162" s="257"/>
      <c r="B162" s="253">
        <f t="shared" si="14"/>
        <v>45956</v>
      </c>
      <c r="C162" s="298">
        <v>1071686.44</v>
      </c>
      <c r="D162" s="295">
        <f>'Bank Int.'!$C162*7.5%/360</f>
        <v>223.26800833333331</v>
      </c>
      <c r="E162" s="306">
        <v>1962448.38</v>
      </c>
      <c r="F162" s="303">
        <f>Table3[[#This Row],[Mid 146]]*4.5%/360</f>
        <v>245.30604749999995</v>
      </c>
      <c r="G162" s="305">
        <v>37613.18</v>
      </c>
      <c r="H162" s="303">
        <f>'Bank Int.'!$G162*0.5%/360</f>
        <v>0.52240527777777779</v>
      </c>
      <c r="I162" s="465">
        <v>40382.120000000003</v>
      </c>
      <c r="J162" s="307">
        <f>'Bank Int.'!$I162*6.5%/360</f>
        <v>7.2912161111111118</v>
      </c>
      <c r="K162" s="468">
        <v>43214.87</v>
      </c>
      <c r="L162" s="467">
        <f>'Bank Int.'!$K162*6.5%/360</f>
        <v>7.8026848611111115</v>
      </c>
      <c r="M162" s="451">
        <v>57798.2</v>
      </c>
      <c r="N162" s="452">
        <f>'Bank Int.'!$M162*8%/360</f>
        <v>12.844044444444444</v>
      </c>
    </row>
    <row r="163" spans="1:14" ht="22.5" customHeight="1" x14ac:dyDescent="0.25">
      <c r="A163" s="257"/>
      <c r="B163" s="253">
        <v>45955</v>
      </c>
      <c r="C163" s="298">
        <v>821696.44</v>
      </c>
      <c r="D163" s="295">
        <f>'Bank Int.'!$C163*7.5%/360</f>
        <v>171.1867583333333</v>
      </c>
      <c r="E163" s="306">
        <v>2610697.02</v>
      </c>
      <c r="F163" s="303">
        <f>Table3[[#This Row],[Mid 146]]*4.5%/360</f>
        <v>326.33712749999995</v>
      </c>
      <c r="G163" s="305">
        <v>37613.18</v>
      </c>
      <c r="H163" s="303">
        <f>'Bank Int.'!$G163*0.5%/360</f>
        <v>0.52240527777777779</v>
      </c>
      <c r="I163" s="465">
        <v>40382.120000000003</v>
      </c>
      <c r="J163" s="307">
        <f>'Bank Int.'!$I163*6.5%/360</f>
        <v>7.2912161111111118</v>
      </c>
      <c r="K163" s="468">
        <v>43214.87</v>
      </c>
      <c r="L163" s="467">
        <f>'Bank Int.'!$K163*6.5%/360</f>
        <v>7.8026848611111115</v>
      </c>
      <c r="M163" s="451">
        <v>57798.2</v>
      </c>
      <c r="N163" s="452">
        <f>'Bank Int.'!$M163*8%/360</f>
        <v>12.844044444444444</v>
      </c>
    </row>
    <row r="164" spans="1:14" ht="22.5" customHeight="1" x14ac:dyDescent="0.25">
      <c r="A164" s="257"/>
      <c r="B164" s="253">
        <f t="shared" ref="B164:B169" si="15">B163-1</f>
        <v>45954</v>
      </c>
      <c r="C164" s="298">
        <v>821696.44</v>
      </c>
      <c r="D164" s="295">
        <f>'Bank Int.'!$C164*7.5%/360</f>
        <v>171.1867583333333</v>
      </c>
      <c r="E164" s="306">
        <v>2610697.02</v>
      </c>
      <c r="F164" s="303">
        <f>Table3[[#This Row],[Mid 146]]*4.5%/360</f>
        <v>326.33712749999995</v>
      </c>
      <c r="G164" s="305">
        <v>37613.18</v>
      </c>
      <c r="H164" s="303">
        <f>'Bank Int.'!$G164*0.5%/360</f>
        <v>0.52240527777777779</v>
      </c>
      <c r="I164" s="465">
        <v>40382.120000000003</v>
      </c>
      <c r="J164" s="307">
        <f>'Bank Int.'!$I164*6.5%/360</f>
        <v>7.2912161111111118</v>
      </c>
      <c r="K164" s="468">
        <v>43214.87</v>
      </c>
      <c r="L164" s="467">
        <f>'Bank Int.'!$K164*6.5%/360</f>
        <v>7.8026848611111115</v>
      </c>
      <c r="M164" s="451">
        <v>57798.2</v>
      </c>
      <c r="N164" s="452">
        <f>'Bank Int.'!$M164*8%/360</f>
        <v>12.844044444444444</v>
      </c>
    </row>
    <row r="165" spans="1:14" ht="22.5" customHeight="1" x14ac:dyDescent="0.25">
      <c r="A165" s="257"/>
      <c r="B165" s="253">
        <f t="shared" si="15"/>
        <v>45953</v>
      </c>
      <c r="C165" s="298">
        <v>821696.44</v>
      </c>
      <c r="D165" s="295">
        <f>'Bank Int.'!$C165*7.5%/360</f>
        <v>171.1867583333333</v>
      </c>
      <c r="E165" s="306">
        <v>2610697.02</v>
      </c>
      <c r="F165" s="303">
        <f>Table3[[#This Row],[Mid 146]]*4.5%/360</f>
        <v>326.33712749999995</v>
      </c>
      <c r="G165" s="305">
        <v>37613.18</v>
      </c>
      <c r="H165" s="303">
        <f>'Bank Int.'!$G165*0.5%/360</f>
        <v>0.52240527777777779</v>
      </c>
      <c r="I165" s="465">
        <v>40382.120000000003</v>
      </c>
      <c r="J165" s="307">
        <f>'Bank Int.'!$I165*6.5%/360</f>
        <v>7.2912161111111118</v>
      </c>
      <c r="K165" s="468">
        <v>43214.87</v>
      </c>
      <c r="L165" s="467">
        <f>'Bank Int.'!$K165*6.5%/360</f>
        <v>7.8026848611111115</v>
      </c>
      <c r="M165" s="451">
        <v>57798.2</v>
      </c>
      <c r="N165" s="452">
        <f>'Bank Int.'!$M165*8%/360</f>
        <v>12.844044444444444</v>
      </c>
    </row>
    <row r="166" spans="1:14" ht="22.5" customHeight="1" x14ac:dyDescent="0.25">
      <c r="A166" s="257"/>
      <c r="B166" s="253">
        <f t="shared" si="15"/>
        <v>45952</v>
      </c>
      <c r="C166" s="298">
        <v>92710.29</v>
      </c>
      <c r="D166" s="295">
        <f>'Bank Int.'!$C166*7.5%/360</f>
        <v>19.314643749999998</v>
      </c>
      <c r="E166" s="306">
        <v>3110697.02</v>
      </c>
      <c r="F166" s="303">
        <f>Table3[[#This Row],[Mid 146]]*4.5%/360</f>
        <v>388.83712750000001</v>
      </c>
      <c r="G166" s="305">
        <v>747613.18</v>
      </c>
      <c r="H166" s="303">
        <f>'Bank Int.'!$G166*0.5%/360</f>
        <v>10.383516388888891</v>
      </c>
      <c r="I166" s="465">
        <v>40382.120000000003</v>
      </c>
      <c r="J166" s="307">
        <f>'Bank Int.'!$I166*6.5%/360</f>
        <v>7.2912161111111118</v>
      </c>
      <c r="K166" s="468">
        <v>43214.87</v>
      </c>
      <c r="L166" s="467">
        <f>'Bank Int.'!$K166*6.5%/360</f>
        <v>7.8026848611111115</v>
      </c>
      <c r="M166" s="451">
        <v>57798.2</v>
      </c>
      <c r="N166" s="452">
        <f>'Bank Int.'!$M166*8%/360</f>
        <v>12.844044444444444</v>
      </c>
    </row>
    <row r="167" spans="1:14" ht="22.5" customHeight="1" x14ac:dyDescent="0.25">
      <c r="A167" s="257"/>
      <c r="B167" s="253">
        <f t="shared" si="15"/>
        <v>45951</v>
      </c>
      <c r="C167" s="298">
        <v>2092910.62</v>
      </c>
      <c r="D167" s="295">
        <f>'Bank Int.'!$C167*7.5%/360</f>
        <v>436.0230458333333</v>
      </c>
      <c r="E167" s="306">
        <v>2462927.16</v>
      </c>
      <c r="F167" s="303">
        <f>Table3[[#This Row],[Mid 146]]*4.5%/360</f>
        <v>307.86589500000002</v>
      </c>
      <c r="G167" s="305">
        <v>747613.18</v>
      </c>
      <c r="H167" s="303">
        <f>'Bank Int.'!$G167*0.5%/360</f>
        <v>10.383516388888891</v>
      </c>
      <c r="I167" s="465">
        <v>40382.120000000003</v>
      </c>
      <c r="J167" s="307">
        <f>'Bank Int.'!$I167*6.5%/360</f>
        <v>7.2912161111111118</v>
      </c>
      <c r="K167" s="468">
        <v>43214.87</v>
      </c>
      <c r="L167" s="467">
        <f>'Bank Int.'!$K167*6.5%/360</f>
        <v>7.8026848611111115</v>
      </c>
      <c r="M167" s="451">
        <v>57798.2</v>
      </c>
      <c r="N167" s="452">
        <f>'Bank Int.'!$M167*8%/360</f>
        <v>12.844044444444444</v>
      </c>
    </row>
    <row r="168" spans="1:14" ht="22.5" customHeight="1" x14ac:dyDescent="0.25">
      <c r="A168" s="257"/>
      <c r="B168" s="253">
        <f t="shared" si="15"/>
        <v>45950</v>
      </c>
      <c r="C168" s="298">
        <v>3130706.39</v>
      </c>
      <c r="D168" s="295">
        <f>'Bank Int.'!$C168*7.5%/360</f>
        <v>652.23049791666665</v>
      </c>
      <c r="E168" s="306">
        <v>2462927.16</v>
      </c>
      <c r="F168" s="303">
        <f>Table3[[#This Row],[Mid 146]]*4.5%/360</f>
        <v>307.86589500000002</v>
      </c>
      <c r="G168" s="305">
        <v>747613.18</v>
      </c>
      <c r="H168" s="303">
        <f>'Bank Int.'!$G168*0.5%/360</f>
        <v>10.383516388888891</v>
      </c>
      <c r="I168" s="465">
        <v>40382.120000000003</v>
      </c>
      <c r="J168" s="307">
        <f>'Bank Int.'!$I168*6.5%/360</f>
        <v>7.2912161111111118</v>
      </c>
      <c r="K168" s="468">
        <v>43214.87</v>
      </c>
      <c r="L168" s="467">
        <f>'Bank Int.'!$K168*6.5%/360</f>
        <v>7.8026848611111115</v>
      </c>
      <c r="M168" s="451">
        <v>57798.2</v>
      </c>
      <c r="N168" s="452">
        <f>'Bank Int.'!$M168*8%/360</f>
        <v>12.844044444444444</v>
      </c>
    </row>
    <row r="169" spans="1:14" ht="22.5" customHeight="1" x14ac:dyDescent="0.25">
      <c r="A169" s="257"/>
      <c r="B169" s="253">
        <f t="shared" si="15"/>
        <v>45949</v>
      </c>
      <c r="C169" s="298">
        <v>1030706.39</v>
      </c>
      <c r="D169" s="295">
        <f>'Bank Int.'!$C169*7.5%/360</f>
        <v>214.73049791666668</v>
      </c>
      <c r="E169" s="306">
        <v>2462927.16</v>
      </c>
      <c r="F169" s="303">
        <f>Table3[[#This Row],[Mid 146]]*4.5%/360</f>
        <v>307.86589500000002</v>
      </c>
      <c r="G169" s="305">
        <v>1732613.18</v>
      </c>
      <c r="H169" s="303">
        <f>'Bank Int.'!$G169*0.5%/360</f>
        <v>24.064071944444443</v>
      </c>
      <c r="I169" s="465">
        <v>40382.120000000003</v>
      </c>
      <c r="J169" s="307">
        <f>'Bank Int.'!$I169*6.5%/360</f>
        <v>7.2912161111111118</v>
      </c>
      <c r="K169" s="468">
        <v>43214.87</v>
      </c>
      <c r="L169" s="467">
        <f>'Bank Int.'!$K169*6.5%/360</f>
        <v>7.8026848611111115</v>
      </c>
      <c r="M169" s="451">
        <v>57798.2</v>
      </c>
      <c r="N169" s="452">
        <f>'Bank Int.'!$M169*8%/360</f>
        <v>12.844044444444444</v>
      </c>
    </row>
    <row r="170" spans="1:14" ht="22.5" customHeight="1" x14ac:dyDescent="0.25">
      <c r="A170" s="257"/>
      <c r="B170" s="253">
        <v>45948</v>
      </c>
      <c r="C170" s="298">
        <v>2092321.71</v>
      </c>
      <c r="D170" s="295">
        <f>'Bank Int.'!$C170*7.5%/360</f>
        <v>435.90035624999996</v>
      </c>
      <c r="E170" s="306">
        <v>433877.16</v>
      </c>
      <c r="F170" s="303">
        <f>Table3[[#This Row],[Mid 146]]*4.5%/360</f>
        <v>54.234644999999993</v>
      </c>
      <c r="G170" s="305">
        <v>1732613.18</v>
      </c>
      <c r="H170" s="303">
        <f>'Bank Int.'!$G170*0.5%/360</f>
        <v>24.064071944444443</v>
      </c>
      <c r="I170" s="465">
        <v>40382.120000000003</v>
      </c>
      <c r="J170" s="307">
        <f>'Bank Int.'!$I170*6.5%/360</f>
        <v>7.2912161111111118</v>
      </c>
      <c r="K170" s="468">
        <v>43214.87</v>
      </c>
      <c r="L170" s="467">
        <f>'Bank Int.'!$K170*6.5%/360</f>
        <v>7.8026848611111115</v>
      </c>
      <c r="M170" s="451">
        <v>57798.2</v>
      </c>
      <c r="N170" s="452">
        <f>'Bank Int.'!$M170*8%/360</f>
        <v>12.844044444444444</v>
      </c>
    </row>
    <row r="171" spans="1:14" ht="22.5" customHeight="1" x14ac:dyDescent="0.25">
      <c r="A171" s="257"/>
      <c r="B171" s="253">
        <f t="shared" ref="B171:B176" si="16">B170-1</f>
        <v>45947</v>
      </c>
      <c r="C171" s="298">
        <v>2092321.71</v>
      </c>
      <c r="D171" s="295">
        <f>'Bank Int.'!$C171*7.5%/360</f>
        <v>435.90035624999996</v>
      </c>
      <c r="E171" s="306">
        <v>433877.16</v>
      </c>
      <c r="F171" s="303">
        <f>Table3[[#This Row],[Mid 146]]*4.5%/360</f>
        <v>54.234644999999993</v>
      </c>
      <c r="G171" s="305">
        <v>1732613.18</v>
      </c>
      <c r="H171" s="303">
        <f>'Bank Int.'!$G171*0.5%/360</f>
        <v>24.064071944444443</v>
      </c>
      <c r="I171" s="465">
        <v>40382.120000000003</v>
      </c>
      <c r="J171" s="307">
        <f>'Bank Int.'!$I171*6.5%/360</f>
        <v>7.2912161111111118</v>
      </c>
      <c r="K171" s="468">
        <v>43214.87</v>
      </c>
      <c r="L171" s="467">
        <f>'Bank Int.'!$K171*6.5%/360</f>
        <v>7.8026848611111115</v>
      </c>
      <c r="M171" s="451">
        <v>57798.2</v>
      </c>
      <c r="N171" s="452">
        <f>'Bank Int.'!$M171*8%/360</f>
        <v>12.844044444444444</v>
      </c>
    </row>
    <row r="172" spans="1:14" ht="22.5" customHeight="1" x14ac:dyDescent="0.25">
      <c r="A172" s="257"/>
      <c r="B172" s="253">
        <f t="shared" si="16"/>
        <v>45946</v>
      </c>
      <c r="C172" s="298">
        <v>2092321.71</v>
      </c>
      <c r="D172" s="295">
        <f>'Bank Int.'!$C172*7.5%/360</f>
        <v>435.90035624999996</v>
      </c>
      <c r="E172" s="306">
        <v>433877.16</v>
      </c>
      <c r="F172" s="303">
        <f>Table3[[#This Row],[Mid 146]]*4.5%/360</f>
        <v>54.234644999999993</v>
      </c>
      <c r="G172" s="305">
        <v>1732613.18</v>
      </c>
      <c r="H172" s="303">
        <f>'Bank Int.'!$G172*0.5%/360</f>
        <v>24.064071944444443</v>
      </c>
      <c r="I172" s="465">
        <v>40382.120000000003</v>
      </c>
      <c r="J172" s="307">
        <f>'Bank Int.'!$I172*6.5%/360</f>
        <v>7.2912161111111118</v>
      </c>
      <c r="K172" s="468">
        <v>43214.87</v>
      </c>
      <c r="L172" s="467">
        <f>'Bank Int.'!$K172*6.5%/360</f>
        <v>7.8026848611111115</v>
      </c>
      <c r="M172" s="451">
        <v>57798.2</v>
      </c>
      <c r="N172" s="452">
        <f>'Bank Int.'!$M172*8%/360</f>
        <v>12.844044444444444</v>
      </c>
    </row>
    <row r="173" spans="1:14" ht="22.5" customHeight="1" x14ac:dyDescent="0.25">
      <c r="A173" s="257"/>
      <c r="B173" s="253">
        <f t="shared" si="16"/>
        <v>45945</v>
      </c>
      <c r="C173" s="298">
        <v>2421952.15</v>
      </c>
      <c r="D173" s="295">
        <f>'Bank Int.'!$C173*7.5%/360</f>
        <v>504.57336458333327</v>
      </c>
      <c r="E173" s="306">
        <v>5433877.1600000001</v>
      </c>
      <c r="F173" s="303">
        <f>Table3[[#This Row],[Mid 146]]*4.5%/360</f>
        <v>679.234645</v>
      </c>
      <c r="G173" s="305">
        <v>1732613.18</v>
      </c>
      <c r="H173" s="303">
        <f>'Bank Int.'!$G173*0.5%/360</f>
        <v>24.064071944444443</v>
      </c>
      <c r="I173" s="465">
        <v>40382.120000000003</v>
      </c>
      <c r="J173" s="307">
        <f>'Bank Int.'!$I173*6.5%/360</f>
        <v>7.2912161111111118</v>
      </c>
      <c r="K173" s="468">
        <v>43214.87</v>
      </c>
      <c r="L173" s="467">
        <f>'Bank Int.'!$K173*6.5%/360</f>
        <v>7.8026848611111115</v>
      </c>
      <c r="M173" s="451">
        <v>57798.2</v>
      </c>
      <c r="N173" s="452">
        <f>'Bank Int.'!$M173*8%/360</f>
        <v>12.844044444444444</v>
      </c>
    </row>
    <row r="174" spans="1:14" ht="22.5" customHeight="1" x14ac:dyDescent="0.25">
      <c r="A174" s="257"/>
      <c r="B174" s="253">
        <f t="shared" si="16"/>
        <v>45944</v>
      </c>
      <c r="C174" s="298">
        <v>2121962.15</v>
      </c>
      <c r="D174" s="295">
        <f>'Bank Int.'!$C174*7.5%/360</f>
        <v>442.07544791666658</v>
      </c>
      <c r="E174" s="306">
        <v>3407127.16</v>
      </c>
      <c r="F174" s="303">
        <f>Table3[[#This Row],[Mid 146]]*4.5%/360</f>
        <v>425.89089499999994</v>
      </c>
      <c r="G174" s="305">
        <v>1622613.18</v>
      </c>
      <c r="H174" s="303">
        <f>'Bank Int.'!$G174*0.5%/360</f>
        <v>22.536294166666664</v>
      </c>
      <c r="I174" s="465">
        <v>40382.120000000003</v>
      </c>
      <c r="J174" s="307">
        <f>'Bank Int.'!$I174*6.5%/360</f>
        <v>7.2912161111111118</v>
      </c>
      <c r="K174" s="468">
        <v>43214.87</v>
      </c>
      <c r="L174" s="467">
        <f>'Bank Int.'!$K174*6.5%/360</f>
        <v>7.8026848611111115</v>
      </c>
      <c r="M174" s="451">
        <v>57798.2</v>
      </c>
      <c r="N174" s="452">
        <f>'Bank Int.'!$M174*8%/360</f>
        <v>12.844044444444444</v>
      </c>
    </row>
    <row r="175" spans="1:14" ht="22.5" customHeight="1" x14ac:dyDescent="0.25">
      <c r="A175" s="257"/>
      <c r="B175" s="253">
        <f t="shared" si="16"/>
        <v>45943</v>
      </c>
      <c r="C175" s="298">
        <v>2621962.15</v>
      </c>
      <c r="D175" s="295">
        <f>'Bank Int.'!$C175*7.5%/360</f>
        <v>546.24211458333332</v>
      </c>
      <c r="E175" s="306">
        <v>3407127.16</v>
      </c>
      <c r="F175" s="303">
        <f>Table3[[#This Row],[Mid 146]]*4.5%/360</f>
        <v>425.89089499999994</v>
      </c>
      <c r="G175" s="305">
        <v>1592613.18</v>
      </c>
      <c r="H175" s="303">
        <f>'Bank Int.'!$G175*0.5%/360</f>
        <v>22.1196275</v>
      </c>
      <c r="I175" s="465">
        <v>40382.120000000003</v>
      </c>
      <c r="J175" s="307">
        <f>'Bank Int.'!$I175*6.5%/360</f>
        <v>7.2912161111111118</v>
      </c>
      <c r="K175" s="468">
        <v>43214.87</v>
      </c>
      <c r="L175" s="467">
        <f>'Bank Int.'!$K175*6.5%/360</f>
        <v>7.8026848611111115</v>
      </c>
      <c r="M175" s="451">
        <v>57798.2</v>
      </c>
      <c r="N175" s="452">
        <f>'Bank Int.'!$M175*8%/360</f>
        <v>12.844044444444444</v>
      </c>
    </row>
    <row r="176" spans="1:14" ht="22.5" customHeight="1" x14ac:dyDescent="0.25">
      <c r="A176" s="257"/>
      <c r="B176" s="253">
        <f t="shared" si="16"/>
        <v>45942</v>
      </c>
      <c r="C176" s="298">
        <v>2811030.53</v>
      </c>
      <c r="D176" s="295">
        <f>'Bank Int.'!$C176*7.5%/360</f>
        <v>585.63136041666655</v>
      </c>
      <c r="E176" s="306">
        <v>18102127.16</v>
      </c>
      <c r="F176" s="303">
        <f>Table3[[#This Row],[Mid 146]]*4.5%/360</f>
        <v>2262.765895</v>
      </c>
      <c r="G176" s="305">
        <v>1587613.18</v>
      </c>
      <c r="H176" s="303">
        <f>'Bank Int.'!$G176*0.5%/360</f>
        <v>22.050183055555554</v>
      </c>
      <c r="I176" s="465">
        <v>40382.120000000003</v>
      </c>
      <c r="J176" s="307">
        <f>'Bank Int.'!$I176*6.5%/360</f>
        <v>7.2912161111111118</v>
      </c>
      <c r="K176" s="468">
        <v>43214.87</v>
      </c>
      <c r="L176" s="467">
        <f>'Bank Int.'!$K176*6.5%/360</f>
        <v>7.8026848611111115</v>
      </c>
      <c r="M176" s="451">
        <v>57798.2</v>
      </c>
      <c r="N176" s="452">
        <f>'Bank Int.'!$M176*8%/360</f>
        <v>12.844044444444444</v>
      </c>
    </row>
    <row r="177" spans="1:14" ht="22.5" customHeight="1" x14ac:dyDescent="0.25">
      <c r="A177" s="257"/>
      <c r="B177" s="253">
        <v>45941</v>
      </c>
      <c r="C177" s="298">
        <v>4656140.53</v>
      </c>
      <c r="D177" s="295">
        <f>'Bank Int.'!$C177*7.5%/360</f>
        <v>970.02927708333334</v>
      </c>
      <c r="E177" s="306">
        <v>3638830.34</v>
      </c>
      <c r="F177" s="303">
        <f>Table3[[#This Row],[Mid 146]]*4.5%/360</f>
        <v>454.85379249999994</v>
      </c>
      <c r="G177" s="305">
        <v>1587613.18</v>
      </c>
      <c r="H177" s="303">
        <f>'Bank Int.'!$G177*0.5%/360</f>
        <v>22.050183055555554</v>
      </c>
      <c r="I177" s="465">
        <v>40382.120000000003</v>
      </c>
      <c r="J177" s="307">
        <f>'Bank Int.'!$I177*6.5%/360</f>
        <v>7.2912161111111118</v>
      </c>
      <c r="K177" s="468">
        <v>43214.87</v>
      </c>
      <c r="L177" s="467">
        <f>'Bank Int.'!$K177*6.5%/360</f>
        <v>7.8026848611111115</v>
      </c>
      <c r="M177" s="451">
        <v>57798.2</v>
      </c>
      <c r="N177" s="452">
        <f>'Bank Int.'!$M177*8%/360</f>
        <v>12.844044444444444</v>
      </c>
    </row>
    <row r="178" spans="1:14" ht="22.5" customHeight="1" x14ac:dyDescent="0.25">
      <c r="A178" s="257"/>
      <c r="B178" s="253">
        <f t="shared" ref="B178:B183" si="17">B177-1</f>
        <v>45940</v>
      </c>
      <c r="C178" s="298">
        <v>4656140.53</v>
      </c>
      <c r="D178" s="295">
        <f>'Bank Int.'!$C178*7.5%/360</f>
        <v>970.02927708333334</v>
      </c>
      <c r="E178" s="306">
        <v>3638830.34</v>
      </c>
      <c r="F178" s="303">
        <f>Table3[[#This Row],[Mid 146]]*4.5%/360</f>
        <v>454.85379249999994</v>
      </c>
      <c r="G178" s="305">
        <v>1587613.18</v>
      </c>
      <c r="H178" s="303">
        <f>'Bank Int.'!$G178*0.5%/360</f>
        <v>22.050183055555554</v>
      </c>
      <c r="I178" s="465">
        <v>40382.120000000003</v>
      </c>
      <c r="J178" s="307">
        <f>'Bank Int.'!$I178*6.5%/360</f>
        <v>7.2912161111111118</v>
      </c>
      <c r="K178" s="468">
        <v>43214.87</v>
      </c>
      <c r="L178" s="467">
        <f>'Bank Int.'!$K178*6.5%/360</f>
        <v>7.8026848611111115</v>
      </c>
      <c r="M178" s="451">
        <v>57798.2</v>
      </c>
      <c r="N178" s="452">
        <f>'Bank Int.'!$M178*8%/360</f>
        <v>12.844044444444444</v>
      </c>
    </row>
    <row r="179" spans="1:14" ht="22.5" customHeight="1" x14ac:dyDescent="0.25">
      <c r="A179" s="257"/>
      <c r="B179" s="253">
        <f t="shared" si="17"/>
        <v>45939</v>
      </c>
      <c r="C179" s="298">
        <v>4656140.53</v>
      </c>
      <c r="D179" s="295">
        <f>'Bank Int.'!$C179*7.5%/360</f>
        <v>970.02927708333334</v>
      </c>
      <c r="E179" s="306">
        <v>3638830.34</v>
      </c>
      <c r="F179" s="303">
        <f>Table3[[#This Row],[Mid 146]]*4.5%/360</f>
        <v>454.85379249999994</v>
      </c>
      <c r="G179" s="305">
        <v>1587613.18</v>
      </c>
      <c r="H179" s="303">
        <f>'Bank Int.'!$G179*0.5%/360</f>
        <v>22.050183055555554</v>
      </c>
      <c r="I179" s="465">
        <v>40382.120000000003</v>
      </c>
      <c r="J179" s="307">
        <f>'Bank Int.'!$I179*6.5%/360</f>
        <v>7.2912161111111118</v>
      </c>
      <c r="K179" s="468">
        <v>43214.87</v>
      </c>
      <c r="L179" s="467">
        <f>'Bank Int.'!$K179*6.5%/360</f>
        <v>7.8026848611111115</v>
      </c>
      <c r="M179" s="451">
        <v>57798.2</v>
      </c>
      <c r="N179" s="452">
        <f>'Bank Int.'!$M179*8%/360</f>
        <v>12.844044444444444</v>
      </c>
    </row>
    <row r="180" spans="1:14" ht="22.5" customHeight="1" x14ac:dyDescent="0.25">
      <c r="A180" s="257"/>
      <c r="B180" s="253">
        <f t="shared" si="17"/>
        <v>45938</v>
      </c>
      <c r="C180" s="298">
        <v>4316149.25</v>
      </c>
      <c r="D180" s="295">
        <f>'Bank Int.'!$C180*7.5%/360</f>
        <v>899.1977604166666</v>
      </c>
      <c r="E180" s="306">
        <v>3537163.67</v>
      </c>
      <c r="F180" s="303">
        <f>Table3[[#This Row],[Mid 146]]*4.5%/360</f>
        <v>442.14545874999999</v>
      </c>
      <c r="G180" s="305">
        <v>1587613.18</v>
      </c>
      <c r="H180" s="303">
        <f>'Bank Int.'!$G180*0.5%/360</f>
        <v>22.050183055555554</v>
      </c>
      <c r="I180" s="465">
        <v>40382.120000000003</v>
      </c>
      <c r="J180" s="307">
        <f>'Bank Int.'!$I180*6.5%/360</f>
        <v>7.2912161111111118</v>
      </c>
      <c r="K180" s="468">
        <v>43214.87</v>
      </c>
      <c r="L180" s="467">
        <f>'Bank Int.'!$K180*6.5%/360</f>
        <v>7.8026848611111115</v>
      </c>
      <c r="M180" s="451">
        <v>57798.2</v>
      </c>
      <c r="N180" s="452">
        <f>'Bank Int.'!$M180*8%/360</f>
        <v>12.844044444444444</v>
      </c>
    </row>
    <row r="181" spans="1:14" ht="22.5" customHeight="1" x14ac:dyDescent="0.25">
      <c r="A181" s="257"/>
      <c r="B181" s="253">
        <f t="shared" si="17"/>
        <v>45937</v>
      </c>
      <c r="C181" s="298">
        <v>3360108.7</v>
      </c>
      <c r="D181" s="295">
        <f>'Bank Int.'!$C181*7.5%/360</f>
        <v>700.02264583333329</v>
      </c>
      <c r="E181" s="306">
        <v>34592360.630000003</v>
      </c>
      <c r="F181" s="303">
        <f>Table3[[#This Row],[Mid 146]]*4.5%/360</f>
        <v>4324.0450787500004</v>
      </c>
      <c r="G181" s="305">
        <v>1587613.18</v>
      </c>
      <c r="H181" s="303">
        <f>'Bank Int.'!$G181*0.5%/360</f>
        <v>22.050183055555554</v>
      </c>
      <c r="I181" s="465">
        <v>40382.120000000003</v>
      </c>
      <c r="J181" s="307">
        <f>'Bank Int.'!$I181*6.5%/360</f>
        <v>7.2912161111111118</v>
      </c>
      <c r="K181" s="468">
        <v>43214.87</v>
      </c>
      <c r="L181" s="467">
        <f>'Bank Int.'!$K181*6.5%/360</f>
        <v>7.8026848611111115</v>
      </c>
      <c r="M181" s="451">
        <v>57798.2</v>
      </c>
      <c r="N181" s="452">
        <f>'Bank Int.'!$M181*8%/360</f>
        <v>12.844044444444444</v>
      </c>
    </row>
    <row r="182" spans="1:14" ht="22.5" customHeight="1" x14ac:dyDescent="0.25">
      <c r="A182" s="257"/>
      <c r="B182" s="253">
        <f t="shared" si="17"/>
        <v>45936</v>
      </c>
      <c r="C182" s="298">
        <v>3377108.7</v>
      </c>
      <c r="D182" s="295">
        <f>'Bank Int.'!$C182*7.5%/360</f>
        <v>703.56431250000003</v>
      </c>
      <c r="E182" s="306">
        <v>36998111.159999996</v>
      </c>
      <c r="F182" s="303">
        <f>Table3[[#This Row],[Mid 146]]*4.5%/360</f>
        <v>4624.7638949999991</v>
      </c>
      <c r="G182" s="305">
        <v>1577613.18</v>
      </c>
      <c r="H182" s="303">
        <f>'Bank Int.'!$G182*0.5%/360</f>
        <v>21.911294166666664</v>
      </c>
      <c r="I182" s="465">
        <v>40382.120000000003</v>
      </c>
      <c r="J182" s="307">
        <f>'Bank Int.'!$I182*6.5%/360</f>
        <v>7.2912161111111118</v>
      </c>
      <c r="K182" s="468">
        <v>43214.87</v>
      </c>
      <c r="L182" s="467">
        <f>'Bank Int.'!$K182*6.5%/360</f>
        <v>7.8026848611111115</v>
      </c>
      <c r="M182" s="451">
        <v>57798.2</v>
      </c>
      <c r="N182" s="452">
        <f>'Bank Int.'!$M182*8%/360</f>
        <v>12.844044444444444</v>
      </c>
    </row>
    <row r="183" spans="1:14" ht="22.5" customHeight="1" x14ac:dyDescent="0.25">
      <c r="A183" s="257"/>
      <c r="B183" s="253">
        <f t="shared" si="17"/>
        <v>45935</v>
      </c>
      <c r="C183" s="298">
        <v>4197482.5999999996</v>
      </c>
      <c r="D183" s="295">
        <f>'Bank Int.'!$C183*7.5%/360</f>
        <v>874.47554166666657</v>
      </c>
      <c r="E183" s="306">
        <v>3285521.16</v>
      </c>
      <c r="F183" s="303">
        <f>Table3[[#This Row],[Mid 146]]*4.5%/360</f>
        <v>410.69014499999997</v>
      </c>
      <c r="G183" s="305">
        <v>1577613.18</v>
      </c>
      <c r="H183" s="303">
        <f>'Bank Int.'!$G183*0.5%/360</f>
        <v>21.911294166666664</v>
      </c>
      <c r="I183" s="465">
        <v>40382.120000000003</v>
      </c>
      <c r="J183" s="307">
        <f>'Bank Int.'!$I183*6.5%/360</f>
        <v>7.2912161111111118</v>
      </c>
      <c r="K183" s="468">
        <v>43214.87</v>
      </c>
      <c r="L183" s="467">
        <f>'Bank Int.'!$K183*6.5%/360</f>
        <v>7.8026848611111115</v>
      </c>
      <c r="M183" s="451">
        <v>57798.2</v>
      </c>
      <c r="N183" s="452">
        <f>'Bank Int.'!$M183*8%/360</f>
        <v>12.844044444444444</v>
      </c>
    </row>
    <row r="184" spans="1:14" ht="22.5" customHeight="1" x14ac:dyDescent="0.25">
      <c r="A184" s="257"/>
      <c r="B184" s="253">
        <v>45934</v>
      </c>
      <c r="C184" s="298">
        <v>7308501.7800000003</v>
      </c>
      <c r="D184" s="295">
        <f>'Bank Int.'!$C184*7.5%/360</f>
        <v>1522.6045374999999</v>
      </c>
      <c r="E184" s="306">
        <v>3285521.16</v>
      </c>
      <c r="F184" s="303">
        <f>Table3[[#This Row],[Mid 146]]*4.5%/360</f>
        <v>410.69014499999997</v>
      </c>
      <c r="G184" s="305">
        <v>49613.18</v>
      </c>
      <c r="H184" s="303">
        <f>'Bank Int.'!$G184*0.5%/360</f>
        <v>0.68907194444444442</v>
      </c>
      <c r="I184" s="465">
        <v>40382.120000000003</v>
      </c>
      <c r="J184" s="307">
        <f>'Bank Int.'!$I184*6.5%/360</f>
        <v>7.2912161111111118</v>
      </c>
      <c r="K184" s="468">
        <v>43214.87</v>
      </c>
      <c r="L184" s="467">
        <f>'Bank Int.'!$K184*6.5%/360</f>
        <v>7.8026848611111115</v>
      </c>
      <c r="M184" s="451">
        <v>57798.2</v>
      </c>
      <c r="N184" s="452">
        <f>'Bank Int.'!$M184*8%/360</f>
        <v>12.844044444444444</v>
      </c>
    </row>
    <row r="185" spans="1:14" ht="22.5" customHeight="1" x14ac:dyDescent="0.25">
      <c r="A185" s="257"/>
      <c r="B185" s="253">
        <f t="shared" ref="B185:B190" si="18">B184-1</f>
        <v>45933</v>
      </c>
      <c r="C185" s="298">
        <v>7308501.7800000003</v>
      </c>
      <c r="D185" s="295">
        <f>'Bank Int.'!$C185*7.5%/360</f>
        <v>1522.6045374999999</v>
      </c>
      <c r="E185" s="306">
        <v>3285521.16</v>
      </c>
      <c r="F185" s="303">
        <f>Table3[[#This Row],[Mid 146]]*4.5%/360</f>
        <v>410.69014499999997</v>
      </c>
      <c r="G185" s="305">
        <v>49613.18</v>
      </c>
      <c r="H185" s="303">
        <f>'Bank Int.'!$G185*0.5%/360</f>
        <v>0.68907194444444442</v>
      </c>
      <c r="I185" s="465">
        <v>40382.120000000003</v>
      </c>
      <c r="J185" s="307">
        <f>'Bank Int.'!$I185*6.5%/360</f>
        <v>7.2912161111111118</v>
      </c>
      <c r="K185" s="468">
        <v>43214.87</v>
      </c>
      <c r="L185" s="467">
        <f>'Bank Int.'!$K185*6.5%/360</f>
        <v>7.8026848611111115</v>
      </c>
      <c r="M185" s="451">
        <v>57798.2</v>
      </c>
      <c r="N185" s="452">
        <f>'Bank Int.'!$M185*8%/360</f>
        <v>12.844044444444444</v>
      </c>
    </row>
    <row r="186" spans="1:14" ht="22.5" customHeight="1" x14ac:dyDescent="0.25">
      <c r="A186" s="257"/>
      <c r="B186" s="253">
        <f t="shared" si="18"/>
        <v>45932</v>
      </c>
      <c r="C186" s="298">
        <v>7308501.7800000003</v>
      </c>
      <c r="D186" s="295">
        <f>'Bank Int.'!$C186*7.5%/360</f>
        <v>1522.6045374999999</v>
      </c>
      <c r="E186" s="306">
        <v>3285521.16</v>
      </c>
      <c r="F186" s="303">
        <f>Table3[[#This Row],[Mid 146]]*4.5%/360</f>
        <v>410.69014499999997</v>
      </c>
      <c r="G186" s="305">
        <v>49613.18</v>
      </c>
      <c r="H186" s="303">
        <f>'Bank Int.'!$G186*0.5%/360</f>
        <v>0.68907194444444442</v>
      </c>
      <c r="I186" s="465">
        <v>40382.120000000003</v>
      </c>
      <c r="J186" s="307">
        <f>'Bank Int.'!$I186*6.5%/360</f>
        <v>7.2912161111111118</v>
      </c>
      <c r="K186" s="468">
        <v>43214.87</v>
      </c>
      <c r="L186" s="467">
        <f>'Bank Int.'!$K186*6.5%/360</f>
        <v>7.8026848611111115</v>
      </c>
      <c r="M186" s="451">
        <v>57798.2</v>
      </c>
      <c r="N186" s="452">
        <f>'Bank Int.'!$M186*8%/360</f>
        <v>12.844044444444444</v>
      </c>
    </row>
    <row r="187" spans="1:14" ht="22.5" customHeight="1" x14ac:dyDescent="0.25">
      <c r="A187" s="257"/>
      <c r="B187" s="253">
        <f t="shared" si="18"/>
        <v>45931</v>
      </c>
      <c r="C187" s="298">
        <v>7308501.7800000003</v>
      </c>
      <c r="D187" s="295">
        <f>'Bank Int.'!$C187*7.5%/360</f>
        <v>1522.6045374999999</v>
      </c>
      <c r="E187" s="306">
        <v>3285521.16</v>
      </c>
      <c r="F187" s="303">
        <f>Table3[[#This Row],[Mid 146]]*4.5%/360</f>
        <v>410.69014499999997</v>
      </c>
      <c r="G187" s="305">
        <v>49613.18</v>
      </c>
      <c r="H187" s="303">
        <f>'Bank Int.'!$G187*0.5%/360</f>
        <v>0.68907194444444442</v>
      </c>
      <c r="I187" s="465">
        <v>40382.120000000003</v>
      </c>
      <c r="J187" s="307">
        <f>'Bank Int.'!$I187*6.5%/360</f>
        <v>7.2912161111111118</v>
      </c>
      <c r="K187" s="468">
        <v>43214.87</v>
      </c>
      <c r="L187" s="467">
        <f>'Bank Int.'!$K187*6.5%/360</f>
        <v>7.8026848611111115</v>
      </c>
      <c r="M187" s="451">
        <v>57798.2</v>
      </c>
      <c r="N187" s="452">
        <f>'Bank Int.'!$M187*8%/360</f>
        <v>12.844044444444444</v>
      </c>
    </row>
    <row r="188" spans="1:14" ht="22.5" customHeight="1" x14ac:dyDescent="0.25">
      <c r="A188" s="257"/>
      <c r="B188" s="253">
        <f t="shared" si="18"/>
        <v>45930</v>
      </c>
      <c r="C188" s="298">
        <v>7308501.7800000003</v>
      </c>
      <c r="D188" s="295">
        <f>'Bank Int.'!$C188*7.5%/360</f>
        <v>1522.6045374999999</v>
      </c>
      <c r="E188" s="306">
        <v>3285521.16</v>
      </c>
      <c r="F188" s="303">
        <f>Table3[[#This Row],[Mid 146]]*4.5%/360</f>
        <v>410.69014499999997</v>
      </c>
      <c r="G188" s="305">
        <v>49613.18</v>
      </c>
      <c r="H188" s="303">
        <f>'Bank Int.'!$G188*0.5%/360</f>
        <v>0.68907194444444442</v>
      </c>
      <c r="I188" s="465">
        <v>40382.120000000003</v>
      </c>
      <c r="J188" s="307">
        <f>'Bank Int.'!$I188*6.5%/360</f>
        <v>7.2912161111111118</v>
      </c>
      <c r="K188" s="468">
        <v>43214.87</v>
      </c>
      <c r="L188" s="467">
        <f>'Bank Int.'!$K188*6.5%/360</f>
        <v>7.8026848611111115</v>
      </c>
      <c r="M188" s="451">
        <v>57798.2</v>
      </c>
      <c r="N188" s="452">
        <f>'Bank Int.'!$M188*8%/360</f>
        <v>12.844044444444444</v>
      </c>
    </row>
    <row r="189" spans="1:14" ht="22.5" customHeight="1" x14ac:dyDescent="0.25">
      <c r="A189" s="257"/>
      <c r="B189" s="253">
        <f t="shared" si="18"/>
        <v>45929</v>
      </c>
      <c r="C189" s="298">
        <v>5208501.78</v>
      </c>
      <c r="D189" s="295">
        <f>'Bank Int.'!$C189*7.5%/360</f>
        <v>1085.1045374999999</v>
      </c>
      <c r="E189" s="306">
        <v>3285521.16</v>
      </c>
      <c r="F189" s="303">
        <f>Table3[[#This Row],[Mid 146]]*4.5%/360</f>
        <v>410.69014499999997</v>
      </c>
      <c r="G189" s="305">
        <v>1649613.18</v>
      </c>
      <c r="H189" s="303">
        <f>'Bank Int.'!$G189*0.5%/360</f>
        <v>22.911294166666664</v>
      </c>
      <c r="I189" s="465">
        <v>40382.120000000003</v>
      </c>
      <c r="J189" s="307">
        <f>'Bank Int.'!$I189*6.5%/360</f>
        <v>7.2912161111111118</v>
      </c>
      <c r="K189" s="468">
        <v>43214.87</v>
      </c>
      <c r="L189" s="467">
        <f>'Bank Int.'!$K189*6.5%/360</f>
        <v>7.8026848611111115</v>
      </c>
      <c r="M189" s="451">
        <v>57798.2</v>
      </c>
      <c r="N189" s="452">
        <f>'Bank Int.'!$M189*8%/360</f>
        <v>12.844044444444444</v>
      </c>
    </row>
    <row r="190" spans="1:14" ht="22.5" customHeight="1" x14ac:dyDescent="0.25">
      <c r="A190" s="257"/>
      <c r="B190" s="253">
        <f t="shared" si="18"/>
        <v>45928</v>
      </c>
      <c r="C190" s="298">
        <v>5208501.78</v>
      </c>
      <c r="D190" s="295">
        <f>'Bank Int.'!$C190*7.5%/360</f>
        <v>1085.1045374999999</v>
      </c>
      <c r="E190" s="306">
        <v>3285521.16</v>
      </c>
      <c r="F190" s="303">
        <f>Table3[[#This Row],[Mid 146]]*4.5%/360</f>
        <v>410.69014499999997</v>
      </c>
      <c r="G190" s="305">
        <v>1202113.18</v>
      </c>
      <c r="H190" s="303">
        <f>'Bank Int.'!$G190*0.5%/360</f>
        <v>16.696016388888889</v>
      </c>
      <c r="I190" s="465">
        <v>40382.120000000003</v>
      </c>
      <c r="J190" s="307">
        <f>'Bank Int.'!$I190*6.5%/360</f>
        <v>7.2912161111111118</v>
      </c>
      <c r="K190" s="468">
        <v>43214.87</v>
      </c>
      <c r="L190" s="467">
        <f>'Bank Int.'!$K190*6.5%/360</f>
        <v>7.8026848611111115</v>
      </c>
      <c r="M190" s="451">
        <v>57798.2</v>
      </c>
      <c r="N190" s="452">
        <f>'Bank Int.'!$M190*8%/360</f>
        <v>12.844044444444444</v>
      </c>
    </row>
    <row r="191" spans="1:14" ht="22.5" customHeight="1" x14ac:dyDescent="0.25">
      <c r="A191" s="257"/>
      <c r="B191" s="330">
        <v>45927</v>
      </c>
      <c r="C191" s="298">
        <v>7818350.5199999996</v>
      </c>
      <c r="D191" s="295">
        <f>'Bank Int.'!$C191*7.5%/360</f>
        <v>1628.8230249999999</v>
      </c>
      <c r="E191" s="306">
        <v>1016012</v>
      </c>
      <c r="F191" s="303">
        <f>Table3[[#This Row],[Mid 146]]*4.5%/360</f>
        <v>127.00150000000001</v>
      </c>
      <c r="G191" s="305">
        <v>697433.18</v>
      </c>
      <c r="H191" s="303">
        <f>'Bank Int.'!$G191*0.5%/360</f>
        <v>9.6865719444444451</v>
      </c>
      <c r="I191" s="465">
        <v>40382.120000000003</v>
      </c>
      <c r="J191" s="307">
        <f>'Bank Int.'!$I191*6.5%/360</f>
        <v>7.2912161111111118</v>
      </c>
      <c r="K191" s="468">
        <v>43214.87</v>
      </c>
      <c r="L191" s="467">
        <f>'Bank Int.'!$K191*6.5%/360</f>
        <v>7.8026848611111115</v>
      </c>
      <c r="M191" s="451">
        <v>57798.2</v>
      </c>
      <c r="N191" s="452">
        <f>'Bank Int.'!$M191*8%/360</f>
        <v>12.844044444444444</v>
      </c>
    </row>
    <row r="192" spans="1:14" ht="22.5" customHeight="1" x14ac:dyDescent="0.25">
      <c r="A192" s="257"/>
      <c r="B192" s="253">
        <f t="shared" ref="B192:B197" si="19">B191-1</f>
        <v>45926</v>
      </c>
      <c r="C192" s="298">
        <v>7818350.5199999996</v>
      </c>
      <c r="D192" s="295">
        <f>'Bank Int.'!$C192*7.5%/360</f>
        <v>1628.8230249999999</v>
      </c>
      <c r="E192" s="306">
        <v>1016012</v>
      </c>
      <c r="F192" s="303">
        <f>Table3[[#This Row],[Mid 146]]*4.5%/360</f>
        <v>127.00150000000001</v>
      </c>
      <c r="G192" s="305">
        <v>697433.18</v>
      </c>
      <c r="H192" s="303">
        <f>'Bank Int.'!$G192*0.5%/360</f>
        <v>9.6865719444444451</v>
      </c>
      <c r="I192" s="465">
        <v>40382.120000000003</v>
      </c>
      <c r="J192" s="307">
        <f>'Bank Int.'!$I192*6.5%/360</f>
        <v>7.2912161111111118</v>
      </c>
      <c r="K192" s="468">
        <v>43214.87</v>
      </c>
      <c r="L192" s="467">
        <f>'Bank Int.'!$K192*6.5%/360</f>
        <v>7.8026848611111115</v>
      </c>
      <c r="M192" s="451">
        <v>57798.2</v>
      </c>
      <c r="N192" s="452">
        <f>'Bank Int.'!$M192*8%/360</f>
        <v>12.844044444444444</v>
      </c>
    </row>
    <row r="193" spans="1:14" ht="22.5" customHeight="1" x14ac:dyDescent="0.25">
      <c r="A193" s="257"/>
      <c r="B193" s="253">
        <f t="shared" si="19"/>
        <v>45925</v>
      </c>
      <c r="C193" s="298">
        <v>7818350.5199999996</v>
      </c>
      <c r="D193" s="295">
        <f>'Bank Int.'!$C193*7.5%/360</f>
        <v>1628.8230249999999</v>
      </c>
      <c r="E193" s="306">
        <v>1016012</v>
      </c>
      <c r="F193" s="303">
        <f>Table3[[#This Row],[Mid 146]]*4.5%/360</f>
        <v>127.00150000000001</v>
      </c>
      <c r="G193" s="305">
        <v>697433.18</v>
      </c>
      <c r="H193" s="303">
        <f>'Bank Int.'!$G193*0.5%/360</f>
        <v>9.6865719444444451</v>
      </c>
      <c r="I193" s="465">
        <v>40382.120000000003</v>
      </c>
      <c r="J193" s="307">
        <f>'Bank Int.'!$I193*6.5%/360</f>
        <v>7.2912161111111118</v>
      </c>
      <c r="K193" s="468">
        <v>43214.87</v>
      </c>
      <c r="L193" s="467">
        <f>'Bank Int.'!$K193*6.5%/360</f>
        <v>7.8026848611111115</v>
      </c>
      <c r="M193" s="451">
        <v>57798.2</v>
      </c>
      <c r="N193" s="452">
        <f>'Bank Int.'!$M193*8%/360</f>
        <v>12.844044444444444</v>
      </c>
    </row>
    <row r="194" spans="1:14" ht="22.5" customHeight="1" x14ac:dyDescent="0.25">
      <c r="A194" s="257"/>
      <c r="B194" s="253">
        <f t="shared" si="19"/>
        <v>45924</v>
      </c>
      <c r="C194" s="298">
        <v>8418450.5199999996</v>
      </c>
      <c r="D194" s="295">
        <f>'Bank Int.'!$C194*7.5%/360</f>
        <v>1753.8438583333334</v>
      </c>
      <c r="E194" s="306">
        <v>1016012</v>
      </c>
      <c r="F194" s="303">
        <f>Table3[[#This Row],[Mid 146]]*4.5%/360</f>
        <v>127.00150000000001</v>
      </c>
      <c r="G194" s="305">
        <v>442433.18</v>
      </c>
      <c r="H194" s="303">
        <f>'Bank Int.'!$G194*0.5%/360</f>
        <v>6.1449052777777773</v>
      </c>
      <c r="I194" s="465">
        <v>40382.120000000003</v>
      </c>
      <c r="J194" s="307">
        <f>'Bank Int.'!$I194*6.5%/360</f>
        <v>7.2912161111111118</v>
      </c>
      <c r="K194" s="468">
        <v>43214.87</v>
      </c>
      <c r="L194" s="467">
        <f>'Bank Int.'!$K194*6.5%/360</f>
        <v>7.8026848611111115</v>
      </c>
      <c r="M194" s="451">
        <v>57798.2</v>
      </c>
      <c r="N194" s="452">
        <f>'Bank Int.'!$M194*8%/360</f>
        <v>12.844044444444444</v>
      </c>
    </row>
    <row r="195" spans="1:14" ht="22.5" customHeight="1" x14ac:dyDescent="0.25">
      <c r="A195" s="257"/>
      <c r="B195" s="253">
        <f t="shared" si="19"/>
        <v>45923</v>
      </c>
      <c r="C195" s="298">
        <v>7419734.9199999999</v>
      </c>
      <c r="D195" s="295">
        <f>'Bank Int.'!$C195*7.5%/360</f>
        <v>1545.7781083333332</v>
      </c>
      <c r="E195" s="306">
        <v>1016012.31</v>
      </c>
      <c r="F195" s="303">
        <f>Table3[[#This Row],[Mid 146]]*4.5%/360</f>
        <v>127.00153875000001</v>
      </c>
      <c r="G195" s="305">
        <v>442433.18</v>
      </c>
      <c r="H195" s="303">
        <f>'Bank Int.'!$G195*0.5%/360</f>
        <v>6.1449052777777773</v>
      </c>
      <c r="I195" s="465">
        <v>40382.120000000003</v>
      </c>
      <c r="J195" s="307">
        <f>'Bank Int.'!$I195*6.5%/360</f>
        <v>7.2912161111111118</v>
      </c>
      <c r="K195" s="468">
        <v>43214.87</v>
      </c>
      <c r="L195" s="467">
        <f>'Bank Int.'!$K195*6.5%/360</f>
        <v>7.8026848611111115</v>
      </c>
      <c r="M195" s="451">
        <v>57798.2</v>
      </c>
      <c r="N195" s="452">
        <f>'Bank Int.'!$M195*8%/360</f>
        <v>12.844044444444444</v>
      </c>
    </row>
    <row r="196" spans="1:14" ht="22.5" customHeight="1" x14ac:dyDescent="0.25">
      <c r="A196" s="257"/>
      <c r="B196" s="253">
        <f t="shared" si="19"/>
        <v>45922</v>
      </c>
      <c r="C196" s="298">
        <v>10022972.310000001</v>
      </c>
      <c r="D196" s="295">
        <f>'Bank Int.'!$C196*7.5%/360</f>
        <v>2088.1192312499998</v>
      </c>
      <c r="E196" s="306">
        <v>1016012.31</v>
      </c>
      <c r="F196" s="303">
        <f>Table3[[#This Row],[Mid 146]]*4.5%/360</f>
        <v>127.00153875000001</v>
      </c>
      <c r="G196" s="305">
        <v>442433.18</v>
      </c>
      <c r="H196" s="303">
        <f>'Bank Int.'!$G196*0.5%/360</f>
        <v>6.1449052777777773</v>
      </c>
      <c r="I196" s="465">
        <v>40382.120000000003</v>
      </c>
      <c r="J196" s="307">
        <f>'Bank Int.'!$I196*6.5%/360</f>
        <v>7.2912161111111118</v>
      </c>
      <c r="K196" s="468">
        <v>43214.87</v>
      </c>
      <c r="L196" s="467">
        <f>'Bank Int.'!$K196*6.5%/360</f>
        <v>7.8026848611111115</v>
      </c>
      <c r="M196" s="451">
        <v>57798.2</v>
      </c>
      <c r="N196" s="452">
        <f>'Bank Int.'!$M196*8%/360</f>
        <v>12.844044444444444</v>
      </c>
    </row>
    <row r="197" spans="1:14" ht="22.5" customHeight="1" x14ac:dyDescent="0.25">
      <c r="A197" s="257"/>
      <c r="B197" s="253">
        <f t="shared" si="19"/>
        <v>45921</v>
      </c>
      <c r="C197" s="298">
        <v>13923030.310000001</v>
      </c>
      <c r="D197" s="295">
        <f>'Bank Int.'!$C197*7.5%/360</f>
        <v>2900.6313145833333</v>
      </c>
      <c r="E197" s="306">
        <v>3190909.48</v>
      </c>
      <c r="F197" s="303">
        <f>Table3[[#This Row],[Mid 146]]*4.5%/360</f>
        <v>398.86368500000003</v>
      </c>
      <c r="G197" s="305">
        <v>442433.18</v>
      </c>
      <c r="H197" s="303">
        <f>'Bank Int.'!$G197*0.5%/360</f>
        <v>6.1449052777777773</v>
      </c>
      <c r="I197" s="465">
        <v>40382.120000000003</v>
      </c>
      <c r="J197" s="307">
        <f>'Bank Int.'!$I197*6.5%/360</f>
        <v>7.2912161111111118</v>
      </c>
      <c r="K197" s="468">
        <v>43214.87</v>
      </c>
      <c r="L197" s="467">
        <f>'Bank Int.'!$K197*6.5%/360</f>
        <v>7.8026848611111115</v>
      </c>
      <c r="M197" s="451">
        <v>57798.2</v>
      </c>
      <c r="N197" s="452">
        <f>'Bank Int.'!$M197*8%/360</f>
        <v>12.844044444444444</v>
      </c>
    </row>
    <row r="198" spans="1:14" ht="22.5" customHeight="1" x14ac:dyDescent="0.25">
      <c r="A198" s="257"/>
      <c r="B198" s="253">
        <v>45920</v>
      </c>
      <c r="C198" s="298">
        <v>13923030.310000001</v>
      </c>
      <c r="D198" s="295">
        <f>'Bank Int.'!$C198*7.5%/360</f>
        <v>2900.6313145833333</v>
      </c>
      <c r="E198" s="306">
        <v>2305234.48</v>
      </c>
      <c r="F198" s="303">
        <f>Table3[[#This Row],[Mid 146]]*4.5%/360</f>
        <v>288.15430999999995</v>
      </c>
      <c r="G198" s="305">
        <v>42433.18</v>
      </c>
      <c r="H198" s="303">
        <f>'Bank Int.'!$G198*0.5%/360</f>
        <v>0.58934972222222215</v>
      </c>
      <c r="I198" s="465">
        <v>40382.120000000003</v>
      </c>
      <c r="J198" s="467">
        <f>'Bank Int.'!$I198*6.5%/360</f>
        <v>7.2912161111111118</v>
      </c>
      <c r="K198" s="468">
        <v>43214.87</v>
      </c>
      <c r="L198" s="467">
        <f>'Bank Int.'!$K198*6.5%/360</f>
        <v>7.8026848611111115</v>
      </c>
      <c r="M198" s="451">
        <v>57998.2</v>
      </c>
      <c r="N198" s="452">
        <f>'Bank Int.'!$M198*8%/360</f>
        <v>12.888488888888888</v>
      </c>
    </row>
    <row r="199" spans="1:14" ht="22.5" customHeight="1" x14ac:dyDescent="0.25">
      <c r="A199" s="257"/>
      <c r="B199" s="253">
        <f t="shared" ref="B199:B204" si="20">B198-1</f>
        <v>45919</v>
      </c>
      <c r="C199" s="298">
        <v>13923030.310000001</v>
      </c>
      <c r="D199" s="295">
        <f>'Bank Int.'!$C199*7.5%/360</f>
        <v>2900.6313145833333</v>
      </c>
      <c r="E199" s="306">
        <v>2305234.48</v>
      </c>
      <c r="F199" s="303">
        <f>Table3[[#This Row],[Mid 146]]*4.5%/360</f>
        <v>288.15430999999995</v>
      </c>
      <c r="G199" s="305">
        <v>42433.18</v>
      </c>
      <c r="H199" s="303">
        <f>'Bank Int.'!$G199*0.5%/360</f>
        <v>0.58934972222222215</v>
      </c>
      <c r="I199" s="465">
        <v>40382.120000000003</v>
      </c>
      <c r="J199" s="467">
        <f>'Bank Int.'!$I199*6.5%/360</f>
        <v>7.2912161111111118</v>
      </c>
      <c r="K199" s="468">
        <v>43214.87</v>
      </c>
      <c r="L199" s="467">
        <f>'Bank Int.'!$K199*6.5%/360</f>
        <v>7.8026848611111115</v>
      </c>
      <c r="M199" s="451">
        <v>57998.2</v>
      </c>
      <c r="N199" s="452">
        <f>'Bank Int.'!$M199*8%/360</f>
        <v>12.888488888888888</v>
      </c>
    </row>
    <row r="200" spans="1:14" ht="22.5" customHeight="1" x14ac:dyDescent="0.25">
      <c r="A200" s="257"/>
      <c r="B200" s="253">
        <f t="shared" si="20"/>
        <v>45918</v>
      </c>
      <c r="C200" s="298">
        <v>13923030.310000001</v>
      </c>
      <c r="D200" s="295">
        <f>'Bank Int.'!$C200*7.5%/360</f>
        <v>2900.6313145833333</v>
      </c>
      <c r="E200" s="306">
        <v>2305234.48</v>
      </c>
      <c r="F200" s="303">
        <f>Table3[[#This Row],[Mid 146]]*4.5%/360</f>
        <v>288.15430999999995</v>
      </c>
      <c r="G200" s="305">
        <v>42433.18</v>
      </c>
      <c r="H200" s="303">
        <f>'Bank Int.'!$G200*0.5%/360</f>
        <v>0.58934972222222215</v>
      </c>
      <c r="I200" s="465">
        <v>40382.120000000003</v>
      </c>
      <c r="J200" s="467">
        <f>'Bank Int.'!$I200*6.5%/360</f>
        <v>7.2912161111111118</v>
      </c>
      <c r="K200" s="468">
        <v>43214.87</v>
      </c>
      <c r="L200" s="467">
        <f>'Bank Int.'!$K200*6.5%/360</f>
        <v>7.8026848611111115</v>
      </c>
      <c r="M200" s="451">
        <v>57998.2</v>
      </c>
      <c r="N200" s="452">
        <f>'Bank Int.'!$M200*8%/360</f>
        <v>12.888488888888888</v>
      </c>
    </row>
    <row r="201" spans="1:14" ht="22.5" customHeight="1" x14ac:dyDescent="0.25">
      <c r="A201" s="257"/>
      <c r="B201" s="253">
        <f t="shared" si="20"/>
        <v>45917</v>
      </c>
      <c r="C201" s="298">
        <v>11266697.640000001</v>
      </c>
      <c r="D201" s="295">
        <f>'Bank Int.'!$C201*7.5%/360</f>
        <v>2347.2286749999998</v>
      </c>
      <c r="E201" s="306">
        <v>2305234.48</v>
      </c>
      <c r="F201" s="303">
        <f>Table3[[#This Row],[Mid 146]]*4.5%/360</f>
        <v>288.15430999999995</v>
      </c>
      <c r="G201" s="305">
        <v>2742433.18</v>
      </c>
      <c r="H201" s="303">
        <f>'Bank Int.'!$G201*0.5%/360</f>
        <v>38.089349722222224</v>
      </c>
      <c r="I201" s="465">
        <v>40382.120000000003</v>
      </c>
      <c r="J201" s="467">
        <f>'Bank Int.'!$I201*6.5%/360</f>
        <v>7.2912161111111118</v>
      </c>
      <c r="K201" s="468">
        <v>43214.87</v>
      </c>
      <c r="L201" s="467">
        <f>'Bank Int.'!$K201*6.5%/360</f>
        <v>7.8026848611111115</v>
      </c>
      <c r="M201" s="451">
        <v>57998.2</v>
      </c>
      <c r="N201" s="452">
        <f>'Bank Int.'!$M201*8%/360</f>
        <v>12.888488888888888</v>
      </c>
    </row>
    <row r="202" spans="1:14" ht="22.5" customHeight="1" x14ac:dyDescent="0.25">
      <c r="A202" s="257"/>
      <c r="B202" s="253">
        <f t="shared" si="20"/>
        <v>45916</v>
      </c>
      <c r="C202" s="298">
        <v>11079388.939999999</v>
      </c>
      <c r="D202" s="295">
        <f>'Bank Int.'!$C202*7.5%/360</f>
        <v>2308.2060291666662</v>
      </c>
      <c r="E202" s="306">
        <v>2305234.48</v>
      </c>
      <c r="F202" s="303">
        <f>Table3[[#This Row],[Mid 146]]*4.5%/360</f>
        <v>288.15430999999995</v>
      </c>
      <c r="G202" s="305">
        <v>2742433.18</v>
      </c>
      <c r="H202" s="303">
        <f>'Bank Int.'!$G202*0.5%/360</f>
        <v>38.089349722222224</v>
      </c>
      <c r="I202" s="465">
        <v>40382.120000000003</v>
      </c>
      <c r="J202" s="467">
        <f>'Bank Int.'!$I202*6.5%/360</f>
        <v>7.2912161111111118</v>
      </c>
      <c r="K202" s="468">
        <v>43214.87</v>
      </c>
      <c r="L202" s="467">
        <f>'Bank Int.'!$K202*6.5%/360</f>
        <v>7.8026848611111115</v>
      </c>
      <c r="M202" s="451">
        <v>57998.2</v>
      </c>
      <c r="N202" s="452">
        <f>'Bank Int.'!$M202*8%/360</f>
        <v>12.888488888888888</v>
      </c>
    </row>
    <row r="203" spans="1:14" ht="22.5" customHeight="1" x14ac:dyDescent="0.25">
      <c r="A203" s="257"/>
      <c r="B203" s="253">
        <f t="shared" si="20"/>
        <v>45915</v>
      </c>
      <c r="C203" s="298">
        <v>10579388.939999999</v>
      </c>
      <c r="D203" s="295">
        <f>'Bank Int.'!$C203*7.5%/360</f>
        <v>2204.0393624999997</v>
      </c>
      <c r="E203" s="306">
        <v>2305234.48</v>
      </c>
      <c r="F203" s="303">
        <f>Table3[[#This Row],[Mid 146]]*4.5%/360</f>
        <v>288.15430999999995</v>
      </c>
      <c r="G203" s="305">
        <v>2742433.18</v>
      </c>
      <c r="H203" s="303">
        <f>'Bank Int.'!$G203*0.5%/360</f>
        <v>38.089349722222224</v>
      </c>
      <c r="I203" s="465">
        <v>40382.120000000003</v>
      </c>
      <c r="J203" s="467">
        <f>'Bank Int.'!$I203*6.5%/360</f>
        <v>7.2912161111111118</v>
      </c>
      <c r="K203" s="468">
        <v>43214.87</v>
      </c>
      <c r="L203" s="467">
        <f>'Bank Int.'!$K203*6.5%/360</f>
        <v>7.8026848611111115</v>
      </c>
      <c r="M203" s="451">
        <v>57998.2</v>
      </c>
      <c r="N203" s="452">
        <f>'Bank Int.'!$M203*8%/360</f>
        <v>12.888488888888888</v>
      </c>
    </row>
    <row r="204" spans="1:14" ht="22.5" customHeight="1" x14ac:dyDescent="0.25">
      <c r="A204" s="257"/>
      <c r="B204" s="253">
        <f t="shared" si="20"/>
        <v>45914</v>
      </c>
      <c r="C204" s="298">
        <v>579463.93999999994</v>
      </c>
      <c r="D204" s="295">
        <f>'Bank Int.'!$C204*7.5%/360</f>
        <v>120.72165416666665</v>
      </c>
      <c r="E204" s="306">
        <v>7305334.4800000004</v>
      </c>
      <c r="F204" s="303">
        <f>Table3[[#This Row],[Mid 146]]*4.5%/360</f>
        <v>913.16681000000005</v>
      </c>
      <c r="G204" s="305">
        <v>1338493.18</v>
      </c>
      <c r="H204" s="303">
        <f>'Bank Int.'!$G204*0.5%/360</f>
        <v>18.590183055555556</v>
      </c>
      <c r="I204" s="465">
        <v>40382.120000000003</v>
      </c>
      <c r="J204" s="467">
        <f>'Bank Int.'!$I204*6.5%/360</f>
        <v>7.2912161111111118</v>
      </c>
      <c r="K204" s="468">
        <v>43214.87</v>
      </c>
      <c r="L204" s="467">
        <f>'Bank Int.'!$K204*6.5%/360</f>
        <v>7.8026848611111115</v>
      </c>
      <c r="M204" s="451">
        <v>57998.2</v>
      </c>
      <c r="N204" s="452">
        <f>'Bank Int.'!$M204*8%/360</f>
        <v>12.888488888888888</v>
      </c>
    </row>
    <row r="205" spans="1:14" ht="22.5" customHeight="1" x14ac:dyDescent="0.25">
      <c r="A205" s="257"/>
      <c r="B205" s="253">
        <v>45913</v>
      </c>
      <c r="C205" s="298">
        <v>836322.79</v>
      </c>
      <c r="D205" s="295">
        <f>'Bank Int.'!$C205*7.5%/360</f>
        <v>174.23391458333333</v>
      </c>
      <c r="E205" s="306">
        <v>7000334.4800000004</v>
      </c>
      <c r="F205" s="303">
        <f>Table3[[#This Row],[Mid 146]]*4.5%/360</f>
        <v>875.04181000000005</v>
      </c>
      <c r="G205" s="305">
        <v>661553.18000000005</v>
      </c>
      <c r="H205" s="303">
        <f>'Bank Int.'!$G205*0.5%/360</f>
        <v>9.1882386111111121</v>
      </c>
      <c r="I205" s="465">
        <v>40382.120000000003</v>
      </c>
      <c r="J205" s="467">
        <f>'Bank Int.'!$I205*6.5%/360</f>
        <v>7.2912161111111118</v>
      </c>
      <c r="K205" s="468">
        <v>43214.87</v>
      </c>
      <c r="L205" s="467">
        <f>'Bank Int.'!$K205*6.5%/360</f>
        <v>7.8026848611111115</v>
      </c>
      <c r="M205" s="451">
        <v>57998.2</v>
      </c>
      <c r="N205" s="452">
        <f>'Bank Int.'!$M205*8%/360</f>
        <v>12.888488888888888</v>
      </c>
    </row>
    <row r="206" spans="1:14" ht="22.5" customHeight="1" x14ac:dyDescent="0.25">
      <c r="A206" s="257"/>
      <c r="B206" s="253">
        <f t="shared" ref="B206:B211" si="21">B205-1</f>
        <v>45912</v>
      </c>
      <c r="C206" s="298">
        <v>836322.79</v>
      </c>
      <c r="D206" s="295">
        <f>'Bank Int.'!$C206*7.5%/360</f>
        <v>174.23391458333333</v>
      </c>
      <c r="E206" s="306">
        <v>7000334.4800000004</v>
      </c>
      <c r="F206" s="303">
        <f>Table3[[#This Row],[Mid 146]]*4.5%/360</f>
        <v>875.04181000000005</v>
      </c>
      <c r="G206" s="305">
        <v>661553.18000000005</v>
      </c>
      <c r="H206" s="303">
        <f>'Bank Int.'!$G206*0.5%/360</f>
        <v>9.1882386111111121</v>
      </c>
      <c r="I206" s="465">
        <v>40382.120000000003</v>
      </c>
      <c r="J206" s="467">
        <f>'Bank Int.'!$I206*6.5%/360</f>
        <v>7.2912161111111118</v>
      </c>
      <c r="K206" s="468">
        <v>43214.87</v>
      </c>
      <c r="L206" s="467">
        <f>'Bank Int.'!$K206*6.5%/360</f>
        <v>7.8026848611111115</v>
      </c>
      <c r="M206" s="451">
        <v>57998.2</v>
      </c>
      <c r="N206" s="452">
        <f>'Bank Int.'!$M206*8%/360</f>
        <v>12.888488888888888</v>
      </c>
    </row>
    <row r="207" spans="1:14" ht="22.5" customHeight="1" x14ac:dyDescent="0.25">
      <c r="A207" s="257"/>
      <c r="B207" s="253">
        <f t="shared" si="21"/>
        <v>45911</v>
      </c>
      <c r="C207" s="298">
        <v>836322.79</v>
      </c>
      <c r="D207" s="295">
        <f>'Bank Int.'!$C207*7.5%/360</f>
        <v>174.23391458333333</v>
      </c>
      <c r="E207" s="306">
        <v>7000334.4800000004</v>
      </c>
      <c r="F207" s="303">
        <f>Table3[[#This Row],[Mid 146]]*4.5%/360</f>
        <v>875.04181000000005</v>
      </c>
      <c r="G207" s="305">
        <v>661553.18000000005</v>
      </c>
      <c r="H207" s="303">
        <f>'Bank Int.'!$G207*0.5%/360</f>
        <v>9.1882386111111121</v>
      </c>
      <c r="I207" s="465">
        <v>40382.120000000003</v>
      </c>
      <c r="J207" s="467">
        <f>'Bank Int.'!$I207*6.5%/360</f>
        <v>7.2912161111111118</v>
      </c>
      <c r="K207" s="468">
        <v>43214.87</v>
      </c>
      <c r="L207" s="467">
        <f>'Bank Int.'!$K207*6.5%/360</f>
        <v>7.8026848611111115</v>
      </c>
      <c r="M207" s="451">
        <v>57998.2</v>
      </c>
      <c r="N207" s="452">
        <f>'Bank Int.'!$M207*8%/360</f>
        <v>12.888488888888888</v>
      </c>
    </row>
    <row r="208" spans="1:14" ht="22.5" customHeight="1" x14ac:dyDescent="0.25">
      <c r="A208" s="257"/>
      <c r="B208" s="253">
        <f t="shared" si="21"/>
        <v>45910</v>
      </c>
      <c r="C208" s="298">
        <v>1236380.79</v>
      </c>
      <c r="D208" s="295">
        <f>'Bank Int.'!$C208*7.5%/360</f>
        <v>257.57933125</v>
      </c>
      <c r="E208" s="306">
        <v>7000334.4800000004</v>
      </c>
      <c r="F208" s="303">
        <f>Table3[[#This Row],[Mid 146]]*4.5%/360</f>
        <v>875.04181000000005</v>
      </c>
      <c r="G208" s="305">
        <v>641452.18000000005</v>
      </c>
      <c r="H208" s="303">
        <f>'Bank Int.'!$G208*0.5%/360</f>
        <v>8.9090580555555565</v>
      </c>
      <c r="I208" s="465">
        <v>40382.120000000003</v>
      </c>
      <c r="J208" s="467">
        <f>'Bank Int.'!$I208*6.5%/360</f>
        <v>7.2912161111111118</v>
      </c>
      <c r="K208" s="468">
        <v>43214.87</v>
      </c>
      <c r="L208" s="467">
        <f>'Bank Int.'!$K208*6.5%/360</f>
        <v>7.8026848611111115</v>
      </c>
      <c r="M208" s="451">
        <v>57998.2</v>
      </c>
      <c r="N208" s="452">
        <f>'Bank Int.'!$M208*8%/360</f>
        <v>12.888488888888888</v>
      </c>
    </row>
    <row r="209" spans="1:14" ht="22.5" customHeight="1" x14ac:dyDescent="0.25">
      <c r="A209" s="257"/>
      <c r="B209" s="253">
        <f t="shared" si="21"/>
        <v>45909</v>
      </c>
      <c r="C209" s="298">
        <v>1136380.79</v>
      </c>
      <c r="D209" s="295">
        <f>'Bank Int.'!$C209*7.5%/360</f>
        <v>236.74599791666668</v>
      </c>
      <c r="E209" s="306">
        <v>7000334.4800000004</v>
      </c>
      <c r="F209" s="303">
        <f>Table3[[#This Row],[Mid 146]]*4.5%/360</f>
        <v>875.04181000000005</v>
      </c>
      <c r="G209" s="305">
        <v>191452.18</v>
      </c>
      <c r="H209" s="303">
        <f>'Bank Int.'!$G209*0.5%/360</f>
        <v>2.6590580555555556</v>
      </c>
      <c r="I209" s="465">
        <v>40382.120000000003</v>
      </c>
      <c r="J209" s="467">
        <f>'Bank Int.'!$I209*6.5%/360</f>
        <v>7.2912161111111118</v>
      </c>
      <c r="K209" s="468">
        <v>43214.87</v>
      </c>
      <c r="L209" s="467">
        <f>'Bank Int.'!$K209*6.5%/360</f>
        <v>7.8026848611111115</v>
      </c>
      <c r="M209" s="451">
        <v>57998.2</v>
      </c>
      <c r="N209" s="452">
        <f>'Bank Int.'!$M209*8%/360</f>
        <v>12.888488888888888</v>
      </c>
    </row>
    <row r="210" spans="1:14" ht="22.5" customHeight="1" x14ac:dyDescent="0.25">
      <c r="A210" s="257"/>
      <c r="B210" s="253">
        <f t="shared" si="21"/>
        <v>45908</v>
      </c>
      <c r="C210" s="298">
        <v>1170520.3999999999</v>
      </c>
      <c r="D210" s="295">
        <f>'Bank Int.'!$C210*7.5%/360</f>
        <v>243.85841666666661</v>
      </c>
      <c r="E210" s="306">
        <v>6898667.8099999996</v>
      </c>
      <c r="F210" s="303">
        <f>Table3[[#This Row],[Mid 146]]*4.5%/360</f>
        <v>862.33347624999988</v>
      </c>
      <c r="G210" s="305">
        <v>191452.18</v>
      </c>
      <c r="H210" s="303">
        <f>'Bank Int.'!$G210*0.5%/360</f>
        <v>2.6590580555555556</v>
      </c>
      <c r="I210" s="465">
        <v>40382.120000000003</v>
      </c>
      <c r="J210" s="467">
        <f>'Bank Int.'!$I210*6.5%/360</f>
        <v>7.2912161111111118</v>
      </c>
      <c r="K210" s="468">
        <v>43214.87</v>
      </c>
      <c r="L210" s="467">
        <f>'Bank Int.'!$K210*6.5%/360</f>
        <v>7.8026848611111115</v>
      </c>
      <c r="M210" s="451">
        <v>57998.2</v>
      </c>
      <c r="N210" s="452">
        <f>'Bank Int.'!$M210*8%/360</f>
        <v>12.888488888888888</v>
      </c>
    </row>
    <row r="211" spans="1:14" ht="22.5" customHeight="1" x14ac:dyDescent="0.25">
      <c r="A211" s="257"/>
      <c r="B211" s="253">
        <f t="shared" si="21"/>
        <v>45907</v>
      </c>
      <c r="C211" s="298">
        <v>989502.01</v>
      </c>
      <c r="D211" s="295">
        <f>'Bank Int.'!$C211*7.5%/360</f>
        <v>206.14625208333334</v>
      </c>
      <c r="E211" s="306">
        <v>6898667.8099999996</v>
      </c>
      <c r="F211" s="303">
        <f>Table3[[#This Row],[Mid 146]]*4.5%/360</f>
        <v>862.33347624999988</v>
      </c>
      <c r="G211" s="305">
        <v>191452.18</v>
      </c>
      <c r="H211" s="303">
        <f>'Bank Int.'!$G211*0.5%/360</f>
        <v>2.6590580555555556</v>
      </c>
      <c r="I211" s="465">
        <v>40382.120000000003</v>
      </c>
      <c r="J211" s="467">
        <f>'Bank Int.'!$I211*6.5%/360</f>
        <v>7.2912161111111118</v>
      </c>
      <c r="K211" s="468">
        <v>43214.87</v>
      </c>
      <c r="L211" s="467">
        <f>'Bank Int.'!$K211*6.5%/360</f>
        <v>7.8026848611111115</v>
      </c>
      <c r="M211" s="451">
        <v>57998.2</v>
      </c>
      <c r="N211" s="452">
        <f>'Bank Int.'!$M211*8%/360</f>
        <v>12.888488888888888</v>
      </c>
    </row>
    <row r="212" spans="1:14" ht="22.5" customHeight="1" x14ac:dyDescent="0.25">
      <c r="A212" s="257"/>
      <c r="B212" s="253">
        <v>45906</v>
      </c>
      <c r="C212" s="298">
        <v>990728.73</v>
      </c>
      <c r="D212" s="295">
        <f>'Bank Int.'!$C212*7.5%/360</f>
        <v>206.40181875000002</v>
      </c>
      <c r="E212" s="306">
        <v>6898667.8099999996</v>
      </c>
      <c r="F212" s="303">
        <f>Table3[[#This Row],[Mid 146]]*4.5%/360</f>
        <v>862.33347624999988</v>
      </c>
      <c r="G212" s="305">
        <v>23452.18</v>
      </c>
      <c r="H212" s="303">
        <f>'Bank Int.'!$G212*0.5%/360</f>
        <v>0.32572472222222226</v>
      </c>
      <c r="I212" s="465">
        <v>40382.120000000003</v>
      </c>
      <c r="J212" s="467">
        <f>'Bank Int.'!$I212*6.5%/360</f>
        <v>7.2912161111111118</v>
      </c>
      <c r="K212" s="468">
        <v>43214.87</v>
      </c>
      <c r="L212" s="467">
        <f>'Bank Int.'!$K212*6.5%/360</f>
        <v>7.8026848611111115</v>
      </c>
      <c r="M212" s="451">
        <v>57998.2</v>
      </c>
      <c r="N212" s="452">
        <f>'Bank Int.'!$M212*8%/360</f>
        <v>12.888488888888888</v>
      </c>
    </row>
    <row r="213" spans="1:14" ht="22.5" customHeight="1" x14ac:dyDescent="0.25">
      <c r="A213" s="257"/>
      <c r="B213" s="253">
        <f t="shared" ref="B213:B218" si="22">B212-1</f>
        <v>45905</v>
      </c>
      <c r="C213" s="298">
        <v>990728.73</v>
      </c>
      <c r="D213" s="295">
        <f>'Bank Int.'!$C213*7.5%/360</f>
        <v>206.40181875000002</v>
      </c>
      <c r="E213" s="306">
        <v>6898667.8099999996</v>
      </c>
      <c r="F213" s="303">
        <f>Table3[[#This Row],[Mid 146]]*4.5%/360</f>
        <v>862.33347624999988</v>
      </c>
      <c r="G213" s="305">
        <v>23452.18</v>
      </c>
      <c r="H213" s="303">
        <f>'Bank Int.'!$G213*0.5%/360</f>
        <v>0.32572472222222226</v>
      </c>
      <c r="I213" s="465">
        <v>40382.120000000003</v>
      </c>
      <c r="J213" s="467">
        <f>'Bank Int.'!$I213*6.5%/360</f>
        <v>7.2912161111111118</v>
      </c>
      <c r="K213" s="468">
        <v>43214.87</v>
      </c>
      <c r="L213" s="467">
        <f>'Bank Int.'!$K213*6.5%/360</f>
        <v>7.8026848611111115</v>
      </c>
      <c r="M213" s="451">
        <v>57998.2</v>
      </c>
      <c r="N213" s="452">
        <f>'Bank Int.'!$M213*8%/360</f>
        <v>12.888488888888888</v>
      </c>
    </row>
    <row r="214" spans="1:14" ht="22.5" customHeight="1" x14ac:dyDescent="0.25">
      <c r="A214" s="257"/>
      <c r="B214" s="253">
        <f t="shared" si="22"/>
        <v>45904</v>
      </c>
      <c r="C214" s="298">
        <v>990728.73</v>
      </c>
      <c r="D214" s="295">
        <f>'Bank Int.'!$C214*7.5%/360</f>
        <v>206.40181875000002</v>
      </c>
      <c r="E214" s="306">
        <v>6898667.8099999996</v>
      </c>
      <c r="F214" s="303">
        <f>Table3[[#This Row],[Mid 146]]*4.5%/360</f>
        <v>862.33347624999988</v>
      </c>
      <c r="G214" s="305">
        <v>23452.18</v>
      </c>
      <c r="H214" s="303">
        <f>'Bank Int.'!$G214*0.5%/360</f>
        <v>0.32572472222222226</v>
      </c>
      <c r="I214" s="465">
        <v>40382.120000000003</v>
      </c>
      <c r="J214" s="467">
        <f>'Bank Int.'!$I214*6.5%/360</f>
        <v>7.2912161111111118</v>
      </c>
      <c r="K214" s="468">
        <v>43214.87</v>
      </c>
      <c r="L214" s="467">
        <f>'Bank Int.'!$K214*6.5%/360</f>
        <v>7.8026848611111115</v>
      </c>
      <c r="M214" s="451">
        <v>57998.2</v>
      </c>
      <c r="N214" s="452">
        <f>'Bank Int.'!$M214*8%/360</f>
        <v>12.888488888888888</v>
      </c>
    </row>
    <row r="215" spans="1:14" ht="22.5" customHeight="1" x14ac:dyDescent="0.25">
      <c r="A215" s="257"/>
      <c r="B215" s="253">
        <f t="shared" si="22"/>
        <v>45903</v>
      </c>
      <c r="C215" s="298">
        <v>633425.23</v>
      </c>
      <c r="D215" s="295">
        <f>'Bank Int.'!$C215*7.5%/360</f>
        <v>131.96358958333332</v>
      </c>
      <c r="E215" s="306">
        <v>7756334.5700000003</v>
      </c>
      <c r="F215" s="303">
        <f>Table3[[#This Row],[Mid 146]]*4.5%/360</f>
        <v>969.54182125</v>
      </c>
      <c r="G215" s="305">
        <v>23452.18</v>
      </c>
      <c r="H215" s="303">
        <f>'Bank Int.'!$G215*0.5%/360</f>
        <v>0.32572472222222226</v>
      </c>
      <c r="I215" s="465">
        <v>40382.120000000003</v>
      </c>
      <c r="J215" s="467">
        <f>'Bank Int.'!$I215*6.5%/360</f>
        <v>7.2912161111111118</v>
      </c>
      <c r="K215" s="468">
        <v>43214.87</v>
      </c>
      <c r="L215" s="467">
        <f>'Bank Int.'!$K215*6.5%/360</f>
        <v>7.8026848611111115</v>
      </c>
      <c r="M215" s="451">
        <v>57998.2</v>
      </c>
      <c r="N215" s="452">
        <f>'Bank Int.'!$M215*8%/360</f>
        <v>12.888488888888888</v>
      </c>
    </row>
    <row r="216" spans="1:14" ht="22.5" customHeight="1" x14ac:dyDescent="0.25">
      <c r="A216" s="257"/>
      <c r="B216" s="253">
        <f t="shared" si="22"/>
        <v>45902</v>
      </c>
      <c r="C216" s="298">
        <v>633425.23</v>
      </c>
      <c r="D216" s="295">
        <f>'Bank Int.'!$C216*7.5%/360</f>
        <v>131.96358958333332</v>
      </c>
      <c r="E216" s="306">
        <v>7760243.8200000003</v>
      </c>
      <c r="F216" s="303">
        <f>Table3[[#This Row],[Mid 146]]*4.5%/360</f>
        <v>970.03047749999996</v>
      </c>
      <c r="G216" s="305">
        <v>23452.18</v>
      </c>
      <c r="H216" s="303">
        <f>'Bank Int.'!$G216*0.5%/360</f>
        <v>0.32572472222222226</v>
      </c>
      <c r="I216" s="465">
        <v>40382.120000000003</v>
      </c>
      <c r="J216" s="467">
        <f>'Bank Int.'!$I216*6.5%/360</f>
        <v>7.2912161111111118</v>
      </c>
      <c r="K216" s="468">
        <v>43214.87</v>
      </c>
      <c r="L216" s="467">
        <f>'Bank Int.'!$K216*6.5%/360</f>
        <v>7.8026848611111115</v>
      </c>
      <c r="M216" s="451">
        <v>57998.2</v>
      </c>
      <c r="N216" s="452">
        <f>'Bank Int.'!$M216*8%/360</f>
        <v>12.888488888888888</v>
      </c>
    </row>
    <row r="217" spans="1:14" ht="22.5" customHeight="1" x14ac:dyDescent="0.25">
      <c r="A217" s="257"/>
      <c r="B217" s="253">
        <f t="shared" si="22"/>
        <v>45901</v>
      </c>
      <c r="C217" s="298">
        <v>353583.23</v>
      </c>
      <c r="D217" s="295">
        <f>'Bank Int.'!$C217*7.5%/360</f>
        <v>73.663172916666667</v>
      </c>
      <c r="E217" s="306">
        <v>2761975.87</v>
      </c>
      <c r="F217" s="303">
        <f>Table3[[#This Row],[Mid 146]]*4.5%/360</f>
        <v>345.24698374999997</v>
      </c>
      <c r="G217" s="305">
        <v>2123452.1800000002</v>
      </c>
      <c r="H217" s="303">
        <f>'Bank Int.'!$G217*0.5%/360</f>
        <v>29.49239138888889</v>
      </c>
      <c r="I217" s="465">
        <v>40382.120000000003</v>
      </c>
      <c r="J217" s="467">
        <f>'Bank Int.'!$I217*6.5%/360</f>
        <v>7.2912161111111118</v>
      </c>
      <c r="K217" s="468">
        <v>43214.87</v>
      </c>
      <c r="L217" s="467">
        <f>'Bank Int.'!$K217*6.5%/360</f>
        <v>7.8026848611111115</v>
      </c>
      <c r="M217" s="451">
        <v>57998.2</v>
      </c>
      <c r="N217" s="452">
        <f>'Bank Int.'!$M217*8%/360</f>
        <v>12.888488888888888</v>
      </c>
    </row>
    <row r="218" spans="1:14" ht="22.5" customHeight="1" x14ac:dyDescent="0.25">
      <c r="A218" s="257"/>
      <c r="B218" s="253">
        <f t="shared" si="22"/>
        <v>45900</v>
      </c>
      <c r="C218" s="298">
        <v>146857.28</v>
      </c>
      <c r="D218" s="295">
        <f>'Bank Int.'!$C218*7.5%/360</f>
        <v>30.595266666666667</v>
      </c>
      <c r="E218" s="306">
        <v>28761975.870000001</v>
      </c>
      <c r="F218" s="303">
        <f>Table3[[#This Row],[Mid 146]]*4.5%/360</f>
        <v>3595.2469837500003</v>
      </c>
      <c r="G218" s="305">
        <v>1973452.18</v>
      </c>
      <c r="H218" s="303">
        <f>'Bank Int.'!$G218*0.5%/360</f>
        <v>27.409058055555555</v>
      </c>
      <c r="I218" s="465">
        <v>40382.120000000003</v>
      </c>
      <c r="J218" s="467">
        <f>'Bank Int.'!$I218*6.5%/360</f>
        <v>7.2912161111111118</v>
      </c>
      <c r="K218" s="468">
        <v>43214.87</v>
      </c>
      <c r="L218" s="467">
        <f>'Bank Int.'!$K218*6.5%/360</f>
        <v>7.8026848611111115</v>
      </c>
      <c r="M218" s="451">
        <v>57998.2</v>
      </c>
      <c r="N218" s="452">
        <f>'Bank Int.'!$M218*8%/360</f>
        <v>12.888488888888888</v>
      </c>
    </row>
    <row r="219" spans="1:14" ht="22.5" customHeight="1" x14ac:dyDescent="0.25">
      <c r="A219" s="257"/>
      <c r="B219" s="253">
        <v>45899</v>
      </c>
      <c r="C219" s="298">
        <v>246957.28</v>
      </c>
      <c r="D219" s="295">
        <f>'Bank Int.'!$C219*7.5%/360</f>
        <v>51.449433333333332</v>
      </c>
      <c r="E219" s="306">
        <v>8904824.6600000039</v>
      </c>
      <c r="F219" s="303">
        <f>Table3[[#This Row],[Mid 146]]*4.5%/360</f>
        <v>1113.1030825000005</v>
      </c>
      <c r="G219" s="305">
        <v>1970477.17</v>
      </c>
      <c r="H219" s="303">
        <f>'Bank Int.'!$G219*0.5%/360</f>
        <v>27.367738472222225</v>
      </c>
      <c r="I219" s="465">
        <v>40382.120000000003</v>
      </c>
      <c r="J219" s="467">
        <f>'Bank Int.'!$I219*6.5%/360</f>
        <v>7.2912161111111118</v>
      </c>
      <c r="K219" s="468">
        <v>43214.87</v>
      </c>
      <c r="L219" s="467">
        <f>'Bank Int.'!$K219*6.5%/360</f>
        <v>7.8026848611111115</v>
      </c>
      <c r="M219" s="451">
        <v>57998.2</v>
      </c>
      <c r="N219" s="452">
        <f>'Bank Int.'!$M219*8%/360</f>
        <v>12.888488888888888</v>
      </c>
    </row>
    <row r="220" spans="1:14" ht="22.5" customHeight="1" x14ac:dyDescent="0.25">
      <c r="A220" s="257"/>
      <c r="B220" s="253">
        <f t="shared" ref="B220:B225" si="23">B219-1</f>
        <v>45898</v>
      </c>
      <c r="C220" s="298">
        <v>246957.28</v>
      </c>
      <c r="D220" s="295">
        <f>'Bank Int.'!$C220*7.5%/360</f>
        <v>51.449433333333332</v>
      </c>
      <c r="E220" s="306">
        <v>8904824.6600000039</v>
      </c>
      <c r="F220" s="303">
        <f>Table3[[#This Row],[Mid 146]]*4.5%/360</f>
        <v>1113.1030825000005</v>
      </c>
      <c r="G220" s="305">
        <v>1970477.17</v>
      </c>
      <c r="H220" s="303">
        <f>'Bank Int.'!$G220*0.5%/360</f>
        <v>27.367738472222225</v>
      </c>
      <c r="I220" s="465">
        <v>40382.120000000003</v>
      </c>
      <c r="J220" s="467">
        <f>'Bank Int.'!$I220*6.5%/360</f>
        <v>7.2912161111111118</v>
      </c>
      <c r="K220" s="468">
        <v>43214.87</v>
      </c>
      <c r="L220" s="467">
        <f>'Bank Int.'!$K220*6.5%/360</f>
        <v>7.8026848611111115</v>
      </c>
      <c r="M220" s="451">
        <v>57998.2</v>
      </c>
      <c r="N220" s="452">
        <f>'Bank Int.'!$M220*8%/360</f>
        <v>12.888488888888888</v>
      </c>
    </row>
    <row r="221" spans="1:14" ht="22.5" customHeight="1" x14ac:dyDescent="0.25">
      <c r="A221" s="257"/>
      <c r="B221" s="253">
        <f t="shared" si="23"/>
        <v>45897</v>
      </c>
      <c r="C221" s="298">
        <v>246957.28</v>
      </c>
      <c r="D221" s="295">
        <f>'Bank Int.'!$C221*7.5%/360</f>
        <v>51.449433333333332</v>
      </c>
      <c r="E221" s="306">
        <v>8904824.6600000039</v>
      </c>
      <c r="F221" s="303">
        <f>Table3[[#This Row],[Mid 146]]*4.5%/360</f>
        <v>1113.1030825000005</v>
      </c>
      <c r="G221" s="305">
        <v>1970477.17</v>
      </c>
      <c r="H221" s="303">
        <f>'Bank Int.'!$G221*0.5%/360</f>
        <v>27.367738472222225</v>
      </c>
      <c r="I221" s="465">
        <v>40382.120000000003</v>
      </c>
      <c r="J221" s="467">
        <f>'Bank Int.'!$I221*6.5%/360</f>
        <v>7.2912161111111118</v>
      </c>
      <c r="K221" s="468">
        <v>43214.87</v>
      </c>
      <c r="L221" s="467">
        <f>'Bank Int.'!$K221*6.5%/360</f>
        <v>7.8026848611111115</v>
      </c>
      <c r="M221" s="451">
        <v>57998.2</v>
      </c>
      <c r="N221" s="452">
        <f>'Bank Int.'!$M221*8%/360</f>
        <v>12.888488888888888</v>
      </c>
    </row>
    <row r="222" spans="1:14" ht="22.5" customHeight="1" x14ac:dyDescent="0.25">
      <c r="A222" s="257"/>
      <c r="B222" s="253">
        <f t="shared" si="23"/>
        <v>45896</v>
      </c>
      <c r="C222" s="298">
        <v>35751465.100000001</v>
      </c>
      <c r="D222" s="295">
        <f>'Bank Int.'!$C222*7.5%/360</f>
        <v>7448.2218958333333</v>
      </c>
      <c r="E222" s="306">
        <v>11181508.779999999</v>
      </c>
      <c r="F222" s="303">
        <f>Table3[[#This Row],[Mid 146]]*4.5%/360</f>
        <v>1397.6885975</v>
      </c>
      <c r="G222" s="305">
        <v>495477.18</v>
      </c>
      <c r="H222" s="303">
        <f>'Bank Int.'!$G222*0.5%/360</f>
        <v>6.8816275000000005</v>
      </c>
      <c r="I222" s="465">
        <v>40382.120000000003</v>
      </c>
      <c r="J222" s="467">
        <f>'Bank Int.'!$I222*6.5%/360</f>
        <v>7.2912161111111118</v>
      </c>
      <c r="K222" s="468">
        <v>43214.87</v>
      </c>
      <c r="L222" s="467">
        <f>'Bank Int.'!$K222*6.5%/360</f>
        <v>7.8026848611111115</v>
      </c>
      <c r="M222" s="451">
        <v>57998.2</v>
      </c>
      <c r="N222" s="452">
        <f>'Bank Int.'!$M222*8%/360</f>
        <v>12.888488888888888</v>
      </c>
    </row>
    <row r="223" spans="1:14" ht="22.5" customHeight="1" x14ac:dyDescent="0.25">
      <c r="A223" s="257"/>
      <c r="B223" s="253">
        <f t="shared" si="23"/>
        <v>45895</v>
      </c>
      <c r="C223" s="298">
        <v>35751465.100000001</v>
      </c>
      <c r="D223" s="295">
        <f>'Bank Int.'!$C223*7.5%/360</f>
        <v>7448.2218958333333</v>
      </c>
      <c r="E223" s="306">
        <v>11181508.779999999</v>
      </c>
      <c r="F223" s="303">
        <f>Table3[[#This Row],[Mid 146]]*4.5%/360</f>
        <v>1397.6885975</v>
      </c>
      <c r="G223" s="305">
        <v>549017.18000000005</v>
      </c>
      <c r="H223" s="303">
        <f>'Bank Int.'!$G223*0.5%/360</f>
        <v>7.6252386111111123</v>
      </c>
      <c r="I223" s="465">
        <v>40382.120000000003</v>
      </c>
      <c r="J223" s="467">
        <f>'Bank Int.'!$I223*6.5%/360</f>
        <v>7.2912161111111118</v>
      </c>
      <c r="K223" s="468">
        <v>43214.87</v>
      </c>
      <c r="L223" s="467">
        <f>'Bank Int.'!$K223*6.5%/360</f>
        <v>7.8026848611111115</v>
      </c>
      <c r="M223" s="451">
        <v>57998.2</v>
      </c>
      <c r="N223" s="452">
        <f>'Bank Int.'!$M223*8%/360</f>
        <v>12.888488888888888</v>
      </c>
    </row>
    <row r="224" spans="1:14" ht="22.5" customHeight="1" x14ac:dyDescent="0.25">
      <c r="A224" s="257"/>
      <c r="B224" s="253">
        <f t="shared" si="23"/>
        <v>45894</v>
      </c>
      <c r="C224" s="298">
        <v>45355091.5</v>
      </c>
      <c r="D224" s="295">
        <f>'Bank Int.'!$C224*7.5%/360</f>
        <v>9448.9773958333335</v>
      </c>
      <c r="E224" s="306">
        <v>6050477.2199999997</v>
      </c>
      <c r="F224" s="303">
        <f>Table3[[#This Row],[Mid 146]]*4.5%/360</f>
        <v>756.30965249999997</v>
      </c>
      <c r="G224" s="305">
        <v>102337.18</v>
      </c>
      <c r="H224" s="303">
        <f>'Bank Int.'!$G224*0.5%/360</f>
        <v>1.4213497222222222</v>
      </c>
      <c r="I224" s="465">
        <v>40382.120000000003</v>
      </c>
      <c r="J224" s="467">
        <f>'Bank Int.'!$I224*6.5%/360</f>
        <v>7.2912161111111118</v>
      </c>
      <c r="K224" s="468">
        <v>43214.87</v>
      </c>
      <c r="L224" s="467">
        <f>'Bank Int.'!$K224*6.5%/360</f>
        <v>7.8026848611111115</v>
      </c>
      <c r="M224" s="451">
        <v>57998.2</v>
      </c>
      <c r="N224" s="452">
        <f>'Bank Int.'!$M224*8%/360</f>
        <v>12.888488888888888</v>
      </c>
    </row>
    <row r="225" spans="1:14" ht="22.5" customHeight="1" x14ac:dyDescent="0.25">
      <c r="A225" s="257"/>
      <c r="B225" s="253">
        <f t="shared" si="23"/>
        <v>45893</v>
      </c>
      <c r="C225" s="298">
        <v>1270133.49</v>
      </c>
      <c r="D225" s="295">
        <f>'Bank Int.'!$C225*7.5%/360</f>
        <v>264.61114375</v>
      </c>
      <c r="E225" s="306">
        <v>56050477.219999999</v>
      </c>
      <c r="F225" s="303">
        <f>Table3[[#This Row],[Mid 146]]*4.5%/360</f>
        <v>7006.3096524999992</v>
      </c>
      <c r="G225" s="305">
        <v>102337.18</v>
      </c>
      <c r="H225" s="303">
        <f>'Bank Int.'!$G225*0.5%/360</f>
        <v>1.4213497222222222</v>
      </c>
      <c r="I225" s="465">
        <v>40382.120000000003</v>
      </c>
      <c r="J225" s="467">
        <f>'Bank Int.'!$I225*6.5%/360</f>
        <v>7.2912161111111118</v>
      </c>
      <c r="K225" s="468">
        <v>43214.87</v>
      </c>
      <c r="L225" s="467">
        <f>'Bank Int.'!$K225*6.5%/360</f>
        <v>7.8026848611111115</v>
      </c>
      <c r="M225" s="451">
        <v>57998.2</v>
      </c>
      <c r="N225" s="452">
        <f>'Bank Int.'!$M225*8%/360</f>
        <v>12.888488888888888</v>
      </c>
    </row>
    <row r="226" spans="1:14" ht="22.5" customHeight="1" x14ac:dyDescent="0.25">
      <c r="A226" s="257"/>
      <c r="B226" s="253">
        <v>45892</v>
      </c>
      <c r="C226" s="298">
        <v>289324.55</v>
      </c>
      <c r="D226" s="295">
        <f>'Bank Int.'!$C226*7.5%/360</f>
        <v>60.275947916666659</v>
      </c>
      <c r="E226" s="306">
        <v>21763833.649999999</v>
      </c>
      <c r="F226" s="303">
        <f>Table3[[#This Row],[Mid 146]]*4.5%/360</f>
        <v>2720.4792062499996</v>
      </c>
      <c r="G226" s="305">
        <v>122337.18</v>
      </c>
      <c r="H226" s="303">
        <f>'Bank Int.'!$G226*0.5%/360</f>
        <v>1.6991274999999999</v>
      </c>
      <c r="I226" s="465">
        <v>40382.120000000003</v>
      </c>
      <c r="J226" s="467">
        <f>'Bank Int.'!$I226*6.5%/360</f>
        <v>7.2912161111111118</v>
      </c>
      <c r="K226" s="468">
        <v>43214.87</v>
      </c>
      <c r="L226" s="467">
        <f>'Bank Int.'!$K226*6.5%/360</f>
        <v>7.8026848611111115</v>
      </c>
      <c r="M226" s="451">
        <v>57998.2</v>
      </c>
      <c r="N226" s="452">
        <f>'Bank Int.'!$M226*8%/360</f>
        <v>12.888488888888888</v>
      </c>
    </row>
    <row r="227" spans="1:14" ht="22.5" customHeight="1" x14ac:dyDescent="0.25">
      <c r="A227" s="257"/>
      <c r="B227" s="253">
        <f t="shared" ref="B227:B232" si="24">B226-1</f>
        <v>45891</v>
      </c>
      <c r="C227" s="298">
        <v>289324.55</v>
      </c>
      <c r="D227" s="295">
        <f>'Bank Int.'!$C227*7.5%/360</f>
        <v>60.275947916666659</v>
      </c>
      <c r="E227" s="306">
        <v>21763833.649999999</v>
      </c>
      <c r="F227" s="303">
        <f>Table3[[#This Row],[Mid 146]]*4.5%/360</f>
        <v>2720.4792062499996</v>
      </c>
      <c r="G227" s="305">
        <v>122337.18</v>
      </c>
      <c r="H227" s="303">
        <f>'Bank Int.'!$G227*0.5%/360</f>
        <v>1.6991274999999999</v>
      </c>
      <c r="I227" s="465">
        <v>40382.120000000003</v>
      </c>
      <c r="J227" s="467">
        <f>'Bank Int.'!$I227*6.5%/360</f>
        <v>7.2912161111111118</v>
      </c>
      <c r="K227" s="468">
        <v>43214.87</v>
      </c>
      <c r="L227" s="467">
        <f>'Bank Int.'!$K227*6.5%/360</f>
        <v>7.8026848611111115</v>
      </c>
      <c r="M227" s="451">
        <v>57998.2</v>
      </c>
      <c r="N227" s="452">
        <f>'Bank Int.'!$M227*8%/360</f>
        <v>12.888488888888888</v>
      </c>
    </row>
    <row r="228" spans="1:14" ht="22.5" customHeight="1" x14ac:dyDescent="0.25">
      <c r="A228" s="257"/>
      <c r="B228" s="253">
        <f t="shared" si="24"/>
        <v>45890</v>
      </c>
      <c r="C228" s="298">
        <v>289324.55</v>
      </c>
      <c r="D228" s="295">
        <f>'Bank Int.'!$C228*7.5%/360</f>
        <v>60.275947916666659</v>
      </c>
      <c r="E228" s="306">
        <v>21763833.649999999</v>
      </c>
      <c r="F228" s="303">
        <f>Table3[[#This Row],[Mid 146]]*4.5%/360</f>
        <v>2720.4792062499996</v>
      </c>
      <c r="G228" s="305">
        <v>122337.18</v>
      </c>
      <c r="H228" s="303">
        <f>'Bank Int.'!$G228*0.5%/360</f>
        <v>1.6991274999999999</v>
      </c>
      <c r="I228" s="465">
        <v>40382.120000000003</v>
      </c>
      <c r="J228" s="467">
        <f>'Bank Int.'!$I228*6.5%/360</f>
        <v>7.2912161111111118</v>
      </c>
      <c r="K228" s="468">
        <v>43214.87</v>
      </c>
      <c r="L228" s="467">
        <f>'Bank Int.'!$K228*6.5%/360</f>
        <v>7.8026848611111115</v>
      </c>
      <c r="M228" s="451">
        <v>57998.2</v>
      </c>
      <c r="N228" s="452">
        <f>'Bank Int.'!$M228*8%/360</f>
        <v>12.888488888888888</v>
      </c>
    </row>
    <row r="229" spans="1:14" ht="22.5" customHeight="1" x14ac:dyDescent="0.25">
      <c r="A229" s="257"/>
      <c r="B229" s="253">
        <f t="shared" si="24"/>
        <v>45889</v>
      </c>
      <c r="C229" s="298">
        <v>289324.55</v>
      </c>
      <c r="D229" s="295">
        <f>'Bank Int.'!$C229*7.5%/360</f>
        <v>60.275947916666659</v>
      </c>
      <c r="E229" s="306">
        <v>2147628.36</v>
      </c>
      <c r="F229" s="303">
        <f>Table3[[#This Row],[Mid 146]]*4.5%/360</f>
        <v>268.45354499999996</v>
      </c>
      <c r="G229" s="305">
        <v>122337.18</v>
      </c>
      <c r="H229" s="303">
        <f>'Bank Int.'!$G229*0.5%/360</f>
        <v>1.6991274999999999</v>
      </c>
      <c r="I229" s="465">
        <v>40382.120000000003</v>
      </c>
      <c r="J229" s="467">
        <f>'Bank Int.'!$I229*6.5%/360</f>
        <v>7.2912161111111118</v>
      </c>
      <c r="K229" s="468">
        <v>43214.87</v>
      </c>
      <c r="L229" s="467">
        <f>'Bank Int.'!$K229*6.5%/360</f>
        <v>7.8026848611111115</v>
      </c>
      <c r="M229" s="451">
        <v>57998.2</v>
      </c>
      <c r="N229" s="452">
        <f>'Bank Int.'!$M229*8%/360</f>
        <v>12.888488888888888</v>
      </c>
    </row>
    <row r="230" spans="1:14" ht="22.5" customHeight="1" x14ac:dyDescent="0.25">
      <c r="A230" s="257"/>
      <c r="B230" s="253">
        <f t="shared" si="24"/>
        <v>45888</v>
      </c>
      <c r="C230" s="298">
        <v>289324.55</v>
      </c>
      <c r="D230" s="295">
        <f>'Bank Int.'!$C230*7.5%/360</f>
        <v>60.275947916666659</v>
      </c>
      <c r="E230" s="306">
        <v>2147628.36</v>
      </c>
      <c r="F230" s="303">
        <f>Table3[[#This Row],[Mid 146]]*4.5%/360</f>
        <v>268.45354499999996</v>
      </c>
      <c r="G230" s="305">
        <v>122337.18</v>
      </c>
      <c r="H230" s="303">
        <f>'Bank Int.'!$G230*0.5%/360</f>
        <v>1.6991274999999999</v>
      </c>
      <c r="I230" s="465">
        <v>40382.120000000003</v>
      </c>
      <c r="J230" s="467">
        <f>'Bank Int.'!$I230*6.5%/360</f>
        <v>7.2912161111111118</v>
      </c>
      <c r="K230" s="468">
        <v>43214.87</v>
      </c>
      <c r="L230" s="467">
        <f>'Bank Int.'!$K230*6.5%/360</f>
        <v>7.8026848611111115</v>
      </c>
      <c r="M230" s="451">
        <v>57998.2</v>
      </c>
      <c r="N230" s="452">
        <f>'Bank Int.'!$M230*8%/360</f>
        <v>12.888488888888888</v>
      </c>
    </row>
    <row r="231" spans="1:14" ht="22.5" customHeight="1" x14ac:dyDescent="0.25">
      <c r="A231" s="257"/>
      <c r="B231" s="253">
        <f t="shared" si="24"/>
        <v>45887</v>
      </c>
      <c r="C231" s="298">
        <v>1129158.55</v>
      </c>
      <c r="D231" s="295">
        <f>'Bank Int.'!$C231*7.5%/360</f>
        <v>235.24136458333334</v>
      </c>
      <c r="E231" s="306">
        <v>5289561.95</v>
      </c>
      <c r="F231" s="303">
        <f>Table3[[#This Row],[Mid 146]]*4.5%/360</f>
        <v>661.19524374999992</v>
      </c>
      <c r="G231" s="305">
        <v>122337.18</v>
      </c>
      <c r="H231" s="303">
        <f>'Bank Int.'!$G231*0.5%/360</f>
        <v>1.6991274999999999</v>
      </c>
      <c r="I231" s="465">
        <v>40382.120000000003</v>
      </c>
      <c r="J231" s="467">
        <f>'Bank Int.'!$I231*6.5%/360</f>
        <v>7.2912161111111118</v>
      </c>
      <c r="K231" s="468">
        <v>43214.87</v>
      </c>
      <c r="L231" s="467">
        <f>'Bank Int.'!$K231*6.5%/360</f>
        <v>7.8026848611111115</v>
      </c>
      <c r="M231" s="451">
        <v>57998.2</v>
      </c>
      <c r="N231" s="452">
        <f>'Bank Int.'!$M231*8%/360</f>
        <v>12.888488888888888</v>
      </c>
    </row>
    <row r="232" spans="1:14" ht="22.5" customHeight="1" x14ac:dyDescent="0.25">
      <c r="A232" s="257"/>
      <c r="B232" s="253">
        <f t="shared" si="24"/>
        <v>45886</v>
      </c>
      <c r="C232" s="298">
        <v>1044416.55</v>
      </c>
      <c r="D232" s="295">
        <f>'Bank Int.'!$C232*7.5%/360</f>
        <v>217.58678125000003</v>
      </c>
      <c r="E232" s="306">
        <v>5289561.95</v>
      </c>
      <c r="F232" s="303">
        <f>Table3[[#This Row],[Mid 146]]*4.5%/360</f>
        <v>661.19524374999992</v>
      </c>
      <c r="G232" s="305">
        <v>127337.18</v>
      </c>
      <c r="H232" s="303">
        <f>'Bank Int.'!$G232*0.5%/360</f>
        <v>1.7685719444444443</v>
      </c>
      <c r="I232" s="465">
        <v>40382.120000000003</v>
      </c>
      <c r="J232" s="467">
        <f>'Bank Int.'!$I232*6.5%/360</f>
        <v>7.2912161111111118</v>
      </c>
      <c r="K232" s="468">
        <v>43214.87</v>
      </c>
      <c r="L232" s="467">
        <f>'Bank Int.'!$K232*6.5%/360</f>
        <v>7.8026848611111115</v>
      </c>
      <c r="M232" s="451">
        <v>57998.2</v>
      </c>
      <c r="N232" s="452">
        <f>'Bank Int.'!$M232*8%/360</f>
        <v>12.888488888888888</v>
      </c>
    </row>
    <row r="233" spans="1:14" ht="22.5" customHeight="1" x14ac:dyDescent="0.25">
      <c r="A233" s="257"/>
      <c r="B233" s="253">
        <v>45885</v>
      </c>
      <c r="C233" s="298">
        <v>1570003.55</v>
      </c>
      <c r="D233" s="295">
        <f>'Bank Int.'!$C233*7.5%/360</f>
        <v>327.08407291666668</v>
      </c>
      <c r="E233" s="306">
        <v>260493.45</v>
      </c>
      <c r="F233" s="303">
        <f>Table3[[#This Row],[Mid 146]]*4.5%/360</f>
        <v>32.561681249999999</v>
      </c>
      <c r="G233" s="305">
        <v>18337.18</v>
      </c>
      <c r="H233" s="303">
        <f>'Bank Int.'!$G233*0.5%/360</f>
        <v>0.25468305555555559</v>
      </c>
      <c r="I233" s="465">
        <v>40382.120000000003</v>
      </c>
      <c r="J233" s="467">
        <f>'Bank Int.'!$I233*6.5%/360</f>
        <v>7.2912161111111118</v>
      </c>
      <c r="K233" s="468">
        <v>43214.87</v>
      </c>
      <c r="L233" s="467">
        <f>'Bank Int.'!$K233*6.5%/360</f>
        <v>7.8026848611111115</v>
      </c>
      <c r="M233" s="451">
        <v>57998.2</v>
      </c>
      <c r="N233" s="452">
        <f>'Bank Int.'!$M233*8%/360</f>
        <v>12.888488888888888</v>
      </c>
    </row>
    <row r="234" spans="1:14" ht="22.5" customHeight="1" x14ac:dyDescent="0.25">
      <c r="A234" s="257"/>
      <c r="B234" s="253">
        <f t="shared" ref="B234:B239" si="25">B233-1</f>
        <v>45884</v>
      </c>
      <c r="C234" s="298">
        <v>1570003.55</v>
      </c>
      <c r="D234" s="295">
        <f>'Bank Int.'!$C234*7.5%/360</f>
        <v>327.08407291666668</v>
      </c>
      <c r="E234" s="306">
        <v>260493.45</v>
      </c>
      <c r="F234" s="303">
        <f>Table3[[#This Row],[Mid 146]]*4.5%/360</f>
        <v>32.561681249999999</v>
      </c>
      <c r="G234" s="305">
        <v>18337.18</v>
      </c>
      <c r="H234" s="303">
        <f>'Bank Int.'!$G234*0.5%/360</f>
        <v>0.25468305555555559</v>
      </c>
      <c r="I234" s="465">
        <v>40382.120000000003</v>
      </c>
      <c r="J234" s="467">
        <f>'Bank Int.'!$I234*6.5%/360</f>
        <v>7.2912161111111118</v>
      </c>
      <c r="K234" s="468">
        <v>43214.87</v>
      </c>
      <c r="L234" s="467">
        <f>'Bank Int.'!$K234*6.5%/360</f>
        <v>7.8026848611111115</v>
      </c>
      <c r="M234" s="451">
        <v>57998.2</v>
      </c>
      <c r="N234" s="452">
        <f>'Bank Int.'!$M234*8%/360</f>
        <v>12.888488888888888</v>
      </c>
    </row>
    <row r="235" spans="1:14" ht="22.5" customHeight="1" x14ac:dyDescent="0.25">
      <c r="A235" s="257"/>
      <c r="B235" s="253">
        <f t="shared" si="25"/>
        <v>45883</v>
      </c>
      <c r="C235" s="298">
        <v>1570003.55</v>
      </c>
      <c r="D235" s="295">
        <f>'Bank Int.'!$C235*7.5%/360</f>
        <v>327.08407291666668</v>
      </c>
      <c r="E235" s="306">
        <v>260493.45</v>
      </c>
      <c r="F235" s="303">
        <f>Table3[[#This Row],[Mid 146]]*4.5%/360</f>
        <v>32.561681249999999</v>
      </c>
      <c r="G235" s="305">
        <v>18337.18</v>
      </c>
      <c r="H235" s="303">
        <f>'Bank Int.'!$G235*0.5%/360</f>
        <v>0.25468305555555559</v>
      </c>
      <c r="I235" s="465">
        <v>40382.120000000003</v>
      </c>
      <c r="J235" s="467">
        <f>'Bank Int.'!$I235*6.5%/360</f>
        <v>7.2912161111111118</v>
      </c>
      <c r="K235" s="468">
        <v>43214.87</v>
      </c>
      <c r="L235" s="467">
        <f>'Bank Int.'!$K235*6.5%/360</f>
        <v>7.8026848611111115</v>
      </c>
      <c r="M235" s="451">
        <v>57998.2</v>
      </c>
      <c r="N235" s="452">
        <f>'Bank Int.'!$M235*8%/360</f>
        <v>12.888488888888888</v>
      </c>
    </row>
    <row r="236" spans="1:14" ht="22.5" customHeight="1" x14ac:dyDescent="0.25">
      <c r="A236" s="257"/>
      <c r="B236" s="253">
        <f t="shared" si="25"/>
        <v>45882</v>
      </c>
      <c r="C236" s="298">
        <v>491137.15</v>
      </c>
      <c r="D236" s="295">
        <f>'Bank Int.'!$C236*7.5%/360</f>
        <v>102.32023958333333</v>
      </c>
      <c r="E236" s="306">
        <v>209046.86</v>
      </c>
      <c r="F236" s="303">
        <f>Table3[[#This Row],[Mid 146]]*4.5%/360</f>
        <v>26.130857499999998</v>
      </c>
      <c r="G236" s="305">
        <v>818337.18</v>
      </c>
      <c r="H236" s="303">
        <f>'Bank Int.'!$G236*0.5%/360</f>
        <v>11.365794166666667</v>
      </c>
      <c r="I236" s="465">
        <v>40382.120000000003</v>
      </c>
      <c r="J236" s="467">
        <f>'Bank Int.'!$I236*6.5%/360</f>
        <v>7.2912161111111118</v>
      </c>
      <c r="K236" s="468">
        <v>43214.87</v>
      </c>
      <c r="L236" s="467">
        <f>'Bank Int.'!$K236*6.5%/360</f>
        <v>7.8026848611111115</v>
      </c>
      <c r="M236" s="451">
        <v>57998.2</v>
      </c>
      <c r="N236" s="452">
        <f>'Bank Int.'!$M236*8%/360</f>
        <v>12.888488888888888</v>
      </c>
    </row>
    <row r="237" spans="1:14" ht="22.5" customHeight="1" x14ac:dyDescent="0.25">
      <c r="A237" s="257"/>
      <c r="B237" s="253">
        <f t="shared" si="25"/>
        <v>45881</v>
      </c>
      <c r="C237" s="298">
        <v>6752253.9500000002</v>
      </c>
      <c r="D237" s="295">
        <f>'Bank Int.'!$C237*7.5%/360</f>
        <v>1406.7195729166667</v>
      </c>
      <c r="E237" s="306">
        <v>2219069.36</v>
      </c>
      <c r="F237" s="303">
        <f>Table3[[#This Row],[Mid 146]]*4.5%/360</f>
        <v>277.38367</v>
      </c>
      <c r="G237" s="305">
        <v>18337.18</v>
      </c>
      <c r="H237" s="303">
        <f>'Bank Int.'!$G237*0.5%/360</f>
        <v>0.25468305555555559</v>
      </c>
      <c r="I237" s="465">
        <v>40382.120000000003</v>
      </c>
      <c r="J237" s="467">
        <f>'Bank Int.'!$I237*6.5%/360</f>
        <v>7.2912161111111118</v>
      </c>
      <c r="K237" s="468">
        <v>43214.87</v>
      </c>
      <c r="L237" s="467">
        <f>'Bank Int.'!$K237*6.5%/360</f>
        <v>7.8026848611111115</v>
      </c>
      <c r="M237" s="451">
        <v>57998.2</v>
      </c>
      <c r="N237" s="452">
        <f>'Bank Int.'!$M237*8%/360</f>
        <v>12.888488888888888</v>
      </c>
    </row>
    <row r="238" spans="1:14" ht="22.5" customHeight="1" x14ac:dyDescent="0.25">
      <c r="A238" s="257"/>
      <c r="B238" s="253">
        <f t="shared" si="25"/>
        <v>45880</v>
      </c>
      <c r="C238" s="298">
        <v>4897012.33</v>
      </c>
      <c r="D238" s="295">
        <f>'Bank Int.'!$C238*7.5%/360</f>
        <v>1020.2109020833334</v>
      </c>
      <c r="E238" s="306">
        <v>1285738.3500000001</v>
      </c>
      <c r="F238" s="303">
        <f>Table3[[#This Row],[Mid 146]]*4.5%/360</f>
        <v>160.71729375000001</v>
      </c>
      <c r="G238" s="305">
        <v>1318337.18</v>
      </c>
      <c r="H238" s="303">
        <f>'Bank Int.'!$G238*0.5%/360</f>
        <v>18.31023861111111</v>
      </c>
      <c r="I238" s="465">
        <v>40382.120000000003</v>
      </c>
      <c r="J238" s="467">
        <f>'Bank Int.'!$I238*6.5%/360</f>
        <v>7.2912161111111118</v>
      </c>
      <c r="K238" s="468">
        <v>43214.87</v>
      </c>
      <c r="L238" s="467">
        <f>'Bank Int.'!$K238*6.5%/360</f>
        <v>7.8026848611111115</v>
      </c>
      <c r="M238" s="451">
        <v>57998.2</v>
      </c>
      <c r="N238" s="452">
        <f>'Bank Int.'!$M238*8%/360</f>
        <v>12.888488888888888</v>
      </c>
    </row>
    <row r="239" spans="1:14" ht="22.5" customHeight="1" x14ac:dyDescent="0.25">
      <c r="A239" s="257"/>
      <c r="B239" s="253">
        <f t="shared" si="25"/>
        <v>45879</v>
      </c>
      <c r="C239" s="298">
        <v>4890553.33</v>
      </c>
      <c r="D239" s="295">
        <f>'Bank Int.'!$C239*7.5%/360</f>
        <v>1018.8652770833334</v>
      </c>
      <c r="E239" s="306">
        <v>879071.68</v>
      </c>
      <c r="F239" s="303">
        <f>Table3[[#This Row],[Mid 146]]*4.5%/360</f>
        <v>109.88395999999999</v>
      </c>
      <c r="G239" s="305">
        <v>1218337.18</v>
      </c>
      <c r="H239" s="303">
        <f>'Bank Int.'!$G239*0.5%/360</f>
        <v>16.921349722222221</v>
      </c>
      <c r="I239" s="465">
        <v>40382.120000000003</v>
      </c>
      <c r="J239" s="467">
        <f>'Bank Int.'!$I239*6.5%/360</f>
        <v>7.2912161111111118</v>
      </c>
      <c r="K239" s="468">
        <v>43214.87</v>
      </c>
      <c r="L239" s="467">
        <f>'Bank Int.'!$K239*6.5%/360</f>
        <v>7.8026848611111115</v>
      </c>
      <c r="M239" s="451">
        <v>57998.2</v>
      </c>
      <c r="N239" s="452">
        <f>'Bank Int.'!$M239*8%/360</f>
        <v>12.888488888888888</v>
      </c>
    </row>
    <row r="240" spans="1:14" ht="22.5" customHeight="1" x14ac:dyDescent="0.25">
      <c r="A240" s="257"/>
      <c r="B240" s="253">
        <v>45878</v>
      </c>
      <c r="C240" s="298">
        <v>6606756.75</v>
      </c>
      <c r="D240" s="295">
        <f>'Bank Int.'!$C240*7.5%/360</f>
        <v>1376.4076562499999</v>
      </c>
      <c r="E240" s="306">
        <v>1085145.94</v>
      </c>
      <c r="F240" s="303">
        <f>Table3[[#This Row],[Mid 146]]*4.5%/360</f>
        <v>135.64324249999999</v>
      </c>
      <c r="G240" s="305">
        <v>1215062.25</v>
      </c>
      <c r="H240" s="303">
        <f>'Bank Int.'!$G240*1.5%/360</f>
        <v>50.627593750000003</v>
      </c>
      <c r="I240" s="465">
        <v>40382.120000000003</v>
      </c>
      <c r="J240" s="467">
        <f>'Bank Int.'!$I240*6.5%/360</f>
        <v>7.2912161111111118</v>
      </c>
      <c r="K240" s="468">
        <v>43214.87</v>
      </c>
      <c r="L240" s="467">
        <f>'Bank Int.'!$K240*6.5%/360</f>
        <v>7.8026848611111115</v>
      </c>
      <c r="M240" s="451">
        <v>57998.2</v>
      </c>
      <c r="N240" s="452">
        <f>'Bank Int.'!$M240*8%/360</f>
        <v>12.888488888888888</v>
      </c>
    </row>
    <row r="241" spans="1:14" ht="22.5" customHeight="1" x14ac:dyDescent="0.25">
      <c r="A241" s="257"/>
      <c r="B241" s="253">
        <f t="shared" ref="B241:B246" si="26">B240-1</f>
        <v>45877</v>
      </c>
      <c r="C241" s="298">
        <v>6606756.75</v>
      </c>
      <c r="D241" s="295">
        <f>'Bank Int.'!$C241*7.5%/360</f>
        <v>1376.4076562499999</v>
      </c>
      <c r="E241" s="306">
        <v>1085145.94</v>
      </c>
      <c r="F241" s="303">
        <f>Table3[[#This Row],[Mid 146]]*4.5%/360</f>
        <v>135.64324249999999</v>
      </c>
      <c r="G241" s="305">
        <v>1215062.25</v>
      </c>
      <c r="H241" s="303">
        <f>'Bank Int.'!$G241*1.5%/360</f>
        <v>50.627593750000003</v>
      </c>
      <c r="I241" s="465">
        <v>40382.120000000003</v>
      </c>
      <c r="J241" s="467">
        <f>'Bank Int.'!$I241*6.5%/360</f>
        <v>7.2912161111111118</v>
      </c>
      <c r="K241" s="468">
        <v>43214.87</v>
      </c>
      <c r="L241" s="467">
        <f>'Bank Int.'!$K241*6.5%/360</f>
        <v>7.8026848611111115</v>
      </c>
      <c r="M241" s="451">
        <v>57998.2</v>
      </c>
      <c r="N241" s="452">
        <f>'Bank Int.'!$M241*8%/360</f>
        <v>12.888488888888888</v>
      </c>
    </row>
    <row r="242" spans="1:14" ht="22.5" customHeight="1" x14ac:dyDescent="0.25">
      <c r="A242" s="257"/>
      <c r="B242" s="253">
        <f t="shared" si="26"/>
        <v>45876</v>
      </c>
      <c r="C242" s="298">
        <v>6606756.75</v>
      </c>
      <c r="D242" s="295">
        <f>'Bank Int.'!$C242*7.5%/360</f>
        <v>1376.4076562499999</v>
      </c>
      <c r="E242" s="306">
        <v>1085145.94</v>
      </c>
      <c r="F242" s="303">
        <f>Table3[[#This Row],[Mid 146]]*4.5%/360</f>
        <v>135.64324249999999</v>
      </c>
      <c r="G242" s="305">
        <v>1215062.25</v>
      </c>
      <c r="H242" s="303">
        <f>'Bank Int.'!$G242*1.5%/360</f>
        <v>50.627593750000003</v>
      </c>
      <c r="I242" s="465">
        <v>40382.120000000003</v>
      </c>
      <c r="J242" s="467">
        <f>'Bank Int.'!$I242*6.5%/360</f>
        <v>7.2912161111111118</v>
      </c>
      <c r="K242" s="468">
        <v>43214.87</v>
      </c>
      <c r="L242" s="467">
        <f>'Bank Int.'!$K242*6.5%/360</f>
        <v>7.8026848611111115</v>
      </c>
      <c r="M242" s="451">
        <v>57998.2</v>
      </c>
      <c r="N242" s="452">
        <f>'Bank Int.'!$M242*8%/360</f>
        <v>12.888488888888888</v>
      </c>
    </row>
    <row r="243" spans="1:14" ht="22.5" customHeight="1" x14ac:dyDescent="0.25">
      <c r="A243" s="257"/>
      <c r="B243" s="253">
        <f t="shared" si="26"/>
        <v>45875</v>
      </c>
      <c r="C243" s="298">
        <v>3838611.02</v>
      </c>
      <c r="D243" s="295">
        <f>'Bank Int.'!$C243*7.5%/360</f>
        <v>799.71062916666654</v>
      </c>
      <c r="E243" s="306">
        <v>5436187.0599999996</v>
      </c>
      <c r="F243" s="303">
        <f>Table3[[#This Row],[Mid 146]]*4.5%/360</f>
        <v>679.52338249999991</v>
      </c>
      <c r="G243" s="305">
        <v>344062.25</v>
      </c>
      <c r="H243" s="303">
        <f>'Bank Int.'!$G243*1.5%/360</f>
        <v>14.335927083333333</v>
      </c>
      <c r="I243" s="465">
        <v>40382.120000000003</v>
      </c>
      <c r="J243" s="467">
        <f>'Bank Int.'!$I243*6.5%/360</f>
        <v>7.2912161111111118</v>
      </c>
      <c r="K243" s="468">
        <v>43214.87</v>
      </c>
      <c r="L243" s="467">
        <f>'Bank Int.'!$K243*6.5%/360</f>
        <v>7.8026848611111115</v>
      </c>
      <c r="M243" s="451">
        <v>57998.2</v>
      </c>
      <c r="N243" s="452">
        <f>'Bank Int.'!$M243*8%/360</f>
        <v>12.888488888888888</v>
      </c>
    </row>
    <row r="244" spans="1:14" ht="22.5" customHeight="1" x14ac:dyDescent="0.25">
      <c r="A244" s="257"/>
      <c r="B244" s="253">
        <f t="shared" si="26"/>
        <v>45874</v>
      </c>
      <c r="C244" s="298">
        <v>4203767.45</v>
      </c>
      <c r="D244" s="295">
        <f>'Bank Int.'!$C244*7.5%/360</f>
        <v>875.78488541666673</v>
      </c>
      <c r="E244" s="306">
        <v>5234832.0599999996</v>
      </c>
      <c r="F244" s="303">
        <f>Table3[[#This Row],[Mid 146]]*4.5%/360</f>
        <v>654.35400749999997</v>
      </c>
      <c r="G244" s="305">
        <v>353062.25</v>
      </c>
      <c r="H244" s="303">
        <f>'Bank Int.'!$G244*1.5%/360</f>
        <v>14.710927083333333</v>
      </c>
      <c r="I244" s="465">
        <v>40382.120000000003</v>
      </c>
      <c r="J244" s="467">
        <f>'Bank Int.'!$I244*6.5%/360</f>
        <v>7.2912161111111118</v>
      </c>
      <c r="K244" s="468">
        <v>43214.87</v>
      </c>
      <c r="L244" s="467">
        <f>'Bank Int.'!$K244*6.5%/360</f>
        <v>7.8026848611111115</v>
      </c>
      <c r="M244" s="451">
        <v>57998.2</v>
      </c>
      <c r="N244" s="452">
        <f>'Bank Int.'!$M244*8%/360</f>
        <v>12.888488888888888</v>
      </c>
    </row>
    <row r="245" spans="1:14" ht="22.5" customHeight="1" x14ac:dyDescent="0.25">
      <c r="A245" s="257"/>
      <c r="B245" s="253">
        <f t="shared" si="26"/>
        <v>45873</v>
      </c>
      <c r="C245" s="298">
        <v>4203767.45</v>
      </c>
      <c r="D245" s="295">
        <f>'Bank Int.'!$C245*7.5%/360</f>
        <v>875.78488541666673</v>
      </c>
      <c r="E245" s="306">
        <v>5234832.0599999996</v>
      </c>
      <c r="F245" s="303">
        <f>Table3[[#This Row],[Mid 146]]*4.5%/360</f>
        <v>654.35400749999997</v>
      </c>
      <c r="G245" s="305">
        <v>307062.25</v>
      </c>
      <c r="H245" s="303">
        <f>'Bank Int.'!$G245*1.5%/360</f>
        <v>12.794260416666667</v>
      </c>
      <c r="I245" s="465">
        <v>40382.120000000003</v>
      </c>
      <c r="J245" s="467">
        <f>'Bank Int.'!$I245*6.5%/360</f>
        <v>7.2912161111111118</v>
      </c>
      <c r="K245" s="468">
        <v>43214.87</v>
      </c>
      <c r="L245" s="467">
        <f>'Bank Int.'!$K245*6.5%/360</f>
        <v>7.8026848611111115</v>
      </c>
      <c r="M245" s="451">
        <v>57998.2</v>
      </c>
      <c r="N245" s="452">
        <f>'Bank Int.'!$M245*8%/360</f>
        <v>12.888488888888888</v>
      </c>
    </row>
    <row r="246" spans="1:14" ht="22.5" customHeight="1" x14ac:dyDescent="0.25">
      <c r="A246" s="257"/>
      <c r="B246" s="253">
        <f t="shared" si="26"/>
        <v>45872</v>
      </c>
      <c r="C246" s="298">
        <v>6332467.4500000002</v>
      </c>
      <c r="D246" s="295">
        <f>'Bank Int.'!$C246*7.5%/360</f>
        <v>1319.2640520833334</v>
      </c>
      <c r="E246" s="306">
        <v>260017.51</v>
      </c>
      <c r="F246" s="303">
        <f>Table3[[#This Row],[Mid 146]]*4.5%/360</f>
        <v>32.502188750000002</v>
      </c>
      <c r="G246" s="305">
        <v>307062.25</v>
      </c>
      <c r="H246" s="303">
        <f>'Bank Int.'!$G246*1.5%/360</f>
        <v>12.794260416666667</v>
      </c>
      <c r="I246" s="465">
        <v>40382.120000000003</v>
      </c>
      <c r="J246" s="467">
        <f>'Bank Int.'!$I246*6.5%/360</f>
        <v>7.2912161111111118</v>
      </c>
      <c r="K246" s="468">
        <v>43214.87</v>
      </c>
      <c r="L246" s="467">
        <f>'Bank Int.'!$K246*6.5%/360</f>
        <v>7.8026848611111115</v>
      </c>
      <c r="M246" s="451">
        <v>57998.2</v>
      </c>
      <c r="N246" s="452">
        <f>'Bank Int.'!$M246*8%/360</f>
        <v>12.888488888888888</v>
      </c>
    </row>
    <row r="247" spans="1:14" ht="22.5" customHeight="1" x14ac:dyDescent="0.25">
      <c r="A247" s="257"/>
      <c r="B247" s="474">
        <v>45871</v>
      </c>
      <c r="C247" s="475">
        <v>118537.45</v>
      </c>
      <c r="D247" s="476">
        <f>'Bank Int.'!$C247*7.5%/360</f>
        <v>24.695302083333335</v>
      </c>
      <c r="E247" s="477">
        <v>24429.75</v>
      </c>
      <c r="F247" s="303">
        <f>Table3[[#This Row],[Mid 146]]*4.5%/360</f>
        <v>3.0537187499999998</v>
      </c>
      <c r="G247" s="305">
        <v>7062.25</v>
      </c>
      <c r="H247" s="303">
        <f>'Bank Int.'!$G247*1.5%/360</f>
        <v>0.29426041666666664</v>
      </c>
      <c r="I247" s="465">
        <v>40382.120000000003</v>
      </c>
      <c r="J247" s="467">
        <f>'Bank Int.'!$I247*6.5%/360</f>
        <v>7.2912161111111118</v>
      </c>
      <c r="K247" s="468">
        <v>43214.87</v>
      </c>
      <c r="L247" s="467">
        <f>'Bank Int.'!$K247*6.5%/360</f>
        <v>7.8026848611111115</v>
      </c>
      <c r="M247" s="451">
        <v>57998.2</v>
      </c>
      <c r="N247" s="452">
        <f>'Bank Int.'!$M247*8%/360</f>
        <v>12.888488888888888</v>
      </c>
    </row>
    <row r="248" spans="1:14" ht="22.5" customHeight="1" x14ac:dyDescent="0.25">
      <c r="A248" s="257"/>
      <c r="B248" s="253">
        <f t="shared" ref="B248:B253" si="27">B247-1</f>
        <v>45870</v>
      </c>
      <c r="C248" s="475">
        <v>118537.45</v>
      </c>
      <c r="D248" s="476">
        <f>'Bank Int.'!$C248*7.5%/360</f>
        <v>24.695302083333335</v>
      </c>
      <c r="E248" s="477">
        <v>24429.75</v>
      </c>
      <c r="F248" s="303">
        <f>Table3[[#This Row],[Mid 146]]*4.5%/360</f>
        <v>3.0537187499999998</v>
      </c>
      <c r="G248" s="305">
        <v>7062.25</v>
      </c>
      <c r="H248" s="303">
        <f>'Bank Int.'!$G248*1.5%/360</f>
        <v>0.29426041666666664</v>
      </c>
      <c r="I248" s="465">
        <v>40382.120000000003</v>
      </c>
      <c r="J248" s="467">
        <f>'Bank Int.'!$I248*6.5%/360</f>
        <v>7.2912161111111118</v>
      </c>
      <c r="K248" s="468">
        <v>43214.87</v>
      </c>
      <c r="L248" s="467">
        <f>'Bank Int.'!$K248*6.5%/360</f>
        <v>7.8026848611111115</v>
      </c>
      <c r="M248" s="451">
        <v>57998.2</v>
      </c>
      <c r="N248" s="452">
        <f>'Bank Int.'!$M248*8%/360</f>
        <v>12.888488888888888</v>
      </c>
    </row>
    <row r="249" spans="1:14" ht="22.5" customHeight="1" x14ac:dyDescent="0.25">
      <c r="A249" s="257"/>
      <c r="B249" s="253">
        <f t="shared" si="27"/>
        <v>45869</v>
      </c>
      <c r="C249" s="475">
        <v>118537.45</v>
      </c>
      <c r="D249" s="476">
        <f>'Bank Int.'!$C249*7.5%/360</f>
        <v>24.695302083333335</v>
      </c>
      <c r="E249" s="477">
        <v>24429.75</v>
      </c>
      <c r="F249" s="303">
        <f>Table3[[#This Row],[Mid 146]]*4.5%/360</f>
        <v>3.0537187499999998</v>
      </c>
      <c r="G249" s="305">
        <v>7062.25</v>
      </c>
      <c r="H249" s="303">
        <f>'Bank Int.'!$G249*4.5%/360</f>
        <v>0.88278124999999996</v>
      </c>
      <c r="I249" s="465">
        <v>40382.120000000003</v>
      </c>
      <c r="J249" s="467">
        <f>'Bank Int.'!$I249*6.5%/360</f>
        <v>7.2912161111111118</v>
      </c>
      <c r="K249" s="468">
        <v>43214.87</v>
      </c>
      <c r="L249" s="467">
        <f>'Bank Int.'!$K249*6.5%/360</f>
        <v>7.8026848611111115</v>
      </c>
      <c r="M249" s="451">
        <v>57998.2</v>
      </c>
      <c r="N249" s="452">
        <f>'Bank Int.'!$M249*8%/360</f>
        <v>12.888488888888888</v>
      </c>
    </row>
    <row r="250" spans="1:14" ht="22.5" customHeight="1" x14ac:dyDescent="0.25">
      <c r="A250" s="257"/>
      <c r="B250" s="253">
        <f t="shared" si="27"/>
        <v>45868</v>
      </c>
      <c r="C250" s="475">
        <v>12743737.449999999</v>
      </c>
      <c r="D250" s="476">
        <f>'Bank Int.'!$C250*7.5%/360</f>
        <v>2654.945302083333</v>
      </c>
      <c r="E250" s="477">
        <v>4244529.75</v>
      </c>
      <c r="F250" s="303">
        <f>Table3[[#This Row],[Mid 146]]*4.5%/360</f>
        <v>530.56621874999996</v>
      </c>
      <c r="G250" s="305">
        <v>481062.25</v>
      </c>
      <c r="H250" s="303">
        <f>'Bank Int.'!$G250*4.5%/360</f>
        <v>60.132781250000001</v>
      </c>
      <c r="I250" s="465">
        <v>40382.120000000003</v>
      </c>
      <c r="J250" s="467">
        <f>'Bank Int.'!$I250*6.5%/360</f>
        <v>7.2912161111111118</v>
      </c>
      <c r="K250" s="468">
        <v>43214.87</v>
      </c>
      <c r="L250" s="467">
        <f>'Bank Int.'!$K250*6.5%/360</f>
        <v>7.8026848611111115</v>
      </c>
      <c r="M250" s="451">
        <v>99210</v>
      </c>
      <c r="N250" s="452">
        <f>'Bank Int.'!$M250*8%/360</f>
        <v>22.046666666666667</v>
      </c>
    </row>
    <row r="251" spans="1:14" ht="22.5" customHeight="1" x14ac:dyDescent="0.25">
      <c r="A251" s="257"/>
      <c r="B251" s="253">
        <f t="shared" si="27"/>
        <v>45867</v>
      </c>
      <c r="C251" s="475">
        <v>12658031.33</v>
      </c>
      <c r="D251" s="476">
        <f>'Bank Int.'!$C251*7.5%/360</f>
        <v>2637.0898604166664</v>
      </c>
      <c r="E251" s="477">
        <v>4244529.75</v>
      </c>
      <c r="F251" s="303">
        <f>Table3[[#This Row],[Mid 146]]*4.5%/360</f>
        <v>530.56621874999996</v>
      </c>
      <c r="G251" s="305">
        <v>481062.25</v>
      </c>
      <c r="H251" s="303">
        <f>'Bank Int.'!$G251*4.5%/360</f>
        <v>60.132781250000001</v>
      </c>
      <c r="I251" s="465">
        <v>40382.120000000003</v>
      </c>
      <c r="J251" s="467">
        <f>'Bank Int.'!$I251*6.5%/360</f>
        <v>7.2912161111111118</v>
      </c>
      <c r="K251" s="468">
        <v>43214.87</v>
      </c>
      <c r="L251" s="467">
        <f>'Bank Int.'!$K251*6.5%/360</f>
        <v>7.8026848611111115</v>
      </c>
      <c r="M251" s="451">
        <v>99210</v>
      </c>
      <c r="N251" s="452">
        <f>'Bank Int.'!$M251*8%/360</f>
        <v>22.046666666666667</v>
      </c>
    </row>
    <row r="252" spans="1:14" ht="22.5" customHeight="1" x14ac:dyDescent="0.25">
      <c r="A252" s="257"/>
      <c r="B252" s="253">
        <f t="shared" si="27"/>
        <v>45866</v>
      </c>
      <c r="C252" s="475">
        <v>12373737.449999999</v>
      </c>
      <c r="D252" s="476">
        <f>'Bank Int.'!$C252*7.5%/360</f>
        <v>2577.86196875</v>
      </c>
      <c r="E252" s="477">
        <v>4244529.75</v>
      </c>
      <c r="F252" s="303">
        <f>Table3[[#This Row],[Mid 146]]*4.5%/360</f>
        <v>530.56621874999996</v>
      </c>
      <c r="G252" s="305">
        <v>481062.25</v>
      </c>
      <c r="H252" s="303">
        <f>'Bank Int.'!$G252*4.5%/360</f>
        <v>60.132781250000001</v>
      </c>
      <c r="I252" s="465">
        <v>40382.120000000003</v>
      </c>
      <c r="J252" s="467">
        <f>'Bank Int.'!$I252*6.5%/360</f>
        <v>7.2912161111111118</v>
      </c>
      <c r="K252" s="468">
        <v>43214.87</v>
      </c>
      <c r="L252" s="467">
        <f>'Bank Int.'!$K252*6.5%/360</f>
        <v>7.8026848611111115</v>
      </c>
      <c r="M252" s="451">
        <v>99210</v>
      </c>
      <c r="N252" s="452">
        <f>'Bank Int.'!$M252*8%/360</f>
        <v>22.046666666666667</v>
      </c>
    </row>
    <row r="253" spans="1:14" ht="22.5" customHeight="1" x14ac:dyDescent="0.25">
      <c r="A253" s="257"/>
      <c r="B253" s="253">
        <f t="shared" si="27"/>
        <v>45865</v>
      </c>
      <c r="C253" s="475">
        <v>13882776.220000001</v>
      </c>
      <c r="D253" s="476">
        <f>'Bank Int.'!$C253*7.5%/360</f>
        <v>2892.2450458333333</v>
      </c>
      <c r="E253" s="477">
        <v>3224529.75</v>
      </c>
      <c r="F253" s="303">
        <f>Table3[[#This Row],[Mid 146]]*4.5%/360</f>
        <v>403.06621874999996</v>
      </c>
      <c r="G253" s="305">
        <v>530602.25</v>
      </c>
      <c r="H253" s="303">
        <f>'Bank Int.'!$G253*4.5%/360</f>
        <v>66.325281250000003</v>
      </c>
      <c r="I253" s="465">
        <v>40382.120000000003</v>
      </c>
      <c r="J253" s="467">
        <f>'Bank Int.'!$I253*6.5%/360</f>
        <v>7.2912161111111118</v>
      </c>
      <c r="K253" s="468">
        <v>43214.87</v>
      </c>
      <c r="L253" s="467">
        <f>'Bank Int.'!$K253*6.5%/360</f>
        <v>7.8026848611111115</v>
      </c>
      <c r="M253" s="451">
        <v>99210</v>
      </c>
      <c r="N253" s="452">
        <f>'Bank Int.'!$M253*8%/360</f>
        <v>22.046666666666667</v>
      </c>
    </row>
    <row r="254" spans="1:14" ht="22.5" customHeight="1" x14ac:dyDescent="0.25">
      <c r="A254" s="257"/>
      <c r="B254" s="253">
        <v>45864</v>
      </c>
      <c r="C254" s="298">
        <v>22333056.219999999</v>
      </c>
      <c r="D254" s="295">
        <f>'Bank Int.'!$C254*7.5%/360</f>
        <v>4652.7200458333327</v>
      </c>
      <c r="E254" s="306">
        <v>3065979.75</v>
      </c>
      <c r="F254" s="303">
        <f>Table3[[#This Row],[Mid 146]]*4.5%/360</f>
        <v>383.24746875</v>
      </c>
      <c r="G254" s="305">
        <v>93922.25</v>
      </c>
      <c r="H254" s="303">
        <f>'Bank Int.'!$G254*4.5%/360</f>
        <v>11.740281250000001</v>
      </c>
      <c r="I254" s="465">
        <v>40382.120000000003</v>
      </c>
      <c r="J254" s="467">
        <f>'Bank Int.'!$I254*6.5%/360</f>
        <v>7.2912161111111118</v>
      </c>
      <c r="K254" s="468">
        <v>43214.87</v>
      </c>
      <c r="L254" s="467">
        <f>'Bank Int.'!$K254*6.5%/360</f>
        <v>7.8026848611111115</v>
      </c>
      <c r="M254" s="451">
        <v>99210</v>
      </c>
      <c r="N254" s="452">
        <f>'Bank Int.'!$M254*8%/360</f>
        <v>22.046666666666667</v>
      </c>
    </row>
    <row r="255" spans="1:14" ht="22.5" customHeight="1" x14ac:dyDescent="0.25">
      <c r="A255" s="257"/>
      <c r="B255" s="253">
        <f t="shared" ref="B255:B260" si="28">B254-1</f>
        <v>45863</v>
      </c>
      <c r="C255" s="298">
        <v>22333056.219999999</v>
      </c>
      <c r="D255" s="295">
        <f>'Bank Int.'!$C255*7.5%/360</f>
        <v>4652.7200458333327</v>
      </c>
      <c r="E255" s="306">
        <v>3065979.75</v>
      </c>
      <c r="F255" s="303">
        <f>Table3[[#This Row],[Mid 146]]*4.5%/360</f>
        <v>383.24746875</v>
      </c>
      <c r="G255" s="305">
        <v>93922.25</v>
      </c>
      <c r="H255" s="303">
        <f>'Bank Int.'!$G255*4.5%/360</f>
        <v>11.740281250000001</v>
      </c>
      <c r="I255" s="465">
        <v>40382.120000000003</v>
      </c>
      <c r="J255" s="467">
        <f>'Bank Int.'!$I255*6.5%/360</f>
        <v>7.2912161111111118</v>
      </c>
      <c r="K255" s="468">
        <v>43214.87</v>
      </c>
      <c r="L255" s="467">
        <f>'Bank Int.'!$K255*6.5%/360</f>
        <v>7.8026848611111115</v>
      </c>
      <c r="M255" s="451">
        <v>99210</v>
      </c>
      <c r="N255" s="452">
        <f>'Bank Int.'!$M255*8%/360</f>
        <v>22.046666666666667</v>
      </c>
    </row>
    <row r="256" spans="1:14" ht="22.5" customHeight="1" x14ac:dyDescent="0.25">
      <c r="A256" s="257"/>
      <c r="B256" s="253">
        <f t="shared" si="28"/>
        <v>45862</v>
      </c>
      <c r="C256" s="298">
        <v>22333056.219999999</v>
      </c>
      <c r="D256" s="295">
        <f>'Bank Int.'!$C256*7.5%/360</f>
        <v>4652.7200458333327</v>
      </c>
      <c r="E256" s="306">
        <v>3065979.75</v>
      </c>
      <c r="F256" s="303">
        <f>Table3[[#This Row],[Mid 146]]*4.5%/360</f>
        <v>383.24746875</v>
      </c>
      <c r="G256" s="305">
        <v>93922.25</v>
      </c>
      <c r="H256" s="303">
        <f>'Bank Int.'!$G256*4.5%/360</f>
        <v>11.740281250000001</v>
      </c>
      <c r="I256" s="465">
        <v>40382.120000000003</v>
      </c>
      <c r="J256" s="467">
        <f>'Bank Int.'!$I256*6.5%/360</f>
        <v>7.2912161111111118</v>
      </c>
      <c r="K256" s="468">
        <v>43214.87</v>
      </c>
      <c r="L256" s="467">
        <f>'Bank Int.'!$K256*6.5%/360</f>
        <v>7.8026848611111115</v>
      </c>
      <c r="M256" s="451">
        <v>99210</v>
      </c>
      <c r="N256" s="452">
        <f>'Bank Int.'!$M256*8%/360</f>
        <v>22.046666666666667</v>
      </c>
    </row>
    <row r="257" spans="1:14" ht="22.5" customHeight="1" x14ac:dyDescent="0.25">
      <c r="A257" s="257"/>
      <c r="B257" s="253">
        <f t="shared" si="28"/>
        <v>45861</v>
      </c>
      <c r="C257" s="298">
        <v>7994469.1399999997</v>
      </c>
      <c r="D257" s="295">
        <f>'Bank Int.'!$C257*7.5%/360</f>
        <v>1665.5144041666665</v>
      </c>
      <c r="E257" s="306">
        <v>3065979.75</v>
      </c>
      <c r="F257" s="303">
        <f>Table3[[#This Row],[Mid 146]]*4.5%/360</f>
        <v>383.24746875</v>
      </c>
      <c r="G257" s="305">
        <v>1593922.25</v>
      </c>
      <c r="H257" s="303">
        <f>'Bank Int.'!$G257*4.5%/360</f>
        <v>199.24028125000001</v>
      </c>
      <c r="I257" s="465">
        <v>40382.120000000003</v>
      </c>
      <c r="J257" s="467">
        <f>'Bank Int.'!$I257*6.5%/360</f>
        <v>7.2912161111111118</v>
      </c>
      <c r="K257" s="468">
        <v>43214.87</v>
      </c>
      <c r="L257" s="467">
        <f>'Bank Int.'!$K257*6.5%/360</f>
        <v>7.8026848611111115</v>
      </c>
      <c r="M257" s="451">
        <v>99210</v>
      </c>
      <c r="N257" s="452">
        <f>'Bank Int.'!$M257*8%/360</f>
        <v>22.046666666666667</v>
      </c>
    </row>
    <row r="258" spans="1:14" ht="22.5" customHeight="1" x14ac:dyDescent="0.25">
      <c r="A258" s="257"/>
      <c r="B258" s="253">
        <f t="shared" si="28"/>
        <v>45860</v>
      </c>
      <c r="C258" s="298">
        <v>12413000.58</v>
      </c>
      <c r="D258" s="295">
        <f>'Bank Int.'!$C258*7.5%/360</f>
        <v>2586.0417875000003</v>
      </c>
      <c r="E258" s="306">
        <v>3065979.75</v>
      </c>
      <c r="F258" s="303">
        <f>Table3[[#This Row],[Mid 146]]*4.5%/360</f>
        <v>383.24746875</v>
      </c>
      <c r="G258" s="305">
        <v>1493922.25</v>
      </c>
      <c r="H258" s="303">
        <f>'Bank Int.'!$G258*4.5%/360</f>
        <v>186.74028125000001</v>
      </c>
      <c r="I258" s="465">
        <v>40382.120000000003</v>
      </c>
      <c r="J258" s="467">
        <f>'Bank Int.'!$I258*6.5%/360</f>
        <v>7.2912161111111118</v>
      </c>
      <c r="K258" s="468">
        <v>43214.87</v>
      </c>
      <c r="L258" s="467">
        <f>'Bank Int.'!$K258*6.5%/360</f>
        <v>7.8026848611111115</v>
      </c>
      <c r="M258" s="451">
        <v>99210</v>
      </c>
      <c r="N258" s="452">
        <f>'Bank Int.'!$M258*8%/360</f>
        <v>22.046666666666667</v>
      </c>
    </row>
    <row r="259" spans="1:14" ht="22.5" customHeight="1" x14ac:dyDescent="0.25">
      <c r="A259" s="257"/>
      <c r="B259" s="253">
        <f t="shared" si="28"/>
        <v>45859</v>
      </c>
      <c r="C259" s="298">
        <v>12413000.58</v>
      </c>
      <c r="D259" s="295">
        <f>'Bank Int.'!$C259*7.5%/360</f>
        <v>2586.0417875000003</v>
      </c>
      <c r="E259" s="306">
        <v>1857979.75</v>
      </c>
      <c r="F259" s="303">
        <f>Table3[[#This Row],[Mid 146]]*4.5%/360</f>
        <v>232.24746875</v>
      </c>
      <c r="G259" s="305">
        <v>578982.25</v>
      </c>
      <c r="H259" s="303">
        <f>'Bank Int.'!$G259*4.5%/360</f>
        <v>72.372781249999989</v>
      </c>
      <c r="I259" s="465">
        <v>40382.120000000003</v>
      </c>
      <c r="J259" s="467">
        <f>'Bank Int.'!$I259*6.5%/360</f>
        <v>7.2912161111111118</v>
      </c>
      <c r="K259" s="468">
        <v>43214.87</v>
      </c>
      <c r="L259" s="467">
        <f>'Bank Int.'!$K259*6.5%/360</f>
        <v>7.8026848611111115</v>
      </c>
      <c r="M259" s="451">
        <v>99210</v>
      </c>
      <c r="N259" s="452">
        <f>'Bank Int.'!$M259*8%/360</f>
        <v>22.046666666666667</v>
      </c>
    </row>
    <row r="260" spans="1:14" ht="22.5" customHeight="1" x14ac:dyDescent="0.25">
      <c r="A260" s="257"/>
      <c r="B260" s="253">
        <f t="shared" si="28"/>
        <v>45858</v>
      </c>
      <c r="C260" s="298">
        <v>13273344.58</v>
      </c>
      <c r="D260" s="295">
        <f>'Bank Int.'!$C260*7.5%/360</f>
        <v>2765.2801208333331</v>
      </c>
      <c r="E260" s="306">
        <v>1857979.75</v>
      </c>
      <c r="F260" s="303">
        <f>Table3[[#This Row],[Mid 146]]*4.5%/360</f>
        <v>232.24746875</v>
      </c>
      <c r="G260" s="305">
        <v>578982.25</v>
      </c>
      <c r="H260" s="303">
        <f>'Bank Int.'!$G260*4.5%/360</f>
        <v>72.372781249999989</v>
      </c>
      <c r="I260" s="465">
        <v>40382.120000000003</v>
      </c>
      <c r="J260" s="467">
        <f>'Bank Int.'!$I260*6.5%/360</f>
        <v>7.2912161111111118</v>
      </c>
      <c r="K260" s="468">
        <v>43214.87</v>
      </c>
      <c r="L260" s="467">
        <f>'Bank Int.'!$K260*6.5%/360</f>
        <v>7.8026848611111115</v>
      </c>
      <c r="M260" s="451">
        <v>99210</v>
      </c>
      <c r="N260" s="452">
        <f>'Bank Int.'!$M260*8%/360</f>
        <v>22.046666666666667</v>
      </c>
    </row>
    <row r="261" spans="1:14" ht="22.5" customHeight="1" x14ac:dyDescent="0.25">
      <c r="A261" s="257"/>
      <c r="B261" s="253">
        <v>45857</v>
      </c>
      <c r="C261" s="298">
        <v>13273454.58</v>
      </c>
      <c r="D261" s="295">
        <f>'Bank Int.'!$C261*7.5%/360</f>
        <v>2765.3030374999998</v>
      </c>
      <c r="E261" s="306">
        <v>2396075.1800000002</v>
      </c>
      <c r="F261" s="303">
        <f>Table3[[#This Row],[Mid 146]]*4.5%/360</f>
        <v>299.50939750000003</v>
      </c>
      <c r="G261" s="305">
        <v>428982.25</v>
      </c>
      <c r="H261" s="303">
        <f>'Bank Int.'!$G261*4.5%/360</f>
        <v>53.622781249999996</v>
      </c>
      <c r="I261" s="465">
        <v>40382.120000000003</v>
      </c>
      <c r="J261" s="467">
        <f>'Bank Int.'!$I261*6.5%/360</f>
        <v>7.2912161111111118</v>
      </c>
      <c r="K261" s="468">
        <v>43214.87</v>
      </c>
      <c r="L261" s="467">
        <f>'Bank Int.'!$K261*6.5%/360</f>
        <v>7.8026848611111115</v>
      </c>
      <c r="M261" s="451">
        <v>99210</v>
      </c>
      <c r="N261" s="452">
        <f>'Bank Int.'!$M261*8%/360</f>
        <v>22.046666666666667</v>
      </c>
    </row>
    <row r="262" spans="1:14" ht="22.5" customHeight="1" x14ac:dyDescent="0.25">
      <c r="A262" s="257"/>
      <c r="B262" s="253">
        <f t="shared" ref="B262:B267" si="29">B261-1</f>
        <v>45856</v>
      </c>
      <c r="C262" s="298">
        <v>13273454.58</v>
      </c>
      <c r="D262" s="295">
        <f>'Bank Int.'!$C262*7.5%/360</f>
        <v>2765.3030374999998</v>
      </c>
      <c r="E262" s="306">
        <v>2396075.1800000002</v>
      </c>
      <c r="F262" s="303">
        <f>Table3[[#This Row],[Mid 146]]*4.5%/360</f>
        <v>299.50939750000003</v>
      </c>
      <c r="G262" s="305">
        <v>428982.25</v>
      </c>
      <c r="H262" s="303">
        <f>'Bank Int.'!$G262*4.5%/360</f>
        <v>53.622781249999996</v>
      </c>
      <c r="I262" s="465">
        <v>40382.120000000003</v>
      </c>
      <c r="J262" s="467">
        <f>'Bank Int.'!$I262*6.5%/360</f>
        <v>7.2912161111111118</v>
      </c>
      <c r="K262" s="468">
        <v>43214.87</v>
      </c>
      <c r="L262" s="467">
        <f>'Bank Int.'!$K262*6.5%/360</f>
        <v>7.8026848611111115</v>
      </c>
      <c r="M262" s="451">
        <v>99210</v>
      </c>
      <c r="N262" s="452">
        <f>'Bank Int.'!$M262*8%/360</f>
        <v>22.046666666666667</v>
      </c>
    </row>
    <row r="263" spans="1:14" ht="22.5" customHeight="1" x14ac:dyDescent="0.25">
      <c r="A263" s="257"/>
      <c r="B263" s="253">
        <f t="shared" si="29"/>
        <v>45855</v>
      </c>
      <c r="C263" s="298">
        <v>13273454.58</v>
      </c>
      <c r="D263" s="295">
        <f>'Bank Int.'!$C263*7.5%/360</f>
        <v>2765.3030374999998</v>
      </c>
      <c r="E263" s="306">
        <v>2396075.1800000002</v>
      </c>
      <c r="F263" s="303">
        <f>Table3[[#This Row],[Mid 146]]*4.5%/360</f>
        <v>299.50939750000003</v>
      </c>
      <c r="G263" s="305">
        <v>428982.25</v>
      </c>
      <c r="H263" s="303">
        <f>'Bank Int.'!$G263*4.5%/360</f>
        <v>53.622781249999996</v>
      </c>
      <c r="I263" s="465">
        <v>40382.120000000003</v>
      </c>
      <c r="J263" s="467">
        <f>'Bank Int.'!$I263*6.5%/360</f>
        <v>7.2912161111111118</v>
      </c>
      <c r="K263" s="468">
        <v>43214.87</v>
      </c>
      <c r="L263" s="467">
        <f>'Bank Int.'!$K263*6.5%/360</f>
        <v>7.8026848611111115</v>
      </c>
      <c r="M263" s="451">
        <v>99210</v>
      </c>
      <c r="N263" s="452">
        <f>'Bank Int.'!$M263*8%/360</f>
        <v>22.046666666666667</v>
      </c>
    </row>
    <row r="264" spans="1:14" ht="22.5" customHeight="1" x14ac:dyDescent="0.25">
      <c r="A264" s="257"/>
      <c r="B264" s="253">
        <f t="shared" si="29"/>
        <v>45854</v>
      </c>
      <c r="C264" s="298">
        <v>5777334</v>
      </c>
      <c r="D264" s="295">
        <f>'Bank Int.'!$C264*7.5%/360</f>
        <v>1203.6112499999999</v>
      </c>
      <c r="E264" s="306">
        <v>2396075.1800000002</v>
      </c>
      <c r="F264" s="303">
        <f>Table3[[#This Row],[Mid 146]]*4.5%/360</f>
        <v>299.50939750000003</v>
      </c>
      <c r="G264" s="305">
        <v>428982.25</v>
      </c>
      <c r="H264" s="303">
        <f>'Bank Int.'!$G264*4.5%/360</f>
        <v>53.622781249999996</v>
      </c>
      <c r="I264" s="465">
        <v>40382.120000000003</v>
      </c>
      <c r="J264" s="467">
        <f>'Bank Int.'!$I264*6.5%/360</f>
        <v>7.2912161111111118</v>
      </c>
      <c r="K264" s="468">
        <v>43214.87</v>
      </c>
      <c r="L264" s="467">
        <f>'Bank Int.'!$K264*6.5%/360</f>
        <v>7.8026848611111115</v>
      </c>
      <c r="M264" s="451">
        <v>99210</v>
      </c>
      <c r="N264" s="452">
        <f>'Bank Int.'!$M264*8%/360</f>
        <v>22.046666666666667</v>
      </c>
    </row>
    <row r="265" spans="1:14" ht="22.5" customHeight="1" x14ac:dyDescent="0.25">
      <c r="A265" s="257"/>
      <c r="B265" s="253">
        <f t="shared" si="29"/>
        <v>45853</v>
      </c>
      <c r="C265" s="298">
        <v>159564</v>
      </c>
      <c r="D265" s="295">
        <f>'Bank Int.'!$C265*7.5%/360</f>
        <v>33.2425</v>
      </c>
      <c r="E265" s="306">
        <v>3457411.52</v>
      </c>
      <c r="F265" s="303">
        <f>Table3[[#This Row],[Mid 146]]*4.5%/360</f>
        <v>432.17644000000001</v>
      </c>
      <c r="G265" s="305">
        <v>128982.25</v>
      </c>
      <c r="H265" s="303">
        <f>'Bank Int.'!$G265*4.5%/360</f>
        <v>16.122781249999999</v>
      </c>
      <c r="I265" s="465">
        <v>40382.120000000003</v>
      </c>
      <c r="J265" s="467">
        <f>'Bank Int.'!$I265*6.5%/360</f>
        <v>7.2912161111111118</v>
      </c>
      <c r="K265" s="468">
        <v>43214.87</v>
      </c>
      <c r="L265" s="467">
        <f>'Bank Int.'!$K265*6.5%/360</f>
        <v>7.8026848611111115</v>
      </c>
      <c r="M265" s="451">
        <v>99210</v>
      </c>
      <c r="N265" s="452">
        <f>'Bank Int.'!$M265*8%/360</f>
        <v>22.046666666666667</v>
      </c>
    </row>
    <row r="266" spans="1:14" ht="22.5" customHeight="1" x14ac:dyDescent="0.25">
      <c r="A266" s="257"/>
      <c r="B266" s="253">
        <f t="shared" si="29"/>
        <v>45852</v>
      </c>
      <c r="C266" s="298">
        <v>20659564</v>
      </c>
      <c r="D266" s="295">
        <f>'Bank Int.'!$C266*7.5%/360</f>
        <v>4304.0758333333333</v>
      </c>
      <c r="E266" s="306">
        <v>457511.52</v>
      </c>
      <c r="F266" s="303">
        <f>Table3[[#This Row],[Mid 146]]*4.5%/360</f>
        <v>57.188940000000002</v>
      </c>
      <c r="G266" s="305">
        <v>24982.25</v>
      </c>
      <c r="H266" s="303">
        <f>'Bank Int.'!$G266*4.5%/360</f>
        <v>3.1227812499999996</v>
      </c>
      <c r="I266" s="465">
        <v>40382.120000000003</v>
      </c>
      <c r="J266" s="467">
        <f>'Bank Int.'!$I266*6.5%/360</f>
        <v>7.2912161111111118</v>
      </c>
      <c r="K266" s="468">
        <v>43214.87</v>
      </c>
      <c r="L266" s="467">
        <f>'Bank Int.'!$K266*6.5%/360</f>
        <v>7.8026848611111115</v>
      </c>
      <c r="M266" s="451">
        <v>99210</v>
      </c>
      <c r="N266" s="452">
        <f>'Bank Int.'!$M266*8%/360</f>
        <v>22.046666666666667</v>
      </c>
    </row>
    <row r="267" spans="1:14" ht="22.5" customHeight="1" x14ac:dyDescent="0.25">
      <c r="A267" s="257"/>
      <c r="B267" s="253">
        <f t="shared" si="29"/>
        <v>45851</v>
      </c>
      <c r="C267" s="298">
        <v>13133200.52</v>
      </c>
      <c r="D267" s="295">
        <f>'Bank Int.'!$C267*7.5%/360</f>
        <v>2736.0834416666662</v>
      </c>
      <c r="E267" s="306">
        <v>9157611.5199999996</v>
      </c>
      <c r="F267" s="303">
        <f>Table3[[#This Row],[Mid 146]]*4.5%/360</f>
        <v>1144.7014399999998</v>
      </c>
      <c r="G267" s="305">
        <v>2124982.25</v>
      </c>
      <c r="H267" s="303">
        <f>'Bank Int.'!$G267*4.5%/360</f>
        <v>265.62278125</v>
      </c>
      <c r="I267" s="465">
        <v>40382.120000000003</v>
      </c>
      <c r="J267" s="467">
        <f>'Bank Int.'!$I267*6.5%/360</f>
        <v>7.2912161111111118</v>
      </c>
      <c r="K267" s="468">
        <v>43214.87</v>
      </c>
      <c r="L267" s="467">
        <f>'Bank Int.'!$K267*6.5%/360</f>
        <v>7.8026848611111115</v>
      </c>
      <c r="M267" s="451">
        <v>99210</v>
      </c>
      <c r="N267" s="452">
        <f>'Bank Int.'!$M267*8%/360</f>
        <v>22.046666666666667</v>
      </c>
    </row>
    <row r="268" spans="1:14" ht="22.5" customHeight="1" x14ac:dyDescent="0.25">
      <c r="A268" s="257"/>
      <c r="B268" s="253">
        <v>45850</v>
      </c>
      <c r="C268" s="298">
        <v>13225062.810000001</v>
      </c>
      <c r="D268" s="295">
        <f>'Bank Int.'!$C268*7.5%/360</f>
        <v>2755.2214187499999</v>
      </c>
      <c r="E268" s="254">
        <v>8852611.5199999996</v>
      </c>
      <c r="F268" s="303">
        <f>Table3[[#This Row],[Mid 146]]*4.5%/360</f>
        <v>1106.5764399999998</v>
      </c>
      <c r="G268" s="466">
        <v>2124982.25</v>
      </c>
      <c r="H268" s="303">
        <f>'Bank Int.'!$G268*4.5%/360</f>
        <v>265.62278125</v>
      </c>
      <c r="I268" s="465">
        <v>40382.120000000003</v>
      </c>
      <c r="J268" s="467">
        <f>'Bank Int.'!$I268*6.5%/360</f>
        <v>7.2912161111111118</v>
      </c>
      <c r="K268" s="468">
        <v>43214.87</v>
      </c>
      <c r="L268" s="467">
        <f>'Bank Int.'!$K268*6.5%/360</f>
        <v>7.8026848611111115</v>
      </c>
      <c r="M268" s="451">
        <v>99210</v>
      </c>
      <c r="N268" s="452">
        <f>'Bank Int.'!$M268*8%/360</f>
        <v>22.046666666666667</v>
      </c>
    </row>
    <row r="269" spans="1:14" ht="22.5" customHeight="1" x14ac:dyDescent="0.25">
      <c r="A269" s="257"/>
      <c r="B269" s="253">
        <f t="shared" ref="B269:B274" si="30">B268-1</f>
        <v>45849</v>
      </c>
      <c r="C269" s="298">
        <v>13225062.810000001</v>
      </c>
      <c r="D269" s="295">
        <f>'Bank Int.'!$C269*7.5%/360</f>
        <v>2755.2214187499999</v>
      </c>
      <c r="E269" s="254">
        <v>8852611.5199999996</v>
      </c>
      <c r="F269" s="303">
        <f>Table3[[#This Row],[Mid 146]]*4.5%/360</f>
        <v>1106.5764399999998</v>
      </c>
      <c r="G269" s="466">
        <v>2124982.25</v>
      </c>
      <c r="H269" s="303">
        <f>'Bank Int.'!$G269*4.5%/360</f>
        <v>265.62278125</v>
      </c>
      <c r="I269" s="465">
        <v>40382.120000000003</v>
      </c>
      <c r="J269" s="467">
        <f>'Bank Int.'!$I269*6.5%/360</f>
        <v>7.2912161111111118</v>
      </c>
      <c r="K269" s="468">
        <v>43214.87</v>
      </c>
      <c r="L269" s="467">
        <f>'Bank Int.'!$K269*6.5%/360</f>
        <v>7.8026848611111115</v>
      </c>
      <c r="M269" s="451">
        <v>99210</v>
      </c>
      <c r="N269" s="452">
        <f>'Bank Int.'!$M269*8%/360</f>
        <v>22.046666666666667</v>
      </c>
    </row>
    <row r="270" spans="1:14" ht="22.5" customHeight="1" x14ac:dyDescent="0.25">
      <c r="A270" s="257"/>
      <c r="B270" s="253">
        <f t="shared" si="30"/>
        <v>45848</v>
      </c>
      <c r="C270" s="298">
        <v>13225062.810000001</v>
      </c>
      <c r="D270" s="295">
        <f>'Bank Int.'!$C270*7.5%/360</f>
        <v>2755.2214187499999</v>
      </c>
      <c r="E270" s="254">
        <v>8852611.5199999996</v>
      </c>
      <c r="F270" s="303">
        <f>Table3[[#This Row],[Mid 146]]*4.5%/360</f>
        <v>1106.5764399999998</v>
      </c>
      <c r="G270" s="466">
        <v>2124982.25</v>
      </c>
      <c r="H270" s="303">
        <f>'Bank Int.'!$G270*4.5%/360</f>
        <v>265.62278125</v>
      </c>
      <c r="I270" s="465">
        <v>40382.120000000003</v>
      </c>
      <c r="J270" s="467">
        <f>'Bank Int.'!$I270*6.5%/360</f>
        <v>7.2912161111111118</v>
      </c>
      <c r="K270" s="468">
        <v>43214.87</v>
      </c>
      <c r="L270" s="467">
        <f>'Bank Int.'!$K270*6.5%/360</f>
        <v>7.8026848611111115</v>
      </c>
      <c r="M270" s="451">
        <v>99210</v>
      </c>
      <c r="N270" s="452">
        <f>'Bank Int.'!$M270*8%/360</f>
        <v>22.046666666666667</v>
      </c>
    </row>
    <row r="271" spans="1:14" ht="22.5" customHeight="1" x14ac:dyDescent="0.25">
      <c r="A271" s="257"/>
      <c r="B271" s="253">
        <f t="shared" si="30"/>
        <v>45847</v>
      </c>
      <c r="C271" s="298">
        <v>5767233.8399999999</v>
      </c>
      <c r="D271" s="295">
        <f>'Bank Int.'!$C271*7.5%/360</f>
        <v>1201.5070499999999</v>
      </c>
      <c r="E271" s="254">
        <v>8852611.5199999996</v>
      </c>
      <c r="F271" s="303">
        <f>Table3[[#This Row],[Mid 146]]*4.5%/360</f>
        <v>1106.5764399999998</v>
      </c>
      <c r="G271" s="466">
        <v>2124982.25</v>
      </c>
      <c r="H271" s="303">
        <f>'Bank Int.'!$G271*4.5%/360</f>
        <v>265.62278125</v>
      </c>
      <c r="I271" s="465">
        <v>40382.120000000003</v>
      </c>
      <c r="J271" s="467">
        <f>'Bank Int.'!$I271*6.5%/360</f>
        <v>7.2912161111111118</v>
      </c>
      <c r="K271" s="468">
        <v>43214.87</v>
      </c>
      <c r="L271" s="467">
        <f>'Bank Int.'!$K271*6.5%/360</f>
        <v>7.8026848611111115</v>
      </c>
      <c r="M271" s="451">
        <v>99210</v>
      </c>
      <c r="N271" s="452">
        <f>'Bank Int.'!$M271*8%/360</f>
        <v>22.046666666666667</v>
      </c>
    </row>
    <row r="272" spans="1:14" ht="22.5" customHeight="1" x14ac:dyDescent="0.25">
      <c r="A272" s="257"/>
      <c r="B272" s="253">
        <f t="shared" si="30"/>
        <v>45846</v>
      </c>
      <c r="C272" s="298">
        <v>4823433.84</v>
      </c>
      <c r="D272" s="295">
        <f>'Bank Int.'!$C272*7.5%/360</f>
        <v>1004.88205</v>
      </c>
      <c r="E272" s="254">
        <v>10332459.369999999</v>
      </c>
      <c r="F272" s="303">
        <f>Table3[[#This Row],[Mid 146]]*4.5%/360</f>
        <v>1291.5574212499998</v>
      </c>
      <c r="G272" s="466">
        <v>674982.25</v>
      </c>
      <c r="H272" s="303">
        <f>'Bank Int.'!$G272*4.5%/360</f>
        <v>84.372781249999989</v>
      </c>
      <c r="I272" s="465">
        <v>40382.120000000003</v>
      </c>
      <c r="J272" s="467">
        <f>'Bank Int.'!$I272*6.5%/360</f>
        <v>7.2912161111111118</v>
      </c>
      <c r="K272" s="468">
        <v>43214.87</v>
      </c>
      <c r="L272" s="467">
        <f>'Bank Int.'!$K272*6.5%/360</f>
        <v>7.8026848611111115</v>
      </c>
      <c r="M272" s="451">
        <v>99210</v>
      </c>
      <c r="N272" s="452">
        <f>'Bank Int.'!$M272*8%/360</f>
        <v>22.046666666666667</v>
      </c>
    </row>
    <row r="273" spans="1:14" ht="22.5" customHeight="1" x14ac:dyDescent="0.25">
      <c r="A273" s="257"/>
      <c r="B273" s="253">
        <f t="shared" si="30"/>
        <v>45845</v>
      </c>
      <c r="C273" s="298">
        <v>4823433.84</v>
      </c>
      <c r="D273" s="295">
        <f>'Bank Int.'!$C273*7.5%/360</f>
        <v>1004.88205</v>
      </c>
      <c r="E273" s="254">
        <v>9881876.1300000008</v>
      </c>
      <c r="F273" s="303">
        <f>Table3[[#This Row],[Mid 146]]*4.5%/360</f>
        <v>1235.2345162500001</v>
      </c>
      <c r="G273" s="466">
        <v>674982.25</v>
      </c>
      <c r="H273" s="303">
        <f>'Bank Int.'!$G273*4.5%/360</f>
        <v>84.372781249999989</v>
      </c>
      <c r="I273" s="465">
        <v>40382.120000000003</v>
      </c>
      <c r="J273" s="467">
        <f>'Bank Int.'!$I273*6.5%/360</f>
        <v>7.2912161111111118</v>
      </c>
      <c r="K273" s="468">
        <v>43214.87</v>
      </c>
      <c r="L273" s="467">
        <f>'Bank Int.'!$K273*6.5%/360</f>
        <v>7.8026848611111115</v>
      </c>
      <c r="M273" s="451">
        <v>99210</v>
      </c>
      <c r="N273" s="452">
        <f>'Bank Int.'!$M273*8%/360</f>
        <v>22.046666666666667</v>
      </c>
    </row>
    <row r="274" spans="1:14" ht="22.5" customHeight="1" x14ac:dyDescent="0.25">
      <c r="A274" s="257"/>
      <c r="B274" s="253">
        <f t="shared" si="30"/>
        <v>45844</v>
      </c>
      <c r="C274" s="463">
        <v>827533.84</v>
      </c>
      <c r="D274" s="295">
        <f>'Bank Int.'!$C274*7.5%/360</f>
        <v>172.40288333333331</v>
      </c>
      <c r="E274" s="465">
        <v>1852876.13</v>
      </c>
      <c r="F274" s="303">
        <f>Table3[[#This Row],[Mid 146]]*4.5%/360</f>
        <v>231.60951624999996</v>
      </c>
      <c r="G274" s="466">
        <v>1063982.25</v>
      </c>
      <c r="H274" s="303">
        <f>'Bank Int.'!$G274*4.5%/360</f>
        <v>132.99778125</v>
      </c>
      <c r="I274" s="465">
        <v>40382.120000000003</v>
      </c>
      <c r="J274" s="467">
        <f>'Bank Int.'!$I274*6.5%/360</f>
        <v>7.2912161111111118</v>
      </c>
      <c r="K274" s="468">
        <v>43214.87</v>
      </c>
      <c r="L274" s="467">
        <f>'Bank Int.'!$K274*6.5%/360</f>
        <v>7.8026848611111115</v>
      </c>
      <c r="M274" s="451">
        <v>8099210</v>
      </c>
      <c r="N274" s="452">
        <f>'Bank Int.'!$M274*8%/360</f>
        <v>1799.8244444444447</v>
      </c>
    </row>
    <row r="275" spans="1:14" ht="22.5" customHeight="1" x14ac:dyDescent="0.25">
      <c r="A275" s="257"/>
      <c r="B275" s="462">
        <v>45843</v>
      </c>
      <c r="C275" s="463">
        <v>827533.84</v>
      </c>
      <c r="D275" s="464">
        <f>'Bank Int.'!$C275*7.5%/360</f>
        <v>172.40288333333331</v>
      </c>
      <c r="E275" s="465">
        <v>1852876.13</v>
      </c>
      <c r="F275" s="303">
        <f>Table3[[#This Row],[Mid 146]]*4.5%/360</f>
        <v>231.60951624999996</v>
      </c>
      <c r="G275" s="466">
        <v>1063982.25</v>
      </c>
      <c r="H275" s="303">
        <f>'Bank Int.'!$G275*4.5%/360</f>
        <v>132.99778125</v>
      </c>
      <c r="I275" s="465">
        <v>40382.120000000003</v>
      </c>
      <c r="J275" s="467">
        <f>'Bank Int.'!$I275*6.5%/360</f>
        <v>7.2912161111111118</v>
      </c>
      <c r="K275" s="468">
        <v>43214.87</v>
      </c>
      <c r="L275" s="467">
        <f>'Bank Int.'!$K275*6.5%/360</f>
        <v>7.8026848611111115</v>
      </c>
      <c r="M275" s="451">
        <v>8099210</v>
      </c>
      <c r="N275" s="452">
        <f>'Bank Int.'!$M275*8%/360</f>
        <v>1799.8244444444447</v>
      </c>
    </row>
    <row r="276" spans="1:14" ht="22.5" customHeight="1" x14ac:dyDescent="0.25">
      <c r="A276" s="257"/>
      <c r="B276" s="253">
        <f t="shared" ref="B276:B279" si="31">B275-1</f>
        <v>45842</v>
      </c>
      <c r="C276" s="463">
        <v>827533.84</v>
      </c>
      <c r="D276" s="464">
        <f>'Bank Int.'!$C276*7.5%/360</f>
        <v>172.40288333333331</v>
      </c>
      <c r="E276" s="465">
        <v>1852876.13</v>
      </c>
      <c r="F276" s="303">
        <f>Table3[[#This Row],[Mid 146]]*4.5%/360</f>
        <v>231.60951624999996</v>
      </c>
      <c r="G276" s="466">
        <v>1052982.25</v>
      </c>
      <c r="H276" s="303">
        <f>'Bank Int.'!$G276*4.5%/360</f>
        <v>131.62278125</v>
      </c>
      <c r="I276" s="465">
        <v>40382.120000000003</v>
      </c>
      <c r="J276" s="467">
        <f>'Bank Int.'!$I276*6.5%/360</f>
        <v>7.2912161111111118</v>
      </c>
      <c r="K276" s="468">
        <v>43214.87</v>
      </c>
      <c r="L276" s="467">
        <f>'Bank Int.'!$K276*6.5%/360</f>
        <v>7.8026848611111115</v>
      </c>
      <c r="M276" s="451">
        <v>8099210</v>
      </c>
      <c r="N276" s="452">
        <f>'Bank Int.'!$M276*8%/360</f>
        <v>1799.8244444444447</v>
      </c>
    </row>
    <row r="277" spans="1:14" ht="22.5" customHeight="1" x14ac:dyDescent="0.25">
      <c r="A277" s="257"/>
      <c r="B277" s="253">
        <f t="shared" si="31"/>
        <v>45841</v>
      </c>
      <c r="C277" s="463">
        <v>827533.84</v>
      </c>
      <c r="D277" s="464">
        <f>'Bank Int.'!$C277*7.5%/360</f>
        <v>172.40288333333331</v>
      </c>
      <c r="E277" s="465">
        <v>1852876.13</v>
      </c>
      <c r="F277" s="303">
        <f>Table3[[#This Row],[Mid 146]]*4.5%/360</f>
        <v>231.60951624999996</v>
      </c>
      <c r="G277" s="466">
        <v>1052982.25</v>
      </c>
      <c r="H277" s="303">
        <f>'Bank Int.'!$G277*4.5%/360</f>
        <v>131.62278125</v>
      </c>
      <c r="I277" s="465">
        <v>40382.120000000003</v>
      </c>
      <c r="J277" s="467">
        <f>'Bank Int.'!$I277*6.5%/360</f>
        <v>7.2912161111111118</v>
      </c>
      <c r="K277" s="468">
        <v>43214.87</v>
      </c>
      <c r="L277" s="467">
        <f>'Bank Int.'!$K277*6.5%/360</f>
        <v>7.8026848611111115</v>
      </c>
      <c r="M277" s="451">
        <v>8099210</v>
      </c>
      <c r="N277" s="452">
        <f>'Bank Int.'!$M277*8%/360</f>
        <v>1799.8244444444447</v>
      </c>
    </row>
    <row r="278" spans="1:14" ht="22.5" customHeight="1" x14ac:dyDescent="0.25">
      <c r="A278" s="257"/>
      <c r="B278" s="253">
        <f t="shared" si="31"/>
        <v>45840</v>
      </c>
      <c r="C278" s="463">
        <v>828497.84</v>
      </c>
      <c r="D278" s="464">
        <f>'Bank Int.'!$C278*7.5%/360</f>
        <v>172.60371666666666</v>
      </c>
      <c r="E278" s="465">
        <v>1853176.13</v>
      </c>
      <c r="F278" s="303">
        <f>Table3[[#This Row],[Mid 146]]*4.5%/360</f>
        <v>231.64701624999995</v>
      </c>
      <c r="G278" s="466">
        <v>552982.25</v>
      </c>
      <c r="H278" s="303">
        <f>'Bank Int.'!$G278*4.5%/360</f>
        <v>69.122781249999989</v>
      </c>
      <c r="I278" s="465">
        <v>40382.120000000003</v>
      </c>
      <c r="J278" s="467">
        <f>'Bank Int.'!$I278*6.5%/360</f>
        <v>7.2912161111111118</v>
      </c>
      <c r="K278" s="468">
        <v>43214.87</v>
      </c>
      <c r="L278" s="467">
        <f>'Bank Int.'!$K278*6.5%/360</f>
        <v>7.8026848611111115</v>
      </c>
      <c r="M278" s="451">
        <v>8099210</v>
      </c>
      <c r="N278" s="452">
        <f>'Bank Int.'!$M278*8%/360</f>
        <v>1799.8244444444447</v>
      </c>
    </row>
    <row r="279" spans="1:14" ht="22.5" customHeight="1" x14ac:dyDescent="0.25">
      <c r="A279" s="257"/>
      <c r="B279" s="253">
        <f t="shared" si="31"/>
        <v>45839</v>
      </c>
      <c r="C279" s="463">
        <v>5218861.84</v>
      </c>
      <c r="D279" s="464">
        <f>'Bank Int.'!$C279*7.5%/360</f>
        <v>1087.2628833333333</v>
      </c>
      <c r="E279" s="465">
        <v>1853176.13</v>
      </c>
      <c r="F279" s="303">
        <f>Table3[[#This Row],[Mid 146]]*4.5%/360</f>
        <v>231.64701624999995</v>
      </c>
      <c r="G279" s="466">
        <v>202982.25</v>
      </c>
      <c r="H279" s="303">
        <f>'Bank Int.'!$G279*4.5%/360</f>
        <v>25.372781249999999</v>
      </c>
      <c r="I279" s="465">
        <v>40382.120000000003</v>
      </c>
      <c r="J279" s="467">
        <f>'Bank Int.'!$I279*6.5%/360</f>
        <v>7.2912161111111118</v>
      </c>
      <c r="K279" s="468">
        <v>43214.87</v>
      </c>
      <c r="L279" s="467">
        <f>'Bank Int.'!$K279*6.5%/360</f>
        <v>7.8026848611111115</v>
      </c>
      <c r="M279" s="451">
        <v>8099210</v>
      </c>
      <c r="N279" s="452">
        <f>'Bank Int.'!$M279*8%/360</f>
        <v>1799.8244444444447</v>
      </c>
    </row>
    <row r="280" spans="1:14" ht="22.5" customHeight="1" x14ac:dyDescent="0.25">
      <c r="A280" s="257"/>
      <c r="B280" s="462"/>
      <c r="C280" s="463"/>
      <c r="D280" s="464"/>
      <c r="E280" s="465"/>
      <c r="F280" s="465"/>
      <c r="G280" s="466"/>
      <c r="H280" s="465"/>
      <c r="I280" s="465"/>
      <c r="J280" s="467"/>
      <c r="K280" s="468"/>
      <c r="L280" s="467"/>
      <c r="M280" s="460"/>
      <c r="N280" s="461"/>
    </row>
    <row r="281" spans="1:14" ht="22.5" customHeight="1" x14ac:dyDescent="0.25">
      <c r="A281" s="257"/>
      <c r="B281" s="253">
        <v>45838</v>
      </c>
      <c r="C281" s="298">
        <v>4865758.84</v>
      </c>
      <c r="D281" s="295">
        <f>'Bank Int.'!$C281*7.5%/360</f>
        <v>1013.6997583333333</v>
      </c>
      <c r="E281" s="254">
        <v>1853176.13</v>
      </c>
      <c r="F281" s="303">
        <f>Table3[[#This Row],[Mid 146]]*4.5%/360</f>
        <v>231.64701624999995</v>
      </c>
      <c r="G281" s="305">
        <v>203327.25</v>
      </c>
      <c r="H281" s="303">
        <f>'Bank Int.'!$G281*4.5%/360</f>
        <v>25.415906249999999</v>
      </c>
      <c r="I281" s="254">
        <v>40727.120000000003</v>
      </c>
      <c r="J281" s="307">
        <f>'Bank Int.'!$I281*6.5%/360</f>
        <v>7.3535077777777786</v>
      </c>
      <c r="K281" s="337">
        <v>43827.97</v>
      </c>
      <c r="L281" s="307">
        <f>Table3[[#This Row],[MTBL]]*6.5%/360</f>
        <v>7.9133834722222227</v>
      </c>
      <c r="M281" s="451">
        <v>8099210</v>
      </c>
      <c r="N281" s="452">
        <f>'Bank Int.'!$M281*8%/360</f>
        <v>1799.8244444444447</v>
      </c>
    </row>
    <row r="282" spans="1:14" ht="22.5" customHeight="1" x14ac:dyDescent="0.25">
      <c r="A282" s="257"/>
      <c r="B282" s="253">
        <f t="shared" ref="B282:B289" si="32">B281-1</f>
        <v>45837</v>
      </c>
      <c r="C282" s="298">
        <v>7995758.8399999999</v>
      </c>
      <c r="D282" s="295">
        <f>'Bank Int.'!$C282*7.5%/360</f>
        <v>1665.7830916666665</v>
      </c>
      <c r="E282" s="254">
        <v>3645006.13</v>
      </c>
      <c r="F282" s="303">
        <f>Table3[[#This Row],[Mid 146]]*4.5%/360</f>
        <v>455.62576624999991</v>
      </c>
      <c r="G282" s="305">
        <v>2499246.69</v>
      </c>
      <c r="H282" s="303">
        <f>'Bank Int.'!$G282*4.5%/360</f>
        <v>312.40583624999999</v>
      </c>
      <c r="I282" s="254">
        <v>40727.120000000003</v>
      </c>
      <c r="J282" s="307">
        <f>'Bank Int.'!$I282*6.5%/360</f>
        <v>7.3535077777777786</v>
      </c>
      <c r="K282" s="337">
        <v>43827.97</v>
      </c>
      <c r="L282" s="307">
        <f>Table3[[#This Row],[MTBL]]*6.5%/360</f>
        <v>7.9133834722222227</v>
      </c>
      <c r="M282" s="451">
        <v>99210</v>
      </c>
      <c r="N282" s="452">
        <f>'Bank Int.'!$M282*8%/360</f>
        <v>22.046666666666667</v>
      </c>
    </row>
    <row r="283" spans="1:14" ht="22.5" customHeight="1" x14ac:dyDescent="0.25">
      <c r="A283" s="257"/>
      <c r="B283" s="253">
        <v>45836</v>
      </c>
      <c r="C283" s="298">
        <v>6085783.8399999999</v>
      </c>
      <c r="D283" s="295">
        <f>'Bank Int.'!$C283*7.5%/360</f>
        <v>1267.8716333333334</v>
      </c>
      <c r="E283" s="254">
        <v>1179631.1299999999</v>
      </c>
      <c r="F283" s="303">
        <f>Table3[[#This Row],[Mid 146]]*4.5%/360</f>
        <v>147.45389124999997</v>
      </c>
      <c r="G283" s="305">
        <v>2021246.69</v>
      </c>
      <c r="H283" s="303">
        <f>'Bank Int.'!$G283*4.5%/360</f>
        <v>252.65583624999999</v>
      </c>
      <c r="I283" s="254">
        <v>40727.120000000003</v>
      </c>
      <c r="J283" s="307">
        <f>'Bank Int.'!$I283*6.5%/360</f>
        <v>7.3535077777777786</v>
      </c>
      <c r="K283" s="337">
        <v>43827.97</v>
      </c>
      <c r="L283" s="307">
        <f>Table3[[#This Row],[MTBL]]*6.5%/360</f>
        <v>7.9133834722222227</v>
      </c>
      <c r="M283" s="451">
        <v>99210</v>
      </c>
      <c r="N283" s="452">
        <f>'Bank Int.'!$M283*8%/360</f>
        <v>22.046666666666667</v>
      </c>
    </row>
    <row r="284" spans="1:14" ht="22.5" customHeight="1" x14ac:dyDescent="0.25">
      <c r="A284" s="257"/>
      <c r="B284" s="253">
        <f t="shared" si="32"/>
        <v>45835</v>
      </c>
      <c r="C284" s="298">
        <v>6085783.8399999999</v>
      </c>
      <c r="D284" s="295">
        <f>'Bank Int.'!$C284*7.5%/360</f>
        <v>1267.8716333333334</v>
      </c>
      <c r="E284" s="254">
        <v>1179631.1299999999</v>
      </c>
      <c r="F284" s="303">
        <f>Table3[[#This Row],[Mid 146]]*4.5%/360</f>
        <v>147.45389124999997</v>
      </c>
      <c r="G284" s="305">
        <v>2021246.69</v>
      </c>
      <c r="H284" s="303">
        <f>'Bank Int.'!$G284*4.5%/360</f>
        <v>252.65583624999999</v>
      </c>
      <c r="I284" s="254">
        <v>40727.120000000003</v>
      </c>
      <c r="J284" s="307">
        <f>'Bank Int.'!$I284*6.5%/360</f>
        <v>7.3535077777777786</v>
      </c>
      <c r="K284" s="337">
        <v>43827.97</v>
      </c>
      <c r="L284" s="307">
        <f>Table3[[#This Row],[MTBL]]*6.5%/360</f>
        <v>7.9133834722222227</v>
      </c>
      <c r="M284" s="451">
        <v>99210</v>
      </c>
      <c r="N284" s="452">
        <f>'Bank Int.'!$M284*8%/360</f>
        <v>22.046666666666667</v>
      </c>
    </row>
    <row r="285" spans="1:14" ht="22.5" customHeight="1" x14ac:dyDescent="0.25">
      <c r="A285" s="257"/>
      <c r="B285" s="253">
        <f t="shared" si="32"/>
        <v>45834</v>
      </c>
      <c r="C285" s="298">
        <v>6085783.8399999999</v>
      </c>
      <c r="D285" s="295">
        <f>'Bank Int.'!$C285*7.5%/360</f>
        <v>1267.8716333333334</v>
      </c>
      <c r="E285" s="254">
        <v>1179631.1299999999</v>
      </c>
      <c r="F285" s="303">
        <f>Table3[[#This Row],[Mid 146]]*4.5%/360</f>
        <v>147.45389124999997</v>
      </c>
      <c r="G285" s="305">
        <v>2021246.69</v>
      </c>
      <c r="H285" s="303">
        <f>'Bank Int.'!$G285*4.5%/360</f>
        <v>252.65583624999999</v>
      </c>
      <c r="I285" s="254">
        <v>40727.120000000003</v>
      </c>
      <c r="J285" s="307">
        <f>'Bank Int.'!$I285*6.5%/360</f>
        <v>7.3535077777777786</v>
      </c>
      <c r="K285" s="337">
        <v>43827.97</v>
      </c>
      <c r="L285" s="307">
        <f>Table3[[#This Row],[MTBL]]*6.5%/360</f>
        <v>7.9133834722222227</v>
      </c>
      <c r="M285" s="451">
        <v>99210</v>
      </c>
      <c r="N285" s="452">
        <f>'Bank Int.'!$M285*8%/360</f>
        <v>22.046666666666667</v>
      </c>
    </row>
    <row r="286" spans="1:14" ht="22.5" customHeight="1" x14ac:dyDescent="0.25">
      <c r="A286" s="257"/>
      <c r="B286" s="253">
        <f t="shared" si="32"/>
        <v>45833</v>
      </c>
      <c r="C286" s="298">
        <v>4945853.84</v>
      </c>
      <c r="D286" s="295">
        <f>'Bank Int.'!$C286*7.5%/360</f>
        <v>1030.3862166666668</v>
      </c>
      <c r="E286" s="254">
        <v>1166360.6299999999</v>
      </c>
      <c r="F286" s="303">
        <f>Table3[[#This Row],[Mid 146]]*4.5%/360</f>
        <v>145.79507874999996</v>
      </c>
      <c r="G286" s="305">
        <v>604586.68999999994</v>
      </c>
      <c r="H286" s="303">
        <f>'Bank Int.'!$G286*4.5%/360</f>
        <v>75.573336249999997</v>
      </c>
      <c r="I286" s="254">
        <v>40727.120000000003</v>
      </c>
      <c r="J286" s="307">
        <f>'Bank Int.'!$I286*6.5%/360</f>
        <v>7.3535077777777786</v>
      </c>
      <c r="K286" s="337">
        <v>43827.97</v>
      </c>
      <c r="L286" s="307">
        <f>Table3[[#This Row],[MTBL]]*6.5%/360</f>
        <v>7.9133834722222227</v>
      </c>
      <c r="M286" s="451">
        <v>99210</v>
      </c>
      <c r="N286" s="452">
        <f>'Bank Int.'!$M286*8%/360</f>
        <v>22.046666666666667</v>
      </c>
    </row>
    <row r="287" spans="1:14" ht="22.5" customHeight="1" x14ac:dyDescent="0.25">
      <c r="A287" s="257"/>
      <c r="B287" s="253">
        <f t="shared" si="32"/>
        <v>45832</v>
      </c>
      <c r="C287" s="298">
        <v>1346248.84</v>
      </c>
      <c r="D287" s="295">
        <f>'Bank Int.'!$C287*7.5%/360</f>
        <v>280.46850833333332</v>
      </c>
      <c r="E287" s="254">
        <v>25930250.920000002</v>
      </c>
      <c r="F287" s="303">
        <f>Table3[[#This Row],[Mid 146]]*4.5%/360</f>
        <v>3241.2813649999998</v>
      </c>
      <c r="G287" s="305">
        <v>54586.69</v>
      </c>
      <c r="H287" s="303">
        <f>'Bank Int.'!$G287*4.5%/360</f>
        <v>6.8233362499999997</v>
      </c>
      <c r="I287" s="254">
        <v>40727.120000000003</v>
      </c>
      <c r="J287" s="307">
        <f>'Bank Int.'!$I287*6.5%/360</f>
        <v>7.3535077777777786</v>
      </c>
      <c r="K287" s="337">
        <v>43827.97</v>
      </c>
      <c r="L287" s="307">
        <f>Table3[[#This Row],[MTBL]]*6.5%/360</f>
        <v>7.9133834722222227</v>
      </c>
      <c r="M287" s="451">
        <v>99210</v>
      </c>
      <c r="N287" s="452">
        <f>'Bank Int.'!$M287*8%/360</f>
        <v>22.046666666666667</v>
      </c>
    </row>
    <row r="288" spans="1:14" ht="22.5" customHeight="1" x14ac:dyDescent="0.25">
      <c r="A288" s="257"/>
      <c r="B288" s="253">
        <f t="shared" si="32"/>
        <v>45831</v>
      </c>
      <c r="C288" s="298">
        <v>5551368.8399999999</v>
      </c>
      <c r="D288" s="295">
        <f>'Bank Int.'!$C288*7.5%/360</f>
        <v>1156.535175</v>
      </c>
      <c r="E288" s="254">
        <v>20212750.920000002</v>
      </c>
      <c r="F288" s="303">
        <f>Table3[[#This Row],[Mid 146]]*4.5%/360</f>
        <v>2526.5938650000003</v>
      </c>
      <c r="G288" s="305">
        <v>54586.69</v>
      </c>
      <c r="H288" s="303">
        <f>'Bank Int.'!$G288*4.5%/360</f>
        <v>6.8233362499999997</v>
      </c>
      <c r="I288" s="254">
        <v>40727.120000000003</v>
      </c>
      <c r="J288" s="307">
        <f>'Bank Int.'!$I288*6.5%/360</f>
        <v>7.3535077777777786</v>
      </c>
      <c r="K288" s="337">
        <v>43827.97</v>
      </c>
      <c r="L288" s="307">
        <f>Table3[[#This Row],[MTBL]]*6.5%/360</f>
        <v>7.9133834722222227</v>
      </c>
      <c r="M288" s="451">
        <v>99210</v>
      </c>
      <c r="N288" s="452">
        <f>'Bank Int.'!$M288*8%/360</f>
        <v>22.046666666666667</v>
      </c>
    </row>
    <row r="289" spans="1:14" ht="22.5" customHeight="1" x14ac:dyDescent="0.25">
      <c r="A289" s="257"/>
      <c r="B289" s="253">
        <f t="shared" si="32"/>
        <v>45830</v>
      </c>
      <c r="C289" s="298">
        <v>4996428.84</v>
      </c>
      <c r="D289" s="295">
        <f>'Bank Int.'!$C289*7.5%/360</f>
        <v>1040.922675</v>
      </c>
      <c r="E289" s="254">
        <v>20212750.920000002</v>
      </c>
      <c r="F289" s="303">
        <f>Table3[[#This Row],[Mid 146]]*4.5%/360</f>
        <v>2526.5938650000003</v>
      </c>
      <c r="G289" s="305">
        <v>1554586.69</v>
      </c>
      <c r="H289" s="303">
        <f>'Bank Int.'!$G289*4.5%/360</f>
        <v>194.32333625000001</v>
      </c>
      <c r="I289" s="254">
        <v>40727.120000000003</v>
      </c>
      <c r="J289" s="307">
        <f>'Bank Int.'!$I289*6.5%/360</f>
        <v>7.3535077777777786</v>
      </c>
      <c r="K289" s="337">
        <v>43827.97</v>
      </c>
      <c r="L289" s="307">
        <f>Table3[[#This Row],[MTBL]]*6.5%/360</f>
        <v>7.9133834722222227</v>
      </c>
      <c r="M289" s="451">
        <v>99210</v>
      </c>
      <c r="N289" s="452">
        <f>'Bank Int.'!$M289*8%/360</f>
        <v>22.046666666666667</v>
      </c>
    </row>
    <row r="290" spans="1:14" ht="22.5" customHeight="1" x14ac:dyDescent="0.25">
      <c r="A290" s="257"/>
      <c r="B290" s="253">
        <v>45829</v>
      </c>
      <c r="C290" s="298">
        <v>126414.37</v>
      </c>
      <c r="D290" s="295">
        <f>'Bank Int.'!$C290*7.5%/360</f>
        <v>26.33632708333333</v>
      </c>
      <c r="E290" s="254">
        <v>3374614.44</v>
      </c>
      <c r="F290" s="303">
        <f>Table3[[#This Row],[Mid 146]]*4.5%/360</f>
        <v>421.82680499999998</v>
      </c>
      <c r="G290" s="305">
        <v>754586.69</v>
      </c>
      <c r="H290" s="303">
        <f>'Bank Int.'!$G290*4.5%/360</f>
        <v>94.323336249999983</v>
      </c>
      <c r="I290" s="254">
        <v>40727.120000000003</v>
      </c>
      <c r="J290" s="307">
        <f>'Bank Int.'!$I290*6.5%/360</f>
        <v>7.3535077777777786</v>
      </c>
      <c r="K290" s="337">
        <v>43827.97</v>
      </c>
      <c r="L290" s="307">
        <f>Table3[[#This Row],[MTBL]]*6.5%/360</f>
        <v>7.9133834722222227</v>
      </c>
      <c r="M290" s="451">
        <v>99210</v>
      </c>
      <c r="N290" s="452">
        <f>'Bank Int.'!$M290*8%/360</f>
        <v>22.046666666666667</v>
      </c>
    </row>
    <row r="291" spans="1:14" ht="22.5" customHeight="1" x14ac:dyDescent="0.25">
      <c r="A291" s="257"/>
      <c r="B291" s="253">
        <f t="shared" ref="B291:B296" si="33">B290-1</f>
        <v>45828</v>
      </c>
      <c r="C291" s="298">
        <v>126414.37</v>
      </c>
      <c r="D291" s="295">
        <f>'Bank Int.'!$C291*7.5%/360</f>
        <v>26.33632708333333</v>
      </c>
      <c r="E291" s="254">
        <v>3374614.44</v>
      </c>
      <c r="F291" s="303">
        <f>Table3[[#This Row],[Mid 146]]*4.5%/360</f>
        <v>421.82680499999998</v>
      </c>
      <c r="G291" s="305">
        <v>754586.69</v>
      </c>
      <c r="H291" s="303">
        <f>'Bank Int.'!$G291*4.5%/360</f>
        <v>94.323336249999983</v>
      </c>
      <c r="I291" s="254">
        <v>40727.120000000003</v>
      </c>
      <c r="J291" s="307">
        <f>'Bank Int.'!$I291*6.5%/360</f>
        <v>7.3535077777777786</v>
      </c>
      <c r="K291" s="337">
        <v>43827.97</v>
      </c>
      <c r="L291" s="307">
        <f>Table3[[#This Row],[MTBL]]*6.5%/360</f>
        <v>7.9133834722222227</v>
      </c>
      <c r="M291" s="451">
        <v>99210</v>
      </c>
      <c r="N291" s="452">
        <f>'Bank Int.'!$M291*8%/360</f>
        <v>22.046666666666667</v>
      </c>
    </row>
    <row r="292" spans="1:14" ht="22.5" customHeight="1" x14ac:dyDescent="0.25">
      <c r="A292" s="257"/>
      <c r="B292" s="253">
        <f t="shared" si="33"/>
        <v>45827</v>
      </c>
      <c r="C292" s="298">
        <v>126414.37</v>
      </c>
      <c r="D292" s="295">
        <f>'Bank Int.'!$C292*7.5%/360</f>
        <v>26.33632708333333</v>
      </c>
      <c r="E292" s="254">
        <v>3374614.44</v>
      </c>
      <c r="F292" s="303">
        <f>Table3[[#This Row],[Mid 146]]*4.5%/360</f>
        <v>421.82680499999998</v>
      </c>
      <c r="G292" s="305">
        <v>754586.69</v>
      </c>
      <c r="H292" s="303">
        <f>'Bank Int.'!$G292*4.5%/360</f>
        <v>94.323336249999983</v>
      </c>
      <c r="I292" s="254">
        <v>40727.120000000003</v>
      </c>
      <c r="J292" s="307">
        <f>'Bank Int.'!$I292*6.5%/360</f>
        <v>7.3535077777777786</v>
      </c>
      <c r="K292" s="337">
        <v>43827.97</v>
      </c>
      <c r="L292" s="307">
        <f>Table3[[#This Row],[MTBL]]*6.5%/360</f>
        <v>7.9133834722222227</v>
      </c>
      <c r="M292" s="451">
        <v>99210</v>
      </c>
      <c r="N292" s="452">
        <f>'Bank Int.'!$M292*8%/360</f>
        <v>22.046666666666667</v>
      </c>
    </row>
    <row r="293" spans="1:14" ht="22.5" customHeight="1" x14ac:dyDescent="0.25">
      <c r="A293" s="257"/>
      <c r="B293" s="253">
        <f t="shared" si="33"/>
        <v>45826</v>
      </c>
      <c r="C293" s="298">
        <v>2589992.02</v>
      </c>
      <c r="D293" s="295">
        <f>'Bank Int.'!$C293*7.5%/360</f>
        <v>539.58167083333331</v>
      </c>
      <c r="E293" s="254">
        <v>1442615.42</v>
      </c>
      <c r="F293" s="303">
        <f>Table3[[#This Row],[Mid 146]]*4.5%/360</f>
        <v>180.32692749999998</v>
      </c>
      <c r="G293" s="305">
        <v>754586.69</v>
      </c>
      <c r="H293" s="303">
        <f>'Bank Int.'!$G293*4.5%/360</f>
        <v>94.323336249999983</v>
      </c>
      <c r="I293" s="254">
        <v>40727.120000000003</v>
      </c>
      <c r="J293" s="307">
        <f>'Bank Int.'!$I293*6.5%/360</f>
        <v>7.3535077777777786</v>
      </c>
      <c r="K293" s="337">
        <v>43827.97</v>
      </c>
      <c r="L293" s="307">
        <f>Table3[[#This Row],[MTBL]]*6.5%/360</f>
        <v>7.9133834722222227</v>
      </c>
      <c r="M293" s="451">
        <v>99210</v>
      </c>
      <c r="N293" s="452">
        <f>'Bank Int.'!$M293*8%/360</f>
        <v>22.046666666666667</v>
      </c>
    </row>
    <row r="294" spans="1:14" ht="22.5" customHeight="1" x14ac:dyDescent="0.25">
      <c r="A294" s="257"/>
      <c r="B294" s="253">
        <f t="shared" si="33"/>
        <v>45825</v>
      </c>
      <c r="C294" s="298">
        <v>8988042.0199999996</v>
      </c>
      <c r="D294" s="295">
        <f>'Bank Int.'!$C294*7.5%/360</f>
        <v>1872.5087541666664</v>
      </c>
      <c r="E294" s="254">
        <v>3460466.9</v>
      </c>
      <c r="F294" s="303">
        <f>Table3[[#This Row],[Mid 146]]*4.5%/360</f>
        <v>432.55836249999999</v>
      </c>
      <c r="G294" s="305">
        <v>754586.69</v>
      </c>
      <c r="H294" s="303">
        <f>'Bank Int.'!$G294*4.5%/360</f>
        <v>94.323336249999983</v>
      </c>
      <c r="I294" s="254">
        <v>40727.120000000003</v>
      </c>
      <c r="J294" s="307">
        <f>'Bank Int.'!$I294*6.5%/360</f>
        <v>7.3535077777777786</v>
      </c>
      <c r="K294" s="337">
        <v>43827.97</v>
      </c>
      <c r="L294" s="307">
        <f>Table3[[#This Row],[MTBL]]*6.5%/360</f>
        <v>7.9133834722222227</v>
      </c>
      <c r="M294" s="451">
        <v>99210</v>
      </c>
      <c r="N294" s="452">
        <f>'Bank Int.'!$M294*8%/360</f>
        <v>22.046666666666667</v>
      </c>
    </row>
    <row r="295" spans="1:14" ht="22.5" customHeight="1" x14ac:dyDescent="0.25">
      <c r="A295" s="257"/>
      <c r="B295" s="253">
        <f t="shared" si="33"/>
        <v>45824</v>
      </c>
      <c r="C295" s="298">
        <v>11988042.02</v>
      </c>
      <c r="D295" s="295">
        <f>'Bank Int.'!$C295*7.5%/360</f>
        <v>2497.5087541666662</v>
      </c>
      <c r="E295" s="254">
        <v>460466.9</v>
      </c>
      <c r="F295" s="303">
        <f>Table3[[#This Row],[Mid 146]]*4.5%/360</f>
        <v>57.558362500000001</v>
      </c>
      <c r="G295" s="305">
        <v>754586.69</v>
      </c>
      <c r="H295" s="303">
        <f>'Bank Int.'!$G295*4.5%/360</f>
        <v>94.323336249999983</v>
      </c>
      <c r="I295" s="254">
        <v>40727.120000000003</v>
      </c>
      <c r="J295" s="307">
        <f>'Bank Int.'!$I295*6.5%/360</f>
        <v>7.3535077777777786</v>
      </c>
      <c r="K295" s="337">
        <v>43827.97</v>
      </c>
      <c r="L295" s="307">
        <f>Table3[[#This Row],[MTBL]]*6.5%/360</f>
        <v>7.9133834722222227</v>
      </c>
      <c r="M295" s="451">
        <v>99210</v>
      </c>
      <c r="N295" s="452">
        <f>'Bank Int.'!$M295*8%/360</f>
        <v>22.046666666666667</v>
      </c>
    </row>
    <row r="296" spans="1:14" ht="22.5" customHeight="1" x14ac:dyDescent="0.25">
      <c r="A296" s="257"/>
      <c r="B296" s="253">
        <f t="shared" si="33"/>
        <v>45823</v>
      </c>
      <c r="C296" s="298">
        <v>8788067.0199999996</v>
      </c>
      <c r="D296" s="295">
        <f>'Bank Int.'!$C296*7.5%/360</f>
        <v>1830.8472958333332</v>
      </c>
      <c r="E296" s="254">
        <v>2453800.23</v>
      </c>
      <c r="F296" s="303">
        <f>Table3[[#This Row],[Mid 146]]*4.5%/360</f>
        <v>306.72502874999998</v>
      </c>
      <c r="G296" s="305">
        <v>754586.69</v>
      </c>
      <c r="H296" s="303">
        <f>'Bank Int.'!$G296*4.5%/360</f>
        <v>94.323336249999983</v>
      </c>
      <c r="I296" s="254">
        <v>40727.120000000003</v>
      </c>
      <c r="J296" s="307">
        <f>'Bank Int.'!$I296*6.5%/360</f>
        <v>7.3535077777777786</v>
      </c>
      <c r="K296" s="337">
        <v>43827.97</v>
      </c>
      <c r="L296" s="307">
        <f>Table3[[#This Row],[MTBL]]*6.5%/360</f>
        <v>7.9133834722222227</v>
      </c>
      <c r="M296" s="451">
        <v>99210</v>
      </c>
      <c r="N296" s="452">
        <f>'Bank Int.'!$M296*8%/360</f>
        <v>22.046666666666667</v>
      </c>
    </row>
    <row r="297" spans="1:14" ht="22.5" customHeight="1" x14ac:dyDescent="0.25">
      <c r="A297" s="257"/>
      <c r="B297" s="253">
        <v>45822</v>
      </c>
      <c r="C297" s="298">
        <f t="shared" ref="C297:C306" si="34">5081816.85+1500000</f>
        <v>6581816.8499999996</v>
      </c>
      <c r="D297" s="295">
        <f>'Bank Int.'!$C297*7.5%/360</f>
        <v>1371.2118437499998</v>
      </c>
      <c r="E297" s="254">
        <v>264241.99</v>
      </c>
      <c r="F297" s="303">
        <f>Table3[[#This Row],[Mid 146]]*4.5%/360</f>
        <v>33.030248749999998</v>
      </c>
      <c r="G297" s="305">
        <v>503586.69</v>
      </c>
      <c r="H297" s="303">
        <f>'Bank Int.'!$G297*4.5%/360</f>
        <v>62.948336250000004</v>
      </c>
      <c r="I297" s="254">
        <v>40727.120000000003</v>
      </c>
      <c r="J297" s="307">
        <f>'Bank Int.'!$I297*6.5%/360</f>
        <v>7.3535077777777786</v>
      </c>
      <c r="K297" s="337">
        <v>43827.97</v>
      </c>
      <c r="L297" s="307">
        <f>Table3[[#This Row],[MTBL]]*6.5%/360</f>
        <v>7.9133834722222227</v>
      </c>
      <c r="M297" s="451">
        <v>3000000</v>
      </c>
      <c r="N297" s="452">
        <f>'Bank Int.'!$M297*8%/360</f>
        <v>666.66666666666663</v>
      </c>
    </row>
    <row r="298" spans="1:14" ht="22.5" customHeight="1" x14ac:dyDescent="0.25">
      <c r="A298" s="257"/>
      <c r="B298" s="253">
        <f t="shared" ref="B298:B310" si="35">B297-1</f>
        <v>45821</v>
      </c>
      <c r="C298" s="298">
        <f t="shared" si="34"/>
        <v>6581816.8499999996</v>
      </c>
      <c r="D298" s="295">
        <f>'Bank Int.'!$C298*7.5%/360</f>
        <v>1371.2118437499998</v>
      </c>
      <c r="E298" s="254">
        <v>264241.99</v>
      </c>
      <c r="F298" s="303">
        <f>Table3[[#This Row],[Mid 146]]*4.5%/360</f>
        <v>33.030248749999998</v>
      </c>
      <c r="G298" s="305">
        <v>503586.69</v>
      </c>
      <c r="H298" s="303">
        <f>'Bank Int.'!$G298*4.5%/360</f>
        <v>62.948336250000004</v>
      </c>
      <c r="I298" s="254">
        <v>40727.120000000003</v>
      </c>
      <c r="J298" s="307">
        <f>'Bank Int.'!$I298*6.5%/360</f>
        <v>7.3535077777777786</v>
      </c>
      <c r="K298" s="337">
        <v>43827.97</v>
      </c>
      <c r="L298" s="307">
        <f>Table3[[#This Row],[MTBL]]*6.5%/360</f>
        <v>7.9133834722222227</v>
      </c>
      <c r="M298" s="451">
        <v>3000000</v>
      </c>
      <c r="N298" s="452">
        <f>'Bank Int.'!$M298*8%/360</f>
        <v>666.66666666666663</v>
      </c>
    </row>
    <row r="299" spans="1:14" ht="22.5" customHeight="1" x14ac:dyDescent="0.25">
      <c r="A299" s="257"/>
      <c r="B299" s="253">
        <f t="shared" si="35"/>
        <v>45820</v>
      </c>
      <c r="C299" s="298">
        <f t="shared" si="34"/>
        <v>6581816.8499999996</v>
      </c>
      <c r="D299" s="295">
        <f>'Bank Int.'!$C299*7.5%/360</f>
        <v>1371.2118437499998</v>
      </c>
      <c r="E299" s="254">
        <v>264241.99</v>
      </c>
      <c r="F299" s="303">
        <f>Table3[[#This Row],[Mid 146]]*4.5%/360</f>
        <v>33.030248749999998</v>
      </c>
      <c r="G299" s="305">
        <v>503586.69</v>
      </c>
      <c r="H299" s="303">
        <f>'Bank Int.'!$G299*4.5%/360</f>
        <v>62.948336250000004</v>
      </c>
      <c r="I299" s="254">
        <v>40727.120000000003</v>
      </c>
      <c r="J299" s="307">
        <f>'Bank Int.'!$I299*6.5%/360</f>
        <v>7.3535077777777786</v>
      </c>
      <c r="K299" s="337">
        <v>43827.97</v>
      </c>
      <c r="L299" s="307">
        <f>Table3[[#This Row],[MTBL]]*6.5%/360</f>
        <v>7.9133834722222227</v>
      </c>
      <c r="M299" s="451">
        <v>3000000</v>
      </c>
      <c r="N299" s="452">
        <f>'Bank Int.'!$M299*8%/360</f>
        <v>666.66666666666663</v>
      </c>
    </row>
    <row r="300" spans="1:14" ht="22.5" customHeight="1" x14ac:dyDescent="0.25">
      <c r="A300" s="257"/>
      <c r="B300" s="253">
        <f t="shared" si="35"/>
        <v>45819</v>
      </c>
      <c r="C300" s="298">
        <f t="shared" si="34"/>
        <v>6581816.8499999996</v>
      </c>
      <c r="D300" s="295">
        <f>'Bank Int.'!$C300*7.5%/360</f>
        <v>1371.2118437499998</v>
      </c>
      <c r="E300" s="254">
        <v>264241.99</v>
      </c>
      <c r="F300" s="303">
        <f>Table3[[#This Row],[Mid 146]]*4.5%/360</f>
        <v>33.030248749999998</v>
      </c>
      <c r="G300" s="305">
        <v>503586.69</v>
      </c>
      <c r="H300" s="303">
        <f>'Bank Int.'!$G300*4.5%/360</f>
        <v>62.948336250000004</v>
      </c>
      <c r="I300" s="254">
        <v>40727.120000000003</v>
      </c>
      <c r="J300" s="307">
        <f>'Bank Int.'!$I300*6.5%/360</f>
        <v>7.3535077777777786</v>
      </c>
      <c r="K300" s="337">
        <v>43827.97</v>
      </c>
      <c r="L300" s="307">
        <f>Table3[[#This Row],[MTBL]]*6.5%/360</f>
        <v>7.9133834722222227</v>
      </c>
      <c r="M300" s="451">
        <v>3000000</v>
      </c>
      <c r="N300" s="452">
        <f>'Bank Int.'!$M300*8%/360</f>
        <v>666.66666666666663</v>
      </c>
    </row>
    <row r="301" spans="1:14" ht="22.5" customHeight="1" x14ac:dyDescent="0.25">
      <c r="A301" s="257"/>
      <c r="B301" s="253">
        <f t="shared" si="35"/>
        <v>45818</v>
      </c>
      <c r="C301" s="298">
        <f t="shared" si="34"/>
        <v>6581816.8499999996</v>
      </c>
      <c r="D301" s="295">
        <f>'Bank Int.'!$C301*7.5%/360</f>
        <v>1371.2118437499998</v>
      </c>
      <c r="E301" s="254">
        <v>264241.99</v>
      </c>
      <c r="F301" s="303">
        <f>Table3[[#This Row],[Mid 146]]*4.5%/360</f>
        <v>33.030248749999998</v>
      </c>
      <c r="G301" s="305">
        <v>503586.69</v>
      </c>
      <c r="H301" s="303">
        <f>'Bank Int.'!$G301*4.5%/360</f>
        <v>62.948336250000004</v>
      </c>
      <c r="I301" s="254">
        <v>40727.120000000003</v>
      </c>
      <c r="J301" s="307">
        <f>'Bank Int.'!$I301*6.5%/360</f>
        <v>7.3535077777777786</v>
      </c>
      <c r="K301" s="337">
        <v>43827.97</v>
      </c>
      <c r="L301" s="307">
        <f>Table3[[#This Row],[MTBL]]*6.5%/360</f>
        <v>7.9133834722222227</v>
      </c>
      <c r="M301" s="451">
        <v>3000000</v>
      </c>
      <c r="N301" s="452">
        <f>'Bank Int.'!$M301*8%/360</f>
        <v>666.66666666666663</v>
      </c>
    </row>
    <row r="302" spans="1:14" ht="22.5" customHeight="1" x14ac:dyDescent="0.25">
      <c r="A302" s="257"/>
      <c r="B302" s="253">
        <f t="shared" si="35"/>
        <v>45817</v>
      </c>
      <c r="C302" s="298">
        <f t="shared" si="34"/>
        <v>6581816.8499999996</v>
      </c>
      <c r="D302" s="295">
        <f>'Bank Int.'!$C302*7.5%/360</f>
        <v>1371.2118437499998</v>
      </c>
      <c r="E302" s="254">
        <v>264241.99</v>
      </c>
      <c r="F302" s="303">
        <f>Table3[[#This Row],[Mid 146]]*4.5%/360</f>
        <v>33.030248749999998</v>
      </c>
      <c r="G302" s="305">
        <v>503586.69</v>
      </c>
      <c r="H302" s="303">
        <f>'Bank Int.'!$G302*4.5%/360</f>
        <v>62.948336250000004</v>
      </c>
      <c r="I302" s="254">
        <v>40727.120000000003</v>
      </c>
      <c r="J302" s="307">
        <f>'Bank Int.'!$I302*6.5%/360</f>
        <v>7.3535077777777786</v>
      </c>
      <c r="K302" s="337">
        <v>43827.97</v>
      </c>
      <c r="L302" s="307">
        <f>Table3[[#This Row],[MTBL]]*6.5%/360</f>
        <v>7.9133834722222227</v>
      </c>
      <c r="M302" s="451">
        <v>3000000</v>
      </c>
      <c r="N302" s="452">
        <f>'Bank Int.'!$M302*8%/360</f>
        <v>666.66666666666663</v>
      </c>
    </row>
    <row r="303" spans="1:14" ht="22.5" customHeight="1" x14ac:dyDescent="0.25">
      <c r="A303" s="257"/>
      <c r="B303" s="253">
        <f t="shared" si="35"/>
        <v>45816</v>
      </c>
      <c r="C303" s="298">
        <f t="shared" si="34"/>
        <v>6581816.8499999996</v>
      </c>
      <c r="D303" s="295">
        <f>'Bank Int.'!$C303*7.5%/360</f>
        <v>1371.2118437499998</v>
      </c>
      <c r="E303" s="254">
        <v>264241.99</v>
      </c>
      <c r="F303" s="303">
        <f>Table3[[#This Row],[Mid 146]]*4.5%/360</f>
        <v>33.030248749999998</v>
      </c>
      <c r="G303" s="305">
        <v>503586.69</v>
      </c>
      <c r="H303" s="303">
        <f>'Bank Int.'!$G303*4.5%/360</f>
        <v>62.948336250000004</v>
      </c>
      <c r="I303" s="254">
        <v>40727.120000000003</v>
      </c>
      <c r="J303" s="307">
        <f>'Bank Int.'!$I303*6.5%/360</f>
        <v>7.3535077777777786</v>
      </c>
      <c r="K303" s="337">
        <v>43827.97</v>
      </c>
      <c r="L303" s="307">
        <f>Table3[[#This Row],[MTBL]]*6.5%/360</f>
        <v>7.9133834722222227</v>
      </c>
      <c r="M303" s="451">
        <v>3000000</v>
      </c>
      <c r="N303" s="452">
        <f>'Bank Int.'!$M303*8%/360</f>
        <v>666.66666666666663</v>
      </c>
    </row>
    <row r="304" spans="1:14" ht="22.5" customHeight="1" x14ac:dyDescent="0.25">
      <c r="A304" s="257"/>
      <c r="B304" s="253">
        <f t="shared" si="35"/>
        <v>45815</v>
      </c>
      <c r="C304" s="298">
        <f t="shared" si="34"/>
        <v>6581816.8499999996</v>
      </c>
      <c r="D304" s="295">
        <f>'Bank Int.'!$C304*7.5%/360</f>
        <v>1371.2118437499998</v>
      </c>
      <c r="E304" s="254">
        <v>264241.99</v>
      </c>
      <c r="F304" s="303">
        <f>Table3[[#This Row],[Mid 146]]*4.5%/360</f>
        <v>33.030248749999998</v>
      </c>
      <c r="G304" s="305">
        <v>503586.69</v>
      </c>
      <c r="H304" s="303">
        <f>'Bank Int.'!$G304*4.5%/360</f>
        <v>62.948336250000004</v>
      </c>
      <c r="I304" s="254">
        <v>40727.120000000003</v>
      </c>
      <c r="J304" s="307">
        <f>'Bank Int.'!$I304*6.5%/360</f>
        <v>7.3535077777777786</v>
      </c>
      <c r="K304" s="337">
        <v>43827.97</v>
      </c>
      <c r="L304" s="307">
        <f>Table3[[#This Row],[MTBL]]*6.5%/360</f>
        <v>7.9133834722222227</v>
      </c>
      <c r="M304" s="451">
        <v>3000000</v>
      </c>
      <c r="N304" s="452">
        <f>'Bank Int.'!$M304*8%/360</f>
        <v>666.66666666666663</v>
      </c>
    </row>
    <row r="305" spans="1:14" ht="22.5" customHeight="1" x14ac:dyDescent="0.25">
      <c r="A305" s="257"/>
      <c r="B305" s="253">
        <f t="shared" si="35"/>
        <v>45814</v>
      </c>
      <c r="C305" s="298">
        <f t="shared" si="34"/>
        <v>6581816.8499999996</v>
      </c>
      <c r="D305" s="295">
        <f>'Bank Int.'!$C305*7.5%/360</f>
        <v>1371.2118437499998</v>
      </c>
      <c r="E305" s="254">
        <v>264241.99</v>
      </c>
      <c r="F305" s="303">
        <f>Table3[[#This Row],[Mid 146]]*4.5%/360</f>
        <v>33.030248749999998</v>
      </c>
      <c r="G305" s="305">
        <v>503586.69</v>
      </c>
      <c r="H305" s="303">
        <f>'Bank Int.'!$G305*4.5%/360</f>
        <v>62.948336250000004</v>
      </c>
      <c r="I305" s="254">
        <v>40727.120000000003</v>
      </c>
      <c r="J305" s="307">
        <f>'Bank Int.'!$I305*6.5%/360</f>
        <v>7.3535077777777786</v>
      </c>
      <c r="K305" s="337">
        <v>43827.97</v>
      </c>
      <c r="L305" s="307">
        <f>Table3[[#This Row],[MTBL]]*6.5%/360</f>
        <v>7.9133834722222227</v>
      </c>
      <c r="M305" s="451">
        <v>3000000</v>
      </c>
      <c r="N305" s="452">
        <f>'Bank Int.'!$M305*8%/360</f>
        <v>666.66666666666663</v>
      </c>
    </row>
    <row r="306" spans="1:14" ht="22.5" customHeight="1" x14ac:dyDescent="0.25">
      <c r="A306" s="257"/>
      <c r="B306" s="253">
        <f t="shared" si="35"/>
        <v>45813</v>
      </c>
      <c r="C306" s="298">
        <f t="shared" si="34"/>
        <v>6581816.8499999996</v>
      </c>
      <c r="D306" s="295">
        <f>'Bank Int.'!$C306*7.5%/360</f>
        <v>1371.2118437499998</v>
      </c>
      <c r="E306" s="254">
        <v>264241.99</v>
      </c>
      <c r="F306" s="303">
        <f>Table3[[#This Row],[Mid 146]]*4.5%/360</f>
        <v>33.030248749999998</v>
      </c>
      <c r="G306" s="305">
        <v>503586.69</v>
      </c>
      <c r="H306" s="303">
        <f>'Bank Int.'!$G306*4.5%/360</f>
        <v>62.948336250000004</v>
      </c>
      <c r="I306" s="254">
        <v>40727.120000000003</v>
      </c>
      <c r="J306" s="307">
        <f>'Bank Int.'!$I306*6.5%/360</f>
        <v>7.3535077777777786</v>
      </c>
      <c r="K306" s="337">
        <v>43827.97</v>
      </c>
      <c r="L306" s="307">
        <f>Table3[[#This Row],[MTBL]]*6.5%/360</f>
        <v>7.9133834722222227</v>
      </c>
      <c r="M306" s="451">
        <v>3000000</v>
      </c>
      <c r="N306" s="452">
        <f>'Bank Int.'!$M306*8%/360</f>
        <v>666.66666666666663</v>
      </c>
    </row>
    <row r="307" spans="1:14" ht="22.5" customHeight="1" x14ac:dyDescent="0.25">
      <c r="A307" s="257"/>
      <c r="B307" s="253">
        <f t="shared" si="35"/>
        <v>45812</v>
      </c>
      <c r="C307" s="298">
        <f>5081816.85+1500000</f>
        <v>6581816.8499999996</v>
      </c>
      <c r="D307" s="295">
        <f>'Bank Int.'!$C307*7.5%/360</f>
        <v>1371.2118437499998</v>
      </c>
      <c r="E307" s="254">
        <v>264241.99</v>
      </c>
      <c r="F307" s="303">
        <f>Table3[[#This Row],[Mid 146]]*4.5%/360</f>
        <v>33.030248749999998</v>
      </c>
      <c r="G307" s="305">
        <v>503586.69</v>
      </c>
      <c r="H307" s="303">
        <f>'Bank Int.'!$G307*4.5%/360</f>
        <v>62.948336250000004</v>
      </c>
      <c r="I307" s="254">
        <v>40727.120000000003</v>
      </c>
      <c r="J307" s="307">
        <f>'Bank Int.'!$I307*6.5%/360</f>
        <v>7.3535077777777786</v>
      </c>
      <c r="K307" s="337">
        <v>43827.97</v>
      </c>
      <c r="L307" s="307">
        <f>Table3[[#This Row],[MTBL]]*6.5%/360</f>
        <v>7.9133834722222227</v>
      </c>
      <c r="M307" s="451">
        <v>3000000</v>
      </c>
      <c r="N307" s="452">
        <f>'Bank Int.'!$M307*8%/360</f>
        <v>666.66666666666663</v>
      </c>
    </row>
    <row r="308" spans="1:14" ht="22.5" customHeight="1" x14ac:dyDescent="0.25">
      <c r="A308" s="257"/>
      <c r="B308" s="253">
        <f t="shared" si="35"/>
        <v>45811</v>
      </c>
      <c r="C308" s="298">
        <v>5071816.8499999996</v>
      </c>
      <c r="D308" s="295">
        <f>'Bank Int.'!$C308*7.5%/360</f>
        <v>1056.6285104166666</v>
      </c>
      <c r="E308" s="254">
        <v>264241.99</v>
      </c>
      <c r="F308" s="303">
        <f>Table3[[#This Row],[Mid 146]]*4.5%/360</f>
        <v>33.030248749999998</v>
      </c>
      <c r="G308" s="305">
        <v>503586.69</v>
      </c>
      <c r="H308" s="303">
        <f>'Bank Int.'!$G308*4.5%/360</f>
        <v>62.948336250000004</v>
      </c>
      <c r="I308" s="254">
        <v>40727.120000000003</v>
      </c>
      <c r="J308" s="307">
        <f>'Bank Int.'!$I308*6.5%/360</f>
        <v>7.3535077777777786</v>
      </c>
      <c r="K308" s="337">
        <v>43827.97</v>
      </c>
      <c r="L308" s="307">
        <f>Table3[[#This Row],[MTBL]]*6.5%/360</f>
        <v>7.9133834722222227</v>
      </c>
      <c r="M308" s="451">
        <v>3000000</v>
      </c>
      <c r="N308" s="452">
        <f>'Bank Int.'!$M308*8%/360</f>
        <v>666.66666666666663</v>
      </c>
    </row>
    <row r="309" spans="1:14" ht="22.5" customHeight="1" x14ac:dyDescent="0.25">
      <c r="A309" s="257"/>
      <c r="B309" s="253">
        <f t="shared" si="35"/>
        <v>45810</v>
      </c>
      <c r="C309" s="298">
        <v>717195.55</v>
      </c>
      <c r="D309" s="295">
        <f>'Bank Int.'!$C309*7.5%/360</f>
        <v>149.41573958333333</v>
      </c>
      <c r="E309" s="254">
        <v>264241.99</v>
      </c>
      <c r="F309" s="303">
        <f>Table3[[#This Row],[Mid 146]]*4.5%/360</f>
        <v>33.030248749999998</v>
      </c>
      <c r="G309" s="305">
        <v>3503586.69</v>
      </c>
      <c r="H309" s="303">
        <f>'Bank Int.'!$G309*4.5%/360</f>
        <v>437.94833624999995</v>
      </c>
      <c r="I309" s="254">
        <v>40727.120000000003</v>
      </c>
      <c r="J309" s="307">
        <f>'Bank Int.'!$I309*6.5%/360</f>
        <v>7.3535077777777786</v>
      </c>
      <c r="K309" s="337">
        <v>43827.97</v>
      </c>
      <c r="L309" s="307">
        <f>Table3[[#This Row],[MTBL]]*6.5%/360</f>
        <v>7.9133834722222227</v>
      </c>
      <c r="M309" s="451">
        <v>3000000</v>
      </c>
      <c r="N309" s="452">
        <f>'Bank Int.'!$M309*8%/360</f>
        <v>666.66666666666663</v>
      </c>
    </row>
    <row r="310" spans="1:14" ht="22.5" customHeight="1" x14ac:dyDescent="0.25">
      <c r="A310" s="257"/>
      <c r="B310" s="253">
        <f t="shared" si="35"/>
        <v>45809</v>
      </c>
      <c r="C310" s="298">
        <v>217195.55</v>
      </c>
      <c r="D310" s="295">
        <f>'Bank Int.'!$C310*7.5%/360</f>
        <v>45.249072916666663</v>
      </c>
      <c r="E310" s="254">
        <v>264241.99</v>
      </c>
      <c r="F310" s="303">
        <f>Table3[[#This Row],[Mid 146]]*4.5%/360</f>
        <v>33.030248749999998</v>
      </c>
      <c r="G310" s="305">
        <v>3003586.69</v>
      </c>
      <c r="H310" s="303">
        <f>'Bank Int.'!$G310*4.5%/360</f>
        <v>375.44833624999995</v>
      </c>
      <c r="I310" s="254">
        <v>40727.120000000003</v>
      </c>
      <c r="J310" s="307">
        <f>'Bank Int.'!$I310*6.5%/360</f>
        <v>7.3535077777777786</v>
      </c>
      <c r="K310" s="337">
        <v>43827.97</v>
      </c>
      <c r="L310" s="307">
        <f>Table3[[#This Row],[MTBL]]*6.5%/360</f>
        <v>7.9133834722222227</v>
      </c>
      <c r="M310" s="451">
        <v>3000000</v>
      </c>
      <c r="N310" s="452">
        <f>'Bank Int.'!$M310*8%/360</f>
        <v>666.66666666666663</v>
      </c>
    </row>
    <row r="311" spans="1:14" ht="22.5" customHeight="1" x14ac:dyDescent="0.25">
      <c r="A311" s="257"/>
      <c r="B311" s="253">
        <v>45808</v>
      </c>
      <c r="C311" s="298">
        <v>147217.34</v>
      </c>
      <c r="D311" s="295">
        <f>'Bank Int.'!$C311*7.5%/360</f>
        <v>30.670279166666663</v>
      </c>
      <c r="E311" s="254">
        <v>264241.99</v>
      </c>
      <c r="F311" s="303">
        <f>Table3[[#This Row],[Mid 146]]*4.5%/360</f>
        <v>33.030248749999998</v>
      </c>
      <c r="G311" s="305">
        <v>3003586.69</v>
      </c>
      <c r="H311" s="303">
        <f>'Bank Int.'!$G311*4.5%/360</f>
        <v>375.44833624999995</v>
      </c>
      <c r="I311" s="254">
        <v>40727.120000000003</v>
      </c>
      <c r="J311" s="307">
        <f>'Bank Int.'!$I311*6.5%/360</f>
        <v>7.3535077777777786</v>
      </c>
      <c r="K311" s="337">
        <v>43827.97</v>
      </c>
      <c r="L311" s="307">
        <f>Table3[[#This Row],[MTBL]]*6.5%/360</f>
        <v>7.9133834722222227</v>
      </c>
      <c r="M311" s="451">
        <v>3000000</v>
      </c>
      <c r="N311" s="452">
        <f>'Bank Int.'!$M311*8%/360</f>
        <v>666.66666666666663</v>
      </c>
    </row>
    <row r="312" spans="1:14" ht="22.5" customHeight="1" x14ac:dyDescent="0.25">
      <c r="A312" s="257"/>
      <c r="B312" s="253">
        <f t="shared" ref="B312:B318" si="36">B311-1</f>
        <v>45807</v>
      </c>
      <c r="C312" s="298">
        <v>147217.34</v>
      </c>
      <c r="D312" s="295">
        <f>'Bank Int.'!$C312*7.5%/360</f>
        <v>30.670279166666663</v>
      </c>
      <c r="E312" s="254">
        <v>264241.99</v>
      </c>
      <c r="F312" s="303">
        <f>Table3[[#This Row],[Mid 146]]*4.5%/360</f>
        <v>33.030248749999998</v>
      </c>
      <c r="G312" s="305">
        <v>3003586.69</v>
      </c>
      <c r="H312" s="303">
        <f>'Bank Int.'!$G312*4.5%/360</f>
        <v>375.44833624999995</v>
      </c>
      <c r="I312" s="254">
        <v>40727.120000000003</v>
      </c>
      <c r="J312" s="307">
        <f>'Bank Int.'!$I312*6.5%/360</f>
        <v>7.3535077777777786</v>
      </c>
      <c r="K312" s="337">
        <v>43827.97</v>
      </c>
      <c r="L312" s="307">
        <f>Table3[[#This Row],[MTBL]]*6.5%/360</f>
        <v>7.9133834722222227</v>
      </c>
      <c r="M312" s="451">
        <v>3000000</v>
      </c>
      <c r="N312" s="452">
        <f>'Bank Int.'!$M312*8%/360</f>
        <v>666.66666666666663</v>
      </c>
    </row>
    <row r="313" spans="1:14" ht="22.5" customHeight="1" x14ac:dyDescent="0.25">
      <c r="A313" s="257"/>
      <c r="B313" s="253">
        <f t="shared" si="36"/>
        <v>45806</v>
      </c>
      <c r="C313" s="298">
        <v>147217.34</v>
      </c>
      <c r="D313" s="295">
        <f>'Bank Int.'!$C313*7.5%/360</f>
        <v>30.670279166666663</v>
      </c>
      <c r="E313" s="254">
        <v>264241.99</v>
      </c>
      <c r="F313" s="303">
        <f>Table3[[#This Row],[Mid 146]]*4.5%/360</f>
        <v>33.030248749999998</v>
      </c>
      <c r="G313" s="305">
        <v>3003586.69</v>
      </c>
      <c r="H313" s="303">
        <f>'Bank Int.'!$G313*4.5%/360</f>
        <v>375.44833624999995</v>
      </c>
      <c r="I313" s="254">
        <v>40727.120000000003</v>
      </c>
      <c r="J313" s="307">
        <f>'Bank Int.'!$I313*6.5%/360</f>
        <v>7.3535077777777786</v>
      </c>
      <c r="K313" s="337">
        <v>43827.97</v>
      </c>
      <c r="L313" s="307">
        <f>Table3[[#This Row],[MTBL]]*6.5%/360</f>
        <v>7.9133834722222227</v>
      </c>
      <c r="M313" s="451">
        <v>3000000</v>
      </c>
      <c r="N313" s="452">
        <f>'Bank Int.'!$M313*8%/360</f>
        <v>666.66666666666663</v>
      </c>
    </row>
    <row r="314" spans="1:14" ht="22.5" customHeight="1" x14ac:dyDescent="0.25">
      <c r="A314" s="257"/>
      <c r="B314" s="253">
        <f t="shared" si="36"/>
        <v>45805</v>
      </c>
      <c r="C314" s="298">
        <v>3147217.34</v>
      </c>
      <c r="D314" s="295">
        <f>'Bank Int.'!$C314*7.5%/360</f>
        <v>655.67027916666666</v>
      </c>
      <c r="E314" s="254">
        <v>2066447.99</v>
      </c>
      <c r="F314" s="303">
        <f>Table3[[#This Row],[Mid 146]]*4.5%/360</f>
        <v>258.30599875000001</v>
      </c>
      <c r="G314" s="305">
        <v>3003586.69</v>
      </c>
      <c r="H314" s="303">
        <f>'Bank Int.'!$G314*4.5%/360</f>
        <v>375.44833624999995</v>
      </c>
      <c r="I314" s="254">
        <v>40727.120000000003</v>
      </c>
      <c r="J314" s="307">
        <f>'Bank Int.'!$I314*6.5%/360</f>
        <v>7.3535077777777786</v>
      </c>
      <c r="K314" s="337">
        <v>43827.97</v>
      </c>
      <c r="L314" s="307">
        <f>Table3[[#This Row],[MTBL]]*6.5%/360</f>
        <v>7.9133834722222227</v>
      </c>
      <c r="M314" s="451">
        <v>3000000</v>
      </c>
      <c r="N314" s="452">
        <f>'Bank Int.'!$M314*8%/360</f>
        <v>666.66666666666663</v>
      </c>
    </row>
    <row r="315" spans="1:14" ht="22.5" customHeight="1" x14ac:dyDescent="0.25">
      <c r="A315" s="257"/>
      <c r="B315" s="253">
        <f t="shared" si="36"/>
        <v>45804</v>
      </c>
      <c r="C315" s="298">
        <v>2667227.34</v>
      </c>
      <c r="D315" s="295">
        <f>'Bank Int.'!$C315*7.5%/360</f>
        <v>555.67236249999996</v>
      </c>
      <c r="E315" s="254">
        <v>2066447.99</v>
      </c>
      <c r="F315" s="303">
        <f>Table3[[#This Row],[Mid 146]]*4.5%/360</f>
        <v>258.30599875000001</v>
      </c>
      <c r="G315" s="305">
        <v>2803586.69</v>
      </c>
      <c r="H315" s="303">
        <f>'Bank Int.'!$G315*4.5%/360</f>
        <v>350.44833624999995</v>
      </c>
      <c r="I315" s="254">
        <v>40727.120000000003</v>
      </c>
      <c r="J315" s="307">
        <f>'Bank Int.'!$I315*6.5%/360</f>
        <v>7.3535077777777786</v>
      </c>
      <c r="K315" s="337">
        <v>43827.97</v>
      </c>
      <c r="L315" s="307">
        <f>Table3[[#This Row],[MTBL]]*6.5%/360</f>
        <v>7.9133834722222227</v>
      </c>
      <c r="M315" s="451">
        <v>3000000</v>
      </c>
      <c r="N315" s="452">
        <f>'Bank Int.'!$M315*8%/360</f>
        <v>666.66666666666663</v>
      </c>
    </row>
    <row r="316" spans="1:14" ht="22.5" customHeight="1" x14ac:dyDescent="0.25">
      <c r="A316" s="257"/>
      <c r="B316" s="253">
        <f t="shared" si="36"/>
        <v>45803</v>
      </c>
      <c r="C316" s="298">
        <v>2667227.34</v>
      </c>
      <c r="D316" s="295">
        <f>'Bank Int.'!$C316*7.5%/360</f>
        <v>555.67236249999996</v>
      </c>
      <c r="E316" s="254">
        <v>2066447.99</v>
      </c>
      <c r="F316" s="303">
        <f>Table3[[#This Row],[Mid 146]]*4.5%/360</f>
        <v>258.30599875000001</v>
      </c>
      <c r="G316" s="305">
        <v>1835686.69</v>
      </c>
      <c r="H316" s="303">
        <f>'Bank Int.'!$G316*4.5%/360</f>
        <v>229.46083625</v>
      </c>
      <c r="I316" s="254">
        <v>40727.120000000003</v>
      </c>
      <c r="J316" s="307">
        <f>'Bank Int.'!$I316*6.5%/360</f>
        <v>7.3535077777777786</v>
      </c>
      <c r="K316" s="337">
        <v>43827.97</v>
      </c>
      <c r="L316" s="307">
        <f>Table3[[#This Row],[MTBL]]*6.5%/360</f>
        <v>7.9133834722222227</v>
      </c>
      <c r="M316" s="451">
        <v>3000000</v>
      </c>
      <c r="N316" s="452">
        <f>'Bank Int.'!$M316*8%/360</f>
        <v>666.66666666666663</v>
      </c>
    </row>
    <row r="317" spans="1:14" ht="22.5" customHeight="1" x14ac:dyDescent="0.25">
      <c r="A317" s="257"/>
      <c r="B317" s="253">
        <f t="shared" si="36"/>
        <v>45802</v>
      </c>
      <c r="C317" s="298">
        <v>2898828.26</v>
      </c>
      <c r="D317" s="295">
        <f>'Bank Int.'!$C317*7.5%/360</f>
        <v>603.9225541666666</v>
      </c>
      <c r="E317" s="254">
        <v>7066447.9900000002</v>
      </c>
      <c r="F317" s="303">
        <f>Table3[[#This Row],[Mid 146]]*4.5%/360</f>
        <v>883.30599874999996</v>
      </c>
      <c r="G317" s="305">
        <v>1409006.69</v>
      </c>
      <c r="H317" s="303">
        <f>'Bank Int.'!$G317*4.5%/360</f>
        <v>176.12583624999999</v>
      </c>
      <c r="I317" s="254">
        <v>40727.120000000003</v>
      </c>
      <c r="J317" s="307">
        <f>'Bank Int.'!$I317*6.5%/360</f>
        <v>7.3535077777777786</v>
      </c>
      <c r="K317" s="337">
        <v>43827.97</v>
      </c>
      <c r="L317" s="307">
        <f>Table3[[#This Row],[MTBL]]*6.5%/360</f>
        <v>7.9133834722222227</v>
      </c>
      <c r="M317" s="451">
        <v>3000000</v>
      </c>
      <c r="N317" s="452">
        <f>'Bank Int.'!$M317*8%/360</f>
        <v>666.66666666666663</v>
      </c>
    </row>
    <row r="318" spans="1:14" ht="22.5" customHeight="1" x14ac:dyDescent="0.25">
      <c r="A318" s="257"/>
      <c r="B318" s="253">
        <f t="shared" si="36"/>
        <v>45801</v>
      </c>
      <c r="C318" s="298">
        <v>8203828.2599999998</v>
      </c>
      <c r="D318" s="295">
        <f>'Bank Int.'!$C318*7.5%/360</f>
        <v>1709.1308874999997</v>
      </c>
      <c r="E318" s="254">
        <v>2066447.99</v>
      </c>
      <c r="F318" s="303">
        <f>Table3[[#This Row],[Mid 146]]*4.5%/360</f>
        <v>258.30599875000001</v>
      </c>
      <c r="G318" s="305">
        <v>1409006.69</v>
      </c>
      <c r="H318" s="303">
        <f>'Bank Int.'!$G318*4.5%/360</f>
        <v>176.12583624999999</v>
      </c>
      <c r="I318" s="254">
        <v>40727.120000000003</v>
      </c>
      <c r="J318" s="307">
        <f>'Bank Int.'!$I318*6.5%/360</f>
        <v>7.3535077777777786</v>
      </c>
      <c r="K318" s="337">
        <v>43827.97</v>
      </c>
      <c r="L318" s="307">
        <f>Table3[[#This Row],[MTBL]]*6.5%/360</f>
        <v>7.9133834722222227</v>
      </c>
      <c r="M318" s="451">
        <v>3000000</v>
      </c>
      <c r="N318" s="452">
        <f>'Bank Int.'!$M318*8%/360</f>
        <v>666.66666666666663</v>
      </c>
    </row>
    <row r="319" spans="1:14" ht="22.5" customHeight="1" x14ac:dyDescent="0.25">
      <c r="A319" s="257"/>
      <c r="B319" s="253">
        <v>45800</v>
      </c>
      <c r="C319" s="298">
        <v>8203828.2599999998</v>
      </c>
      <c r="D319" s="295">
        <f>'Bank Int.'!$C319*7.5%/360</f>
        <v>1709.1308874999997</v>
      </c>
      <c r="E319" s="254">
        <v>2066447.99</v>
      </c>
      <c r="F319" s="303">
        <f>Table3[[#This Row],[Mid 146]]*4.5%/360</f>
        <v>258.30599875000001</v>
      </c>
      <c r="G319" s="305">
        <v>419076.69</v>
      </c>
      <c r="H319" s="303">
        <f>'Bank Int.'!$G319*4.5%/360</f>
        <v>52.384586249999998</v>
      </c>
      <c r="I319" s="254">
        <v>40727.120000000003</v>
      </c>
      <c r="J319" s="307">
        <f>'Bank Int.'!$I319*6.5%/360</f>
        <v>7.3535077777777786</v>
      </c>
      <c r="K319" s="337">
        <v>43827.97</v>
      </c>
      <c r="L319" s="307">
        <f>Table3[[#This Row],[MTBL]]*6.5%/360</f>
        <v>7.9133834722222227</v>
      </c>
      <c r="M319" s="451">
        <v>3000000</v>
      </c>
      <c r="N319" s="452">
        <f>'Bank Int.'!$M319*8%/360</f>
        <v>666.66666666666663</v>
      </c>
    </row>
    <row r="320" spans="1:14" ht="22.5" customHeight="1" x14ac:dyDescent="0.25">
      <c r="A320" s="257"/>
      <c r="B320" s="253">
        <f t="shared" ref="B320:B325" si="37">B319-1</f>
        <v>45799</v>
      </c>
      <c r="C320" s="298">
        <v>8203828.2599999998</v>
      </c>
      <c r="D320" s="295">
        <f>'Bank Int.'!$C320*7.5%/360</f>
        <v>1709.1308874999997</v>
      </c>
      <c r="E320" s="254">
        <v>2066447.99</v>
      </c>
      <c r="F320" s="303">
        <f>Table3[[#This Row],[Mid 146]]*4.5%/360</f>
        <v>258.30599875000001</v>
      </c>
      <c r="G320" s="305">
        <v>419076.69</v>
      </c>
      <c r="H320" s="303">
        <f>'Bank Int.'!$G320*4.5%/360</f>
        <v>52.384586249999998</v>
      </c>
      <c r="I320" s="254">
        <v>40727.120000000003</v>
      </c>
      <c r="J320" s="307">
        <f>'Bank Int.'!$I320*6.5%/360</f>
        <v>7.3535077777777786</v>
      </c>
      <c r="K320" s="337">
        <v>43827.97</v>
      </c>
      <c r="L320" s="307">
        <f>Table3[[#This Row],[MTBL]]*6.5%/360</f>
        <v>7.9133834722222227</v>
      </c>
      <c r="M320" s="451">
        <v>3000000</v>
      </c>
      <c r="N320" s="452">
        <f>'Bank Int.'!$M320*8%/360</f>
        <v>666.66666666666663</v>
      </c>
    </row>
    <row r="321" spans="1:14" ht="22.5" customHeight="1" x14ac:dyDescent="0.25">
      <c r="A321" s="257"/>
      <c r="B321" s="253">
        <f t="shared" si="37"/>
        <v>45798</v>
      </c>
      <c r="C321" s="298">
        <v>8663828.2599999998</v>
      </c>
      <c r="D321" s="295">
        <f>'Bank Int.'!$C321*7.5%/360</f>
        <v>1804.964220833333</v>
      </c>
      <c r="E321" s="254">
        <v>2066447.99</v>
      </c>
      <c r="F321" s="303">
        <f>Table3[[#This Row],[Mid 146]]*4.5%/360</f>
        <v>258.30599875000001</v>
      </c>
      <c r="G321" s="305">
        <v>55576.69</v>
      </c>
      <c r="H321" s="303">
        <f>'Bank Int.'!$G321*4.5%/360</f>
        <v>6.9470862499999999</v>
      </c>
      <c r="I321" s="254">
        <v>40727.120000000003</v>
      </c>
      <c r="J321" s="307">
        <f>'Bank Int.'!$I321*6.5%/360</f>
        <v>7.3535077777777786</v>
      </c>
      <c r="K321" s="337">
        <v>43827.97</v>
      </c>
      <c r="L321" s="307">
        <f>Table3[[#This Row],[MTBL]]*6.5%/360</f>
        <v>7.9133834722222227</v>
      </c>
      <c r="M321" s="451">
        <v>3000000</v>
      </c>
      <c r="N321" s="452">
        <f>'Bank Int.'!$M321*8%/360</f>
        <v>666.66666666666663</v>
      </c>
    </row>
    <row r="322" spans="1:14" ht="22.5" customHeight="1" x14ac:dyDescent="0.25">
      <c r="A322" s="257"/>
      <c r="B322" s="253">
        <f t="shared" si="37"/>
        <v>45797</v>
      </c>
      <c r="C322" s="298">
        <v>19303614.859999999</v>
      </c>
      <c r="D322" s="295">
        <f>'Bank Int.'!$C322*7.5%/360</f>
        <v>4021.5864291666662</v>
      </c>
      <c r="E322" s="254">
        <v>66447.990000000005</v>
      </c>
      <c r="F322" s="303">
        <f>Table3[[#This Row],[Mid 146]]*4.5%/360</f>
        <v>8.3059987500000005</v>
      </c>
      <c r="G322" s="305">
        <v>1655576.69</v>
      </c>
      <c r="H322" s="303">
        <f>'Bank Int.'!$G322*4.5%/360</f>
        <v>206.94708624999996</v>
      </c>
      <c r="I322" s="254">
        <v>40727.120000000003</v>
      </c>
      <c r="J322" s="307">
        <f>'Bank Int.'!$I322*6.5%/360</f>
        <v>7.3535077777777786</v>
      </c>
      <c r="K322" s="337">
        <v>43827.97</v>
      </c>
      <c r="L322" s="307">
        <f>Table3[[#This Row],[MTBL]]*6.5%/360</f>
        <v>7.9133834722222227</v>
      </c>
      <c r="M322" s="451">
        <v>3000000</v>
      </c>
      <c r="N322" s="452">
        <f>'Bank Int.'!$M322*8%/360</f>
        <v>666.66666666666663</v>
      </c>
    </row>
    <row r="323" spans="1:14" ht="22.5" customHeight="1" x14ac:dyDescent="0.25">
      <c r="A323" s="257"/>
      <c r="B323" s="253">
        <f t="shared" si="37"/>
        <v>45796</v>
      </c>
      <c r="C323" s="298">
        <v>1303734.8600000001</v>
      </c>
      <c r="D323" s="295">
        <f>'Bank Int.'!$C323*7.5%/360</f>
        <v>271.61142916666671</v>
      </c>
      <c r="E323" s="254">
        <v>66447.990000000005</v>
      </c>
      <c r="F323" s="303">
        <f>Table3[[#This Row],[Mid 146]]*4.5%/360</f>
        <v>8.3059987500000005</v>
      </c>
      <c r="G323" s="305">
        <v>1655576.69</v>
      </c>
      <c r="H323" s="303">
        <f>'Bank Int.'!$G323*4.5%/360</f>
        <v>206.94708624999996</v>
      </c>
      <c r="I323" s="254">
        <v>40727.120000000003</v>
      </c>
      <c r="J323" s="307">
        <f>'Bank Int.'!$I323*6.5%/360</f>
        <v>7.3535077777777786</v>
      </c>
      <c r="K323" s="337">
        <v>43827.97</v>
      </c>
      <c r="L323" s="307">
        <f>Table3[[#This Row],[MTBL]]*6.5%/360</f>
        <v>7.9133834722222227</v>
      </c>
      <c r="M323" s="451">
        <v>3000000</v>
      </c>
      <c r="N323" s="452">
        <f>'Bank Int.'!$M323*8%/360</f>
        <v>666.66666666666663</v>
      </c>
    </row>
    <row r="324" spans="1:14" ht="22.5" customHeight="1" x14ac:dyDescent="0.25">
      <c r="A324" s="257"/>
      <c r="B324" s="253">
        <f t="shared" si="37"/>
        <v>45795</v>
      </c>
      <c r="C324" s="298">
        <v>1873625.78</v>
      </c>
      <c r="D324" s="295">
        <f>'Bank Int.'!$C324*7.5%/360</f>
        <v>390.33870416666662</v>
      </c>
      <c r="E324" s="254">
        <v>66447.990000000005</v>
      </c>
      <c r="F324" s="303">
        <f>Table3[[#This Row],[Mid 146]]*4.5%/360</f>
        <v>8.3059987500000005</v>
      </c>
      <c r="G324" s="305">
        <v>1096576.69</v>
      </c>
      <c r="H324" s="303">
        <f>'Bank Int.'!$G324*4.5%/360</f>
        <v>137.07208624999998</v>
      </c>
      <c r="I324" s="254">
        <v>40727.120000000003</v>
      </c>
      <c r="J324" s="307">
        <f>'Bank Int.'!$I324*6.5%/360</f>
        <v>7.3535077777777786</v>
      </c>
      <c r="K324" s="337">
        <v>43827.97</v>
      </c>
      <c r="L324" s="307">
        <f>Table3[[#This Row],[MTBL]]*6.5%/360</f>
        <v>7.9133834722222227</v>
      </c>
      <c r="M324" s="451">
        <v>3000000</v>
      </c>
      <c r="N324" s="452">
        <f>'Bank Int.'!$M324*8%/360</f>
        <v>666.66666666666663</v>
      </c>
    </row>
    <row r="325" spans="1:14" ht="22.5" customHeight="1" x14ac:dyDescent="0.25">
      <c r="A325" s="257"/>
      <c r="B325" s="253">
        <f t="shared" si="37"/>
        <v>45794</v>
      </c>
      <c r="C325" s="298">
        <v>1873625.78</v>
      </c>
      <c r="D325" s="295">
        <f>'Bank Int.'!$C325*7.5%/360</f>
        <v>390.33870416666662</v>
      </c>
      <c r="E325" s="254">
        <v>66447.990000000005</v>
      </c>
      <c r="F325" s="303">
        <f>Table3[[#This Row],[Mid 146]]*4.5%/360</f>
        <v>8.3059987500000005</v>
      </c>
      <c r="G325" s="305">
        <v>1096576.69</v>
      </c>
      <c r="H325" s="303">
        <f>'Bank Int.'!$G325*4.5%/360</f>
        <v>137.07208624999998</v>
      </c>
      <c r="I325" s="254">
        <v>40727.120000000003</v>
      </c>
      <c r="J325" s="307">
        <f>'Bank Int.'!$I325*6.5%/360</f>
        <v>7.3535077777777786</v>
      </c>
      <c r="K325" s="337">
        <v>43827.97</v>
      </c>
      <c r="L325" s="307">
        <f>Table3[[#This Row],[MTBL]]*6.5%/360</f>
        <v>7.9133834722222227</v>
      </c>
      <c r="M325" s="451">
        <v>3000000</v>
      </c>
      <c r="N325" s="452">
        <f>'Bank Int.'!$M325*8%/360</f>
        <v>666.66666666666663</v>
      </c>
    </row>
    <row r="326" spans="1:14" ht="22.9" customHeight="1" x14ac:dyDescent="0.25">
      <c r="A326" s="257"/>
      <c r="B326" s="253">
        <v>45793</v>
      </c>
      <c r="C326" s="298">
        <v>1873705.78</v>
      </c>
      <c r="D326" s="295">
        <f>'Bank Int.'!$C326*7.5%/360</f>
        <v>390.35537083333327</v>
      </c>
      <c r="E326" s="254">
        <v>1950447.99</v>
      </c>
      <c r="F326" s="303">
        <f>Table3[[#This Row],[Mid 146]]*4.5%/360</f>
        <v>243.80599874999999</v>
      </c>
      <c r="G326" s="305">
        <v>1096576.69</v>
      </c>
      <c r="H326" s="303">
        <f>'Bank Int.'!$G326*4.5%/360</f>
        <v>137.07208624999998</v>
      </c>
      <c r="I326" s="254">
        <v>40727.120000000003</v>
      </c>
      <c r="J326" s="307">
        <f>'Bank Int.'!$I326*6.5%/360</f>
        <v>7.3535077777777786</v>
      </c>
      <c r="K326" s="337">
        <v>43827.97</v>
      </c>
      <c r="L326" s="307">
        <f>Table3[[#This Row],[MTBL]]*6.5%/360</f>
        <v>7.9133834722222227</v>
      </c>
      <c r="M326" s="451">
        <v>10000000</v>
      </c>
      <c r="N326" s="452">
        <f>'Bank Int.'!$M326*8%/360</f>
        <v>2222.2222222222222</v>
      </c>
    </row>
    <row r="327" spans="1:14" ht="22.9" customHeight="1" x14ac:dyDescent="0.25">
      <c r="A327" s="257"/>
      <c r="B327" s="253">
        <f t="shared" ref="B327:B331" si="38">B326-1</f>
        <v>45792</v>
      </c>
      <c r="C327" s="298">
        <v>1873705.78</v>
      </c>
      <c r="D327" s="295">
        <f>'Bank Int.'!$C327*7.5%/360</f>
        <v>390.35537083333327</v>
      </c>
      <c r="E327" s="254">
        <v>1950447.99</v>
      </c>
      <c r="F327" s="303">
        <f>Table3[[#This Row],[Mid 146]]*4.5%/360</f>
        <v>243.80599874999999</v>
      </c>
      <c r="G327" s="305">
        <v>1096576.69</v>
      </c>
      <c r="H327" s="303">
        <f>'Bank Int.'!$G327*4.5%/360</f>
        <v>137.07208624999998</v>
      </c>
      <c r="I327" s="254">
        <v>40727.120000000003</v>
      </c>
      <c r="J327" s="307">
        <f>'Bank Int.'!$I327*6.5%/360</f>
        <v>7.3535077777777786</v>
      </c>
      <c r="K327" s="337">
        <v>43827.97</v>
      </c>
      <c r="L327" s="307">
        <f>Table3[[#This Row],[MTBL]]*6.5%/360</f>
        <v>7.9133834722222227</v>
      </c>
      <c r="M327" s="451">
        <v>10000000</v>
      </c>
      <c r="N327" s="452">
        <f>'Bank Int.'!$M327*8%/360</f>
        <v>2222.2222222222222</v>
      </c>
    </row>
    <row r="328" spans="1:14" ht="22.9" customHeight="1" x14ac:dyDescent="0.25">
      <c r="A328" s="257"/>
      <c r="B328" s="253">
        <f t="shared" si="38"/>
        <v>45791</v>
      </c>
      <c r="C328" s="298">
        <v>553705.78</v>
      </c>
      <c r="D328" s="295">
        <f>'Bank Int.'!$C328*7.5%/360</f>
        <v>115.35537083333332</v>
      </c>
      <c r="E328" s="254">
        <v>1950447.99</v>
      </c>
      <c r="F328" s="303">
        <f>Table3[[#This Row],[Mid 146]]*4.5%/360</f>
        <v>243.80599874999999</v>
      </c>
      <c r="G328" s="305">
        <v>1096576.69</v>
      </c>
      <c r="H328" s="303">
        <f>'Bank Int.'!$G328*4.5%/360</f>
        <v>137.07208624999998</v>
      </c>
      <c r="I328" s="254">
        <v>40727.120000000003</v>
      </c>
      <c r="J328" s="307">
        <f>'Bank Int.'!$I328*6.5%/360</f>
        <v>7.3535077777777786</v>
      </c>
      <c r="K328" s="337">
        <v>43827.97</v>
      </c>
      <c r="L328" s="307">
        <f>Table3[[#This Row],[MTBL]]*6.5%/360</f>
        <v>7.9133834722222227</v>
      </c>
      <c r="M328" s="451">
        <v>10000000</v>
      </c>
      <c r="N328" s="452">
        <f>'Bank Int.'!$M328*8%/360</f>
        <v>2222.2222222222222</v>
      </c>
    </row>
    <row r="329" spans="1:14" ht="22.9" customHeight="1" x14ac:dyDescent="0.25">
      <c r="A329" s="257"/>
      <c r="B329" s="253">
        <f t="shared" si="38"/>
        <v>45790</v>
      </c>
      <c r="C329" s="298">
        <v>553705.78</v>
      </c>
      <c r="D329" s="295">
        <f>'Bank Int.'!$C329*7.5%/360</f>
        <v>115.35537083333332</v>
      </c>
      <c r="E329" s="254">
        <v>1950447.99</v>
      </c>
      <c r="F329" s="303">
        <f>Table3[[#This Row],[Mid 146]]*4.5%/360</f>
        <v>243.80599874999999</v>
      </c>
      <c r="G329" s="305">
        <v>1096576.69</v>
      </c>
      <c r="H329" s="303">
        <f>'Bank Int.'!$G329*4.5%/360</f>
        <v>137.07208624999998</v>
      </c>
      <c r="I329" s="254">
        <v>40727.120000000003</v>
      </c>
      <c r="J329" s="307">
        <f>'Bank Int.'!$I329*6.5%/360</f>
        <v>7.3535077777777786</v>
      </c>
      <c r="K329" s="337">
        <v>43827.97</v>
      </c>
      <c r="L329" s="307">
        <f>Table3[[#This Row],[MTBL]]*6.5%/360</f>
        <v>7.9133834722222227</v>
      </c>
      <c r="M329" s="451">
        <v>10000000</v>
      </c>
      <c r="N329" s="452">
        <f>'Bank Int.'!$M329*8%/360</f>
        <v>2222.2222222222222</v>
      </c>
    </row>
    <row r="330" spans="1:14" ht="22.9" customHeight="1" x14ac:dyDescent="0.25">
      <c r="A330" s="257"/>
      <c r="B330" s="253">
        <f t="shared" si="38"/>
        <v>45789</v>
      </c>
      <c r="C330" s="298">
        <v>553705.78</v>
      </c>
      <c r="D330" s="295">
        <f>'Bank Int.'!$C330*7.5%/360</f>
        <v>115.35537083333332</v>
      </c>
      <c r="E330" s="254">
        <v>2922997.99</v>
      </c>
      <c r="F330" s="303">
        <f>Table3[[#This Row],[Mid 146]]*4.5%/360</f>
        <v>365.37474875000004</v>
      </c>
      <c r="G330" s="305">
        <v>1096576.69</v>
      </c>
      <c r="H330" s="303">
        <f>'Bank Int.'!$G330*4.5%/360</f>
        <v>137.07208624999998</v>
      </c>
      <c r="I330" s="254">
        <v>40727.120000000003</v>
      </c>
      <c r="J330" s="307">
        <f>'Bank Int.'!$I330*6.5%/360</f>
        <v>7.3535077777777786</v>
      </c>
      <c r="K330" s="337">
        <v>43827.97</v>
      </c>
      <c r="L330" s="307">
        <f>Table3[[#This Row],[MTBL]]*6.5%/360</f>
        <v>7.9133834722222227</v>
      </c>
      <c r="M330" s="451">
        <v>10000000</v>
      </c>
      <c r="N330" s="452">
        <f>'Bank Int.'!$M330*8%/360</f>
        <v>2222.2222222222222</v>
      </c>
    </row>
    <row r="331" spans="1:14" ht="22.9" customHeight="1" x14ac:dyDescent="0.25">
      <c r="A331" s="257"/>
      <c r="B331" s="253">
        <f t="shared" si="38"/>
        <v>45788</v>
      </c>
      <c r="C331" s="298">
        <v>626940.62</v>
      </c>
      <c r="D331" s="295">
        <f>'Bank Int.'!$C331*7.5%/360</f>
        <v>130.61262916666666</v>
      </c>
      <c r="E331" s="254">
        <v>2543781.3199999998</v>
      </c>
      <c r="F331" s="303">
        <f>Table3[[#This Row],[Mid 146]]*4.5%/360</f>
        <v>317.97266499999995</v>
      </c>
      <c r="G331" s="305">
        <v>1096576.69</v>
      </c>
      <c r="H331" s="303">
        <f>'Bank Int.'!$G331*4.5%/360</f>
        <v>137.07208624999998</v>
      </c>
      <c r="I331" s="254">
        <v>40727.120000000003</v>
      </c>
      <c r="J331" s="307">
        <f>'Bank Int.'!$I331*6.5%/360</f>
        <v>7.3535077777777786</v>
      </c>
      <c r="K331" s="337">
        <v>43827.97</v>
      </c>
      <c r="L331" s="307">
        <f>Table3[[#This Row],[MTBL]]*6.5%/360</f>
        <v>7.9133834722222227</v>
      </c>
      <c r="M331" s="451">
        <v>10000000</v>
      </c>
      <c r="N331" s="452">
        <f>'Bank Int.'!$M331*8%/360</f>
        <v>2222.2222222222222</v>
      </c>
    </row>
    <row r="332" spans="1:14" ht="22.9" customHeight="1" x14ac:dyDescent="0.25">
      <c r="A332" s="257"/>
      <c r="B332" s="253">
        <v>45787</v>
      </c>
      <c r="C332" s="298">
        <v>576940.62</v>
      </c>
      <c r="D332" s="295">
        <f>'Bank Int.'!$C332*7.5%/360</f>
        <v>120.19596249999999</v>
      </c>
      <c r="E332" s="254">
        <v>2543781.3199999998</v>
      </c>
      <c r="F332" s="303">
        <f>Table3[[#This Row],[Mid 146]]*4.5%/360</f>
        <v>317.97266499999995</v>
      </c>
      <c r="G332" s="305">
        <v>1096576.69</v>
      </c>
      <c r="H332" s="303">
        <f>'Bank Int.'!$G332*4.5%/360</f>
        <v>137.07208624999998</v>
      </c>
      <c r="I332" s="254">
        <v>40727.120000000003</v>
      </c>
      <c r="J332" s="307">
        <f>'Bank Int.'!$I332*6.5%/360</f>
        <v>7.3535077777777786</v>
      </c>
      <c r="K332" s="337">
        <v>43827.97</v>
      </c>
      <c r="L332" s="307">
        <f>Table3[[#This Row],[MTBL]]*6.5%/360</f>
        <v>7.9133834722222227</v>
      </c>
      <c r="M332" s="451">
        <v>10000000</v>
      </c>
      <c r="N332" s="452">
        <f>'Bank Int.'!$M332*8%/360</f>
        <v>2222.2222222222222</v>
      </c>
    </row>
    <row r="333" spans="1:14" ht="22.9" customHeight="1" x14ac:dyDescent="0.25">
      <c r="A333" s="257"/>
      <c r="B333" s="253">
        <f t="shared" ref="B333:B338" si="39">B332-1</f>
        <v>45786</v>
      </c>
      <c r="C333" s="298">
        <v>576940.62</v>
      </c>
      <c r="D333" s="295">
        <f>'Bank Int.'!$C333*7.5%/360</f>
        <v>120.19596249999999</v>
      </c>
      <c r="E333" s="254">
        <v>2543781.3199999998</v>
      </c>
      <c r="F333" s="303">
        <f>Table3[[#This Row],[Mid 146]]*4.5%/360</f>
        <v>317.97266499999995</v>
      </c>
      <c r="G333" s="305">
        <v>1096576.69</v>
      </c>
      <c r="H333" s="303">
        <f>'Bank Int.'!$G333*4.5%/360</f>
        <v>137.07208624999998</v>
      </c>
      <c r="I333" s="254">
        <v>40727.120000000003</v>
      </c>
      <c r="J333" s="307">
        <f>'Bank Int.'!$I333*6.5%/360</f>
        <v>7.3535077777777786</v>
      </c>
      <c r="K333" s="337">
        <v>43827.97</v>
      </c>
      <c r="L333" s="307">
        <f>Table3[[#This Row],[MTBL]]*6.5%/360</f>
        <v>7.9133834722222227</v>
      </c>
      <c r="M333" s="451">
        <v>10000000</v>
      </c>
      <c r="N333" s="452">
        <f>'Bank Int.'!$M333*8%/360</f>
        <v>2222.2222222222222</v>
      </c>
    </row>
    <row r="334" spans="1:14" ht="22.9" customHeight="1" x14ac:dyDescent="0.25">
      <c r="A334" s="257"/>
      <c r="B334" s="253">
        <f t="shared" si="39"/>
        <v>45785</v>
      </c>
      <c r="C334" s="298">
        <v>576940.62</v>
      </c>
      <c r="D334" s="295">
        <f>'Bank Int.'!$C334*7.5%/360</f>
        <v>120.19596249999999</v>
      </c>
      <c r="E334" s="254">
        <v>2543781.3199999998</v>
      </c>
      <c r="F334" s="303">
        <f>Table3[[#This Row],[Mid 146]]*4.5%/360</f>
        <v>317.97266499999995</v>
      </c>
      <c r="G334" s="305">
        <v>1096576.69</v>
      </c>
      <c r="H334" s="303">
        <f>'Bank Int.'!$G334*4.5%/360</f>
        <v>137.07208624999998</v>
      </c>
      <c r="I334" s="254">
        <v>40727.120000000003</v>
      </c>
      <c r="J334" s="307">
        <f>'Bank Int.'!$I334*6.5%/360</f>
        <v>7.3535077777777786</v>
      </c>
      <c r="K334" s="337">
        <v>43827.97</v>
      </c>
      <c r="L334" s="307">
        <f>Table3[[#This Row],[MTBL]]*6.5%/360</f>
        <v>7.9133834722222227</v>
      </c>
      <c r="M334" s="451">
        <v>10000000</v>
      </c>
      <c r="N334" s="452">
        <f>'Bank Int.'!$M334*8%/360</f>
        <v>2222.2222222222222</v>
      </c>
    </row>
    <row r="335" spans="1:14" ht="22.9" customHeight="1" x14ac:dyDescent="0.25">
      <c r="A335" s="257"/>
      <c r="B335" s="253">
        <f t="shared" si="39"/>
        <v>45784</v>
      </c>
      <c r="C335" s="298">
        <v>1288450.1399999999</v>
      </c>
      <c r="D335" s="295">
        <f>'Bank Int.'!$C335*7.5%/360</f>
        <v>268.42711249999996</v>
      </c>
      <c r="E335" s="254">
        <v>2543781.3199999998</v>
      </c>
      <c r="F335" s="303">
        <f>Table3[[#This Row],[Mid 146]]*4.5%/360</f>
        <v>317.97266499999995</v>
      </c>
      <c r="G335" s="305">
        <v>922170.69</v>
      </c>
      <c r="H335" s="303">
        <f>'Bank Int.'!$G335*4.5%/360</f>
        <v>115.27133625</v>
      </c>
      <c r="I335" s="254">
        <v>40727.120000000003</v>
      </c>
      <c r="J335" s="307">
        <f>'Bank Int.'!$I335*6.5%/360</f>
        <v>7.3535077777777786</v>
      </c>
      <c r="K335" s="337">
        <v>43827.97</v>
      </c>
      <c r="L335" s="307">
        <f>Table3[[#This Row],[MTBL]]*6.5%/360</f>
        <v>7.9133834722222227</v>
      </c>
      <c r="M335" s="451">
        <v>10000000</v>
      </c>
      <c r="N335" s="452">
        <f>'Bank Int.'!$M335*8%/360</f>
        <v>2222.2222222222222</v>
      </c>
    </row>
    <row r="336" spans="1:14" ht="22.9" customHeight="1" x14ac:dyDescent="0.25">
      <c r="A336" s="257"/>
      <c r="B336" s="253">
        <f t="shared" si="39"/>
        <v>45783</v>
      </c>
      <c r="C336" s="298">
        <v>74515.14</v>
      </c>
      <c r="D336" s="295">
        <f>'Bank Int.'!$C336*7.5%/360</f>
        <v>15.523987499999999</v>
      </c>
      <c r="E336" s="254">
        <v>3243781.32</v>
      </c>
      <c r="F336" s="303">
        <f>Table3[[#This Row],[Mid 146]]*4.5%/360</f>
        <v>405.47266499999995</v>
      </c>
      <c r="G336" s="305">
        <v>922170.69</v>
      </c>
      <c r="H336" s="303">
        <f>'Bank Int.'!$G336*4.5%/360</f>
        <v>115.27133625</v>
      </c>
      <c r="I336" s="254">
        <v>40727.120000000003</v>
      </c>
      <c r="J336" s="307">
        <f>'Bank Int.'!$I336*6.5%/360</f>
        <v>7.3535077777777786</v>
      </c>
      <c r="K336" s="337">
        <v>43827.97</v>
      </c>
      <c r="L336" s="307">
        <f>Table3[[#This Row],[MTBL]]*6.5%/360</f>
        <v>7.9133834722222227</v>
      </c>
      <c r="M336" s="451">
        <v>10000000</v>
      </c>
      <c r="N336" s="452">
        <f>'Bank Int.'!$M336*8%/360</f>
        <v>2222.2222222222222</v>
      </c>
    </row>
    <row r="337" spans="1:14" ht="22.9" customHeight="1" x14ac:dyDescent="0.25">
      <c r="A337" s="257"/>
      <c r="B337" s="253">
        <f t="shared" si="39"/>
        <v>45782</v>
      </c>
      <c r="C337" s="298">
        <v>74515.14</v>
      </c>
      <c r="D337" s="295">
        <f>'Bank Int.'!$C337*7.5%/360</f>
        <v>15.523987499999999</v>
      </c>
      <c r="E337" s="254">
        <v>3243781.32</v>
      </c>
      <c r="F337" s="303">
        <f>Table3[[#This Row],[Mid 146]]*4.5%/360</f>
        <v>405.47266499999995</v>
      </c>
      <c r="G337" s="305">
        <v>872170.69</v>
      </c>
      <c r="H337" s="303">
        <f>'Bank Int.'!$G337*4.5%/360</f>
        <v>109.02133625</v>
      </c>
      <c r="I337" s="254">
        <v>40727.120000000003</v>
      </c>
      <c r="J337" s="307">
        <f>'Bank Int.'!$I337*6.5%/360</f>
        <v>7.3535077777777786</v>
      </c>
      <c r="K337" s="337">
        <v>43827.97</v>
      </c>
      <c r="L337" s="307">
        <f>Table3[[#This Row],[MTBL]]*6.5%/360</f>
        <v>7.9133834722222227</v>
      </c>
      <c r="M337" s="451">
        <v>10000000</v>
      </c>
      <c r="N337" s="452">
        <f>'Bank Int.'!$M337*8%/360</f>
        <v>2222.2222222222222</v>
      </c>
    </row>
    <row r="338" spans="1:14" ht="22.9" customHeight="1" x14ac:dyDescent="0.25">
      <c r="A338" s="257"/>
      <c r="B338" s="253">
        <f t="shared" si="39"/>
        <v>45781</v>
      </c>
      <c r="C338" s="298">
        <v>74515.14</v>
      </c>
      <c r="D338" s="295">
        <f>'Bank Int.'!$C338*7.5%/360</f>
        <v>15.523987499999999</v>
      </c>
      <c r="E338" s="254">
        <v>3101448.08</v>
      </c>
      <c r="F338" s="303">
        <f>Table3[[#This Row],[Mid 146]]*4.5%/360</f>
        <v>387.68101000000001</v>
      </c>
      <c r="G338" s="305">
        <v>530170.68999999994</v>
      </c>
      <c r="H338" s="303">
        <f>'Bank Int.'!$G338*4.5%/360</f>
        <v>66.27133624999999</v>
      </c>
      <c r="I338" s="254">
        <v>40727.120000000003</v>
      </c>
      <c r="J338" s="307">
        <f>'Bank Int.'!$I338*6.5%/360</f>
        <v>7.3535077777777786</v>
      </c>
      <c r="K338" s="337">
        <v>43827.97</v>
      </c>
      <c r="L338" s="307">
        <f>Table3[[#This Row],[MTBL]]*6.5%/360</f>
        <v>7.9133834722222227</v>
      </c>
      <c r="M338" s="451">
        <v>10000000</v>
      </c>
      <c r="N338" s="452">
        <f>'Bank Int.'!$M338*8%/360</f>
        <v>2222.2222222222222</v>
      </c>
    </row>
    <row r="339" spans="1:14" ht="22.9" customHeight="1" x14ac:dyDescent="0.25">
      <c r="A339" s="257"/>
      <c r="B339" s="253">
        <v>45780</v>
      </c>
      <c r="C339" s="298">
        <v>44515.14</v>
      </c>
      <c r="D339" s="295">
        <f>'Bank Int.'!$C339*7.5%/360</f>
        <v>9.2739875000000005</v>
      </c>
      <c r="E339" s="254">
        <v>3101448.08</v>
      </c>
      <c r="F339" s="303">
        <f>Table3[[#This Row],[Mid 146]]*4.5%/360</f>
        <v>387.68101000000001</v>
      </c>
      <c r="G339" s="305">
        <v>530170.68999999994</v>
      </c>
      <c r="H339" s="303">
        <f>'Bank Int.'!$G339*4.5%/360</f>
        <v>66.27133624999999</v>
      </c>
      <c r="I339" s="254">
        <v>40727.120000000003</v>
      </c>
      <c r="J339" s="307">
        <f>'Bank Int.'!$I339*6.5%/360</f>
        <v>7.3535077777777786</v>
      </c>
      <c r="K339" s="337">
        <v>43827.97</v>
      </c>
      <c r="L339" s="307">
        <f>Table3[[#This Row],[MTBL]]*6.5%/360</f>
        <v>7.9133834722222227</v>
      </c>
      <c r="M339" s="451">
        <v>10000000</v>
      </c>
      <c r="N339" s="452">
        <f>'Bank Int.'!$M339*8%/360</f>
        <v>2222.2222222222222</v>
      </c>
    </row>
    <row r="340" spans="1:14" ht="22.9" customHeight="1" x14ac:dyDescent="0.25">
      <c r="A340" s="257"/>
      <c r="B340" s="253">
        <f t="shared" ref="B340:B345" si="40">B339-1</f>
        <v>45779</v>
      </c>
      <c r="C340" s="298">
        <v>44515.14</v>
      </c>
      <c r="D340" s="295">
        <f>'Bank Int.'!$C340*7.5%/360</f>
        <v>9.2739875000000005</v>
      </c>
      <c r="E340" s="254">
        <v>3101448.08</v>
      </c>
      <c r="F340" s="303">
        <f>Table3[[#This Row],[Mid 146]]*4.5%/360</f>
        <v>387.68101000000001</v>
      </c>
      <c r="G340" s="305">
        <v>30170.69</v>
      </c>
      <c r="H340" s="303">
        <f>'Bank Int.'!$G340*4.5%/360</f>
        <v>3.7713362499999996</v>
      </c>
      <c r="I340" s="254">
        <v>40727.120000000003</v>
      </c>
      <c r="J340" s="307">
        <f>'Bank Int.'!$I340*6.5%/360</f>
        <v>7.3535077777777786</v>
      </c>
      <c r="K340" s="337">
        <v>43827.97</v>
      </c>
      <c r="L340" s="307">
        <f>Table3[[#This Row],[MTBL]]*6.5%/360</f>
        <v>7.9133834722222227</v>
      </c>
      <c r="M340" s="449">
        <v>10000000</v>
      </c>
      <c r="N340" s="450">
        <f>'Bank Int.'!$M340*8%/360</f>
        <v>2222.2222222222222</v>
      </c>
    </row>
    <row r="341" spans="1:14" ht="22.9" customHeight="1" x14ac:dyDescent="0.25">
      <c r="A341" s="257"/>
      <c r="B341" s="253">
        <f t="shared" si="40"/>
        <v>45778</v>
      </c>
      <c r="C341" s="298">
        <v>44515.14</v>
      </c>
      <c r="D341" s="295">
        <f>'Bank Int.'!$C341*7.5%/360</f>
        <v>9.2739875000000005</v>
      </c>
      <c r="E341" s="254">
        <v>3101448.08</v>
      </c>
      <c r="F341" s="303">
        <f>Table3[[#This Row],[Mid 146]]*4.5%/360</f>
        <v>387.68101000000001</v>
      </c>
      <c r="G341" s="305">
        <v>30170.69</v>
      </c>
      <c r="H341" s="303">
        <f>'Bank Int.'!$G341*4.5%/360</f>
        <v>3.7713362499999996</v>
      </c>
      <c r="I341" s="254">
        <v>40727.120000000003</v>
      </c>
      <c r="J341" s="307">
        <f>'Bank Int.'!$I341*6.5%/360</f>
        <v>7.3535077777777786</v>
      </c>
      <c r="K341" s="337">
        <v>43827.97</v>
      </c>
      <c r="L341" s="307">
        <f>Table3[[#This Row],[MTBL]]*6.5%/360</f>
        <v>7.9133834722222227</v>
      </c>
      <c r="M341" s="449">
        <v>10000000</v>
      </c>
      <c r="N341" s="450">
        <f>'Bank Int.'!$M341*8%/360</f>
        <v>2222.2222222222222</v>
      </c>
    </row>
    <row r="342" spans="1:14" ht="22.9" customHeight="1" x14ac:dyDescent="0.25">
      <c r="A342" s="257"/>
      <c r="B342" s="253">
        <f t="shared" si="40"/>
        <v>45777</v>
      </c>
      <c r="C342" s="298">
        <v>44515.14</v>
      </c>
      <c r="D342" s="295">
        <f>'Bank Int.'!$C342*7.5%/360</f>
        <v>9.2739875000000005</v>
      </c>
      <c r="E342" s="254">
        <v>3101448.08</v>
      </c>
      <c r="F342" s="303">
        <f>Table3[[#This Row],[Mid 146]]*4.5%/360</f>
        <v>387.68101000000001</v>
      </c>
      <c r="G342" s="305">
        <v>30170.69</v>
      </c>
      <c r="H342" s="303">
        <f>'Bank Int.'!$G342*4.5%/360</f>
        <v>3.7713362499999996</v>
      </c>
      <c r="I342" s="254">
        <v>40727.120000000003</v>
      </c>
      <c r="J342" s="307">
        <f>'Bank Int.'!$I342*6.5%/360</f>
        <v>7.3535077777777786</v>
      </c>
      <c r="K342" s="337">
        <v>43827.97</v>
      </c>
      <c r="L342" s="307">
        <f>Table3[[#This Row],[MTBL]]*6.5%/360</f>
        <v>7.9133834722222227</v>
      </c>
      <c r="M342" s="449">
        <v>10000000</v>
      </c>
      <c r="N342" s="450">
        <f>'Bank Int.'!$M342*8%/360</f>
        <v>2222.2222222222222</v>
      </c>
    </row>
    <row r="343" spans="1:14" ht="22.9" customHeight="1" x14ac:dyDescent="0.25">
      <c r="A343" s="257"/>
      <c r="B343" s="253">
        <f t="shared" si="40"/>
        <v>45776</v>
      </c>
      <c r="C343" s="298">
        <v>294515.14</v>
      </c>
      <c r="D343" s="295">
        <f>'Bank Int.'!$C343*7.5%/360</f>
        <v>61.357320833333333</v>
      </c>
      <c r="E343" s="254">
        <v>55850023.68</v>
      </c>
      <c r="F343" s="303">
        <f>Table3[[#This Row],[Mid 146]]*4.5%/360</f>
        <v>6981.2529599999998</v>
      </c>
      <c r="G343" s="305">
        <v>1430170.69</v>
      </c>
      <c r="H343" s="303">
        <f>'Bank Int.'!$G343*4.5%/360</f>
        <v>178.77133624999999</v>
      </c>
      <c r="I343" s="254">
        <v>40727.120000000003</v>
      </c>
      <c r="J343" s="307">
        <f>'Bank Int.'!$I343*6.5%/360</f>
        <v>7.3535077777777786</v>
      </c>
      <c r="K343" s="337">
        <v>43827.97</v>
      </c>
      <c r="L343" s="307">
        <f>Table3[[#This Row],[MTBL]]*6.5%/360</f>
        <v>7.9133834722222227</v>
      </c>
      <c r="M343" s="358"/>
      <c r="N343" s="358"/>
    </row>
    <row r="344" spans="1:14" ht="22.9" customHeight="1" x14ac:dyDescent="0.25">
      <c r="A344" s="257"/>
      <c r="B344" s="253">
        <f t="shared" si="40"/>
        <v>45775</v>
      </c>
      <c r="C344" s="298">
        <v>22485269.140000001</v>
      </c>
      <c r="D344" s="295">
        <f>'Bank Int.'!$C344*7.5%/360</f>
        <v>4684.4310708333333</v>
      </c>
      <c r="E344" s="254">
        <v>33450023.68</v>
      </c>
      <c r="F344" s="303">
        <f>Table3[[#This Row],[Mid 146]]*4.5%/360</f>
        <v>4181.2529599999998</v>
      </c>
      <c r="G344" s="305">
        <v>1428170.69</v>
      </c>
      <c r="H344" s="303">
        <f>'Bank Int.'!$G344*4.5%/360</f>
        <v>178.52133624999999</v>
      </c>
      <c r="I344" s="254">
        <v>40727.120000000003</v>
      </c>
      <c r="J344" s="307">
        <f>'Bank Int.'!$I344*6.5%/360</f>
        <v>7.3535077777777786</v>
      </c>
      <c r="K344" s="337">
        <v>43827.97</v>
      </c>
      <c r="L344" s="307">
        <f>Table3[[#This Row],[MTBL]]*6.5%/360</f>
        <v>7.9133834722222227</v>
      </c>
      <c r="M344" s="358"/>
      <c r="N344" s="358"/>
    </row>
    <row r="345" spans="1:14" ht="22.9" customHeight="1" x14ac:dyDescent="0.25">
      <c r="A345" s="257"/>
      <c r="B345" s="253">
        <f t="shared" si="40"/>
        <v>45774</v>
      </c>
      <c r="C345" s="298">
        <v>21525269.140000001</v>
      </c>
      <c r="D345" s="295">
        <f>'Bank Int.'!$C345*7.5%/360</f>
        <v>4484.4310708333333</v>
      </c>
      <c r="E345" s="254">
        <v>33620029.880000003</v>
      </c>
      <c r="F345" s="303">
        <f>Table3[[#This Row],[Mid 146]]*4.5%/360</f>
        <v>4202.5037350000002</v>
      </c>
      <c r="G345" s="305">
        <v>1094030.69</v>
      </c>
      <c r="H345" s="303">
        <f>'Bank Int.'!$G345*4.5%/360</f>
        <v>136.75383624999998</v>
      </c>
      <c r="I345" s="254">
        <v>40727.120000000003</v>
      </c>
      <c r="J345" s="307">
        <f>'Bank Int.'!$I345*6.5%/360</f>
        <v>7.3535077777777786</v>
      </c>
      <c r="K345" s="337">
        <v>43827.97</v>
      </c>
      <c r="L345" s="307">
        <f>Table3[[#This Row],[MTBL]]*6.5%/360</f>
        <v>7.9133834722222227</v>
      </c>
      <c r="M345" s="358"/>
      <c r="N345" s="358"/>
    </row>
    <row r="346" spans="1:14" ht="22.9" customHeight="1" x14ac:dyDescent="0.25">
      <c r="A346" s="257"/>
      <c r="B346" s="253">
        <v>45773</v>
      </c>
      <c r="C346" s="298">
        <v>22806865.18</v>
      </c>
      <c r="D346" s="295">
        <f>'Bank Int.'!$C346*7.5%/360</f>
        <v>4751.4302458333332</v>
      </c>
      <c r="E346" s="254">
        <v>33620029.880000003</v>
      </c>
      <c r="F346" s="303">
        <f>Table3[[#This Row],[Mid 146]]*4.5%/360</f>
        <v>4202.5037350000002</v>
      </c>
      <c r="G346" s="305">
        <v>952249.13</v>
      </c>
      <c r="H346" s="303">
        <f>'Bank Int.'!$G346*4.5%/360</f>
        <v>119.03114124999999</v>
      </c>
      <c r="I346" s="254">
        <v>40727.120000000003</v>
      </c>
      <c r="J346" s="307">
        <f>'Bank Int.'!$I346*6.5%/360</f>
        <v>7.3535077777777786</v>
      </c>
      <c r="K346" s="337">
        <v>43827.97</v>
      </c>
      <c r="L346" s="307">
        <f>Table3[[#This Row],[MTBL]]*6.5%/360</f>
        <v>7.9133834722222227</v>
      </c>
      <c r="M346" s="358"/>
      <c r="N346" s="358"/>
    </row>
    <row r="347" spans="1:14" ht="22.9" customHeight="1" x14ac:dyDescent="0.25">
      <c r="A347" s="257"/>
      <c r="B347" s="253">
        <f t="shared" ref="B347:B352" si="41">B346-1</f>
        <v>45772</v>
      </c>
      <c r="C347" s="298">
        <v>22806865.18</v>
      </c>
      <c r="D347" s="295">
        <f>'Bank Int.'!$C347*7.5%/360</f>
        <v>4751.4302458333332</v>
      </c>
      <c r="E347" s="254">
        <v>33620029.880000003</v>
      </c>
      <c r="F347" s="303">
        <f>Table3[[#This Row],[Mid 146]]*4.5%/360</f>
        <v>4202.5037350000002</v>
      </c>
      <c r="G347" s="305">
        <v>952249.13</v>
      </c>
      <c r="H347" s="303">
        <f>'Bank Int.'!$G347*4.5%/360</f>
        <v>119.03114124999999</v>
      </c>
      <c r="I347" s="254">
        <v>40727.120000000003</v>
      </c>
      <c r="J347" s="307">
        <f>'Bank Int.'!$I347*6.5%/360</f>
        <v>7.3535077777777786</v>
      </c>
      <c r="K347" s="337">
        <v>43827.97</v>
      </c>
      <c r="L347" s="307">
        <f>Table3[[#This Row],[MTBL]]*6.5%/360</f>
        <v>7.9133834722222227</v>
      </c>
      <c r="N347" s="358"/>
    </row>
    <row r="348" spans="1:14" ht="22.9" customHeight="1" x14ac:dyDescent="0.25">
      <c r="A348" s="257"/>
      <c r="B348" s="253">
        <f t="shared" si="41"/>
        <v>45771</v>
      </c>
      <c r="C348" s="298">
        <v>22806865.18</v>
      </c>
      <c r="D348" s="295">
        <f>'Bank Int.'!$C348*7.5%/360</f>
        <v>4751.4302458333332</v>
      </c>
      <c r="E348" s="254">
        <v>33620029.880000003</v>
      </c>
      <c r="F348" s="303">
        <f>Table3[[#This Row],[Mid 146]]*4.5%/360</f>
        <v>4202.5037350000002</v>
      </c>
      <c r="G348" s="305">
        <v>952249.13</v>
      </c>
      <c r="H348" s="303">
        <f>'Bank Int.'!$G348*4.5%/360</f>
        <v>119.03114124999999</v>
      </c>
      <c r="I348" s="254">
        <v>40727.120000000003</v>
      </c>
      <c r="J348" s="307">
        <f>'Bank Int.'!$I348*6.5%/360</f>
        <v>7.3535077777777786</v>
      </c>
      <c r="K348" s="337">
        <v>43827.97</v>
      </c>
      <c r="L348" s="307">
        <f>Table3[[#This Row],[MTBL]]*6.5%/360</f>
        <v>7.9133834722222227</v>
      </c>
      <c r="N348" s="358"/>
    </row>
    <row r="349" spans="1:14" ht="22.9" customHeight="1" x14ac:dyDescent="0.25">
      <c r="A349" s="257"/>
      <c r="B349" s="253">
        <f t="shared" si="41"/>
        <v>45770</v>
      </c>
      <c r="C349" s="298">
        <v>20013609.530000001</v>
      </c>
      <c r="D349" s="295">
        <f>'Bank Int.'!$C349*7.5%/360</f>
        <v>4169.5019854166667</v>
      </c>
      <c r="E349" s="254">
        <v>33620029.880000003</v>
      </c>
      <c r="F349" s="303">
        <f>Table3[[#This Row],[Mid 146]]*4.5%/360</f>
        <v>4202.5037350000002</v>
      </c>
      <c r="G349" s="305">
        <v>627031.13</v>
      </c>
      <c r="H349" s="303">
        <f>'Bank Int.'!$G349*4.5%/360</f>
        <v>78.378891249999995</v>
      </c>
      <c r="I349" s="254">
        <v>40727.120000000003</v>
      </c>
      <c r="J349" s="307">
        <f>'Bank Int.'!$I349*6.5%/360</f>
        <v>7.3535077777777786</v>
      </c>
      <c r="K349" s="337">
        <v>43827.97</v>
      </c>
      <c r="L349" s="307">
        <f>Table3[[#This Row],[MTBL]]*6.5%/360</f>
        <v>7.9133834722222227</v>
      </c>
      <c r="N349" s="358"/>
    </row>
    <row r="350" spans="1:14" ht="22.9" customHeight="1" x14ac:dyDescent="0.25">
      <c r="A350" s="257"/>
      <c r="B350" s="253">
        <f t="shared" si="41"/>
        <v>45769</v>
      </c>
      <c r="C350" s="298">
        <v>26726138.710000001</v>
      </c>
      <c r="D350" s="295">
        <f>'Bank Int.'!$C350*7.5%/360</f>
        <v>5567.9455645833332</v>
      </c>
      <c r="E350" s="254">
        <v>48162709.770000003</v>
      </c>
      <c r="F350" s="303">
        <f>Table3[[#This Row],[Mid 146]]*4.5%/360</f>
        <v>6020.3387212500002</v>
      </c>
      <c r="G350" s="305">
        <v>77031.13</v>
      </c>
      <c r="H350" s="303">
        <f>'Bank Int.'!$G350*4.5%/360</f>
        <v>9.6288912500000006</v>
      </c>
      <c r="I350" s="254">
        <v>40727.120000000003</v>
      </c>
      <c r="J350" s="307">
        <f>'Bank Int.'!$I350*6.5%/360</f>
        <v>7.3535077777777786</v>
      </c>
      <c r="K350" s="337">
        <v>43827.97</v>
      </c>
      <c r="L350" s="307">
        <f>Table3[[#This Row],[MTBL]]*6.5%/360</f>
        <v>7.9133834722222227</v>
      </c>
      <c r="N350" s="358"/>
    </row>
    <row r="351" spans="1:14" ht="22.9" customHeight="1" x14ac:dyDescent="0.25">
      <c r="A351" s="257"/>
      <c r="B351" s="253">
        <f t="shared" si="41"/>
        <v>45768</v>
      </c>
      <c r="C351" s="298">
        <v>24895505.059999999</v>
      </c>
      <c r="D351" s="295">
        <f>'Bank Int.'!$C351*7.5%/360</f>
        <v>5186.5635541666661</v>
      </c>
      <c r="E351" s="254">
        <v>31288088.620000001</v>
      </c>
      <c r="F351" s="303">
        <f>Table3[[#This Row],[Mid 146]]*4.5%/360</f>
        <v>3911.0110775000003</v>
      </c>
      <c r="G351" s="305">
        <v>77031.13</v>
      </c>
      <c r="H351" s="303">
        <f>'Bank Int.'!$G351*4.5%/360</f>
        <v>9.6288912500000006</v>
      </c>
      <c r="I351" s="254">
        <v>40727.120000000003</v>
      </c>
      <c r="J351" s="307">
        <f>'Bank Int.'!$I351*6.5%/360</f>
        <v>7.3535077777777786</v>
      </c>
      <c r="K351" s="337">
        <v>43827.97</v>
      </c>
      <c r="L351" s="307">
        <f>Table3[[#This Row],[MTBL]]*6.5%/360</f>
        <v>7.9133834722222227</v>
      </c>
      <c r="N351" s="358"/>
    </row>
    <row r="352" spans="1:14" ht="22.9" customHeight="1" x14ac:dyDescent="0.25">
      <c r="A352" s="257"/>
      <c r="B352" s="253">
        <f t="shared" si="41"/>
        <v>45767</v>
      </c>
      <c r="C352" s="298">
        <v>5795565.0599999996</v>
      </c>
      <c r="D352" s="295">
        <f>'Bank Int.'!$C352*7.5%/360</f>
        <v>1207.4093874999999</v>
      </c>
      <c r="E352" s="254">
        <f t="shared" ref="E352:E354" si="42">2029050+14749099.49</f>
        <v>16778149.490000002</v>
      </c>
      <c r="F352" s="303">
        <f>Table3[[#This Row],[Mid 146]]*4.5%/360</f>
        <v>2097.2686862500004</v>
      </c>
      <c r="G352" s="305">
        <v>77031.13</v>
      </c>
      <c r="H352" s="303">
        <f>'Bank Int.'!$G352*4.5%/360</f>
        <v>9.6288912500000006</v>
      </c>
      <c r="I352" s="254">
        <v>40727.120000000003</v>
      </c>
      <c r="J352" s="307">
        <f>'Bank Int.'!$I352*6.5%/360</f>
        <v>7.3535077777777786</v>
      </c>
      <c r="K352" s="337">
        <v>43827.97</v>
      </c>
      <c r="L352" s="307">
        <f>Table3[[#This Row],[MTBL]]*6.5%/360</f>
        <v>7.9133834722222227</v>
      </c>
      <c r="N352" s="358"/>
    </row>
    <row r="353" spans="1:14" ht="22.9" customHeight="1" x14ac:dyDescent="0.25">
      <c r="A353" s="257"/>
      <c r="B353" s="253">
        <v>45766</v>
      </c>
      <c r="C353" s="298">
        <v>9495785.0600000005</v>
      </c>
      <c r="D353" s="295">
        <f>'Bank Int.'!$C353*7.5%/360</f>
        <v>1978.2885541666667</v>
      </c>
      <c r="E353" s="254">
        <f t="shared" si="42"/>
        <v>16778149.490000002</v>
      </c>
      <c r="F353" s="303">
        <f>Table3[[#This Row],[Mid 146]]*4.5%/360</f>
        <v>2097.2686862500004</v>
      </c>
      <c r="G353" s="305">
        <v>77031.13</v>
      </c>
      <c r="H353" s="303">
        <f>'Bank Int.'!$G353*4.5%/360</f>
        <v>9.6288912500000006</v>
      </c>
      <c r="I353" s="254">
        <v>40727.120000000003</v>
      </c>
      <c r="J353" s="307">
        <f>'Bank Int.'!$I353*6.5%/360</f>
        <v>7.3535077777777786</v>
      </c>
      <c r="K353" s="337">
        <v>43827.97</v>
      </c>
      <c r="L353" s="307">
        <f>Table3[[#This Row],[MTBL]]*6.5%/360</f>
        <v>7.9133834722222227</v>
      </c>
      <c r="N353" s="358"/>
    </row>
    <row r="354" spans="1:14" ht="22.9" customHeight="1" x14ac:dyDescent="0.25">
      <c r="A354" s="257"/>
      <c r="B354" s="253">
        <f t="shared" ref="B354:B359" si="43">B353-1</f>
        <v>45765</v>
      </c>
      <c r="C354" s="298">
        <v>9495785.0600000005</v>
      </c>
      <c r="D354" s="295">
        <f>'Bank Int.'!$C354*7.5%/360</f>
        <v>1978.2885541666667</v>
      </c>
      <c r="E354" s="254">
        <f t="shared" si="42"/>
        <v>16778149.490000002</v>
      </c>
      <c r="F354" s="303">
        <f>Table3[[#This Row],[Mid 146]]*4.5%/360</f>
        <v>2097.2686862500004</v>
      </c>
      <c r="G354" s="305">
        <v>77031.13</v>
      </c>
      <c r="H354" s="303">
        <f>'Bank Int.'!$G354*4.5%/360</f>
        <v>9.6288912500000006</v>
      </c>
      <c r="I354" s="254">
        <v>40727.120000000003</v>
      </c>
      <c r="J354" s="307">
        <f>'Bank Int.'!$I354*6.5%/360</f>
        <v>7.3535077777777786</v>
      </c>
      <c r="K354" s="337">
        <v>43827.97</v>
      </c>
      <c r="L354" s="307">
        <f>Table3[[#This Row],[MTBL]]*6.5%/360</f>
        <v>7.9133834722222227</v>
      </c>
      <c r="N354" s="358"/>
    </row>
    <row r="355" spans="1:14" ht="22.9" customHeight="1" x14ac:dyDescent="0.25">
      <c r="A355" s="257"/>
      <c r="B355" s="253">
        <f t="shared" si="43"/>
        <v>45764</v>
      </c>
      <c r="C355" s="298">
        <v>9495785.0600000005</v>
      </c>
      <c r="D355" s="295">
        <f>'Bank Int.'!$C355*7.5%/360</f>
        <v>1978.2885541666667</v>
      </c>
      <c r="E355" s="254">
        <f>2029050+14749099.49</f>
        <v>16778149.490000002</v>
      </c>
      <c r="F355" s="303">
        <f>Table3[[#This Row],[Mid 146]]*4.5%/360</f>
        <v>2097.2686862500004</v>
      </c>
      <c r="G355" s="305">
        <v>77031.13</v>
      </c>
      <c r="H355" s="303">
        <f>'Bank Int.'!$G355*4.5%/360</f>
        <v>9.6288912500000006</v>
      </c>
      <c r="I355" s="254">
        <v>40727.120000000003</v>
      </c>
      <c r="J355" s="307">
        <f>'Bank Int.'!$I355*6.5%/360</f>
        <v>7.3535077777777786</v>
      </c>
      <c r="K355" s="337">
        <v>43827.97</v>
      </c>
      <c r="L355" s="307">
        <f>Table3[[#This Row],[MTBL]]*6.5%/360</f>
        <v>7.9133834722222227</v>
      </c>
      <c r="N355" s="358"/>
    </row>
    <row r="356" spans="1:14" ht="22.9" customHeight="1" x14ac:dyDescent="0.25">
      <c r="A356" s="257"/>
      <c r="B356" s="253">
        <f t="shared" si="43"/>
        <v>45763</v>
      </c>
      <c r="C356" s="298">
        <v>7295785.0599999996</v>
      </c>
      <c r="D356" s="295">
        <f>'Bank Int.'!$C356*7.5%/360</f>
        <v>1519.9552208333332</v>
      </c>
      <c r="E356" s="254">
        <v>14749099.49</v>
      </c>
      <c r="F356" s="303">
        <f>Table3[[#This Row],[Mid 146]]*4.5%/360</f>
        <v>1843.6374362500001</v>
      </c>
      <c r="G356" s="305">
        <v>2170031.13</v>
      </c>
      <c r="H356" s="303">
        <f>'Bank Int.'!$G356*4.5%/360</f>
        <v>271.25389124999998</v>
      </c>
      <c r="I356" s="254">
        <v>40727.120000000003</v>
      </c>
      <c r="J356" s="307">
        <f>'Bank Int.'!$I356*6.5%/360</f>
        <v>7.3535077777777786</v>
      </c>
      <c r="K356" s="337">
        <v>43827.97</v>
      </c>
      <c r="L356" s="307">
        <f>Table3[[#This Row],[MTBL]]*6.5%/360</f>
        <v>7.9133834722222227</v>
      </c>
      <c r="N356" s="358"/>
    </row>
    <row r="357" spans="1:14" ht="22.9" customHeight="1" x14ac:dyDescent="0.25">
      <c r="A357" s="257"/>
      <c r="B357" s="253">
        <f t="shared" si="43"/>
        <v>45762</v>
      </c>
      <c r="C357" s="298">
        <v>7295785.0599999996</v>
      </c>
      <c r="D357" s="295">
        <f>'Bank Int.'!$C357*7.5%/360</f>
        <v>1519.9552208333332</v>
      </c>
      <c r="E357" s="254">
        <v>14749099.49</v>
      </c>
      <c r="F357" s="303">
        <f>Table3[[#This Row],[Mid 146]]*4.5%/360</f>
        <v>1843.6374362500001</v>
      </c>
      <c r="G357" s="305">
        <v>2170031.13</v>
      </c>
      <c r="H357" s="303">
        <f>'Bank Int.'!$G357*4.5%/360</f>
        <v>271.25389124999998</v>
      </c>
      <c r="I357" s="254">
        <v>40727.120000000003</v>
      </c>
      <c r="J357" s="307">
        <f>'Bank Int.'!$I357*6.5%/360</f>
        <v>7.3535077777777786</v>
      </c>
      <c r="K357" s="337">
        <v>43827.97</v>
      </c>
      <c r="L357" s="307">
        <f>Table3[[#This Row],[MTBL]]*6.5%/360</f>
        <v>7.9133834722222227</v>
      </c>
      <c r="N357" s="358"/>
    </row>
    <row r="358" spans="1:14" ht="22.9" customHeight="1" x14ac:dyDescent="0.25">
      <c r="A358" s="257"/>
      <c r="B358" s="253">
        <f t="shared" si="43"/>
        <v>45761</v>
      </c>
      <c r="C358" s="298">
        <v>10538052.9</v>
      </c>
      <c r="D358" s="295">
        <f>'Bank Int.'!$C358*7.5%/360</f>
        <v>2195.4276875</v>
      </c>
      <c r="E358" s="254">
        <v>2028178.66</v>
      </c>
      <c r="F358" s="303">
        <f>Table3[[#This Row],[Mid 146]]*4.5%/360</f>
        <v>253.52233249999998</v>
      </c>
      <c r="G358" s="305">
        <v>2066031.13</v>
      </c>
      <c r="H358" s="303">
        <f>'Bank Int.'!$G358*4.5%/360</f>
        <v>258.25389124999998</v>
      </c>
      <c r="I358" s="254">
        <v>40727.120000000003</v>
      </c>
      <c r="J358" s="307">
        <f>'Bank Int.'!$I358*6.5%/360</f>
        <v>7.3535077777777786</v>
      </c>
      <c r="K358" s="337">
        <v>43827.97</v>
      </c>
      <c r="L358" s="307">
        <f>Table3[[#This Row],[MTBL]]*6.5%/360</f>
        <v>7.9133834722222227</v>
      </c>
      <c r="N358" s="358"/>
    </row>
    <row r="359" spans="1:14" ht="22.9" customHeight="1" x14ac:dyDescent="0.25">
      <c r="A359" s="257"/>
      <c r="B359" s="253">
        <f t="shared" si="43"/>
        <v>45760</v>
      </c>
      <c r="C359" s="298">
        <v>10538052.9</v>
      </c>
      <c r="D359" s="295">
        <f>'Bank Int.'!$C359*7.5%/360</f>
        <v>2195.4276875</v>
      </c>
      <c r="E359" s="254">
        <v>2028178.66</v>
      </c>
      <c r="F359" s="303">
        <f>Table3[[#This Row],[Mid 146]]*4.5%/360</f>
        <v>253.52233249999998</v>
      </c>
      <c r="G359" s="305">
        <v>2066031.13</v>
      </c>
      <c r="H359" s="303">
        <f>'Bank Int.'!$G359*4.5%/360</f>
        <v>258.25389124999998</v>
      </c>
      <c r="I359" s="254">
        <v>40727.120000000003</v>
      </c>
      <c r="J359" s="307">
        <f>'Bank Int.'!$I359*6.5%/360</f>
        <v>7.3535077777777786</v>
      </c>
      <c r="K359" s="337">
        <v>43827.97</v>
      </c>
      <c r="L359" s="307">
        <f>Table3[[#This Row],[MTBL]]*6.5%/360</f>
        <v>7.9133834722222227</v>
      </c>
      <c r="N359" s="358"/>
    </row>
    <row r="360" spans="1:14" ht="22.9" customHeight="1" x14ac:dyDescent="0.25">
      <c r="A360" s="257"/>
      <c r="B360" s="253">
        <v>45759</v>
      </c>
      <c r="C360" s="298">
        <v>1597830.9</v>
      </c>
      <c r="D360" s="295">
        <f>'Bank Int.'!$C360*7.5%/360</f>
        <v>332.88143749999995</v>
      </c>
      <c r="E360" s="254">
        <v>384233.24</v>
      </c>
      <c r="F360" s="303">
        <f>Table3[[#This Row],[Mid 146]]*4.5%/360</f>
        <v>48.029155000000003</v>
      </c>
      <c r="G360" s="305">
        <v>2066031.13</v>
      </c>
      <c r="H360" s="303">
        <f>'Bank Int.'!$G360*4.5%/360</f>
        <v>258.25389124999998</v>
      </c>
      <c r="I360" s="254">
        <v>40727.120000000003</v>
      </c>
      <c r="J360" s="307">
        <f>'Bank Int.'!$I360*6.5%/360</f>
        <v>7.3535077777777786</v>
      </c>
      <c r="K360" s="337">
        <v>43827.97</v>
      </c>
      <c r="L360" s="307">
        <f>Table3[[#This Row],[MTBL]]*6.5%/360</f>
        <v>7.9133834722222227</v>
      </c>
      <c r="N360" s="358"/>
    </row>
    <row r="361" spans="1:14" ht="22.9" customHeight="1" x14ac:dyDescent="0.25">
      <c r="A361" s="257"/>
      <c r="B361" s="330">
        <f ca="1">TODAY()+2</f>
        <v>46112</v>
      </c>
      <c r="C361" s="298">
        <v>1597830.9</v>
      </c>
      <c r="D361" s="295">
        <f>'Bank Int.'!$C361*7.5%/360</f>
        <v>332.88143749999995</v>
      </c>
      <c r="E361" s="254">
        <v>384233.24</v>
      </c>
      <c r="F361" s="303">
        <f>Table3[[#This Row],[Mid 146]]*4.5%/360</f>
        <v>48.029155000000003</v>
      </c>
      <c r="G361" s="305">
        <v>2066031.13</v>
      </c>
      <c r="H361" s="303">
        <f>'Bank Int.'!$G361*4.5%/360</f>
        <v>258.25389124999998</v>
      </c>
      <c r="I361" s="254">
        <v>40727.120000000003</v>
      </c>
      <c r="J361" s="307">
        <f>'Bank Int.'!$I361*6.5%/360</f>
        <v>7.3535077777777786</v>
      </c>
      <c r="K361" s="337">
        <v>43827.97</v>
      </c>
      <c r="L361" s="307">
        <f>Table3[[#This Row],[MTBL]]*6.5%/360</f>
        <v>7.9133834722222227</v>
      </c>
      <c r="N361" s="358"/>
    </row>
    <row r="362" spans="1:14" ht="22.9" customHeight="1" x14ac:dyDescent="0.25">
      <c r="A362" s="257"/>
      <c r="B362" s="253">
        <f t="shared" ref="B362:B366" ca="1" si="44">B361-1</f>
        <v>46111</v>
      </c>
      <c r="C362" s="298">
        <v>1597830.9</v>
      </c>
      <c r="D362" s="295">
        <f>'Bank Int.'!$C362*7.5%/360</f>
        <v>332.88143749999995</v>
      </c>
      <c r="E362" s="254">
        <v>384233.24</v>
      </c>
      <c r="F362" s="303">
        <f>Table3[[#This Row],[Mid 146]]*4.5%/360</f>
        <v>48.029155000000003</v>
      </c>
      <c r="G362" s="305">
        <v>2066031.13</v>
      </c>
      <c r="H362" s="303">
        <f>'Bank Int.'!$G362*4.5%/360</f>
        <v>258.25389124999998</v>
      </c>
      <c r="I362" s="254">
        <v>40727.120000000003</v>
      </c>
      <c r="J362" s="307">
        <f>'Bank Int.'!$I362*6.5%/360</f>
        <v>7.3535077777777786</v>
      </c>
      <c r="K362" s="337">
        <v>43827.97</v>
      </c>
      <c r="L362" s="307">
        <f>Table3[[#This Row],[MTBL]]*6.5%/360</f>
        <v>7.9133834722222227</v>
      </c>
      <c r="N362" s="358"/>
    </row>
    <row r="363" spans="1:14" ht="22.9" customHeight="1" x14ac:dyDescent="0.25">
      <c r="A363" s="257"/>
      <c r="B363" s="253">
        <f t="shared" ca="1" si="44"/>
        <v>46110</v>
      </c>
      <c r="C363" s="298">
        <v>1597830.9</v>
      </c>
      <c r="D363" s="295">
        <f>'Bank Int.'!$C363*7.5%/360</f>
        <v>332.88143749999995</v>
      </c>
      <c r="E363" s="254">
        <v>384233.24</v>
      </c>
      <c r="F363" s="303">
        <f>Table3[[#This Row],[Mid 146]]*4.5%/360</f>
        <v>48.029155000000003</v>
      </c>
      <c r="G363" s="305">
        <v>2066031.13</v>
      </c>
      <c r="H363" s="303">
        <f>'Bank Int.'!$G363*4.5%/360</f>
        <v>258.25389124999998</v>
      </c>
      <c r="I363" s="254">
        <v>40727.120000000003</v>
      </c>
      <c r="J363" s="307">
        <f>'Bank Int.'!$I363*6.5%/360</f>
        <v>7.3535077777777786</v>
      </c>
      <c r="K363" s="337">
        <v>43827.97</v>
      </c>
      <c r="L363" s="307">
        <f>Table3[[#This Row],[MTBL]]*6.5%/360</f>
        <v>7.9133834722222227</v>
      </c>
      <c r="N363" s="358"/>
    </row>
    <row r="364" spans="1:14" ht="22.9" customHeight="1" x14ac:dyDescent="0.25">
      <c r="A364" s="257"/>
      <c r="B364" s="253">
        <f t="shared" ca="1" si="44"/>
        <v>46109</v>
      </c>
      <c r="C364" s="298">
        <v>1597830.9</v>
      </c>
      <c r="D364" s="295">
        <f>'Bank Int.'!$C364*7.5%/360</f>
        <v>332.88143749999995</v>
      </c>
      <c r="E364" s="254">
        <v>384233.24</v>
      </c>
      <c r="F364" s="303">
        <f>Table3[[#This Row],[Mid 146]]*4.5%/360</f>
        <v>48.029155000000003</v>
      </c>
      <c r="G364" s="305">
        <v>1756031.13</v>
      </c>
      <c r="H364" s="303">
        <f>'Bank Int.'!$G364*4.5%/360</f>
        <v>219.50389124999998</v>
      </c>
      <c r="I364" s="254">
        <v>40727.120000000003</v>
      </c>
      <c r="J364" s="307">
        <f>'Bank Int.'!$I364*6.5%/360</f>
        <v>7.3535077777777786</v>
      </c>
      <c r="K364" s="337">
        <v>43827.97</v>
      </c>
      <c r="L364" s="307">
        <f>Table3[[#This Row],[MTBL]]*6.5%/360</f>
        <v>7.9133834722222227</v>
      </c>
      <c r="N364" s="358"/>
    </row>
    <row r="365" spans="1:14" ht="22.9" customHeight="1" x14ac:dyDescent="0.25">
      <c r="A365" s="257"/>
      <c r="B365" s="253">
        <f t="shared" ca="1" si="44"/>
        <v>46108</v>
      </c>
      <c r="C365" s="298">
        <v>2573744.48</v>
      </c>
      <c r="D365" s="295">
        <f>'Bank Int.'!$C365*7.5%/360</f>
        <v>536.19676666666658</v>
      </c>
      <c r="E365" s="254">
        <v>54483.24</v>
      </c>
      <c r="F365" s="303">
        <f>Table3[[#This Row],[Mid 146]]*4.5%/360</f>
        <v>6.8104049999999994</v>
      </c>
      <c r="G365" s="305">
        <v>1756031.13</v>
      </c>
      <c r="H365" s="303">
        <f>'Bank Int.'!$G365*4.5%/360</f>
        <v>219.50389124999998</v>
      </c>
      <c r="I365" s="254">
        <v>40727.120000000003</v>
      </c>
      <c r="J365" s="307">
        <f>'Bank Int.'!$I365*6.5%/360</f>
        <v>7.3535077777777786</v>
      </c>
      <c r="K365" s="337">
        <v>43827.97</v>
      </c>
      <c r="L365" s="307">
        <f>Table3[[#This Row],[MTBL]]*6.5%/360</f>
        <v>7.9133834722222227</v>
      </c>
      <c r="N365" s="358"/>
    </row>
    <row r="366" spans="1:14" ht="22.9" customHeight="1" x14ac:dyDescent="0.25">
      <c r="A366" s="257"/>
      <c r="B366" s="253">
        <f t="shared" ca="1" si="44"/>
        <v>46107</v>
      </c>
      <c r="C366" s="298">
        <v>10043744.48</v>
      </c>
      <c r="D366" s="295">
        <f>'Bank Int.'!$C366*7.5%/360</f>
        <v>2092.4467666666669</v>
      </c>
      <c r="E366" s="254">
        <v>912250</v>
      </c>
      <c r="F366" s="303">
        <f>Table3[[#This Row],[Mid 146]]*4.5%/360</f>
        <v>114.03125</v>
      </c>
      <c r="G366" s="305">
        <v>1756031.13</v>
      </c>
      <c r="H366" s="303">
        <f>'Bank Int.'!$G366*4.5%/360</f>
        <v>219.50389124999998</v>
      </c>
      <c r="I366" s="254">
        <v>40727.120000000003</v>
      </c>
      <c r="J366" s="307">
        <f>'Bank Int.'!$I366*6.5%/360</f>
        <v>7.3535077777777786</v>
      </c>
      <c r="K366" s="337">
        <v>43827.97</v>
      </c>
      <c r="L366" s="307">
        <f>Table3[[#This Row],[MTBL]]*6.5%/360</f>
        <v>7.9133834722222227</v>
      </c>
      <c r="N366" s="358"/>
    </row>
    <row r="367" spans="1:14" ht="22.9" customHeight="1" x14ac:dyDescent="0.25">
      <c r="A367" s="257"/>
      <c r="B367" s="253">
        <v>45752</v>
      </c>
      <c r="C367" s="298">
        <v>10043864.48</v>
      </c>
      <c r="D367" s="295">
        <f>'Bank Int.'!$C367*7.5%/360</f>
        <v>2092.4717666666666</v>
      </c>
      <c r="E367" s="254">
        <v>912250</v>
      </c>
      <c r="F367" s="303">
        <f>Table3[[#This Row],[Mid 146]]*4.5%/360</f>
        <v>114.03125</v>
      </c>
      <c r="G367" s="305">
        <v>1204991.1299999999</v>
      </c>
      <c r="H367" s="303">
        <f>'Bank Int.'!$G367*4.5%/360</f>
        <v>150.62389124999999</v>
      </c>
      <c r="I367" s="254">
        <v>40727.120000000003</v>
      </c>
      <c r="J367" s="307">
        <f>'Bank Int.'!$I367*6.5%/360</f>
        <v>7.3535077777777786</v>
      </c>
      <c r="K367" s="337">
        <v>43827.97</v>
      </c>
      <c r="L367" s="307">
        <f>Table3[[#This Row],[MTBL]]*6.5%/360</f>
        <v>7.9133834722222227</v>
      </c>
      <c r="N367" s="358"/>
    </row>
    <row r="368" spans="1:14" ht="22.9" customHeight="1" x14ac:dyDescent="0.25">
      <c r="A368" s="257"/>
      <c r="B368" s="253">
        <f t="shared" ref="B368:B380" si="45">B367-1</f>
        <v>45751</v>
      </c>
      <c r="C368" s="298">
        <v>10043864.48</v>
      </c>
      <c r="D368" s="295">
        <f>'Bank Int.'!$C368*7.5%/360</f>
        <v>2092.4717666666666</v>
      </c>
      <c r="E368" s="254">
        <v>912250</v>
      </c>
      <c r="F368" s="303">
        <f>Table3[[#This Row],[Mid 146]]*4.5%/360</f>
        <v>114.03125</v>
      </c>
      <c r="G368" s="305">
        <v>1204991.1299999999</v>
      </c>
      <c r="H368" s="303">
        <f>'Bank Int.'!$G368*4.5%/360</f>
        <v>150.62389124999999</v>
      </c>
      <c r="I368" s="254">
        <v>40727.120000000003</v>
      </c>
      <c r="J368" s="307">
        <f>'Bank Int.'!$I368*6.5%/360</f>
        <v>7.3535077777777786</v>
      </c>
      <c r="K368" s="337">
        <v>43827.97</v>
      </c>
      <c r="L368" s="307">
        <f>Table3[[#This Row],[MTBL]]*6.5%/360</f>
        <v>7.9133834722222227</v>
      </c>
      <c r="N368" s="358"/>
    </row>
    <row r="369" spans="1:14" ht="22.9" customHeight="1" x14ac:dyDescent="0.25">
      <c r="A369" s="257"/>
      <c r="B369" s="253">
        <f t="shared" si="45"/>
        <v>45750</v>
      </c>
      <c r="C369" s="298">
        <v>10043864.48</v>
      </c>
      <c r="D369" s="295">
        <f>'Bank Int.'!$C369*7.5%/360</f>
        <v>2092.4717666666666</v>
      </c>
      <c r="E369" s="254">
        <v>912250</v>
      </c>
      <c r="F369" s="303">
        <f>Table3[[#This Row],[Mid 146]]*4.5%/360</f>
        <v>114.03125</v>
      </c>
      <c r="G369" s="305">
        <v>1204991.1299999999</v>
      </c>
      <c r="H369" s="303">
        <f>'Bank Int.'!$G369*4.5%/360</f>
        <v>150.62389124999999</v>
      </c>
      <c r="I369" s="254">
        <v>40727.120000000003</v>
      </c>
      <c r="J369" s="307">
        <f>'Bank Int.'!$I369*6.5%/360</f>
        <v>7.3535077777777786</v>
      </c>
      <c r="K369" s="337">
        <v>43827.97</v>
      </c>
      <c r="L369" s="307">
        <f>Table3[[#This Row],[MTBL]]*6.5%/360</f>
        <v>7.9133834722222227</v>
      </c>
      <c r="N369" s="358"/>
    </row>
    <row r="370" spans="1:14" ht="22.9" customHeight="1" x14ac:dyDescent="0.25">
      <c r="A370" s="257"/>
      <c r="B370" s="253">
        <f t="shared" si="45"/>
        <v>45749</v>
      </c>
      <c r="C370" s="298">
        <v>10043864.48</v>
      </c>
      <c r="D370" s="295">
        <f>'Bank Int.'!$C370*7.5%/360</f>
        <v>2092.4717666666666</v>
      </c>
      <c r="E370" s="254">
        <v>912250</v>
      </c>
      <c r="F370" s="303">
        <f>Table3[[#This Row],[Mid 146]]*4.5%/360</f>
        <v>114.03125</v>
      </c>
      <c r="G370" s="305">
        <v>1204991.1299999999</v>
      </c>
      <c r="H370" s="303">
        <f>'Bank Int.'!$G370*4.5%/360</f>
        <v>150.62389124999999</v>
      </c>
      <c r="I370" s="254">
        <v>40727.120000000003</v>
      </c>
      <c r="J370" s="307">
        <f>'Bank Int.'!$I370*6.5%/360</f>
        <v>7.3535077777777786</v>
      </c>
      <c r="K370" s="337">
        <v>43827.97</v>
      </c>
      <c r="L370" s="307">
        <f>Table3[[#This Row],[MTBL]]*6.5%/360</f>
        <v>7.9133834722222227</v>
      </c>
      <c r="N370" s="358"/>
    </row>
    <row r="371" spans="1:14" ht="22.9" customHeight="1" x14ac:dyDescent="0.25">
      <c r="A371" s="257"/>
      <c r="B371" s="253">
        <f t="shared" si="45"/>
        <v>45748</v>
      </c>
      <c r="C371" s="298">
        <v>10043864.48</v>
      </c>
      <c r="D371" s="295">
        <f>'Bank Int.'!$C371*7.5%/360</f>
        <v>2092.4717666666666</v>
      </c>
      <c r="E371" s="254">
        <v>912250</v>
      </c>
      <c r="F371" s="303">
        <f>Table3[[#This Row],[Mid 146]]*4.5%/360</f>
        <v>114.03125</v>
      </c>
      <c r="G371" s="305">
        <v>1204991.1299999999</v>
      </c>
      <c r="H371" s="303">
        <f>'Bank Int.'!$G371*4.5%/360</f>
        <v>150.62389124999999</v>
      </c>
      <c r="I371" s="254">
        <v>40727.120000000003</v>
      </c>
      <c r="J371" s="307">
        <f>'Bank Int.'!$I371*6.5%/360</f>
        <v>7.3535077777777786</v>
      </c>
      <c r="K371" s="337">
        <v>43827.97</v>
      </c>
      <c r="L371" s="307">
        <f>Table3[[#This Row],[MTBL]]*6.5%/360</f>
        <v>7.9133834722222227</v>
      </c>
      <c r="N371" s="358"/>
    </row>
    <row r="372" spans="1:14" ht="22.9" customHeight="1" x14ac:dyDescent="0.25">
      <c r="A372" s="257"/>
      <c r="B372" s="253">
        <f t="shared" si="45"/>
        <v>45747</v>
      </c>
      <c r="C372" s="298">
        <v>10043864.48</v>
      </c>
      <c r="D372" s="295">
        <f>'Bank Int.'!$C372*7.5%/360</f>
        <v>2092.4717666666666</v>
      </c>
      <c r="E372" s="254">
        <v>912250</v>
      </c>
      <c r="F372" s="303">
        <f>Table3[[#This Row],[Mid 146]]*4.5%/360</f>
        <v>114.03125</v>
      </c>
      <c r="G372" s="305">
        <v>1204991.1299999999</v>
      </c>
      <c r="H372" s="303">
        <f>'Bank Int.'!$G372*4.5%/360</f>
        <v>150.62389124999999</v>
      </c>
      <c r="I372" s="254">
        <v>40727.120000000003</v>
      </c>
      <c r="J372" s="307">
        <f>'Bank Int.'!$I372*6.5%/360</f>
        <v>7.3535077777777786</v>
      </c>
      <c r="K372" s="337">
        <v>43827.97</v>
      </c>
      <c r="L372" s="307">
        <f>Table3[[#This Row],[MTBL]]*6.5%/360</f>
        <v>7.9133834722222227</v>
      </c>
      <c r="N372" s="358"/>
    </row>
    <row r="373" spans="1:14" ht="22.9" customHeight="1" x14ac:dyDescent="0.25">
      <c r="A373" s="257"/>
      <c r="B373" s="253">
        <f t="shared" si="45"/>
        <v>45746</v>
      </c>
      <c r="C373" s="298">
        <v>10043864.48</v>
      </c>
      <c r="D373" s="295">
        <f>'Bank Int.'!$C373*7.5%/360</f>
        <v>2092.4717666666666</v>
      </c>
      <c r="E373" s="254">
        <v>912250</v>
      </c>
      <c r="F373" s="303">
        <f>Table3[[#This Row],[Mid 146]]*4.5%/360</f>
        <v>114.03125</v>
      </c>
      <c r="G373" s="305">
        <v>1204991.1299999999</v>
      </c>
      <c r="H373" s="303">
        <f>'Bank Int.'!$G373*4.5%/360</f>
        <v>150.62389124999999</v>
      </c>
      <c r="I373" s="254">
        <v>40727.120000000003</v>
      </c>
      <c r="J373" s="307">
        <f>'Bank Int.'!$I373*6.5%/360</f>
        <v>7.3535077777777786</v>
      </c>
      <c r="K373" s="337">
        <v>43827.97</v>
      </c>
      <c r="L373" s="307">
        <f>Table3[[#This Row],[MTBL]]*6.5%/360</f>
        <v>7.9133834722222227</v>
      </c>
      <c r="N373" s="358"/>
    </row>
    <row r="374" spans="1:14" ht="22.9" customHeight="1" x14ac:dyDescent="0.25">
      <c r="A374" s="257"/>
      <c r="B374" s="253">
        <f t="shared" si="45"/>
        <v>45745</v>
      </c>
      <c r="C374" s="298">
        <v>10043864.48</v>
      </c>
      <c r="D374" s="295">
        <f>'Bank Int.'!$C374*7.5%/360</f>
        <v>2092.4717666666666</v>
      </c>
      <c r="E374" s="254">
        <v>912250</v>
      </c>
      <c r="F374" s="303">
        <f>Table3[[#This Row],[Mid 146]]*4.5%/360</f>
        <v>114.03125</v>
      </c>
      <c r="G374" s="305">
        <v>1204991.1299999999</v>
      </c>
      <c r="H374" s="303">
        <f>'Bank Int.'!$G374*4.5%/360</f>
        <v>150.62389124999999</v>
      </c>
      <c r="I374" s="254">
        <v>40727.120000000003</v>
      </c>
      <c r="J374" s="307">
        <f>'Bank Int.'!$I374*6.5%/360</f>
        <v>7.3535077777777786</v>
      </c>
      <c r="K374" s="337">
        <v>43827.97</v>
      </c>
      <c r="L374" s="307">
        <f>Table3[[#This Row],[MTBL]]*6.5%/360</f>
        <v>7.9133834722222227</v>
      </c>
      <c r="N374" s="358"/>
    </row>
    <row r="375" spans="1:14" ht="22.9" customHeight="1" x14ac:dyDescent="0.25">
      <c r="A375" s="257"/>
      <c r="B375" s="253">
        <f t="shared" si="45"/>
        <v>45744</v>
      </c>
      <c r="C375" s="298">
        <v>10043864.48</v>
      </c>
      <c r="D375" s="295">
        <f>'Bank Int.'!$C375*7.5%/360</f>
        <v>2092.4717666666666</v>
      </c>
      <c r="E375" s="254">
        <v>912250</v>
      </c>
      <c r="F375" s="303">
        <f>Table3[[#This Row],[Mid 146]]*4.5%/360</f>
        <v>114.03125</v>
      </c>
      <c r="G375" s="305">
        <v>1204991.1299999999</v>
      </c>
      <c r="H375" s="303">
        <f>'Bank Int.'!$G375*4.5%/360</f>
        <v>150.62389124999999</v>
      </c>
      <c r="I375" s="254">
        <v>40727.120000000003</v>
      </c>
      <c r="J375" s="307">
        <f>'Bank Int.'!$I375*6.5%/360</f>
        <v>7.3535077777777786</v>
      </c>
      <c r="K375" s="337">
        <v>43827.97</v>
      </c>
      <c r="L375" s="307">
        <f>Table3[[#This Row],[MTBL]]*6.5%/360</f>
        <v>7.9133834722222227</v>
      </c>
      <c r="N375" s="358"/>
    </row>
    <row r="376" spans="1:14" ht="22.9" customHeight="1" x14ac:dyDescent="0.25">
      <c r="A376" s="257"/>
      <c r="B376" s="253">
        <f t="shared" si="45"/>
        <v>45743</v>
      </c>
      <c r="C376" s="298">
        <v>10043864.48</v>
      </c>
      <c r="D376" s="295">
        <f>'Bank Int.'!$C376*7.5%/360</f>
        <v>2092.4717666666666</v>
      </c>
      <c r="E376" s="254">
        <v>912250</v>
      </c>
      <c r="F376" s="303">
        <f>Table3[[#This Row],[Mid 146]]*4.5%/360</f>
        <v>114.03125</v>
      </c>
      <c r="G376" s="305">
        <v>1204991.1299999999</v>
      </c>
      <c r="H376" s="303">
        <f>'Bank Int.'!$G376*4.5%/360</f>
        <v>150.62389124999999</v>
      </c>
      <c r="I376" s="254">
        <v>40727.120000000003</v>
      </c>
      <c r="J376" s="307">
        <f>'Bank Int.'!$I376*6.5%/360</f>
        <v>7.3535077777777786</v>
      </c>
      <c r="K376" s="337">
        <v>43827.97</v>
      </c>
      <c r="L376" s="307">
        <f>Table3[[#This Row],[MTBL]]*6.5%/360</f>
        <v>7.9133834722222227</v>
      </c>
      <c r="N376" s="358"/>
    </row>
    <row r="377" spans="1:14" ht="22.9" customHeight="1" x14ac:dyDescent="0.25">
      <c r="A377" s="257"/>
      <c r="B377" s="253">
        <f t="shared" si="45"/>
        <v>45742</v>
      </c>
      <c r="C377" s="298">
        <v>22468.81</v>
      </c>
      <c r="D377" s="295">
        <f>'Bank Int.'!$C377*7.5%/360</f>
        <v>4.6810020833333335</v>
      </c>
      <c r="E377" s="254">
        <v>198334.47</v>
      </c>
      <c r="F377" s="303">
        <f>Table3[[#This Row],[Mid 146]]*4.5%/360</f>
        <v>24.791808749999998</v>
      </c>
      <c r="G377" s="305">
        <v>1204991.1299999999</v>
      </c>
      <c r="H377" s="303">
        <f>'Bank Int.'!$G377*4.5%/360</f>
        <v>150.62389124999999</v>
      </c>
      <c r="I377" s="254">
        <v>40727.120000000003</v>
      </c>
      <c r="J377" s="307">
        <f>'Bank Int.'!$I377*6.5%/360</f>
        <v>7.3535077777777786</v>
      </c>
      <c r="K377" s="337">
        <v>43827.97</v>
      </c>
      <c r="L377" s="307">
        <f>Table3[[#This Row],[MTBL]]*6.5%/360</f>
        <v>7.9133834722222227</v>
      </c>
      <c r="N377" s="358"/>
    </row>
    <row r="378" spans="1:14" ht="22.9" customHeight="1" x14ac:dyDescent="0.25">
      <c r="A378" s="257"/>
      <c r="B378" s="253">
        <f t="shared" si="45"/>
        <v>45741</v>
      </c>
      <c r="C378" s="298">
        <v>22468.81</v>
      </c>
      <c r="D378" s="295">
        <f>'Bank Int.'!$C378*7.5%/360</f>
        <v>4.6810020833333335</v>
      </c>
      <c r="E378" s="254">
        <v>198334.47</v>
      </c>
      <c r="F378" s="303">
        <f>Table3[[#This Row],[Mid 146]]*4.5%/360</f>
        <v>24.791808749999998</v>
      </c>
      <c r="G378" s="305">
        <v>1204991.1299999999</v>
      </c>
      <c r="H378" s="303">
        <f>'Bank Int.'!$G378*4.5%/360</f>
        <v>150.62389124999999</v>
      </c>
      <c r="I378" s="254">
        <v>40727.120000000003</v>
      </c>
      <c r="J378" s="307">
        <f>'Bank Int.'!$I378*6.5%/360</f>
        <v>7.3535077777777786</v>
      </c>
      <c r="K378" s="337">
        <v>43827.97</v>
      </c>
      <c r="L378" s="307">
        <f>Table3[[#This Row],[MTBL]]*6.5%/360</f>
        <v>7.9133834722222227</v>
      </c>
      <c r="N378" s="358"/>
    </row>
    <row r="379" spans="1:14" ht="22.9" customHeight="1" x14ac:dyDescent="0.25">
      <c r="A379" s="257"/>
      <c r="B379" s="253">
        <f t="shared" si="45"/>
        <v>45740</v>
      </c>
      <c r="C379" s="298">
        <v>22468.81</v>
      </c>
      <c r="D379" s="295">
        <f>'Bank Int.'!$C379*7.5%/360</f>
        <v>4.6810020833333335</v>
      </c>
      <c r="E379" s="254">
        <v>540.47</v>
      </c>
      <c r="F379" s="303">
        <f>Table3[[#This Row],[Mid 146]]*4.5%/360</f>
        <v>6.7558750000000001E-2</v>
      </c>
      <c r="G379" s="305">
        <v>1204991.1299999999</v>
      </c>
      <c r="H379" s="303">
        <f>'Bank Int.'!$G379*4.5%/360</f>
        <v>150.62389124999999</v>
      </c>
      <c r="I379" s="254">
        <v>40727.120000000003</v>
      </c>
      <c r="J379" s="307">
        <f>'Bank Int.'!$I379*6.5%/360</f>
        <v>7.3535077777777786</v>
      </c>
      <c r="K379" s="337">
        <v>43827.97</v>
      </c>
      <c r="L379" s="307">
        <f>Table3[[#This Row],[MTBL]]*6.5%/360</f>
        <v>7.9133834722222227</v>
      </c>
      <c r="N379" s="358"/>
    </row>
    <row r="380" spans="1:14" ht="22.9" customHeight="1" x14ac:dyDescent="0.25">
      <c r="A380" s="257"/>
      <c r="B380" s="253">
        <f t="shared" si="45"/>
        <v>45739</v>
      </c>
      <c r="C380" s="298">
        <v>1033642.74</v>
      </c>
      <c r="D380" s="295">
        <f>'Bank Int.'!$C380*7.5%/360</f>
        <v>215.34223749999998</v>
      </c>
      <c r="E380" s="254">
        <v>540.47</v>
      </c>
      <c r="F380" s="303">
        <f>Table3[[#This Row],[Mid 146]]*4.5%/360</f>
        <v>6.7558750000000001E-2</v>
      </c>
      <c r="G380" s="305">
        <v>1204991.1299999999</v>
      </c>
      <c r="H380" s="303">
        <f>'Bank Int.'!$G380*4.5%/360</f>
        <v>150.62389124999999</v>
      </c>
      <c r="I380" s="254">
        <v>40727.120000000003</v>
      </c>
      <c r="J380" s="307">
        <f>'Bank Int.'!$I380*6.5%/360</f>
        <v>7.3535077777777786</v>
      </c>
      <c r="K380" s="337">
        <v>43827.97</v>
      </c>
      <c r="L380" s="307">
        <f>Table3[[#This Row],[MTBL]]*6.5%/360</f>
        <v>7.9133834722222227</v>
      </c>
      <c r="N380" s="358"/>
    </row>
    <row r="381" spans="1:14" ht="22.9" customHeight="1" x14ac:dyDescent="0.25">
      <c r="A381" s="257"/>
      <c r="B381" s="253">
        <v>45738</v>
      </c>
      <c r="C381" s="298">
        <v>3772097.8</v>
      </c>
      <c r="D381" s="295">
        <f>'Bank Int.'!$C381*7.5%/360</f>
        <v>785.8537083333332</v>
      </c>
      <c r="E381" s="254">
        <v>2792540.47</v>
      </c>
      <c r="F381" s="303">
        <f>Table3[[#This Row],[Mid 146]]*4.5%/360</f>
        <v>349.06755874999999</v>
      </c>
      <c r="G381" s="305">
        <v>2051.13</v>
      </c>
      <c r="H381" s="303">
        <f>'Bank Int.'!$G381*4.5%/360</f>
        <v>0.25639125000000001</v>
      </c>
      <c r="I381" s="254">
        <v>40727.120000000003</v>
      </c>
      <c r="J381" s="307">
        <f>'Bank Int.'!$I381*6.5%/360</f>
        <v>7.3535077777777786</v>
      </c>
      <c r="K381" s="337">
        <v>43827.97</v>
      </c>
      <c r="L381" s="307">
        <f>Table3[[#This Row],[MTBL]]*6.5%/360</f>
        <v>7.9133834722222227</v>
      </c>
      <c r="N381" s="358"/>
    </row>
    <row r="382" spans="1:14" ht="22.9" customHeight="1" x14ac:dyDescent="0.25">
      <c r="A382" s="257"/>
      <c r="B382" s="253">
        <f t="shared" ref="B382:B387" si="46">B381-1</f>
        <v>45737</v>
      </c>
      <c r="C382" s="298">
        <v>3772097.8</v>
      </c>
      <c r="D382" s="295">
        <f>'Bank Int.'!$C382*7.5%/360</f>
        <v>785.8537083333332</v>
      </c>
      <c r="E382" s="254">
        <v>2792540.47</v>
      </c>
      <c r="F382" s="303">
        <f>Table3[[#This Row],[Mid 146]]*4.5%/360</f>
        <v>349.06755874999999</v>
      </c>
      <c r="G382" s="305">
        <v>2051.13</v>
      </c>
      <c r="H382" s="303">
        <f>'Bank Int.'!$G382*4.5%/360</f>
        <v>0.25639125000000001</v>
      </c>
      <c r="I382" s="254">
        <v>40727.120000000003</v>
      </c>
      <c r="J382" s="307">
        <f>'Bank Int.'!$I382*6.5%/360</f>
        <v>7.3535077777777786</v>
      </c>
      <c r="K382" s="337">
        <v>43827.97</v>
      </c>
      <c r="L382" s="307">
        <f>Table3[[#This Row],[MTBL]]*6.5%/360</f>
        <v>7.9133834722222227</v>
      </c>
      <c r="N382" s="358"/>
    </row>
    <row r="383" spans="1:14" ht="22.9" customHeight="1" x14ac:dyDescent="0.25">
      <c r="A383" s="257"/>
      <c r="B383" s="253">
        <f t="shared" si="46"/>
        <v>45736</v>
      </c>
      <c r="C383" s="298">
        <v>3772097.8</v>
      </c>
      <c r="D383" s="295">
        <f>'Bank Int.'!$C383*7.5%/360</f>
        <v>785.8537083333332</v>
      </c>
      <c r="E383" s="254">
        <v>2792540.47</v>
      </c>
      <c r="F383" s="303">
        <f>Table3[[#This Row],[Mid 146]]*4.5%/360</f>
        <v>349.06755874999999</v>
      </c>
      <c r="G383" s="305">
        <v>2051.13</v>
      </c>
      <c r="H383" s="303">
        <f>'Bank Int.'!$G383*4.5%/360</f>
        <v>0.25639125000000001</v>
      </c>
      <c r="I383" s="254">
        <v>40727.120000000003</v>
      </c>
      <c r="J383" s="307">
        <f>'Bank Int.'!$I383*6.5%/360</f>
        <v>7.3535077777777786</v>
      </c>
      <c r="K383" s="337">
        <v>43827.97</v>
      </c>
      <c r="L383" s="307">
        <f>Table3[[#This Row],[MTBL]]*6.5%/360</f>
        <v>7.9133834722222227</v>
      </c>
      <c r="N383" s="358"/>
    </row>
    <row r="384" spans="1:14" ht="22.9" customHeight="1" x14ac:dyDescent="0.25">
      <c r="A384" s="257"/>
      <c r="B384" s="253">
        <f t="shared" si="46"/>
        <v>45735</v>
      </c>
      <c r="C384" s="298">
        <v>5802906.5899999999</v>
      </c>
      <c r="D384" s="295">
        <f>'Bank Int.'!$C384*7.5%/360</f>
        <v>1208.9388729166667</v>
      </c>
      <c r="E384" s="254">
        <v>32792540.469999999</v>
      </c>
      <c r="F384" s="303">
        <f>Table3[[#This Row],[Mid 146]]*4.5%/360</f>
        <v>4099.06755875</v>
      </c>
      <c r="G384" s="305">
        <v>2051.13</v>
      </c>
      <c r="H384" s="303">
        <f>'Bank Int.'!$G384*4.5%/360</f>
        <v>0.25639125000000001</v>
      </c>
      <c r="I384" s="254">
        <v>40727.120000000003</v>
      </c>
      <c r="J384" s="307">
        <f>'Bank Int.'!$I384*6.5%/360</f>
        <v>7.3535077777777786</v>
      </c>
      <c r="K384" s="337">
        <v>43827.97</v>
      </c>
      <c r="L384" s="307">
        <f>Table3[[#This Row],[MTBL]]*6.5%/360</f>
        <v>7.9133834722222227</v>
      </c>
      <c r="N384" s="358"/>
    </row>
    <row r="385" spans="1:14" ht="22.9" customHeight="1" x14ac:dyDescent="0.25">
      <c r="A385" s="257"/>
      <c r="B385" s="253">
        <f t="shared" si="46"/>
        <v>45734</v>
      </c>
      <c r="C385" s="298">
        <v>5222376.59</v>
      </c>
      <c r="D385" s="295">
        <f>'Bank Int.'!$C385*7.5%/360</f>
        <v>1087.9951229166666</v>
      </c>
      <c r="E385" s="254">
        <v>1063952.56</v>
      </c>
      <c r="F385" s="303">
        <f>Table3[[#This Row],[Mid 146]]*4.5%/360</f>
        <v>132.99406999999999</v>
      </c>
      <c r="G385" s="305">
        <v>2051.13</v>
      </c>
      <c r="H385" s="303">
        <f>'Bank Int.'!$G385*4.5%/360</f>
        <v>0.25639125000000001</v>
      </c>
      <c r="I385" s="254">
        <v>40727.120000000003</v>
      </c>
      <c r="J385" s="307">
        <f>'Bank Int.'!$I385*6.5%/360</f>
        <v>7.3535077777777786</v>
      </c>
      <c r="K385" s="337">
        <v>43827.97</v>
      </c>
      <c r="L385" s="307">
        <f>Table3[[#This Row],[MTBL]]*6.5%/360</f>
        <v>7.9133834722222227</v>
      </c>
      <c r="N385" s="358"/>
    </row>
    <row r="386" spans="1:14" ht="22.9" customHeight="1" x14ac:dyDescent="0.25">
      <c r="A386" s="257"/>
      <c r="B386" s="253">
        <f t="shared" si="46"/>
        <v>45733</v>
      </c>
      <c r="C386" s="298">
        <v>3722376.59</v>
      </c>
      <c r="D386" s="295">
        <f>'Bank Int.'!$C386*7.5%/360</f>
        <v>775.49512291666667</v>
      </c>
      <c r="E386" s="254">
        <v>603127.29</v>
      </c>
      <c r="F386" s="303">
        <f>Table3[[#This Row],[Mid 146]]*4.5%/360</f>
        <v>75.390911250000002</v>
      </c>
      <c r="G386" s="305">
        <v>902051.13</v>
      </c>
      <c r="H386" s="303">
        <f>'Bank Int.'!$G386*4.5%/360</f>
        <v>112.75639124999999</v>
      </c>
      <c r="I386" s="254">
        <v>40727.120000000003</v>
      </c>
      <c r="J386" s="307">
        <f>'Bank Int.'!$I386*6.5%/360</f>
        <v>7.3535077777777786</v>
      </c>
      <c r="K386" s="337">
        <v>43827.97</v>
      </c>
      <c r="L386" s="307">
        <f>Table3[[#This Row],[MTBL]]*6.5%/360</f>
        <v>7.9133834722222227</v>
      </c>
      <c r="N386" s="358"/>
    </row>
    <row r="387" spans="1:14" ht="22.9" customHeight="1" x14ac:dyDescent="0.25">
      <c r="A387" s="257"/>
      <c r="B387" s="253">
        <f t="shared" si="46"/>
        <v>45732</v>
      </c>
      <c r="C387" s="298">
        <v>4734296.59</v>
      </c>
      <c r="D387" s="295">
        <f>'Bank Int.'!$C387*7.5%/360</f>
        <v>986.31178958333328</v>
      </c>
      <c r="E387" s="254">
        <v>603127.29</v>
      </c>
      <c r="F387" s="303">
        <f>Table3[[#This Row],[Mid 146]]*4.5%/360</f>
        <v>75.390911250000002</v>
      </c>
      <c r="G387" s="305">
        <v>602026.85</v>
      </c>
      <c r="H387" s="303">
        <f>'Bank Int.'!$G387*4.5%/360</f>
        <v>75.253356249999996</v>
      </c>
      <c r="I387" s="254">
        <v>40727.120000000003</v>
      </c>
      <c r="J387" s="307">
        <f>'Bank Int.'!$I387*6.5%/360</f>
        <v>7.3535077777777786</v>
      </c>
      <c r="K387" s="337">
        <v>43827.97</v>
      </c>
      <c r="L387" s="307">
        <f>Table3[[#This Row],[MTBL]]*6.5%/360</f>
        <v>7.9133834722222227</v>
      </c>
      <c r="N387" s="358"/>
    </row>
    <row r="388" spans="1:14" ht="22.5" customHeight="1" x14ac:dyDescent="0.25">
      <c r="A388" s="257"/>
      <c r="B388" s="253">
        <v>45731</v>
      </c>
      <c r="C388" s="298">
        <v>2794416.59</v>
      </c>
      <c r="D388" s="295">
        <f>'Bank Int.'!$C388*7.5%/360</f>
        <v>582.17012291666663</v>
      </c>
      <c r="E388" s="254">
        <v>617999.35</v>
      </c>
      <c r="F388" s="303">
        <f>Table3[[#This Row],[Mid 146]]*4.5%/360</f>
        <v>77.249918749999992</v>
      </c>
      <c r="G388" s="305">
        <v>503026.85</v>
      </c>
      <c r="H388" s="303">
        <f>'Bank Int.'!$G388*4.5%/360</f>
        <v>62.878356249999996</v>
      </c>
      <c r="I388" s="254">
        <v>40727.120000000003</v>
      </c>
      <c r="J388" s="307">
        <f>'Bank Int.'!$I388*6.5%/360</f>
        <v>7.3535077777777786</v>
      </c>
      <c r="K388" s="337">
        <v>43827.97</v>
      </c>
      <c r="L388" s="307">
        <f>Table3[[#This Row],[MTBL]]*6.5%/360</f>
        <v>7.9133834722222227</v>
      </c>
      <c r="N388" s="358"/>
    </row>
    <row r="389" spans="1:14" ht="22.9" customHeight="1" x14ac:dyDescent="0.25">
      <c r="A389" s="257"/>
      <c r="B389" s="253">
        <f>B388-1</f>
        <v>45730</v>
      </c>
      <c r="C389" s="298">
        <v>2794416.59</v>
      </c>
      <c r="D389" s="295">
        <f>'Bank Int.'!$C389*7.5%/360</f>
        <v>582.17012291666663</v>
      </c>
      <c r="E389" s="254">
        <v>617999.35</v>
      </c>
      <c r="F389" s="303">
        <f>Table3[[#This Row],[Mid 146]]*4.5%/360</f>
        <v>77.249918749999992</v>
      </c>
      <c r="G389" s="305">
        <v>498026.85</v>
      </c>
      <c r="H389" s="303">
        <f>'Bank Int.'!$G389*4.5%/360</f>
        <v>62.253356249999996</v>
      </c>
      <c r="I389" s="254">
        <v>40727.120000000003</v>
      </c>
      <c r="J389" s="307">
        <f>'Bank Int.'!$I389*6.5%/360</f>
        <v>7.3535077777777786</v>
      </c>
      <c r="K389" s="337">
        <v>43827.97</v>
      </c>
      <c r="L389" s="307">
        <f>Table3[[#This Row],[MTBL]]*6.5%/360</f>
        <v>7.9133834722222227</v>
      </c>
      <c r="N389" s="358"/>
    </row>
    <row r="390" spans="1:14" ht="22.9" customHeight="1" x14ac:dyDescent="0.25">
      <c r="A390" s="257"/>
      <c r="B390" s="253">
        <f t="shared" ref="B390:B394" si="47">B389-1</f>
        <v>45729</v>
      </c>
      <c r="C390" s="298">
        <v>2794416.59</v>
      </c>
      <c r="D390" s="295">
        <f>'Bank Int.'!$C390*7.5%/360</f>
        <v>582.17012291666663</v>
      </c>
      <c r="E390" s="254">
        <v>617999.35</v>
      </c>
      <c r="F390" s="303">
        <f>Table3[[#This Row],[Mid 146]]*4.5%/360</f>
        <v>77.249918749999992</v>
      </c>
      <c r="G390" s="305">
        <v>498026.85</v>
      </c>
      <c r="H390" s="303">
        <f>'Bank Int.'!$G390*4.5%/360</f>
        <v>62.253356249999996</v>
      </c>
      <c r="I390" s="254">
        <v>40727.120000000003</v>
      </c>
      <c r="J390" s="307">
        <f>'Bank Int.'!$I390*6.5%/360</f>
        <v>7.3535077777777786</v>
      </c>
      <c r="K390" s="337">
        <v>43827.97</v>
      </c>
      <c r="L390" s="307">
        <f>Table3[[#This Row],[MTBL]]*6.5%/360</f>
        <v>7.9133834722222227</v>
      </c>
      <c r="N390" s="358"/>
    </row>
    <row r="391" spans="1:14" ht="22.9" customHeight="1" x14ac:dyDescent="0.25">
      <c r="A391" s="257"/>
      <c r="B391" s="253">
        <f t="shared" si="47"/>
        <v>45728</v>
      </c>
      <c r="C391" s="298">
        <v>2970278.06</v>
      </c>
      <c r="D391" s="295">
        <f>'Bank Int.'!$C391*7.5%/360</f>
        <v>618.80792916666667</v>
      </c>
      <c r="E391" s="254">
        <v>617999.35</v>
      </c>
      <c r="F391" s="303">
        <f>Table3[[#This Row],[Mid 146]]*4.5%/360</f>
        <v>77.249918749999992</v>
      </c>
      <c r="G391" s="305">
        <v>498026.85</v>
      </c>
      <c r="H391" s="303">
        <f>'Bank Int.'!$G391*4.5%/360</f>
        <v>62.253356249999996</v>
      </c>
      <c r="I391" s="254">
        <v>40727.120000000003</v>
      </c>
      <c r="J391" s="307">
        <f>'Bank Int.'!$I391*6.5%/360</f>
        <v>7.3535077777777786</v>
      </c>
      <c r="K391" s="337">
        <v>43827.97</v>
      </c>
      <c r="L391" s="307">
        <f>Table3[[#This Row],[MTBL]]*6.5%/360</f>
        <v>7.9133834722222227</v>
      </c>
      <c r="N391" s="358"/>
    </row>
    <row r="392" spans="1:14" ht="22.9" customHeight="1" x14ac:dyDescent="0.25">
      <c r="A392" s="257"/>
      <c r="B392" s="253">
        <f t="shared" si="47"/>
        <v>45727</v>
      </c>
      <c r="C392" s="298">
        <v>2975278.06</v>
      </c>
      <c r="D392" s="295">
        <f>'Bank Int.'!$C392*7.5%/360</f>
        <v>619.8495958333333</v>
      </c>
      <c r="E392" s="254">
        <v>404499.35</v>
      </c>
      <c r="F392" s="303">
        <f>Table3[[#This Row],[Mid 146]]*4.5%/360</f>
        <v>50.562418749999992</v>
      </c>
      <c r="G392" s="305">
        <v>498026.85</v>
      </c>
      <c r="H392" s="303">
        <f>'Bank Int.'!$G392*4.5%/360</f>
        <v>62.253356249999996</v>
      </c>
      <c r="I392" s="254">
        <v>40727.120000000003</v>
      </c>
      <c r="J392" s="307">
        <f>'Bank Int.'!$I392*6.5%/360</f>
        <v>7.3535077777777786</v>
      </c>
      <c r="K392" s="337">
        <v>43827.97</v>
      </c>
      <c r="L392" s="307">
        <f>Table3[[#This Row],[MTBL]]*6.5%/360</f>
        <v>7.9133834722222227</v>
      </c>
      <c r="N392" s="358"/>
    </row>
    <row r="393" spans="1:14" ht="22.9" customHeight="1" x14ac:dyDescent="0.25">
      <c r="A393" s="257"/>
      <c r="B393" s="253">
        <f t="shared" si="47"/>
        <v>45726</v>
      </c>
      <c r="C393" s="298">
        <v>3670720.43</v>
      </c>
      <c r="D393" s="295">
        <f>'Bank Int.'!$C393*7.5%/360</f>
        <v>764.73342291666665</v>
      </c>
      <c r="E393" s="254">
        <v>312999.34999999998</v>
      </c>
      <c r="F393" s="303">
        <f>Table3[[#This Row],[Mid 146]]*4.5%/360</f>
        <v>39.124918749999999</v>
      </c>
      <c r="G393" s="305">
        <v>498026.85</v>
      </c>
      <c r="H393" s="303">
        <f>'Bank Int.'!$G393*4.5%/360</f>
        <v>62.253356249999996</v>
      </c>
      <c r="I393" s="254">
        <v>40727.120000000003</v>
      </c>
      <c r="J393" s="307">
        <f>'Bank Int.'!$I393*6.5%/360</f>
        <v>7.3535077777777786</v>
      </c>
      <c r="K393" s="337">
        <v>43827.97</v>
      </c>
      <c r="L393" s="307">
        <f>Table3[[#This Row],[MTBL]]*6.5%/360</f>
        <v>7.9133834722222227</v>
      </c>
      <c r="N393" s="358"/>
    </row>
    <row r="394" spans="1:14" ht="22.9" customHeight="1" x14ac:dyDescent="0.25">
      <c r="A394" s="257"/>
      <c r="B394" s="253">
        <f t="shared" si="47"/>
        <v>45725</v>
      </c>
      <c r="C394" s="298">
        <v>3670720.43</v>
      </c>
      <c r="D394" s="295">
        <f>'Bank Int.'!$C394*7.5%/360</f>
        <v>764.73342291666665</v>
      </c>
      <c r="E394" s="254">
        <v>352634.51</v>
      </c>
      <c r="F394" s="303">
        <f>Table3[[#This Row],[Mid 146]]*4.5%/360</f>
        <v>44.079313749999997</v>
      </c>
      <c r="G394" s="305">
        <v>498026.85</v>
      </c>
      <c r="H394" s="303">
        <f>'Bank Int.'!$G394*4.5%/360</f>
        <v>62.253356249999996</v>
      </c>
      <c r="I394" s="254">
        <v>40727.120000000003</v>
      </c>
      <c r="J394" s="307">
        <f>'Bank Int.'!$I394*6.5%/360</f>
        <v>7.3535077777777786</v>
      </c>
      <c r="K394" s="337">
        <v>43827.97</v>
      </c>
      <c r="L394" s="307">
        <f>Table3[[#This Row],[MTBL]]*6.5%/360</f>
        <v>7.9133834722222227</v>
      </c>
      <c r="N394" s="358"/>
    </row>
    <row r="395" spans="1:14" ht="22.9" customHeight="1" x14ac:dyDescent="0.25">
      <c r="A395" s="257"/>
      <c r="B395" s="253">
        <v>45724</v>
      </c>
      <c r="C395" s="298">
        <v>4526900.43</v>
      </c>
      <c r="D395" s="295">
        <f>'Bank Int.'!$C395*7.5%/360</f>
        <v>943.10425624999993</v>
      </c>
      <c r="E395" s="254">
        <v>126665.98</v>
      </c>
      <c r="F395" s="303">
        <f>Table3[[#This Row],[Mid 146]]*4.5%/360</f>
        <v>15.833247499999999</v>
      </c>
      <c r="G395" s="305">
        <v>498026.85</v>
      </c>
      <c r="H395" s="303">
        <f>'Bank Int.'!$G395*4.5%/360</f>
        <v>62.253356249999996</v>
      </c>
      <c r="I395" s="254">
        <v>40727.120000000003</v>
      </c>
      <c r="J395" s="307">
        <f>'Bank Int.'!$I395*6.5%/360</f>
        <v>7.3535077777777786</v>
      </c>
      <c r="K395" s="337">
        <v>43827.97</v>
      </c>
      <c r="L395" s="307">
        <f>Table3[[#This Row],[MTBL]]*6.5%/360</f>
        <v>7.9133834722222227</v>
      </c>
      <c r="N395" s="358"/>
    </row>
    <row r="396" spans="1:14" ht="22.9" customHeight="1" x14ac:dyDescent="0.25">
      <c r="A396" s="257"/>
      <c r="B396" s="253">
        <f>B395-1</f>
        <v>45723</v>
      </c>
      <c r="C396" s="298">
        <v>4526900.43</v>
      </c>
      <c r="D396" s="295">
        <f>'Bank Int.'!$C396*7.5%/360</f>
        <v>943.10425624999993</v>
      </c>
      <c r="E396" s="254">
        <v>126665.98</v>
      </c>
      <c r="F396" s="303">
        <f>Table3[[#This Row],[Mid 146]]*4.5%/360</f>
        <v>15.833247499999999</v>
      </c>
      <c r="G396" s="305">
        <v>498026.85</v>
      </c>
      <c r="H396" s="303">
        <f>'Bank Int.'!$G396*4.5%/360</f>
        <v>62.253356249999996</v>
      </c>
      <c r="I396" s="254">
        <v>40727.120000000003</v>
      </c>
      <c r="J396" s="307">
        <f>'Bank Int.'!$I396*6.5%/360</f>
        <v>7.3535077777777786</v>
      </c>
      <c r="K396" s="337">
        <v>43827.97</v>
      </c>
      <c r="L396" s="307">
        <f>Table3[[#This Row],[MTBL]]*6.5%/360</f>
        <v>7.9133834722222227</v>
      </c>
      <c r="N396" s="358"/>
    </row>
    <row r="397" spans="1:14" ht="22.9" customHeight="1" x14ac:dyDescent="0.25">
      <c r="A397" s="257"/>
      <c r="B397" s="253">
        <f t="shared" ref="B397:B401" si="48">B396-1</f>
        <v>45722</v>
      </c>
      <c r="C397" s="298">
        <v>4526900.43</v>
      </c>
      <c r="D397" s="295">
        <f>'Bank Int.'!$C397*7.5%/360</f>
        <v>943.10425624999993</v>
      </c>
      <c r="E397" s="254">
        <v>126665.98</v>
      </c>
      <c r="F397" s="303">
        <f>Table3[[#This Row],[Mid 146]]*4.5%/360</f>
        <v>15.833247499999999</v>
      </c>
      <c r="G397" s="305">
        <v>498026.85</v>
      </c>
      <c r="H397" s="303">
        <f>'Bank Int.'!$G397*4.5%/360</f>
        <v>62.253356249999996</v>
      </c>
      <c r="I397" s="254">
        <v>40727.120000000003</v>
      </c>
      <c r="J397" s="307">
        <f>'Bank Int.'!$I397*6.5%/360</f>
        <v>7.3535077777777786</v>
      </c>
      <c r="K397" s="337">
        <v>43827.97</v>
      </c>
      <c r="L397" s="307">
        <f>Table3[[#This Row],[MTBL]]*6.5%/360</f>
        <v>7.9133834722222227</v>
      </c>
      <c r="N397" s="358"/>
    </row>
    <row r="398" spans="1:14" ht="22.9" customHeight="1" x14ac:dyDescent="0.25">
      <c r="A398" s="257"/>
      <c r="B398" s="253">
        <f t="shared" si="48"/>
        <v>45721</v>
      </c>
      <c r="C398" s="298">
        <v>1311456.03</v>
      </c>
      <c r="D398" s="295">
        <f>'Bank Int.'!$C398*7.5%/360</f>
        <v>273.22000624999998</v>
      </c>
      <c r="E398" s="254">
        <v>126665.98</v>
      </c>
      <c r="F398" s="303">
        <f>Table3[[#This Row],[Mid 146]]*4.5%/360</f>
        <v>15.833247499999999</v>
      </c>
      <c r="G398" s="305">
        <v>1798026.85</v>
      </c>
      <c r="H398" s="303">
        <f>'Bank Int.'!$G398*4.5%/360</f>
        <v>224.75335625</v>
      </c>
      <c r="I398" s="254">
        <v>40727.120000000003</v>
      </c>
      <c r="J398" s="307">
        <f>'Bank Int.'!$I398*6.5%/360</f>
        <v>7.3535077777777786</v>
      </c>
      <c r="K398" s="337">
        <v>43827.97</v>
      </c>
      <c r="L398" s="307">
        <f>Table3[[#This Row],[MTBL]]*6.5%/360</f>
        <v>7.9133834722222227</v>
      </c>
      <c r="N398" s="358"/>
    </row>
    <row r="399" spans="1:14" ht="22.9" customHeight="1" x14ac:dyDescent="0.25">
      <c r="A399" s="257"/>
      <c r="B399" s="253">
        <f t="shared" si="48"/>
        <v>45720</v>
      </c>
      <c r="C399" s="298">
        <v>4904834.93</v>
      </c>
      <c r="D399" s="295">
        <f>'Bank Int.'!$C399*7.5%/360</f>
        <v>1021.8406104166666</v>
      </c>
      <c r="E399" s="254">
        <v>2117109.3199999998</v>
      </c>
      <c r="F399" s="303">
        <f>Table3[[#This Row],[Mid 146]]*4.5%/360</f>
        <v>264.63866499999995</v>
      </c>
      <c r="G399" s="305">
        <v>684596.85</v>
      </c>
      <c r="H399" s="303">
        <f>'Bank Int.'!$G399*4.5%/360</f>
        <v>85.574606249999988</v>
      </c>
      <c r="I399" s="254">
        <v>40727.120000000003</v>
      </c>
      <c r="J399" s="307">
        <f>'Bank Int.'!$I399*6.5%/360</f>
        <v>7.3535077777777786</v>
      </c>
      <c r="K399" s="337">
        <v>43827.97</v>
      </c>
      <c r="L399" s="307">
        <f>Table3[[#This Row],[MTBL]]*6.5%/360</f>
        <v>7.9133834722222227</v>
      </c>
      <c r="N399" s="358"/>
    </row>
    <row r="400" spans="1:14" ht="22.9" customHeight="1" x14ac:dyDescent="0.25">
      <c r="A400" s="257"/>
      <c r="B400" s="253">
        <f t="shared" si="48"/>
        <v>45719</v>
      </c>
      <c r="C400" s="298">
        <v>16738620.23</v>
      </c>
      <c r="D400" s="295">
        <f>'Bank Int.'!$C400*7.5%/360</f>
        <v>3487.2125479166666</v>
      </c>
      <c r="E400" s="254">
        <v>198736.49</v>
      </c>
      <c r="F400" s="303">
        <f>Table3[[#This Row],[Mid 146]]*4.5%/360</f>
        <v>24.842061249999997</v>
      </c>
      <c r="G400" s="305">
        <v>684596.85</v>
      </c>
      <c r="H400" s="303">
        <f>'Bank Int.'!$G400*4.5%/360</f>
        <v>85.574606249999988</v>
      </c>
      <c r="I400" s="254">
        <v>40727.120000000003</v>
      </c>
      <c r="J400" s="307">
        <f>'Bank Int.'!$I400*6.5%/360</f>
        <v>7.3535077777777786</v>
      </c>
      <c r="K400" s="337">
        <v>43827.97</v>
      </c>
      <c r="L400" s="307">
        <f>Table3[[#This Row],[MTBL]]*6.5%/360</f>
        <v>7.9133834722222227</v>
      </c>
      <c r="N400" s="358"/>
    </row>
    <row r="401" spans="1:14" ht="22.9" customHeight="1" x14ac:dyDescent="0.25">
      <c r="A401" s="257"/>
      <c r="B401" s="253">
        <f t="shared" si="48"/>
        <v>45718</v>
      </c>
      <c r="C401" s="298">
        <v>16738620.23</v>
      </c>
      <c r="D401" s="295">
        <f>'Bank Int.'!$C401*7.5%/360</f>
        <v>3487.2125479166666</v>
      </c>
      <c r="E401" s="254">
        <v>198736.49</v>
      </c>
      <c r="F401" s="303">
        <f>Table3[[#This Row],[Mid 146]]*4.5%/360</f>
        <v>24.842061249999997</v>
      </c>
      <c r="G401" s="305">
        <v>684596.85</v>
      </c>
      <c r="H401" s="303">
        <f>'Bank Int.'!$G401*4.5%/360</f>
        <v>85.574606249999988</v>
      </c>
      <c r="I401" s="254">
        <v>40727.120000000003</v>
      </c>
      <c r="J401" s="307">
        <f>'Bank Int.'!$I401*6.5%/360</f>
        <v>7.3535077777777786</v>
      </c>
      <c r="K401" s="337">
        <v>43827.97</v>
      </c>
      <c r="L401" s="307">
        <f>Table3[[#This Row],[MTBL]]*6.5%/360</f>
        <v>7.9133834722222227</v>
      </c>
      <c r="N401" s="358"/>
    </row>
    <row r="402" spans="1:14" ht="22.9" customHeight="1" x14ac:dyDescent="0.25">
      <c r="A402" s="257"/>
      <c r="B402" s="253">
        <v>45717</v>
      </c>
      <c r="C402" s="298">
        <v>12501540.23</v>
      </c>
      <c r="D402" s="295">
        <f>'Bank Int.'!$C402*7.5%/360</f>
        <v>2604.4875479166667</v>
      </c>
      <c r="E402" s="254">
        <v>10001540.23</v>
      </c>
      <c r="F402" s="303">
        <f>Table3[[#This Row],[Mid 146]]*4.5%/360</f>
        <v>1250.1925287500001</v>
      </c>
      <c r="G402" s="305">
        <v>684596.85</v>
      </c>
      <c r="H402" s="303">
        <f>'Bank Int.'!$G402*4.5%/360</f>
        <v>85.574606249999988</v>
      </c>
      <c r="I402" s="254">
        <v>40727.120000000003</v>
      </c>
      <c r="J402" s="307">
        <f>'Bank Int.'!$I402*6.5%/360</f>
        <v>7.3535077777777786</v>
      </c>
      <c r="K402" s="337">
        <v>43827.97</v>
      </c>
      <c r="L402" s="307">
        <f>Table3[[#This Row],[MTBL]]*6.5%/360</f>
        <v>7.9133834722222227</v>
      </c>
      <c r="N402" s="358"/>
    </row>
    <row r="403" spans="1:14" ht="22.9" customHeight="1" x14ac:dyDescent="0.25">
      <c r="A403" s="257"/>
      <c r="B403" s="253">
        <f>B402-1</f>
        <v>45716</v>
      </c>
      <c r="C403" s="298">
        <v>12501540.23</v>
      </c>
      <c r="D403" s="295">
        <f>'Bank Int.'!$C403*7.5%/360</f>
        <v>2604.4875479166667</v>
      </c>
      <c r="E403" s="254">
        <v>10001540.23</v>
      </c>
      <c r="F403" s="303">
        <f>Table3[[#This Row],[Mid 146]]*4.5%/360</f>
        <v>1250.1925287500001</v>
      </c>
      <c r="G403" s="305">
        <v>684596.85</v>
      </c>
      <c r="H403" s="303">
        <f>'Bank Int.'!$G403*4.5%/360</f>
        <v>85.574606249999988</v>
      </c>
      <c r="I403" s="254">
        <v>40727.120000000003</v>
      </c>
      <c r="J403" s="307">
        <f>'Bank Int.'!$I403*6.5%/360</f>
        <v>7.3535077777777786</v>
      </c>
      <c r="K403" s="337">
        <v>43827.97</v>
      </c>
      <c r="L403" s="307">
        <f>Table3[[#This Row],[MTBL]]*6.5%/360</f>
        <v>7.9133834722222227</v>
      </c>
      <c r="N403" s="358"/>
    </row>
    <row r="404" spans="1:14" ht="22.9" customHeight="1" x14ac:dyDescent="0.25">
      <c r="A404" s="257"/>
      <c r="B404" s="253">
        <f t="shared" ref="B404:B408" si="49">B403-1</f>
        <v>45715</v>
      </c>
      <c r="C404" s="298">
        <v>12501540.23</v>
      </c>
      <c r="D404" s="295">
        <f>'Bank Int.'!$C404*7.5%/360</f>
        <v>2604.4875479166667</v>
      </c>
      <c r="E404" s="254">
        <v>10001540.23</v>
      </c>
      <c r="F404" s="303">
        <f>Table3[[#This Row],[Mid 146]]*4.5%/360</f>
        <v>1250.1925287500001</v>
      </c>
      <c r="G404" s="305">
        <v>684596.85</v>
      </c>
      <c r="H404" s="303">
        <f>'Bank Int.'!$G404*4.5%/360</f>
        <v>85.574606249999988</v>
      </c>
      <c r="I404" s="254">
        <v>40727.120000000003</v>
      </c>
      <c r="J404" s="307">
        <f>'Bank Int.'!$I404*6.5%/360</f>
        <v>7.3535077777777786</v>
      </c>
      <c r="K404" s="337">
        <v>43827.97</v>
      </c>
      <c r="L404" s="307">
        <f>Table3[[#This Row],[MTBL]]*6.5%/360</f>
        <v>7.9133834722222227</v>
      </c>
      <c r="N404" s="358"/>
    </row>
    <row r="405" spans="1:14" ht="22.9" customHeight="1" x14ac:dyDescent="0.25">
      <c r="A405" s="257"/>
      <c r="B405" s="253">
        <f t="shared" si="49"/>
        <v>45714</v>
      </c>
      <c r="C405" s="298">
        <v>10001540.23</v>
      </c>
      <c r="D405" s="295">
        <f>'Bank Int.'!$C405*7.5%/360</f>
        <v>2083.6542145833332</v>
      </c>
      <c r="E405" s="254">
        <v>10001540.23</v>
      </c>
      <c r="F405" s="303">
        <f>Table3[[#This Row],[Mid 146]]*4.5%/360</f>
        <v>1250.1925287500001</v>
      </c>
      <c r="G405" s="305">
        <v>684596.85</v>
      </c>
      <c r="H405" s="303">
        <f>'Bank Int.'!$G405*4.5%/360</f>
        <v>85.574606249999988</v>
      </c>
      <c r="I405" s="254">
        <v>40727.120000000003</v>
      </c>
      <c r="J405" s="307">
        <f>'Bank Int.'!$I405*6.5%/360</f>
        <v>7.3535077777777786</v>
      </c>
      <c r="K405" s="337">
        <v>43827.97</v>
      </c>
      <c r="L405" s="307">
        <f>Table3[[#This Row],[MTBL]]*6.5%/360</f>
        <v>7.9133834722222227</v>
      </c>
      <c r="N405" s="358"/>
    </row>
    <row r="406" spans="1:14" ht="22.9" customHeight="1" x14ac:dyDescent="0.25">
      <c r="A406" s="257"/>
      <c r="B406" s="253">
        <f t="shared" si="49"/>
        <v>45713</v>
      </c>
      <c r="C406" s="298">
        <v>11114690.23</v>
      </c>
      <c r="D406" s="295">
        <f>'Bank Int.'!$C406*7.5%/360</f>
        <v>2315.5604645833332</v>
      </c>
      <c r="E406" s="254">
        <v>11114690.23</v>
      </c>
      <c r="F406" s="303">
        <f>Table3[[#This Row],[Mid 146]]*4.5%/360</f>
        <v>1389.33627875</v>
      </c>
      <c r="G406" s="305">
        <v>318056.84999999998</v>
      </c>
      <c r="H406" s="303">
        <f>'Bank Int.'!$G406*4.5%/360</f>
        <v>39.757106249999993</v>
      </c>
      <c r="I406" s="254">
        <v>40727.120000000003</v>
      </c>
      <c r="J406" s="307">
        <f>'Bank Int.'!$I406*6.5%/360</f>
        <v>7.3535077777777786</v>
      </c>
      <c r="K406" s="337">
        <v>43827.97</v>
      </c>
      <c r="L406" s="307">
        <f>Table3[[#This Row],[MTBL]]*6.5%/360</f>
        <v>7.9133834722222227</v>
      </c>
      <c r="N406" s="358"/>
    </row>
    <row r="407" spans="1:14" ht="22.9" customHeight="1" x14ac:dyDescent="0.25">
      <c r="A407" s="257"/>
      <c r="B407" s="253">
        <f t="shared" si="49"/>
        <v>45712</v>
      </c>
      <c r="C407" s="298">
        <v>11204791.58</v>
      </c>
      <c r="D407" s="295">
        <f>'Bank Int.'!$C407*7.5%/360</f>
        <v>2334.3315791666664</v>
      </c>
      <c r="E407" s="254">
        <v>11204791.58</v>
      </c>
      <c r="F407" s="303">
        <f>Table3[[#This Row],[Mid 146]]*4.5%/360</f>
        <v>1400.5989474999999</v>
      </c>
      <c r="G407" s="305">
        <v>318056.84999999998</v>
      </c>
      <c r="H407" s="303">
        <f>'Bank Int.'!$G407*4.5%/360</f>
        <v>39.757106249999993</v>
      </c>
      <c r="I407" s="254">
        <v>40727.120000000003</v>
      </c>
      <c r="J407" s="307">
        <f>'Bank Int.'!$I407*6.5%/360</f>
        <v>7.3535077777777786</v>
      </c>
      <c r="K407" s="337">
        <v>43827.97</v>
      </c>
      <c r="L407" s="307">
        <f>Table3[[#This Row],[MTBL]]*6.5%/360</f>
        <v>7.9133834722222227</v>
      </c>
      <c r="N407" s="358"/>
    </row>
    <row r="408" spans="1:14" ht="22.9" customHeight="1" x14ac:dyDescent="0.25">
      <c r="A408" s="257"/>
      <c r="B408" s="253">
        <f t="shared" si="49"/>
        <v>45711</v>
      </c>
      <c r="C408" s="298">
        <v>11204791.58</v>
      </c>
      <c r="D408" s="295">
        <f>'Bank Int.'!$C408*7.5%/360</f>
        <v>2334.3315791666664</v>
      </c>
      <c r="E408" s="254">
        <v>11204791.58</v>
      </c>
      <c r="F408" s="303">
        <f>Table3[[#This Row],[Mid 146]]*4.5%/360</f>
        <v>1400.5989474999999</v>
      </c>
      <c r="G408" s="305">
        <v>318056.84999999998</v>
      </c>
      <c r="H408" s="303">
        <f>'Bank Int.'!$G408*4.5%/360</f>
        <v>39.757106249999993</v>
      </c>
      <c r="I408" s="254">
        <v>40727.120000000003</v>
      </c>
      <c r="J408" s="307">
        <f>'Bank Int.'!$I408*6.5%/360</f>
        <v>7.3535077777777786</v>
      </c>
      <c r="K408" s="337">
        <v>43827.97</v>
      </c>
      <c r="L408" s="307">
        <f>Table3[[#This Row],[MTBL]]*6.5%/360</f>
        <v>7.9133834722222227</v>
      </c>
      <c r="N408" s="358"/>
    </row>
    <row r="409" spans="1:14" ht="22.9" customHeight="1" x14ac:dyDescent="0.25">
      <c r="A409" s="257"/>
      <c r="B409" s="253">
        <v>45710</v>
      </c>
      <c r="C409" s="298">
        <v>14550868.25</v>
      </c>
      <c r="D409" s="295">
        <f>'Bank Int.'!$C409*7.5%/360</f>
        <v>3031.4308854166666</v>
      </c>
      <c r="E409" s="254">
        <v>3898710.75</v>
      </c>
      <c r="F409" s="303">
        <f>Table3[[#This Row],[Mid 146]]*4.5%/360</f>
        <v>487.33884374999997</v>
      </c>
      <c r="G409" s="305">
        <v>318056.84999999998</v>
      </c>
      <c r="H409" s="303">
        <f>'Bank Int.'!$G409*4.5%/360</f>
        <v>39.757106249999993</v>
      </c>
      <c r="I409" s="254">
        <v>40727.120000000003</v>
      </c>
      <c r="J409" s="307">
        <f>'Bank Int.'!$I409*6.5%/360</f>
        <v>7.3535077777777786</v>
      </c>
      <c r="K409" s="337">
        <v>43827.97</v>
      </c>
      <c r="L409" s="307">
        <f>Table3[[#This Row],[MTBL]]*6.5%/360</f>
        <v>7.9133834722222227</v>
      </c>
      <c r="N409" s="358"/>
    </row>
    <row r="410" spans="1:14" ht="22.9" customHeight="1" x14ac:dyDescent="0.25">
      <c r="A410" s="257"/>
      <c r="B410" s="253">
        <v>45709</v>
      </c>
      <c r="C410" s="298">
        <v>14550868.25</v>
      </c>
      <c r="D410" s="295">
        <f>'Bank Int.'!$C410*7.5%/360</f>
        <v>3031.4308854166666</v>
      </c>
      <c r="E410" s="254">
        <v>3898710.75</v>
      </c>
      <c r="F410" s="303">
        <f>Table3[[#This Row],[Mid 146]]*4.5%/360</f>
        <v>487.33884374999997</v>
      </c>
      <c r="G410" s="305">
        <v>318056.84999999998</v>
      </c>
      <c r="H410" s="303">
        <f>'Bank Int.'!$G410*4.5%/360</f>
        <v>39.757106249999993</v>
      </c>
      <c r="I410" s="254">
        <v>40727.120000000003</v>
      </c>
      <c r="J410" s="307">
        <f>'Bank Int.'!$I410*6.5%/360</f>
        <v>7.3535077777777786</v>
      </c>
      <c r="K410" s="337">
        <v>43827.97</v>
      </c>
      <c r="L410" s="307">
        <f>Table3[[#This Row],[MTBL]]*6.5%/360</f>
        <v>7.9133834722222227</v>
      </c>
      <c r="N410" s="358"/>
    </row>
    <row r="411" spans="1:14" ht="22.9" customHeight="1" x14ac:dyDescent="0.25">
      <c r="A411" s="257"/>
      <c r="B411" s="253">
        <v>45708</v>
      </c>
      <c r="C411" s="298">
        <v>14550868.25</v>
      </c>
      <c r="D411" s="295">
        <f>'Bank Int.'!$C411*7.5%/360</f>
        <v>3031.4308854166666</v>
      </c>
      <c r="E411" s="254">
        <v>3898710.75</v>
      </c>
      <c r="F411" s="303">
        <f>Table3[[#This Row],[Mid 146]]*4.5%/360</f>
        <v>487.33884374999997</v>
      </c>
      <c r="G411" s="305">
        <v>318056.84999999998</v>
      </c>
      <c r="H411" s="303">
        <f>'Bank Int.'!$G411*4.5%/360</f>
        <v>39.757106249999993</v>
      </c>
      <c r="I411" s="254">
        <v>40727.120000000003</v>
      </c>
      <c r="J411" s="307">
        <f>'Bank Int.'!$I411*6.5%/360</f>
        <v>7.3535077777777786</v>
      </c>
      <c r="K411" s="337">
        <v>43827.97</v>
      </c>
      <c r="L411" s="307">
        <f>Table3[[#This Row],[MTBL]]*6.5%/360</f>
        <v>7.9133834722222227</v>
      </c>
      <c r="N411" s="358"/>
    </row>
    <row r="412" spans="1:14" ht="22.9" customHeight="1" x14ac:dyDescent="0.25">
      <c r="A412" s="257"/>
      <c r="B412" s="253">
        <v>45707</v>
      </c>
      <c r="C412" s="298">
        <v>4550868.25</v>
      </c>
      <c r="D412" s="295">
        <f>'Bank Int.'!$C412*7.5%/360</f>
        <v>948.0975520833332</v>
      </c>
      <c r="E412" s="254">
        <v>3898710.75</v>
      </c>
      <c r="F412" s="303">
        <f>Table3[[#This Row],[Mid 146]]*4.5%/360</f>
        <v>487.33884374999997</v>
      </c>
      <c r="G412" s="305">
        <v>318056.84999999998</v>
      </c>
      <c r="H412" s="303">
        <f>'Bank Int.'!$G412*4.5%/360</f>
        <v>39.757106249999993</v>
      </c>
      <c r="I412" s="254">
        <v>40727.120000000003</v>
      </c>
      <c r="J412" s="307">
        <f>'Bank Int.'!$I412*6.5%/360</f>
        <v>7.3535077777777786</v>
      </c>
      <c r="K412" s="337">
        <v>43827.97</v>
      </c>
      <c r="L412" s="307">
        <f>Table3[[#This Row],[MTBL]]*6.5%/360</f>
        <v>7.9133834722222227</v>
      </c>
      <c r="N412" s="358"/>
    </row>
    <row r="413" spans="1:14" ht="22.9" customHeight="1" x14ac:dyDescent="0.25">
      <c r="A413" s="257"/>
      <c r="B413" s="253">
        <v>45706</v>
      </c>
      <c r="C413" s="298">
        <v>4000868.25</v>
      </c>
      <c r="D413" s="295">
        <f>'Bank Int.'!$C413*7.5%/360</f>
        <v>833.51421874999994</v>
      </c>
      <c r="E413" s="254">
        <v>8371223.5999999996</v>
      </c>
      <c r="F413" s="303">
        <f>Table3[[#This Row],[Mid 146]]*4.5%/360</f>
        <v>1046.4029499999999</v>
      </c>
      <c r="G413" s="305">
        <v>118056.85</v>
      </c>
      <c r="H413" s="303">
        <f>'Bank Int.'!$G413*4.5%/360</f>
        <v>14.75710625</v>
      </c>
      <c r="I413" s="254">
        <v>40727.120000000003</v>
      </c>
      <c r="J413" s="307">
        <f>'Bank Int.'!$I413*6.5%/360</f>
        <v>7.3535077777777786</v>
      </c>
      <c r="K413" s="337">
        <v>43827.97</v>
      </c>
      <c r="L413" s="307">
        <f>Table3[[#This Row],[MTBL]]*6.5%/360</f>
        <v>7.9133834722222227</v>
      </c>
      <c r="N413" s="358"/>
    </row>
    <row r="414" spans="1:14" ht="22.9" customHeight="1" x14ac:dyDescent="0.25">
      <c r="A414" s="257"/>
      <c r="B414" s="253">
        <v>45705</v>
      </c>
      <c r="C414" s="298">
        <v>4501028.25</v>
      </c>
      <c r="D414" s="295">
        <f>'Bank Int.'!$C414*7.5%/360</f>
        <v>937.71421874999987</v>
      </c>
      <c r="E414" s="254">
        <v>18571223.600000001</v>
      </c>
      <c r="F414" s="303">
        <f>Table3[[#This Row],[Mid 146]]*4.5%/360</f>
        <v>2321.4029500000001</v>
      </c>
      <c r="G414" s="305">
        <v>118056.85</v>
      </c>
      <c r="H414" s="303">
        <f>'Bank Int.'!$G414*4.5%/360</f>
        <v>14.75710625</v>
      </c>
      <c r="I414" s="254">
        <v>40727.120000000003</v>
      </c>
      <c r="J414" s="307">
        <f>'Bank Int.'!$I414*6.5%/360</f>
        <v>7.3535077777777786</v>
      </c>
      <c r="K414" s="337">
        <v>43827.97</v>
      </c>
      <c r="L414" s="307">
        <f>Table3[[#This Row],[MTBL]]*6.5%/360</f>
        <v>7.9133834722222227</v>
      </c>
      <c r="N414" s="358"/>
    </row>
    <row r="415" spans="1:14" ht="22.9" customHeight="1" x14ac:dyDescent="0.25">
      <c r="A415" s="257"/>
      <c r="B415" s="253">
        <f>B416+1</f>
        <v>45704</v>
      </c>
      <c r="C415" s="298">
        <v>37901053.25</v>
      </c>
      <c r="D415" s="295">
        <f>'Bank Int.'!$C415*7.5%/360</f>
        <v>7896.0527604166664</v>
      </c>
      <c r="E415" s="254">
        <v>2373851.77</v>
      </c>
      <c r="F415" s="303">
        <f>Table3[[#This Row],[Mid 146]]*4.5%/360</f>
        <v>296.73147125000003</v>
      </c>
      <c r="G415" s="305">
        <v>24118056.850000001</v>
      </c>
      <c r="H415" s="303">
        <f>'Bank Int.'!$G415*4.5%/360</f>
        <v>3014.7571062500001</v>
      </c>
      <c r="I415" s="254">
        <v>40727.120000000003</v>
      </c>
      <c r="J415" s="307">
        <f>'Bank Int.'!$I415*6.5%/360</f>
        <v>7.3535077777777786</v>
      </c>
      <c r="K415" s="337">
        <v>43827.97</v>
      </c>
      <c r="L415" s="307">
        <f>Table3[[#This Row],[MTBL]]*6.5%/360</f>
        <v>7.9133834722222227</v>
      </c>
      <c r="N415" s="358"/>
    </row>
    <row r="416" spans="1:14" ht="22.9" customHeight="1" x14ac:dyDescent="0.25">
      <c r="A416" s="257"/>
      <c r="B416" s="253">
        <v>45703</v>
      </c>
      <c r="C416" s="298">
        <v>17481343.25</v>
      </c>
      <c r="D416" s="295">
        <f>'Bank Int.'!$C416*7.5%/360</f>
        <v>3641.9465104166666</v>
      </c>
      <c r="E416" s="254">
        <v>31223851.77</v>
      </c>
      <c r="F416" s="303">
        <f>Table3[[#This Row],[Mid 146]]*4.5%/360</f>
        <v>3902.9814712500001</v>
      </c>
      <c r="G416" s="305">
        <v>66116.850000000006</v>
      </c>
      <c r="H416" s="303">
        <f>'Bank Int.'!$G416*4.5%/360</f>
        <v>8.2646062500000017</v>
      </c>
      <c r="I416" s="254">
        <v>40727.120000000003</v>
      </c>
      <c r="J416" s="307">
        <f>'Bank Int.'!$I416*6.5%/360</f>
        <v>7.3535077777777786</v>
      </c>
      <c r="K416" s="337">
        <v>43827.97</v>
      </c>
      <c r="L416" s="307">
        <f>Table3[[#This Row],[MTBL]]*6.5%/360</f>
        <v>7.9133834722222227</v>
      </c>
      <c r="N416" s="358"/>
    </row>
    <row r="417" spans="1:14" ht="22.9" customHeight="1" x14ac:dyDescent="0.25">
      <c r="A417" s="257"/>
      <c r="B417" s="253">
        <f t="shared" ref="B417:B422" si="50">B416-1</f>
        <v>45702</v>
      </c>
      <c r="C417" s="298">
        <v>17481343.25</v>
      </c>
      <c r="D417" s="295">
        <f>'Bank Int.'!$C417*7.5%/360</f>
        <v>3641.9465104166666</v>
      </c>
      <c r="E417" s="254">
        <v>31223851.77</v>
      </c>
      <c r="F417" s="303">
        <f>Table3[[#This Row],[Mid 146]]*4.5%/360</f>
        <v>3902.9814712500001</v>
      </c>
      <c r="G417" s="305">
        <v>66116.850000000006</v>
      </c>
      <c r="H417" s="303">
        <f>'Bank Int.'!$G417*4.5%/360</f>
        <v>8.2646062500000017</v>
      </c>
      <c r="I417" s="254">
        <v>40727.120000000003</v>
      </c>
      <c r="J417" s="307">
        <f>'Bank Int.'!$I417*6.5%/360</f>
        <v>7.3535077777777786</v>
      </c>
      <c r="K417" s="337">
        <v>43827.97</v>
      </c>
      <c r="L417" s="307">
        <f>Table3[[#This Row],[MTBL]]*6.5%/360</f>
        <v>7.9133834722222227</v>
      </c>
      <c r="N417" s="358"/>
    </row>
    <row r="418" spans="1:14" ht="22.9" customHeight="1" x14ac:dyDescent="0.25">
      <c r="A418" s="257"/>
      <c r="B418" s="253">
        <f t="shared" si="50"/>
        <v>45701</v>
      </c>
      <c r="C418" s="298">
        <v>17481343.25</v>
      </c>
      <c r="D418" s="295">
        <f>'Bank Int.'!$C418*7.5%/360</f>
        <v>3641.9465104166666</v>
      </c>
      <c r="E418" s="254">
        <v>31223851.77</v>
      </c>
      <c r="F418" s="303">
        <f>Table3[[#This Row],[Mid 146]]*4.5%/360</f>
        <v>3902.9814712500001</v>
      </c>
      <c r="G418" s="305">
        <v>66116.850000000006</v>
      </c>
      <c r="H418" s="303">
        <f>'Bank Int.'!$G418*4.5%/360</f>
        <v>8.2646062500000017</v>
      </c>
      <c r="I418" s="254">
        <v>40727.120000000003</v>
      </c>
      <c r="J418" s="307">
        <f>'Bank Int.'!$I418*6.5%/360</f>
        <v>7.3535077777777786</v>
      </c>
      <c r="K418" s="337">
        <v>43827.97</v>
      </c>
      <c r="L418" s="307">
        <f>Table3[[#This Row],[MTBL]]*6.5%/360</f>
        <v>7.9133834722222227</v>
      </c>
      <c r="N418" s="358"/>
    </row>
    <row r="419" spans="1:14" ht="22.9" customHeight="1" x14ac:dyDescent="0.25">
      <c r="A419" s="257"/>
      <c r="B419" s="253">
        <f t="shared" si="50"/>
        <v>45700</v>
      </c>
      <c r="C419" s="298">
        <v>3881343.25</v>
      </c>
      <c r="D419" s="295">
        <f>'Bank Int.'!$C419*7.5%/360</f>
        <v>808.6131770833332</v>
      </c>
      <c r="E419" s="254">
        <v>83047.8</v>
      </c>
      <c r="F419" s="303">
        <f>Table3[[#This Row],[Mid 146]]*4.5%/360</f>
        <v>10.380974999999999</v>
      </c>
      <c r="G419" s="305">
        <v>1066116.8500000001</v>
      </c>
      <c r="H419" s="303">
        <f>'Bank Int.'!$G419*4.5%/360</f>
        <v>133.26460624999999</v>
      </c>
      <c r="I419" s="254">
        <v>40727.120000000003</v>
      </c>
      <c r="J419" s="307">
        <f>'Bank Int.'!$I419*6.5%/360</f>
        <v>7.3535077777777786</v>
      </c>
      <c r="K419" s="337">
        <v>43827.97</v>
      </c>
      <c r="L419" s="307">
        <f>Table3[[#This Row],[MTBL]]*6.5%/360</f>
        <v>7.9133834722222227</v>
      </c>
      <c r="N419" s="358"/>
    </row>
    <row r="420" spans="1:14" ht="22.9" customHeight="1" x14ac:dyDescent="0.25">
      <c r="A420" s="257"/>
      <c r="B420" s="253">
        <f t="shared" si="50"/>
        <v>45699</v>
      </c>
      <c r="C420" s="298">
        <v>1272343.25</v>
      </c>
      <c r="D420" s="295">
        <f>'Bank Int.'!$C420*7.5%/360</f>
        <v>265.07151041666663</v>
      </c>
      <c r="E420" s="254">
        <v>83047.8</v>
      </c>
      <c r="F420" s="303">
        <f>Table3[[#This Row],[Mid 146]]*4.5%/360</f>
        <v>10.380974999999999</v>
      </c>
      <c r="G420" s="305">
        <v>1066116.8500000001</v>
      </c>
      <c r="H420" s="303">
        <f>'Bank Int.'!$G420*4.5%/360</f>
        <v>133.26460624999999</v>
      </c>
      <c r="I420" s="254">
        <v>40727.120000000003</v>
      </c>
      <c r="J420" s="307">
        <f>'Bank Int.'!$I420*6.5%/360</f>
        <v>7.3535077777777786</v>
      </c>
      <c r="K420" s="337">
        <v>43827.97</v>
      </c>
      <c r="L420" s="307">
        <f>Table3[[#This Row],[MTBL]]*6.5%/360</f>
        <v>7.9133834722222227</v>
      </c>
      <c r="N420" s="358"/>
    </row>
    <row r="421" spans="1:14" ht="22.9" customHeight="1" x14ac:dyDescent="0.25">
      <c r="A421" s="257"/>
      <c r="B421" s="253">
        <f t="shared" si="50"/>
        <v>45698</v>
      </c>
      <c r="C421" s="298">
        <v>31372401.25</v>
      </c>
      <c r="D421" s="295">
        <f>'Bank Int.'!$C421*7.5%/360</f>
        <v>6535.9169270833336</v>
      </c>
      <c r="E421" s="254">
        <v>83147.8</v>
      </c>
      <c r="F421" s="303">
        <f>Table3[[#This Row],[Mid 146]]*4.5%/360</f>
        <v>10.393474999999999</v>
      </c>
      <c r="G421" s="305">
        <v>1066116.8500000001</v>
      </c>
      <c r="H421" s="303">
        <f>'Bank Int.'!$G421*4.5%/360</f>
        <v>133.26460624999999</v>
      </c>
      <c r="I421" s="254">
        <v>40727.120000000003</v>
      </c>
      <c r="J421" s="307">
        <f>'Bank Int.'!$I421*6.5%/360</f>
        <v>7.3535077777777786</v>
      </c>
      <c r="K421" s="337">
        <v>43827.97</v>
      </c>
      <c r="L421" s="307">
        <f>Table3[[#This Row],[MTBL]]*6.5%/360</f>
        <v>7.9133834722222227</v>
      </c>
      <c r="N421" s="358"/>
    </row>
    <row r="422" spans="1:14" ht="22.9" customHeight="1" x14ac:dyDescent="0.25">
      <c r="A422" s="257"/>
      <c r="B422" s="253">
        <f t="shared" si="50"/>
        <v>45697</v>
      </c>
      <c r="C422" s="298">
        <v>32773067.16</v>
      </c>
      <c r="D422" s="295">
        <f>'Bank Int.'!$C422*7.5%/360</f>
        <v>6827.7223249999997</v>
      </c>
      <c r="E422" s="254">
        <v>83147.8</v>
      </c>
      <c r="F422" s="303">
        <f>Table3[[#This Row],[Mid 146]]*4.5%/360</f>
        <v>10.393474999999999</v>
      </c>
      <c r="G422" s="305">
        <v>1066116.8500000001</v>
      </c>
      <c r="H422" s="303">
        <f>'Bank Int.'!$G422*4.5%/360</f>
        <v>133.26460624999999</v>
      </c>
      <c r="I422" s="254">
        <v>40727.120000000003</v>
      </c>
      <c r="J422" s="307">
        <f>'Bank Int.'!$I422*6.5%/360</f>
        <v>7.3535077777777786</v>
      </c>
      <c r="K422" s="337">
        <v>43827.97</v>
      </c>
      <c r="L422" s="307">
        <f>Table3[[#This Row],[MTBL]]*6.5%/360</f>
        <v>7.9133834722222227</v>
      </c>
      <c r="N422" s="358"/>
    </row>
    <row r="423" spans="1:14" ht="22.5" customHeight="1" x14ac:dyDescent="0.25">
      <c r="A423" s="257"/>
      <c r="B423" s="253">
        <v>45696</v>
      </c>
      <c r="C423" s="298">
        <v>1664723.36</v>
      </c>
      <c r="D423" s="295">
        <f>'Bank Int.'!$C423*7.5%/360</f>
        <v>346.81736666666671</v>
      </c>
      <c r="E423" s="254">
        <v>83247.8</v>
      </c>
      <c r="F423" s="303">
        <f>Table3[[#This Row],[Mid 146]]*4.5%/360</f>
        <v>10.405975</v>
      </c>
      <c r="G423" s="305">
        <v>185116.85</v>
      </c>
      <c r="H423" s="303">
        <f>'Bank Int.'!$G423*4.5%/360</f>
        <v>23.139606250000003</v>
      </c>
      <c r="I423" s="254">
        <v>40727.120000000003</v>
      </c>
      <c r="J423" s="307">
        <f>'Bank Int.'!$I423*6.5%/360</f>
        <v>7.3535077777777786</v>
      </c>
      <c r="K423" s="337">
        <v>43827.97</v>
      </c>
      <c r="L423" s="307">
        <f>Table3[[#This Row],[MTBL]]*6.5%/360</f>
        <v>7.9133834722222227</v>
      </c>
      <c r="N423" s="358"/>
    </row>
    <row r="424" spans="1:14" ht="22.9" customHeight="1" x14ac:dyDescent="0.25">
      <c r="A424" s="257"/>
      <c r="B424" s="253">
        <f t="shared" ref="B424:B429" si="51">B423-1</f>
        <v>45695</v>
      </c>
      <c r="C424" s="298">
        <v>1664723.36</v>
      </c>
      <c r="D424" s="295">
        <f>'Bank Int.'!$C424*7.5%/360</f>
        <v>346.81736666666671</v>
      </c>
      <c r="E424" s="254">
        <v>83247.8</v>
      </c>
      <c r="F424" s="303">
        <f>Table3[[#This Row],[Mid 146]]*4.5%/360</f>
        <v>10.405975</v>
      </c>
      <c r="G424" s="305">
        <v>185116.85</v>
      </c>
      <c r="H424" s="303">
        <f>'Bank Int.'!$G424*4.5%/360</f>
        <v>23.139606250000003</v>
      </c>
      <c r="I424" s="254">
        <v>40727.120000000003</v>
      </c>
      <c r="J424" s="307">
        <f>'Bank Int.'!$I424*6.5%/360</f>
        <v>7.3535077777777786</v>
      </c>
      <c r="K424" s="337">
        <v>43827.97</v>
      </c>
      <c r="L424" s="307">
        <f>Table3[[#This Row],[MTBL]]*6.5%/360</f>
        <v>7.9133834722222227</v>
      </c>
      <c r="N424" s="358"/>
    </row>
    <row r="425" spans="1:14" ht="22.9" customHeight="1" x14ac:dyDescent="0.25">
      <c r="A425" s="257"/>
      <c r="B425" s="253">
        <f t="shared" si="51"/>
        <v>45694</v>
      </c>
      <c r="C425" s="298">
        <v>1664723.36</v>
      </c>
      <c r="D425" s="295">
        <f>'Bank Int.'!$C425*7.5%/360</f>
        <v>346.81736666666671</v>
      </c>
      <c r="E425" s="254">
        <v>83247.8</v>
      </c>
      <c r="F425" s="303">
        <f>Table3[[#This Row],[Mid 146]]*4.5%/360</f>
        <v>10.405975</v>
      </c>
      <c r="G425" s="305">
        <v>185116.85</v>
      </c>
      <c r="H425" s="303">
        <f>'Bank Int.'!$G425*4.5%/360</f>
        <v>23.139606250000003</v>
      </c>
      <c r="I425" s="254">
        <v>40727.120000000003</v>
      </c>
      <c r="J425" s="307">
        <f>'Bank Int.'!$I425*6.5%/360</f>
        <v>7.3535077777777786</v>
      </c>
      <c r="K425" s="337">
        <v>43827.97</v>
      </c>
      <c r="L425" s="307">
        <f>Table3[[#This Row],[MTBL]]*6.5%/360</f>
        <v>7.9133834722222227</v>
      </c>
      <c r="N425" s="358"/>
    </row>
    <row r="426" spans="1:14" ht="22.9" customHeight="1" x14ac:dyDescent="0.25">
      <c r="A426" s="257"/>
      <c r="B426" s="253">
        <f t="shared" si="51"/>
        <v>45693</v>
      </c>
      <c r="C426" s="298">
        <v>1068298.3600000001</v>
      </c>
      <c r="D426" s="295">
        <f>'Bank Int.'!$C426*7.5%/360</f>
        <v>222.56215833333334</v>
      </c>
      <c r="E426" s="254">
        <v>83247.8</v>
      </c>
      <c r="F426" s="303">
        <f>Table3[[#This Row],[Mid 146]]*4.5%/360</f>
        <v>10.405975</v>
      </c>
      <c r="G426" s="305">
        <v>185116.85</v>
      </c>
      <c r="H426" s="303">
        <f>'Bank Int.'!$G426*4.5%/360</f>
        <v>23.139606250000003</v>
      </c>
      <c r="I426" s="254">
        <v>40727.120000000003</v>
      </c>
      <c r="J426" s="307">
        <f>'Bank Int.'!$I426*6.5%/360</f>
        <v>7.3535077777777786</v>
      </c>
      <c r="K426" s="337">
        <v>43827.97</v>
      </c>
      <c r="L426" s="307">
        <f>Table3[[#This Row],[MTBL]]*6.5%/360</f>
        <v>7.9133834722222227</v>
      </c>
      <c r="N426" s="358"/>
    </row>
    <row r="427" spans="1:14" ht="22.9" customHeight="1" x14ac:dyDescent="0.25">
      <c r="A427" s="257"/>
      <c r="B427" s="253">
        <f t="shared" si="51"/>
        <v>45692</v>
      </c>
      <c r="C427" s="298">
        <v>1068298.3600000001</v>
      </c>
      <c r="D427" s="295">
        <f>'Bank Int.'!$C427*7.5%/360</f>
        <v>222.56215833333334</v>
      </c>
      <c r="E427" s="254">
        <v>604707.80000000005</v>
      </c>
      <c r="F427" s="303">
        <f>Table3[[#This Row],[Mid 146]]*4.5%/360</f>
        <v>75.588475000000003</v>
      </c>
      <c r="G427" s="305">
        <v>34116.85</v>
      </c>
      <c r="H427" s="303">
        <f>'Bank Int.'!$G427*4.5%/360</f>
        <v>4.2646062499999999</v>
      </c>
      <c r="I427" s="254">
        <v>40727.120000000003</v>
      </c>
      <c r="J427" s="307">
        <f>'Bank Int.'!$I427*6.5%/360</f>
        <v>7.3535077777777786</v>
      </c>
      <c r="K427" s="337">
        <v>43827.97</v>
      </c>
      <c r="L427" s="307">
        <f>Table3[[#This Row],[MTBL]]*6.5%/360</f>
        <v>7.9133834722222227</v>
      </c>
      <c r="N427" s="358"/>
    </row>
    <row r="428" spans="1:14" ht="22.9" customHeight="1" x14ac:dyDescent="0.25">
      <c r="A428" s="257"/>
      <c r="B428" s="253">
        <f t="shared" si="51"/>
        <v>45691</v>
      </c>
      <c r="C428" s="298">
        <v>10058298.359999999</v>
      </c>
      <c r="D428" s="295">
        <f>'Bank Int.'!$C428*7.5%/360</f>
        <v>2095.4788250000001</v>
      </c>
      <c r="E428" s="254">
        <v>4604807.8</v>
      </c>
      <c r="F428" s="303">
        <f>Table3[[#This Row],[Mid 146]]*4.5%/360</f>
        <v>575.60097499999995</v>
      </c>
      <c r="G428" s="305">
        <v>34116.85</v>
      </c>
      <c r="H428" s="303">
        <f>'Bank Int.'!$G428*4.5%/360</f>
        <v>4.2646062499999999</v>
      </c>
      <c r="I428" s="254">
        <v>40727.120000000003</v>
      </c>
      <c r="J428" s="307">
        <f>'Bank Int.'!$I428*6.5%/360</f>
        <v>7.3535077777777786</v>
      </c>
      <c r="K428" s="337">
        <v>43827.97</v>
      </c>
      <c r="L428" s="307">
        <f>Table3[[#This Row],[MTBL]]*6.5%/360</f>
        <v>7.9133834722222227</v>
      </c>
      <c r="N428" s="358"/>
    </row>
    <row r="429" spans="1:14" ht="22.9" customHeight="1" x14ac:dyDescent="0.25">
      <c r="A429" s="257"/>
      <c r="B429" s="253">
        <f t="shared" si="51"/>
        <v>45690</v>
      </c>
      <c r="C429" s="298">
        <v>5754950.8600000003</v>
      </c>
      <c r="D429" s="295">
        <f>'Bank Int.'!$C429*7.5%/360</f>
        <v>1198.9480958333334</v>
      </c>
      <c r="E429" s="254">
        <v>4604807.8</v>
      </c>
      <c r="F429" s="303">
        <f>Table3[[#This Row],[Mid 146]]*4.5%/360</f>
        <v>575.60097499999995</v>
      </c>
      <c r="G429" s="305">
        <v>34116.85</v>
      </c>
      <c r="H429" s="303">
        <f>'Bank Int.'!$G429*4.5%/360</f>
        <v>4.2646062499999999</v>
      </c>
      <c r="I429" s="254">
        <v>40727.120000000003</v>
      </c>
      <c r="J429" s="307">
        <f>'Bank Int.'!$I429*6.5%/360</f>
        <v>7.3535077777777786</v>
      </c>
      <c r="K429" s="337">
        <v>43827.97</v>
      </c>
      <c r="L429" s="307">
        <f>Table3[[#This Row],[MTBL]]*6.5%/360</f>
        <v>7.9133834722222227</v>
      </c>
      <c r="N429" s="358"/>
    </row>
    <row r="430" spans="1:14" ht="22.9" customHeight="1" x14ac:dyDescent="0.25">
      <c r="A430" s="257"/>
      <c r="B430" s="330">
        <v>45689</v>
      </c>
      <c r="C430" s="298">
        <v>4755010.8600000003</v>
      </c>
      <c r="D430" s="295">
        <f>'Bank Int.'!$C430*7.5%/360</f>
        <v>990.62726250000014</v>
      </c>
      <c r="E430" s="254">
        <v>4604807.8</v>
      </c>
      <c r="F430" s="303">
        <f>Table3[[#This Row],[Mid 146]]*4.5%/360</f>
        <v>575.60097499999995</v>
      </c>
      <c r="G430" s="305">
        <v>34116.85</v>
      </c>
      <c r="H430" s="303">
        <f>'Bank Int.'!$G430*4.5%/360</f>
        <v>4.2646062499999999</v>
      </c>
      <c r="I430" s="254">
        <v>40727.120000000003</v>
      </c>
      <c r="J430" s="307">
        <f>'Bank Int.'!$I430*6.5%/360</f>
        <v>7.3535077777777786</v>
      </c>
      <c r="K430" s="337">
        <v>43827.97</v>
      </c>
      <c r="L430" s="307">
        <f>Table3[[#This Row],[MTBL]]*6.5%/360</f>
        <v>7.9133834722222227</v>
      </c>
      <c r="N430" s="358"/>
    </row>
    <row r="431" spans="1:14" ht="22.9" customHeight="1" x14ac:dyDescent="0.25">
      <c r="A431" s="257"/>
      <c r="B431" s="253">
        <f t="shared" ref="B431:B436" si="52">B430-1</f>
        <v>45688</v>
      </c>
      <c r="C431" s="298">
        <v>4755010.8600000003</v>
      </c>
      <c r="D431" s="295">
        <f>'Bank Int.'!$C431*7.5%/360</f>
        <v>990.62726250000014</v>
      </c>
      <c r="E431" s="254">
        <v>4604807.8</v>
      </c>
      <c r="F431" s="303">
        <f>Table3[[#This Row],[Mid 146]]*4.5%/360</f>
        <v>575.60097499999995</v>
      </c>
      <c r="G431" s="305">
        <v>34116.85</v>
      </c>
      <c r="H431" s="303">
        <f>'Bank Int.'!$G431*4.5%/360</f>
        <v>4.2646062499999999</v>
      </c>
      <c r="I431" s="254">
        <v>40727.120000000003</v>
      </c>
      <c r="J431" s="307">
        <f>'Bank Int.'!$I431*6.5%/360</f>
        <v>7.3535077777777786</v>
      </c>
      <c r="K431" s="337">
        <v>43827.97</v>
      </c>
      <c r="L431" s="307">
        <f>Table3[[#This Row],[MTBL]]*6.5%/360</f>
        <v>7.9133834722222227</v>
      </c>
      <c r="N431" s="358"/>
    </row>
    <row r="432" spans="1:14" ht="22.9" customHeight="1" x14ac:dyDescent="0.25">
      <c r="A432" s="257"/>
      <c r="B432" s="253">
        <f t="shared" si="52"/>
        <v>45687</v>
      </c>
      <c r="C432" s="298">
        <v>4755010.8600000003</v>
      </c>
      <c r="D432" s="295">
        <f>'Bank Int.'!$C432*7.5%/360</f>
        <v>990.62726250000014</v>
      </c>
      <c r="E432" s="254">
        <v>4604807.8</v>
      </c>
      <c r="F432" s="303">
        <f>Table3[[#This Row],[Mid 146]]*4.5%/360</f>
        <v>575.60097499999995</v>
      </c>
      <c r="G432" s="305">
        <v>34116.85</v>
      </c>
      <c r="H432" s="303">
        <f>'Bank Int.'!$G432*4.5%/360</f>
        <v>4.2646062499999999</v>
      </c>
      <c r="I432" s="254">
        <v>40727.120000000003</v>
      </c>
      <c r="J432" s="307">
        <f>'Bank Int.'!$I432*6.5%/360</f>
        <v>7.3535077777777786</v>
      </c>
      <c r="K432" s="337">
        <v>43827.97</v>
      </c>
      <c r="L432" s="307">
        <f>Table3[[#This Row],[MTBL]]*6.5%/360</f>
        <v>7.9133834722222227</v>
      </c>
      <c r="N432" s="358"/>
    </row>
    <row r="433" spans="1:14" ht="22.9" customHeight="1" x14ac:dyDescent="0.25">
      <c r="A433" s="257"/>
      <c r="B433" s="253">
        <f t="shared" si="52"/>
        <v>45686</v>
      </c>
      <c r="C433" s="298">
        <v>2055126.86</v>
      </c>
      <c r="D433" s="295">
        <f>'Bank Int.'!$C433*7.5%/360</f>
        <v>428.15142916666662</v>
      </c>
      <c r="E433" s="254">
        <v>4604807.82</v>
      </c>
      <c r="F433" s="303">
        <f>Table3[[#This Row],[Mid 146]]*4.5%/360</f>
        <v>575.6009775</v>
      </c>
      <c r="G433" s="305">
        <v>34116.85</v>
      </c>
      <c r="H433" s="303">
        <f>'Bank Int.'!$G433*4.5%/360</f>
        <v>4.2646062499999999</v>
      </c>
      <c r="I433" s="254">
        <v>40727.120000000003</v>
      </c>
      <c r="J433" s="307">
        <f>'Bank Int.'!$I433*6.5%/360</f>
        <v>7.3535077777777786</v>
      </c>
      <c r="K433" s="337">
        <v>43827.97</v>
      </c>
      <c r="L433" s="307">
        <f>Table3[[#This Row],[MTBL]]*6.5%/360</f>
        <v>7.9133834722222227</v>
      </c>
      <c r="N433" s="358"/>
    </row>
    <row r="434" spans="1:14" ht="22.9" customHeight="1" x14ac:dyDescent="0.25">
      <c r="A434" s="257"/>
      <c r="B434" s="253">
        <f t="shared" si="52"/>
        <v>45685</v>
      </c>
      <c r="C434" s="298">
        <v>335726.86</v>
      </c>
      <c r="D434" s="295">
        <f>'Bank Int.'!$C434*7.5%/360</f>
        <v>69.943095833333331</v>
      </c>
      <c r="E434" s="254">
        <v>16517466.92</v>
      </c>
      <c r="F434" s="303">
        <f>Table3[[#This Row],[Mid 146]]*4.5%/360</f>
        <v>2064.6833649999999</v>
      </c>
      <c r="G434" s="305">
        <v>1634116.85</v>
      </c>
      <c r="H434" s="303">
        <f>'Bank Int.'!$G434*4.5%/360</f>
        <v>204.26460624999999</v>
      </c>
      <c r="I434" s="254">
        <v>40727.120000000003</v>
      </c>
      <c r="J434" s="307">
        <f>'Bank Int.'!$I434*6.5%/360</f>
        <v>7.3535077777777786</v>
      </c>
      <c r="K434" s="337">
        <v>43827.97</v>
      </c>
      <c r="L434" s="307">
        <f>Table3[[#This Row],[MTBL]]*6.5%/360</f>
        <v>7.9133834722222227</v>
      </c>
      <c r="N434" s="358"/>
    </row>
    <row r="435" spans="1:14" ht="22.9" customHeight="1" x14ac:dyDescent="0.25">
      <c r="A435" s="257"/>
      <c r="B435" s="253">
        <f t="shared" si="52"/>
        <v>45684</v>
      </c>
      <c r="C435" s="298">
        <v>8335784.8600000003</v>
      </c>
      <c r="D435" s="295">
        <f>'Bank Int.'!$C435*7.5%/360</f>
        <v>1736.6218458333335</v>
      </c>
      <c r="E435" s="254">
        <v>7997466.9199999999</v>
      </c>
      <c r="F435" s="303">
        <f>Table3[[#This Row],[Mid 146]]*4.5%/360</f>
        <v>999.68336499999987</v>
      </c>
      <c r="G435" s="305">
        <v>1634116.85</v>
      </c>
      <c r="H435" s="303">
        <f>'Bank Int.'!$G435*4.5%/360</f>
        <v>204.26460624999999</v>
      </c>
      <c r="I435" s="254">
        <v>40727.120000000003</v>
      </c>
      <c r="J435" s="307">
        <f>'Bank Int.'!$I435*6.5%/360</f>
        <v>7.3535077777777786</v>
      </c>
      <c r="K435" s="337">
        <v>43827.97</v>
      </c>
      <c r="L435" s="307">
        <f>Table3[[#This Row],[MTBL]]*6.5%/360</f>
        <v>7.9133834722222227</v>
      </c>
      <c r="N435" s="358"/>
    </row>
    <row r="436" spans="1:14" ht="22.9" customHeight="1" x14ac:dyDescent="0.25">
      <c r="A436" s="257"/>
      <c r="B436" s="253">
        <f t="shared" si="52"/>
        <v>45683</v>
      </c>
      <c r="C436" s="298">
        <v>10185784.859999999</v>
      </c>
      <c r="D436" s="295">
        <f>'Bank Int.'!$C436*7.5%/360</f>
        <v>2122.0385124999998</v>
      </c>
      <c r="E436" s="254">
        <v>3997466.92</v>
      </c>
      <c r="F436" s="303">
        <f>Table3[[#This Row],[Mid 146]]*4.5%/360</f>
        <v>499.68336499999998</v>
      </c>
      <c r="G436" s="305">
        <v>1667156.85</v>
      </c>
      <c r="H436" s="303">
        <f>'Bank Int.'!$G436*4.5%/360</f>
        <v>208.39460625000001</v>
      </c>
      <c r="I436" s="254">
        <v>40727.120000000003</v>
      </c>
      <c r="J436" s="307">
        <f>'Bank Int.'!$I436*6.5%/360</f>
        <v>7.3535077777777786</v>
      </c>
      <c r="K436" s="337">
        <v>43827.97</v>
      </c>
      <c r="L436" s="307">
        <f>Table3[[#This Row],[MTBL]]*6.5%/360</f>
        <v>7.9133834722222227</v>
      </c>
      <c r="N436" s="358"/>
    </row>
    <row r="437" spans="1:14" ht="22.9" customHeight="1" x14ac:dyDescent="0.25">
      <c r="A437" s="257"/>
      <c r="B437" s="253">
        <v>45682</v>
      </c>
      <c r="C437" s="298">
        <v>11510884.905000186</v>
      </c>
      <c r="D437" s="295">
        <f>'Bank Int.'!$C437*7.5%/360</f>
        <v>2398.1010218750384</v>
      </c>
      <c r="E437" s="254">
        <v>2265557.54</v>
      </c>
      <c r="F437" s="303">
        <f>Table3[[#This Row],[Mid 146]]*4.5%/360</f>
        <v>283.19469249999997</v>
      </c>
      <c r="G437" s="305">
        <v>1292616.8500000001</v>
      </c>
      <c r="H437" s="303">
        <f>'Bank Int.'!$G437*4.5%/360</f>
        <v>161.57710624999999</v>
      </c>
      <c r="I437" s="254">
        <v>40727.120000000003</v>
      </c>
      <c r="J437" s="307">
        <f>'Bank Int.'!$I437*6.5%/360</f>
        <v>7.3535077777777786</v>
      </c>
      <c r="K437" s="337">
        <v>43827.97</v>
      </c>
      <c r="L437" s="307">
        <f>Table3[[#This Row],[MTBL]]*6.5%/360</f>
        <v>7.9133834722222227</v>
      </c>
      <c r="N437" s="358"/>
    </row>
    <row r="438" spans="1:14" ht="22.9" customHeight="1" x14ac:dyDescent="0.25">
      <c r="A438" s="257"/>
      <c r="B438" s="253">
        <f t="shared" ref="B438:B443" si="53">B437-1</f>
        <v>45681</v>
      </c>
      <c r="C438" s="298">
        <v>11510884.905000186</v>
      </c>
      <c r="D438" s="295">
        <f>'Bank Int.'!$C438*7.5%/360</f>
        <v>2398.1010218750384</v>
      </c>
      <c r="E438" s="254">
        <v>2265557.54</v>
      </c>
      <c r="F438" s="303">
        <f>Table3[[#This Row],[Mid 146]]*4.5%/360</f>
        <v>283.19469249999997</v>
      </c>
      <c r="G438" s="305">
        <v>1292616.8500000001</v>
      </c>
      <c r="H438" s="303">
        <f>'Bank Int.'!$G438*4.5%/360</f>
        <v>161.57710624999999</v>
      </c>
      <c r="I438" s="254">
        <v>40727.120000000003</v>
      </c>
      <c r="J438" s="307">
        <f>'Bank Int.'!$I438*6.5%/360</f>
        <v>7.3535077777777786</v>
      </c>
      <c r="K438" s="337">
        <v>43827.97</v>
      </c>
      <c r="L438" s="307">
        <f>Table3[[#This Row],[MTBL]]*6.5%/360</f>
        <v>7.9133834722222227</v>
      </c>
      <c r="N438" s="358"/>
    </row>
    <row r="439" spans="1:14" ht="22.9" customHeight="1" x14ac:dyDescent="0.25">
      <c r="A439" s="257"/>
      <c r="B439" s="253">
        <f t="shared" si="53"/>
        <v>45680</v>
      </c>
      <c r="C439" s="298">
        <v>11510884.905000186</v>
      </c>
      <c r="D439" s="295">
        <f>'Bank Int.'!$C439*7.5%/360</f>
        <v>2398.1010218750384</v>
      </c>
      <c r="E439" s="254">
        <v>2265557.54</v>
      </c>
      <c r="F439" s="303">
        <f>Table3[[#This Row],[Mid 146]]*4.5%/360</f>
        <v>283.19469249999997</v>
      </c>
      <c r="G439" s="305">
        <v>1292616.8500000001</v>
      </c>
      <c r="H439" s="303">
        <f>'Bank Int.'!$G439*4.5%/360</f>
        <v>161.57710624999999</v>
      </c>
      <c r="I439" s="254">
        <v>40727.120000000003</v>
      </c>
      <c r="J439" s="307">
        <f>'Bank Int.'!$I439*6.5%/360</f>
        <v>7.3535077777777786</v>
      </c>
      <c r="K439" s="337">
        <v>43827.97</v>
      </c>
      <c r="L439" s="307">
        <f>Table3[[#This Row],[MTBL]]*6.5%/360</f>
        <v>7.9133834722222227</v>
      </c>
      <c r="N439" s="358"/>
    </row>
    <row r="440" spans="1:14" ht="22.9" customHeight="1" x14ac:dyDescent="0.25">
      <c r="A440" s="257"/>
      <c r="B440" s="253">
        <f t="shared" si="53"/>
        <v>45679</v>
      </c>
      <c r="C440" s="298">
        <v>11363672.550000001</v>
      </c>
      <c r="D440" s="295">
        <f>'Bank Int.'!$C440*7.5%/360</f>
        <v>2367.4317812500003</v>
      </c>
      <c r="E440" s="254">
        <v>2265557.54</v>
      </c>
      <c r="F440" s="303">
        <f>Table3[[#This Row],[Mid 146]]*4.5%/360</f>
        <v>283.19469249999997</v>
      </c>
      <c r="G440" s="305">
        <v>930616.85</v>
      </c>
      <c r="H440" s="303">
        <f>'Bank Int.'!$G440*4.5%/360</f>
        <v>116.32710625</v>
      </c>
      <c r="I440" s="254">
        <v>40727.120000000003</v>
      </c>
      <c r="J440" s="307">
        <f>'Bank Int.'!$I440*6.5%/360</f>
        <v>7.3535077777777786</v>
      </c>
      <c r="K440" s="337">
        <v>43827.97</v>
      </c>
      <c r="L440" s="307">
        <f>Table3[[#This Row],[MTBL]]*6.5%/360</f>
        <v>7.9133834722222227</v>
      </c>
      <c r="N440" s="358"/>
    </row>
    <row r="441" spans="1:14" ht="22.9" customHeight="1" x14ac:dyDescent="0.25">
      <c r="A441" s="257"/>
      <c r="B441" s="253">
        <f t="shared" si="53"/>
        <v>45678</v>
      </c>
      <c r="C441" s="298">
        <v>11328038.550000001</v>
      </c>
      <c r="D441" s="295">
        <f>'Bank Int.'!$C441*7.5%/360</f>
        <v>2360.0080312499999</v>
      </c>
      <c r="E441" s="254">
        <v>22288460.039999999</v>
      </c>
      <c r="F441" s="303">
        <f>Table3[[#This Row],[Mid 146]]*4.5%/360</f>
        <v>2786.0575049999998</v>
      </c>
      <c r="G441" s="305">
        <v>930616.85</v>
      </c>
      <c r="H441" s="303">
        <f>'Bank Int.'!$G441*4.5%/360</f>
        <v>116.32710625</v>
      </c>
      <c r="I441" s="254">
        <v>40727.120000000003</v>
      </c>
      <c r="J441" s="307">
        <f>'Bank Int.'!$I441*6.5%/360</f>
        <v>7.3535077777777786</v>
      </c>
      <c r="K441" s="337">
        <v>43827.97</v>
      </c>
      <c r="L441" s="307">
        <f>Table3[[#This Row],[MTBL]]*6.5%/360</f>
        <v>7.9133834722222227</v>
      </c>
      <c r="N441" s="358"/>
    </row>
    <row r="442" spans="1:14" ht="22.9" customHeight="1" x14ac:dyDescent="0.25">
      <c r="A442" s="257"/>
      <c r="B442" s="253">
        <f t="shared" si="53"/>
        <v>45677</v>
      </c>
      <c r="C442" s="298">
        <v>31728042.079999998</v>
      </c>
      <c r="D442" s="295">
        <f>'Bank Int.'!$C442*7.5%/360</f>
        <v>6610.0087666666668</v>
      </c>
      <c r="E442" s="254">
        <v>2288460.04</v>
      </c>
      <c r="F442" s="303">
        <f>Table3[[#This Row],[Mid 146]]*4.5%/360</f>
        <v>286.05750499999999</v>
      </c>
      <c r="G442" s="305">
        <v>930616.85</v>
      </c>
      <c r="H442" s="303">
        <f>'Bank Int.'!$G442*4.5%/360</f>
        <v>116.32710625</v>
      </c>
      <c r="I442" s="254">
        <v>40727.120000000003</v>
      </c>
      <c r="J442" s="307">
        <f>'Bank Int.'!$I442*6.5%/360</f>
        <v>7.3535077777777786</v>
      </c>
      <c r="K442" s="337">
        <v>43827.97</v>
      </c>
      <c r="L442" s="307">
        <f>Table3[[#This Row],[MTBL]]*6.5%/360</f>
        <v>7.9133834722222227</v>
      </c>
      <c r="N442" s="358"/>
    </row>
    <row r="443" spans="1:14" ht="22.9" customHeight="1" x14ac:dyDescent="0.25">
      <c r="A443" s="257"/>
      <c r="B443" s="253">
        <f t="shared" si="53"/>
        <v>45676</v>
      </c>
      <c r="C443" s="298">
        <v>22933337.59</v>
      </c>
      <c r="D443" s="295">
        <f>'Bank Int.'!$C443*7.5%/360</f>
        <v>4777.778664583333</v>
      </c>
      <c r="E443" s="254">
        <v>2288460.04</v>
      </c>
      <c r="F443" s="303">
        <f>Table3[[#This Row],[Mid 146]]*4.5%/360</f>
        <v>286.05750499999999</v>
      </c>
      <c r="G443" s="305">
        <v>930616.85</v>
      </c>
      <c r="H443" s="303">
        <f>'Bank Int.'!$G443*4.5%/360</f>
        <v>116.32710625</v>
      </c>
      <c r="I443" s="254">
        <v>40727.120000000003</v>
      </c>
      <c r="J443" s="307">
        <f>'Bank Int.'!$I443*6.5%/360</f>
        <v>7.3535077777777786</v>
      </c>
      <c r="K443" s="337">
        <v>43827.97</v>
      </c>
      <c r="L443" s="307">
        <f>Table3[[#This Row],[MTBL]]*6.5%/360</f>
        <v>7.9133834722222227</v>
      </c>
      <c r="N443" s="358"/>
    </row>
    <row r="444" spans="1:14" ht="22.9" customHeight="1" x14ac:dyDescent="0.25">
      <c r="A444" s="257"/>
      <c r="B444" s="253">
        <v>45675</v>
      </c>
      <c r="C444" s="298">
        <v>22933337.59</v>
      </c>
      <c r="D444" s="295">
        <f>'Bank Int.'!$C444*7.5%/360</f>
        <v>4777.778664583333</v>
      </c>
      <c r="E444" s="254">
        <v>2288462.54</v>
      </c>
      <c r="F444" s="303">
        <f>Table3[[#This Row],[Mid 146]]*4.5%/360</f>
        <v>286.0578175</v>
      </c>
      <c r="G444" s="305">
        <v>930616.85</v>
      </c>
      <c r="H444" s="303">
        <f>'Bank Int.'!$G444*4.5%/360</f>
        <v>116.32710625</v>
      </c>
      <c r="I444" s="254">
        <v>40727.120000000003</v>
      </c>
      <c r="J444" s="307">
        <f>'Bank Int.'!$I444*6.5%/360</f>
        <v>7.3535077777777786</v>
      </c>
      <c r="K444" s="337">
        <v>43827.97</v>
      </c>
      <c r="L444" s="307">
        <f>Table3[[#This Row],[MTBL]]*6.5%/360</f>
        <v>7.9133834722222227</v>
      </c>
      <c r="N444" s="358"/>
    </row>
    <row r="445" spans="1:14" ht="22.9" customHeight="1" x14ac:dyDescent="0.25">
      <c r="A445" s="257"/>
      <c r="B445" s="253">
        <f t="shared" ref="B445:B450" si="54">B444-1</f>
        <v>45674</v>
      </c>
      <c r="C445" s="298">
        <v>22933337.59</v>
      </c>
      <c r="D445" s="295">
        <f>'Bank Int.'!$C445*7.5%/360</f>
        <v>4777.778664583333</v>
      </c>
      <c r="E445" s="254">
        <v>2288462.54</v>
      </c>
      <c r="F445" s="303">
        <f>Table3[[#This Row],[Mid 146]]*4.5%/360</f>
        <v>286.0578175</v>
      </c>
      <c r="G445" s="305">
        <v>930616.85</v>
      </c>
      <c r="H445" s="303">
        <f>'Bank Int.'!$G445*4.5%/360</f>
        <v>116.32710625</v>
      </c>
      <c r="I445" s="254">
        <v>40727.120000000003</v>
      </c>
      <c r="J445" s="307">
        <f>'Bank Int.'!$I445*6.5%/360</f>
        <v>7.3535077777777786</v>
      </c>
      <c r="K445" s="337">
        <v>43827.97</v>
      </c>
      <c r="L445" s="307">
        <f>'Bank Int.'!$K445*6.5%/360</f>
        <v>7.9133834722222227</v>
      </c>
      <c r="N445" s="358"/>
    </row>
    <row r="446" spans="1:14" ht="22.9" customHeight="1" x14ac:dyDescent="0.25">
      <c r="A446" s="257"/>
      <c r="B446" s="253">
        <f t="shared" si="54"/>
        <v>45673</v>
      </c>
      <c r="C446" s="298">
        <v>22933337.59</v>
      </c>
      <c r="D446" s="295">
        <f>'Bank Int.'!$C446*7.5%/360</f>
        <v>4777.778664583333</v>
      </c>
      <c r="E446" s="254">
        <v>2288462.54</v>
      </c>
      <c r="F446" s="303">
        <f>Table3[[#This Row],[Mid 146]]*4.5%/360</f>
        <v>286.0578175</v>
      </c>
      <c r="G446" s="305">
        <v>930616.85</v>
      </c>
      <c r="H446" s="303">
        <f>'Bank Int.'!$G446*4.5%/360</f>
        <v>116.32710625</v>
      </c>
      <c r="I446" s="254">
        <v>40727.120000000003</v>
      </c>
      <c r="J446" s="307">
        <f>'Bank Int.'!$I446*6.5%/360</f>
        <v>7.3535077777777786</v>
      </c>
      <c r="K446" s="337">
        <v>43827.97</v>
      </c>
      <c r="L446" s="307">
        <f>'Bank Int.'!$K446*6.5%/360</f>
        <v>7.9133834722222227</v>
      </c>
      <c r="N446" s="358"/>
    </row>
    <row r="447" spans="1:14" ht="22.9" customHeight="1" x14ac:dyDescent="0.25">
      <c r="A447" s="257"/>
      <c r="B447" s="253">
        <f t="shared" si="54"/>
        <v>45672</v>
      </c>
      <c r="C447" s="298">
        <v>13033455.59</v>
      </c>
      <c r="D447" s="295">
        <f>'Bank Int.'!$C447*7.5%/360</f>
        <v>2715.3032479166664</v>
      </c>
      <c r="E447" s="254">
        <v>2288462.54</v>
      </c>
      <c r="F447" s="303">
        <f>Table3[[#This Row],[Mid 146]]*4.5%/360</f>
        <v>286.0578175</v>
      </c>
      <c r="G447" s="305">
        <v>278761.84999999998</v>
      </c>
      <c r="H447" s="303">
        <f>'Bank Int.'!$G447*4.5%/360</f>
        <v>34.845231249999998</v>
      </c>
      <c r="I447" s="254">
        <v>40727.120000000003</v>
      </c>
      <c r="J447" s="307">
        <f>'Bank Int.'!$I447*6.5%/360</f>
        <v>7.3535077777777786</v>
      </c>
      <c r="K447" s="337">
        <v>43827.97</v>
      </c>
      <c r="L447" s="307">
        <f>'Bank Int.'!$K447*6.5%/360</f>
        <v>7.9133834722222227</v>
      </c>
      <c r="N447" s="358"/>
    </row>
    <row r="448" spans="1:14" ht="22.9" customHeight="1" x14ac:dyDescent="0.25">
      <c r="A448" s="257"/>
      <c r="B448" s="253">
        <f t="shared" si="54"/>
        <v>45671</v>
      </c>
      <c r="C448" s="298">
        <v>13033455.59</v>
      </c>
      <c r="D448" s="295">
        <f>'Bank Int.'!$C448*7.5%/360</f>
        <v>2715.3032479166664</v>
      </c>
      <c r="E448" s="254">
        <v>4847747.16</v>
      </c>
      <c r="F448" s="303">
        <f>Table3[[#This Row],[Mid 146]]*4.5%/360</f>
        <v>605.96839499999999</v>
      </c>
      <c r="G448" s="305">
        <v>176761.85</v>
      </c>
      <c r="H448" s="303">
        <f>'Bank Int.'!$G448*4.5%/360</f>
        <v>22.095231250000001</v>
      </c>
      <c r="I448" s="254">
        <v>40727.120000000003</v>
      </c>
      <c r="J448" s="307">
        <f>'Bank Int.'!$I448*6.5%/360</f>
        <v>7.3535077777777786</v>
      </c>
      <c r="K448" s="337">
        <v>43827.97</v>
      </c>
      <c r="L448" s="307">
        <f>'Bank Int.'!$K448*6.5%/360</f>
        <v>7.9133834722222227</v>
      </c>
      <c r="N448" s="358"/>
    </row>
    <row r="449" spans="1:14" ht="22.9" customHeight="1" x14ac:dyDescent="0.25">
      <c r="A449" s="257"/>
      <c r="B449" s="253">
        <f t="shared" si="54"/>
        <v>45670</v>
      </c>
      <c r="C449" s="298">
        <v>13033455.59</v>
      </c>
      <c r="D449" s="295">
        <f>'Bank Int.'!$C449*7.5%/360</f>
        <v>2715.3032479166664</v>
      </c>
      <c r="E449" s="254">
        <v>4847747.16</v>
      </c>
      <c r="F449" s="303">
        <f>Table3[[#This Row],[Mid 146]]*4.5%/360</f>
        <v>605.96839499999999</v>
      </c>
      <c r="G449" s="305">
        <v>176761.85</v>
      </c>
      <c r="H449" s="303">
        <f>'Bank Int.'!$G449*4.5%/360</f>
        <v>22.095231250000001</v>
      </c>
      <c r="I449" s="254">
        <v>40727.120000000003</v>
      </c>
      <c r="J449" s="307">
        <f>'Bank Int.'!$I449*6.5%/360</f>
        <v>7.3535077777777786</v>
      </c>
      <c r="K449" s="337">
        <v>43827.97</v>
      </c>
      <c r="L449" s="307">
        <f>'Bank Int.'!$K449*6.5%/360</f>
        <v>7.9133834722222227</v>
      </c>
      <c r="N449" s="358"/>
    </row>
    <row r="450" spans="1:14" ht="22.9" customHeight="1" x14ac:dyDescent="0.25">
      <c r="A450" s="257"/>
      <c r="B450" s="253">
        <f t="shared" si="54"/>
        <v>45669</v>
      </c>
      <c r="C450" s="298">
        <v>13533455.59</v>
      </c>
      <c r="D450" s="295">
        <f>'Bank Int.'!$C450*7.5%/360</f>
        <v>2819.4699145833333</v>
      </c>
      <c r="E450" s="254">
        <v>4943529.9400000004</v>
      </c>
      <c r="F450" s="303">
        <f>Table3[[#This Row],[Mid 146]]*4.5%/360</f>
        <v>617.94124250000004</v>
      </c>
      <c r="G450" s="305">
        <v>176761.85</v>
      </c>
      <c r="H450" s="303">
        <f>'Bank Int.'!$G450*4.5%/360</f>
        <v>22.095231250000001</v>
      </c>
      <c r="I450" s="254">
        <v>40727.120000000003</v>
      </c>
      <c r="J450" s="307">
        <f>'Bank Int.'!$I450*6.5%/360</f>
        <v>7.3535077777777786</v>
      </c>
      <c r="K450" s="337">
        <v>43827.97</v>
      </c>
      <c r="L450" s="307">
        <f>'Bank Int.'!$K450*6.5%/360</f>
        <v>7.9133834722222227</v>
      </c>
      <c r="N450" s="358"/>
    </row>
    <row r="451" spans="1:14" ht="22.9" customHeight="1" x14ac:dyDescent="0.25">
      <c r="A451" s="257"/>
      <c r="B451" s="330">
        <v>45668</v>
      </c>
      <c r="C451" s="298">
        <v>4326162.59</v>
      </c>
      <c r="D451" s="295">
        <f>'Bank Int.'!$C451*7.5%/360</f>
        <v>901.28387291666672</v>
      </c>
      <c r="E451" s="254">
        <v>4943529.9400000004</v>
      </c>
      <c r="F451" s="303">
        <f>Table3[[#This Row],[Mid 146]]*4.5%/360</f>
        <v>617.94124250000004</v>
      </c>
      <c r="G451" s="305">
        <v>176761.85</v>
      </c>
      <c r="H451" s="303">
        <f>'Bank Int.'!$G451*4.5%/360</f>
        <v>22.095231250000001</v>
      </c>
      <c r="I451" s="254">
        <v>40727.120000000003</v>
      </c>
      <c r="J451" s="307">
        <f>'Bank Int.'!$I451*6.5%/360</f>
        <v>7.3535077777777786</v>
      </c>
      <c r="K451" s="337">
        <v>43827.97</v>
      </c>
      <c r="L451" s="307">
        <f>'Bank Int.'!$K451*6.5%/360</f>
        <v>7.9133834722222227</v>
      </c>
      <c r="N451" s="358"/>
    </row>
    <row r="452" spans="1:14" ht="22.9" customHeight="1" x14ac:dyDescent="0.25">
      <c r="A452" s="257"/>
      <c r="B452" s="253">
        <f t="shared" ref="B452:B461" si="55">B451-1</f>
        <v>45667</v>
      </c>
      <c r="C452" s="298">
        <v>4326162.59</v>
      </c>
      <c r="D452" s="295">
        <f>'Bank Int.'!$C452*7.5%/360</f>
        <v>901.28387291666672</v>
      </c>
      <c r="E452" s="254">
        <v>4943529.9400000004</v>
      </c>
      <c r="F452" s="303">
        <f>Table3[[#This Row],[Mid 146]]*4.5%/360</f>
        <v>617.94124250000004</v>
      </c>
      <c r="G452" s="305">
        <v>176761.85</v>
      </c>
      <c r="H452" s="303">
        <f>'Bank Int.'!$G452*4.5%/360</f>
        <v>22.095231250000001</v>
      </c>
      <c r="I452" s="254">
        <v>40727.120000000003</v>
      </c>
      <c r="J452" s="307">
        <f>'Bank Int.'!$I452*6.5%/360</f>
        <v>7.3535077777777786</v>
      </c>
      <c r="K452" s="337">
        <v>43827.97</v>
      </c>
      <c r="L452" s="307">
        <f>'Bank Int.'!$K452*6.5%/360</f>
        <v>7.9133834722222227</v>
      </c>
      <c r="N452" s="358"/>
    </row>
    <row r="453" spans="1:14" ht="22.9" customHeight="1" x14ac:dyDescent="0.25">
      <c r="A453" s="257"/>
      <c r="B453" s="253">
        <f t="shared" si="55"/>
        <v>45666</v>
      </c>
      <c r="C453" s="298">
        <v>4326162.59</v>
      </c>
      <c r="D453" s="295">
        <f>'Bank Int.'!$C453*7.5%/360</f>
        <v>901.28387291666672</v>
      </c>
      <c r="E453" s="254">
        <v>4943529.9400000004</v>
      </c>
      <c r="F453" s="303">
        <f>Table3[[#This Row],[Mid 146]]*4.5%/360</f>
        <v>617.94124250000004</v>
      </c>
      <c r="G453" s="305">
        <v>176761.85</v>
      </c>
      <c r="H453" s="303">
        <f>'Bank Int.'!$G453*4.5%/360</f>
        <v>22.095231250000001</v>
      </c>
      <c r="I453" s="254">
        <v>40727.120000000003</v>
      </c>
      <c r="J453" s="307">
        <f>'Bank Int.'!$I453*6.5%/360</f>
        <v>7.3535077777777786</v>
      </c>
      <c r="K453" s="337">
        <v>43827.97</v>
      </c>
      <c r="L453" s="307">
        <f>'Bank Int.'!$K453*6.5%/360</f>
        <v>7.9133834722222227</v>
      </c>
      <c r="N453" s="358"/>
    </row>
    <row r="454" spans="1:14" ht="22.9" customHeight="1" x14ac:dyDescent="0.25">
      <c r="A454" s="257"/>
      <c r="B454" s="253">
        <f t="shared" si="55"/>
        <v>45665</v>
      </c>
      <c r="C454" s="298">
        <v>4326162.59</v>
      </c>
      <c r="D454" s="295">
        <f>'Bank Int.'!$C454*7.5%/360</f>
        <v>901.28387291666672</v>
      </c>
      <c r="E454" s="254">
        <v>4943529.9400000004</v>
      </c>
      <c r="F454" s="303">
        <f>Table3[[#This Row],[Mid 146]]*4.5%/360</f>
        <v>617.94124250000004</v>
      </c>
      <c r="G454" s="305">
        <v>176761.85</v>
      </c>
      <c r="H454" s="303">
        <f>'Bank Int.'!$G454*4.5%/360</f>
        <v>22.095231250000001</v>
      </c>
      <c r="I454" s="254">
        <v>40727.120000000003</v>
      </c>
      <c r="J454" s="307">
        <f>'Bank Int.'!$I454*6.5%/360</f>
        <v>7.3535077777777786</v>
      </c>
      <c r="K454" s="337">
        <v>43827.97</v>
      </c>
      <c r="L454" s="307">
        <f>'Bank Int.'!$K454*6.5%/360</f>
        <v>7.9133834722222227</v>
      </c>
      <c r="N454" s="358"/>
    </row>
    <row r="455" spans="1:14" ht="22.9" customHeight="1" x14ac:dyDescent="0.25">
      <c r="A455" s="257"/>
      <c r="B455" s="253">
        <f t="shared" si="55"/>
        <v>45664</v>
      </c>
      <c r="C455" s="298">
        <v>3826262.59</v>
      </c>
      <c r="D455" s="295">
        <f>'Bank Int.'!$C455*7.5%/360</f>
        <v>797.13803958333335</v>
      </c>
      <c r="E455" s="254">
        <v>14958209.939999999</v>
      </c>
      <c r="F455" s="303">
        <f>Table3[[#This Row],[Mid 146]]*4.5%/360</f>
        <v>1869.7762425000001</v>
      </c>
      <c r="G455" s="305">
        <v>176761.85</v>
      </c>
      <c r="H455" s="303">
        <f>'Bank Int.'!$G455*4.5%/360</f>
        <v>22.095231250000001</v>
      </c>
      <c r="I455" s="254">
        <v>40727.120000000003</v>
      </c>
      <c r="J455" s="307">
        <f>'Bank Int.'!$I455*6.5%/360</f>
        <v>7.3535077777777786</v>
      </c>
      <c r="K455" s="337">
        <v>43827.97</v>
      </c>
      <c r="L455" s="307">
        <f>'Bank Int.'!$K455*6.5%/360</f>
        <v>7.9133834722222227</v>
      </c>
      <c r="N455" s="358"/>
    </row>
    <row r="456" spans="1:14" ht="22.9" customHeight="1" x14ac:dyDescent="0.25">
      <c r="A456" s="257"/>
      <c r="B456" s="253">
        <f t="shared" si="55"/>
        <v>45663</v>
      </c>
      <c r="C456" s="298">
        <v>17122138.649999999</v>
      </c>
      <c r="D456" s="295">
        <f>'Bank Int.'!$C456*7.5%/360</f>
        <v>3567.11221875</v>
      </c>
      <c r="E456" s="254">
        <v>2958209.94</v>
      </c>
      <c r="F456" s="303">
        <f>Table3[[#This Row],[Mid 146]]*4.5%/360</f>
        <v>369.77624250000002</v>
      </c>
      <c r="G456" s="305">
        <v>176761.85</v>
      </c>
      <c r="H456" s="303">
        <f>'Bank Int.'!$G456*4.5%/360</f>
        <v>22.095231250000001</v>
      </c>
      <c r="I456" s="254">
        <v>40727.120000000003</v>
      </c>
      <c r="J456" s="307">
        <f>'Bank Int.'!$I456*6.5%/360</f>
        <v>7.3535077777777786</v>
      </c>
      <c r="K456" s="337">
        <v>43827.97</v>
      </c>
      <c r="L456" s="307">
        <f>'Bank Int.'!$K456*6.5%/360</f>
        <v>7.9133834722222227</v>
      </c>
      <c r="N456" s="358"/>
    </row>
    <row r="457" spans="1:14" ht="22.9" customHeight="1" x14ac:dyDescent="0.25">
      <c r="A457" s="257"/>
      <c r="B457" s="253">
        <f t="shared" si="55"/>
        <v>45662</v>
      </c>
      <c r="C457" s="298">
        <v>17122138.649999999</v>
      </c>
      <c r="D457" s="295">
        <f>'Bank Int.'!$C457*7.5%/360</f>
        <v>3567.11221875</v>
      </c>
      <c r="E457" s="254">
        <v>2958209.94</v>
      </c>
      <c r="F457" s="303">
        <f>Table3[[#This Row],[Mid 146]]*4.5%/360</f>
        <v>369.77624250000002</v>
      </c>
      <c r="G457" s="305">
        <v>176761.85</v>
      </c>
      <c r="H457" s="303">
        <f>'Bank Int.'!$G457*4.5%/360</f>
        <v>22.095231250000001</v>
      </c>
      <c r="I457" s="254">
        <v>40727.120000000003</v>
      </c>
      <c r="J457" s="307">
        <f>'Bank Int.'!$I457*6.5%/360</f>
        <v>7.3535077777777786</v>
      </c>
      <c r="K457" s="337">
        <v>43827.97</v>
      </c>
      <c r="L457" s="307">
        <f>'Bank Int.'!$K457*6.5%/360</f>
        <v>7.9133834722222227</v>
      </c>
      <c r="N457" s="358"/>
    </row>
    <row r="458" spans="1:14" ht="22.9" customHeight="1" x14ac:dyDescent="0.25">
      <c r="A458" s="257"/>
      <c r="B458" s="253">
        <f t="shared" si="55"/>
        <v>45661</v>
      </c>
      <c r="C458" s="298">
        <v>17441018.219999999</v>
      </c>
      <c r="D458" s="295">
        <f>'Bank Int.'!$C458*7.5%/360</f>
        <v>3633.5454624999993</v>
      </c>
      <c r="E458" s="254">
        <v>1595209.94</v>
      </c>
      <c r="F458" s="303">
        <f>Table3[[#This Row],[Mid 146]]*4.5%/360</f>
        <v>199.4012425</v>
      </c>
      <c r="G458" s="305">
        <v>176761.85</v>
      </c>
      <c r="H458" s="303">
        <f>'Bank Int.'!$G458*4.5%/360</f>
        <v>22.095231250000001</v>
      </c>
      <c r="I458" s="254">
        <v>40727.120000000003</v>
      </c>
      <c r="J458" s="307">
        <f>'Bank Int.'!$I458*6.5%/360</f>
        <v>7.3535077777777786</v>
      </c>
      <c r="K458" s="337">
        <v>43827.97</v>
      </c>
      <c r="L458" s="307">
        <f>'Bank Int.'!$K458*6.5%/360</f>
        <v>7.9133834722222227</v>
      </c>
      <c r="N458" s="358"/>
    </row>
    <row r="459" spans="1:14" ht="22.9" customHeight="1" x14ac:dyDescent="0.25">
      <c r="A459" s="257"/>
      <c r="B459" s="253">
        <f t="shared" si="55"/>
        <v>45660</v>
      </c>
      <c r="C459" s="298">
        <v>17441018.219999999</v>
      </c>
      <c r="D459" s="295">
        <f>'Bank Int.'!$C459*7.5%/360</f>
        <v>3633.5454624999993</v>
      </c>
      <c r="E459" s="254">
        <v>1595209.94</v>
      </c>
      <c r="F459" s="303">
        <f>Table3[[#This Row],[Mid 146]]*4.5%/360</f>
        <v>199.4012425</v>
      </c>
      <c r="G459" s="305">
        <v>176761.85</v>
      </c>
      <c r="H459" s="303">
        <f>'Bank Int.'!$G459*4.5%/360</f>
        <v>22.095231250000001</v>
      </c>
      <c r="I459" s="254">
        <v>40727.120000000003</v>
      </c>
      <c r="J459" s="307">
        <f>'Bank Int.'!$I459*6.5%/360</f>
        <v>7.3535077777777786</v>
      </c>
      <c r="K459" s="337">
        <v>43827.97</v>
      </c>
      <c r="L459" s="307">
        <f>'Bank Int.'!$K459*6.5%/360</f>
        <v>7.9133834722222227</v>
      </c>
      <c r="N459" s="358"/>
    </row>
    <row r="460" spans="1:14" ht="22.9" customHeight="1" x14ac:dyDescent="0.25">
      <c r="A460" s="257"/>
      <c r="B460" s="253">
        <f t="shared" si="55"/>
        <v>45659</v>
      </c>
      <c r="C460" s="298">
        <v>17441018.219999999</v>
      </c>
      <c r="D460" s="295">
        <f>'Bank Int.'!$C460*7.5%/360</f>
        <v>3633.5454624999993</v>
      </c>
      <c r="E460" s="254">
        <v>1595209.94</v>
      </c>
      <c r="F460" s="303">
        <f>Table3[[#This Row],[Mid 146]]*4.5%/360</f>
        <v>199.4012425</v>
      </c>
      <c r="G460" s="305">
        <v>33361.85</v>
      </c>
      <c r="H460" s="303">
        <f>'Bank Int.'!$G460*4.5%/360</f>
        <v>4.1702312499999996</v>
      </c>
      <c r="I460" s="254">
        <v>40727.120000000003</v>
      </c>
      <c r="J460" s="307">
        <f>'Bank Int.'!$I460*6.5%/360</f>
        <v>7.3535077777777786</v>
      </c>
      <c r="K460" s="337">
        <v>43827.97</v>
      </c>
      <c r="L460" s="307">
        <f>'Bank Int.'!$K460*6.5%/360</f>
        <v>7.9133834722222227</v>
      </c>
      <c r="N460" s="358"/>
    </row>
    <row r="461" spans="1:14" ht="22.9" customHeight="1" x14ac:dyDescent="0.25">
      <c r="A461" s="257"/>
      <c r="B461" s="253">
        <f t="shared" si="55"/>
        <v>45658</v>
      </c>
      <c r="C461" s="298">
        <v>15941018.220000001</v>
      </c>
      <c r="D461" s="295">
        <f>'Bank Int.'!$C461*7.5%/360</f>
        <v>3321.0454625000002</v>
      </c>
      <c r="E461" s="254">
        <v>1595209.94</v>
      </c>
      <c r="F461" s="303">
        <f>Table3[[#This Row],[Mid 146]]*4.5%/360</f>
        <v>199.4012425</v>
      </c>
      <c r="G461" s="305">
        <v>1533361.85</v>
      </c>
      <c r="H461" s="303">
        <f>'Bank Int.'!$G461*4.5%/360</f>
        <v>191.67023125000003</v>
      </c>
      <c r="I461" s="254">
        <v>40727.120000000003</v>
      </c>
      <c r="J461" s="307">
        <f>'Bank Int.'!$I461*6.5%/360</f>
        <v>7.3535077777777786</v>
      </c>
      <c r="K461" s="337">
        <v>43827.97</v>
      </c>
      <c r="L461" s="307">
        <f>'Bank Int.'!$K461*6.5%/360</f>
        <v>7.9133834722222227</v>
      </c>
      <c r="N461" s="358"/>
    </row>
    <row r="462" spans="1:14" ht="22.9" customHeight="1" x14ac:dyDescent="0.25">
      <c r="A462" s="257"/>
      <c r="B462" s="253"/>
      <c r="C462" s="298"/>
      <c r="D462" s="295"/>
      <c r="E462" s="254"/>
      <c r="F462" s="254"/>
      <c r="G462" s="305"/>
      <c r="H462" s="254"/>
      <c r="I462" s="254"/>
      <c r="J462" s="307"/>
      <c r="K462" s="337"/>
      <c r="L462" s="307"/>
      <c r="N462" s="358"/>
    </row>
    <row r="463" spans="1:14" ht="22.9" customHeight="1" x14ac:dyDescent="0.25">
      <c r="A463" s="257"/>
      <c r="B463" s="253"/>
      <c r="C463" s="298"/>
      <c r="D463" s="295">
        <f>SUM(D464:D644)</f>
        <v>95403.870766666587</v>
      </c>
      <c r="E463" s="254"/>
      <c r="F463" s="295">
        <f>SUM(F464:F644)</f>
        <v>291658.44044854131</v>
      </c>
      <c r="G463" s="305"/>
      <c r="H463" s="295">
        <f>SUM(H464:H644)</f>
        <v>7779.9676312500296</v>
      </c>
      <c r="I463" s="254"/>
      <c r="J463" s="295">
        <f>SUM(J464:J644)</f>
        <v>1342.2596994444468</v>
      </c>
      <c r="K463" s="337"/>
      <c r="L463" s="295">
        <f>SUM(L464:L644)</f>
        <v>2061.5077455555506</v>
      </c>
      <c r="N463" s="358"/>
    </row>
    <row r="464" spans="1:14" ht="22.9" customHeight="1" x14ac:dyDescent="0.25">
      <c r="A464" s="257"/>
      <c r="B464" s="253">
        <v>45654</v>
      </c>
      <c r="C464" s="298">
        <v>748680.6</v>
      </c>
      <c r="D464" s="295">
        <f>'Bank Int.'!$C464*7.5%/360</f>
        <v>155.97512499999999</v>
      </c>
      <c r="E464" s="254">
        <v>1509651.99</v>
      </c>
      <c r="F464" s="303">
        <f>'Bank Int.'!$G464*4.5%/360</f>
        <v>157.33649750000001</v>
      </c>
      <c r="G464" s="305">
        <v>1258691.98</v>
      </c>
      <c r="H464" s="303">
        <f>'Bank Int.'!$G464*4.5%/360</f>
        <v>157.33649750000001</v>
      </c>
      <c r="I464" s="306">
        <v>41072.120000000003</v>
      </c>
      <c r="J464" s="307">
        <f>'Bank Int.'!$I464*6.5%/360</f>
        <v>7.4157994444444446</v>
      </c>
      <c r="K464" s="338">
        <v>63080.56</v>
      </c>
      <c r="L464" s="307">
        <f>'Bank Int.'!$K464*6.5%/360</f>
        <v>11.389545555555555</v>
      </c>
      <c r="N464" s="358"/>
    </row>
    <row r="465" spans="1:14" ht="22.9" customHeight="1" x14ac:dyDescent="0.25">
      <c r="A465" s="257"/>
      <c r="B465" s="253">
        <f t="shared" ref="B465:B470" si="56">B464-1</f>
        <v>45653</v>
      </c>
      <c r="C465" s="298">
        <v>748680.6</v>
      </c>
      <c r="D465" s="295">
        <f>'Bank Int.'!$C465*7.5%/360</f>
        <v>155.97512499999999</v>
      </c>
      <c r="E465" s="254">
        <v>1509651.99</v>
      </c>
      <c r="F465" s="295">
        <f>'Bank Int.'!$E465*7.5%/360</f>
        <v>314.51083125000002</v>
      </c>
      <c r="G465" s="305">
        <v>1258691.98</v>
      </c>
      <c r="H465" s="303">
        <f>'Bank Int.'!$G465*4.5%/360</f>
        <v>157.33649750000001</v>
      </c>
      <c r="I465" s="306">
        <v>41072.120000000003</v>
      </c>
      <c r="J465" s="307">
        <f>'Bank Int.'!$I465*6.5%/360</f>
        <v>7.4157994444444446</v>
      </c>
      <c r="K465" s="338">
        <v>63080.56</v>
      </c>
      <c r="L465" s="307">
        <f>'Bank Int.'!$K465*6.5%/360</f>
        <v>11.389545555555555</v>
      </c>
      <c r="N465" s="358"/>
    </row>
    <row r="466" spans="1:14" ht="22.9" customHeight="1" x14ac:dyDescent="0.25">
      <c r="A466" s="257"/>
      <c r="B466" s="253">
        <f t="shared" si="56"/>
        <v>45652</v>
      </c>
      <c r="C466" s="298">
        <v>748680.6</v>
      </c>
      <c r="D466" s="295">
        <f>'Bank Int.'!$C466*7.5%/360</f>
        <v>155.97512499999999</v>
      </c>
      <c r="E466" s="254">
        <v>1509651.99</v>
      </c>
      <c r="F466" s="295">
        <f>'Bank Int.'!$E466*7.5%/360</f>
        <v>314.51083125000002</v>
      </c>
      <c r="G466" s="305">
        <v>1258691.98</v>
      </c>
      <c r="H466" s="303">
        <f>'Bank Int.'!$G466*4.5%/360</f>
        <v>157.33649750000001</v>
      </c>
      <c r="I466" s="306">
        <v>41072.120000000003</v>
      </c>
      <c r="J466" s="307">
        <f>'Bank Int.'!$I466*6.5%/360</f>
        <v>7.4157994444444446</v>
      </c>
      <c r="K466" s="338">
        <v>63080.56</v>
      </c>
      <c r="L466" s="307">
        <f>'Bank Int.'!$K466*6.5%/360</f>
        <v>11.389545555555555</v>
      </c>
      <c r="N466" s="358"/>
    </row>
    <row r="467" spans="1:14" ht="22.9" customHeight="1" x14ac:dyDescent="0.25">
      <c r="A467" s="257"/>
      <c r="B467" s="253">
        <f t="shared" si="56"/>
        <v>45651</v>
      </c>
      <c r="C467" s="298">
        <v>183658</v>
      </c>
      <c r="D467" s="295">
        <f>'Bank Int.'!$C467*7.5%/360</f>
        <v>38.262083333333337</v>
      </c>
      <c r="E467" s="254">
        <v>1509651.99</v>
      </c>
      <c r="F467" s="295">
        <f>'Bank Int.'!$E467*7.5%/360</f>
        <v>314.51083125000002</v>
      </c>
      <c r="G467" s="305">
        <v>1258691.98</v>
      </c>
      <c r="H467" s="303">
        <f>'Bank Int.'!$G467*4.5%/360</f>
        <v>157.33649750000001</v>
      </c>
      <c r="I467" s="306">
        <v>41072.120000000003</v>
      </c>
      <c r="J467" s="307">
        <f>'Bank Int.'!$I467*6.5%/360</f>
        <v>7.4157994444444446</v>
      </c>
      <c r="K467" s="338">
        <v>63080.56</v>
      </c>
      <c r="L467" s="307">
        <f>'Bank Int.'!$K467*6.5%/360</f>
        <v>11.389545555555555</v>
      </c>
      <c r="N467" s="358"/>
    </row>
    <row r="468" spans="1:14" ht="22.9" customHeight="1" x14ac:dyDescent="0.25">
      <c r="A468" s="257"/>
      <c r="B468" s="253">
        <f t="shared" si="56"/>
        <v>45650</v>
      </c>
      <c r="C468" s="298">
        <v>183658</v>
      </c>
      <c r="D468" s="295">
        <f>'Bank Int.'!$C468*7.5%/360</f>
        <v>38.262083333333337</v>
      </c>
      <c r="E468" s="254">
        <v>1509651.99</v>
      </c>
      <c r="F468" s="295">
        <f>'Bank Int.'!$E468*7.5%/360</f>
        <v>314.51083125000002</v>
      </c>
      <c r="G468" s="305">
        <v>1258691.98</v>
      </c>
      <c r="H468" s="303">
        <f>'Bank Int.'!$G468*4.5%/360</f>
        <v>157.33649750000001</v>
      </c>
      <c r="I468" s="306">
        <v>41072.120000000003</v>
      </c>
      <c r="J468" s="307">
        <f>'Bank Int.'!$I468*6.5%/360</f>
        <v>7.4157994444444446</v>
      </c>
      <c r="K468" s="338">
        <v>63080.56</v>
      </c>
      <c r="L468" s="307">
        <f>'Bank Int.'!$K468*6.5%/360</f>
        <v>11.389545555555555</v>
      </c>
      <c r="N468" s="358"/>
    </row>
    <row r="469" spans="1:14" ht="22.9" customHeight="1" x14ac:dyDescent="0.25">
      <c r="A469" s="257"/>
      <c r="B469" s="253">
        <f t="shared" si="56"/>
        <v>45649</v>
      </c>
      <c r="C469" s="298">
        <v>283816</v>
      </c>
      <c r="D469" s="295">
        <f>'Bank Int.'!$C469*7.5%/360</f>
        <v>59.128333333333337</v>
      </c>
      <c r="E469" s="254">
        <v>3264552.99</v>
      </c>
      <c r="F469" s="295">
        <f>'Bank Int.'!$E469*7.5%/360</f>
        <v>680.11520625000003</v>
      </c>
      <c r="G469" s="305">
        <v>498691.98</v>
      </c>
      <c r="H469" s="303">
        <f>'Bank Int.'!$G469*4.5%/360</f>
        <v>62.336497499999993</v>
      </c>
      <c r="I469" s="306">
        <v>41072.120000000003</v>
      </c>
      <c r="J469" s="307">
        <f>'Bank Int.'!$I469*6.5%/360</f>
        <v>7.4157994444444446</v>
      </c>
      <c r="K469" s="338">
        <v>63080.56</v>
      </c>
      <c r="L469" s="307">
        <f>'Bank Int.'!$K469*6.5%/360</f>
        <v>11.389545555555555</v>
      </c>
      <c r="N469" s="358"/>
    </row>
    <row r="470" spans="1:14" ht="22.9" customHeight="1" x14ac:dyDescent="0.25">
      <c r="A470" s="257"/>
      <c r="B470" s="253">
        <f t="shared" si="56"/>
        <v>45648</v>
      </c>
      <c r="C470" s="298">
        <v>283816</v>
      </c>
      <c r="D470" s="295">
        <f>'Bank Int.'!$C470*7.5%/360</f>
        <v>59.128333333333337</v>
      </c>
      <c r="E470" s="254">
        <v>1233436.43</v>
      </c>
      <c r="F470" s="295">
        <f>'Bank Int.'!$E470*7.5%/360</f>
        <v>256.96592291666661</v>
      </c>
      <c r="G470" s="305">
        <v>498691.98</v>
      </c>
      <c r="H470" s="303">
        <f>'Bank Int.'!$G470*4.5%/360</f>
        <v>62.336497499999993</v>
      </c>
      <c r="I470" s="306">
        <v>41072.120000000003</v>
      </c>
      <c r="J470" s="307">
        <f>'Bank Int.'!$I470*6.5%/360</f>
        <v>7.4157994444444446</v>
      </c>
      <c r="K470" s="338">
        <v>63080.56</v>
      </c>
      <c r="L470" s="307">
        <f>'Bank Int.'!$K470*6.5%/360</f>
        <v>11.389545555555555</v>
      </c>
      <c r="N470" s="358"/>
    </row>
    <row r="471" spans="1:14" ht="22.9" customHeight="1" x14ac:dyDescent="0.25">
      <c r="A471" s="257"/>
      <c r="B471" s="253">
        <v>45647</v>
      </c>
      <c r="C471" s="298">
        <v>633901</v>
      </c>
      <c r="D471" s="295">
        <f>'Bank Int.'!$C471*7.5%/360</f>
        <v>132.06270833333332</v>
      </c>
      <c r="E471" s="254">
        <v>6167936.4299999997</v>
      </c>
      <c r="F471" s="295">
        <f>'Bank Int.'!$E471*7.5%/360</f>
        <v>1284.9867562499999</v>
      </c>
      <c r="G471" s="305">
        <v>498691.98</v>
      </c>
      <c r="H471" s="303">
        <f>'Bank Int.'!$G471*4.5%/360</f>
        <v>62.336497499999993</v>
      </c>
      <c r="I471" s="306">
        <v>41072.120000000003</v>
      </c>
      <c r="J471" s="307">
        <f>'Bank Int.'!$I471*6.5%/360</f>
        <v>7.4157994444444446</v>
      </c>
      <c r="K471" s="338">
        <v>63080.56</v>
      </c>
      <c r="L471" s="307">
        <f>'Bank Int.'!$K471*6.5%/360</f>
        <v>11.389545555555555</v>
      </c>
      <c r="N471" s="358"/>
    </row>
    <row r="472" spans="1:14" ht="22.9" customHeight="1" x14ac:dyDescent="0.25">
      <c r="A472" s="257"/>
      <c r="B472" s="253">
        <f t="shared" ref="B472:B477" si="57">B471-1</f>
        <v>45646</v>
      </c>
      <c r="C472" s="298">
        <v>633901</v>
      </c>
      <c r="D472" s="295">
        <f>'Bank Int.'!$C472*7.5%/360</f>
        <v>132.06270833333332</v>
      </c>
      <c r="E472" s="254">
        <v>6167936.4299999997</v>
      </c>
      <c r="F472" s="295">
        <f>'Bank Int.'!$E472*7.5%/360</f>
        <v>1284.9867562499999</v>
      </c>
      <c r="G472" s="305">
        <v>498691.98</v>
      </c>
      <c r="H472" s="303">
        <f>'Bank Int.'!$G472*4.5%/360</f>
        <v>62.336497499999993</v>
      </c>
      <c r="I472" s="306">
        <v>41072.120000000003</v>
      </c>
      <c r="J472" s="307">
        <f>'Bank Int.'!$I472*6.5%/360</f>
        <v>7.4157994444444446</v>
      </c>
      <c r="K472" s="338">
        <v>63080.56</v>
      </c>
      <c r="L472" s="307">
        <f>'Bank Int.'!$K472*6.5%/360</f>
        <v>11.389545555555555</v>
      </c>
      <c r="N472" s="358"/>
    </row>
    <row r="473" spans="1:14" ht="22.9" customHeight="1" x14ac:dyDescent="0.25">
      <c r="A473" s="257"/>
      <c r="B473" s="253">
        <f t="shared" si="57"/>
        <v>45645</v>
      </c>
      <c r="C473" s="298">
        <v>633901</v>
      </c>
      <c r="D473" s="295">
        <f>'Bank Int.'!$C473*7.5%/360</f>
        <v>132.06270833333332</v>
      </c>
      <c r="E473" s="254">
        <v>6167936.4299999997</v>
      </c>
      <c r="F473" s="295">
        <f>'Bank Int.'!$E473*7.5%/360</f>
        <v>1284.9867562499999</v>
      </c>
      <c r="G473" s="305">
        <v>498691.98</v>
      </c>
      <c r="H473" s="303">
        <f>'Bank Int.'!$G473*4.5%/360</f>
        <v>62.336497499999993</v>
      </c>
      <c r="I473" s="306">
        <v>41072.120000000003</v>
      </c>
      <c r="J473" s="307">
        <f>'Bank Int.'!$I473*6.5%/360</f>
        <v>7.4157994444444446</v>
      </c>
      <c r="K473" s="338">
        <v>63080.56</v>
      </c>
      <c r="L473" s="307">
        <f>'Bank Int.'!$K473*6.5%/360</f>
        <v>11.389545555555555</v>
      </c>
      <c r="N473" s="358"/>
    </row>
    <row r="474" spans="1:14" ht="22.9" customHeight="1" x14ac:dyDescent="0.25">
      <c r="A474" s="257"/>
      <c r="B474" s="253">
        <f t="shared" si="57"/>
        <v>45644</v>
      </c>
      <c r="C474" s="298">
        <v>630417.03</v>
      </c>
      <c r="D474" s="295">
        <f>'Bank Int.'!$C474*7.5%/360</f>
        <v>131.33688125</v>
      </c>
      <c r="E474" s="254">
        <v>10767936.43</v>
      </c>
      <c r="F474" s="295">
        <f>'Bank Int.'!$E474*7.5%/360</f>
        <v>2243.3200895833334</v>
      </c>
      <c r="G474" s="305">
        <v>498691.98</v>
      </c>
      <c r="H474" s="303">
        <f>'Bank Int.'!$G474*4.5%/360</f>
        <v>62.336497499999993</v>
      </c>
      <c r="I474" s="306">
        <v>41072.120000000003</v>
      </c>
      <c r="J474" s="307">
        <f>'Bank Int.'!$I474*6.5%/360</f>
        <v>7.4157994444444446</v>
      </c>
      <c r="K474" s="338">
        <v>63080.56</v>
      </c>
      <c r="L474" s="307">
        <f>'Bank Int.'!$K474*6.5%/360</f>
        <v>11.389545555555555</v>
      </c>
      <c r="N474" s="358"/>
    </row>
    <row r="475" spans="1:14" ht="22.9" customHeight="1" x14ac:dyDescent="0.25">
      <c r="A475" s="257"/>
      <c r="B475" s="253">
        <f t="shared" si="57"/>
        <v>45643</v>
      </c>
      <c r="C475" s="298">
        <v>630417.03</v>
      </c>
      <c r="D475" s="295">
        <f>'Bank Int.'!$C475*7.5%/360</f>
        <v>131.33688125</v>
      </c>
      <c r="E475" s="254">
        <v>32352161.43</v>
      </c>
      <c r="F475" s="295">
        <f>'Bank Int.'!$E475*7.5%/360</f>
        <v>6740.0336312499994</v>
      </c>
      <c r="G475" s="305">
        <v>395191.98</v>
      </c>
      <c r="H475" s="303">
        <f>'Bank Int.'!$G475*4.5%/360</f>
        <v>49.398997499999993</v>
      </c>
      <c r="I475" s="306">
        <v>41072.120000000003</v>
      </c>
      <c r="J475" s="307">
        <f>'Bank Int.'!$I475*6.5%/360</f>
        <v>7.4157994444444446</v>
      </c>
      <c r="K475" s="338">
        <v>63080.56</v>
      </c>
      <c r="L475" s="307">
        <f>'Bank Int.'!$K475*6.5%/360</f>
        <v>11.389545555555555</v>
      </c>
      <c r="N475" s="358"/>
    </row>
    <row r="476" spans="1:14" ht="22.9" customHeight="1" x14ac:dyDescent="0.25">
      <c r="A476" s="257"/>
      <c r="B476" s="253">
        <f t="shared" si="57"/>
        <v>45642</v>
      </c>
      <c r="C476" s="298">
        <v>1149221.6299999999</v>
      </c>
      <c r="D476" s="295">
        <f>'Bank Int.'!$C476*7.5%/360</f>
        <v>239.42117291666662</v>
      </c>
      <c r="E476" s="254">
        <v>32894930.52</v>
      </c>
      <c r="F476" s="295">
        <f>'Bank Int.'!$E476*7.5%/360</f>
        <v>6853.1105250000001</v>
      </c>
      <c r="G476" s="305">
        <v>400191.98</v>
      </c>
      <c r="H476" s="303">
        <f>'Bank Int.'!$G476*4.5%/360</f>
        <v>50.023997499999993</v>
      </c>
      <c r="I476" s="306">
        <v>41072.120000000003</v>
      </c>
      <c r="J476" s="307">
        <f>'Bank Int.'!$I476*6.5%/360</f>
        <v>7.4157994444444446</v>
      </c>
      <c r="K476" s="338">
        <v>63080.56</v>
      </c>
      <c r="L476" s="307">
        <f>'Bank Int.'!$K476*6.5%/360</f>
        <v>11.389545555555555</v>
      </c>
      <c r="N476" s="358"/>
    </row>
    <row r="477" spans="1:14" ht="22.9" customHeight="1" x14ac:dyDescent="0.25">
      <c r="A477" s="257"/>
      <c r="B477" s="253">
        <f t="shared" si="57"/>
        <v>45641</v>
      </c>
      <c r="C477" s="298">
        <v>1149221.6299999999</v>
      </c>
      <c r="D477" s="295">
        <f>'Bank Int.'!$C477*7.5%/360</f>
        <v>239.42117291666662</v>
      </c>
      <c r="E477" s="254">
        <v>32894930.52</v>
      </c>
      <c r="F477" s="295">
        <f>'Bank Int.'!$E477*7.5%/360</f>
        <v>6853.1105250000001</v>
      </c>
      <c r="G477" s="305">
        <v>400191.98</v>
      </c>
      <c r="H477" s="303">
        <f>'Bank Int.'!$G477*4.5%/360</f>
        <v>50.023997499999993</v>
      </c>
      <c r="I477" s="306">
        <v>41072.120000000003</v>
      </c>
      <c r="J477" s="307">
        <f>'Bank Int.'!$I477*6.5%/360</f>
        <v>7.4157994444444446</v>
      </c>
      <c r="K477" s="338">
        <v>63080.56</v>
      </c>
      <c r="L477" s="307">
        <f>'Bank Int.'!$K477*6.5%/360</f>
        <v>11.389545555555555</v>
      </c>
      <c r="N477" s="358"/>
    </row>
    <row r="478" spans="1:14" ht="22.9" customHeight="1" x14ac:dyDescent="0.25">
      <c r="A478" s="257"/>
      <c r="B478" s="253">
        <v>45640</v>
      </c>
      <c r="C478" s="298">
        <v>1149221.6299999999</v>
      </c>
      <c r="D478" s="295">
        <f>'Bank Int.'!$C478*7.5%/360</f>
        <v>239.42117291666662</v>
      </c>
      <c r="E478" s="254">
        <v>30566180.52</v>
      </c>
      <c r="F478" s="295">
        <f>'Bank Int.'!$E478*7.5%/360</f>
        <v>6367.9542750000001</v>
      </c>
      <c r="G478" s="305">
        <v>267191.98</v>
      </c>
      <c r="H478" s="303">
        <f>'Bank Int.'!$G478*4.5%/360</f>
        <v>33.398997499999993</v>
      </c>
      <c r="I478" s="306">
        <v>41072.120000000003</v>
      </c>
      <c r="J478" s="307">
        <f>'Bank Int.'!$I478*6.5%/360</f>
        <v>7.4157994444444446</v>
      </c>
      <c r="K478" s="338">
        <v>63080.56</v>
      </c>
      <c r="L478" s="307">
        <f>'Bank Int.'!$K478*6.5%/360</f>
        <v>11.389545555555555</v>
      </c>
      <c r="N478" s="358"/>
    </row>
    <row r="479" spans="1:14" ht="22.9" customHeight="1" x14ac:dyDescent="0.25">
      <c r="A479" s="257"/>
      <c r="B479" s="253">
        <f t="shared" ref="B479:B484" si="58">B478-1</f>
        <v>45639</v>
      </c>
      <c r="C479" s="298">
        <v>1149221.6299999999</v>
      </c>
      <c r="D479" s="295">
        <f>'Bank Int.'!$C479*7.5%/360</f>
        <v>239.42117291666662</v>
      </c>
      <c r="E479" s="254">
        <v>30566180.52</v>
      </c>
      <c r="F479" s="295">
        <f>'Bank Int.'!$E479*7.5%/360</f>
        <v>6367.9542750000001</v>
      </c>
      <c r="G479" s="305">
        <v>267191.98</v>
      </c>
      <c r="H479" s="303">
        <f>'Bank Int.'!$G479*4.5%/360</f>
        <v>33.398997499999993</v>
      </c>
      <c r="I479" s="306">
        <v>41072.120000000003</v>
      </c>
      <c r="J479" s="307">
        <f>'Bank Int.'!$I479*6.5%/360</f>
        <v>7.4157994444444446</v>
      </c>
      <c r="K479" s="338">
        <v>63080.56</v>
      </c>
      <c r="L479" s="307">
        <f>'Bank Int.'!$K479*6.5%/360</f>
        <v>11.389545555555555</v>
      </c>
      <c r="N479" s="358"/>
    </row>
    <row r="480" spans="1:14" ht="22.9" customHeight="1" x14ac:dyDescent="0.25">
      <c r="A480" s="257"/>
      <c r="B480" s="253">
        <f t="shared" si="58"/>
        <v>45638</v>
      </c>
      <c r="C480" s="298">
        <v>1149221.6299999999</v>
      </c>
      <c r="D480" s="295">
        <f>'Bank Int.'!$C480*7.5%/360</f>
        <v>239.42117291666662</v>
      </c>
      <c r="E480" s="254">
        <v>30566180.52</v>
      </c>
      <c r="F480" s="295">
        <f>'Bank Int.'!$E480*7.5%/360</f>
        <v>6367.9542750000001</v>
      </c>
      <c r="G480" s="305">
        <v>267191.98</v>
      </c>
      <c r="H480" s="303">
        <f>'Bank Int.'!$G480*4.5%/360</f>
        <v>33.398997499999993</v>
      </c>
      <c r="I480" s="306">
        <v>41072.120000000003</v>
      </c>
      <c r="J480" s="307">
        <f>'Bank Int.'!$I480*6.5%/360</f>
        <v>7.4157994444444446</v>
      </c>
      <c r="K480" s="338">
        <v>63080.56</v>
      </c>
      <c r="L480" s="307">
        <f>'Bank Int.'!$K480*6.5%/360</f>
        <v>11.389545555555555</v>
      </c>
      <c r="N480" s="358"/>
    </row>
    <row r="481" spans="1:14" ht="22.9" customHeight="1" x14ac:dyDescent="0.25">
      <c r="A481" s="257"/>
      <c r="B481" s="253">
        <f t="shared" si="58"/>
        <v>45637</v>
      </c>
      <c r="C481" s="298">
        <v>1149221.6299999999</v>
      </c>
      <c r="D481" s="295">
        <f>'Bank Int.'!$C481*7.5%/360</f>
        <v>239.42117291666662</v>
      </c>
      <c r="E481" s="254">
        <v>30566180.52</v>
      </c>
      <c r="F481" s="295">
        <f>'Bank Int.'!$E481*7.5%/360</f>
        <v>6367.9542750000001</v>
      </c>
      <c r="G481" s="305">
        <v>267191.98</v>
      </c>
      <c r="H481" s="303">
        <f>'Bank Int.'!$G481*4.5%/360</f>
        <v>33.398997499999993</v>
      </c>
      <c r="I481" s="306">
        <v>41072.120000000003</v>
      </c>
      <c r="J481" s="307">
        <f>'Bank Int.'!$I481*6.5%/360</f>
        <v>7.4157994444444446</v>
      </c>
      <c r="K481" s="338">
        <v>63080.56</v>
      </c>
      <c r="L481" s="307">
        <f>'Bank Int.'!$K481*6.5%/360</f>
        <v>11.389545555555555</v>
      </c>
      <c r="N481" s="358"/>
    </row>
    <row r="482" spans="1:14" ht="22.9" customHeight="1" x14ac:dyDescent="0.25">
      <c r="A482" s="257"/>
      <c r="B482" s="253">
        <f t="shared" si="58"/>
        <v>45636</v>
      </c>
      <c r="C482" s="298">
        <v>1149221.6299999999</v>
      </c>
      <c r="D482" s="295">
        <f>'Bank Int.'!$C482*7.5%/360</f>
        <v>239.42117291666662</v>
      </c>
      <c r="E482" s="254">
        <v>26446680.52</v>
      </c>
      <c r="F482" s="295">
        <f>'Bank Int.'!$E482*7.5%/360</f>
        <v>5509.7251083333331</v>
      </c>
      <c r="G482" s="305">
        <v>314057.07</v>
      </c>
      <c r="H482" s="303">
        <f>'Bank Int.'!$G482*4.5%/360</f>
        <v>39.257133749999994</v>
      </c>
      <c r="I482" s="306">
        <v>41072.120000000003</v>
      </c>
      <c r="J482" s="307">
        <f>'Bank Int.'!$I482*6.5%/360</f>
        <v>7.4157994444444446</v>
      </c>
      <c r="K482" s="338">
        <v>63080.56</v>
      </c>
      <c r="L482" s="307">
        <f>'Bank Int.'!$K482*6.5%/360</f>
        <v>11.389545555555555</v>
      </c>
      <c r="N482" s="358"/>
    </row>
    <row r="483" spans="1:14" ht="22.9" customHeight="1" x14ac:dyDescent="0.25">
      <c r="A483" s="257"/>
      <c r="B483" s="253">
        <f t="shared" si="58"/>
        <v>45635</v>
      </c>
      <c r="C483" s="298">
        <v>499221.63</v>
      </c>
      <c r="D483" s="295">
        <f>'Bank Int.'!$C483*7.5%/360</f>
        <v>104.00450625000001</v>
      </c>
      <c r="E483" s="254">
        <v>26446680.52</v>
      </c>
      <c r="F483" s="295">
        <f>'Bank Int.'!$E483*7.5%/360</f>
        <v>5509.7251083333331</v>
      </c>
      <c r="G483" s="305">
        <v>288557.07</v>
      </c>
      <c r="H483" s="303">
        <f>'Bank Int.'!$G483*4.5%/360</f>
        <v>36.069633749999994</v>
      </c>
      <c r="I483" s="306">
        <v>41072.120000000003</v>
      </c>
      <c r="J483" s="307">
        <f>'Bank Int.'!$I483*6.5%/360</f>
        <v>7.4157994444444446</v>
      </c>
      <c r="K483" s="338">
        <v>63080.56</v>
      </c>
      <c r="L483" s="307">
        <f>'Bank Int.'!$K483*6.5%/360</f>
        <v>11.389545555555555</v>
      </c>
      <c r="N483" s="358"/>
    </row>
    <row r="484" spans="1:14" ht="22.9" customHeight="1" x14ac:dyDescent="0.25">
      <c r="A484" s="257"/>
      <c r="B484" s="253">
        <f t="shared" si="58"/>
        <v>45634</v>
      </c>
      <c r="C484" s="298">
        <v>658571.97</v>
      </c>
      <c r="D484" s="295">
        <f>'Bank Int.'!$C484*7.5%/360</f>
        <v>137.20249375</v>
      </c>
      <c r="E484" s="254">
        <v>16446680.52</v>
      </c>
      <c r="F484" s="295">
        <f>'Bank Int.'!$E484*7.5%/360</f>
        <v>3426.3917749999996</v>
      </c>
      <c r="G484" s="305">
        <v>288557.07</v>
      </c>
      <c r="H484" s="303">
        <f>'Bank Int.'!$G484*4.5%/360</f>
        <v>36.069633749999994</v>
      </c>
      <c r="I484" s="306">
        <v>41072.120000000003</v>
      </c>
      <c r="J484" s="307">
        <f>'Bank Int.'!$I484*6.5%/360</f>
        <v>7.4157994444444446</v>
      </c>
      <c r="K484" s="338">
        <v>63080.56</v>
      </c>
      <c r="L484" s="307">
        <f>'Bank Int.'!$K484*6.5%/360</f>
        <v>11.389545555555555</v>
      </c>
      <c r="N484" s="358"/>
    </row>
    <row r="485" spans="1:14" ht="22.9" customHeight="1" x14ac:dyDescent="0.25">
      <c r="A485" s="257"/>
      <c r="B485" s="253">
        <v>45633</v>
      </c>
      <c r="C485" s="298">
        <v>658571.97</v>
      </c>
      <c r="D485" s="295">
        <f>'Bank Int.'!$C485*7.5%/360</f>
        <v>137.20249375</v>
      </c>
      <c r="E485" s="254">
        <v>16446680.52</v>
      </c>
      <c r="F485" s="295">
        <f>'Bank Int.'!$E485*7.5%/360</f>
        <v>3426.3917749999996</v>
      </c>
      <c r="G485" s="305">
        <v>290557.07</v>
      </c>
      <c r="H485" s="303">
        <f>'Bank Int.'!$G485*4.5%/360</f>
        <v>36.319633749999994</v>
      </c>
      <c r="I485" s="306">
        <v>41072.120000000003</v>
      </c>
      <c r="J485" s="307">
        <f>'Bank Int.'!$I485*6.5%/360</f>
        <v>7.4157994444444446</v>
      </c>
      <c r="K485" s="338">
        <v>63080.56</v>
      </c>
      <c r="L485" s="307">
        <f>'Bank Int.'!$K485*6.5%/360</f>
        <v>11.389545555555555</v>
      </c>
      <c r="N485" s="358"/>
    </row>
    <row r="486" spans="1:14" ht="22.9" customHeight="1" x14ac:dyDescent="0.25">
      <c r="A486" s="257"/>
      <c r="B486" s="253">
        <f t="shared" ref="B486:B491" si="59">B485-1</f>
        <v>45632</v>
      </c>
      <c r="C486" s="298">
        <v>658571.97</v>
      </c>
      <c r="D486" s="295">
        <f>'Bank Int.'!$C486*7.5%/360</f>
        <v>137.20249375</v>
      </c>
      <c r="E486" s="254">
        <v>16446680.52</v>
      </c>
      <c r="F486" s="295">
        <f>'Bank Int.'!$E486*7.5%/360</f>
        <v>3426.3917749999996</v>
      </c>
      <c r="G486" s="305">
        <v>290557.07</v>
      </c>
      <c r="H486" s="303">
        <f>'Bank Int.'!$G486*4.5%/360</f>
        <v>36.319633749999994</v>
      </c>
      <c r="I486" s="306">
        <v>41072.120000000003</v>
      </c>
      <c r="J486" s="307">
        <f>'Bank Int.'!$I486*6.5%/360</f>
        <v>7.4157994444444446</v>
      </c>
      <c r="K486" s="338">
        <v>63080.56</v>
      </c>
      <c r="L486" s="307">
        <f>'Bank Int.'!$K486*6.5%/360</f>
        <v>11.389545555555555</v>
      </c>
      <c r="N486" s="358"/>
    </row>
    <row r="487" spans="1:14" ht="22.9" customHeight="1" x14ac:dyDescent="0.25">
      <c r="A487" s="257"/>
      <c r="B487" s="253">
        <f t="shared" si="59"/>
        <v>45631</v>
      </c>
      <c r="C487" s="298">
        <v>658571.97</v>
      </c>
      <c r="D487" s="295">
        <f>'Bank Int.'!$C487*7.5%/360</f>
        <v>137.20249375</v>
      </c>
      <c r="E487" s="254">
        <v>16446680.52</v>
      </c>
      <c r="F487" s="295">
        <f>'Bank Int.'!$E487*7.5%/360</f>
        <v>3426.3917749999996</v>
      </c>
      <c r="G487" s="305">
        <v>290557.07</v>
      </c>
      <c r="H487" s="303">
        <f>'Bank Int.'!$G487*4.5%/360</f>
        <v>36.319633749999994</v>
      </c>
      <c r="I487" s="306">
        <v>41072.120000000003</v>
      </c>
      <c r="J487" s="307">
        <f>'Bank Int.'!$I487*6.5%/360</f>
        <v>7.4157994444444446</v>
      </c>
      <c r="K487" s="338">
        <v>63080.56</v>
      </c>
      <c r="L487" s="307">
        <f>'Bank Int.'!$K487*6.5%/360</f>
        <v>11.389545555555555</v>
      </c>
      <c r="N487" s="358"/>
    </row>
    <row r="488" spans="1:14" ht="22.9" customHeight="1" x14ac:dyDescent="0.25">
      <c r="A488" s="257"/>
      <c r="B488" s="253">
        <f t="shared" si="59"/>
        <v>45630</v>
      </c>
      <c r="C488" s="298">
        <v>658571.97</v>
      </c>
      <c r="D488" s="295">
        <f>'Bank Int.'!$C488*7.5%/360</f>
        <v>137.20249375</v>
      </c>
      <c r="E488" s="254">
        <v>6146430.5199999996</v>
      </c>
      <c r="F488" s="295">
        <f>'Bank Int.'!$E488*7.5%/360</f>
        <v>1280.5063583333331</v>
      </c>
      <c r="G488" s="305">
        <v>129107.07</v>
      </c>
      <c r="H488" s="303">
        <f>'Bank Int.'!$G488*4.5%/360</f>
        <v>16.138383749999999</v>
      </c>
      <c r="I488" s="306">
        <v>41072.120000000003</v>
      </c>
      <c r="J488" s="307">
        <f>'Bank Int.'!$I488*6.5%/360</f>
        <v>7.4157994444444446</v>
      </c>
      <c r="K488" s="338">
        <v>63080.56</v>
      </c>
      <c r="L488" s="307">
        <f>'Bank Int.'!$K488*6.5%/360</f>
        <v>11.389545555555555</v>
      </c>
      <c r="N488" s="358"/>
    </row>
    <row r="489" spans="1:14" ht="22.9" customHeight="1" x14ac:dyDescent="0.25">
      <c r="A489" s="257"/>
      <c r="B489" s="253">
        <f t="shared" si="59"/>
        <v>45629</v>
      </c>
      <c r="C489" s="298">
        <v>658571.97</v>
      </c>
      <c r="D489" s="295">
        <f>'Bank Int.'!$C489*7.5%/360</f>
        <v>137.20249375</v>
      </c>
      <c r="E489" s="254">
        <v>63174303.520000003</v>
      </c>
      <c r="F489" s="295">
        <f>'Bank Int.'!$E489*7.5%/360</f>
        <v>13161.313233333334</v>
      </c>
      <c r="G489" s="305">
        <v>103007.07</v>
      </c>
      <c r="H489" s="303">
        <f>'Bank Int.'!$G489*4.5%/360</f>
        <v>12.87588375</v>
      </c>
      <c r="I489" s="306">
        <v>41072.120000000003</v>
      </c>
      <c r="J489" s="307">
        <f>'Bank Int.'!$I489*6.5%/360</f>
        <v>7.4157994444444446</v>
      </c>
      <c r="K489" s="338">
        <v>63080.56</v>
      </c>
      <c r="L489" s="307">
        <f>'Bank Int.'!$K489*6.5%/360</f>
        <v>11.389545555555555</v>
      </c>
      <c r="N489" s="358"/>
    </row>
    <row r="490" spans="1:14" ht="22.9" customHeight="1" x14ac:dyDescent="0.25">
      <c r="A490" s="257"/>
      <c r="B490" s="253">
        <f t="shared" si="59"/>
        <v>45628</v>
      </c>
      <c r="C490" s="298">
        <v>2797551.97</v>
      </c>
      <c r="D490" s="295">
        <f>'Bank Int.'!$C490*7.5%/360</f>
        <v>582.82332708333331</v>
      </c>
      <c r="E490" s="254">
        <v>50078053.520000003</v>
      </c>
      <c r="F490" s="295">
        <f>'Bank Int.'!$E490*7.5%/360</f>
        <v>10432.927816666666</v>
      </c>
      <c r="G490" s="305">
        <v>102556.07</v>
      </c>
      <c r="H490" s="303">
        <f>'Bank Int.'!$G490*4.5%/360</f>
        <v>12.819508750000001</v>
      </c>
      <c r="I490" s="306">
        <v>41072.120000000003</v>
      </c>
      <c r="J490" s="307">
        <f>'Bank Int.'!$I490*6.5%/360</f>
        <v>7.4157994444444446</v>
      </c>
      <c r="K490" s="338">
        <v>63080.56</v>
      </c>
      <c r="L490" s="307">
        <f>'Bank Int.'!$K490*6.5%/360</f>
        <v>11.389545555555555</v>
      </c>
      <c r="N490" s="358"/>
    </row>
    <row r="491" spans="1:14" ht="22.9" customHeight="1" x14ac:dyDescent="0.25">
      <c r="A491" s="257"/>
      <c r="B491" s="253">
        <f t="shared" si="59"/>
        <v>45627</v>
      </c>
      <c r="C491" s="298">
        <v>2822551.97</v>
      </c>
      <c r="D491" s="295">
        <f>'Bank Int.'!$C491*7.5%/360</f>
        <v>588.03166041666668</v>
      </c>
      <c r="E491" s="254">
        <v>5778053.5199999996</v>
      </c>
      <c r="F491" s="295">
        <f>'Bank Int.'!$E491*7.5%/360</f>
        <v>1203.7611499999998</v>
      </c>
      <c r="G491" s="305">
        <v>502556.07</v>
      </c>
      <c r="H491" s="303">
        <f>'Bank Int.'!$G491*4.5%/360</f>
        <v>62.819508750000004</v>
      </c>
      <c r="I491" s="306">
        <v>41072.120000000003</v>
      </c>
      <c r="J491" s="307">
        <f>'Bank Int.'!$I491*6.5%/360</f>
        <v>7.4157994444444446</v>
      </c>
      <c r="K491" s="338">
        <v>63080.56</v>
      </c>
      <c r="L491" s="307">
        <f>'Bank Int.'!$K491*6.5%/360</f>
        <v>11.389545555555555</v>
      </c>
      <c r="N491" s="358"/>
    </row>
    <row r="492" spans="1:14" ht="22.5" customHeight="1" x14ac:dyDescent="0.25">
      <c r="A492" s="257"/>
      <c r="B492" s="253">
        <v>45626</v>
      </c>
      <c r="C492" s="298">
        <v>2822551.97</v>
      </c>
      <c r="D492" s="295">
        <f>'Bank Int.'!$C492*7.5%/360</f>
        <v>588.03166041666668</v>
      </c>
      <c r="E492" s="254">
        <v>5778053.5700000003</v>
      </c>
      <c r="F492" s="295">
        <f>'Bank Int.'!$E492*7.5%/360</f>
        <v>1203.7611604166666</v>
      </c>
      <c r="G492" s="305">
        <v>502556.07</v>
      </c>
      <c r="H492" s="303">
        <f>'Bank Int.'!$G492*4.5%/360</f>
        <v>62.819508750000004</v>
      </c>
      <c r="I492" s="306">
        <v>41072.120000000003</v>
      </c>
      <c r="J492" s="307">
        <f>'Bank Int.'!$I492*6.5%/360</f>
        <v>7.4157994444444446</v>
      </c>
      <c r="K492" s="338">
        <v>63080.56</v>
      </c>
      <c r="L492" s="307">
        <f>'Bank Int.'!$K492*6.5%/360</f>
        <v>11.389545555555555</v>
      </c>
      <c r="N492" s="358"/>
    </row>
    <row r="493" spans="1:14" ht="22.9" customHeight="1" x14ac:dyDescent="0.25">
      <c r="A493" s="257"/>
      <c r="B493" s="253">
        <f t="shared" ref="B493:B498" si="60">B492-1</f>
        <v>45625</v>
      </c>
      <c r="C493" s="298">
        <v>2822551.97</v>
      </c>
      <c r="D493" s="295">
        <f>'Bank Int.'!$C493*7.5%/360</f>
        <v>588.03166041666668</v>
      </c>
      <c r="E493" s="254">
        <v>5778053.5700000003</v>
      </c>
      <c r="F493" s="295">
        <f>'Bank Int.'!$E493*7.5%/360</f>
        <v>1203.7611604166666</v>
      </c>
      <c r="G493" s="305">
        <v>502556.07</v>
      </c>
      <c r="H493" s="303">
        <f>'Bank Int.'!$G493*4.5%/360</f>
        <v>62.819508750000004</v>
      </c>
      <c r="I493" s="306">
        <v>41072.120000000003</v>
      </c>
      <c r="J493" s="307">
        <f>'Bank Int.'!$I493*6.5%/360</f>
        <v>7.4157994444444446</v>
      </c>
      <c r="K493" s="338">
        <v>63080.56</v>
      </c>
      <c r="L493" s="307">
        <f>'Bank Int.'!$K493*6.5%/360</f>
        <v>11.389545555555555</v>
      </c>
      <c r="N493" s="358"/>
    </row>
    <row r="494" spans="1:14" ht="22.9" customHeight="1" x14ac:dyDescent="0.25">
      <c r="A494" s="257"/>
      <c r="B494" s="253">
        <f t="shared" si="60"/>
        <v>45624</v>
      </c>
      <c r="C494" s="298">
        <v>2822551.97</v>
      </c>
      <c r="D494" s="295">
        <f>'Bank Int.'!$C494*7.5%/360</f>
        <v>588.03166041666668</v>
      </c>
      <c r="E494" s="254">
        <v>5778053.5700000003</v>
      </c>
      <c r="F494" s="295">
        <f>'Bank Int.'!$E494*7.5%/360</f>
        <v>1203.7611604166666</v>
      </c>
      <c r="G494" s="305">
        <v>502556.07</v>
      </c>
      <c r="H494" s="303">
        <f>'Bank Int.'!$G494*4.5%/360</f>
        <v>62.819508750000004</v>
      </c>
      <c r="I494" s="306">
        <v>41072.120000000003</v>
      </c>
      <c r="J494" s="307">
        <f>'Bank Int.'!$I494*6.5%/360</f>
        <v>7.4157994444444446</v>
      </c>
      <c r="K494" s="338">
        <v>63080.56</v>
      </c>
      <c r="L494" s="307">
        <f>'Bank Int.'!$K494*6.5%/360</f>
        <v>11.389545555555555</v>
      </c>
      <c r="N494" s="358"/>
    </row>
    <row r="495" spans="1:14" ht="22.9" customHeight="1" x14ac:dyDescent="0.25">
      <c r="A495" s="257"/>
      <c r="B495" s="253">
        <f t="shared" si="60"/>
        <v>45623</v>
      </c>
      <c r="C495" s="298">
        <v>827551.6</v>
      </c>
      <c r="D495" s="295">
        <f>'Bank Int.'!$C495*7.5%/360</f>
        <v>172.40658333333332</v>
      </c>
      <c r="E495" s="254">
        <v>18422198.57</v>
      </c>
      <c r="F495" s="295">
        <f>'Bank Int.'!$E495*7.5%/360</f>
        <v>3837.9580354166665</v>
      </c>
      <c r="G495" s="305">
        <v>502556.07</v>
      </c>
      <c r="H495" s="303">
        <f>'Bank Int.'!$G495*4.5%/360</f>
        <v>62.819508750000004</v>
      </c>
      <c r="I495" s="306">
        <v>41072.120000000003</v>
      </c>
      <c r="J495" s="307">
        <f>'Bank Int.'!$I495*6.5%/360</f>
        <v>7.4157994444444446</v>
      </c>
      <c r="K495" s="338">
        <v>63080.56</v>
      </c>
      <c r="L495" s="307">
        <f>'Bank Int.'!$K495*6.5%/360</f>
        <v>11.389545555555555</v>
      </c>
      <c r="N495" s="358"/>
    </row>
    <row r="496" spans="1:14" ht="22.9" customHeight="1" x14ac:dyDescent="0.25">
      <c r="A496" s="257"/>
      <c r="B496" s="253">
        <f t="shared" si="60"/>
        <v>45622</v>
      </c>
      <c r="C496" s="298">
        <v>827551.6</v>
      </c>
      <c r="D496" s="295">
        <f>'Bank Int.'!$C496*7.5%/360</f>
        <v>172.40658333333332</v>
      </c>
      <c r="E496" s="254">
        <v>33837079.460000001</v>
      </c>
      <c r="F496" s="295">
        <f>'Bank Int.'!$E496*7.5%/360</f>
        <v>7049.3915541666665</v>
      </c>
      <c r="G496" s="305">
        <v>422556.07</v>
      </c>
      <c r="H496" s="303">
        <f>'Bank Int.'!$G496*4.5%/360</f>
        <v>52.819508750000004</v>
      </c>
      <c r="I496" s="306">
        <v>41072.120000000003</v>
      </c>
      <c r="J496" s="307">
        <f>'Bank Int.'!$I496*6.5%/360</f>
        <v>7.4157994444444446</v>
      </c>
      <c r="K496" s="338">
        <v>63080.56</v>
      </c>
      <c r="L496" s="307">
        <f>'Bank Int.'!$K496*6.5%/360</f>
        <v>11.389545555555555</v>
      </c>
      <c r="N496" s="358"/>
    </row>
    <row r="497" spans="1:14" ht="22.9" customHeight="1" x14ac:dyDescent="0.25">
      <c r="A497" s="257"/>
      <c r="B497" s="253">
        <f t="shared" si="60"/>
        <v>45621</v>
      </c>
      <c r="C497" s="298">
        <v>827551.6</v>
      </c>
      <c r="D497" s="295">
        <f>'Bank Int.'!$C497*7.5%/360</f>
        <v>172.40658333333332</v>
      </c>
      <c r="E497" s="254">
        <v>33837079.460000001</v>
      </c>
      <c r="F497" s="295">
        <f>'Bank Int.'!$E497*7.5%/360</f>
        <v>7049.3915541666665</v>
      </c>
      <c r="G497" s="305">
        <v>119016.07</v>
      </c>
      <c r="H497" s="303">
        <f>'Bank Int.'!$G497*4.5%/360</f>
        <v>14.87700875</v>
      </c>
      <c r="I497" s="306">
        <v>41072.120000000003</v>
      </c>
      <c r="J497" s="307">
        <f>'Bank Int.'!$I497*6.5%/360</f>
        <v>7.4157994444444446</v>
      </c>
      <c r="K497" s="338">
        <v>63080.56</v>
      </c>
      <c r="L497" s="307">
        <f>'Bank Int.'!$K497*6.5%/360</f>
        <v>11.389545555555555</v>
      </c>
      <c r="N497" s="358"/>
    </row>
    <row r="498" spans="1:14" ht="22.9" customHeight="1" x14ac:dyDescent="0.25">
      <c r="A498" s="257"/>
      <c r="B498" s="253">
        <f t="shared" si="60"/>
        <v>45620</v>
      </c>
      <c r="C498" s="298">
        <v>827551.6</v>
      </c>
      <c r="D498" s="295">
        <f>'Bank Int.'!$C498*7.5%/360</f>
        <v>172.40658333333332</v>
      </c>
      <c r="E498" s="254">
        <v>33837079.460000001</v>
      </c>
      <c r="F498" s="295">
        <f>'Bank Int.'!$E498*7.5%/360</f>
        <v>7049.3915541666665</v>
      </c>
      <c r="G498" s="305">
        <v>119016.07</v>
      </c>
      <c r="H498" s="303">
        <f>'Bank Int.'!$G498*4.5%/360</f>
        <v>14.87700875</v>
      </c>
      <c r="I498" s="306">
        <v>41072.120000000003</v>
      </c>
      <c r="J498" s="307">
        <f>'Bank Int.'!$I498*6.5%/360</f>
        <v>7.4157994444444446</v>
      </c>
      <c r="K498" s="338">
        <v>63080.56</v>
      </c>
      <c r="L498" s="307">
        <f>'Bank Int.'!$K498*6.5%/360</f>
        <v>11.389545555555555</v>
      </c>
      <c r="N498" s="358"/>
    </row>
    <row r="499" spans="1:14" ht="22.9" customHeight="1" x14ac:dyDescent="0.25">
      <c r="A499" s="257"/>
      <c r="B499" s="253">
        <v>45619</v>
      </c>
      <c r="C499" s="298">
        <v>127634.6</v>
      </c>
      <c r="D499" s="295">
        <f>'Bank Int.'!$C499*7.5%/360</f>
        <v>26.590541666666663</v>
      </c>
      <c r="E499" s="254">
        <v>33837079.460000001</v>
      </c>
      <c r="F499" s="295">
        <f>'Bank Int.'!$E499*7.5%/360</f>
        <v>7049.3915541666665</v>
      </c>
      <c r="G499" s="305">
        <v>119016.07</v>
      </c>
      <c r="H499" s="303">
        <f>'Bank Int.'!$G499*4.5%/360</f>
        <v>14.87700875</v>
      </c>
      <c r="I499" s="306">
        <v>41072.120000000003</v>
      </c>
      <c r="J499" s="307">
        <f>'Bank Int.'!$I499*6.5%/360</f>
        <v>7.4157994444444446</v>
      </c>
      <c r="K499" s="338">
        <v>63080.56</v>
      </c>
      <c r="L499" s="307">
        <f>'Bank Int.'!$K499*6.5%/360</f>
        <v>11.389545555555555</v>
      </c>
      <c r="N499" s="358"/>
    </row>
    <row r="500" spans="1:14" ht="22.9" customHeight="1" x14ac:dyDescent="0.25">
      <c r="A500" s="257"/>
      <c r="B500" s="253">
        <f t="shared" ref="B500:B505" si="61">B499-1</f>
        <v>45618</v>
      </c>
      <c r="C500" s="298">
        <v>127634.6</v>
      </c>
      <c r="D500" s="295">
        <f>'Bank Int.'!$C500*7.5%/360</f>
        <v>26.590541666666663</v>
      </c>
      <c r="E500" s="254">
        <v>33837079.460000001</v>
      </c>
      <c r="F500" s="295">
        <f>'Bank Int.'!$E500*7.5%/360</f>
        <v>7049.3915541666665</v>
      </c>
      <c r="G500" s="305">
        <v>119016.07</v>
      </c>
      <c r="H500" s="303">
        <f>'Bank Int.'!$G500*4.5%/360</f>
        <v>14.87700875</v>
      </c>
      <c r="I500" s="306">
        <v>41072.120000000003</v>
      </c>
      <c r="J500" s="307">
        <f>'Bank Int.'!$I500*6.5%/360</f>
        <v>7.4157994444444446</v>
      </c>
      <c r="K500" s="338">
        <v>63080.56</v>
      </c>
      <c r="L500" s="307">
        <f>'Bank Int.'!$K500*6.5%/360</f>
        <v>11.389545555555555</v>
      </c>
      <c r="N500" s="358"/>
    </row>
    <row r="501" spans="1:14" ht="22.9" customHeight="1" x14ac:dyDescent="0.25">
      <c r="A501" s="257"/>
      <c r="B501" s="253">
        <f t="shared" si="61"/>
        <v>45617</v>
      </c>
      <c r="C501" s="298">
        <v>127634.6</v>
      </c>
      <c r="D501" s="295">
        <f>'Bank Int.'!$C501*7.5%/360</f>
        <v>26.590541666666663</v>
      </c>
      <c r="E501" s="254">
        <v>33837079.460000001</v>
      </c>
      <c r="F501" s="295">
        <f>'Bank Int.'!$E501*7.5%/360</f>
        <v>7049.3915541666665</v>
      </c>
      <c r="G501" s="305">
        <v>119016.07</v>
      </c>
      <c r="H501" s="303">
        <f>'Bank Int.'!$G501*4.5%/360</f>
        <v>14.87700875</v>
      </c>
      <c r="I501" s="306">
        <v>41072.120000000003</v>
      </c>
      <c r="J501" s="307">
        <f>'Bank Int.'!$I501*6.5%/360</f>
        <v>7.4157994444444446</v>
      </c>
      <c r="K501" s="338">
        <v>63080.56</v>
      </c>
      <c r="L501" s="307">
        <f>'Bank Int.'!$K501*6.5%/360</f>
        <v>11.389545555555555</v>
      </c>
      <c r="N501" s="358"/>
    </row>
    <row r="502" spans="1:14" ht="22.9" customHeight="1" x14ac:dyDescent="0.25">
      <c r="A502" s="257"/>
      <c r="B502" s="253">
        <f t="shared" si="61"/>
        <v>45616</v>
      </c>
      <c r="C502" s="298">
        <v>127634.6</v>
      </c>
      <c r="D502" s="295">
        <f>'Bank Int.'!$C502*7.5%/360</f>
        <v>26.590541666666663</v>
      </c>
      <c r="E502" s="254">
        <v>33837079.460000001</v>
      </c>
      <c r="F502" s="295">
        <f>'Bank Int.'!$E502*7.5%/360</f>
        <v>7049.3915541666665</v>
      </c>
      <c r="G502" s="305">
        <v>119016.07</v>
      </c>
      <c r="H502" s="303">
        <f>'Bank Int.'!$G502*4.5%/360</f>
        <v>14.87700875</v>
      </c>
      <c r="I502" s="306">
        <v>41072.120000000003</v>
      </c>
      <c r="J502" s="307">
        <f>'Bank Int.'!$I502*6.5%/360</f>
        <v>7.4157994444444446</v>
      </c>
      <c r="K502" s="338">
        <v>63080.56</v>
      </c>
      <c r="L502" s="307">
        <f>'Bank Int.'!$K502*6.5%/360</f>
        <v>11.389545555555555</v>
      </c>
      <c r="N502" s="358"/>
    </row>
    <row r="503" spans="1:14" ht="22.9" customHeight="1" x14ac:dyDescent="0.25">
      <c r="A503" s="257"/>
      <c r="B503" s="253">
        <f t="shared" si="61"/>
        <v>45615</v>
      </c>
      <c r="C503" s="298">
        <v>127634.6</v>
      </c>
      <c r="D503" s="295">
        <f>'Bank Int.'!$C503*7.5%/360</f>
        <v>26.590541666666663</v>
      </c>
      <c r="E503" s="254">
        <v>39569756.729999997</v>
      </c>
      <c r="F503" s="295">
        <f>'Bank Int.'!$E503*7.5%/360</f>
        <v>8243.6993187499993</v>
      </c>
      <c r="G503" s="305">
        <v>119016.07</v>
      </c>
      <c r="H503" s="303">
        <f>'Bank Int.'!$G503*4.5%/360</f>
        <v>14.87700875</v>
      </c>
      <c r="I503" s="306">
        <v>41072.120000000003</v>
      </c>
      <c r="J503" s="307">
        <f>'Bank Int.'!$I503*6.5%/360</f>
        <v>7.4157994444444446</v>
      </c>
      <c r="K503" s="338">
        <v>63080.56</v>
      </c>
      <c r="L503" s="307">
        <f>'Bank Int.'!$K503*6.5%/360</f>
        <v>11.389545555555555</v>
      </c>
      <c r="N503" s="358"/>
    </row>
    <row r="504" spans="1:14" ht="22.9" customHeight="1" x14ac:dyDescent="0.25">
      <c r="A504" s="257"/>
      <c r="B504" s="253">
        <f t="shared" si="61"/>
        <v>45614</v>
      </c>
      <c r="C504" s="298">
        <v>127634.6</v>
      </c>
      <c r="D504" s="295">
        <f>'Bank Int.'!$C504*7.5%/360</f>
        <v>26.590541666666663</v>
      </c>
      <c r="E504" s="254">
        <v>5058506.7300000004</v>
      </c>
      <c r="F504" s="295">
        <f>'Bank Int.'!$E504*7.5%/360</f>
        <v>1053.85556875</v>
      </c>
      <c r="G504" s="305">
        <v>129016.07</v>
      </c>
      <c r="H504" s="303">
        <f>'Bank Int.'!$G504*4.5%/360</f>
        <v>16.127008749999998</v>
      </c>
      <c r="I504" s="306">
        <v>41072.120000000003</v>
      </c>
      <c r="J504" s="307">
        <f>'Bank Int.'!$I504*6.5%/360</f>
        <v>7.4157994444444446</v>
      </c>
      <c r="K504" s="338">
        <v>63080.56</v>
      </c>
      <c r="L504" s="307">
        <f>'Bank Int.'!$K504*6.5%/360</f>
        <v>11.389545555555555</v>
      </c>
      <c r="N504" s="358"/>
    </row>
    <row r="505" spans="1:14" ht="22.9" customHeight="1" x14ac:dyDescent="0.25">
      <c r="A505" s="257"/>
      <c r="B505" s="253">
        <f t="shared" si="61"/>
        <v>45613</v>
      </c>
      <c r="C505" s="298">
        <v>127634.6</v>
      </c>
      <c r="D505" s="295">
        <f>'Bank Int.'!$C505*7.5%/360</f>
        <v>26.590541666666663</v>
      </c>
      <c r="E505" s="254">
        <v>5058506.7300000004</v>
      </c>
      <c r="F505" s="295">
        <f>'Bank Int.'!$E505*7.5%/360</f>
        <v>1053.85556875</v>
      </c>
      <c r="G505" s="305">
        <v>144016.07</v>
      </c>
      <c r="H505" s="303">
        <f>'Bank Int.'!$G505*4.5%/360</f>
        <v>18.002008749999998</v>
      </c>
      <c r="I505" s="306">
        <v>41072.120000000003</v>
      </c>
      <c r="J505" s="307">
        <f>'Bank Int.'!$I505*6.5%/360</f>
        <v>7.4157994444444446</v>
      </c>
      <c r="K505" s="338">
        <v>63080.56</v>
      </c>
      <c r="L505" s="307">
        <f>'Bank Int.'!$K505*6.5%/360</f>
        <v>11.389545555555555</v>
      </c>
      <c r="N505" s="358"/>
    </row>
    <row r="506" spans="1:14" ht="22.9" customHeight="1" x14ac:dyDescent="0.25">
      <c r="A506" s="257"/>
      <c r="B506" s="253">
        <v>45612</v>
      </c>
      <c r="C506" s="298">
        <v>127634.6</v>
      </c>
      <c r="D506" s="295">
        <f>'Bank Int.'!$C506*7.5%/360</f>
        <v>26.590541666666663</v>
      </c>
      <c r="E506" s="254">
        <f t="shared" ref="E506:E507" si="62">4894034.16-1006477.43</f>
        <v>3887556.73</v>
      </c>
      <c r="F506" s="295">
        <f>'Bank Int.'!$E506*7.5%/360</f>
        <v>809.90765208333323</v>
      </c>
      <c r="G506" s="305">
        <v>55016.07</v>
      </c>
      <c r="H506" s="303">
        <f>'Bank Int.'!$G506*4.5%/360</f>
        <v>6.8770087499999999</v>
      </c>
      <c r="I506" s="306">
        <v>41072.120000000003</v>
      </c>
      <c r="J506" s="307">
        <f>'Bank Int.'!$I506*6.5%/360</f>
        <v>7.4157994444444446</v>
      </c>
      <c r="K506" s="338">
        <v>63080.56</v>
      </c>
      <c r="L506" s="307">
        <f>'Bank Int.'!$K506*6.5%/360</f>
        <v>11.389545555555555</v>
      </c>
      <c r="N506" s="358"/>
    </row>
    <row r="507" spans="1:14" ht="22.9" customHeight="1" x14ac:dyDescent="0.25">
      <c r="A507" s="257"/>
      <c r="B507" s="253">
        <f t="shared" ref="B507:B512" si="63">B506-1</f>
        <v>45611</v>
      </c>
      <c r="C507" s="298">
        <v>127634.6</v>
      </c>
      <c r="D507" s="295">
        <f>'Bank Int.'!$C507*7.5%/360</f>
        <v>26.590541666666663</v>
      </c>
      <c r="E507" s="254">
        <f t="shared" si="62"/>
        <v>3887556.73</v>
      </c>
      <c r="F507" s="295">
        <f>'Bank Int.'!$E507*7.5%/360</f>
        <v>809.90765208333323</v>
      </c>
      <c r="G507" s="305">
        <v>55016.07</v>
      </c>
      <c r="H507" s="303">
        <f>'Bank Int.'!$G507*4.5%/360</f>
        <v>6.8770087499999999</v>
      </c>
      <c r="I507" s="306">
        <v>41072.120000000003</v>
      </c>
      <c r="J507" s="307">
        <f>'Bank Int.'!$I507*6.5%/360</f>
        <v>7.4157994444444446</v>
      </c>
      <c r="K507" s="338">
        <v>63080.56</v>
      </c>
      <c r="L507" s="307">
        <f>'Bank Int.'!$K507*6.5%/360</f>
        <v>11.389545555555555</v>
      </c>
      <c r="N507" s="358"/>
    </row>
    <row r="508" spans="1:14" ht="22.9" customHeight="1" x14ac:dyDescent="0.25">
      <c r="A508" s="257"/>
      <c r="B508" s="253">
        <f t="shared" si="63"/>
        <v>45610</v>
      </c>
      <c r="C508" s="298">
        <v>127634.6</v>
      </c>
      <c r="D508" s="295">
        <f>'Bank Int.'!$C508*7.5%/360</f>
        <v>26.590541666666663</v>
      </c>
      <c r="E508" s="254">
        <f>4894034.16-1006477.43</f>
        <v>3887556.73</v>
      </c>
      <c r="F508" s="295">
        <f>'Bank Int.'!$E508*7.5%/360</f>
        <v>809.90765208333323</v>
      </c>
      <c r="G508" s="305">
        <v>50016.07</v>
      </c>
      <c r="H508" s="303">
        <f>'Bank Int.'!$G508*4.5%/360</f>
        <v>6.2520087499999999</v>
      </c>
      <c r="I508" s="306">
        <v>41072.120000000003</v>
      </c>
      <c r="J508" s="307">
        <f>'Bank Int.'!$I508*6.5%/360</f>
        <v>7.4157994444444446</v>
      </c>
      <c r="K508" s="338">
        <v>63080.56</v>
      </c>
      <c r="L508" s="307">
        <f>'Bank Int.'!$K508*6.5%/360</f>
        <v>11.389545555555555</v>
      </c>
      <c r="N508" s="358"/>
    </row>
    <row r="509" spans="1:14" ht="22.9" customHeight="1" x14ac:dyDescent="0.25">
      <c r="A509" s="257"/>
      <c r="B509" s="253">
        <f t="shared" si="63"/>
        <v>45609</v>
      </c>
      <c r="C509" s="298">
        <v>127634.6</v>
      </c>
      <c r="D509" s="295">
        <f>'Bank Int.'!$C509*7.5%/360</f>
        <v>26.590541666666663</v>
      </c>
      <c r="E509" s="254">
        <v>4894034.16</v>
      </c>
      <c r="F509" s="295">
        <f>'Bank Int.'!$E509*7.5%/360</f>
        <v>1019.5904499999999</v>
      </c>
      <c r="G509" s="305">
        <v>50016.07</v>
      </c>
      <c r="H509" s="303">
        <f>'Bank Int.'!$G509*4.5%/360</f>
        <v>6.2520087499999999</v>
      </c>
      <c r="I509" s="306">
        <v>41072.120000000003</v>
      </c>
      <c r="J509" s="307">
        <f>'Bank Int.'!$I509*6.5%/360</f>
        <v>7.4157994444444446</v>
      </c>
      <c r="K509" s="338">
        <v>63080.56</v>
      </c>
      <c r="L509" s="307">
        <f>'Bank Int.'!$K509*6.5%/360</f>
        <v>11.389545555555555</v>
      </c>
      <c r="N509" s="358"/>
    </row>
    <row r="510" spans="1:14" ht="22.9" customHeight="1" x14ac:dyDescent="0.25">
      <c r="A510" s="257"/>
      <c r="B510" s="253">
        <f t="shared" si="63"/>
        <v>45608</v>
      </c>
      <c r="C510" s="298">
        <v>127634.6</v>
      </c>
      <c r="D510" s="295">
        <f>'Bank Int.'!$C510*7.5%/360</f>
        <v>26.590541666666663</v>
      </c>
      <c r="E510" s="254">
        <v>7411746.4699999997</v>
      </c>
      <c r="F510" s="295">
        <f>'Bank Int.'!$E510*7.5%/360</f>
        <v>1544.1138479166664</v>
      </c>
      <c r="G510" s="305">
        <v>50016.07</v>
      </c>
      <c r="H510" s="303">
        <f>'Bank Int.'!$G510*4.5%/360</f>
        <v>6.2520087499999999</v>
      </c>
      <c r="I510" s="306">
        <v>41072.120000000003</v>
      </c>
      <c r="J510" s="307">
        <f>'Bank Int.'!$I510*6.5%/360</f>
        <v>7.4157994444444446</v>
      </c>
      <c r="K510" s="338">
        <v>63080.56</v>
      </c>
      <c r="L510" s="307">
        <f>'Bank Int.'!$K510*6.5%/360</f>
        <v>11.389545555555555</v>
      </c>
      <c r="N510" s="358"/>
    </row>
    <row r="511" spans="1:14" ht="22.9" customHeight="1" x14ac:dyDescent="0.25">
      <c r="A511" s="257"/>
      <c r="B511" s="253">
        <f t="shared" si="63"/>
        <v>45607</v>
      </c>
      <c r="C511" s="298">
        <v>39792.6</v>
      </c>
      <c r="D511" s="295">
        <f>'Bank Int.'!$C511*7.5%/360</f>
        <v>8.2901249999999997</v>
      </c>
      <c r="E511" s="254">
        <v>10418348.91</v>
      </c>
      <c r="F511" s="295">
        <f>'Bank Int.'!$E511*7.5%/360</f>
        <v>2170.4893562500001</v>
      </c>
      <c r="G511" s="305">
        <v>16.07</v>
      </c>
      <c r="H511" s="303">
        <f>'Bank Int.'!$G511*4.5%/360</f>
        <v>2.0087499999999997E-3</v>
      </c>
      <c r="I511" s="306">
        <v>41072.120000000003</v>
      </c>
      <c r="J511" s="307">
        <f>'Bank Int.'!$I511*6.5%/360</f>
        <v>7.4157994444444446</v>
      </c>
      <c r="K511" s="338">
        <v>63080.56</v>
      </c>
      <c r="L511" s="307">
        <f>'Bank Int.'!$K511*6.5%/360</f>
        <v>11.389545555555555</v>
      </c>
      <c r="N511" s="358"/>
    </row>
    <row r="512" spans="1:14" ht="22.9" customHeight="1" x14ac:dyDescent="0.25">
      <c r="A512" s="257"/>
      <c r="B512" s="253">
        <f t="shared" si="63"/>
        <v>45606</v>
      </c>
      <c r="C512" s="298">
        <v>39792.6</v>
      </c>
      <c r="D512" s="295">
        <f>'Bank Int.'!$C512*7.5%/360</f>
        <v>8.2901249999999997</v>
      </c>
      <c r="E512" s="254">
        <v>10418348.91</v>
      </c>
      <c r="F512" s="295">
        <f>'Bank Int.'!$E512*7.5%/360</f>
        <v>2170.4893562500001</v>
      </c>
      <c r="G512" s="305">
        <v>16.07</v>
      </c>
      <c r="H512" s="303">
        <f>'Bank Int.'!$G512*4.5%/360</f>
        <v>2.0087499999999997E-3</v>
      </c>
      <c r="I512" s="306">
        <v>41072.120000000003</v>
      </c>
      <c r="J512" s="307">
        <f>'Bank Int.'!$I512*6.5%/360</f>
        <v>7.4157994444444446</v>
      </c>
      <c r="K512" s="338">
        <v>63080.56</v>
      </c>
      <c r="L512" s="307">
        <f>'Bank Int.'!$K512*6.5%/360</f>
        <v>11.389545555555555</v>
      </c>
      <c r="N512" s="358"/>
    </row>
    <row r="513" spans="1:14" ht="22.9" customHeight="1" x14ac:dyDescent="0.25">
      <c r="A513" s="257"/>
      <c r="B513" s="253">
        <v>45605</v>
      </c>
      <c r="C513" s="298">
        <v>39792.6</v>
      </c>
      <c r="D513" s="295">
        <f>'Bank Int.'!$C513*7.5%/360</f>
        <v>8.2901249999999997</v>
      </c>
      <c r="E513" s="254">
        <v>98.91</v>
      </c>
      <c r="F513" s="295">
        <f>'Bank Int.'!$E513*7.5%/360</f>
        <v>2.060625E-2</v>
      </c>
      <c r="G513" s="305">
        <v>16.07</v>
      </c>
      <c r="H513" s="303">
        <f>'Bank Int.'!$G513*4.5%/360</f>
        <v>2.0087499999999997E-3</v>
      </c>
      <c r="I513" s="306">
        <v>41072.120000000003</v>
      </c>
      <c r="J513" s="307">
        <f>'Bank Int.'!$I513*6.5%/360</f>
        <v>7.4157994444444446</v>
      </c>
      <c r="K513" s="338">
        <v>63080.56</v>
      </c>
      <c r="L513" s="307">
        <f>'Bank Int.'!$K513*6.5%/360</f>
        <v>11.389545555555555</v>
      </c>
      <c r="N513" s="358"/>
    </row>
    <row r="514" spans="1:14" ht="22.9" customHeight="1" x14ac:dyDescent="0.25">
      <c r="A514" s="257"/>
      <c r="B514" s="253">
        <f t="shared" ref="B514:B519" si="64">B513-1</f>
        <v>45604</v>
      </c>
      <c r="C514" s="298">
        <v>39792.6</v>
      </c>
      <c r="D514" s="295">
        <f>'Bank Int.'!$C514*7.5%/360</f>
        <v>8.2901249999999997</v>
      </c>
      <c r="E514" s="254">
        <v>98.91</v>
      </c>
      <c r="F514" s="295">
        <f>'Bank Int.'!$E514*7.5%/360</f>
        <v>2.060625E-2</v>
      </c>
      <c r="G514" s="305">
        <v>16.07</v>
      </c>
      <c r="H514" s="303">
        <f>'Bank Int.'!$G514*4.5%/360</f>
        <v>2.0087499999999997E-3</v>
      </c>
      <c r="I514" s="306">
        <v>41072.120000000003</v>
      </c>
      <c r="J514" s="307">
        <f>'Bank Int.'!$I514*6.5%/360</f>
        <v>7.4157994444444446</v>
      </c>
      <c r="K514" s="338">
        <v>63080.56</v>
      </c>
      <c r="L514" s="307">
        <f>'Bank Int.'!$K514*6.5%/360</f>
        <v>11.389545555555555</v>
      </c>
      <c r="N514" s="358"/>
    </row>
    <row r="515" spans="1:14" ht="22.9" customHeight="1" x14ac:dyDescent="0.25">
      <c r="A515" s="257"/>
      <c r="B515" s="253">
        <f t="shared" si="64"/>
        <v>45603</v>
      </c>
      <c r="C515" s="298">
        <v>39792.6</v>
      </c>
      <c r="D515" s="295">
        <f>'Bank Int.'!$C515*7.5%/360</f>
        <v>8.2901249999999997</v>
      </c>
      <c r="E515" s="254">
        <v>98.91</v>
      </c>
      <c r="F515" s="295">
        <f>'Bank Int.'!$E515*7.5%/360</f>
        <v>2.060625E-2</v>
      </c>
      <c r="G515" s="305">
        <v>16.07</v>
      </c>
      <c r="H515" s="303">
        <f>'Bank Int.'!$G515*4.5%/360</f>
        <v>2.0087499999999997E-3</v>
      </c>
      <c r="I515" s="306">
        <v>41072.120000000003</v>
      </c>
      <c r="J515" s="307">
        <f>'Bank Int.'!$I515*6.5%/360</f>
        <v>7.4157994444444446</v>
      </c>
      <c r="K515" s="338">
        <v>63080.56</v>
      </c>
      <c r="L515" s="307">
        <f>'Bank Int.'!$K515*6.5%/360</f>
        <v>11.389545555555555</v>
      </c>
      <c r="N515" s="358"/>
    </row>
    <row r="516" spans="1:14" ht="22.9" customHeight="1" x14ac:dyDescent="0.25">
      <c r="A516" s="257"/>
      <c r="B516" s="253">
        <f t="shared" si="64"/>
        <v>45602</v>
      </c>
      <c r="C516" s="298">
        <v>174731.16</v>
      </c>
      <c r="D516" s="295">
        <f>'Bank Int.'!$C516*7.5%/360</f>
        <v>36.402324999999998</v>
      </c>
      <c r="E516" s="254">
        <v>890098.91</v>
      </c>
      <c r="F516" s="295">
        <f>'Bank Int.'!$E516*7.5%/360</f>
        <v>185.43727291666667</v>
      </c>
      <c r="G516" s="305">
        <v>16.07</v>
      </c>
      <c r="H516" s="303">
        <f>'Bank Int.'!$G516*4.5%/360</f>
        <v>2.0087499999999997E-3</v>
      </c>
      <c r="I516" s="306">
        <v>41072.120000000003</v>
      </c>
      <c r="J516" s="307">
        <f>'Bank Int.'!$I516*6.5%/360</f>
        <v>7.4157994444444446</v>
      </c>
      <c r="K516" s="338">
        <v>63080.56</v>
      </c>
      <c r="L516" s="307">
        <f>'Bank Int.'!$K516*6.5%/360</f>
        <v>11.389545555555555</v>
      </c>
      <c r="N516" s="358"/>
    </row>
    <row r="517" spans="1:14" ht="22.9" customHeight="1" x14ac:dyDescent="0.25">
      <c r="A517" s="257"/>
      <c r="B517" s="253">
        <f t="shared" si="64"/>
        <v>45601</v>
      </c>
      <c r="C517" s="298">
        <v>74731.16</v>
      </c>
      <c r="D517" s="295">
        <f>'Bank Int.'!$C517*7.5%/360</f>
        <v>15.568991666666667</v>
      </c>
      <c r="E517" s="254">
        <v>98.91</v>
      </c>
      <c r="F517" s="295">
        <f>'Bank Int.'!$E517*7.5%/360</f>
        <v>2.060625E-2</v>
      </c>
      <c r="G517" s="305">
        <v>892016.07</v>
      </c>
      <c r="H517" s="303">
        <f>'Bank Int.'!$G517*4.5%/360</f>
        <v>111.50200874999999</v>
      </c>
      <c r="I517" s="306">
        <v>41072.120000000003</v>
      </c>
      <c r="J517" s="307">
        <f>'Bank Int.'!$I517*6.5%/360</f>
        <v>7.4157994444444446</v>
      </c>
      <c r="K517" s="338">
        <v>63080.56</v>
      </c>
      <c r="L517" s="307">
        <f>'Bank Int.'!$K517*6.5%/360</f>
        <v>11.389545555555555</v>
      </c>
      <c r="N517" s="358"/>
    </row>
    <row r="518" spans="1:14" ht="22.9" customHeight="1" x14ac:dyDescent="0.25">
      <c r="A518" s="257"/>
      <c r="B518" s="253">
        <f t="shared" si="64"/>
        <v>45600</v>
      </c>
      <c r="C518" s="298">
        <v>74731.16</v>
      </c>
      <c r="D518" s="295">
        <f>'Bank Int.'!$C518*7.5%/360</f>
        <v>15.568991666666667</v>
      </c>
      <c r="E518" s="254">
        <v>98.91</v>
      </c>
      <c r="F518" s="295">
        <f>'Bank Int.'!$E518*7.5%/360</f>
        <v>2.060625E-2</v>
      </c>
      <c r="G518" s="305">
        <v>657016.06999999995</v>
      </c>
      <c r="H518" s="303">
        <f>'Bank Int.'!$G518*4.5%/360</f>
        <v>82.127008749999987</v>
      </c>
      <c r="I518" s="306">
        <v>41072.120000000003</v>
      </c>
      <c r="J518" s="307">
        <f>'Bank Int.'!$I518*6.5%/360</f>
        <v>7.4157994444444446</v>
      </c>
      <c r="K518" s="338">
        <v>63080.56</v>
      </c>
      <c r="L518" s="307">
        <f>'Bank Int.'!$K518*6.5%/360</f>
        <v>11.389545555555555</v>
      </c>
      <c r="N518" s="358"/>
    </row>
    <row r="519" spans="1:14" ht="22.9" customHeight="1" x14ac:dyDescent="0.25">
      <c r="A519" s="257"/>
      <c r="B519" s="253">
        <f t="shared" si="64"/>
        <v>45599</v>
      </c>
      <c r="C519" s="298">
        <v>84731.16</v>
      </c>
      <c r="D519" s="295">
        <f>'Bank Int.'!$C519*7.5%/360</f>
        <v>17.652325000000001</v>
      </c>
      <c r="E519" s="254">
        <v>90098.91</v>
      </c>
      <c r="F519" s="295">
        <f>'Bank Int.'!$E519*7.5%/360</f>
        <v>18.77060625</v>
      </c>
      <c r="G519" s="305">
        <v>957016.07</v>
      </c>
      <c r="H519" s="303">
        <f>'Bank Int.'!$G519*4.5%/360</f>
        <v>119.62700874999999</v>
      </c>
      <c r="I519" s="306">
        <v>41072.120000000003</v>
      </c>
      <c r="J519" s="307">
        <f>'Bank Int.'!$I519*6.5%/360</f>
        <v>7.4157994444444446</v>
      </c>
      <c r="K519" s="338">
        <v>63080.56</v>
      </c>
      <c r="L519" s="307">
        <f>'Bank Int.'!$K519*6.5%/360</f>
        <v>11.389545555555555</v>
      </c>
      <c r="N519" s="358"/>
    </row>
    <row r="520" spans="1:14" ht="22.9" customHeight="1" x14ac:dyDescent="0.25">
      <c r="A520" s="257"/>
      <c r="B520" s="253">
        <v>45598</v>
      </c>
      <c r="C520" s="298">
        <v>84731.16</v>
      </c>
      <c r="D520" s="295">
        <f>'Bank Int.'!$C520*7.5%/360</f>
        <v>17.652325000000001</v>
      </c>
      <c r="E520" s="254">
        <v>90098.91</v>
      </c>
      <c r="F520" s="295">
        <f>'Bank Int.'!$E520*7.5%/360</f>
        <v>18.77060625</v>
      </c>
      <c r="G520" s="305">
        <v>657016.06999999995</v>
      </c>
      <c r="H520" s="303">
        <f>'Bank Int.'!$G520*4.5%/360</f>
        <v>82.127008749999987</v>
      </c>
      <c r="I520" s="306">
        <v>41072.120000000003</v>
      </c>
      <c r="J520" s="307">
        <f>'Bank Int.'!$I520*6.5%/360</f>
        <v>7.4157994444444446</v>
      </c>
      <c r="K520" s="338">
        <v>63080.56</v>
      </c>
      <c r="L520" s="307">
        <f>'Bank Int.'!$K520*6.5%/360</f>
        <v>11.389545555555555</v>
      </c>
      <c r="N520" s="358"/>
    </row>
    <row r="521" spans="1:14" ht="22.9" customHeight="1" x14ac:dyDescent="0.25">
      <c r="A521" s="257"/>
      <c r="B521" s="253">
        <f t="shared" ref="B521:B526" si="65">B520-1</f>
        <v>45597</v>
      </c>
      <c r="C521" s="298">
        <v>84731.16</v>
      </c>
      <c r="D521" s="295">
        <f>'Bank Int.'!$C521*7.5%/360</f>
        <v>17.652325000000001</v>
      </c>
      <c r="E521" s="254">
        <v>90098.91</v>
      </c>
      <c r="F521" s="295">
        <f>'Bank Int.'!$E521*7.5%/360</f>
        <v>18.77060625</v>
      </c>
      <c r="G521" s="305">
        <v>657016.06999999995</v>
      </c>
      <c r="H521" s="303">
        <f>'Bank Int.'!$G521*4.5%/360</f>
        <v>82.127008749999987</v>
      </c>
      <c r="I521" s="306">
        <v>41072.120000000003</v>
      </c>
      <c r="J521" s="307">
        <f>'Bank Int.'!$I521*6.5%/360</f>
        <v>7.4157994444444446</v>
      </c>
      <c r="K521" s="338">
        <v>63080.56</v>
      </c>
      <c r="L521" s="307">
        <f>'Bank Int.'!$K521*6.5%/360</f>
        <v>11.389545555555555</v>
      </c>
      <c r="N521" s="358"/>
    </row>
    <row r="522" spans="1:14" ht="22.9" customHeight="1" x14ac:dyDescent="0.25">
      <c r="A522" s="257"/>
      <c r="B522" s="253">
        <f t="shared" si="65"/>
        <v>45596</v>
      </c>
      <c r="C522" s="298">
        <v>84731.16</v>
      </c>
      <c r="D522" s="295">
        <f>'Bank Int.'!$C522*7.5%/360</f>
        <v>17.652325000000001</v>
      </c>
      <c r="E522" s="254">
        <v>90098.91</v>
      </c>
      <c r="F522" s="295">
        <f>'Bank Int.'!$E522*7.5%/360</f>
        <v>18.77060625</v>
      </c>
      <c r="G522" s="305">
        <v>657016.06999999995</v>
      </c>
      <c r="H522" s="303">
        <f>'Bank Int.'!$G522*4.5%/360</f>
        <v>82.127008749999987</v>
      </c>
      <c r="I522" s="306">
        <v>41072.120000000003</v>
      </c>
      <c r="J522" s="307">
        <f>'Bank Int.'!$I522*6.5%/360</f>
        <v>7.4157994444444446</v>
      </c>
      <c r="K522" s="338">
        <v>63080.56</v>
      </c>
      <c r="L522" s="307">
        <f>'Bank Int.'!$K522*6.5%/360</f>
        <v>11.389545555555555</v>
      </c>
      <c r="N522" s="358"/>
    </row>
    <row r="523" spans="1:14" ht="22.9" customHeight="1" x14ac:dyDescent="0.25">
      <c r="A523" s="257"/>
      <c r="B523" s="253">
        <f t="shared" si="65"/>
        <v>45595</v>
      </c>
      <c r="C523" s="298">
        <v>2094771.89</v>
      </c>
      <c r="D523" s="295">
        <f>'Bank Int.'!$C523*7.5%/360</f>
        <v>436.41081041666661</v>
      </c>
      <c r="E523" s="254">
        <v>90098.91</v>
      </c>
      <c r="F523" s="295">
        <f>'Bank Int.'!$E523*7.5%/360</f>
        <v>18.77060625</v>
      </c>
      <c r="G523" s="305">
        <v>487016.07</v>
      </c>
      <c r="H523" s="303">
        <f>'Bank Int.'!$G523*4.5%/360</f>
        <v>60.877008749999995</v>
      </c>
      <c r="I523" s="306">
        <v>41072.120000000003</v>
      </c>
      <c r="J523" s="307">
        <f>'Bank Int.'!$I523*6.5%/360</f>
        <v>7.4157994444444446</v>
      </c>
      <c r="K523" s="338">
        <v>63080.56</v>
      </c>
      <c r="L523" s="307">
        <f>'Bank Int.'!$K523*6.5%/360</f>
        <v>11.389545555555555</v>
      </c>
      <c r="N523" s="358"/>
    </row>
    <row r="524" spans="1:14" ht="22.9" customHeight="1" x14ac:dyDescent="0.25">
      <c r="A524" s="257"/>
      <c r="B524" s="253">
        <f t="shared" si="65"/>
        <v>45594</v>
      </c>
      <c r="C524" s="298">
        <v>4094987.89</v>
      </c>
      <c r="D524" s="295">
        <f>'Bank Int.'!$C524*7.5%/360</f>
        <v>853.12247708333337</v>
      </c>
      <c r="E524" s="254">
        <v>90098.91</v>
      </c>
      <c r="F524" s="295">
        <f>'Bank Int.'!$E524*7.5%/360</f>
        <v>18.77060625</v>
      </c>
      <c r="G524" s="305">
        <v>462016.07</v>
      </c>
      <c r="H524" s="303">
        <f>'Bank Int.'!$G524*4.5%/360</f>
        <v>57.752008749999995</v>
      </c>
      <c r="I524" s="306">
        <v>41072.120000000003</v>
      </c>
      <c r="J524" s="307">
        <f>'Bank Int.'!$I524*6.5%/360</f>
        <v>7.4157994444444446</v>
      </c>
      <c r="K524" s="338">
        <v>63080.56</v>
      </c>
      <c r="L524" s="307">
        <f>'Bank Int.'!$K524*6.5%/360</f>
        <v>11.389545555555555</v>
      </c>
      <c r="N524" s="358"/>
    </row>
    <row r="525" spans="1:14" ht="22.9" customHeight="1" x14ac:dyDescent="0.25">
      <c r="A525" s="257"/>
      <c r="B525" s="253">
        <f t="shared" si="65"/>
        <v>45593</v>
      </c>
      <c r="C525" s="298">
        <v>6514405.2300000004</v>
      </c>
      <c r="D525" s="295">
        <f>'Bank Int.'!$C525*7.5%/360</f>
        <v>1357.1677562500001</v>
      </c>
      <c r="E525" s="254">
        <v>90098.91</v>
      </c>
      <c r="F525" s="295">
        <f>'Bank Int.'!$E525*7.5%/360</f>
        <v>18.77060625</v>
      </c>
      <c r="G525" s="305">
        <v>462016.07</v>
      </c>
      <c r="H525" s="303">
        <f>'Bank Int.'!$G525*4.5%/360</f>
        <v>57.752008749999995</v>
      </c>
      <c r="I525" s="306">
        <v>41072.120000000003</v>
      </c>
      <c r="J525" s="307">
        <f>'Bank Int.'!$I525*6.5%/360</f>
        <v>7.4157994444444446</v>
      </c>
      <c r="K525" s="338">
        <v>63080.56</v>
      </c>
      <c r="L525" s="307">
        <f>'Bank Int.'!$K525*6.5%/360</f>
        <v>11.389545555555555</v>
      </c>
      <c r="N525" s="358"/>
    </row>
    <row r="526" spans="1:14" ht="22.9" customHeight="1" x14ac:dyDescent="0.25">
      <c r="A526" s="257"/>
      <c r="B526" s="253">
        <f t="shared" si="65"/>
        <v>45592</v>
      </c>
      <c r="C526" s="298">
        <v>10045976.08</v>
      </c>
      <c r="D526" s="295">
        <f>'Bank Int.'!$C526*7.5%/360</f>
        <v>2092.9116833333333</v>
      </c>
      <c r="E526" s="254">
        <v>4035852.89</v>
      </c>
      <c r="F526" s="295">
        <f>'Bank Int.'!$E526*7.5%/360</f>
        <v>840.80268541666669</v>
      </c>
      <c r="G526" s="305">
        <v>356416.07</v>
      </c>
      <c r="H526" s="303">
        <f>'Bank Int.'!$G526*4.5%/360</f>
        <v>44.552008749999999</v>
      </c>
      <c r="I526" s="306">
        <v>41072.120000000003</v>
      </c>
      <c r="J526" s="307">
        <f>'Bank Int.'!$I526*6.5%/360</f>
        <v>7.4157994444444446</v>
      </c>
      <c r="K526" s="338">
        <v>63080.56</v>
      </c>
      <c r="L526" s="307">
        <f>'Bank Int.'!$K526*6.5%/360</f>
        <v>11.389545555555555</v>
      </c>
      <c r="N526" s="358"/>
    </row>
    <row r="527" spans="1:14" ht="22.9" customHeight="1" x14ac:dyDescent="0.25">
      <c r="A527" s="257"/>
      <c r="B527" s="253">
        <v>45591</v>
      </c>
      <c r="C527" s="298">
        <v>2559236.08</v>
      </c>
      <c r="D527" s="295">
        <f>'Bank Int.'!$C527*7.5%/360</f>
        <v>533.1741833333333</v>
      </c>
      <c r="E527" s="254">
        <v>1477652.89</v>
      </c>
      <c r="F527" s="295">
        <f>'Bank Int.'!$E527*7.5%/360</f>
        <v>307.84435208333332</v>
      </c>
      <c r="G527" s="305">
        <v>87916.07</v>
      </c>
      <c r="H527" s="303">
        <f>'Bank Int.'!$G527*4.5%/360</f>
        <v>10.989508750000001</v>
      </c>
      <c r="I527" s="306">
        <v>41072.120000000003</v>
      </c>
      <c r="J527" s="307">
        <f>'Bank Int.'!$I527*6.5%/360</f>
        <v>7.4157994444444446</v>
      </c>
      <c r="K527" s="338">
        <v>63080.56</v>
      </c>
      <c r="L527" s="307">
        <f>'Bank Int.'!$K527*6.5%/360</f>
        <v>11.389545555555555</v>
      </c>
      <c r="N527" s="358"/>
    </row>
    <row r="528" spans="1:14" ht="22.9" customHeight="1" x14ac:dyDescent="0.25">
      <c r="A528" s="257"/>
      <c r="B528" s="253">
        <f t="shared" ref="B528:B533" si="66">B527-1</f>
        <v>45590</v>
      </c>
      <c r="C528" s="298">
        <v>2559236.08</v>
      </c>
      <c r="D528" s="295">
        <f>'Bank Int.'!$C528*7.5%/360</f>
        <v>533.1741833333333</v>
      </c>
      <c r="E528" s="254">
        <v>1477652.89</v>
      </c>
      <c r="F528" s="295">
        <f>'Bank Int.'!$E528*7.5%/360</f>
        <v>307.84435208333332</v>
      </c>
      <c r="G528" s="305">
        <v>76916.070000000007</v>
      </c>
      <c r="H528" s="303">
        <f>'Bank Int.'!$G528*4.5%/360</f>
        <v>9.6145087500000006</v>
      </c>
      <c r="I528" s="306">
        <v>41072.120000000003</v>
      </c>
      <c r="J528" s="307">
        <f>'Bank Int.'!$I528*6.5%/360</f>
        <v>7.4157994444444446</v>
      </c>
      <c r="K528" s="338">
        <v>63080.56</v>
      </c>
      <c r="L528" s="307">
        <f>'Bank Int.'!$K528*6.5%/360</f>
        <v>11.389545555555555</v>
      </c>
      <c r="N528" s="358"/>
    </row>
    <row r="529" spans="1:14" ht="22.9" customHeight="1" x14ac:dyDescent="0.25">
      <c r="A529" s="257"/>
      <c r="B529" s="253">
        <f t="shared" si="66"/>
        <v>45589</v>
      </c>
      <c r="C529" s="298">
        <v>2559236.08</v>
      </c>
      <c r="D529" s="295">
        <f>'Bank Int.'!$C529*7.5%/360</f>
        <v>533.1741833333333</v>
      </c>
      <c r="E529" s="254">
        <v>1477652.89</v>
      </c>
      <c r="F529" s="295">
        <f>'Bank Int.'!$E529*7.5%/360</f>
        <v>307.84435208333332</v>
      </c>
      <c r="G529" s="305">
        <v>76916.070000000007</v>
      </c>
      <c r="H529" s="303">
        <f>'Bank Int.'!$G529*4.5%/360</f>
        <v>9.6145087500000006</v>
      </c>
      <c r="I529" s="306">
        <v>41072.120000000003</v>
      </c>
      <c r="J529" s="307">
        <f>'Bank Int.'!$I529*6.5%/360</f>
        <v>7.4157994444444446</v>
      </c>
      <c r="K529" s="338">
        <v>63080.56</v>
      </c>
      <c r="L529" s="307">
        <f>'Bank Int.'!$K529*6.5%/360</f>
        <v>11.389545555555555</v>
      </c>
      <c r="N529" s="358"/>
    </row>
    <row r="530" spans="1:14" ht="22.9" customHeight="1" x14ac:dyDescent="0.25">
      <c r="A530" s="257"/>
      <c r="B530" s="253">
        <f t="shared" si="66"/>
        <v>45588</v>
      </c>
      <c r="C530" s="298">
        <v>2559236.08</v>
      </c>
      <c r="D530" s="295">
        <f>'Bank Int.'!$C530*7.5%/360</f>
        <v>533.1741833333333</v>
      </c>
      <c r="E530" s="254">
        <v>1477652.89</v>
      </c>
      <c r="F530" s="295">
        <f>'Bank Int.'!$E530*7.5%/360</f>
        <v>307.84435208333332</v>
      </c>
      <c r="G530" s="305">
        <v>51916.07</v>
      </c>
      <c r="H530" s="303">
        <f>'Bank Int.'!$G530*4.5%/360</f>
        <v>6.4895087499999997</v>
      </c>
      <c r="I530" s="306">
        <v>41072.120000000003</v>
      </c>
      <c r="J530" s="307">
        <f>'Bank Int.'!$I530*6.5%/360</f>
        <v>7.4157994444444446</v>
      </c>
      <c r="K530" s="338">
        <v>63080.56</v>
      </c>
      <c r="L530" s="307">
        <f>'Bank Int.'!$K530*6.5%/360</f>
        <v>11.389545555555555</v>
      </c>
      <c r="N530" s="358"/>
    </row>
    <row r="531" spans="1:14" ht="22.9" customHeight="1" x14ac:dyDescent="0.25">
      <c r="A531" s="257"/>
      <c r="B531" s="253">
        <f t="shared" si="66"/>
        <v>45587</v>
      </c>
      <c r="C531" s="298">
        <v>605221.84</v>
      </c>
      <c r="D531" s="295">
        <f>'Bank Int.'!$C531*7.5%/360</f>
        <v>126.08788333333334</v>
      </c>
      <c r="E531" s="254">
        <v>1477652.89</v>
      </c>
      <c r="F531" s="295">
        <f>'Bank Int.'!$E531*7.5%/360</f>
        <v>307.84435208333332</v>
      </c>
      <c r="G531" s="305">
        <v>51916.07</v>
      </c>
      <c r="H531" s="303">
        <f>'Bank Int.'!$G531*4.5%/360</f>
        <v>6.4895087499999997</v>
      </c>
      <c r="I531" s="306">
        <v>41072.120000000003</v>
      </c>
      <c r="J531" s="307">
        <f>'Bank Int.'!$I531*6.5%/360</f>
        <v>7.4157994444444446</v>
      </c>
      <c r="K531" s="338">
        <v>63080.56</v>
      </c>
      <c r="L531" s="307">
        <f>'Bank Int.'!$K531*6.5%/360</f>
        <v>11.389545555555555</v>
      </c>
      <c r="N531" s="358"/>
    </row>
    <row r="532" spans="1:14" ht="22.9" customHeight="1" x14ac:dyDescent="0.25">
      <c r="A532" s="257"/>
      <c r="B532" s="253">
        <f t="shared" si="66"/>
        <v>45586</v>
      </c>
      <c r="C532" s="298">
        <v>605221.84</v>
      </c>
      <c r="D532" s="295">
        <f>'Bank Int.'!$C532*7.5%/360</f>
        <v>126.08788333333334</v>
      </c>
      <c r="E532" s="254">
        <v>1477652.89</v>
      </c>
      <c r="F532" s="295">
        <f>'Bank Int.'!$E532*7.5%/360</f>
        <v>307.84435208333332</v>
      </c>
      <c r="G532" s="305">
        <v>51916.07</v>
      </c>
      <c r="H532" s="303">
        <f>'Bank Int.'!$G532*4.5%/360</f>
        <v>6.4895087499999997</v>
      </c>
      <c r="I532" s="306">
        <v>41072.120000000003</v>
      </c>
      <c r="J532" s="307">
        <f>'Bank Int.'!$I532*6.5%/360</f>
        <v>7.4157994444444446</v>
      </c>
      <c r="K532" s="338">
        <v>63080.56</v>
      </c>
      <c r="L532" s="307">
        <f>'Bank Int.'!$K532*6.5%/360</f>
        <v>11.389545555555555</v>
      </c>
      <c r="N532" s="358"/>
    </row>
    <row r="533" spans="1:14" ht="22.9" customHeight="1" x14ac:dyDescent="0.25">
      <c r="A533" s="257"/>
      <c r="B533" s="253">
        <f t="shared" si="66"/>
        <v>45585</v>
      </c>
      <c r="C533" s="298">
        <v>2605221.84</v>
      </c>
      <c r="D533" s="295">
        <f>'Bank Int.'!$C533*7.5%/360</f>
        <v>542.75454999999988</v>
      </c>
      <c r="E533" s="254">
        <v>1477652.89</v>
      </c>
      <c r="F533" s="295">
        <f>'Bank Int.'!$E533*7.5%/360</f>
        <v>307.84435208333332</v>
      </c>
      <c r="G533" s="305">
        <v>51916.07</v>
      </c>
      <c r="H533" s="303">
        <f>'Bank Int.'!$G533*4.5%/360</f>
        <v>6.4895087499999997</v>
      </c>
      <c r="I533" s="306">
        <v>41072.120000000003</v>
      </c>
      <c r="J533" s="307">
        <f>'Bank Int.'!$I533*6.5%/360</f>
        <v>7.4157994444444446</v>
      </c>
      <c r="K533" s="338">
        <v>63080.56</v>
      </c>
      <c r="L533" s="307">
        <f>'Bank Int.'!$K533*6.5%/360</f>
        <v>11.389545555555555</v>
      </c>
      <c r="N533" s="358"/>
    </row>
    <row r="534" spans="1:14" ht="22.9" customHeight="1" x14ac:dyDescent="0.25">
      <c r="A534" s="257"/>
      <c r="B534" s="253">
        <v>45584</v>
      </c>
      <c r="C534" s="298">
        <v>13221.84</v>
      </c>
      <c r="D534" s="295">
        <f>'Bank Int.'!$C534*7.5%/360</f>
        <v>2.7545499999999996</v>
      </c>
      <c r="E534" s="254">
        <v>1977652.875</v>
      </c>
      <c r="F534" s="295">
        <f>'Bank Int.'!$E534*7.5%/360</f>
        <v>412.01101562499997</v>
      </c>
      <c r="G534" s="305">
        <v>2314916.0699999998</v>
      </c>
      <c r="H534" s="303">
        <f>'Bank Int.'!$G534*4.5%/360</f>
        <v>289.36450874999997</v>
      </c>
      <c r="I534" s="306">
        <v>41072.120000000003</v>
      </c>
      <c r="J534" s="307">
        <f>'Bank Int.'!$I534*6.5%/360</f>
        <v>7.4157994444444446</v>
      </c>
      <c r="K534" s="338">
        <v>63080.56</v>
      </c>
      <c r="L534" s="307">
        <f>'Bank Int.'!$K534*6.5%/360</f>
        <v>11.389545555555555</v>
      </c>
      <c r="N534" s="358"/>
    </row>
    <row r="535" spans="1:14" ht="22.9" customHeight="1" x14ac:dyDescent="0.25">
      <c r="A535" s="257"/>
      <c r="B535" s="253">
        <f t="shared" ref="B535:B540" si="67">B534-1</f>
        <v>45583</v>
      </c>
      <c r="C535" s="298">
        <v>13221.84</v>
      </c>
      <c r="D535" s="295">
        <f>'Bank Int.'!$C535*7.5%/360</f>
        <v>2.7545499999999996</v>
      </c>
      <c r="E535" s="254">
        <v>1977652.875</v>
      </c>
      <c r="F535" s="295">
        <f>'Bank Int.'!$E535*7.5%/360</f>
        <v>412.01101562499997</v>
      </c>
      <c r="G535" s="305">
        <v>2314916.0699999998</v>
      </c>
      <c r="H535" s="303">
        <f>'Bank Int.'!$G535*4.5%/360</f>
        <v>289.36450874999997</v>
      </c>
      <c r="I535" s="306">
        <v>41072.120000000003</v>
      </c>
      <c r="J535" s="307">
        <f>'Bank Int.'!$I535*6.5%/360</f>
        <v>7.4157994444444446</v>
      </c>
      <c r="K535" s="338">
        <v>63080.56</v>
      </c>
      <c r="L535" s="307">
        <f>'Bank Int.'!$K535*6.5%/360</f>
        <v>11.389545555555555</v>
      </c>
      <c r="N535" s="358"/>
    </row>
    <row r="536" spans="1:14" ht="22.9" customHeight="1" x14ac:dyDescent="0.25">
      <c r="A536" s="257"/>
      <c r="B536" s="253">
        <f t="shared" si="67"/>
        <v>45582</v>
      </c>
      <c r="C536" s="298">
        <v>13221.84</v>
      </c>
      <c r="D536" s="295">
        <f>'Bank Int.'!$C536*7.5%/360</f>
        <v>2.7545499999999996</v>
      </c>
      <c r="E536" s="254">
        <v>1977652.875</v>
      </c>
      <c r="F536" s="295">
        <f>'Bank Int.'!$E536*7.5%/360</f>
        <v>412.01101562499997</v>
      </c>
      <c r="G536" s="305">
        <v>2314916.0699999998</v>
      </c>
      <c r="H536" s="303">
        <f>'Bank Int.'!$G536*4.5%/360</f>
        <v>289.36450874999997</v>
      </c>
      <c r="I536" s="306">
        <v>41072.120000000003</v>
      </c>
      <c r="J536" s="307">
        <f>'Bank Int.'!$I536*6.5%/360</f>
        <v>7.4157994444444446</v>
      </c>
      <c r="K536" s="338">
        <v>63080.56</v>
      </c>
      <c r="L536" s="307">
        <f>'Bank Int.'!$K536*6.5%/360</f>
        <v>11.389545555555555</v>
      </c>
      <c r="N536" s="358"/>
    </row>
    <row r="537" spans="1:14" ht="22.9" customHeight="1" x14ac:dyDescent="0.25">
      <c r="A537" s="257"/>
      <c r="B537" s="253">
        <f t="shared" si="67"/>
        <v>45581</v>
      </c>
      <c r="C537" s="298">
        <v>5414221.8399999999</v>
      </c>
      <c r="D537" s="295">
        <f>'Bank Int.'!$C537*7.5%/360</f>
        <v>1127.9628833333334</v>
      </c>
      <c r="E537" s="254">
        <v>1093639.3500000001</v>
      </c>
      <c r="F537" s="295">
        <f>'Bank Int.'!$E537*7.5%/360</f>
        <v>227.84153125</v>
      </c>
      <c r="G537" s="305">
        <v>2114916.0699999998</v>
      </c>
      <c r="H537" s="303">
        <f>'Bank Int.'!$G537*4.5%/360</f>
        <v>264.36450874999997</v>
      </c>
      <c r="I537" s="306">
        <v>41072.120000000003</v>
      </c>
      <c r="J537" s="307">
        <f>'Bank Int.'!$I537*6.5%/360</f>
        <v>7.4157994444444446</v>
      </c>
      <c r="K537" s="338">
        <v>63080.56</v>
      </c>
      <c r="L537" s="307">
        <f>'Bank Int.'!$K537*6.5%/360</f>
        <v>11.389545555555555</v>
      </c>
      <c r="N537" s="358"/>
    </row>
    <row r="538" spans="1:14" ht="22.9" customHeight="1" x14ac:dyDescent="0.25">
      <c r="A538" s="257"/>
      <c r="B538" s="253">
        <f t="shared" si="67"/>
        <v>45580</v>
      </c>
      <c r="C538" s="298">
        <v>14749.4</v>
      </c>
      <c r="D538" s="295">
        <f>'Bank Int.'!$C538*7.5%/360</f>
        <v>3.0727916666666664</v>
      </c>
      <c r="E538" s="254">
        <v>3891199.47</v>
      </c>
      <c r="F538" s="295">
        <f>'Bank Int.'!$E538*7.5%/360</f>
        <v>810.66655624999999</v>
      </c>
      <c r="G538" s="305">
        <v>747390.07</v>
      </c>
      <c r="H538" s="303">
        <f>'Bank Int.'!$G538*4.5%/360</f>
        <v>93.423758750000005</v>
      </c>
      <c r="I538" s="306">
        <v>41072.120000000003</v>
      </c>
      <c r="J538" s="307">
        <f>'Bank Int.'!$I538*6.5%/360</f>
        <v>7.4157994444444446</v>
      </c>
      <c r="K538" s="338">
        <v>63080.56</v>
      </c>
      <c r="L538" s="307">
        <f>'Bank Int.'!$K538*6.5%/360</f>
        <v>11.389545555555555</v>
      </c>
      <c r="N538" s="358"/>
    </row>
    <row r="539" spans="1:14" ht="22.9" customHeight="1" x14ac:dyDescent="0.25">
      <c r="A539" s="257"/>
      <c r="B539" s="253">
        <f t="shared" si="67"/>
        <v>45579</v>
      </c>
      <c r="C539" s="298">
        <v>1314749.3999999999</v>
      </c>
      <c r="D539" s="295">
        <f>'Bank Int.'!$C539*7.5%/360</f>
        <v>273.90612499999997</v>
      </c>
      <c r="E539" s="254">
        <v>594699.47</v>
      </c>
      <c r="F539" s="295">
        <f>'Bank Int.'!$E539*7.5%/360</f>
        <v>123.89572291666666</v>
      </c>
      <c r="G539" s="305">
        <v>319890.07</v>
      </c>
      <c r="H539" s="303">
        <f>'Bank Int.'!$G539*4.5%/360</f>
        <v>39.986258749999998</v>
      </c>
      <c r="I539" s="306">
        <v>41072.120000000003</v>
      </c>
      <c r="J539" s="307">
        <f>'Bank Int.'!$I539*6.5%/360</f>
        <v>7.4157994444444446</v>
      </c>
      <c r="K539" s="338">
        <v>63080.56</v>
      </c>
      <c r="L539" s="307">
        <f>'Bank Int.'!$K539*6.5%/360</f>
        <v>11.389545555555555</v>
      </c>
      <c r="N539" s="358"/>
    </row>
    <row r="540" spans="1:14" ht="22.9" customHeight="1" x14ac:dyDescent="0.25">
      <c r="A540" s="257"/>
      <c r="B540" s="253">
        <f t="shared" si="67"/>
        <v>45578</v>
      </c>
      <c r="C540" s="298">
        <v>1514807.4</v>
      </c>
      <c r="D540" s="295">
        <f>'Bank Int.'!$C540*7.5%/360</f>
        <v>315.58487499999995</v>
      </c>
      <c r="E540" s="254">
        <v>594699.47</v>
      </c>
      <c r="F540" s="295">
        <f>'Bank Int.'!$E540*7.5%/360</f>
        <v>123.89572291666666</v>
      </c>
      <c r="G540" s="305">
        <v>319890.07</v>
      </c>
      <c r="H540" s="303">
        <f>'Bank Int.'!$G540*4.5%/360</f>
        <v>39.986258749999998</v>
      </c>
      <c r="I540" s="306">
        <v>41072.120000000003</v>
      </c>
      <c r="J540" s="307">
        <f>'Bank Int.'!$I540*6.5%/360</f>
        <v>7.4157994444444446</v>
      </c>
      <c r="K540" s="338">
        <v>63080.56</v>
      </c>
      <c r="L540" s="307">
        <f>'Bank Int.'!$K540*6.5%/360</f>
        <v>11.389545555555555</v>
      </c>
      <c r="N540" s="358"/>
    </row>
    <row r="541" spans="1:14" ht="22.9" customHeight="1" x14ac:dyDescent="0.25">
      <c r="A541" s="257"/>
      <c r="B541" s="253">
        <v>45577</v>
      </c>
      <c r="C541" s="298">
        <v>1514807.4</v>
      </c>
      <c r="D541" s="295">
        <f>'Bank Int.'!$C541*7.5%/360</f>
        <v>315.58487499999995</v>
      </c>
      <c r="E541" s="254">
        <v>594699.47</v>
      </c>
      <c r="F541" s="295">
        <f>'Bank Int.'!$E541*7.5%/360</f>
        <v>123.89572291666666</v>
      </c>
      <c r="G541" s="305">
        <v>319890.07</v>
      </c>
      <c r="H541" s="303">
        <f>'Bank Int.'!$G541*4.5%/360</f>
        <v>39.986258749999998</v>
      </c>
      <c r="I541" s="306">
        <v>41072.120000000003</v>
      </c>
      <c r="J541" s="307">
        <f>'Bank Int.'!$I541*6.5%/360</f>
        <v>7.4157994444444446</v>
      </c>
      <c r="K541" s="338">
        <v>63080.56</v>
      </c>
      <c r="L541" s="307">
        <f>'Bank Int.'!$K541*6.5%/360</f>
        <v>11.389545555555555</v>
      </c>
      <c r="N541" s="358"/>
    </row>
    <row r="542" spans="1:14" ht="22.9" customHeight="1" x14ac:dyDescent="0.25">
      <c r="A542" s="257"/>
      <c r="B542" s="253">
        <f t="shared" ref="B542:B547" si="68">B541-1</f>
        <v>45576</v>
      </c>
      <c r="C542" s="298">
        <v>1514807.4</v>
      </c>
      <c r="D542" s="295">
        <f>'Bank Int.'!$C542*7.5%/360</f>
        <v>315.58487499999995</v>
      </c>
      <c r="E542" s="254">
        <v>594699.47</v>
      </c>
      <c r="F542" s="295">
        <f>'Bank Int.'!$E542*7.5%/360</f>
        <v>123.89572291666666</v>
      </c>
      <c r="G542" s="305">
        <v>319890.07</v>
      </c>
      <c r="H542" s="303">
        <f>'Bank Int.'!$G542*4.5%/360</f>
        <v>39.986258749999998</v>
      </c>
      <c r="I542" s="306">
        <v>41072.120000000003</v>
      </c>
      <c r="J542" s="307">
        <f>'Bank Int.'!$I542*6.5%/360</f>
        <v>7.4157994444444446</v>
      </c>
      <c r="K542" s="338">
        <v>63080.56</v>
      </c>
      <c r="L542" s="307">
        <f>'Bank Int.'!$K542*6.5%/360</f>
        <v>11.389545555555555</v>
      </c>
      <c r="N542" s="358"/>
    </row>
    <row r="543" spans="1:14" ht="22.9" customHeight="1" x14ac:dyDescent="0.25">
      <c r="A543" s="257"/>
      <c r="B543" s="253">
        <f t="shared" si="68"/>
        <v>45575</v>
      </c>
      <c r="C543" s="298">
        <v>1514807.4</v>
      </c>
      <c r="D543" s="295">
        <f>'Bank Int.'!$C543*7.5%/360</f>
        <v>315.58487499999995</v>
      </c>
      <c r="E543" s="254">
        <v>594699.47</v>
      </c>
      <c r="F543" s="295">
        <f>'Bank Int.'!$E543*7.5%/360</f>
        <v>123.89572291666666</v>
      </c>
      <c r="G543" s="305">
        <v>319890.07</v>
      </c>
      <c r="H543" s="303">
        <f>'Bank Int.'!$G543*4.5%/360</f>
        <v>39.986258749999998</v>
      </c>
      <c r="I543" s="306">
        <v>41072.120000000003</v>
      </c>
      <c r="J543" s="307">
        <f>'Bank Int.'!$I543*6.5%/360</f>
        <v>7.4157994444444446</v>
      </c>
      <c r="K543" s="338">
        <v>63080.56</v>
      </c>
      <c r="L543" s="307">
        <f>'Bank Int.'!$K543*6.5%/360</f>
        <v>11.389545555555555</v>
      </c>
      <c r="N543" s="358"/>
    </row>
    <row r="544" spans="1:14" ht="22.9" customHeight="1" x14ac:dyDescent="0.25">
      <c r="A544" s="257"/>
      <c r="B544" s="253">
        <f t="shared" si="68"/>
        <v>45574</v>
      </c>
      <c r="C544" s="298">
        <v>1514807.4</v>
      </c>
      <c r="D544" s="295">
        <f>'Bank Int.'!$C544*7.5%/360</f>
        <v>315.58487499999995</v>
      </c>
      <c r="E544" s="254">
        <v>594699.47</v>
      </c>
      <c r="F544" s="295">
        <f>'Bank Int.'!$E544*7.5%/360</f>
        <v>123.89572291666666</v>
      </c>
      <c r="G544" s="305">
        <v>319890.07</v>
      </c>
      <c r="H544" s="303">
        <f>'Bank Int.'!$G544*4.5%/360</f>
        <v>39.986258749999998</v>
      </c>
      <c r="I544" s="306">
        <v>41072.120000000003</v>
      </c>
      <c r="J544" s="307">
        <f>'Bank Int.'!$I544*6.5%/360</f>
        <v>7.4157994444444446</v>
      </c>
      <c r="K544" s="338">
        <v>63080.56</v>
      </c>
      <c r="L544" s="307">
        <f>'Bank Int.'!$K544*6.5%/360</f>
        <v>11.389545555555555</v>
      </c>
      <c r="N544" s="358"/>
    </row>
    <row r="545" spans="1:14" ht="22.9" customHeight="1" x14ac:dyDescent="0.25">
      <c r="A545" s="257"/>
      <c r="B545" s="253">
        <f t="shared" si="68"/>
        <v>45573</v>
      </c>
      <c r="C545" s="298">
        <v>1514807.4</v>
      </c>
      <c r="D545" s="295">
        <f>'Bank Int.'!$C545*7.5%/360</f>
        <v>315.58487499999995</v>
      </c>
      <c r="E545" s="254">
        <v>9100912.9700000007</v>
      </c>
      <c r="F545" s="295">
        <f>'Bank Int.'!$E545*7.5%/360</f>
        <v>1896.0235354166668</v>
      </c>
      <c r="G545" s="305">
        <v>319890.07</v>
      </c>
      <c r="H545" s="303">
        <f>'Bank Int.'!$G545*4.5%/360</f>
        <v>39.986258749999998</v>
      </c>
      <c r="I545" s="306">
        <v>41072.120000000003</v>
      </c>
      <c r="J545" s="307">
        <f>'Bank Int.'!$I545*6.5%/360</f>
        <v>7.4157994444444446</v>
      </c>
      <c r="K545" s="338">
        <v>63080.56</v>
      </c>
      <c r="L545" s="307">
        <f>'Bank Int.'!$K545*6.5%/360</f>
        <v>11.389545555555555</v>
      </c>
      <c r="N545" s="358"/>
    </row>
    <row r="546" spans="1:14" ht="22.9" customHeight="1" x14ac:dyDescent="0.25">
      <c r="A546" s="257"/>
      <c r="B546" s="253">
        <f t="shared" si="68"/>
        <v>45572</v>
      </c>
      <c r="C546" s="298">
        <v>514867.4</v>
      </c>
      <c r="D546" s="295">
        <f>'Bank Int.'!$C546*7.5%/360</f>
        <v>107.26404166666667</v>
      </c>
      <c r="E546" s="254">
        <v>9100912.9700000007</v>
      </c>
      <c r="F546" s="295">
        <f>'Bank Int.'!$E546*7.5%/360</f>
        <v>1896.0235354166668</v>
      </c>
      <c r="G546" s="305">
        <v>319890.07</v>
      </c>
      <c r="H546" s="303">
        <f>'Bank Int.'!$G546*4.5%/360</f>
        <v>39.986258749999998</v>
      </c>
      <c r="I546" s="306">
        <v>41072.120000000003</v>
      </c>
      <c r="J546" s="307">
        <f>'Bank Int.'!$I546*6.5%/360</f>
        <v>7.4157994444444446</v>
      </c>
      <c r="K546" s="338">
        <v>63080.56</v>
      </c>
      <c r="L546" s="307">
        <f>'Bank Int.'!$K546*6.5%/360</f>
        <v>11.389545555555555</v>
      </c>
      <c r="N546" s="358"/>
    </row>
    <row r="547" spans="1:14" ht="22.9" customHeight="1" x14ac:dyDescent="0.25">
      <c r="A547" s="257"/>
      <c r="B547" s="253">
        <f t="shared" si="68"/>
        <v>45571</v>
      </c>
      <c r="C547" s="298">
        <v>2064340.7</v>
      </c>
      <c r="D547" s="295">
        <f>'Bank Int.'!$C547*7.5%/360</f>
        <v>430.07097916666663</v>
      </c>
      <c r="E547" s="254">
        <v>7300912.9699999997</v>
      </c>
      <c r="F547" s="295">
        <f>'Bank Int.'!$E547*7.5%/360</f>
        <v>1521.0235354166666</v>
      </c>
      <c r="G547" s="305">
        <v>329890.07</v>
      </c>
      <c r="H547" s="303">
        <f>'Bank Int.'!$G547*4.5%/360</f>
        <v>41.236258749999998</v>
      </c>
      <c r="I547" s="306">
        <v>41072.120000000003</v>
      </c>
      <c r="J547" s="307">
        <f>'Bank Int.'!$I547*6.5%/360</f>
        <v>7.4157994444444446</v>
      </c>
      <c r="K547" s="338">
        <v>63080.56</v>
      </c>
      <c r="L547" s="307">
        <f>'Bank Int.'!$K547*6.5%/360</f>
        <v>11.389545555555555</v>
      </c>
      <c r="N547" s="358"/>
    </row>
    <row r="548" spans="1:14" ht="22.9" customHeight="1" x14ac:dyDescent="0.25">
      <c r="A548" s="257"/>
      <c r="B548" s="253">
        <v>45570</v>
      </c>
      <c r="C548" s="298">
        <v>2064340.7</v>
      </c>
      <c r="D548" s="295">
        <f>'Bank Int.'!$C548*7.5%/360</f>
        <v>430.07097916666663</v>
      </c>
      <c r="E548" s="254">
        <v>7370790.2000000002</v>
      </c>
      <c r="F548" s="295">
        <f>'Bank Int.'!$E548*7.5%/360</f>
        <v>1535.5812916666666</v>
      </c>
      <c r="G548" s="305">
        <v>192890.07</v>
      </c>
      <c r="H548" s="303">
        <f>'Bank Int.'!$G548*4.5%/360</f>
        <v>24.111258749999998</v>
      </c>
      <c r="I548" s="306">
        <v>41072.120000000003</v>
      </c>
      <c r="J548" s="307">
        <f>'Bank Int.'!$I548*6.5%/360</f>
        <v>7.4157994444444446</v>
      </c>
      <c r="K548" s="338">
        <v>63080.56</v>
      </c>
      <c r="L548" s="307">
        <f>'Bank Int.'!$K548*6.5%/360</f>
        <v>11.389545555555555</v>
      </c>
      <c r="N548" s="358"/>
    </row>
    <row r="549" spans="1:14" ht="22.9" customHeight="1" x14ac:dyDescent="0.25">
      <c r="A549" s="257"/>
      <c r="B549" s="253">
        <f t="shared" ref="B549:B552" si="69">B548-1</f>
        <v>45569</v>
      </c>
      <c r="C549" s="298">
        <v>2064340.7</v>
      </c>
      <c r="D549" s="295">
        <f>'Bank Int.'!$C549*7.5%/360</f>
        <v>430.07097916666663</v>
      </c>
      <c r="E549" s="254">
        <v>7370790.2000000002</v>
      </c>
      <c r="F549" s="295">
        <f>'Bank Int.'!$E549*7.5%/360</f>
        <v>1535.5812916666666</v>
      </c>
      <c r="G549" s="305">
        <v>164890.07</v>
      </c>
      <c r="H549" s="303">
        <f>'Bank Int.'!$G549*4.5%/360</f>
        <v>20.611258749999998</v>
      </c>
      <c r="I549" s="306">
        <v>41072.120000000003</v>
      </c>
      <c r="J549" s="307">
        <f>'Bank Int.'!$I549*6.5%/360</f>
        <v>7.4157994444444446</v>
      </c>
      <c r="K549" s="338">
        <v>63080.56</v>
      </c>
      <c r="L549" s="307">
        <f>'Bank Int.'!$K549*6.5%/360</f>
        <v>11.389545555555555</v>
      </c>
      <c r="N549" s="358"/>
    </row>
    <row r="550" spans="1:14" ht="22.9" customHeight="1" x14ac:dyDescent="0.25">
      <c r="A550" s="257"/>
      <c r="B550" s="253">
        <f t="shared" si="69"/>
        <v>45568</v>
      </c>
      <c r="C550" s="298">
        <v>2064340.7</v>
      </c>
      <c r="D550" s="295">
        <f>'Bank Int.'!$C550*7.5%/360</f>
        <v>430.07097916666663</v>
      </c>
      <c r="E550" s="254">
        <v>7370790.2000000002</v>
      </c>
      <c r="F550" s="295">
        <f>'Bank Int.'!$E550*7.5%/360</f>
        <v>1535.5812916666666</v>
      </c>
      <c r="G550" s="305">
        <v>164890.07</v>
      </c>
      <c r="H550" s="303">
        <f>'Bank Int.'!$G550*4.5%/360</f>
        <v>20.611258749999998</v>
      </c>
      <c r="I550" s="306">
        <v>41072.120000000003</v>
      </c>
      <c r="J550" s="307">
        <f>'Bank Int.'!$I550*6.5%/360</f>
        <v>7.4157994444444446</v>
      </c>
      <c r="K550" s="338">
        <v>63080.56</v>
      </c>
      <c r="L550" s="307">
        <f>'Bank Int.'!$K550*6.5%/360</f>
        <v>11.389545555555555</v>
      </c>
      <c r="N550" s="358"/>
    </row>
    <row r="551" spans="1:14" ht="22.9" customHeight="1" x14ac:dyDescent="0.25">
      <c r="A551" s="257"/>
      <c r="B551" s="253">
        <f t="shared" si="69"/>
        <v>45567</v>
      </c>
      <c r="C551" s="298">
        <v>201000.7</v>
      </c>
      <c r="D551" s="295">
        <f>'Bank Int.'!$C551*7.5%/360</f>
        <v>41.875145833333335</v>
      </c>
      <c r="E551" s="254">
        <v>314108.67</v>
      </c>
      <c r="F551" s="295">
        <f>'Bank Int.'!$E551*7.5%/360</f>
        <v>65.439306250000001</v>
      </c>
      <c r="G551" s="305">
        <v>27890.07</v>
      </c>
      <c r="H551" s="303">
        <f>'Bank Int.'!$G551*4.5%/360</f>
        <v>3.4862587499999997</v>
      </c>
      <c r="I551" s="306">
        <v>41072.120000000003</v>
      </c>
      <c r="J551" s="307">
        <f>'Bank Int.'!$I551*6.5%/360</f>
        <v>7.4157994444444446</v>
      </c>
      <c r="K551" s="338">
        <v>63080.56</v>
      </c>
      <c r="L551" s="307">
        <f>'Bank Int.'!$K551*6.5%/360</f>
        <v>11.389545555555555</v>
      </c>
      <c r="N551" s="358"/>
    </row>
    <row r="552" spans="1:14" ht="22.9" customHeight="1" x14ac:dyDescent="0.25">
      <c r="A552" s="257"/>
      <c r="B552" s="253">
        <f t="shared" si="69"/>
        <v>45566</v>
      </c>
      <c r="C552" s="298">
        <v>2122676.7000000002</v>
      </c>
      <c r="D552" s="295">
        <f>'Bank Int.'!$C552*7.5%/360</f>
        <v>442.2243125</v>
      </c>
      <c r="E552" s="254">
        <v>8309775.46</v>
      </c>
      <c r="F552" s="295">
        <f>'Bank Int.'!$E552*7.5%/360</f>
        <v>1731.2032208333333</v>
      </c>
      <c r="G552" s="305">
        <v>27890.07</v>
      </c>
      <c r="H552" s="303">
        <f>'Bank Int.'!$G552*4.5%/360</f>
        <v>3.4862587499999997</v>
      </c>
      <c r="I552" s="306">
        <v>41072.120000000003</v>
      </c>
      <c r="J552" s="307">
        <f>'Bank Int.'!$I552*6.5%/360</f>
        <v>7.4157994444444446</v>
      </c>
      <c r="K552" s="338">
        <v>63080.56</v>
      </c>
      <c r="L552" s="307">
        <f>'Bank Int.'!$K552*6.5%/360</f>
        <v>11.389545555555555</v>
      </c>
      <c r="N552" s="358"/>
    </row>
    <row r="553" spans="1:14" ht="22.9" customHeight="1" x14ac:dyDescent="0.25">
      <c r="A553" s="257"/>
      <c r="B553" s="253">
        <v>45565</v>
      </c>
      <c r="C553" s="298">
        <v>22736.7</v>
      </c>
      <c r="D553" s="295">
        <f>'Bank Int.'!$C553*7.5%/360</f>
        <v>4.7368125000000001</v>
      </c>
      <c r="E553" s="254">
        <v>8309775.46</v>
      </c>
      <c r="F553" s="295">
        <f>'Bank Int.'!$E553*7.5%/360</f>
        <v>1731.2032208333333</v>
      </c>
      <c r="G553" s="305">
        <v>27890.07</v>
      </c>
      <c r="H553" s="303">
        <f>'Bank Int.'!$G553*4.5%/360</f>
        <v>3.4862587499999997</v>
      </c>
      <c r="I553" s="306">
        <v>41072.120000000003</v>
      </c>
      <c r="J553" s="307">
        <f>'Bank Int.'!$I553*6.5%/360</f>
        <v>7.4157994444444446</v>
      </c>
      <c r="K553" s="338">
        <v>63080.56</v>
      </c>
      <c r="L553" s="307">
        <f>'Bank Int.'!$K553*6.5%/360</f>
        <v>11.389545555555555</v>
      </c>
      <c r="N553" s="358"/>
    </row>
    <row r="554" spans="1:14" ht="22.9" customHeight="1" x14ac:dyDescent="0.25">
      <c r="A554" s="257"/>
      <c r="B554" s="253">
        <v>45564</v>
      </c>
      <c r="C554" s="298">
        <v>22794.7</v>
      </c>
      <c r="D554" s="295">
        <f>'Bank Int.'!$C554*7.5%/360</f>
        <v>4.7488958333333331</v>
      </c>
      <c r="E554" s="254">
        <v>14217685.300000001</v>
      </c>
      <c r="F554" s="295">
        <f>'Bank Int.'!$E554*7.5%/360</f>
        <v>2962.0177708333331</v>
      </c>
      <c r="G554" s="305">
        <v>27890.07</v>
      </c>
      <c r="H554" s="303">
        <f>'Bank Int.'!$G554*4.5%/360</f>
        <v>3.4862587499999997</v>
      </c>
      <c r="I554" s="306">
        <v>41072.120000000003</v>
      </c>
      <c r="J554" s="307">
        <f>'Bank Int.'!$I554*6.5%/360</f>
        <v>7.4157994444444446</v>
      </c>
      <c r="K554" s="338">
        <v>63080.56</v>
      </c>
      <c r="L554" s="307">
        <f>'Bank Int.'!$K554*6.5%/360</f>
        <v>11.389545555555555</v>
      </c>
      <c r="N554" s="358"/>
    </row>
    <row r="555" spans="1:14" ht="22.9" customHeight="1" x14ac:dyDescent="0.25">
      <c r="A555" s="257"/>
      <c r="B555" s="253">
        <v>45563</v>
      </c>
      <c r="C555" s="298">
        <v>115144.7</v>
      </c>
      <c r="D555" s="295">
        <f>'Bank Int.'!$C555*7.5%/360</f>
        <v>23.988479166666664</v>
      </c>
      <c r="E555" s="254">
        <v>173685.3</v>
      </c>
      <c r="F555" s="295">
        <f>'Bank Int.'!$E555*7.5%/360</f>
        <v>36.184437499999994</v>
      </c>
      <c r="G555" s="305">
        <v>387890.07</v>
      </c>
      <c r="H555" s="303">
        <f>'Bank Int.'!$G555*4.5%/360</f>
        <v>48.486258749999998</v>
      </c>
      <c r="I555" s="306">
        <v>41072.120000000003</v>
      </c>
      <c r="J555" s="307">
        <f>'Bank Int.'!$I555*6.5%/360</f>
        <v>7.4157994444444446</v>
      </c>
      <c r="K555" s="338">
        <v>63080.56</v>
      </c>
      <c r="L555" s="307">
        <f>'Bank Int.'!$K555*6.5%/360</f>
        <v>11.389545555555555</v>
      </c>
      <c r="N555" s="358"/>
    </row>
    <row r="556" spans="1:14" ht="22.9" customHeight="1" x14ac:dyDescent="0.25">
      <c r="A556" s="257"/>
      <c r="B556" s="253">
        <f t="shared" ref="B556:B561" si="70">B555-1</f>
        <v>45562</v>
      </c>
      <c r="C556" s="298">
        <v>115144.7</v>
      </c>
      <c r="D556" s="295">
        <f>'Bank Int.'!$C556*7.5%/360</f>
        <v>23.988479166666664</v>
      </c>
      <c r="E556" s="254">
        <v>173685.31999999937</v>
      </c>
      <c r="F556" s="295">
        <f>'Bank Int.'!$E556*7.5%/360</f>
        <v>36.184441666666537</v>
      </c>
      <c r="G556" s="305">
        <v>387890.07</v>
      </c>
      <c r="H556" s="303">
        <f>'Bank Int.'!$G556*4.5%/360</f>
        <v>48.486258749999998</v>
      </c>
      <c r="I556" s="306">
        <v>41072.120000000003</v>
      </c>
      <c r="J556" s="307">
        <f>'Bank Int.'!$I556*6.5%/360</f>
        <v>7.4157994444444446</v>
      </c>
      <c r="K556" s="338">
        <v>63080.56</v>
      </c>
      <c r="L556" s="307">
        <f>'Bank Int.'!$K556*6.5%/360</f>
        <v>11.389545555555555</v>
      </c>
      <c r="N556" s="358"/>
    </row>
    <row r="557" spans="1:14" ht="22.9" customHeight="1" x14ac:dyDescent="0.25">
      <c r="A557" s="257"/>
      <c r="B557" s="253">
        <f t="shared" si="70"/>
        <v>45561</v>
      </c>
      <c r="C557" s="298">
        <v>115144.7</v>
      </c>
      <c r="D557" s="295">
        <f>'Bank Int.'!$C557*7.5%/360</f>
        <v>23.988479166666664</v>
      </c>
      <c r="E557" s="254">
        <v>173685.31999999937</v>
      </c>
      <c r="F557" s="295">
        <f>'Bank Int.'!$E557*7.5%/360</f>
        <v>36.184441666666537</v>
      </c>
      <c r="G557" s="305">
        <v>387890.07</v>
      </c>
      <c r="H557" s="303">
        <f>'Bank Int.'!$G557*4.5%/360</f>
        <v>48.486258749999998</v>
      </c>
      <c r="I557" s="306">
        <v>41072.120000000003</v>
      </c>
      <c r="J557" s="307">
        <f>'Bank Int.'!$I557*6.5%/360</f>
        <v>7.4157994444444446</v>
      </c>
      <c r="K557" s="338">
        <v>63080.56</v>
      </c>
      <c r="L557" s="307">
        <f>'Bank Int.'!$K557*6.5%/360</f>
        <v>11.389545555555555</v>
      </c>
      <c r="N557" s="358"/>
    </row>
    <row r="558" spans="1:14" ht="22.9" customHeight="1" x14ac:dyDescent="0.25">
      <c r="A558" s="257"/>
      <c r="B558" s="253">
        <f t="shared" si="70"/>
        <v>45560</v>
      </c>
      <c r="C558" s="298">
        <v>1215144.7</v>
      </c>
      <c r="D558" s="295">
        <f>'Bank Int.'!$C558*7.5%/360</f>
        <v>253.15514583333331</v>
      </c>
      <c r="E558" s="254">
        <v>5155319.0199999996</v>
      </c>
      <c r="F558" s="295">
        <f>'Bank Int.'!$E558*7.5%/360</f>
        <v>1074.0247958333332</v>
      </c>
      <c r="G558" s="305">
        <v>87350.07</v>
      </c>
      <c r="H558" s="303">
        <f>'Bank Int.'!$G558*4.5%/360</f>
        <v>10.91875875</v>
      </c>
      <c r="I558" s="306">
        <v>41072.120000000003</v>
      </c>
      <c r="J558" s="307">
        <f>'Bank Int.'!$I558*6.5%/360</f>
        <v>7.4157994444444446</v>
      </c>
      <c r="K558" s="338">
        <v>63080.56</v>
      </c>
      <c r="L558" s="307">
        <f>'Bank Int.'!$K558*6.5%/360</f>
        <v>11.389545555555555</v>
      </c>
      <c r="N558" s="358"/>
    </row>
    <row r="559" spans="1:14" ht="22.9" customHeight="1" x14ac:dyDescent="0.25">
      <c r="A559" s="257"/>
      <c r="B559" s="253">
        <f t="shared" si="70"/>
        <v>45559</v>
      </c>
      <c r="C559" s="298">
        <v>9078960.7599999998</v>
      </c>
      <c r="D559" s="295">
        <f>'Bank Int.'!$C559*7.5%/360</f>
        <v>1891.4501583333331</v>
      </c>
      <c r="E559" s="254">
        <v>22696036.219999999</v>
      </c>
      <c r="F559" s="295">
        <f>'Bank Int.'!$E559*7.5%/360</f>
        <v>4728.3408791666661</v>
      </c>
      <c r="G559" s="305">
        <v>87350.07</v>
      </c>
      <c r="H559" s="303">
        <f>'Bank Int.'!$G559*4.5%/360</f>
        <v>10.91875875</v>
      </c>
      <c r="I559" s="306">
        <v>41072.120000000003</v>
      </c>
      <c r="J559" s="307">
        <f>'Bank Int.'!$I559*6.5%/360</f>
        <v>7.4157994444444446</v>
      </c>
      <c r="K559" s="338">
        <v>63080.56</v>
      </c>
      <c r="L559" s="307">
        <f>'Bank Int.'!$K559*6.5%/360</f>
        <v>11.389545555555555</v>
      </c>
      <c r="N559" s="358"/>
    </row>
    <row r="560" spans="1:14" ht="22.9" customHeight="1" x14ac:dyDescent="0.25">
      <c r="A560" s="257"/>
      <c r="B560" s="253">
        <f t="shared" si="70"/>
        <v>45558</v>
      </c>
      <c r="C560" s="298">
        <v>12579057.130000001</v>
      </c>
      <c r="D560" s="295">
        <f>'Bank Int.'!$C560*7.5%/360</f>
        <v>2620.6369020833331</v>
      </c>
      <c r="E560" s="254">
        <v>22696036.219999999</v>
      </c>
      <c r="F560" s="295">
        <f>'Bank Int.'!$E560*7.5%/360</f>
        <v>4728.3408791666661</v>
      </c>
      <c r="G560" s="305">
        <v>87350.07</v>
      </c>
      <c r="H560" s="303">
        <f>'Bank Int.'!$G560*4.5%/360</f>
        <v>10.91875875</v>
      </c>
      <c r="I560" s="306">
        <v>41072.120000000003</v>
      </c>
      <c r="J560" s="307">
        <f>'Bank Int.'!$I560*6.5%/360</f>
        <v>7.4157994444444446</v>
      </c>
      <c r="K560" s="338">
        <v>63080.56</v>
      </c>
      <c r="L560" s="307">
        <f>'Bank Int.'!$K560*6.5%/360</f>
        <v>11.389545555555555</v>
      </c>
      <c r="N560" s="358"/>
    </row>
    <row r="561" spans="1:14" ht="22.9" customHeight="1" x14ac:dyDescent="0.25">
      <c r="A561" s="257"/>
      <c r="B561" s="253">
        <f t="shared" si="70"/>
        <v>45557</v>
      </c>
      <c r="C561" s="298">
        <v>2779117.13</v>
      </c>
      <c r="D561" s="295">
        <f>'Bank Int.'!$C561*7.5%/360</f>
        <v>578.98273541666663</v>
      </c>
      <c r="E561" s="254">
        <v>113917.1</v>
      </c>
      <c r="F561" s="295">
        <f>'Bank Int.'!$E561*7.5%/360</f>
        <v>23.732729166666665</v>
      </c>
      <c r="G561" s="305">
        <v>87350.07</v>
      </c>
      <c r="H561" s="303">
        <f>'Bank Int.'!$G561*4.5%/360</f>
        <v>10.91875875</v>
      </c>
      <c r="I561" s="306">
        <v>41072.120000000003</v>
      </c>
      <c r="J561" s="307">
        <f>'Bank Int.'!$I561*6.5%/360</f>
        <v>7.4157994444444446</v>
      </c>
      <c r="K561" s="338">
        <v>63080.56</v>
      </c>
      <c r="L561" s="307">
        <f>'Bank Int.'!$K561*6.5%/360</f>
        <v>11.389545555555555</v>
      </c>
      <c r="N561" s="358"/>
    </row>
    <row r="562" spans="1:14" ht="22.9" customHeight="1" x14ac:dyDescent="0.25">
      <c r="A562" s="257"/>
      <c r="B562" s="253">
        <v>45556</v>
      </c>
      <c r="C562" s="298">
        <v>2679127.13</v>
      </c>
      <c r="D562" s="295">
        <f>'Bank Int.'!$C562*7.5%/360</f>
        <v>558.15148541666667</v>
      </c>
      <c r="E562" s="254">
        <v>113917.1</v>
      </c>
      <c r="F562" s="295">
        <f>'Bank Int.'!$E562*7.5%/360</f>
        <v>23.732729166666665</v>
      </c>
      <c r="G562" s="305">
        <v>87350.07</v>
      </c>
      <c r="H562" s="303">
        <f>'Bank Int.'!$G562*4.5%/360</f>
        <v>10.91875875</v>
      </c>
      <c r="I562" s="306">
        <v>41072.120000000003</v>
      </c>
      <c r="J562" s="307">
        <f>'Bank Int.'!$I562*6.5%/360</f>
        <v>7.4157994444444446</v>
      </c>
      <c r="K562" s="338">
        <v>63080.56</v>
      </c>
      <c r="L562" s="307">
        <f>'Bank Int.'!$K562*6.5%/360</f>
        <v>11.389545555555555</v>
      </c>
      <c r="N562" s="358"/>
    </row>
    <row r="563" spans="1:14" ht="22.9" customHeight="1" x14ac:dyDescent="0.25">
      <c r="A563" s="257"/>
      <c r="B563" s="253">
        <f t="shared" ref="B563:B568" si="71">B562-1</f>
        <v>45555</v>
      </c>
      <c r="C563" s="298">
        <v>2679127.13</v>
      </c>
      <c r="D563" s="295">
        <f>'Bank Int.'!$C563*7.5%/360</f>
        <v>558.15148541666667</v>
      </c>
      <c r="E563" s="254">
        <v>113917.1</v>
      </c>
      <c r="F563" s="295">
        <f>'Bank Int.'!$E563*7.5%/360</f>
        <v>23.732729166666665</v>
      </c>
      <c r="G563" s="305">
        <v>87350.07</v>
      </c>
      <c r="H563" s="303">
        <f>'Bank Int.'!$G563*4.5%/360</f>
        <v>10.91875875</v>
      </c>
      <c r="I563" s="306">
        <v>41072.120000000003</v>
      </c>
      <c r="J563" s="307">
        <f>'Bank Int.'!$I563*6.5%/360</f>
        <v>7.4157994444444446</v>
      </c>
      <c r="K563" s="338">
        <v>63080.56</v>
      </c>
      <c r="L563" s="307">
        <f>'Bank Int.'!$K563*6.5%/360</f>
        <v>11.389545555555555</v>
      </c>
      <c r="N563" s="358"/>
    </row>
    <row r="564" spans="1:14" ht="22.9" customHeight="1" x14ac:dyDescent="0.25">
      <c r="A564" s="257"/>
      <c r="B564" s="253">
        <f t="shared" si="71"/>
        <v>45554</v>
      </c>
      <c r="C564" s="298">
        <v>2679127.13</v>
      </c>
      <c r="D564" s="295">
        <f>'Bank Int.'!$C564*7.5%/360</f>
        <v>558.15148541666667</v>
      </c>
      <c r="E564" s="254">
        <v>113917.1</v>
      </c>
      <c r="F564" s="295">
        <f>'Bank Int.'!$E564*7.5%/360</f>
        <v>23.732729166666665</v>
      </c>
      <c r="G564" s="305">
        <v>87350.07</v>
      </c>
      <c r="H564" s="303">
        <f>'Bank Int.'!$G564*4.5%/360</f>
        <v>10.91875875</v>
      </c>
      <c r="I564" s="306">
        <v>41072.120000000003</v>
      </c>
      <c r="J564" s="307">
        <f>'Bank Int.'!$I564*6.5%/360</f>
        <v>7.4157994444444446</v>
      </c>
      <c r="K564" s="338">
        <v>63080.56</v>
      </c>
      <c r="L564" s="307">
        <f>'Bank Int.'!$K564*6.5%/360</f>
        <v>11.389545555555555</v>
      </c>
      <c r="N564" s="358"/>
    </row>
    <row r="565" spans="1:14" ht="22.9" customHeight="1" x14ac:dyDescent="0.25">
      <c r="A565" s="257"/>
      <c r="B565" s="253">
        <f t="shared" si="71"/>
        <v>45553</v>
      </c>
      <c r="C565" s="298">
        <v>450467.13</v>
      </c>
      <c r="D565" s="295">
        <f>'Bank Int.'!$C565*7.5%/360</f>
        <v>93.847318749999999</v>
      </c>
      <c r="E565" s="254">
        <v>113917.1</v>
      </c>
      <c r="F565" s="295">
        <f>'Bank Int.'!$E565*7.5%/360</f>
        <v>23.732729166666665</v>
      </c>
      <c r="G565" s="305">
        <v>87350.07</v>
      </c>
      <c r="H565" s="303">
        <f>'Bank Int.'!$G565*4.5%/360</f>
        <v>10.91875875</v>
      </c>
      <c r="I565" s="306">
        <v>41072.120000000003</v>
      </c>
      <c r="J565" s="307">
        <f>'Bank Int.'!$I565*6.5%/360</f>
        <v>7.4157994444444446</v>
      </c>
      <c r="K565" s="338">
        <v>63080.56</v>
      </c>
      <c r="L565" s="307">
        <f>'Bank Int.'!$K565*6.5%/360</f>
        <v>11.389545555555555</v>
      </c>
      <c r="N565" s="358"/>
    </row>
    <row r="566" spans="1:14" ht="22.9" customHeight="1" x14ac:dyDescent="0.25">
      <c r="A566" s="257"/>
      <c r="B566" s="253">
        <f t="shared" si="71"/>
        <v>45552</v>
      </c>
      <c r="C566" s="298">
        <v>200487.13</v>
      </c>
      <c r="D566" s="295">
        <f>'Bank Int.'!$C566*7.5%/360</f>
        <v>41.768152083333334</v>
      </c>
      <c r="E566" s="254">
        <v>113917.1</v>
      </c>
      <c r="F566" s="295">
        <f>'Bank Int.'!$E566*7.5%/360</f>
        <v>23.732729166666665</v>
      </c>
      <c r="G566" s="305">
        <v>87350.07</v>
      </c>
      <c r="H566" s="303">
        <f>'Bank Int.'!$G566*4.5%/360</f>
        <v>10.91875875</v>
      </c>
      <c r="I566" s="306">
        <v>41072.120000000003</v>
      </c>
      <c r="J566" s="307">
        <f>'Bank Int.'!$I566*6.5%/360</f>
        <v>7.4157994444444446</v>
      </c>
      <c r="K566" s="338">
        <v>63080.56</v>
      </c>
      <c r="L566" s="307">
        <f>'Bank Int.'!$K566*6.5%/360</f>
        <v>11.389545555555555</v>
      </c>
      <c r="N566" s="358"/>
    </row>
    <row r="567" spans="1:14" ht="22.9" customHeight="1" x14ac:dyDescent="0.25">
      <c r="A567" s="257"/>
      <c r="B567" s="253">
        <f t="shared" si="71"/>
        <v>45551</v>
      </c>
      <c r="C567" s="298">
        <v>3936819.13</v>
      </c>
      <c r="D567" s="295">
        <f>'Bank Int.'!$C567*7.5%/360</f>
        <v>820.17065208333327</v>
      </c>
      <c r="E567" s="254">
        <v>213917.1</v>
      </c>
      <c r="F567" s="295">
        <f>'Bank Int.'!$E567*7.5%/360</f>
        <v>44.566062500000001</v>
      </c>
      <c r="G567" s="305">
        <v>87350.07</v>
      </c>
      <c r="H567" s="303">
        <f>'Bank Int.'!$G567*4.5%/360</f>
        <v>10.91875875</v>
      </c>
      <c r="I567" s="306">
        <v>41072.120000000003</v>
      </c>
      <c r="J567" s="307">
        <f>'Bank Int.'!$I567*6.5%/360</f>
        <v>7.4157994444444446</v>
      </c>
      <c r="K567" s="338">
        <v>63080.56</v>
      </c>
      <c r="L567" s="307">
        <f>'Bank Int.'!$K567*6.5%/360</f>
        <v>11.389545555555555</v>
      </c>
      <c r="N567" s="358"/>
    </row>
    <row r="568" spans="1:14" ht="22.9" customHeight="1" x14ac:dyDescent="0.25">
      <c r="A568" s="257"/>
      <c r="B568" s="253">
        <f t="shared" si="71"/>
        <v>45550</v>
      </c>
      <c r="C568" s="298">
        <v>3936819.13</v>
      </c>
      <c r="D568" s="295">
        <f>'Bank Int.'!$C568*7.5%/360</f>
        <v>820.17065208333327</v>
      </c>
      <c r="E568" s="254">
        <v>213917.1</v>
      </c>
      <c r="F568" s="295">
        <f>'Bank Int.'!$E568*7.5%/360</f>
        <v>44.566062500000001</v>
      </c>
      <c r="G568" s="305">
        <v>87350.07</v>
      </c>
      <c r="H568" s="303">
        <f>'Bank Int.'!$G568*4.5%/360</f>
        <v>10.91875875</v>
      </c>
      <c r="I568" s="306">
        <v>41072.120000000003</v>
      </c>
      <c r="J568" s="307">
        <f>'Bank Int.'!$I568*6.5%/360</f>
        <v>7.4157994444444446</v>
      </c>
      <c r="K568" s="338">
        <v>63080.56</v>
      </c>
      <c r="L568" s="307">
        <f>'Bank Int.'!$K568*6.5%/360</f>
        <v>11.389545555555555</v>
      </c>
      <c r="N568" s="358"/>
    </row>
    <row r="569" spans="1:14" ht="22.9" customHeight="1" x14ac:dyDescent="0.25">
      <c r="A569" s="257"/>
      <c r="B569" s="253">
        <v>45549</v>
      </c>
      <c r="C569" s="298">
        <v>2841887.13</v>
      </c>
      <c r="D569" s="295">
        <f>'Bank Int.'!$C569*7.5%/360</f>
        <v>592.05981874999998</v>
      </c>
      <c r="E569" s="254">
        <v>213917.1</v>
      </c>
      <c r="F569" s="295">
        <f>'Bank Int.'!$E569*7.5%/360</f>
        <v>44.566062500000001</v>
      </c>
      <c r="G569" s="305">
        <v>3350.07</v>
      </c>
      <c r="H569" s="303">
        <f>'Bank Int.'!$G569*4.5%/360</f>
        <v>0.41875875000000001</v>
      </c>
      <c r="I569" s="306">
        <v>41072.120000000003</v>
      </c>
      <c r="J569" s="307">
        <f>'Bank Int.'!$I569*6.5%/360</f>
        <v>7.4157994444444446</v>
      </c>
      <c r="K569" s="338">
        <v>63080.56</v>
      </c>
      <c r="L569" s="307">
        <f>'Bank Int.'!$K569*6.5%/360</f>
        <v>11.389545555555555</v>
      </c>
      <c r="N569" s="358"/>
    </row>
    <row r="570" spans="1:14" ht="22.9" customHeight="1" x14ac:dyDescent="0.25">
      <c r="A570" s="257"/>
      <c r="B570" s="253">
        <f t="shared" ref="B570:B575" si="72">B569-1</f>
        <v>45548</v>
      </c>
      <c r="C570" s="298">
        <v>2841887.13</v>
      </c>
      <c r="D570" s="295">
        <f>'Bank Int.'!$C570*7.5%/360</f>
        <v>592.05981874999998</v>
      </c>
      <c r="E570" s="254">
        <v>213917.1</v>
      </c>
      <c r="F570" s="295">
        <f>'Bank Int.'!$E570*7.5%/360</f>
        <v>44.566062500000001</v>
      </c>
      <c r="G570" s="305">
        <v>3350.07</v>
      </c>
      <c r="H570" s="303">
        <f>'Bank Int.'!$G570*4.5%/360</f>
        <v>0.41875875000000001</v>
      </c>
      <c r="I570" s="306">
        <v>41072.120000000003</v>
      </c>
      <c r="J570" s="307">
        <f>'Bank Int.'!$I570*6.5%/360</f>
        <v>7.4157994444444446</v>
      </c>
      <c r="K570" s="338">
        <v>63080.56</v>
      </c>
      <c r="L570" s="307">
        <f>'Bank Int.'!$K570*6.5%/360</f>
        <v>11.389545555555555</v>
      </c>
      <c r="N570" s="358"/>
    </row>
    <row r="571" spans="1:14" ht="22.9" customHeight="1" x14ac:dyDescent="0.25">
      <c r="A571" s="257"/>
      <c r="B571" s="253">
        <f t="shared" si="72"/>
        <v>45547</v>
      </c>
      <c r="C571" s="298">
        <v>2841887.13</v>
      </c>
      <c r="D571" s="295">
        <f>'Bank Int.'!$C571*7.5%/360</f>
        <v>592.05981874999998</v>
      </c>
      <c r="E571" s="254">
        <v>213917.1</v>
      </c>
      <c r="F571" s="295">
        <f>'Bank Int.'!$E571*7.5%/360</f>
        <v>44.566062500000001</v>
      </c>
      <c r="G571" s="305">
        <v>3350.07</v>
      </c>
      <c r="H571" s="303">
        <f>'Bank Int.'!$G571*4.5%/360</f>
        <v>0.41875875000000001</v>
      </c>
      <c r="I571" s="306">
        <v>41072.120000000003</v>
      </c>
      <c r="J571" s="307">
        <f>'Bank Int.'!$I571*6.5%/360</f>
        <v>7.4157994444444446</v>
      </c>
      <c r="K571" s="338">
        <v>63080.56</v>
      </c>
      <c r="L571" s="307">
        <f>'Bank Int.'!$K571*6.5%/360</f>
        <v>11.389545555555555</v>
      </c>
      <c r="N571" s="358"/>
    </row>
    <row r="572" spans="1:14" ht="22.9" customHeight="1" x14ac:dyDescent="0.25">
      <c r="A572" s="257"/>
      <c r="B572" s="253">
        <f t="shared" si="72"/>
        <v>45546</v>
      </c>
      <c r="C572" s="298">
        <v>221507.13</v>
      </c>
      <c r="D572" s="295">
        <f>'Bank Int.'!$C572*7.5%/360</f>
        <v>46.147318749999997</v>
      </c>
      <c r="E572" s="254">
        <v>213917.1</v>
      </c>
      <c r="F572" s="295">
        <f>'Bank Int.'!$E572*7.5%/360</f>
        <v>44.566062500000001</v>
      </c>
      <c r="G572" s="305">
        <v>3350.07</v>
      </c>
      <c r="H572" s="303">
        <f>'Bank Int.'!$G572*4.5%/360</f>
        <v>0.41875875000000001</v>
      </c>
      <c r="I572" s="306">
        <v>41072.120000000003</v>
      </c>
      <c r="J572" s="307">
        <f>'Bank Int.'!$I572*6.5%/360</f>
        <v>7.4157994444444446</v>
      </c>
      <c r="K572" s="338">
        <v>63080.56</v>
      </c>
      <c r="L572" s="307">
        <f>'Bank Int.'!$K572*6.5%/360</f>
        <v>11.389545555555555</v>
      </c>
      <c r="N572" s="358"/>
    </row>
    <row r="573" spans="1:14" ht="22.9" customHeight="1" x14ac:dyDescent="0.25">
      <c r="A573" s="257"/>
      <c r="B573" s="253">
        <f t="shared" si="72"/>
        <v>45545</v>
      </c>
      <c r="C573" s="298">
        <v>22933500.600000001</v>
      </c>
      <c r="D573" s="295">
        <f>'Bank Int.'!$C573*7.5%/360</f>
        <v>4777.8126250000005</v>
      </c>
      <c r="E573" s="254">
        <v>10578726.060000001</v>
      </c>
      <c r="F573" s="295">
        <f>'Bank Int.'!$E573*7.5%/360</f>
        <v>2203.9012625</v>
      </c>
      <c r="G573" s="305">
        <v>3350.07</v>
      </c>
      <c r="H573" s="303">
        <f>'Bank Int.'!$G573*4.5%/360</f>
        <v>0.41875875000000001</v>
      </c>
      <c r="I573" s="306">
        <v>41072.120000000003</v>
      </c>
      <c r="J573" s="307">
        <f>'Bank Int.'!$I573*6.5%/360</f>
        <v>7.4157994444444446</v>
      </c>
      <c r="K573" s="338">
        <v>63080.56</v>
      </c>
      <c r="L573" s="307">
        <f>'Bank Int.'!$K573*6.5%/360</f>
        <v>11.389545555555555</v>
      </c>
      <c r="N573" s="358"/>
    </row>
    <row r="574" spans="1:14" ht="22.9" customHeight="1" x14ac:dyDescent="0.25">
      <c r="A574" s="257"/>
      <c r="B574" s="253">
        <f t="shared" si="72"/>
        <v>45544</v>
      </c>
      <c r="C574" s="298">
        <v>23445067.949999999</v>
      </c>
      <c r="D574" s="295">
        <f>'Bank Int.'!$C574*7.5%/360</f>
        <v>4884.3891562500003</v>
      </c>
      <c r="E574" s="254">
        <v>10578726.060000001</v>
      </c>
      <c r="F574" s="295">
        <f>'Bank Int.'!$E574*7.5%/360</f>
        <v>2203.9012625</v>
      </c>
      <c r="G574" s="305">
        <v>3350.07</v>
      </c>
      <c r="H574" s="303">
        <f>'Bank Int.'!$G574*4.5%/360</f>
        <v>0.41875875000000001</v>
      </c>
      <c r="I574" s="306">
        <v>41072.120000000003</v>
      </c>
      <c r="J574" s="307">
        <f>'Bank Int.'!$I574*6.5%/360</f>
        <v>7.4157994444444446</v>
      </c>
      <c r="K574" s="338">
        <v>63080.56</v>
      </c>
      <c r="L574" s="307">
        <f>'Bank Int.'!$K574*6.5%/360</f>
        <v>11.389545555555555</v>
      </c>
      <c r="N574" s="358"/>
    </row>
    <row r="575" spans="1:14" ht="22.9" customHeight="1" x14ac:dyDescent="0.25">
      <c r="A575" s="257"/>
      <c r="B575" s="253">
        <f t="shared" si="72"/>
        <v>45543</v>
      </c>
      <c r="C575" s="298">
        <v>2982739.1</v>
      </c>
      <c r="D575" s="295">
        <f>'Bank Int.'!$C575*7.5%/360</f>
        <v>621.40397916666666</v>
      </c>
      <c r="E575" s="254">
        <v>300086.06</v>
      </c>
      <c r="F575" s="295">
        <f>'Bank Int.'!$E575*7.5%/360</f>
        <v>62.517929166666669</v>
      </c>
      <c r="G575" s="305">
        <v>244040.07</v>
      </c>
      <c r="H575" s="303">
        <f>'Bank Int.'!$G575*4.5%/360</f>
        <v>30.505008749999998</v>
      </c>
      <c r="I575" s="306">
        <v>41072.120000000003</v>
      </c>
      <c r="J575" s="307">
        <f>'Bank Int.'!$I575*6.5%/360</f>
        <v>7.4157994444444446</v>
      </c>
      <c r="K575" s="338">
        <v>63080.56</v>
      </c>
      <c r="L575" s="307">
        <f>'Bank Int.'!$K575*6.5%/360</f>
        <v>11.389545555555555</v>
      </c>
      <c r="N575" s="358"/>
    </row>
    <row r="576" spans="1:14" ht="22.9" customHeight="1" x14ac:dyDescent="0.25">
      <c r="A576" s="257"/>
      <c r="B576" s="253">
        <v>45542</v>
      </c>
      <c r="C576" s="298">
        <v>2982739.1</v>
      </c>
      <c r="D576" s="295">
        <f>'Bank Int.'!$C576*7.5%/360</f>
        <v>621.40397916666666</v>
      </c>
      <c r="E576" s="254">
        <v>300086.06</v>
      </c>
      <c r="F576" s="295">
        <f>'Bank Int.'!$E576*7.5%/360</f>
        <v>62.517929166666669</v>
      </c>
      <c r="G576" s="305">
        <v>256040.07</v>
      </c>
      <c r="H576" s="303">
        <f>'Bank Int.'!$G576*4.5%/360</f>
        <v>32.005008750000002</v>
      </c>
      <c r="I576" s="306">
        <v>41072.120000000003</v>
      </c>
      <c r="J576" s="307">
        <f>'Bank Int.'!$I576*6.5%/360</f>
        <v>7.4157994444444446</v>
      </c>
      <c r="K576" s="338">
        <v>63080.56</v>
      </c>
      <c r="L576" s="307">
        <f>'Bank Int.'!$K576*6.5%/360</f>
        <v>11.389545555555555</v>
      </c>
      <c r="N576" s="358"/>
    </row>
    <row r="577" spans="1:14" ht="22.9" customHeight="1" x14ac:dyDescent="0.25">
      <c r="A577" s="257"/>
      <c r="B577" s="253">
        <f t="shared" ref="B577:B582" si="73">B576-1</f>
        <v>45541</v>
      </c>
      <c r="C577" s="298">
        <v>2982739.1</v>
      </c>
      <c r="D577" s="295">
        <f>'Bank Int.'!$C577*7.5%/360</f>
        <v>621.40397916666666</v>
      </c>
      <c r="E577" s="254">
        <v>300086.06</v>
      </c>
      <c r="F577" s="295">
        <f>'Bank Int.'!$E577*7.5%/360</f>
        <v>62.517929166666669</v>
      </c>
      <c r="G577" s="305">
        <v>256040.07</v>
      </c>
      <c r="H577" s="303">
        <f>'Bank Int.'!$G577*4.5%/360</f>
        <v>32.005008750000002</v>
      </c>
      <c r="I577" s="306">
        <v>41072.120000000003</v>
      </c>
      <c r="J577" s="307">
        <f>'Bank Int.'!$I577*6.5%/360</f>
        <v>7.4157994444444446</v>
      </c>
      <c r="K577" s="338">
        <v>63080.56</v>
      </c>
      <c r="L577" s="307">
        <f>'Bank Int.'!$K577*6.5%/360</f>
        <v>11.389545555555555</v>
      </c>
      <c r="N577" s="358"/>
    </row>
    <row r="578" spans="1:14" ht="22.9" customHeight="1" x14ac:dyDescent="0.25">
      <c r="A578" s="257"/>
      <c r="B578" s="253">
        <f t="shared" si="73"/>
        <v>45540</v>
      </c>
      <c r="C578" s="298">
        <v>2982739.1</v>
      </c>
      <c r="D578" s="295">
        <f>'Bank Int.'!$C578*7.5%/360</f>
        <v>621.40397916666666</v>
      </c>
      <c r="E578" s="254">
        <v>300086.06</v>
      </c>
      <c r="F578" s="295">
        <f>'Bank Int.'!$E578*7.5%/360</f>
        <v>62.517929166666669</v>
      </c>
      <c r="G578" s="305">
        <v>256040.07</v>
      </c>
      <c r="H578" s="303">
        <f>'Bank Int.'!$G578*4.5%/360</f>
        <v>32.005008750000002</v>
      </c>
      <c r="I578" s="306">
        <v>41072.120000000003</v>
      </c>
      <c r="J578" s="307">
        <f>'Bank Int.'!$I578*6.5%/360</f>
        <v>7.4157994444444446</v>
      </c>
      <c r="K578" s="338">
        <v>63080.56</v>
      </c>
      <c r="L578" s="307">
        <f>'Bank Int.'!$K578*6.5%/360</f>
        <v>11.389545555555555</v>
      </c>
      <c r="N578" s="358"/>
    </row>
    <row r="579" spans="1:14" ht="22.9" customHeight="1" x14ac:dyDescent="0.25">
      <c r="A579" s="257"/>
      <c r="B579" s="253">
        <f t="shared" si="73"/>
        <v>45539</v>
      </c>
      <c r="C579" s="298">
        <v>9882955</v>
      </c>
      <c r="D579" s="295">
        <f>'Bank Int.'!$C579*7.5%/360</f>
        <v>2058.9489583333334</v>
      </c>
      <c r="E579" s="254">
        <v>1714586.06</v>
      </c>
      <c r="F579" s="295">
        <f>'Bank Int.'!$E579*7.5%/360</f>
        <v>357.20542916666665</v>
      </c>
      <c r="G579" s="305">
        <v>16040.07</v>
      </c>
      <c r="H579" s="303">
        <f>'Bank Int.'!$G579*4.5%/360</f>
        <v>2.00500875</v>
      </c>
      <c r="I579" s="306">
        <v>41072.120000000003</v>
      </c>
      <c r="J579" s="307">
        <f>'Bank Int.'!$I579*6.5%/360</f>
        <v>7.4157994444444446</v>
      </c>
      <c r="K579" s="338">
        <v>63080.56</v>
      </c>
      <c r="L579" s="307">
        <f>'Bank Int.'!$K579*6.5%/360</f>
        <v>11.389545555555555</v>
      </c>
      <c r="N579" s="358"/>
    </row>
    <row r="580" spans="1:14" ht="22.9" customHeight="1" x14ac:dyDescent="0.25">
      <c r="A580" s="257"/>
      <c r="B580" s="253">
        <f t="shared" si="73"/>
        <v>45538</v>
      </c>
      <c r="C580" s="298">
        <v>10383013</v>
      </c>
      <c r="D580" s="295">
        <f>'Bank Int.'!$C580*7.5%/360</f>
        <v>2163.1277083333334</v>
      </c>
      <c r="E580" s="254">
        <v>1714586.06</v>
      </c>
      <c r="F580" s="295">
        <f>'Bank Int.'!$E580*7.5%/360</f>
        <v>357.20542916666665</v>
      </c>
      <c r="G580" s="305">
        <v>16040.07</v>
      </c>
      <c r="H580" s="303">
        <f>'Bank Int.'!$G580*4.5%/360</f>
        <v>2.00500875</v>
      </c>
      <c r="I580" s="306">
        <v>41072.120000000003</v>
      </c>
      <c r="J580" s="307">
        <f>'Bank Int.'!$I580*6.5%/360</f>
        <v>7.4157994444444446</v>
      </c>
      <c r="K580" s="338">
        <v>63080.56</v>
      </c>
      <c r="L580" s="307">
        <f>'Bank Int.'!$K580*6.5%/360</f>
        <v>11.389545555555555</v>
      </c>
      <c r="N580" s="358"/>
    </row>
    <row r="581" spans="1:14" ht="22.9" customHeight="1" x14ac:dyDescent="0.25">
      <c r="A581" s="257"/>
      <c r="B581" s="253">
        <f t="shared" si="73"/>
        <v>45537</v>
      </c>
      <c r="C581" s="298">
        <v>1083</v>
      </c>
      <c r="D581" s="295">
        <f>'Bank Int.'!$C581*7.5%/360</f>
        <v>0.22562499999999999</v>
      </c>
      <c r="E581" s="254">
        <v>1580148.56</v>
      </c>
      <c r="F581" s="295">
        <f>'Bank Int.'!$E581*7.5%/360</f>
        <v>329.19761666666665</v>
      </c>
      <c r="G581" s="305">
        <v>16040.07</v>
      </c>
      <c r="H581" s="303">
        <f>'Bank Int.'!$G581*4.5%/360</f>
        <v>2.00500875</v>
      </c>
      <c r="I581" s="306">
        <v>41072.120000000003</v>
      </c>
      <c r="J581" s="307">
        <f>'Bank Int.'!$I581*6.5%/360</f>
        <v>7.4157994444444446</v>
      </c>
      <c r="K581" s="338">
        <v>63080.56</v>
      </c>
      <c r="L581" s="307">
        <f>'Bank Int.'!$K581*6.5%/360</f>
        <v>11.389545555555555</v>
      </c>
      <c r="N581" s="358"/>
    </row>
    <row r="582" spans="1:14" ht="22.9" customHeight="1" x14ac:dyDescent="0.25">
      <c r="A582" s="257"/>
      <c r="B582" s="253">
        <f t="shared" si="73"/>
        <v>45536</v>
      </c>
      <c r="C582" s="298">
        <v>1083</v>
      </c>
      <c r="D582" s="295">
        <f>'Bank Int.'!$C582*7.5%/360</f>
        <v>0.22562499999999999</v>
      </c>
      <c r="E582" s="254">
        <v>10475214.560000001</v>
      </c>
      <c r="F582" s="295">
        <f>'Bank Int.'!$E582*7.5%/360</f>
        <v>2182.3363666666669</v>
      </c>
      <c r="G582" s="305">
        <v>16040.07</v>
      </c>
      <c r="H582" s="303">
        <f>'Bank Int.'!$G582*4.5%/360</f>
        <v>2.00500875</v>
      </c>
      <c r="I582" s="306">
        <v>41072.120000000003</v>
      </c>
      <c r="J582" s="307">
        <f>'Bank Int.'!$I582*6.5%/360</f>
        <v>7.4157994444444446</v>
      </c>
      <c r="K582" s="338">
        <v>63080.56</v>
      </c>
      <c r="L582" s="307">
        <f>'Bank Int.'!$K582*6.5%/360</f>
        <v>11.389545555555555</v>
      </c>
      <c r="N582" s="358"/>
    </row>
    <row r="583" spans="1:14" ht="22.9" customHeight="1" x14ac:dyDescent="0.25">
      <c r="A583" s="257"/>
      <c r="B583" s="253">
        <v>45535</v>
      </c>
      <c r="C583" s="298">
        <v>9452183</v>
      </c>
      <c r="D583" s="295">
        <f>'Bank Int.'!$C583*7.5%/360</f>
        <v>1969.2047916666666</v>
      </c>
      <c r="E583" s="254">
        <v>4801424.3600000003</v>
      </c>
      <c r="F583" s="295">
        <f>'Bank Int.'!$E583*7.5%/360</f>
        <v>1000.2967416666667</v>
      </c>
      <c r="G583" s="305">
        <v>16040.07</v>
      </c>
      <c r="H583" s="303">
        <f>'Bank Int.'!$G583*4.5%/360</f>
        <v>2.00500875</v>
      </c>
      <c r="I583" s="306">
        <v>41072.120000000003</v>
      </c>
      <c r="J583" s="307">
        <f>'Bank Int.'!$I583*6.5%/360</f>
        <v>7.4157994444444446</v>
      </c>
      <c r="K583" s="338">
        <v>63080.56</v>
      </c>
      <c r="L583" s="307">
        <f>'Bank Int.'!$K583*6.5%/360</f>
        <v>11.389545555555555</v>
      </c>
      <c r="N583" s="358"/>
    </row>
    <row r="584" spans="1:14" ht="22.9" customHeight="1" x14ac:dyDescent="0.25">
      <c r="A584" s="257"/>
      <c r="B584" s="253">
        <f t="shared" ref="B584:B589" si="74">B583-1</f>
        <v>45534</v>
      </c>
      <c r="C584" s="298">
        <v>9452183</v>
      </c>
      <c r="D584" s="295">
        <f>'Bank Int.'!$C584*7.5%/360</f>
        <v>1969.2047916666666</v>
      </c>
      <c r="E584" s="254">
        <v>4801424.3600000003</v>
      </c>
      <c r="F584" s="295">
        <f>'Bank Int.'!$E584*7.5%/360</f>
        <v>1000.2967416666667</v>
      </c>
      <c r="G584" s="305">
        <v>16040.07</v>
      </c>
      <c r="H584" s="303">
        <f>'Bank Int.'!$G584*4.5%/360</f>
        <v>2.00500875</v>
      </c>
      <c r="I584" s="306">
        <v>41072.120000000003</v>
      </c>
      <c r="J584" s="307">
        <f>'Bank Int.'!$I584*6.5%/360</f>
        <v>7.4157994444444446</v>
      </c>
      <c r="K584" s="338">
        <v>63080.56</v>
      </c>
      <c r="L584" s="307">
        <f>'Bank Int.'!$K584*6.5%/360</f>
        <v>11.389545555555555</v>
      </c>
      <c r="N584" s="358"/>
    </row>
    <row r="585" spans="1:14" ht="22.9" customHeight="1" x14ac:dyDescent="0.25">
      <c r="A585" s="257"/>
      <c r="B585" s="253">
        <f t="shared" si="74"/>
        <v>45533</v>
      </c>
      <c r="C585" s="298">
        <v>9452183</v>
      </c>
      <c r="D585" s="295">
        <f>'Bank Int.'!$C585*7.5%/360</f>
        <v>1969.2047916666666</v>
      </c>
      <c r="E585" s="254">
        <v>4801424.3600000003</v>
      </c>
      <c r="F585" s="295">
        <f>'Bank Int.'!$E585*7.5%/360</f>
        <v>1000.2967416666667</v>
      </c>
      <c r="G585" s="305">
        <v>16040.07</v>
      </c>
      <c r="H585" s="303">
        <f>'Bank Int.'!$G585*4.5%/360</f>
        <v>2.00500875</v>
      </c>
      <c r="I585" s="306">
        <v>41072.120000000003</v>
      </c>
      <c r="J585" s="307">
        <f>'Bank Int.'!$I585*6.5%/360</f>
        <v>7.4157994444444446</v>
      </c>
      <c r="K585" s="338">
        <v>63080.56</v>
      </c>
      <c r="L585" s="307">
        <f>'Bank Int.'!$K585*6.5%/360</f>
        <v>11.389545555555555</v>
      </c>
      <c r="N585" s="358"/>
    </row>
    <row r="586" spans="1:14" ht="22.9" customHeight="1" x14ac:dyDescent="0.25">
      <c r="A586" s="257"/>
      <c r="B586" s="253">
        <f t="shared" si="74"/>
        <v>45532</v>
      </c>
      <c r="C586" s="298">
        <v>8652183</v>
      </c>
      <c r="D586" s="295">
        <f>'Bank Int.'!$C586*7.5%/360</f>
        <v>1802.538125</v>
      </c>
      <c r="E586" s="254">
        <v>4804424.3600000003</v>
      </c>
      <c r="F586" s="295">
        <f>'Bank Int.'!$E586*7.5%/360</f>
        <v>1000.9217416666667</v>
      </c>
      <c r="G586" s="305">
        <v>816040.07</v>
      </c>
      <c r="H586" s="303">
        <f>'Bank Int.'!$G586*4.5%/360</f>
        <v>102.00500875</v>
      </c>
      <c r="I586" s="306">
        <v>41072.120000000003</v>
      </c>
      <c r="J586" s="307">
        <f>'Bank Int.'!$I586*6.5%/360</f>
        <v>7.4157994444444446</v>
      </c>
      <c r="K586" s="338">
        <v>63080.56</v>
      </c>
      <c r="L586" s="307">
        <f>'Bank Int.'!$K586*6.5%/360</f>
        <v>11.389545555555555</v>
      </c>
      <c r="N586" s="358"/>
    </row>
    <row r="587" spans="1:14" ht="22.9" customHeight="1" x14ac:dyDescent="0.25">
      <c r="A587" s="257"/>
      <c r="B587" s="253">
        <f t="shared" si="74"/>
        <v>45531</v>
      </c>
      <c r="C587" s="298">
        <v>8652183</v>
      </c>
      <c r="D587" s="295">
        <f>'Bank Int.'!$C587*7.5%/360</f>
        <v>1802.538125</v>
      </c>
      <c r="E587" s="254">
        <v>4804424.3600000003</v>
      </c>
      <c r="F587" s="295">
        <f>'Bank Int.'!$E587*7.5%/360</f>
        <v>1000.9217416666667</v>
      </c>
      <c r="G587" s="305">
        <v>862040.07</v>
      </c>
      <c r="H587" s="303">
        <f>'Bank Int.'!$G587*4.5%/360</f>
        <v>107.75500875</v>
      </c>
      <c r="I587" s="306">
        <v>41072.120000000003</v>
      </c>
      <c r="J587" s="307">
        <f>'Bank Int.'!$I587*6.5%/360</f>
        <v>7.4157994444444446</v>
      </c>
      <c r="K587" s="338">
        <v>63080.56</v>
      </c>
      <c r="L587" s="307">
        <f>'Bank Int.'!$K587*6.5%/360</f>
        <v>11.389545555555555</v>
      </c>
      <c r="N587" s="358"/>
    </row>
    <row r="588" spans="1:14" ht="22.9" customHeight="1" x14ac:dyDescent="0.25">
      <c r="A588" s="257"/>
      <c r="B588" s="253">
        <f t="shared" si="74"/>
        <v>45530</v>
      </c>
      <c r="C588" s="298">
        <v>8652183</v>
      </c>
      <c r="D588" s="295">
        <f>'Bank Int.'!$C588*7.5%/360</f>
        <v>1802.538125</v>
      </c>
      <c r="E588" s="254">
        <v>12248638.359999999</v>
      </c>
      <c r="F588" s="295">
        <f>'Bank Int.'!$E588*7.5%/360</f>
        <v>2551.7996583333334</v>
      </c>
      <c r="G588" s="305">
        <v>546540.06999999995</v>
      </c>
      <c r="H588" s="303">
        <f>'Bank Int.'!$G588*4.5%/360</f>
        <v>68.317508749999988</v>
      </c>
      <c r="I588" s="306">
        <v>41072.120000000003</v>
      </c>
      <c r="J588" s="307">
        <f>'Bank Int.'!$I588*6.5%/360</f>
        <v>7.4157994444444446</v>
      </c>
      <c r="K588" s="338">
        <v>63080.56</v>
      </c>
      <c r="L588" s="307">
        <f>'Bank Int.'!$K588*6.5%/360</f>
        <v>11.389545555555555</v>
      </c>
      <c r="N588" s="358"/>
    </row>
    <row r="589" spans="1:14" ht="22.9" customHeight="1" x14ac:dyDescent="0.25">
      <c r="A589" s="257"/>
      <c r="B589" s="253">
        <f t="shared" si="74"/>
        <v>45529</v>
      </c>
      <c r="C589" s="298">
        <v>8652183</v>
      </c>
      <c r="D589" s="295">
        <f>'Bank Int.'!$C589*7.5%/360</f>
        <v>1802.538125</v>
      </c>
      <c r="E589" s="254">
        <v>12248638.359999999</v>
      </c>
      <c r="F589" s="295">
        <f>'Bank Int.'!$E589*7.5%/360</f>
        <v>2551.7996583333334</v>
      </c>
      <c r="G589" s="305">
        <v>546540.06999999995</v>
      </c>
      <c r="H589" s="303">
        <f>'Bank Int.'!$G589*4.5%/360</f>
        <v>68.317508749999988</v>
      </c>
      <c r="I589" s="306">
        <v>41072.120000000003</v>
      </c>
      <c r="J589" s="307">
        <f>'Bank Int.'!$I589*6.5%/360</f>
        <v>7.4157994444444446</v>
      </c>
      <c r="K589" s="338">
        <v>63080.56</v>
      </c>
      <c r="L589" s="307">
        <f>'Bank Int.'!$K589*6.5%/360</f>
        <v>11.389545555555555</v>
      </c>
      <c r="N589" s="358"/>
    </row>
    <row r="590" spans="1:14" ht="22.9" customHeight="1" x14ac:dyDescent="0.25">
      <c r="A590" s="257"/>
      <c r="B590" s="253">
        <v>45528</v>
      </c>
      <c r="C590" s="298">
        <v>8652183</v>
      </c>
      <c r="D590" s="295">
        <f>'Bank Int.'!$C590*7.5%/360</f>
        <v>1802.538125</v>
      </c>
      <c r="E590" s="254">
        <v>12248638.359999999</v>
      </c>
      <c r="F590" s="295">
        <f>'Bank Int.'!$E590*7.5%/360</f>
        <v>2551.7996583333334</v>
      </c>
      <c r="G590" s="305">
        <v>546540.06999999995</v>
      </c>
      <c r="H590" s="303">
        <f>'Bank Int.'!$G590*4.5%/360</f>
        <v>68.317508749999988</v>
      </c>
      <c r="I590" s="306">
        <v>41072.120000000003</v>
      </c>
      <c r="J590" s="307">
        <f>'Bank Int.'!$I590*6.5%/360</f>
        <v>7.4157994444444446</v>
      </c>
      <c r="K590" s="338">
        <v>63080.56</v>
      </c>
      <c r="L590" s="307">
        <f>'Bank Int.'!$K590*6.5%/360</f>
        <v>11.389545555555555</v>
      </c>
      <c r="N590" s="358"/>
    </row>
    <row r="591" spans="1:14" ht="22.9" customHeight="1" x14ac:dyDescent="0.25">
      <c r="A591" s="257"/>
      <c r="B591" s="253">
        <f t="shared" ref="B591:B596" si="75">B590-1</f>
        <v>45527</v>
      </c>
      <c r="C591" s="298">
        <v>8652183</v>
      </c>
      <c r="D591" s="295">
        <f>'Bank Int.'!$C591*7.5%/360</f>
        <v>1802.538125</v>
      </c>
      <c r="E591" s="254">
        <v>12248638.359999999</v>
      </c>
      <c r="F591" s="295">
        <f>'Bank Int.'!$E591*7.5%/360</f>
        <v>2551.7996583333334</v>
      </c>
      <c r="G591" s="305">
        <v>546540.06999999995</v>
      </c>
      <c r="H591" s="303">
        <f>'Bank Int.'!$G591*4.5%/360</f>
        <v>68.317508749999988</v>
      </c>
      <c r="I591" s="306">
        <v>41072.120000000003</v>
      </c>
      <c r="J591" s="307">
        <f>'Bank Int.'!$I591*6.5%/360</f>
        <v>7.4157994444444446</v>
      </c>
      <c r="K591" s="338">
        <v>63080.56</v>
      </c>
      <c r="L591" s="307">
        <f>'Bank Int.'!$K591*6.5%/360</f>
        <v>11.389545555555555</v>
      </c>
      <c r="N591" s="358"/>
    </row>
    <row r="592" spans="1:14" ht="22.9" customHeight="1" x14ac:dyDescent="0.25">
      <c r="A592" s="257"/>
      <c r="B592" s="253">
        <f t="shared" si="75"/>
        <v>45526</v>
      </c>
      <c r="C592" s="298">
        <v>8652183</v>
      </c>
      <c r="D592" s="295">
        <f>'Bank Int.'!$C592*7.5%/360</f>
        <v>1802.538125</v>
      </c>
      <c r="E592" s="254">
        <v>12248638.359999999</v>
      </c>
      <c r="F592" s="295">
        <f>'Bank Int.'!$E592*7.5%/360</f>
        <v>2551.7996583333334</v>
      </c>
      <c r="G592" s="305">
        <v>546540.06999999995</v>
      </c>
      <c r="H592" s="303">
        <f>'Bank Int.'!$G592*4.5%/360</f>
        <v>68.317508749999988</v>
      </c>
      <c r="I592" s="306">
        <v>41072.120000000003</v>
      </c>
      <c r="J592" s="307">
        <f>'Bank Int.'!$I592*6.5%/360</f>
        <v>7.4157994444444446</v>
      </c>
      <c r="K592" s="338">
        <v>63080.56</v>
      </c>
      <c r="L592" s="307">
        <f>'Bank Int.'!$K592*6.5%/360</f>
        <v>11.389545555555555</v>
      </c>
      <c r="N592" s="358"/>
    </row>
    <row r="593" spans="1:14" ht="22.9" customHeight="1" x14ac:dyDescent="0.25">
      <c r="A593" s="257"/>
      <c r="B593" s="253">
        <f t="shared" si="75"/>
        <v>45525</v>
      </c>
      <c r="C593" s="298">
        <v>8652183</v>
      </c>
      <c r="D593" s="295">
        <f>'Bank Int.'!$C593*7.5%/360</f>
        <v>1802.538125</v>
      </c>
      <c r="E593" s="254">
        <v>12248638.359999999</v>
      </c>
      <c r="F593" s="295">
        <f>'Bank Int.'!$E593*7.5%/360</f>
        <v>2551.7996583333334</v>
      </c>
      <c r="G593" s="305">
        <v>546540.06999999995</v>
      </c>
      <c r="H593" s="303">
        <f>'Bank Int.'!$G593*4.5%/360</f>
        <v>68.317508749999988</v>
      </c>
      <c r="I593" s="306">
        <v>41072.120000000003</v>
      </c>
      <c r="J593" s="307">
        <f>'Bank Int.'!$I593*6.5%/360</f>
        <v>7.4157994444444446</v>
      </c>
      <c r="K593" s="338">
        <v>63080.56</v>
      </c>
      <c r="L593" s="307">
        <f>'Bank Int.'!$K593*6.5%/360</f>
        <v>11.389545555555555</v>
      </c>
      <c r="N593" s="358"/>
    </row>
    <row r="594" spans="1:14" ht="22.9" customHeight="1" x14ac:dyDescent="0.25">
      <c r="A594" s="257"/>
      <c r="B594" s="253">
        <f t="shared" si="75"/>
        <v>45524</v>
      </c>
      <c r="C594" s="298">
        <v>8652183</v>
      </c>
      <c r="D594" s="295">
        <f>'Bank Int.'!$C594*7.5%/360</f>
        <v>1802.538125</v>
      </c>
      <c r="E594" s="254">
        <v>14810719.02</v>
      </c>
      <c r="F594" s="295">
        <f>'Bank Int.'!$E594*7.5%/360</f>
        <v>3085.5664624999995</v>
      </c>
      <c r="G594" s="305">
        <v>546540.06999999995</v>
      </c>
      <c r="H594" s="303">
        <f>'Bank Int.'!$G594*4.5%/360</f>
        <v>68.317508749999988</v>
      </c>
      <c r="I594" s="306">
        <v>41072.120000000003</v>
      </c>
      <c r="J594" s="307">
        <f>'Bank Int.'!$I594*6.5%/360</f>
        <v>7.4157994444444446</v>
      </c>
      <c r="K594" s="338">
        <v>63080.56</v>
      </c>
      <c r="L594" s="307">
        <f>'Bank Int.'!$K594*6.5%/360</f>
        <v>11.389545555555555</v>
      </c>
      <c r="N594" s="358"/>
    </row>
    <row r="595" spans="1:14" ht="22.9" customHeight="1" x14ac:dyDescent="0.25">
      <c r="A595" s="257"/>
      <c r="B595" s="253">
        <f t="shared" si="75"/>
        <v>45523</v>
      </c>
      <c r="C595" s="298">
        <v>9023801.0700000003</v>
      </c>
      <c r="D595" s="295">
        <f>'Bank Int.'!$C595*7.5%/360</f>
        <v>1879.9585562499999</v>
      </c>
      <c r="E595" s="254">
        <v>50648854.18</v>
      </c>
      <c r="F595" s="295">
        <f>'Bank Int.'!$E595*7.5%/360</f>
        <v>10551.844620833332</v>
      </c>
      <c r="G595" s="305">
        <v>546540.06999999995</v>
      </c>
      <c r="H595" s="303">
        <f>'Bank Int.'!$G595*4.5%/360</f>
        <v>68.317508749999988</v>
      </c>
      <c r="I595" s="306">
        <v>41072.120000000003</v>
      </c>
      <c r="J595" s="307">
        <f>'Bank Int.'!$I595*6.5%/360</f>
        <v>7.4157994444444446</v>
      </c>
      <c r="K595" s="338">
        <v>63080.56</v>
      </c>
      <c r="L595" s="307">
        <f>'Bank Int.'!$K595*6.5%/360</f>
        <v>11.389545555555555</v>
      </c>
      <c r="N595" s="358"/>
    </row>
    <row r="596" spans="1:14" ht="22.9" customHeight="1" x14ac:dyDescent="0.25">
      <c r="A596" s="257"/>
      <c r="B596" s="253">
        <f t="shared" si="75"/>
        <v>45522</v>
      </c>
      <c r="C596" s="298">
        <v>5610514.4800000004</v>
      </c>
      <c r="D596" s="295">
        <f>'Bank Int.'!$C596*7.5%/360</f>
        <v>1168.8571833333333</v>
      </c>
      <c r="E596" s="254">
        <v>161359.18</v>
      </c>
      <c r="F596" s="295">
        <f>'Bank Int.'!$E596*7.5%/360</f>
        <v>33.616495833333332</v>
      </c>
      <c r="G596" s="305">
        <v>545540.06999999995</v>
      </c>
      <c r="H596" s="303">
        <f>'Bank Int.'!$G596*4.5%/360</f>
        <v>68.192508749999988</v>
      </c>
      <c r="I596" s="306">
        <v>41072.120000000003</v>
      </c>
      <c r="J596" s="307">
        <f>'Bank Int.'!$I596*6.5%/360</f>
        <v>7.4157994444444446</v>
      </c>
      <c r="K596" s="338">
        <v>63080.56</v>
      </c>
      <c r="L596" s="307">
        <f>'Bank Int.'!$K596*6.5%/360</f>
        <v>11.389545555555555</v>
      </c>
      <c r="N596" s="358"/>
    </row>
    <row r="597" spans="1:14" ht="22.9" customHeight="1" x14ac:dyDescent="0.25">
      <c r="A597" s="257"/>
      <c r="B597" s="253">
        <v>45521</v>
      </c>
      <c r="C597" s="298">
        <v>5529700.2800000003</v>
      </c>
      <c r="D597" s="295">
        <f>'Bank Int.'!$C597*7.5%/360</f>
        <v>1152.0208916666668</v>
      </c>
      <c r="E597" s="254">
        <v>161359.18</v>
      </c>
      <c r="F597" s="295">
        <f>'Bank Int.'!$E597*7.5%/360</f>
        <v>33.616495833333332</v>
      </c>
      <c r="G597" s="305">
        <v>478540.07</v>
      </c>
      <c r="H597" s="303">
        <f>'Bank Int.'!$G597*4.5%/360</f>
        <v>59.817508750000002</v>
      </c>
      <c r="I597" s="306">
        <v>41072.120000000003</v>
      </c>
      <c r="J597" s="307">
        <f>'Bank Int.'!$I597*6.5%/360</f>
        <v>7.4157994444444446</v>
      </c>
      <c r="K597" s="338">
        <v>63080.56</v>
      </c>
      <c r="L597" s="307">
        <f>'Bank Int.'!$K597*6.5%/360</f>
        <v>11.389545555555555</v>
      </c>
      <c r="N597" s="358"/>
    </row>
    <row r="598" spans="1:14" ht="22.9" customHeight="1" x14ac:dyDescent="0.25">
      <c r="A598" s="257"/>
      <c r="B598" s="253">
        <f t="shared" ref="B598:B603" si="76">B597-1</f>
        <v>45520</v>
      </c>
      <c r="C598" s="298">
        <v>5529700.2800000003</v>
      </c>
      <c r="D598" s="295">
        <f>'Bank Int.'!$C598*7.5%/360</f>
        <v>1152.0208916666668</v>
      </c>
      <c r="E598" s="254">
        <v>161359.18</v>
      </c>
      <c r="F598" s="295">
        <f>'Bank Int.'!$E598*7.5%/360</f>
        <v>33.616495833333332</v>
      </c>
      <c r="G598" s="305">
        <v>478540.07</v>
      </c>
      <c r="H598" s="303">
        <f>'Bank Int.'!$G598*4.5%/360</f>
        <v>59.817508750000002</v>
      </c>
      <c r="I598" s="306">
        <v>41072.120000000003</v>
      </c>
      <c r="J598" s="307">
        <f>'Bank Int.'!$I598*6.5%/360</f>
        <v>7.4157994444444446</v>
      </c>
      <c r="K598" s="338">
        <v>63080.56</v>
      </c>
      <c r="L598" s="307">
        <f>'Bank Int.'!$K598*6.5%/360</f>
        <v>11.389545555555555</v>
      </c>
      <c r="N598" s="358"/>
    </row>
    <row r="599" spans="1:14" ht="22.9" customHeight="1" x14ac:dyDescent="0.25">
      <c r="A599" s="257"/>
      <c r="B599" s="253">
        <f t="shared" si="76"/>
        <v>45519</v>
      </c>
      <c r="C599" s="298">
        <v>5529700.2800000003</v>
      </c>
      <c r="D599" s="295">
        <f>'Bank Int.'!$C599*7.5%/360</f>
        <v>1152.0208916666668</v>
      </c>
      <c r="E599" s="254">
        <v>161359.18</v>
      </c>
      <c r="F599" s="295">
        <f>'Bank Int.'!$E599*7.5%/360</f>
        <v>33.616495833333332</v>
      </c>
      <c r="G599" s="305">
        <v>478540.07</v>
      </c>
      <c r="H599" s="303">
        <f>'Bank Int.'!$G599*4.5%/360</f>
        <v>59.817508750000002</v>
      </c>
      <c r="I599" s="306">
        <v>41072.120000000003</v>
      </c>
      <c r="J599" s="307">
        <f>'Bank Int.'!$I599*6.5%/360</f>
        <v>7.4157994444444446</v>
      </c>
      <c r="K599" s="338">
        <v>63080.56</v>
      </c>
      <c r="L599" s="307">
        <f>'Bank Int.'!$K599*6.5%/360</f>
        <v>11.389545555555555</v>
      </c>
      <c r="N599" s="358"/>
    </row>
    <row r="600" spans="1:14" ht="22.9" customHeight="1" x14ac:dyDescent="0.25">
      <c r="A600" s="257"/>
      <c r="B600" s="253">
        <f t="shared" si="76"/>
        <v>45518</v>
      </c>
      <c r="C600" s="298">
        <v>192860.28</v>
      </c>
      <c r="D600" s="295">
        <f>'Bank Int.'!$C600*7.5%/360</f>
        <v>40.179224999999995</v>
      </c>
      <c r="E600" s="254">
        <v>161359.18</v>
      </c>
      <c r="F600" s="295">
        <f>'Bank Int.'!$E600*7.5%/360</f>
        <v>33.616495833333332</v>
      </c>
      <c r="G600" s="305">
        <v>478540.07</v>
      </c>
      <c r="H600" s="303">
        <f>'Bank Int.'!$G600*4.5%/360</f>
        <v>59.817508750000002</v>
      </c>
      <c r="I600" s="306">
        <v>41072.120000000003</v>
      </c>
      <c r="J600" s="307">
        <f>'Bank Int.'!$I600*6.5%/360</f>
        <v>7.4157994444444446</v>
      </c>
      <c r="K600" s="338">
        <v>63080.56</v>
      </c>
      <c r="L600" s="307">
        <f>'Bank Int.'!$K600*6.5%/360</f>
        <v>11.389545555555555</v>
      </c>
      <c r="N600" s="358"/>
    </row>
    <row r="601" spans="1:14" ht="22.9" customHeight="1" x14ac:dyDescent="0.25">
      <c r="A601" s="257"/>
      <c r="B601" s="253">
        <f t="shared" si="76"/>
        <v>45517</v>
      </c>
      <c r="C601" s="298">
        <v>3235.1</v>
      </c>
      <c r="D601" s="295">
        <f>'Bank Int.'!$C601*7.5%/360</f>
        <v>0.67397916666666668</v>
      </c>
      <c r="E601" s="254">
        <v>7496092.5800000001</v>
      </c>
      <c r="F601" s="295">
        <f>'Bank Int.'!$E601*7.5%/360</f>
        <v>1561.6859541666665</v>
      </c>
      <c r="G601" s="305">
        <v>218540.07</v>
      </c>
      <c r="H601" s="303">
        <f>'Bank Int.'!$G601*4.5%/360</f>
        <v>27.317508749999998</v>
      </c>
      <c r="I601" s="306">
        <v>41072.120000000003</v>
      </c>
      <c r="J601" s="307">
        <f>'Bank Int.'!$I601*6.5%/360</f>
        <v>7.4157994444444446</v>
      </c>
      <c r="K601" s="338">
        <v>63080.56</v>
      </c>
      <c r="L601" s="307">
        <f>'Bank Int.'!$K601*6.5%/360</f>
        <v>11.389545555555555</v>
      </c>
      <c r="N601" s="358"/>
    </row>
    <row r="602" spans="1:14" ht="22.9" customHeight="1" x14ac:dyDescent="0.25">
      <c r="A602" s="257"/>
      <c r="B602" s="253">
        <f t="shared" si="76"/>
        <v>45516</v>
      </c>
      <c r="C602" s="298">
        <v>1375198.81</v>
      </c>
      <c r="D602" s="295">
        <f>'Bank Int.'!$C602*7.5%/360</f>
        <v>286.49975208333331</v>
      </c>
      <c r="E602" s="254">
        <v>12746092.58</v>
      </c>
      <c r="F602" s="295">
        <f>'Bank Int.'!$E602*7.5%/360</f>
        <v>2655.4359541666663</v>
      </c>
      <c r="G602" s="305">
        <v>218540.07</v>
      </c>
      <c r="H602" s="303">
        <f>'Bank Int.'!$G602*4.5%/360</f>
        <v>27.317508749999998</v>
      </c>
      <c r="I602" s="306">
        <v>41072.120000000003</v>
      </c>
      <c r="J602" s="307">
        <f>'Bank Int.'!$I602*6.5%/360</f>
        <v>7.4157994444444446</v>
      </c>
      <c r="K602" s="338">
        <v>63080.56</v>
      </c>
      <c r="L602" s="307">
        <f>'Bank Int.'!$K602*6.5%/360</f>
        <v>11.389545555555555</v>
      </c>
      <c r="N602" s="358"/>
    </row>
    <row r="603" spans="1:14" ht="22.9" customHeight="1" x14ac:dyDescent="0.25">
      <c r="A603" s="257"/>
      <c r="B603" s="253">
        <f t="shared" si="76"/>
        <v>45515</v>
      </c>
      <c r="C603" s="298">
        <v>1357178.53</v>
      </c>
      <c r="D603" s="295">
        <f>'Bank Int.'!$C603*7.5%/360</f>
        <v>282.74552708333334</v>
      </c>
      <c r="E603" s="254">
        <v>4746092.58</v>
      </c>
      <c r="F603" s="295">
        <f>'Bank Int.'!$E603*7.5%/360</f>
        <v>988.76928750000002</v>
      </c>
      <c r="G603" s="305">
        <v>218540.07</v>
      </c>
      <c r="H603" s="303">
        <f>'Bank Int.'!$G603*4.5%/360</f>
        <v>27.317508749999998</v>
      </c>
      <c r="I603" s="306">
        <v>41072.120000000003</v>
      </c>
      <c r="J603" s="307">
        <f>'Bank Int.'!$I603*6.5%/360</f>
        <v>7.4157994444444446</v>
      </c>
      <c r="K603" s="338">
        <v>63080.56</v>
      </c>
      <c r="L603" s="307">
        <f>'Bank Int.'!$K603*6.5%/360</f>
        <v>11.389545555555555</v>
      </c>
      <c r="N603" s="358"/>
    </row>
    <row r="604" spans="1:14" ht="22.9" customHeight="1" x14ac:dyDescent="0.25">
      <c r="A604" s="257"/>
      <c r="B604" s="253">
        <v>45514</v>
      </c>
      <c r="C604" s="298">
        <v>357378.53</v>
      </c>
      <c r="D604" s="295">
        <f>'Bank Int.'!$C604*7.5%/360</f>
        <v>74.453860416666672</v>
      </c>
      <c r="E604" s="254">
        <v>6746095.5</v>
      </c>
      <c r="F604" s="295">
        <f>'Bank Int.'!$E604*7.5%/360</f>
        <v>1405.4365625</v>
      </c>
      <c r="G604" s="305">
        <v>218540.07</v>
      </c>
      <c r="H604" s="303">
        <f>'Bank Int.'!$G604*4.5%/360</f>
        <v>27.317508749999998</v>
      </c>
      <c r="I604" s="306">
        <v>41072.120000000003</v>
      </c>
      <c r="J604" s="307">
        <f>'Bank Int.'!$I604*6.5%/360</f>
        <v>7.4157994444444446</v>
      </c>
      <c r="K604" s="338">
        <v>63080.56</v>
      </c>
      <c r="L604" s="307">
        <f>'Bank Int.'!$K604*6.5%/360</f>
        <v>11.389545555555555</v>
      </c>
      <c r="N604" s="358"/>
    </row>
    <row r="605" spans="1:14" ht="22.9" customHeight="1" x14ac:dyDescent="0.25">
      <c r="A605" s="257"/>
      <c r="B605" s="253">
        <v>45513</v>
      </c>
      <c r="C605" s="298">
        <v>357378.53</v>
      </c>
      <c r="D605" s="295">
        <f>'Bank Int.'!$C605*7.5%/360</f>
        <v>74.453860416666672</v>
      </c>
      <c r="E605" s="254">
        <v>6746095.5</v>
      </c>
      <c r="F605" s="295">
        <f>'Bank Int.'!$E605*7.5%/360</f>
        <v>1405.4365625</v>
      </c>
      <c r="G605" s="305">
        <v>218540.07</v>
      </c>
      <c r="H605" s="303">
        <f>'Bank Int.'!$G605*4.5%/360</f>
        <v>27.317508749999998</v>
      </c>
      <c r="I605" s="306">
        <v>41072.120000000003</v>
      </c>
      <c r="J605" s="307">
        <f>'Bank Int.'!$I605*6.5%/360</f>
        <v>7.4157994444444446</v>
      </c>
      <c r="K605" s="338">
        <v>63080.56</v>
      </c>
      <c r="L605" s="307">
        <f>'Bank Int.'!$K605*6.5%/360</f>
        <v>11.389545555555555</v>
      </c>
      <c r="N605" s="358"/>
    </row>
    <row r="606" spans="1:14" ht="22.9" customHeight="1" x14ac:dyDescent="0.25">
      <c r="A606" s="257"/>
      <c r="B606" s="253">
        <f t="shared" ref="B606:B610" si="77">B605-1</f>
        <v>45512</v>
      </c>
      <c r="C606" s="298">
        <v>357378.53</v>
      </c>
      <c r="D606" s="295">
        <f>'Bank Int.'!$C606*7.5%/360</f>
        <v>74.453860416666672</v>
      </c>
      <c r="E606" s="254">
        <v>6746095.5</v>
      </c>
      <c r="F606" s="295">
        <f>'Bank Int.'!$E606*7.5%/360</f>
        <v>1405.4365625</v>
      </c>
      <c r="G606" s="305">
        <v>218540.07</v>
      </c>
      <c r="H606" s="303">
        <f>'Bank Int.'!$G606*4.5%/360</f>
        <v>27.317508749999998</v>
      </c>
      <c r="I606" s="306">
        <v>41072.120000000003</v>
      </c>
      <c r="J606" s="307">
        <f>'Bank Int.'!$I606*6.5%/360</f>
        <v>7.4157994444444446</v>
      </c>
      <c r="K606" s="338">
        <v>63080.56</v>
      </c>
      <c r="L606" s="307">
        <f>'Bank Int.'!$K606*6.5%/360</f>
        <v>11.389545555555555</v>
      </c>
      <c r="N606" s="358"/>
    </row>
    <row r="607" spans="1:14" ht="22.9" customHeight="1" x14ac:dyDescent="0.25">
      <c r="A607" s="257"/>
      <c r="B607" s="253">
        <f t="shared" si="77"/>
        <v>45511</v>
      </c>
      <c r="C607" s="298">
        <v>823846.96</v>
      </c>
      <c r="D607" s="295">
        <f>'Bank Int.'!$C607*7.5%/360</f>
        <v>171.63478333333333</v>
      </c>
      <c r="E607" s="254">
        <v>3456095.5</v>
      </c>
      <c r="F607" s="295">
        <f>'Bank Int.'!$E607*7.5%/360</f>
        <v>720.01989583333329</v>
      </c>
      <c r="G607" s="305">
        <v>218540.07</v>
      </c>
      <c r="H607" s="303">
        <f>'Bank Int.'!$G607*4.5%/360</f>
        <v>27.317508749999998</v>
      </c>
      <c r="I607" s="306">
        <v>41072.120000000003</v>
      </c>
      <c r="J607" s="307">
        <f>'Bank Int.'!$I607*6.5%/360</f>
        <v>7.4157994444444446</v>
      </c>
      <c r="K607" s="338">
        <v>63080.56</v>
      </c>
      <c r="L607" s="307">
        <f>'Bank Int.'!$K607*6.5%/360</f>
        <v>11.389545555555555</v>
      </c>
      <c r="N607" s="358"/>
    </row>
    <row r="608" spans="1:14" ht="22.9" customHeight="1" x14ac:dyDescent="0.25">
      <c r="A608" s="257"/>
      <c r="B608" s="253">
        <f t="shared" si="77"/>
        <v>45510</v>
      </c>
      <c r="C608" s="298">
        <v>987963.66</v>
      </c>
      <c r="D608" s="295">
        <f>'Bank Int.'!$C608*7.5%/360</f>
        <v>205.8257625</v>
      </c>
      <c r="E608" s="254">
        <v>6107096.5</v>
      </c>
      <c r="F608" s="295">
        <f>'Bank Int.'!$E608*7.5%/360</f>
        <v>1272.3117708333334</v>
      </c>
      <c r="G608" s="305">
        <v>158540.07</v>
      </c>
      <c r="H608" s="303">
        <f>'Bank Int.'!$G608*4.5%/360</f>
        <v>19.817508749999998</v>
      </c>
      <c r="I608" s="306">
        <v>41072.120000000003</v>
      </c>
      <c r="J608" s="307">
        <f>'Bank Int.'!$I608*6.5%/360</f>
        <v>7.4157994444444446</v>
      </c>
      <c r="K608" s="338">
        <v>63080.56</v>
      </c>
      <c r="L608" s="307">
        <f>'Bank Int.'!$K608*6.5%/360</f>
        <v>11.389545555555555</v>
      </c>
      <c r="N608" s="358"/>
    </row>
    <row r="609" spans="1:14" ht="22.9" customHeight="1" x14ac:dyDescent="0.25">
      <c r="A609" s="257"/>
      <c r="B609" s="253">
        <f t="shared" si="77"/>
        <v>45509</v>
      </c>
      <c r="C609" s="298">
        <v>987963.66</v>
      </c>
      <c r="D609" s="295">
        <f>'Bank Int.'!$C609*7.5%/360</f>
        <v>205.8257625</v>
      </c>
      <c r="E609" s="254">
        <v>6107096.5</v>
      </c>
      <c r="F609" s="295">
        <f>'Bank Int.'!$E609*7.5%/360</f>
        <v>1272.3117708333334</v>
      </c>
      <c r="G609" s="305">
        <v>31540.07</v>
      </c>
      <c r="H609" s="303">
        <f>'Bank Int.'!$G609*4.5%/360</f>
        <v>3.94250875</v>
      </c>
      <c r="I609" s="306">
        <v>41072.120000000003</v>
      </c>
      <c r="J609" s="307">
        <f>'Bank Int.'!$I609*6.5%/360</f>
        <v>7.4157994444444446</v>
      </c>
      <c r="K609" s="338">
        <v>63080.56</v>
      </c>
      <c r="L609" s="307">
        <f>'Bank Int.'!$K609*6.5%/360</f>
        <v>11.389545555555555</v>
      </c>
      <c r="N609" s="358"/>
    </row>
    <row r="610" spans="1:14" ht="22.9" customHeight="1" x14ac:dyDescent="0.25">
      <c r="A610" s="257"/>
      <c r="B610" s="253">
        <f t="shared" si="77"/>
        <v>45508</v>
      </c>
      <c r="C610" s="298">
        <v>2000</v>
      </c>
      <c r="D610" s="295">
        <f>'Bank Int.'!$C610*7.5%/360</f>
        <v>0.41666666666666669</v>
      </c>
      <c r="E610" s="254">
        <v>8107096.5</v>
      </c>
      <c r="F610" s="295">
        <f>'Bank Int.'!$E610*7.5%/360</f>
        <v>1688.9784374999997</v>
      </c>
      <c r="G610" s="305">
        <v>3540.07</v>
      </c>
      <c r="H610" s="303">
        <f>'Bank Int.'!$G610*4.5%/360</f>
        <v>0.44250874999999995</v>
      </c>
      <c r="I610" s="306">
        <v>41072.120000000003</v>
      </c>
      <c r="J610" s="307">
        <f>'Bank Int.'!$I610*6.5%/360</f>
        <v>7.4157994444444446</v>
      </c>
      <c r="K610" s="338">
        <v>63080.56</v>
      </c>
      <c r="L610" s="307">
        <f>'Bank Int.'!$K610*6.5%/360</f>
        <v>11.389545555555555</v>
      </c>
      <c r="N610" s="358"/>
    </row>
    <row r="611" spans="1:14" ht="22.9" customHeight="1" x14ac:dyDescent="0.25">
      <c r="A611" s="257"/>
      <c r="B611" s="253">
        <v>45507</v>
      </c>
      <c r="C611" s="298">
        <v>2000</v>
      </c>
      <c r="D611" s="295">
        <f>'Bank Int.'!$C611*7.5%/360</f>
        <v>0.41666666666666669</v>
      </c>
      <c r="E611" s="254">
        <v>2839543.37</v>
      </c>
      <c r="F611" s="295">
        <f>'Bank Int.'!$E611*7.5%/360</f>
        <v>591.57153541666673</v>
      </c>
      <c r="G611" s="305">
        <v>3540.07</v>
      </c>
      <c r="H611" s="303">
        <f>'Bank Int.'!$G611*4.5%/360</f>
        <v>0.44250874999999995</v>
      </c>
      <c r="I611" s="306">
        <v>41072.120000000003</v>
      </c>
      <c r="J611" s="307">
        <f>'Bank Int.'!$I611*6.5%/360</f>
        <v>7.4157994444444446</v>
      </c>
      <c r="K611" s="338">
        <v>63080.56</v>
      </c>
      <c r="L611" s="307">
        <f>'Bank Int.'!$K611*6.5%/360</f>
        <v>11.389545555555555</v>
      </c>
      <c r="N611" s="358"/>
    </row>
    <row r="612" spans="1:14" ht="22.9" customHeight="1" x14ac:dyDescent="0.25">
      <c r="A612" s="257"/>
      <c r="B612" s="253">
        <f>B611-1</f>
        <v>45506</v>
      </c>
      <c r="C612" s="298">
        <v>2000</v>
      </c>
      <c r="D612" s="295">
        <f>'Bank Int.'!$C612*7.5%/360</f>
        <v>0.41666666666666669</v>
      </c>
      <c r="E612" s="254">
        <v>2839543.37</v>
      </c>
      <c r="F612" s="295">
        <f>'Bank Int.'!$E612*7.5%/360</f>
        <v>591.57153541666673</v>
      </c>
      <c r="G612" s="305">
        <v>3540.07</v>
      </c>
      <c r="H612" s="303">
        <f>'Bank Int.'!$G612*4.5%/360</f>
        <v>0.44250874999999995</v>
      </c>
      <c r="I612" s="306">
        <v>41072.120000000003</v>
      </c>
      <c r="J612" s="307">
        <f>'Bank Int.'!$I612*6.5%/360</f>
        <v>7.4157994444444446</v>
      </c>
      <c r="K612" s="338">
        <v>63080.56</v>
      </c>
      <c r="L612" s="307">
        <f>'Bank Int.'!$K612*6.5%/360</f>
        <v>11.389545555555555</v>
      </c>
      <c r="N612" s="358"/>
    </row>
    <row r="613" spans="1:14" ht="22.9" customHeight="1" x14ac:dyDescent="0.25">
      <c r="A613" s="257"/>
      <c r="B613" s="253">
        <f t="shared" ref="B613:B617" si="78">B612-1</f>
        <v>45505</v>
      </c>
      <c r="C613" s="298">
        <v>2000</v>
      </c>
      <c r="D613" s="295">
        <f>'Bank Int.'!$C613*7.5%/360</f>
        <v>0.41666666666666669</v>
      </c>
      <c r="E613" s="254">
        <v>2839543.37</v>
      </c>
      <c r="F613" s="295">
        <f>'Bank Int.'!$E613*7.5%/360</f>
        <v>591.57153541666673</v>
      </c>
      <c r="G613" s="305">
        <v>3540.07</v>
      </c>
      <c r="H613" s="303">
        <f>'Bank Int.'!$G613*4.5%/360</f>
        <v>0.44250874999999995</v>
      </c>
      <c r="I613" s="306">
        <v>41072.120000000003</v>
      </c>
      <c r="J613" s="307">
        <f>'Bank Int.'!$I613*6.5%/360</f>
        <v>7.4157994444444446</v>
      </c>
      <c r="K613" s="338">
        <v>63080.56</v>
      </c>
      <c r="L613" s="307">
        <f>'Bank Int.'!$K613*6.5%/360</f>
        <v>11.389545555555555</v>
      </c>
      <c r="N613" s="358"/>
    </row>
    <row r="614" spans="1:14" ht="22.9" customHeight="1" x14ac:dyDescent="0.25">
      <c r="A614" s="257"/>
      <c r="B614" s="253">
        <f t="shared" si="78"/>
        <v>45504</v>
      </c>
      <c r="C614" s="298">
        <v>2000</v>
      </c>
      <c r="D614" s="295">
        <f>'Bank Int.'!$C614*7.5%/360</f>
        <v>0.41666666666666669</v>
      </c>
      <c r="E614" s="254">
        <v>39543.370000000003</v>
      </c>
      <c r="F614" s="295">
        <f>'Bank Int.'!$E614*7.5%/360</f>
        <v>8.2382020833333343</v>
      </c>
      <c r="G614" s="305">
        <v>3540.07</v>
      </c>
      <c r="H614" s="303">
        <f>'Bank Int.'!$G614*4.5%/360</f>
        <v>0.44250874999999995</v>
      </c>
      <c r="I614" s="306">
        <v>41072.120000000003</v>
      </c>
      <c r="J614" s="307">
        <f>'Bank Int.'!$I614*6.5%/360</f>
        <v>7.4157994444444446</v>
      </c>
      <c r="K614" s="338">
        <v>63080.56</v>
      </c>
      <c r="L614" s="307">
        <f>'Bank Int.'!$K614*6.5%/360</f>
        <v>11.389545555555555</v>
      </c>
      <c r="N614" s="358"/>
    </row>
    <row r="615" spans="1:14" ht="22.9" customHeight="1" x14ac:dyDescent="0.25">
      <c r="A615" s="257"/>
      <c r="B615" s="253">
        <f t="shared" si="78"/>
        <v>45503</v>
      </c>
      <c r="C615" s="298">
        <v>2473995.11</v>
      </c>
      <c r="D615" s="295">
        <f>'Bank Int.'!$C615*7.5%/360</f>
        <v>515.41564791666667</v>
      </c>
      <c r="E615" s="254">
        <v>921230.29</v>
      </c>
      <c r="F615" s="295">
        <f>'Bank Int.'!$E615*7.5%/360</f>
        <v>191.92297708333334</v>
      </c>
      <c r="G615" s="305">
        <v>3540.07</v>
      </c>
      <c r="H615" s="303">
        <f>'Bank Int.'!$G615*4.5%/360</f>
        <v>0.44250874999999995</v>
      </c>
      <c r="I615" s="306">
        <v>41072.120000000003</v>
      </c>
      <c r="J615" s="307">
        <f>'Bank Int.'!$I615*6.5%/360</f>
        <v>7.4157994444444446</v>
      </c>
      <c r="K615" s="338">
        <v>63080.56</v>
      </c>
      <c r="L615" s="307">
        <f>'Bank Int.'!$K615*6.5%/360</f>
        <v>11.389545555555555</v>
      </c>
      <c r="N615" s="358"/>
    </row>
    <row r="616" spans="1:14" ht="22.9" customHeight="1" x14ac:dyDescent="0.25">
      <c r="A616" s="257"/>
      <c r="B616" s="253">
        <f t="shared" si="78"/>
        <v>45502</v>
      </c>
      <c r="C616" s="298">
        <v>1508995.11</v>
      </c>
      <c r="D616" s="295">
        <f>'Bank Int.'!$C616*7.5%/360</f>
        <v>314.37398124999999</v>
      </c>
      <c r="E616" s="254">
        <v>921230.29</v>
      </c>
      <c r="F616" s="295">
        <f>'Bank Int.'!$E616*7.5%/360</f>
        <v>191.92297708333334</v>
      </c>
      <c r="G616" s="305">
        <v>3540.07</v>
      </c>
      <c r="H616" s="303">
        <f>'Bank Int.'!$G616*4.5%/360</f>
        <v>0.44250874999999995</v>
      </c>
      <c r="I616" s="306">
        <v>41072.120000000003</v>
      </c>
      <c r="J616" s="307">
        <f>'Bank Int.'!$I616*6.5%/360</f>
        <v>7.4157994444444446</v>
      </c>
      <c r="K616" s="338">
        <v>63080.56</v>
      </c>
      <c r="L616" s="307">
        <f>'Bank Int.'!$K616*6.5%/360</f>
        <v>11.389545555555555</v>
      </c>
      <c r="N616" s="358"/>
    </row>
    <row r="617" spans="1:14" ht="22.9" customHeight="1" x14ac:dyDescent="0.25">
      <c r="A617" s="257"/>
      <c r="B617" s="253">
        <f t="shared" si="78"/>
        <v>45501</v>
      </c>
      <c r="C617" s="298">
        <v>10729363.85</v>
      </c>
      <c r="D617" s="295">
        <f>'Bank Int.'!$C617*7.5%/360</f>
        <v>2235.2841354166667</v>
      </c>
      <c r="E617" s="254">
        <v>12475657.800000001</v>
      </c>
      <c r="F617" s="295">
        <f>'Bank Int.'!$E617*7.5%/360</f>
        <v>2599.0953750000003</v>
      </c>
      <c r="G617" s="305">
        <v>783540.07</v>
      </c>
      <c r="H617" s="303">
        <f>'Bank Int.'!$G617*4.5%/360</f>
        <v>97.942508750000002</v>
      </c>
      <c r="I617" s="306">
        <v>41072.120000000003</v>
      </c>
      <c r="J617" s="307">
        <f>'Bank Int.'!$I617*6.5%/360</f>
        <v>7.4157994444444446</v>
      </c>
      <c r="K617" s="338">
        <v>63080.56</v>
      </c>
      <c r="L617" s="307">
        <f>'Bank Int.'!$K617*6.5%/360</f>
        <v>11.389545555555555</v>
      </c>
      <c r="N617" s="358"/>
    </row>
    <row r="618" spans="1:14" ht="22.9" customHeight="1" x14ac:dyDescent="0.25">
      <c r="A618" s="257"/>
      <c r="B618" s="253">
        <v>45500</v>
      </c>
      <c r="C618" s="298">
        <v>1780229.11</v>
      </c>
      <c r="D618" s="295">
        <f>'Bank Int.'!$C618*7.5%/360</f>
        <v>370.88106458333334</v>
      </c>
      <c r="E618" s="254">
        <v>12475657.800000001</v>
      </c>
      <c r="F618" s="295">
        <f>'Bank Int.'!$E618*7.5%/360</f>
        <v>2599.0953750000003</v>
      </c>
      <c r="G618" s="305">
        <v>459000.07</v>
      </c>
      <c r="H618" s="303">
        <f>'Bank Int.'!$G618*4.5%/360</f>
        <v>57.375008749999999</v>
      </c>
      <c r="I618" s="306">
        <v>41072.120000000003</v>
      </c>
      <c r="J618" s="307">
        <f>'Bank Int.'!$I618*6.5%/360</f>
        <v>7.4157994444444446</v>
      </c>
      <c r="K618" s="338">
        <v>63080.56</v>
      </c>
      <c r="L618" s="307">
        <f>'Bank Int.'!$K618*6.5%/360</f>
        <v>11.389545555555555</v>
      </c>
      <c r="N618" s="358"/>
    </row>
    <row r="619" spans="1:14" ht="22.9" customHeight="1" x14ac:dyDescent="0.25">
      <c r="A619" s="257"/>
      <c r="B619" s="253">
        <f>B618-1</f>
        <v>45499</v>
      </c>
      <c r="C619" s="298">
        <v>1780229.11</v>
      </c>
      <c r="D619" s="295">
        <f>'Bank Int.'!$C619*7.5%/360</f>
        <v>370.88106458333334</v>
      </c>
      <c r="E619" s="254">
        <v>12475657.800000001</v>
      </c>
      <c r="F619" s="295">
        <f>'Bank Int.'!$E619*7.5%/360</f>
        <v>2599.0953750000003</v>
      </c>
      <c r="G619" s="305">
        <v>459000.07</v>
      </c>
      <c r="H619" s="303">
        <f>'Bank Int.'!$G619*4.5%/360</f>
        <v>57.375008749999999</v>
      </c>
      <c r="I619" s="306">
        <v>41072.120000000003</v>
      </c>
      <c r="J619" s="307">
        <f>'Bank Int.'!$I619*6.5%/360</f>
        <v>7.4157994444444446</v>
      </c>
      <c r="K619" s="338">
        <v>63080.56</v>
      </c>
      <c r="L619" s="307">
        <f>'Bank Int.'!$K619*6.5%/360</f>
        <v>11.389545555555555</v>
      </c>
      <c r="N619" s="358"/>
    </row>
    <row r="620" spans="1:14" ht="22.9" customHeight="1" x14ac:dyDescent="0.25">
      <c r="A620" s="257"/>
      <c r="B620" s="253">
        <f t="shared" ref="B620:B624" si="79">B619-1</f>
        <v>45498</v>
      </c>
      <c r="C620" s="298">
        <v>1780229.11</v>
      </c>
      <c r="D620" s="295">
        <f>'Bank Int.'!$C620*7.5%/360</f>
        <v>370.88106458333334</v>
      </c>
      <c r="E620" s="254">
        <v>12475657.800000001</v>
      </c>
      <c r="F620" s="295">
        <f>'Bank Int.'!$E620*7.5%/360</f>
        <v>2599.0953750000003</v>
      </c>
      <c r="G620" s="305">
        <v>459000.07</v>
      </c>
      <c r="H620" s="303">
        <f>'Bank Int.'!$G620*4.5%/360</f>
        <v>57.375008749999999</v>
      </c>
      <c r="I620" s="306">
        <v>41072.120000000003</v>
      </c>
      <c r="J620" s="307">
        <f>'Bank Int.'!$I620*6.5%/360</f>
        <v>7.4157994444444446</v>
      </c>
      <c r="K620" s="338">
        <v>63080.56</v>
      </c>
      <c r="L620" s="307">
        <f>'Bank Int.'!$K620*6.5%/360</f>
        <v>11.389545555555555</v>
      </c>
      <c r="N620" s="358"/>
    </row>
    <row r="621" spans="1:14" ht="22.9" customHeight="1" x14ac:dyDescent="0.25">
      <c r="A621" s="257"/>
      <c r="B621" s="253">
        <f t="shared" si="79"/>
        <v>45497</v>
      </c>
      <c r="C621" s="298">
        <v>1436985.26</v>
      </c>
      <c r="D621" s="295">
        <f>'Bank Int.'!$C621*7.5%/360</f>
        <v>299.37192916666663</v>
      </c>
      <c r="E621" s="254">
        <v>15475657.800000001</v>
      </c>
      <c r="F621" s="295">
        <f>'Bank Int.'!$E621*7.5%/360</f>
        <v>3224.0953749999999</v>
      </c>
      <c r="G621" s="305">
        <v>459000.07</v>
      </c>
      <c r="H621" s="303">
        <f>'Bank Int.'!$G621*4.5%/360</f>
        <v>57.375008749999999</v>
      </c>
      <c r="I621" s="306">
        <v>41072.120000000003</v>
      </c>
      <c r="J621" s="307">
        <f>'Bank Int.'!$I621*6.5%/360</f>
        <v>7.4157994444444446</v>
      </c>
      <c r="K621" s="338">
        <v>63080.56</v>
      </c>
      <c r="L621" s="307">
        <f>'Bank Int.'!$K621*6.5%/360</f>
        <v>11.389545555555555</v>
      </c>
      <c r="N621" s="358"/>
    </row>
    <row r="622" spans="1:14" ht="22.9" customHeight="1" x14ac:dyDescent="0.25">
      <c r="A622" s="257"/>
      <c r="B622" s="253">
        <f t="shared" si="79"/>
        <v>45496</v>
      </c>
      <c r="C622" s="298">
        <v>1830478.26</v>
      </c>
      <c r="D622" s="295">
        <f>'Bank Int.'!$C622*7.5%/360</f>
        <v>381.34963750000003</v>
      </c>
      <c r="E622" s="254">
        <v>475657.8</v>
      </c>
      <c r="F622" s="295">
        <f>'Bank Int.'!$E622*7.5%/360</f>
        <v>99.095375000000004</v>
      </c>
      <c r="G622" s="305">
        <v>459000.07</v>
      </c>
      <c r="H622" s="303">
        <f>'Bank Int.'!$G622*4.5%/360</f>
        <v>57.375008749999999</v>
      </c>
      <c r="I622" s="306">
        <v>41072.120000000003</v>
      </c>
      <c r="J622" s="307">
        <f>'Bank Int.'!$I622*6.5%/360</f>
        <v>7.4157994444444446</v>
      </c>
      <c r="K622" s="338">
        <v>63080.56</v>
      </c>
      <c r="L622" s="307">
        <f>'Bank Int.'!$K622*6.5%/360</f>
        <v>11.389545555555555</v>
      </c>
      <c r="N622" s="358"/>
    </row>
    <row r="623" spans="1:14" ht="22.9" customHeight="1" x14ac:dyDescent="0.25">
      <c r="A623" s="257"/>
      <c r="B623" s="253">
        <f t="shared" si="79"/>
        <v>45495</v>
      </c>
      <c r="C623" s="298">
        <v>1830478.26</v>
      </c>
      <c r="D623" s="295">
        <f>'Bank Int.'!$C623*7.5%/360</f>
        <v>381.34963750000003</v>
      </c>
      <c r="E623" s="254">
        <v>475657.8</v>
      </c>
      <c r="F623" s="295">
        <f>'Bank Int.'!$E623*7.5%/360</f>
        <v>99.095375000000004</v>
      </c>
      <c r="G623" s="305">
        <v>459000.07</v>
      </c>
      <c r="H623" s="303">
        <f>'Bank Int.'!$G623*4.5%/360</f>
        <v>57.375008749999999</v>
      </c>
      <c r="I623" s="306">
        <v>41072.120000000003</v>
      </c>
      <c r="J623" s="307">
        <f>'Bank Int.'!$I623*6.5%/360</f>
        <v>7.4157994444444446</v>
      </c>
      <c r="K623" s="338">
        <v>63080.56</v>
      </c>
      <c r="L623" s="307">
        <f>'Bank Int.'!$K623*6.5%/360</f>
        <v>11.389545555555555</v>
      </c>
      <c r="N623" s="358"/>
    </row>
    <row r="624" spans="1:14" ht="22.9" customHeight="1" x14ac:dyDescent="0.25">
      <c r="A624" s="257"/>
      <c r="B624" s="253">
        <f t="shared" si="79"/>
        <v>45494</v>
      </c>
      <c r="C624" s="298">
        <v>1830478.26</v>
      </c>
      <c r="D624" s="295">
        <f>'Bank Int.'!$C624*7.5%/360</f>
        <v>381.34963750000003</v>
      </c>
      <c r="E624" s="254">
        <v>475657.8</v>
      </c>
      <c r="F624" s="295">
        <f>'Bank Int.'!$E624*7.5%/360</f>
        <v>99.095375000000004</v>
      </c>
      <c r="G624" s="305">
        <v>459000.07</v>
      </c>
      <c r="H624" s="303">
        <f>'Bank Int.'!$G624*4.5%/360</f>
        <v>57.375008749999999</v>
      </c>
      <c r="I624" s="306">
        <v>41072.120000000003</v>
      </c>
      <c r="J624" s="307">
        <f>'Bank Int.'!$I624*6.5%/360</f>
        <v>7.4157994444444446</v>
      </c>
      <c r="K624" s="338">
        <v>63080.56</v>
      </c>
      <c r="L624" s="307">
        <f>'Bank Int.'!$K624*6.5%/360</f>
        <v>11.389545555555555</v>
      </c>
      <c r="N624" s="358"/>
    </row>
    <row r="625" spans="1:14" ht="22.9" customHeight="1" x14ac:dyDescent="0.25">
      <c r="A625" s="257"/>
      <c r="B625" s="253">
        <v>45493</v>
      </c>
      <c r="C625" s="298">
        <v>1830478.26</v>
      </c>
      <c r="D625" s="295">
        <f>'Bank Int.'!$C625*7.5%/360</f>
        <v>381.34963750000003</v>
      </c>
      <c r="E625" s="254">
        <v>475657.8</v>
      </c>
      <c r="F625" s="295">
        <f>'Bank Int.'!$E625*7.5%/360</f>
        <v>99.095375000000004</v>
      </c>
      <c r="G625" s="305">
        <v>459000.07</v>
      </c>
      <c r="H625" s="303">
        <f>'Bank Int.'!$G625*4.5%/360</f>
        <v>57.375008749999999</v>
      </c>
      <c r="I625" s="306">
        <v>41072.120000000003</v>
      </c>
      <c r="J625" s="307">
        <f>'Bank Int.'!$I625*6.5%/360</f>
        <v>7.4157994444444446</v>
      </c>
      <c r="K625" s="338">
        <v>63080.56</v>
      </c>
      <c r="L625" s="307">
        <f>'Bank Int.'!$K625*6.5%/360</f>
        <v>11.389545555555555</v>
      </c>
      <c r="N625" s="358"/>
    </row>
    <row r="626" spans="1:14" ht="22.9" customHeight="1" x14ac:dyDescent="0.25">
      <c r="A626" s="257"/>
      <c r="B626" s="253">
        <f t="shared" ref="B626:B631" si="80">B625-1</f>
        <v>45492</v>
      </c>
      <c r="C626" s="298">
        <v>1830478.26</v>
      </c>
      <c r="D626" s="295">
        <f>'Bank Int.'!$C626*7.5%/360</f>
        <v>381.34963750000003</v>
      </c>
      <c r="E626" s="254">
        <v>475657.8</v>
      </c>
      <c r="F626" s="295">
        <f>'Bank Int.'!$E626*7.5%/360</f>
        <v>99.095375000000004</v>
      </c>
      <c r="G626" s="305">
        <v>459000.07</v>
      </c>
      <c r="H626" s="303">
        <f>'Bank Int.'!$G626*4.5%/360</f>
        <v>57.375008749999999</v>
      </c>
      <c r="I626" s="306">
        <v>41072.120000000003</v>
      </c>
      <c r="J626" s="307">
        <f>'Bank Int.'!$I626*6.5%/360</f>
        <v>7.4157994444444446</v>
      </c>
      <c r="K626" s="338">
        <v>63080.56</v>
      </c>
      <c r="L626" s="307">
        <f>'Bank Int.'!$K626*6.5%/360</f>
        <v>11.389545555555555</v>
      </c>
      <c r="N626" s="358"/>
    </row>
    <row r="627" spans="1:14" ht="22.9" customHeight="1" x14ac:dyDescent="0.25">
      <c r="A627" s="257"/>
      <c r="B627" s="253">
        <f t="shared" si="80"/>
        <v>45491</v>
      </c>
      <c r="C627" s="298">
        <v>1830478.26</v>
      </c>
      <c r="D627" s="295">
        <f>'Bank Int.'!$C627*7.5%/360</f>
        <v>381.34963750000003</v>
      </c>
      <c r="E627" s="254">
        <v>475657.8</v>
      </c>
      <c r="F627" s="295">
        <f>'Bank Int.'!$E627*7.5%/360</f>
        <v>99.095375000000004</v>
      </c>
      <c r="G627" s="305">
        <v>459000.07</v>
      </c>
      <c r="H627" s="303">
        <f>'Bank Int.'!$G627*4.5%/360</f>
        <v>57.375008749999999</v>
      </c>
      <c r="I627" s="306">
        <v>41072.120000000003</v>
      </c>
      <c r="J627" s="307">
        <f>'Bank Int.'!$I627*6.5%/360</f>
        <v>7.4157994444444446</v>
      </c>
      <c r="K627" s="338">
        <v>63080.56</v>
      </c>
      <c r="L627" s="307">
        <f>'Bank Int.'!$K627*6.5%/360</f>
        <v>11.389545555555555</v>
      </c>
      <c r="N627" s="358"/>
    </row>
    <row r="628" spans="1:14" ht="22.9" customHeight="1" x14ac:dyDescent="0.25">
      <c r="A628" s="257"/>
      <c r="B628" s="253">
        <f t="shared" si="80"/>
        <v>45490</v>
      </c>
      <c r="C628" s="298">
        <v>1830478.26</v>
      </c>
      <c r="D628" s="295">
        <f>'Bank Int.'!$C628*7.5%/360</f>
        <v>381.34963750000003</v>
      </c>
      <c r="E628" s="254">
        <v>475657.8</v>
      </c>
      <c r="F628" s="295">
        <f>'Bank Int.'!$E628*7.5%/360</f>
        <v>99.095375000000004</v>
      </c>
      <c r="G628" s="305">
        <v>459000.07</v>
      </c>
      <c r="H628" s="303">
        <f>'Bank Int.'!$G628*4.5%/360</f>
        <v>57.375008749999999</v>
      </c>
      <c r="I628" s="306">
        <v>41072.120000000003</v>
      </c>
      <c r="J628" s="307">
        <f>'Bank Int.'!$I628*6.5%/360</f>
        <v>7.4157994444444446</v>
      </c>
      <c r="K628" s="338">
        <v>63080.56</v>
      </c>
      <c r="L628" s="307">
        <f>'Bank Int.'!$K628*6.5%/360</f>
        <v>11.389545555555555</v>
      </c>
      <c r="N628" s="358"/>
    </row>
    <row r="629" spans="1:14" ht="22.9" customHeight="1" x14ac:dyDescent="0.25">
      <c r="A629" s="257"/>
      <c r="B629" s="253">
        <f t="shared" si="80"/>
        <v>45489</v>
      </c>
      <c r="C629" s="298">
        <v>1830478.26</v>
      </c>
      <c r="D629" s="295">
        <f>'Bank Int.'!$C629*7.5%/360</f>
        <v>381.34963750000003</v>
      </c>
      <c r="E629" s="254">
        <v>475657.8</v>
      </c>
      <c r="F629" s="295">
        <f>'Bank Int.'!$E629*7.5%/360</f>
        <v>99.095375000000004</v>
      </c>
      <c r="G629" s="305">
        <v>459000.07</v>
      </c>
      <c r="H629" s="303">
        <f>'Bank Int.'!$G629*4.5%/360</f>
        <v>57.375008749999999</v>
      </c>
      <c r="I629" s="306">
        <v>41072.120000000003</v>
      </c>
      <c r="J629" s="307">
        <f>'Bank Int.'!$I629*6.5%/360</f>
        <v>7.4157994444444446</v>
      </c>
      <c r="K629" s="338">
        <v>63080.56</v>
      </c>
      <c r="L629" s="307">
        <f>'Bank Int.'!$K629*6.5%/360</f>
        <v>11.389545555555555</v>
      </c>
      <c r="N629" s="358"/>
    </row>
    <row r="630" spans="1:14" ht="22.9" customHeight="1" x14ac:dyDescent="0.25">
      <c r="A630" s="257"/>
      <c r="B630" s="253">
        <f t="shared" si="80"/>
        <v>45488</v>
      </c>
      <c r="C630" s="298">
        <v>2418406.2599999998</v>
      </c>
      <c r="D630" s="295">
        <f>'Bank Int.'!$C630*7.5%/360</f>
        <v>503.83463749999993</v>
      </c>
      <c r="E630" s="254">
        <v>475657.8</v>
      </c>
      <c r="F630" s="295">
        <f>'Bank Int.'!$E630*7.5%/360</f>
        <v>99.095375000000004</v>
      </c>
      <c r="G630" s="305">
        <v>459000.07</v>
      </c>
      <c r="H630" s="303">
        <f>'Bank Int.'!$G630*4.5%/360</f>
        <v>57.375008749999999</v>
      </c>
      <c r="I630" s="306">
        <v>41072.120000000003</v>
      </c>
      <c r="J630" s="307">
        <f>'Bank Int.'!$I630*6.5%/360</f>
        <v>7.4157994444444446</v>
      </c>
      <c r="K630" s="338">
        <v>63080.56</v>
      </c>
      <c r="L630" s="307">
        <f>'Bank Int.'!$K630*6.5%/360</f>
        <v>11.389545555555555</v>
      </c>
      <c r="N630" s="358"/>
    </row>
    <row r="631" spans="1:14" ht="22.9" customHeight="1" x14ac:dyDescent="0.25">
      <c r="A631" s="257"/>
      <c r="B631" s="253">
        <f t="shared" si="80"/>
        <v>45487</v>
      </c>
      <c r="C631" s="298">
        <v>2378406.2599999998</v>
      </c>
      <c r="D631" s="295">
        <f>'Bank Int.'!$C631*7.5%/360</f>
        <v>495.50130416666661</v>
      </c>
      <c r="E631" s="254">
        <v>475657.8</v>
      </c>
      <c r="F631" s="295">
        <f>'Bank Int.'!$E631*7.5%/360</f>
        <v>99.095375000000004</v>
      </c>
      <c r="G631" s="305">
        <v>393000.07</v>
      </c>
      <c r="H631" s="303">
        <f>'Bank Int.'!$G631*4.5%/360</f>
        <v>49.125008749999999</v>
      </c>
      <c r="I631" s="306">
        <v>41072.120000000003</v>
      </c>
      <c r="J631" s="307">
        <f>'Bank Int.'!$I631*6.5%/360</f>
        <v>7.4157994444444446</v>
      </c>
      <c r="K631" s="338">
        <v>63080.56</v>
      </c>
      <c r="L631" s="307">
        <f>'Bank Int.'!$K631*6.5%/360</f>
        <v>11.389545555555555</v>
      </c>
      <c r="N631" s="358"/>
    </row>
    <row r="632" spans="1:14" ht="22.9" customHeight="1" x14ac:dyDescent="0.25">
      <c r="A632" s="257"/>
      <c r="B632" s="253">
        <v>45486</v>
      </c>
      <c r="C632" s="298">
        <v>2378406.2599999998</v>
      </c>
      <c r="D632" s="295">
        <f>'Bank Int.'!$C632*7.5%/360</f>
        <v>495.50130416666661</v>
      </c>
      <c r="E632" s="254">
        <v>475657.8</v>
      </c>
      <c r="F632" s="295">
        <f>'Bank Int.'!$E632*7.5%/360</f>
        <v>99.095375000000004</v>
      </c>
      <c r="G632" s="305">
        <v>393000.07</v>
      </c>
      <c r="H632" s="303">
        <f>'Bank Int.'!$G632*4.5%/360</f>
        <v>49.125008749999999</v>
      </c>
      <c r="I632" s="306">
        <v>41072.120000000003</v>
      </c>
      <c r="J632" s="307">
        <f>'Bank Int.'!$I632*6.5%/360</f>
        <v>7.4157994444444446</v>
      </c>
      <c r="K632" s="338">
        <v>63080.56</v>
      </c>
      <c r="L632" s="307">
        <f>'Bank Int.'!$K632*6.5%/360</f>
        <v>11.389545555555555</v>
      </c>
      <c r="N632" s="358"/>
    </row>
    <row r="633" spans="1:14" ht="22.9" customHeight="1" x14ac:dyDescent="0.25">
      <c r="A633" s="257"/>
      <c r="B633" s="253">
        <f t="shared" ref="B633:B638" si="81">B632-1</f>
        <v>45485</v>
      </c>
      <c r="C633" s="298">
        <v>2378406.2599999998</v>
      </c>
      <c r="D633" s="295">
        <f>'Bank Int.'!$C633*7.5%/360</f>
        <v>495.50130416666661</v>
      </c>
      <c r="E633" s="254">
        <v>475657.8</v>
      </c>
      <c r="F633" s="295">
        <f>'Bank Int.'!$E633*7.5%/360</f>
        <v>99.095375000000004</v>
      </c>
      <c r="G633" s="305">
        <v>393000.07</v>
      </c>
      <c r="H633" s="303">
        <f>'Bank Int.'!$G633*4.5%/360</f>
        <v>49.125008749999999</v>
      </c>
      <c r="I633" s="306">
        <v>41072.120000000003</v>
      </c>
      <c r="J633" s="307">
        <f>'Bank Int.'!$I633*6.5%/360</f>
        <v>7.4157994444444446</v>
      </c>
      <c r="K633" s="338">
        <v>63080.56</v>
      </c>
      <c r="L633" s="307">
        <f>'Bank Int.'!$K633*6.5%/360</f>
        <v>11.389545555555555</v>
      </c>
      <c r="N633" s="358"/>
    </row>
    <row r="634" spans="1:14" ht="22.9" customHeight="1" x14ac:dyDescent="0.25">
      <c r="A634" s="257"/>
      <c r="B634" s="253">
        <f t="shared" si="81"/>
        <v>45484</v>
      </c>
      <c r="C634" s="298">
        <v>2378406.2599999998</v>
      </c>
      <c r="D634" s="295">
        <f>'Bank Int.'!$C634*7.5%/360</f>
        <v>495.50130416666661</v>
      </c>
      <c r="E634" s="254">
        <v>475657.8</v>
      </c>
      <c r="F634" s="295">
        <f>'Bank Int.'!$E634*7.5%/360</f>
        <v>99.095375000000004</v>
      </c>
      <c r="G634" s="305">
        <v>393000.07</v>
      </c>
      <c r="H634" s="303">
        <f>'Bank Int.'!$G634*4.5%/360</f>
        <v>49.125008749999999</v>
      </c>
      <c r="I634" s="306">
        <v>41072.120000000003</v>
      </c>
      <c r="J634" s="307">
        <f>'Bank Int.'!$I634*6.5%/360</f>
        <v>7.4157994444444446</v>
      </c>
      <c r="K634" s="338">
        <v>63080.56</v>
      </c>
      <c r="L634" s="307">
        <f>'Bank Int.'!$K634*6.5%/360</f>
        <v>11.389545555555555</v>
      </c>
      <c r="N634" s="358"/>
    </row>
    <row r="635" spans="1:14" ht="22.9" customHeight="1" x14ac:dyDescent="0.25">
      <c r="A635" s="257"/>
      <c r="B635" s="253">
        <f t="shared" si="81"/>
        <v>45483</v>
      </c>
      <c r="C635" s="298">
        <v>2435633.15</v>
      </c>
      <c r="D635" s="295">
        <f>'Bank Int.'!$C635*7.5%/360</f>
        <v>507.42357291666661</v>
      </c>
      <c r="E635" s="254">
        <v>475657.8</v>
      </c>
      <c r="F635" s="295">
        <f>'Bank Int.'!$E635*7.5%/360</f>
        <v>99.095375000000004</v>
      </c>
      <c r="G635" s="305">
        <v>393000.07</v>
      </c>
      <c r="H635" s="303">
        <f>'Bank Int.'!$G635*4.5%/360</f>
        <v>49.125008749999999</v>
      </c>
      <c r="I635" s="306">
        <v>41072.120000000003</v>
      </c>
      <c r="J635" s="307">
        <f>'Bank Int.'!$I635*6.5%/360</f>
        <v>7.4157994444444446</v>
      </c>
      <c r="K635" s="338">
        <v>63080.56</v>
      </c>
      <c r="L635" s="307">
        <f>'Bank Int.'!$K635*6.5%/360</f>
        <v>11.389545555555555</v>
      </c>
      <c r="N635" s="358"/>
    </row>
    <row r="636" spans="1:14" ht="22.9" customHeight="1" x14ac:dyDescent="0.25">
      <c r="A636" s="257"/>
      <c r="B636" s="253">
        <f t="shared" si="81"/>
        <v>45482</v>
      </c>
      <c r="C636" s="298">
        <v>1502625.45</v>
      </c>
      <c r="D636" s="295">
        <f>'Bank Int.'!$C636*7.5%/360</f>
        <v>313.04696874999996</v>
      </c>
      <c r="E636" s="254">
        <v>28907.8</v>
      </c>
      <c r="F636" s="295">
        <f>'Bank Int.'!$E636*7.5%/360</f>
        <v>6.0224583333333337</v>
      </c>
      <c r="G636" s="305">
        <v>373000.07</v>
      </c>
      <c r="H636" s="303">
        <f>'Bank Int.'!$G636*4.5%/360</f>
        <v>46.625008749999999</v>
      </c>
      <c r="I636" s="306">
        <v>41072.120000000003</v>
      </c>
      <c r="J636" s="307">
        <f>'Bank Int.'!$I636*6.5%/360</f>
        <v>7.4157994444444446</v>
      </c>
      <c r="K636" s="338">
        <v>63080.56</v>
      </c>
      <c r="L636" s="307">
        <f>'Bank Int.'!$K636*6.5%/360</f>
        <v>11.389545555555555</v>
      </c>
      <c r="N636" s="358"/>
    </row>
    <row r="637" spans="1:14" ht="22.9" customHeight="1" x14ac:dyDescent="0.25">
      <c r="A637" s="257"/>
      <c r="B637" s="253">
        <f t="shared" si="81"/>
        <v>45481</v>
      </c>
      <c r="C637" s="298">
        <v>276685.45</v>
      </c>
      <c r="D637" s="295">
        <f>'Bank Int.'!$C637*7.5%/360</f>
        <v>57.642802083333329</v>
      </c>
      <c r="E637" s="254">
        <v>110715.8</v>
      </c>
      <c r="F637" s="295">
        <f>'Bank Int.'!$E637*7.5%/360</f>
        <v>23.065791666666666</v>
      </c>
      <c r="G637" s="305">
        <v>373000.07</v>
      </c>
      <c r="H637" s="303">
        <f>'Bank Int.'!$G637*4.5%/360</f>
        <v>46.625008749999999</v>
      </c>
      <c r="I637" s="306">
        <v>41072.120000000003</v>
      </c>
      <c r="J637" s="307">
        <f>'Bank Int.'!$I637*6.5%/360</f>
        <v>7.4157994444444446</v>
      </c>
      <c r="K637" s="338">
        <v>63080.56</v>
      </c>
      <c r="L637" s="307">
        <f>'Bank Int.'!$K637*6.5%/360</f>
        <v>11.389545555555555</v>
      </c>
      <c r="N637" s="358"/>
    </row>
    <row r="638" spans="1:14" ht="22.9" customHeight="1" x14ac:dyDescent="0.25">
      <c r="A638" s="257"/>
      <c r="B638" s="253">
        <f t="shared" si="81"/>
        <v>45480</v>
      </c>
      <c r="C638" s="298">
        <v>247020.71</v>
      </c>
      <c r="D638" s="295">
        <f>'Bank Int.'!$C638*7.5%/360</f>
        <v>51.462647916666661</v>
      </c>
      <c r="E638" s="254">
        <v>67218.23</v>
      </c>
      <c r="F638" s="295">
        <f>'Bank Int.'!$E638*7.5%/360</f>
        <v>14.003797916666665</v>
      </c>
      <c r="G638" s="305">
        <v>373000.07</v>
      </c>
      <c r="H638" s="303">
        <f>'Bank Int.'!$G638*4.5%/360</f>
        <v>46.625008749999999</v>
      </c>
      <c r="I638" s="306">
        <v>41072.120000000003</v>
      </c>
      <c r="J638" s="307">
        <f>'Bank Int.'!$I638*6.5%/360</f>
        <v>7.4157994444444446</v>
      </c>
      <c r="K638" s="338">
        <v>63080.56</v>
      </c>
      <c r="L638" s="307">
        <f>'Bank Int.'!$K638*6.5%/360</f>
        <v>11.389545555555555</v>
      </c>
      <c r="N638" s="358"/>
    </row>
    <row r="639" spans="1:14" ht="22.9" customHeight="1" x14ac:dyDescent="0.25">
      <c r="A639" s="257"/>
      <c r="B639" s="253">
        <v>45479</v>
      </c>
      <c r="C639" s="298">
        <v>3676498.51</v>
      </c>
      <c r="D639" s="295">
        <f>'Bank Int.'!$C639*7.5%/360</f>
        <v>765.93718958333318</v>
      </c>
      <c r="E639" s="254">
        <v>2567218.23</v>
      </c>
      <c r="F639" s="295">
        <f>'Bank Int.'!$E639*7.5%/360</f>
        <v>534.83713124999997</v>
      </c>
      <c r="G639" s="305">
        <v>218000.07</v>
      </c>
      <c r="H639" s="303">
        <f>'Bank Int.'!$G639*4.5%/360</f>
        <v>27.250008750000003</v>
      </c>
      <c r="I639" s="306">
        <v>41072.120000000003</v>
      </c>
      <c r="J639" s="307">
        <f>'Bank Int.'!$I639*6.5%/360</f>
        <v>7.4157994444444446</v>
      </c>
      <c r="K639" s="338">
        <v>63080.56</v>
      </c>
      <c r="L639" s="307">
        <f>'Bank Int.'!$K639*6.5%/360</f>
        <v>11.389545555555555</v>
      </c>
      <c r="N639" s="358"/>
    </row>
    <row r="640" spans="1:14" ht="22.9" customHeight="1" x14ac:dyDescent="0.25">
      <c r="A640" s="257"/>
      <c r="B640" s="253">
        <f t="shared" ref="B640:B644" si="82">B639-1</f>
        <v>45478</v>
      </c>
      <c r="C640" s="298">
        <v>3796496.53</v>
      </c>
      <c r="D640" s="295">
        <f>'Bank Int.'!$C640*7.5%/360</f>
        <v>790.93677708333314</v>
      </c>
      <c r="E640" s="254">
        <v>2567218.23</v>
      </c>
      <c r="F640" s="295">
        <f>'Bank Int.'!$E640*7.5%/360</f>
        <v>534.83713124999997</v>
      </c>
      <c r="G640" s="305">
        <v>218000.07</v>
      </c>
      <c r="H640" s="303">
        <f>'Bank Int.'!$G640*4.5%/360</f>
        <v>27.250008750000003</v>
      </c>
      <c r="I640" s="306">
        <v>41072.120000000003</v>
      </c>
      <c r="J640" s="307">
        <f>'Bank Int.'!$I640*6.5%/360</f>
        <v>7.4157994444444446</v>
      </c>
      <c r="K640" s="338">
        <v>63080.56</v>
      </c>
      <c r="L640" s="307">
        <f>'Bank Int.'!$K640*6.5%/360</f>
        <v>11.389545555555555</v>
      </c>
      <c r="N640" s="358"/>
    </row>
    <row r="641" spans="1:14" ht="22.9" customHeight="1" x14ac:dyDescent="0.25">
      <c r="A641" s="257"/>
      <c r="B641" s="253">
        <f t="shared" si="82"/>
        <v>45477</v>
      </c>
      <c r="C641" s="298">
        <v>3796496.53</v>
      </c>
      <c r="D641" s="295">
        <f>'Bank Int.'!$C641*7.5%/360</f>
        <v>790.93677708333314</v>
      </c>
      <c r="E641" s="254">
        <v>2567218.23</v>
      </c>
      <c r="F641" s="295">
        <f>'Bank Int.'!$E641*7.5%/360</f>
        <v>534.83713124999997</v>
      </c>
      <c r="G641" s="305">
        <v>218000.07</v>
      </c>
      <c r="H641" s="303">
        <f>'Bank Int.'!$G641*4.5%/360</f>
        <v>27.250008750000003</v>
      </c>
      <c r="I641" s="306">
        <v>41072.120000000003</v>
      </c>
      <c r="J641" s="307">
        <f>'Bank Int.'!$I641*6.5%/360</f>
        <v>7.4157994444444446</v>
      </c>
      <c r="K641" s="338">
        <v>63080.56</v>
      </c>
      <c r="L641" s="307">
        <f>'Bank Int.'!$K641*6.5%/360</f>
        <v>11.389545555555555</v>
      </c>
      <c r="N641" s="358"/>
    </row>
    <row r="642" spans="1:14" ht="22.9" customHeight="1" x14ac:dyDescent="0.25">
      <c r="A642" s="257"/>
      <c r="B642" s="253">
        <f t="shared" si="82"/>
        <v>45476</v>
      </c>
      <c r="C642" s="298">
        <v>3596496.53</v>
      </c>
      <c r="D642" s="295">
        <f>'Bank Int.'!$C642*7.5%/360</f>
        <v>749.27011041666651</v>
      </c>
      <c r="E642" s="254">
        <v>2567218.23</v>
      </c>
      <c r="F642" s="295">
        <f>'Bank Int.'!$E642*7.5%/360</f>
        <v>534.83713124999997</v>
      </c>
      <c r="G642" s="305">
        <v>218000.07</v>
      </c>
      <c r="H642" s="303">
        <f>'Bank Int.'!$G642*4.5%/360</f>
        <v>27.250008750000003</v>
      </c>
      <c r="I642" s="306">
        <v>41072.120000000003</v>
      </c>
      <c r="J642" s="307">
        <f>'Bank Int.'!$I642*6.5%/360</f>
        <v>7.4157994444444446</v>
      </c>
      <c r="K642" s="338">
        <v>63080.56</v>
      </c>
      <c r="L642" s="307">
        <f>'Bank Int.'!$K642*6.5%/360</f>
        <v>11.389545555555555</v>
      </c>
      <c r="N642" s="358"/>
    </row>
    <row r="643" spans="1:14" ht="22.9" customHeight="1" x14ac:dyDescent="0.25">
      <c r="A643" s="257"/>
      <c r="B643" s="253">
        <f t="shared" si="82"/>
        <v>45475</v>
      </c>
      <c r="C643" s="298">
        <v>1796556.53</v>
      </c>
      <c r="D643" s="295">
        <f>'Bank Int.'!$C643*7.5%/360</f>
        <v>374.28261041666667</v>
      </c>
      <c r="E643" s="254">
        <v>1233218.23</v>
      </c>
      <c r="F643" s="295">
        <f>'Bank Int.'!$E643*7.5%/360</f>
        <v>256.92046458333334</v>
      </c>
      <c r="G643" s="305">
        <v>18000.07</v>
      </c>
      <c r="H643" s="303">
        <f>'Bank Int.'!$G643*4.5%/360</f>
        <v>2.2500087500000001</v>
      </c>
      <c r="I643" s="306">
        <v>41072.120000000003</v>
      </c>
      <c r="J643" s="307">
        <f>'Bank Int.'!$I643*6.5%/360</f>
        <v>7.4157994444444446</v>
      </c>
      <c r="K643" s="338">
        <v>63080.56</v>
      </c>
      <c r="L643" s="307">
        <f>'Bank Int.'!$K643*6.5%/360</f>
        <v>11.389545555555555</v>
      </c>
      <c r="N643" s="358"/>
    </row>
    <row r="644" spans="1:14" ht="22.9" customHeight="1" x14ac:dyDescent="0.25">
      <c r="A644" s="257"/>
      <c r="B644" s="253">
        <f t="shared" si="82"/>
        <v>45474</v>
      </c>
      <c r="C644" s="298">
        <v>12156861.289999999</v>
      </c>
      <c r="D644" s="295">
        <f>'Bank Int.'!$C644*7.5%/360</f>
        <v>2532.6794354166664</v>
      </c>
      <c r="E644" s="254">
        <v>1072175.43</v>
      </c>
      <c r="F644" s="295">
        <f>'Bank Int.'!$E644*7.5%/360</f>
        <v>223.36988124999996</v>
      </c>
      <c r="G644" s="305">
        <v>18000.07</v>
      </c>
      <c r="H644" s="303">
        <f>'Bank Int.'!$G644*4.5%/360</f>
        <v>2.2500087500000001</v>
      </c>
      <c r="I644" s="306">
        <v>41072.120000000003</v>
      </c>
      <c r="J644" s="307">
        <f>'Bank Int.'!$I644*6.5%/360</f>
        <v>7.4157994444444446</v>
      </c>
      <c r="K644" s="338">
        <v>63080.56</v>
      </c>
      <c r="L644" s="307">
        <f>'Bank Int.'!$K644*6.5%/360</f>
        <v>11.389545555555555</v>
      </c>
      <c r="N644" s="358"/>
    </row>
    <row r="645" spans="1:14" ht="22.5" customHeight="1" x14ac:dyDescent="0.25">
      <c r="A645" s="257"/>
      <c r="B645" s="253">
        <f>B646+1</f>
        <v>45473</v>
      </c>
      <c r="C645" s="298">
        <v>12156861.289999999</v>
      </c>
      <c r="D645" s="295">
        <f>'Bank Int.'!$C645*7.5%/360</f>
        <v>2532.6794354166664</v>
      </c>
      <c r="E645" s="254">
        <v>1072175.43</v>
      </c>
      <c r="F645" s="295">
        <f>'Bank Int.'!$E645*7.5%/360</f>
        <v>223.36988124999996</v>
      </c>
      <c r="G645" s="305">
        <v>18345.07</v>
      </c>
      <c r="H645" s="303">
        <f>'Bank Int.'!$G645*4.5%/360</f>
        <v>2.29313375</v>
      </c>
      <c r="I645" s="306">
        <v>41417.120000000003</v>
      </c>
      <c r="J645" s="307">
        <f>'Bank Int.'!$I645*6.5%/360</f>
        <v>7.4780911111111124</v>
      </c>
      <c r="K645" s="338">
        <v>29715</v>
      </c>
      <c r="L645" s="307">
        <f>'Bank Int.'!$K645*6.5%/360</f>
        <v>5.3652083333333334</v>
      </c>
    </row>
    <row r="646" spans="1:14" ht="22.9" customHeight="1" x14ac:dyDescent="0.25">
      <c r="A646" s="257"/>
      <c r="B646" s="253">
        <v>45472</v>
      </c>
      <c r="C646" s="298">
        <v>1108384.29</v>
      </c>
      <c r="D646" s="295">
        <f>'Bank Int.'!$C646*7.5%/360</f>
        <v>230.91339375000001</v>
      </c>
      <c r="E646" s="254">
        <v>8455242</v>
      </c>
      <c r="F646" s="295">
        <f>'Bank Int.'!$E646*7.5%/360</f>
        <v>1761.50875</v>
      </c>
      <c r="G646" s="305">
        <v>5739.32</v>
      </c>
      <c r="H646" s="303">
        <f>'Bank Int.'!$G646*4.5%/360</f>
        <v>0.71741499999999991</v>
      </c>
      <c r="I646" s="306">
        <v>41417.120000000003</v>
      </c>
      <c r="J646" s="307">
        <f>'Bank Int.'!$I646*6.5%/360</f>
        <v>7.4780911111111124</v>
      </c>
      <c r="K646" s="338">
        <v>29715</v>
      </c>
      <c r="L646" s="307">
        <f>'Bank Int.'!$K646*6.5%/360</f>
        <v>5.3652083333333334</v>
      </c>
    </row>
    <row r="647" spans="1:14" ht="22.9" customHeight="1" x14ac:dyDescent="0.25">
      <c r="A647" s="257"/>
      <c r="B647" s="253">
        <f t="shared" ref="B647:B652" si="83">B646-1</f>
        <v>45471</v>
      </c>
      <c r="C647" s="298">
        <v>1108384.29</v>
      </c>
      <c r="D647" s="295">
        <f>'Bank Int.'!$C647*7.5%/360</f>
        <v>230.91339375000001</v>
      </c>
      <c r="E647" s="254">
        <v>8455242</v>
      </c>
      <c r="F647" s="295">
        <f>'Bank Int.'!$E647*7.5%/360</f>
        <v>1761.50875</v>
      </c>
      <c r="G647" s="305">
        <v>5739.32</v>
      </c>
      <c r="H647" s="303">
        <f>'Bank Int.'!$G647*4.5%/360</f>
        <v>0.71741499999999991</v>
      </c>
      <c r="I647" s="306">
        <v>41417.120000000003</v>
      </c>
      <c r="J647" s="307">
        <f>'Bank Int.'!$I647*6.5%/360</f>
        <v>7.4780911111111124</v>
      </c>
      <c r="K647" s="338">
        <v>29715</v>
      </c>
      <c r="L647" s="307">
        <f>'Bank Int.'!$K647*6.5%/360</f>
        <v>5.3652083333333334</v>
      </c>
    </row>
    <row r="648" spans="1:14" ht="22.9" customHeight="1" x14ac:dyDescent="0.25">
      <c r="A648" s="257"/>
      <c r="B648" s="253">
        <f t="shared" si="83"/>
        <v>45470</v>
      </c>
      <c r="C648" s="298">
        <v>1108384.29</v>
      </c>
      <c r="D648" s="295">
        <f>'Bank Int.'!$C648*7.5%/360</f>
        <v>230.91339375000001</v>
      </c>
      <c r="E648" s="254">
        <v>8455242</v>
      </c>
      <c r="F648" s="295">
        <f>'Bank Int.'!$E648*7.5%/360</f>
        <v>1761.50875</v>
      </c>
      <c r="G648" s="305">
        <v>5739.32</v>
      </c>
      <c r="H648" s="303">
        <f>'Bank Int.'!$G648*4.5%/360</f>
        <v>0.71741499999999991</v>
      </c>
      <c r="I648" s="306">
        <v>41417.120000000003</v>
      </c>
      <c r="J648" s="307">
        <f>'Bank Int.'!$I648*6.5%/360</f>
        <v>7.4780911111111124</v>
      </c>
      <c r="K648" s="338">
        <v>29715</v>
      </c>
      <c r="L648" s="307">
        <f>'Bank Int.'!$K648*6.5%/360</f>
        <v>5.3652083333333334</v>
      </c>
    </row>
    <row r="649" spans="1:14" ht="22.9" customHeight="1" x14ac:dyDescent="0.25">
      <c r="A649" s="257"/>
      <c r="B649" s="253">
        <f t="shared" si="83"/>
        <v>45469</v>
      </c>
      <c r="C649" s="298">
        <v>59333384.289999999</v>
      </c>
      <c r="D649" s="295">
        <f>'Bank Int.'!$C649*7.5%/360</f>
        <v>12361.121727083333</v>
      </c>
      <c r="E649" s="254">
        <v>140761</v>
      </c>
      <c r="F649" s="295">
        <f>'Bank Int.'!$E649*7.5%/360</f>
        <v>29.325208333333329</v>
      </c>
      <c r="G649" s="305">
        <v>5485739.3200000003</v>
      </c>
      <c r="H649" s="303">
        <f>'Bank Int.'!$G649*4.5%/360</f>
        <v>685.71741499999996</v>
      </c>
      <c r="I649" s="306">
        <v>41417.120000000003</v>
      </c>
      <c r="J649" s="307">
        <f>'Bank Int.'!$I649*6.5%/360</f>
        <v>7.4780911111111124</v>
      </c>
      <c r="K649" s="338">
        <v>29715</v>
      </c>
      <c r="L649" s="307">
        <f>'Bank Int.'!$K649*6.5%/360</f>
        <v>5.3652083333333334</v>
      </c>
    </row>
    <row r="650" spans="1:14" ht="22.9" customHeight="1" x14ac:dyDescent="0.25">
      <c r="A650" s="257"/>
      <c r="B650" s="253">
        <f t="shared" si="83"/>
        <v>45468</v>
      </c>
      <c r="C650" s="298">
        <v>3937804.29</v>
      </c>
      <c r="D650" s="295">
        <f>'Bank Int.'!$C650*7.5%/360</f>
        <v>820.37589375000005</v>
      </c>
      <c r="E650" s="254">
        <v>50140761</v>
      </c>
      <c r="F650" s="295">
        <f>'Bank Int.'!$E650*7.5%/360</f>
        <v>10445.991875</v>
      </c>
      <c r="G650" s="305">
        <v>1158299.32</v>
      </c>
      <c r="H650" s="303">
        <f>'Bank Int.'!$G650*4.5%/360</f>
        <v>144.78741500000001</v>
      </c>
      <c r="I650" s="306">
        <v>41417.120000000003</v>
      </c>
      <c r="J650" s="307">
        <f>'Bank Int.'!$I650*6.5%/360</f>
        <v>7.4780911111111124</v>
      </c>
      <c r="K650" s="338">
        <v>29715</v>
      </c>
      <c r="L650" s="307">
        <f>'Bank Int.'!$K650*6.5%/360</f>
        <v>5.3652083333333334</v>
      </c>
    </row>
    <row r="651" spans="1:14" ht="22.9" customHeight="1" x14ac:dyDescent="0.25">
      <c r="A651" s="257"/>
      <c r="B651" s="253">
        <f t="shared" si="83"/>
        <v>45467</v>
      </c>
      <c r="C651" s="298">
        <v>367884.29</v>
      </c>
      <c r="D651" s="295">
        <f>'Bank Int.'!$C651*7.5%/360</f>
        <v>76.642560416666669</v>
      </c>
      <c r="E651" s="254">
        <v>143342</v>
      </c>
      <c r="F651" s="295">
        <f>'Bank Int.'!$E651*7.5%/360</f>
        <v>29.862916666666667</v>
      </c>
      <c r="G651" s="305">
        <v>1098309.32</v>
      </c>
      <c r="H651" s="303">
        <f>'Bank Int.'!$G651*4.5%/360</f>
        <v>137.28866500000001</v>
      </c>
      <c r="I651" s="306">
        <v>41417.120000000003</v>
      </c>
      <c r="J651" s="307">
        <f>'Bank Int.'!$I651*6.5%/360</f>
        <v>7.4780911111111124</v>
      </c>
      <c r="K651" s="338">
        <v>29715</v>
      </c>
      <c r="L651" s="307">
        <f>'Bank Int.'!$K651*6.5%/360</f>
        <v>5.3652083333333334</v>
      </c>
    </row>
    <row r="652" spans="1:14" ht="22.9" customHeight="1" x14ac:dyDescent="0.25">
      <c r="A652" s="257"/>
      <c r="B652" s="253">
        <f t="shared" si="83"/>
        <v>45466</v>
      </c>
      <c r="C652" s="298">
        <v>367884.29</v>
      </c>
      <c r="D652" s="295">
        <f>'Bank Int.'!$C652*7.5%/360</f>
        <v>76.642560416666669</v>
      </c>
      <c r="E652" s="254">
        <v>2086892</v>
      </c>
      <c r="F652" s="295">
        <f>'Bank Int.'!$E652*7.5%/360</f>
        <v>434.76916666666665</v>
      </c>
      <c r="G652" s="305">
        <v>848319.32</v>
      </c>
      <c r="H652" s="303">
        <f>'Bank Int.'!$G652*4.5%/360</f>
        <v>106.03991499999999</v>
      </c>
      <c r="I652" s="306">
        <v>41417.120000000003</v>
      </c>
      <c r="J652" s="307">
        <f>'Bank Int.'!$I652*6.5%/360</f>
        <v>7.4780911111111124</v>
      </c>
      <c r="K652" s="338">
        <v>29715</v>
      </c>
      <c r="L652" s="307">
        <f>'Bank Int.'!$K652*6.5%/360</f>
        <v>5.3652083333333334</v>
      </c>
    </row>
    <row r="653" spans="1:14" ht="22.9" customHeight="1" x14ac:dyDescent="0.25">
      <c r="A653" s="257"/>
      <c r="B653" s="253">
        <v>45465</v>
      </c>
      <c r="C653" s="298">
        <v>2667994.29</v>
      </c>
      <c r="D653" s="295">
        <f>'Bank Int.'!$C653*7.5%/360</f>
        <v>555.83214375</v>
      </c>
      <c r="E653" s="254">
        <v>286892</v>
      </c>
      <c r="F653" s="295">
        <f>'Bank Int.'!$E653*7.5%/360</f>
        <v>59.769166666666663</v>
      </c>
      <c r="G653" s="305">
        <v>848319.32</v>
      </c>
      <c r="H653" s="303">
        <f>'Bank Int.'!$G653*4.5%/360</f>
        <v>106.03991499999999</v>
      </c>
      <c r="I653" s="306">
        <v>41417.120000000003</v>
      </c>
      <c r="J653" s="307">
        <f>'Bank Int.'!$I653*6.5%/360</f>
        <v>7.4780911111111124</v>
      </c>
      <c r="K653" s="338">
        <v>29715</v>
      </c>
      <c r="L653" s="307">
        <f>'Bank Int.'!$K653*6.5%/360</f>
        <v>5.3652083333333334</v>
      </c>
    </row>
    <row r="654" spans="1:14" ht="22.9" customHeight="1" x14ac:dyDescent="0.25">
      <c r="A654" s="257"/>
      <c r="B654" s="253">
        <f>B653-1</f>
        <v>45464</v>
      </c>
      <c r="C654" s="298">
        <v>1502994.29</v>
      </c>
      <c r="D654" s="295">
        <f>'Bank Int.'!$C654*7.5%/360</f>
        <v>313.12381041666669</v>
      </c>
      <c r="E654" s="254">
        <v>286892</v>
      </c>
      <c r="F654" s="295">
        <f>'Bank Int.'!$E654*7.5%/360</f>
        <v>59.769166666666663</v>
      </c>
      <c r="G654" s="305">
        <v>848319.32</v>
      </c>
      <c r="H654" s="303">
        <f>'Bank Int.'!$G654*4.5%/360</f>
        <v>106.03991499999999</v>
      </c>
      <c r="I654" s="306">
        <v>41417.120000000003</v>
      </c>
      <c r="J654" s="307">
        <f>'Bank Int.'!$I654*6.5%/360</f>
        <v>7.4780911111111124</v>
      </c>
      <c r="K654" s="338">
        <v>29715</v>
      </c>
      <c r="L654" s="307">
        <f>'Bank Int.'!$K654*6.5%/360</f>
        <v>5.3652083333333334</v>
      </c>
    </row>
    <row r="655" spans="1:14" ht="22.9" customHeight="1" x14ac:dyDescent="0.25">
      <c r="A655" s="257"/>
      <c r="B655" s="253">
        <f t="shared" ref="B655:B656" si="84">B654-1</f>
        <v>45463</v>
      </c>
      <c r="C655" s="298">
        <v>1502994.29</v>
      </c>
      <c r="D655" s="295">
        <f>'Bank Int.'!$C655*7.5%/360</f>
        <v>313.12381041666669</v>
      </c>
      <c r="E655" s="254">
        <v>286892</v>
      </c>
      <c r="F655" s="295">
        <f>'Bank Int.'!$E655*7.5%/360</f>
        <v>59.769166666666663</v>
      </c>
      <c r="G655" s="305">
        <v>848319.32</v>
      </c>
      <c r="H655" s="303">
        <f>'Bank Int.'!$G655*4.5%/360</f>
        <v>106.03991499999999</v>
      </c>
      <c r="I655" s="306">
        <v>41417.120000000003</v>
      </c>
      <c r="J655" s="307">
        <f>'Bank Int.'!$I655*6.5%/360</f>
        <v>7.4780911111111124</v>
      </c>
      <c r="K655" s="338">
        <v>29715</v>
      </c>
      <c r="L655" s="307">
        <f>'Bank Int.'!$K655*6.5%/360</f>
        <v>5.3652083333333334</v>
      </c>
    </row>
    <row r="656" spans="1:14" ht="22.9" customHeight="1" x14ac:dyDescent="0.25">
      <c r="A656" s="257"/>
      <c r="B656" s="253">
        <f t="shared" si="84"/>
        <v>45462</v>
      </c>
      <c r="C656" s="298">
        <v>1502994.29</v>
      </c>
      <c r="D656" s="295">
        <f>'Bank Int.'!$C656*7.5%/360</f>
        <v>313.12381041666669</v>
      </c>
      <c r="E656" s="254">
        <v>286892</v>
      </c>
      <c r="F656" s="295">
        <f>'Bank Int.'!$E656*7.5%/360</f>
        <v>59.769166666666663</v>
      </c>
      <c r="G656" s="305">
        <v>848319.32</v>
      </c>
      <c r="H656" s="303">
        <f>'Bank Int.'!$G656*4.5%/360</f>
        <v>106.03991499999999</v>
      </c>
      <c r="I656" s="306">
        <v>41417.120000000003</v>
      </c>
      <c r="J656" s="307">
        <f>'Bank Int.'!$I656*6.5%/360</f>
        <v>7.4780911111111124</v>
      </c>
      <c r="K656" s="338">
        <v>29715</v>
      </c>
      <c r="L656" s="307">
        <f>'Bank Int.'!$K656*6.5%/360</f>
        <v>5.3652083333333334</v>
      </c>
    </row>
    <row r="657" spans="1:12" ht="22.9" customHeight="1" x14ac:dyDescent="0.25">
      <c r="A657" s="257"/>
      <c r="B657" s="253">
        <v>45461</v>
      </c>
      <c r="C657" s="298">
        <v>1502994.29</v>
      </c>
      <c r="D657" s="295">
        <f>'Bank Int.'!$C657*7.5%/360</f>
        <v>313.12381041666669</v>
      </c>
      <c r="E657" s="254">
        <v>286892</v>
      </c>
      <c r="F657" s="295">
        <f>'Bank Int.'!$E657*7.5%/360</f>
        <v>59.769166666666663</v>
      </c>
      <c r="G657" s="305">
        <v>848319.32</v>
      </c>
      <c r="H657" s="303">
        <f>'Bank Int.'!$G657*4.5%/360</f>
        <v>106.03991499999999</v>
      </c>
      <c r="I657" s="306">
        <v>41417.120000000003</v>
      </c>
      <c r="J657" s="307">
        <f>'Bank Int.'!$I657*6.5%/360</f>
        <v>7.4780911111111124</v>
      </c>
      <c r="K657" s="338">
        <v>29715</v>
      </c>
      <c r="L657" s="307">
        <f>'Bank Int.'!$K657*6.5%/360</f>
        <v>5.3652083333333334</v>
      </c>
    </row>
    <row r="658" spans="1:12" ht="22.9" customHeight="1" x14ac:dyDescent="0.25">
      <c r="A658" s="257"/>
      <c r="B658" s="253">
        <f>B657-1</f>
        <v>45460</v>
      </c>
      <c r="C658" s="298">
        <v>1502994.29</v>
      </c>
      <c r="D658" s="295">
        <f>'Bank Int.'!$C658*7.5%/360</f>
        <v>313.12381041666669</v>
      </c>
      <c r="E658" s="254">
        <v>286892</v>
      </c>
      <c r="F658" s="295">
        <f>'Bank Int.'!$E658*7.5%/360</f>
        <v>59.769166666666663</v>
      </c>
      <c r="G658" s="305">
        <v>848319.32</v>
      </c>
      <c r="H658" s="303">
        <f>'Bank Int.'!$G658*4.5%/360</f>
        <v>106.03991499999999</v>
      </c>
      <c r="I658" s="306">
        <v>41417.120000000003</v>
      </c>
      <c r="J658" s="307">
        <f>'Bank Int.'!$I658*6.5%/360</f>
        <v>7.4780911111111124</v>
      </c>
      <c r="K658" s="338">
        <v>29715</v>
      </c>
      <c r="L658" s="307">
        <f>'Bank Int.'!$K658*6.5%/360</f>
        <v>5.3652083333333334</v>
      </c>
    </row>
    <row r="659" spans="1:12" ht="22.9" customHeight="1" x14ac:dyDescent="0.25">
      <c r="A659" s="257"/>
      <c r="B659" s="253">
        <f t="shared" ref="B659:B666" si="85">B658-1</f>
        <v>45459</v>
      </c>
      <c r="C659" s="298">
        <v>1502994.29</v>
      </c>
      <c r="D659" s="295">
        <f>'Bank Int.'!$C659*7.5%/360</f>
        <v>313.12381041666669</v>
      </c>
      <c r="E659" s="254">
        <v>286892</v>
      </c>
      <c r="F659" s="295">
        <f>'Bank Int.'!$E659*7.5%/360</f>
        <v>59.769166666666663</v>
      </c>
      <c r="G659" s="305">
        <v>848319.32</v>
      </c>
      <c r="H659" s="303">
        <f>'Bank Int.'!$G659*4.5%/360</f>
        <v>106.03991499999999</v>
      </c>
      <c r="I659" s="306">
        <v>41417.120000000003</v>
      </c>
      <c r="J659" s="307">
        <f>'Bank Int.'!$I659*6.5%/360</f>
        <v>7.4780911111111124</v>
      </c>
      <c r="K659" s="338">
        <v>29715</v>
      </c>
      <c r="L659" s="307">
        <f>'Bank Int.'!$K659*6.5%/360</f>
        <v>5.3652083333333334</v>
      </c>
    </row>
    <row r="660" spans="1:12" ht="22.9" customHeight="1" x14ac:dyDescent="0.25">
      <c r="A660" s="257"/>
      <c r="B660" s="253">
        <f t="shared" si="85"/>
        <v>45458</v>
      </c>
      <c r="C660" s="298">
        <v>1502994.29</v>
      </c>
      <c r="D660" s="295">
        <f>'Bank Int.'!$C660*7.5%/360</f>
        <v>313.12381041666669</v>
      </c>
      <c r="E660" s="254">
        <v>286892</v>
      </c>
      <c r="F660" s="295">
        <f>'Bank Int.'!$E660*7.5%/360</f>
        <v>59.769166666666663</v>
      </c>
      <c r="G660" s="305">
        <v>863319.32</v>
      </c>
      <c r="H660" s="303">
        <f>'Bank Int.'!$G660*4.5%/360</f>
        <v>107.91491499999999</v>
      </c>
      <c r="I660" s="306">
        <v>41417.120000000003</v>
      </c>
      <c r="J660" s="307">
        <f>'Bank Int.'!$I660*6.5%/360</f>
        <v>7.4780911111111124</v>
      </c>
      <c r="K660" s="338">
        <v>29715</v>
      </c>
      <c r="L660" s="307">
        <f>'Bank Int.'!$K660*6.5%/360</f>
        <v>5.3652083333333334</v>
      </c>
    </row>
    <row r="661" spans="1:12" ht="22.9" customHeight="1" x14ac:dyDescent="0.25">
      <c r="A661" s="257"/>
      <c r="B661" s="253">
        <f t="shared" si="85"/>
        <v>45457</v>
      </c>
      <c r="C661" s="298">
        <v>1502994.29</v>
      </c>
      <c r="D661" s="295">
        <f>'Bank Int.'!$C661*7.5%/360</f>
        <v>313.12381041666669</v>
      </c>
      <c r="E661" s="254">
        <v>286892</v>
      </c>
      <c r="F661" s="295">
        <f>'Bank Int.'!$E661*7.5%/360</f>
        <v>59.769166666666663</v>
      </c>
      <c r="G661" s="305">
        <v>782319.32</v>
      </c>
      <c r="H661" s="303">
        <f>'Bank Int.'!$G661*4.5%/360</f>
        <v>97.789914999999993</v>
      </c>
      <c r="I661" s="306">
        <v>41417.120000000003</v>
      </c>
      <c r="J661" s="307">
        <f>'Bank Int.'!$I661*6.5%/360</f>
        <v>7.4780911111111124</v>
      </c>
      <c r="K661" s="338">
        <v>29715</v>
      </c>
      <c r="L661" s="307">
        <f>'Bank Int.'!$K661*6.5%/360</f>
        <v>5.3652083333333334</v>
      </c>
    </row>
    <row r="662" spans="1:12" ht="22.9" customHeight="1" x14ac:dyDescent="0.25">
      <c r="A662" s="257"/>
      <c r="B662" s="253">
        <f t="shared" si="85"/>
        <v>45456</v>
      </c>
      <c r="C662" s="298">
        <v>1502994.29</v>
      </c>
      <c r="D662" s="295">
        <f>'Bank Int.'!$C662*7.5%/360</f>
        <v>313.12381041666669</v>
      </c>
      <c r="E662" s="254">
        <v>286892</v>
      </c>
      <c r="F662" s="295">
        <f>'Bank Int.'!$E662*7.5%/360</f>
        <v>59.769166666666663</v>
      </c>
      <c r="G662" s="305">
        <v>782319.32</v>
      </c>
      <c r="H662" s="303">
        <f>'Bank Int.'!$G662*4.5%/360</f>
        <v>97.789914999999993</v>
      </c>
      <c r="I662" s="306">
        <v>41417.120000000003</v>
      </c>
      <c r="J662" s="307">
        <f>'Bank Int.'!$I662*6.5%/360</f>
        <v>7.4780911111111124</v>
      </c>
      <c r="K662" s="338">
        <v>29715</v>
      </c>
      <c r="L662" s="307">
        <f>'Bank Int.'!$K662*6.5%/360</f>
        <v>5.3652083333333334</v>
      </c>
    </row>
    <row r="663" spans="1:12" ht="22.9" customHeight="1" x14ac:dyDescent="0.25">
      <c r="A663" s="257"/>
      <c r="B663" s="253">
        <f t="shared" si="85"/>
        <v>45455</v>
      </c>
      <c r="C663" s="298">
        <v>836419.29</v>
      </c>
      <c r="D663" s="295">
        <f>'Bank Int.'!$C663*7.5%/360</f>
        <v>174.25401875</v>
      </c>
      <c r="E663" s="254">
        <v>286892</v>
      </c>
      <c r="F663" s="295">
        <f>'Bank Int.'!$E663*7.5%/360</f>
        <v>59.769166666666663</v>
      </c>
      <c r="G663" s="305">
        <v>782319.32</v>
      </c>
      <c r="H663" s="303">
        <f>'Bank Int.'!$G663*4.5%/360</f>
        <v>97.789914999999993</v>
      </c>
      <c r="I663" s="306">
        <v>41417.120000000003</v>
      </c>
      <c r="J663" s="307">
        <f>'Bank Int.'!$I663*6.5%/360</f>
        <v>7.4780911111111124</v>
      </c>
      <c r="K663" s="338">
        <v>29715</v>
      </c>
      <c r="L663" s="307">
        <f>'Bank Int.'!$K663*6.5%/360</f>
        <v>5.3652083333333334</v>
      </c>
    </row>
    <row r="664" spans="1:12" ht="22.9" customHeight="1" x14ac:dyDescent="0.25">
      <c r="A664" s="257"/>
      <c r="B664" s="253">
        <f t="shared" si="85"/>
        <v>45454</v>
      </c>
      <c r="C664" s="298">
        <v>831872</v>
      </c>
      <c r="D664" s="295">
        <f>'Bank Int.'!$C664*7.5%/360</f>
        <v>173.30666666666664</v>
      </c>
      <c r="E664" s="254">
        <v>233642</v>
      </c>
      <c r="F664" s="295">
        <f>'Bank Int.'!$E664*7.5%/360</f>
        <v>48.675416666666663</v>
      </c>
      <c r="G664" s="305">
        <v>782319.32</v>
      </c>
      <c r="H664" s="303">
        <f>'Bank Int.'!$G664*4.5%/360</f>
        <v>97.789914999999993</v>
      </c>
      <c r="I664" s="306">
        <v>41417.120000000003</v>
      </c>
      <c r="J664" s="307">
        <f>'Bank Int.'!$I664*6.5%/360</f>
        <v>7.4780911111111124</v>
      </c>
      <c r="K664" s="338">
        <v>29715</v>
      </c>
      <c r="L664" s="307">
        <f>'Bank Int.'!$K664*6.5%/360</f>
        <v>5.3652083333333334</v>
      </c>
    </row>
    <row r="665" spans="1:12" ht="22.9" customHeight="1" x14ac:dyDescent="0.25">
      <c r="A665" s="257"/>
      <c r="B665" s="253">
        <f t="shared" si="85"/>
        <v>45453</v>
      </c>
      <c r="C665" s="298">
        <v>1327848.3500000001</v>
      </c>
      <c r="D665" s="295">
        <f>'Bank Int.'!$C665*7.5%/360</f>
        <v>276.63507291666667</v>
      </c>
      <c r="E665" s="254">
        <v>3105180.53</v>
      </c>
      <c r="F665" s="295">
        <f>'Bank Int.'!$E665*7.5%/360</f>
        <v>646.91261041666655</v>
      </c>
      <c r="G665" s="305">
        <v>226819.32</v>
      </c>
      <c r="H665" s="303">
        <f>'Bank Int.'!$G665*4.5%/360</f>
        <v>28.352415000000001</v>
      </c>
      <c r="I665" s="306">
        <v>41417.120000000003</v>
      </c>
      <c r="J665" s="307">
        <f>'Bank Int.'!$I665*6.5%/360</f>
        <v>7.4780911111111124</v>
      </c>
      <c r="K665" s="338">
        <v>29715</v>
      </c>
      <c r="L665" s="307">
        <f>'Bank Int.'!$K665*6.5%/360</f>
        <v>5.3652083333333334</v>
      </c>
    </row>
    <row r="666" spans="1:12" ht="22.9" customHeight="1" x14ac:dyDescent="0.25">
      <c r="A666" s="257"/>
      <c r="B666" s="253">
        <f t="shared" si="85"/>
        <v>45452</v>
      </c>
      <c r="C666" s="298">
        <v>11392741.27</v>
      </c>
      <c r="D666" s="295">
        <f>'Bank Int.'!$C666*7.5%/360</f>
        <v>2373.487764583333</v>
      </c>
      <c r="E666" s="254">
        <v>23238684.260000002</v>
      </c>
      <c r="F666" s="295">
        <f>'Bank Int.'!$E666*7.5%/360</f>
        <v>4841.3925541666667</v>
      </c>
      <c r="G666" s="305">
        <v>226819.32</v>
      </c>
      <c r="H666" s="303">
        <f>'Bank Int.'!$G666*4.5%/360</f>
        <v>28.352415000000001</v>
      </c>
      <c r="I666" s="306">
        <v>41417.120000000003</v>
      </c>
      <c r="J666" s="307">
        <f>'Bank Int.'!$I666*6.5%/360</f>
        <v>7.4780911111111124</v>
      </c>
      <c r="K666" s="338">
        <v>29715</v>
      </c>
      <c r="L666" s="307">
        <f>'Bank Int.'!$K666*6.5%/360</f>
        <v>5.3652083333333334</v>
      </c>
    </row>
    <row r="667" spans="1:12" ht="22.9" customHeight="1" x14ac:dyDescent="0.25">
      <c r="A667" s="257"/>
      <c r="B667" s="253">
        <v>45451</v>
      </c>
      <c r="C667" s="298">
        <v>4360308.01</v>
      </c>
      <c r="D667" s="295">
        <f>'Bank Int.'!$C667*7.5%/360</f>
        <v>908.39750208333328</v>
      </c>
      <c r="E667" s="254">
        <v>23238684.260000002</v>
      </c>
      <c r="F667" s="295">
        <f>'Bank Int.'!$E667*7.5%/360</f>
        <v>4841.3925541666667</v>
      </c>
      <c r="G667" s="305">
        <v>226819.32</v>
      </c>
      <c r="H667" s="303">
        <f>'Bank Int.'!$G667*4.5%/360</f>
        <v>28.352415000000001</v>
      </c>
      <c r="I667" s="306">
        <v>41417.120000000003</v>
      </c>
      <c r="J667" s="307">
        <f>'Bank Int.'!$I667*6.5%/360</f>
        <v>7.4780911111111124</v>
      </c>
      <c r="K667" s="338">
        <v>29715</v>
      </c>
      <c r="L667" s="307">
        <f>'Bank Int.'!$K667*6.5%/360</f>
        <v>5.3652083333333334</v>
      </c>
    </row>
    <row r="668" spans="1:12" ht="22.9" customHeight="1" x14ac:dyDescent="0.25">
      <c r="A668" s="257"/>
      <c r="B668" s="253">
        <f>B667-1</f>
        <v>45450</v>
      </c>
      <c r="C668" s="298">
        <v>4360308.01</v>
      </c>
      <c r="D668" s="295">
        <f>'Bank Int.'!$C668*7.5%/360</f>
        <v>908.39750208333328</v>
      </c>
      <c r="E668" s="254">
        <v>23238684.260000002</v>
      </c>
      <c r="F668" s="295">
        <f>'Bank Int.'!$E668*7.5%/360</f>
        <v>4841.3925541666667</v>
      </c>
      <c r="G668" s="305">
        <v>226819.32</v>
      </c>
      <c r="H668" s="303">
        <f>'Bank Int.'!$G668*4.5%/360</f>
        <v>28.352415000000001</v>
      </c>
      <c r="I668" s="306">
        <v>41417.120000000003</v>
      </c>
      <c r="J668" s="307">
        <f>'Bank Int.'!$I668*6.5%/360</f>
        <v>7.4780911111111124</v>
      </c>
      <c r="K668" s="338">
        <v>29715</v>
      </c>
      <c r="L668" s="307">
        <f>'Bank Int.'!$K668*6.5%/360</f>
        <v>5.3652083333333334</v>
      </c>
    </row>
    <row r="669" spans="1:12" ht="22.9" customHeight="1" x14ac:dyDescent="0.25">
      <c r="A669" s="257"/>
      <c r="B669" s="253">
        <f t="shared" ref="B669:B673" si="86">B668-1</f>
        <v>45449</v>
      </c>
      <c r="C669" s="298">
        <v>4360308.01</v>
      </c>
      <c r="D669" s="295">
        <f>'Bank Int.'!$C669*7.5%/360</f>
        <v>908.39750208333328</v>
      </c>
      <c r="E669" s="254">
        <v>23238684.260000002</v>
      </c>
      <c r="F669" s="295">
        <f>'Bank Int.'!$E669*7.5%/360</f>
        <v>4841.3925541666667</v>
      </c>
      <c r="G669" s="305">
        <v>226819.32</v>
      </c>
      <c r="H669" s="303">
        <f>'Bank Int.'!$G669*4.5%/360</f>
        <v>28.352415000000001</v>
      </c>
      <c r="I669" s="306">
        <v>41417.120000000003</v>
      </c>
      <c r="J669" s="307">
        <f>'Bank Int.'!$I669*6.5%/360</f>
        <v>7.4780911111111124</v>
      </c>
      <c r="K669" s="338">
        <v>29715</v>
      </c>
      <c r="L669" s="307">
        <f>'Bank Int.'!$K669*6.5%/360</f>
        <v>5.3652083333333334</v>
      </c>
    </row>
    <row r="670" spans="1:12" ht="22.9" customHeight="1" x14ac:dyDescent="0.25">
      <c r="A670" s="257"/>
      <c r="B670" s="253">
        <f t="shared" si="86"/>
        <v>45448</v>
      </c>
      <c r="C670" s="298">
        <v>11069825.949999999</v>
      </c>
      <c r="D670" s="295">
        <f>'Bank Int.'!$C670*7.5%/360</f>
        <v>2306.2137395833333</v>
      </c>
      <c r="E670" s="254">
        <v>23238684.260000002</v>
      </c>
      <c r="F670" s="295">
        <f>'Bank Int.'!$E670*7.5%/360</f>
        <v>4841.3925541666667</v>
      </c>
      <c r="G670" s="305">
        <v>206819.32</v>
      </c>
      <c r="H670" s="303">
        <f>'Bank Int.'!$G670*4.5%/360</f>
        <v>25.852415000000001</v>
      </c>
      <c r="I670" s="306">
        <v>41417.120000000003</v>
      </c>
      <c r="J670" s="307">
        <f>'Bank Int.'!$I670*6.5%/360</f>
        <v>7.4780911111111124</v>
      </c>
      <c r="K670" s="338">
        <v>29715</v>
      </c>
      <c r="L670" s="307">
        <f>'Bank Int.'!$K670*6.5%/360</f>
        <v>5.3652083333333334</v>
      </c>
    </row>
    <row r="671" spans="1:12" ht="22.9" customHeight="1" x14ac:dyDescent="0.25">
      <c r="A671" s="257"/>
      <c r="B671" s="253">
        <f t="shared" si="86"/>
        <v>45447</v>
      </c>
      <c r="C671" s="298">
        <v>10501343.949999999</v>
      </c>
      <c r="D671" s="295">
        <f>'Bank Int.'!$C671*7.5%/360</f>
        <v>2187.7799895833332</v>
      </c>
      <c r="E671" s="254">
        <v>33238784.260000002</v>
      </c>
      <c r="F671" s="295">
        <f>'Bank Int.'!$E671*7.5%/360</f>
        <v>6924.7467208333337</v>
      </c>
      <c r="G671" s="305">
        <v>3819.32</v>
      </c>
      <c r="H671" s="303">
        <f>'Bank Int.'!$G671*4.5%/360</f>
        <v>0.47741500000000003</v>
      </c>
      <c r="I671" s="306">
        <v>41417.120000000003</v>
      </c>
      <c r="J671" s="307">
        <f>'Bank Int.'!$I671*6.5%/360</f>
        <v>7.4780911111111124</v>
      </c>
      <c r="K671" s="338">
        <v>29715</v>
      </c>
      <c r="L671" s="307">
        <f>'Bank Int.'!$K671*6.5%/360</f>
        <v>5.3652083333333334</v>
      </c>
    </row>
    <row r="672" spans="1:12" ht="22.9" customHeight="1" x14ac:dyDescent="0.25">
      <c r="A672" s="257"/>
      <c r="B672" s="253">
        <f t="shared" si="86"/>
        <v>45446</v>
      </c>
      <c r="C672" s="298">
        <v>501403.95</v>
      </c>
      <c r="D672" s="295">
        <f>'Bank Int.'!$C672*7.5%/360</f>
        <v>104.45915624999999</v>
      </c>
      <c r="E672" s="254">
        <v>3238784.26</v>
      </c>
      <c r="F672" s="295">
        <f>'Bank Int.'!$E672*7.5%/360</f>
        <v>674.74672083333326</v>
      </c>
      <c r="G672" s="305">
        <v>3819.32</v>
      </c>
      <c r="H672" s="303">
        <f>'Bank Int.'!$G672*4.5%/360</f>
        <v>0.47741500000000003</v>
      </c>
      <c r="I672" s="306">
        <v>41417.120000000003</v>
      </c>
      <c r="J672" s="307">
        <f>'Bank Int.'!$I672*6.5%/360</f>
        <v>7.4780911111111124</v>
      </c>
      <c r="K672" s="338">
        <v>29715</v>
      </c>
      <c r="L672" s="307">
        <f>'Bank Int.'!$K672*6.5%/360</f>
        <v>5.3652083333333334</v>
      </c>
    </row>
    <row r="673" spans="1:12" ht="22.9" customHeight="1" x14ac:dyDescent="0.25">
      <c r="A673" s="257"/>
      <c r="B673" s="253">
        <f t="shared" si="86"/>
        <v>45445</v>
      </c>
      <c r="C673" s="298">
        <v>2794913.95</v>
      </c>
      <c r="D673" s="295">
        <f>'Bank Int.'!$C673*7.5%/360</f>
        <v>582.27373958333339</v>
      </c>
      <c r="E673" s="254">
        <v>2787234.26</v>
      </c>
      <c r="F673" s="295">
        <f>'Bank Int.'!$E673*7.5%/360</f>
        <v>580.67380416666663</v>
      </c>
      <c r="G673" s="305">
        <v>3819.32</v>
      </c>
      <c r="H673" s="303">
        <f>'Bank Int.'!$G673*4.5%/360</f>
        <v>0.47741500000000003</v>
      </c>
      <c r="I673" s="306">
        <v>41417.120000000003</v>
      </c>
      <c r="J673" s="307">
        <f>'Bank Int.'!$I673*6.5%/360</f>
        <v>7.4780911111111124</v>
      </c>
      <c r="K673" s="338">
        <v>29715</v>
      </c>
      <c r="L673" s="307">
        <f>'Bank Int.'!$K673*6.5%/360</f>
        <v>5.3652083333333334</v>
      </c>
    </row>
    <row r="674" spans="1:12" ht="22.9" customHeight="1" x14ac:dyDescent="0.25">
      <c r="A674" s="257"/>
      <c r="B674" s="253">
        <v>45444</v>
      </c>
      <c r="C674" s="298">
        <v>4932033.95</v>
      </c>
      <c r="D674" s="295">
        <f>'Bank Int.'!$C674*7.5%/360</f>
        <v>1027.5070729166666</v>
      </c>
      <c r="E674" s="254">
        <v>3357334.26</v>
      </c>
      <c r="F674" s="295">
        <f>'Bank Int.'!$E674*7.5%/360</f>
        <v>699.4446375</v>
      </c>
      <c r="G674" s="305">
        <v>3819.32</v>
      </c>
      <c r="H674" s="303">
        <f>'Bank Int.'!$G674*4.5%/360</f>
        <v>0.47741500000000003</v>
      </c>
      <c r="I674" s="306">
        <v>41417.120000000003</v>
      </c>
      <c r="J674" s="307">
        <f>'Bank Int.'!$I674*6.5%/360</f>
        <v>7.4780911111111124</v>
      </c>
      <c r="K674" s="338">
        <v>29715</v>
      </c>
      <c r="L674" s="307">
        <f>'Bank Int.'!$K674*6.5%/360</f>
        <v>5.3652083333333334</v>
      </c>
    </row>
    <row r="675" spans="1:12" ht="22.9" customHeight="1" x14ac:dyDescent="0.25">
      <c r="A675" s="257"/>
      <c r="B675" s="253">
        <f>B674-1</f>
        <v>45443</v>
      </c>
      <c r="C675" s="298">
        <v>4932033.95</v>
      </c>
      <c r="D675" s="295">
        <f>'Bank Int.'!$C675*7.5%/360</f>
        <v>1027.5070729166666</v>
      </c>
      <c r="E675" s="254">
        <v>3357334.26</v>
      </c>
      <c r="F675" s="295">
        <f>'Bank Int.'!$E675*7.5%/360</f>
        <v>699.4446375</v>
      </c>
      <c r="G675" s="305">
        <v>3819.32</v>
      </c>
      <c r="H675" s="303">
        <f>'Bank Int.'!$G675*4.5%/360</f>
        <v>0.47741500000000003</v>
      </c>
      <c r="I675" s="306">
        <v>41417.120000000003</v>
      </c>
      <c r="J675" s="307">
        <f>'Bank Int.'!$I675*6.5%/360</f>
        <v>7.4780911111111124</v>
      </c>
      <c r="K675" s="338">
        <v>29715</v>
      </c>
      <c r="L675" s="307">
        <f>'Bank Int.'!$K675*6.5%/360</f>
        <v>5.3652083333333334</v>
      </c>
    </row>
    <row r="676" spans="1:12" ht="22.9" customHeight="1" x14ac:dyDescent="0.25">
      <c r="A676" s="257"/>
      <c r="B676" s="253">
        <f t="shared" ref="B676:B680" si="87">B675-1</f>
        <v>45442</v>
      </c>
      <c r="C676" s="298">
        <v>4932033.95</v>
      </c>
      <c r="D676" s="295">
        <f>'Bank Int.'!$C676*7.5%/360</f>
        <v>1027.5070729166666</v>
      </c>
      <c r="E676" s="254">
        <v>3357334.26</v>
      </c>
      <c r="F676" s="295">
        <f>'Bank Int.'!$E676*7.5%/360</f>
        <v>699.4446375</v>
      </c>
      <c r="G676" s="305">
        <v>3819.32</v>
      </c>
      <c r="H676" s="303">
        <f>'Bank Int.'!$G676*4.5%/360</f>
        <v>0.47741500000000003</v>
      </c>
      <c r="I676" s="306">
        <v>41417.120000000003</v>
      </c>
      <c r="J676" s="307">
        <f>'Bank Int.'!$I676*6.5%/360</f>
        <v>7.4780911111111124</v>
      </c>
      <c r="K676" s="338">
        <v>29715</v>
      </c>
      <c r="L676" s="307">
        <f>'Bank Int.'!$K676*6.5%/360</f>
        <v>5.3652083333333334</v>
      </c>
    </row>
    <row r="677" spans="1:12" ht="22.9" customHeight="1" x14ac:dyDescent="0.25">
      <c r="A677" s="257"/>
      <c r="B677" s="253">
        <f t="shared" si="87"/>
        <v>45441</v>
      </c>
      <c r="C677" s="298">
        <v>1957337.63</v>
      </c>
      <c r="D677" s="295">
        <f>'Bank Int.'!$C677*7.5%/360</f>
        <v>407.77867291666666</v>
      </c>
      <c r="E677" s="254">
        <v>1502170.14</v>
      </c>
      <c r="F677" s="295">
        <f>'Bank Int.'!$E677*7.5%/360</f>
        <v>312.9521125</v>
      </c>
      <c r="G677" s="305">
        <v>503819.32</v>
      </c>
      <c r="H677" s="303">
        <f>'Bank Int.'!$G677*4.5%/360</f>
        <v>62.977415000000001</v>
      </c>
      <c r="I677" s="306">
        <v>41417.120000000003</v>
      </c>
      <c r="J677" s="307">
        <f>'Bank Int.'!$I677*6.5%/360</f>
        <v>7.4780911111111124</v>
      </c>
      <c r="K677" s="338">
        <v>29715</v>
      </c>
      <c r="L677" s="307">
        <f>'Bank Int.'!$K677*6.5%/360</f>
        <v>5.3652083333333334</v>
      </c>
    </row>
    <row r="678" spans="1:12" ht="22.9" customHeight="1" x14ac:dyDescent="0.25">
      <c r="A678" s="257"/>
      <c r="B678" s="253">
        <f t="shared" si="87"/>
        <v>45440</v>
      </c>
      <c r="C678" s="298">
        <v>1957337.63</v>
      </c>
      <c r="D678" s="295">
        <f>'Bank Int.'!$C678*7.5%/360</f>
        <v>407.77867291666666</v>
      </c>
      <c r="E678" s="254">
        <v>1502170.14</v>
      </c>
      <c r="F678" s="295">
        <f>'Bank Int.'!$E678*7.5%/360</f>
        <v>312.9521125</v>
      </c>
      <c r="G678" s="305">
        <v>109020</v>
      </c>
      <c r="H678" s="303">
        <f>'Bank Int.'!$G678*4.5%/360</f>
        <v>13.6275</v>
      </c>
      <c r="I678" s="306">
        <v>41417.120000000003</v>
      </c>
      <c r="J678" s="307">
        <f>'Bank Int.'!$I678*6.5%/360</f>
        <v>7.4780911111111124</v>
      </c>
      <c r="K678" s="338">
        <v>29715</v>
      </c>
      <c r="L678" s="307">
        <f>'Bank Int.'!$K678*6.5%/360</f>
        <v>5.3652083333333334</v>
      </c>
    </row>
    <row r="679" spans="1:12" ht="22.9" customHeight="1" x14ac:dyDescent="0.25">
      <c r="A679" s="257"/>
      <c r="B679" s="253">
        <f t="shared" si="87"/>
        <v>45439</v>
      </c>
      <c r="C679" s="298">
        <v>1957337.63</v>
      </c>
      <c r="D679" s="295">
        <f>'Bank Int.'!$C679*7.5%/360</f>
        <v>407.77867291666666</v>
      </c>
      <c r="E679" s="254">
        <v>2170.14</v>
      </c>
      <c r="F679" s="295">
        <f>'Bank Int.'!$E679*7.5%/360</f>
        <v>0.45211249999999992</v>
      </c>
      <c r="G679" s="305">
        <v>1584020</v>
      </c>
      <c r="H679" s="303">
        <f>'Bank Int.'!$G679*4.5%/360</f>
        <v>198.0025</v>
      </c>
      <c r="I679" s="306">
        <v>41417.120000000003</v>
      </c>
      <c r="J679" s="307">
        <f>'Bank Int.'!$I679*6.5%/360</f>
        <v>7.4780911111111124</v>
      </c>
      <c r="K679" s="338">
        <v>29715</v>
      </c>
      <c r="L679" s="307">
        <f>'Bank Int.'!$K679*6.5%/360</f>
        <v>5.3652083333333334</v>
      </c>
    </row>
    <row r="680" spans="1:12" ht="22.9" customHeight="1" x14ac:dyDescent="0.25">
      <c r="A680" s="257"/>
      <c r="B680" s="253">
        <f t="shared" si="87"/>
        <v>45438</v>
      </c>
      <c r="C680" s="298">
        <v>5080413.01</v>
      </c>
      <c r="D680" s="295">
        <f>'Bank Int.'!$C680*7.5%/360</f>
        <v>1058.4193770833333</v>
      </c>
      <c r="E680" s="254">
        <v>9379522.1400000006</v>
      </c>
      <c r="F680" s="295">
        <f>'Bank Int.'!$E680*7.5%/360</f>
        <v>1954.0671124999999</v>
      </c>
      <c r="G680" s="305">
        <v>1584020</v>
      </c>
      <c r="H680" s="303">
        <f>'Bank Int.'!$G680*4.5%/360</f>
        <v>198.0025</v>
      </c>
      <c r="I680" s="306">
        <v>41417.120000000003</v>
      </c>
      <c r="J680" s="307">
        <f>'Bank Int.'!$I680*6.5%/360</f>
        <v>7.4780911111111124</v>
      </c>
      <c r="K680" s="338">
        <v>29715</v>
      </c>
      <c r="L680" s="307">
        <f>'Bank Int.'!$K680*6.5%/360</f>
        <v>5.3652083333333334</v>
      </c>
    </row>
    <row r="681" spans="1:12" ht="22.9" customHeight="1" x14ac:dyDescent="0.25">
      <c r="A681" s="257"/>
      <c r="B681" s="253">
        <v>45437</v>
      </c>
      <c r="C681" s="298">
        <v>8879592.1400000006</v>
      </c>
      <c r="D681" s="295">
        <f>'Bank Int.'!$C681*7.5%/360</f>
        <v>1849.9150291666667</v>
      </c>
      <c r="E681" s="254">
        <v>5080413.01</v>
      </c>
      <c r="F681" s="295">
        <f>'Bank Int.'!$E681*7.5%/360</f>
        <v>1058.4193770833333</v>
      </c>
      <c r="G681" s="305">
        <v>310520</v>
      </c>
      <c r="H681" s="303">
        <f>'Bank Int.'!$G681*4.5%/360</f>
        <v>38.814999999999998</v>
      </c>
      <c r="I681" s="306">
        <v>41417.120000000003</v>
      </c>
      <c r="J681" s="307">
        <f>'Bank Int.'!$I681*6.5%/360</f>
        <v>7.4780911111111124</v>
      </c>
      <c r="K681" s="338">
        <v>29715</v>
      </c>
      <c r="L681" s="307">
        <f>'Bank Int.'!$K681*6.5%/360</f>
        <v>5.3652083333333334</v>
      </c>
    </row>
    <row r="682" spans="1:12" ht="22.9" customHeight="1" x14ac:dyDescent="0.25">
      <c r="A682" s="257"/>
      <c r="B682" s="253">
        <f>B681-1</f>
        <v>45436</v>
      </c>
      <c r="C682" s="298">
        <v>8879592.1400000006</v>
      </c>
      <c r="D682" s="295">
        <f>'Bank Int.'!$C682*7.5%/360</f>
        <v>1849.9150291666667</v>
      </c>
      <c r="E682" s="254">
        <v>5080413.01</v>
      </c>
      <c r="F682" s="295">
        <f>'Bank Int.'!$E682*7.5%/360</f>
        <v>1058.4193770833333</v>
      </c>
      <c r="G682" s="305">
        <v>310520</v>
      </c>
      <c r="H682" s="303">
        <f>'Bank Int.'!$G682*4.5%/360</f>
        <v>38.814999999999998</v>
      </c>
      <c r="I682" s="306">
        <v>41417.120000000003</v>
      </c>
      <c r="J682" s="307">
        <f>'Bank Int.'!$I682*6.5%/360</f>
        <v>7.4780911111111124</v>
      </c>
      <c r="K682" s="338">
        <v>29715</v>
      </c>
      <c r="L682" s="307">
        <f>'Bank Int.'!$K682*6.5%/360</f>
        <v>5.3652083333333334</v>
      </c>
    </row>
    <row r="683" spans="1:12" ht="22.9" customHeight="1" x14ac:dyDescent="0.25">
      <c r="A683" s="257"/>
      <c r="B683" s="253">
        <f t="shared" ref="B683:B687" si="88">B682-1</f>
        <v>45435</v>
      </c>
      <c r="C683" s="298">
        <v>8879592.1400000006</v>
      </c>
      <c r="D683" s="295">
        <f>'Bank Int.'!$C683*7.5%/360</f>
        <v>1849.9150291666667</v>
      </c>
      <c r="E683" s="254">
        <v>5080413.01</v>
      </c>
      <c r="F683" s="295">
        <f>'Bank Int.'!$E683*7.5%/360</f>
        <v>1058.4193770833333</v>
      </c>
      <c r="G683" s="305">
        <v>310520</v>
      </c>
      <c r="H683" s="303">
        <f>'Bank Int.'!$G683*4.5%/360</f>
        <v>38.814999999999998</v>
      </c>
      <c r="I683" s="306">
        <v>41417.120000000003</v>
      </c>
      <c r="J683" s="307">
        <f>'Bank Int.'!$I683*6.5%/360</f>
        <v>7.4780911111111124</v>
      </c>
      <c r="K683" s="338">
        <v>29715</v>
      </c>
      <c r="L683" s="307">
        <f>'Bank Int.'!$K683*6.5%/360</f>
        <v>5.3652083333333334</v>
      </c>
    </row>
    <row r="684" spans="1:12" ht="22.9" customHeight="1" x14ac:dyDescent="0.25">
      <c r="A684" s="257"/>
      <c r="B684" s="253">
        <f t="shared" si="88"/>
        <v>45434</v>
      </c>
      <c r="C684" s="298">
        <v>5559652.1399999997</v>
      </c>
      <c r="D684" s="295">
        <f>'Bank Int.'!$C684*7.5%/360</f>
        <v>1158.2608624999998</v>
      </c>
      <c r="E684" s="254">
        <v>5080413.01</v>
      </c>
      <c r="F684" s="295">
        <f>'Bank Int.'!$E684*7.5%/360</f>
        <v>1058.4193770833333</v>
      </c>
      <c r="G684" s="305">
        <v>310520</v>
      </c>
      <c r="H684" s="303">
        <f>'Bank Int.'!$G684*4.5%/360</f>
        <v>38.814999999999998</v>
      </c>
      <c r="I684" s="306">
        <v>41417.120000000003</v>
      </c>
      <c r="J684" s="307">
        <f>'Bank Int.'!$I684*6.5%/360</f>
        <v>7.4780911111111124</v>
      </c>
      <c r="K684" s="338">
        <v>29715</v>
      </c>
      <c r="L684" s="307">
        <f>'Bank Int.'!$K684*6.5%/360</f>
        <v>5.3652083333333334</v>
      </c>
    </row>
    <row r="685" spans="1:12" ht="22.9" customHeight="1" x14ac:dyDescent="0.25">
      <c r="A685" s="257"/>
      <c r="B685" s="253">
        <f t="shared" si="88"/>
        <v>45433</v>
      </c>
      <c r="C685" s="298">
        <v>5559652.1399999997</v>
      </c>
      <c r="D685" s="295">
        <f>'Bank Int.'!$C685*7.5%/360</f>
        <v>1158.2608624999998</v>
      </c>
      <c r="E685" s="254">
        <v>5080413.01</v>
      </c>
      <c r="F685" s="295">
        <f>'Bank Int.'!$E685*7.5%/360</f>
        <v>1058.4193770833333</v>
      </c>
      <c r="G685" s="305">
        <v>310520</v>
      </c>
      <c r="H685" s="303">
        <f>'Bank Int.'!$G685*4.5%/360</f>
        <v>38.814999999999998</v>
      </c>
      <c r="I685" s="306">
        <v>41417.120000000003</v>
      </c>
      <c r="J685" s="307">
        <f>'Bank Int.'!$I685*6.5%/360</f>
        <v>7.4780911111111124</v>
      </c>
      <c r="K685" s="338">
        <v>29715</v>
      </c>
      <c r="L685" s="307">
        <f>'Bank Int.'!$K685*6.5%/360</f>
        <v>5.3652083333333334</v>
      </c>
    </row>
    <row r="686" spans="1:12" ht="22.9" customHeight="1" x14ac:dyDescent="0.25">
      <c r="A686" s="257"/>
      <c r="B686" s="253">
        <f t="shared" si="88"/>
        <v>45432</v>
      </c>
      <c r="C686" s="298">
        <v>9712.14</v>
      </c>
      <c r="D686" s="295">
        <f>'Bank Int.'!$C686*7.5%/360</f>
        <v>2.0233624999999997</v>
      </c>
      <c r="E686" s="254">
        <v>5080413.01</v>
      </c>
      <c r="F686" s="295">
        <f>'Bank Int.'!$E686*7.5%/360</f>
        <v>1058.4193770833333</v>
      </c>
      <c r="G686" s="305">
        <v>310520</v>
      </c>
      <c r="H686" s="303">
        <f>'Bank Int.'!$G686*4.5%/360</f>
        <v>38.814999999999998</v>
      </c>
      <c r="I686" s="306">
        <v>41417.120000000003</v>
      </c>
      <c r="J686" s="307">
        <f>'Bank Int.'!$I686*6.5%/360</f>
        <v>7.4780911111111124</v>
      </c>
      <c r="K686" s="338">
        <v>29715</v>
      </c>
      <c r="L686" s="307">
        <f>'Bank Int.'!$K686*6.5%/360</f>
        <v>5.3652083333333334</v>
      </c>
    </row>
    <row r="687" spans="1:12" ht="22.9" customHeight="1" x14ac:dyDescent="0.25">
      <c r="A687" s="257"/>
      <c r="B687" s="253">
        <f t="shared" si="88"/>
        <v>45431</v>
      </c>
      <c r="C687" s="298">
        <v>10849712.140000001</v>
      </c>
      <c r="D687" s="295">
        <f>'Bank Int.'!$C687*7.5%/360</f>
        <v>2260.3566958333331</v>
      </c>
      <c r="E687" s="254">
        <v>21863710.010000002</v>
      </c>
      <c r="F687" s="295">
        <f>'Bank Int.'!$E687*7.5%/360</f>
        <v>4554.9395854166669</v>
      </c>
      <c r="G687" s="305">
        <v>310520</v>
      </c>
      <c r="H687" s="303">
        <f>'Bank Int.'!$G687*4.5%/360</f>
        <v>38.814999999999998</v>
      </c>
      <c r="I687" s="306">
        <v>41417.120000000003</v>
      </c>
      <c r="J687" s="307">
        <f>'Bank Int.'!$I687*6.5%/360</f>
        <v>7.4780911111111124</v>
      </c>
      <c r="K687" s="338">
        <v>29715</v>
      </c>
      <c r="L687" s="307">
        <f>'Bank Int.'!$K687*6.5%/360</f>
        <v>5.3652083333333334</v>
      </c>
    </row>
    <row r="688" spans="1:12" ht="22.9" customHeight="1" x14ac:dyDescent="0.25">
      <c r="A688" s="257"/>
      <c r="B688" s="253">
        <v>45430</v>
      </c>
      <c r="C688" s="298">
        <v>3991464.6</v>
      </c>
      <c r="D688" s="295">
        <f>'Bank Int.'!$C688*7.5%/360</f>
        <v>831.55512499999998</v>
      </c>
      <c r="E688" s="254">
        <v>71863855.010000005</v>
      </c>
      <c r="F688" s="295">
        <f>'Bank Int.'!$E688*7.5%/360</f>
        <v>14971.636460416668</v>
      </c>
      <c r="G688" s="305">
        <v>310520</v>
      </c>
      <c r="H688" s="303">
        <f>'Bank Int.'!$G688*4.5%/360</f>
        <v>38.814999999999998</v>
      </c>
      <c r="I688" s="306">
        <v>41417.120000000003</v>
      </c>
      <c r="J688" s="307">
        <f>'Bank Int.'!$I688*6.5%/360</f>
        <v>7.4780911111111124</v>
      </c>
      <c r="K688" s="338">
        <v>29715</v>
      </c>
      <c r="L688" s="307">
        <f>'Bank Int.'!$K688*6.5%/360</f>
        <v>5.3652083333333334</v>
      </c>
    </row>
    <row r="689" spans="1:12" ht="22.9" customHeight="1" x14ac:dyDescent="0.25">
      <c r="A689" s="257"/>
      <c r="B689" s="253">
        <f>B688-1</f>
        <v>45429</v>
      </c>
      <c r="C689" s="298">
        <v>3991464.6</v>
      </c>
      <c r="D689" s="295">
        <f>'Bank Int.'!$C689*7.5%/360</f>
        <v>831.55512499999998</v>
      </c>
      <c r="E689" s="254">
        <v>71863855.010000005</v>
      </c>
      <c r="F689" s="295">
        <f>'Bank Int.'!$E689*7.5%/360</f>
        <v>14971.636460416668</v>
      </c>
      <c r="G689" s="305">
        <v>310520</v>
      </c>
      <c r="H689" s="303">
        <f>'Bank Int.'!$G689*4.5%/360</f>
        <v>38.814999999999998</v>
      </c>
      <c r="I689" s="306">
        <v>41417.120000000003</v>
      </c>
      <c r="J689" s="307">
        <f>'Bank Int.'!$I689*6.5%/360</f>
        <v>7.4780911111111124</v>
      </c>
      <c r="K689" s="338">
        <v>29715</v>
      </c>
      <c r="L689" s="307">
        <f>'Bank Int.'!$K689*6.5%/360</f>
        <v>5.3652083333333334</v>
      </c>
    </row>
    <row r="690" spans="1:12" ht="22.9" customHeight="1" x14ac:dyDescent="0.25">
      <c r="A690" s="257"/>
      <c r="B690" s="253">
        <f t="shared" ref="B690:B694" si="89">B689-1</f>
        <v>45428</v>
      </c>
      <c r="C690" s="298">
        <v>3991464.6</v>
      </c>
      <c r="D690" s="295">
        <f>'Bank Int.'!$C690*7.5%/360</f>
        <v>831.55512499999998</v>
      </c>
      <c r="E690" s="254">
        <v>71863855.010000005</v>
      </c>
      <c r="F690" s="295">
        <f>'Bank Int.'!$E690*7.5%/360</f>
        <v>14971.636460416668</v>
      </c>
      <c r="G690" s="305">
        <v>310520</v>
      </c>
      <c r="H690" s="303">
        <f>'Bank Int.'!$G690*4.5%/360</f>
        <v>38.814999999999998</v>
      </c>
      <c r="I690" s="306">
        <v>41417.120000000003</v>
      </c>
      <c r="J690" s="307">
        <f>'Bank Int.'!$I690*6.5%/360</f>
        <v>7.4780911111111124</v>
      </c>
      <c r="K690" s="338">
        <v>29715</v>
      </c>
      <c r="L690" s="307">
        <f>'Bank Int.'!$K690*6.5%/360</f>
        <v>5.3652083333333334</v>
      </c>
    </row>
    <row r="691" spans="1:12" ht="22.9" customHeight="1" x14ac:dyDescent="0.25">
      <c r="A691" s="257"/>
      <c r="B691" s="253">
        <f t="shared" si="89"/>
        <v>45427</v>
      </c>
      <c r="C691" s="298">
        <v>3991464.6</v>
      </c>
      <c r="D691" s="295">
        <f>'Bank Int.'!$C691*7.5%/360</f>
        <v>831.55512499999998</v>
      </c>
      <c r="E691" s="254">
        <v>22260223.510000002</v>
      </c>
      <c r="F691" s="295">
        <f>'Bank Int.'!$E691*7.5%/360</f>
        <v>4637.5465645833337</v>
      </c>
      <c r="G691" s="305">
        <v>310520</v>
      </c>
      <c r="H691" s="303">
        <f>'Bank Int.'!$G691*4.5%/360</f>
        <v>38.814999999999998</v>
      </c>
      <c r="I691" s="306">
        <v>41417.120000000003</v>
      </c>
      <c r="J691" s="307">
        <f>'Bank Int.'!$I691*6.5%/360</f>
        <v>7.4780911111111124</v>
      </c>
      <c r="K691" s="338">
        <v>29715</v>
      </c>
      <c r="L691" s="307">
        <f>'Bank Int.'!$K691*6.5%/360</f>
        <v>5.3652083333333334</v>
      </c>
    </row>
    <row r="692" spans="1:12" ht="22.9" customHeight="1" x14ac:dyDescent="0.25">
      <c r="A692" s="257"/>
      <c r="B692" s="253">
        <f t="shared" si="89"/>
        <v>45426</v>
      </c>
      <c r="C692" s="298">
        <v>991599.4</v>
      </c>
      <c r="D692" s="295">
        <f>'Bank Int.'!$C692*7.5%/360</f>
        <v>206.58320833333335</v>
      </c>
      <c r="E692" s="254">
        <v>14759415.380000001</v>
      </c>
      <c r="F692" s="295">
        <f>'Bank Int.'!$E692*7.5%/360</f>
        <v>3074.8782041666668</v>
      </c>
      <c r="G692" s="305">
        <v>212786</v>
      </c>
      <c r="H692" s="303">
        <f>'Bank Int.'!$G692*4.5%/360</f>
        <v>26.598249999999997</v>
      </c>
      <c r="I692" s="306">
        <v>41417.120000000003</v>
      </c>
      <c r="J692" s="307">
        <f>'Bank Int.'!$I692*6.5%/360</f>
        <v>7.4780911111111124</v>
      </c>
      <c r="K692" s="338">
        <v>29715</v>
      </c>
      <c r="L692" s="307">
        <f>'Bank Int.'!$K692*6.5%/360</f>
        <v>5.3652083333333334</v>
      </c>
    </row>
    <row r="693" spans="1:12" ht="22.9" customHeight="1" x14ac:dyDescent="0.25">
      <c r="A693" s="257"/>
      <c r="B693" s="253">
        <f t="shared" si="89"/>
        <v>45425</v>
      </c>
      <c r="C693" s="298">
        <v>991599.4</v>
      </c>
      <c r="D693" s="295">
        <f>'Bank Int.'!$C693*7.5%/360</f>
        <v>206.58320833333335</v>
      </c>
      <c r="E693" s="254">
        <v>14759415.380000001</v>
      </c>
      <c r="F693" s="295">
        <f>'Bank Int.'!$E693*7.5%/360</f>
        <v>3074.8782041666668</v>
      </c>
      <c r="G693" s="305">
        <v>212786</v>
      </c>
      <c r="H693" s="303">
        <f>'Bank Int.'!$G693*4.5%/360</f>
        <v>26.598249999999997</v>
      </c>
      <c r="I693" s="306">
        <v>41417.120000000003</v>
      </c>
      <c r="J693" s="307">
        <f>'Bank Int.'!$I693*6.5%/360</f>
        <v>7.4780911111111124</v>
      </c>
      <c r="K693" s="338">
        <v>29715</v>
      </c>
      <c r="L693" s="307">
        <f>'Bank Int.'!$K693*6.5%/360</f>
        <v>5.3652083333333334</v>
      </c>
    </row>
    <row r="694" spans="1:12" ht="22.9" customHeight="1" x14ac:dyDescent="0.25">
      <c r="A694" s="257"/>
      <c r="B694" s="253">
        <f t="shared" si="89"/>
        <v>45424</v>
      </c>
      <c r="C694" s="298">
        <v>2095199.4</v>
      </c>
      <c r="D694" s="295">
        <f>'Bank Int.'!$C694*7.5%/360</f>
        <v>436.49987499999997</v>
      </c>
      <c r="E694" s="254">
        <v>1655092.37</v>
      </c>
      <c r="F694" s="295">
        <f>'Bank Int.'!$E694*7.5%/360</f>
        <v>344.81091041666667</v>
      </c>
      <c r="G694" s="305">
        <v>212786</v>
      </c>
      <c r="H694" s="303">
        <f>'Bank Int.'!$G694*4.5%/360</f>
        <v>26.598249999999997</v>
      </c>
      <c r="I694" s="306">
        <v>41417.120000000003</v>
      </c>
      <c r="J694" s="307">
        <f>'Bank Int.'!$I694*6.5%/360</f>
        <v>7.4780911111111124</v>
      </c>
      <c r="K694" s="338">
        <v>29715</v>
      </c>
      <c r="L694" s="307">
        <f>'Bank Int.'!$K694*6.5%/360</f>
        <v>5.3652083333333334</v>
      </c>
    </row>
    <row r="695" spans="1:12" ht="22.9" customHeight="1" x14ac:dyDescent="0.25">
      <c r="A695" s="257"/>
      <c r="B695" s="253">
        <v>45423</v>
      </c>
      <c r="C695" s="298">
        <v>2095199.4</v>
      </c>
      <c r="D695" s="295">
        <f>'Bank Int.'!$C695*7.5%/360</f>
        <v>436.49987499999997</v>
      </c>
      <c r="E695" s="254">
        <v>1655092.37</v>
      </c>
      <c r="F695" s="295">
        <f>'Bank Int.'!$E695*7.5%/360</f>
        <v>344.81091041666667</v>
      </c>
      <c r="G695" s="305">
        <v>212786</v>
      </c>
      <c r="H695" s="303">
        <f>'Bank Int.'!$G695*4.5%/360</f>
        <v>26.598249999999997</v>
      </c>
      <c r="I695" s="306">
        <v>41417.120000000003</v>
      </c>
      <c r="J695" s="307">
        <f>'Bank Int.'!$I695*6.5%/360</f>
        <v>7.4780911111111124</v>
      </c>
      <c r="K695" s="338">
        <v>29715</v>
      </c>
      <c r="L695" s="307">
        <f>'Bank Int.'!$K695*6.5%/360</f>
        <v>5.3652083333333334</v>
      </c>
    </row>
    <row r="696" spans="1:12" ht="22.9" customHeight="1" x14ac:dyDescent="0.25">
      <c r="A696" s="257"/>
      <c r="B696" s="253">
        <f>B695-1</f>
        <v>45422</v>
      </c>
      <c r="C696" s="298">
        <v>2095199.4</v>
      </c>
      <c r="D696" s="295">
        <f>'Bank Int.'!$C696*7.5%/360</f>
        <v>436.49987499999997</v>
      </c>
      <c r="E696" s="254">
        <v>1655092.37</v>
      </c>
      <c r="F696" s="295">
        <f>'Bank Int.'!$E696*7.5%/360</f>
        <v>344.81091041666667</v>
      </c>
      <c r="G696" s="305">
        <v>212786</v>
      </c>
      <c r="H696" s="303">
        <f>'Bank Int.'!$G696*4.5%/360</f>
        <v>26.598249999999997</v>
      </c>
      <c r="I696" s="306">
        <v>41417.120000000003</v>
      </c>
      <c r="J696" s="307">
        <f>'Bank Int.'!$I696*6.5%/360</f>
        <v>7.4780911111111124</v>
      </c>
      <c r="K696" s="338">
        <v>29715</v>
      </c>
      <c r="L696" s="307">
        <f>'Bank Int.'!$K696*6.5%/360</f>
        <v>5.3652083333333334</v>
      </c>
    </row>
    <row r="697" spans="1:12" ht="22.9" customHeight="1" x14ac:dyDescent="0.25">
      <c r="A697" s="257"/>
      <c r="B697" s="253">
        <f t="shared" ref="B697:B701" si="90">B696-1</f>
        <v>45421</v>
      </c>
      <c r="C697" s="298">
        <v>2095199.4</v>
      </c>
      <c r="D697" s="295">
        <f>'Bank Int.'!$C697*7.5%/360</f>
        <v>436.49987499999997</v>
      </c>
      <c r="E697" s="254">
        <v>1655092.37</v>
      </c>
      <c r="F697" s="295">
        <f>'Bank Int.'!$E697*7.5%/360</f>
        <v>344.81091041666667</v>
      </c>
      <c r="G697" s="305">
        <v>212786</v>
      </c>
      <c r="H697" s="303">
        <f>'Bank Int.'!$G697*4.5%/360</f>
        <v>26.598249999999997</v>
      </c>
      <c r="I697" s="306">
        <v>41417.120000000003</v>
      </c>
      <c r="J697" s="307">
        <f>'Bank Int.'!$I697*6.5%/360</f>
        <v>7.4780911111111124</v>
      </c>
      <c r="K697" s="338">
        <v>29715</v>
      </c>
      <c r="L697" s="307">
        <f>'Bank Int.'!$K697*6.5%/360</f>
        <v>5.3652083333333334</v>
      </c>
    </row>
    <row r="698" spans="1:12" ht="22.9" customHeight="1" x14ac:dyDescent="0.25">
      <c r="A698" s="257"/>
      <c r="B698" s="253">
        <f t="shared" si="90"/>
        <v>45420</v>
      </c>
      <c r="C698" s="298">
        <v>2095199.4</v>
      </c>
      <c r="D698" s="295">
        <f>'Bank Int.'!$C698*7.5%/360</f>
        <v>436.49987499999997</v>
      </c>
      <c r="E698" s="254">
        <v>4572556.37</v>
      </c>
      <c r="F698" s="295">
        <f>'Bank Int.'!$E698*7.5%/360</f>
        <v>952.61591041666668</v>
      </c>
      <c r="G698" s="305">
        <v>212786</v>
      </c>
      <c r="H698" s="303">
        <f>'Bank Int.'!$G698*4.5%/360</f>
        <v>26.598249999999997</v>
      </c>
      <c r="I698" s="306">
        <v>41417.120000000003</v>
      </c>
      <c r="J698" s="307">
        <f>'Bank Int.'!$I698*6.5%/360</f>
        <v>7.4780911111111124</v>
      </c>
      <c r="K698" s="338">
        <v>29715</v>
      </c>
      <c r="L698" s="307">
        <f>'Bank Int.'!$K698*6.5%/360</f>
        <v>5.3652083333333334</v>
      </c>
    </row>
    <row r="699" spans="1:12" ht="22.9" customHeight="1" x14ac:dyDescent="0.25">
      <c r="A699" s="257"/>
      <c r="B699" s="253">
        <f t="shared" si="90"/>
        <v>45419</v>
      </c>
      <c r="C699" s="298">
        <v>11995259.4</v>
      </c>
      <c r="D699" s="295">
        <f>'Bank Int.'!$C699*7.5%/360</f>
        <v>2499.0123749999998</v>
      </c>
      <c r="E699" s="254">
        <v>2972656.37</v>
      </c>
      <c r="F699" s="295">
        <f>'Bank Int.'!$E699*7.5%/360</f>
        <v>619.30341041666668</v>
      </c>
      <c r="G699" s="305">
        <v>1726286</v>
      </c>
      <c r="H699" s="303">
        <f>'Bank Int.'!$G699*4.5%/360</f>
        <v>215.78574999999998</v>
      </c>
      <c r="I699" s="306">
        <v>41417.120000000003</v>
      </c>
      <c r="J699" s="307">
        <f>'Bank Int.'!$I699*6.5%/360</f>
        <v>7.4780911111111124</v>
      </c>
      <c r="K699" s="338">
        <v>29715</v>
      </c>
      <c r="L699" s="307">
        <f>'Bank Int.'!$K699*6.5%/360</f>
        <v>5.3652083333333334</v>
      </c>
    </row>
    <row r="700" spans="1:12" ht="22.9" customHeight="1" x14ac:dyDescent="0.25">
      <c r="A700" s="257"/>
      <c r="B700" s="253">
        <f t="shared" si="90"/>
        <v>45418</v>
      </c>
      <c r="C700" s="298">
        <v>7096679.4000000004</v>
      </c>
      <c r="D700" s="295">
        <f>'Bank Int.'!$C700*7.5%/360</f>
        <v>1478.4748749999999</v>
      </c>
      <c r="E700" s="254">
        <v>2972656.37</v>
      </c>
      <c r="F700" s="295">
        <f>'Bank Int.'!$E700*7.5%/360</f>
        <v>619.30341041666668</v>
      </c>
      <c r="G700" s="305">
        <v>1726286</v>
      </c>
      <c r="H700" s="303">
        <f>'Bank Int.'!$G700*4.5%/360</f>
        <v>215.78574999999998</v>
      </c>
      <c r="I700" s="306">
        <v>41417.120000000003</v>
      </c>
      <c r="J700" s="307">
        <f>'Bank Int.'!$I700*6.5%/360</f>
        <v>7.4780911111111124</v>
      </c>
      <c r="K700" s="338">
        <v>29715</v>
      </c>
      <c r="L700" s="307">
        <f>'Bank Int.'!$K700*6.5%/360</f>
        <v>5.3652083333333334</v>
      </c>
    </row>
    <row r="701" spans="1:12" ht="22.9" customHeight="1" x14ac:dyDescent="0.25">
      <c r="A701" s="257"/>
      <c r="B701" s="253">
        <f t="shared" si="90"/>
        <v>45417</v>
      </c>
      <c r="C701" s="298">
        <v>1575739.4</v>
      </c>
      <c r="D701" s="295">
        <f>'Bank Int.'!$C701*7.5%/360</f>
        <v>328.27904166666661</v>
      </c>
      <c r="E701" s="254">
        <v>2972656.37</v>
      </c>
      <c r="F701" s="295">
        <f>'Bank Int.'!$E701*7.5%/360</f>
        <v>619.30341041666668</v>
      </c>
      <c r="G701" s="305">
        <v>2726346</v>
      </c>
      <c r="H701" s="303">
        <f>'Bank Int.'!$G701*4.5%/360</f>
        <v>340.79325</v>
      </c>
      <c r="I701" s="306">
        <v>41417.120000000003</v>
      </c>
      <c r="J701" s="307">
        <f>'Bank Int.'!$I701*6.5%/360</f>
        <v>7.4780911111111124</v>
      </c>
      <c r="K701" s="338">
        <v>29715</v>
      </c>
      <c r="L701" s="307">
        <f>'Bank Int.'!$K701*6.5%/360</f>
        <v>5.3652083333333334</v>
      </c>
    </row>
    <row r="702" spans="1:12" ht="22.9" customHeight="1" x14ac:dyDescent="0.25">
      <c r="A702" s="257"/>
      <c r="B702" s="253">
        <f>B703+1</f>
        <v>45416</v>
      </c>
      <c r="C702" s="298">
        <v>10475799.4</v>
      </c>
      <c r="D702" s="295">
        <f>'Bank Int.'!$C702*7.5%/360</f>
        <v>2182.458208333333</v>
      </c>
      <c r="E702" s="254">
        <v>112275.37</v>
      </c>
      <c r="F702" s="295">
        <f>'Bank Int.'!$E702*7.5%/360</f>
        <v>23.390702083333331</v>
      </c>
      <c r="G702" s="305">
        <v>1526506</v>
      </c>
      <c r="H702" s="303">
        <f>'Bank Int.'!$G702*4.5%/360</f>
        <v>190.81325000000001</v>
      </c>
      <c r="I702" s="306">
        <v>41417.120000000003</v>
      </c>
      <c r="J702" s="307">
        <f>'Bank Int.'!$I702*6.5%/360</f>
        <v>7.4780911111111124</v>
      </c>
      <c r="K702" s="338">
        <v>29715</v>
      </c>
      <c r="L702" s="307">
        <f>'Bank Int.'!$K702*6.5%/360</f>
        <v>5.3652083333333334</v>
      </c>
    </row>
    <row r="703" spans="1:12" ht="22.9" customHeight="1" x14ac:dyDescent="0.25">
      <c r="A703" s="257"/>
      <c r="B703" s="253">
        <f>B704+1</f>
        <v>45415</v>
      </c>
      <c r="C703" s="298">
        <v>10475799.4</v>
      </c>
      <c r="D703" s="295">
        <f>'Bank Int.'!$C703*7.5%/360</f>
        <v>2182.458208333333</v>
      </c>
      <c r="E703" s="254">
        <v>112275.37</v>
      </c>
      <c r="F703" s="295">
        <f>'Bank Int.'!$E703*7.5%/360</f>
        <v>23.390702083333331</v>
      </c>
      <c r="G703" s="305">
        <v>1526506</v>
      </c>
      <c r="H703" s="303">
        <f>'Bank Int.'!$G703*4.5%/360</f>
        <v>190.81325000000001</v>
      </c>
      <c r="I703" s="306">
        <v>41417.120000000003</v>
      </c>
      <c r="J703" s="307">
        <f>'Bank Int.'!$I703*6.5%/360</f>
        <v>7.4780911111111124</v>
      </c>
      <c r="K703" s="338">
        <v>29715</v>
      </c>
      <c r="L703" s="307">
        <f>'Bank Int.'!$K703*6.5%/360</f>
        <v>5.3652083333333334</v>
      </c>
    </row>
    <row r="704" spans="1:12" ht="22.9" customHeight="1" x14ac:dyDescent="0.25">
      <c r="A704" s="257"/>
      <c r="B704" s="253">
        <v>45414</v>
      </c>
      <c r="C704" s="298">
        <v>10475799.4</v>
      </c>
      <c r="D704" s="295">
        <f>'Bank Int.'!$C704*7.5%/360</f>
        <v>2182.458208333333</v>
      </c>
      <c r="E704" s="254">
        <v>112275.37</v>
      </c>
      <c r="F704" s="295">
        <f>'Bank Int.'!$E704*7.5%/360</f>
        <v>23.390702083333331</v>
      </c>
      <c r="G704" s="305">
        <v>1526506</v>
      </c>
      <c r="H704" s="303">
        <f>'Bank Int.'!$G704*4.5%/360</f>
        <v>190.81325000000001</v>
      </c>
      <c r="I704" s="306">
        <v>41417.120000000003</v>
      </c>
      <c r="J704" s="307">
        <f>'Bank Int.'!$I704*6.5%/360</f>
        <v>7.4780911111111124</v>
      </c>
      <c r="K704" s="338">
        <v>29715</v>
      </c>
      <c r="L704" s="307">
        <f>'Bank Int.'!$K704*6.5%/360</f>
        <v>5.3652083333333334</v>
      </c>
    </row>
    <row r="705" spans="1:12" ht="22.9" customHeight="1" x14ac:dyDescent="0.25">
      <c r="A705" s="257"/>
      <c r="B705" s="253">
        <f>B704-1</f>
        <v>45413</v>
      </c>
      <c r="C705" s="298">
        <v>675857.4</v>
      </c>
      <c r="D705" s="295">
        <f>'Bank Int.'!$C705*7.5%/360</f>
        <v>140.80362500000001</v>
      </c>
      <c r="E705" s="254">
        <v>112275.37</v>
      </c>
      <c r="F705" s="295">
        <f>'Bank Int.'!$E705*7.5%/360</f>
        <v>23.390702083333331</v>
      </c>
      <c r="G705" s="305">
        <v>521506</v>
      </c>
      <c r="H705" s="303">
        <f>'Bank Int.'!$G705*4.5%/360</f>
        <v>65.188249999999996</v>
      </c>
      <c r="I705" s="306">
        <v>41417.120000000003</v>
      </c>
      <c r="J705" s="307">
        <f>'Bank Int.'!$I705*6.5%/360</f>
        <v>7.4780911111111124</v>
      </c>
      <c r="K705" s="338">
        <v>29715</v>
      </c>
      <c r="L705" s="307">
        <f>'Bank Int.'!$K705*6.5%/360</f>
        <v>5.3652083333333334</v>
      </c>
    </row>
    <row r="706" spans="1:12" ht="22.9" customHeight="1" x14ac:dyDescent="0.25">
      <c r="A706" s="257"/>
      <c r="B706" s="253">
        <f t="shared" ref="B706:B708" si="91">B705-1</f>
        <v>45412</v>
      </c>
      <c r="C706" s="298">
        <v>675857.4</v>
      </c>
      <c r="D706" s="295">
        <f>'Bank Int.'!$C706*7.5%/360</f>
        <v>140.80362500000001</v>
      </c>
      <c r="E706" s="254">
        <v>112275.37</v>
      </c>
      <c r="F706" s="295">
        <f>'Bank Int.'!$E706*7.5%/360</f>
        <v>23.390702083333331</v>
      </c>
      <c r="G706" s="305">
        <v>521506</v>
      </c>
      <c r="H706" s="303">
        <f>'Bank Int.'!$G706*4.5%/360</f>
        <v>65.188249999999996</v>
      </c>
      <c r="I706" s="306">
        <v>41417.120000000003</v>
      </c>
      <c r="J706" s="307">
        <f>'Bank Int.'!$I706*6.5%/360</f>
        <v>7.4780911111111124</v>
      </c>
      <c r="K706" s="338">
        <v>29715</v>
      </c>
      <c r="L706" s="307">
        <f>'Bank Int.'!$K706*6.5%/360</f>
        <v>5.3652083333333334</v>
      </c>
    </row>
    <row r="707" spans="1:12" ht="22.9" customHeight="1" x14ac:dyDescent="0.25">
      <c r="A707" s="257"/>
      <c r="B707" s="253">
        <f t="shared" si="91"/>
        <v>45411</v>
      </c>
      <c r="C707" s="298">
        <v>173917.4</v>
      </c>
      <c r="D707" s="295">
        <f>'Bank Int.'!$C707*7.5%/360</f>
        <v>36.232791666666664</v>
      </c>
      <c r="E707" s="254">
        <v>112275.37</v>
      </c>
      <c r="F707" s="295">
        <f>'Bank Int.'!$E707*7.5%/360</f>
        <v>23.390702083333331</v>
      </c>
      <c r="G707" s="305">
        <v>521506</v>
      </c>
      <c r="H707" s="303">
        <f>'Bank Int.'!$G707*4.5%/360</f>
        <v>65.188249999999996</v>
      </c>
      <c r="I707" s="306">
        <v>41417.120000000003</v>
      </c>
      <c r="J707" s="307">
        <f>'Bank Int.'!$I707*6.5%/360</f>
        <v>7.4780911111111124</v>
      </c>
      <c r="K707" s="338">
        <v>29715</v>
      </c>
      <c r="L707" s="307">
        <f>'Bank Int.'!$K707*6.5%/360</f>
        <v>5.3652083333333334</v>
      </c>
    </row>
    <row r="708" spans="1:12" ht="22.9" customHeight="1" x14ac:dyDescent="0.25">
      <c r="A708" s="257"/>
      <c r="B708" s="253">
        <f t="shared" si="91"/>
        <v>45410</v>
      </c>
      <c r="C708" s="298">
        <v>193977.4</v>
      </c>
      <c r="D708" s="295">
        <f>'Bank Int.'!$C708*7.5%/360</f>
        <v>40.411958333333331</v>
      </c>
      <c r="E708" s="254">
        <v>4002231.37</v>
      </c>
      <c r="F708" s="295">
        <f>'Bank Int.'!$E708*7.5%/360</f>
        <v>833.79820208333342</v>
      </c>
      <c r="G708" s="305">
        <v>521506</v>
      </c>
      <c r="H708" s="303">
        <f>'Bank Int.'!$G708*4.5%/360</f>
        <v>65.188249999999996</v>
      </c>
      <c r="I708" s="306">
        <v>41417.120000000003</v>
      </c>
      <c r="J708" s="307">
        <f>'Bank Int.'!$I708*6.5%/360</f>
        <v>7.4780911111111124</v>
      </c>
      <c r="K708" s="338">
        <v>29715</v>
      </c>
      <c r="L708" s="307">
        <f>'Bank Int.'!$K708*6.5%/360</f>
        <v>5.3652083333333334</v>
      </c>
    </row>
    <row r="709" spans="1:12" ht="22.5" customHeight="1" x14ac:dyDescent="0.25">
      <c r="A709" s="257"/>
      <c r="B709" s="253">
        <f>B710+1</f>
        <v>45409</v>
      </c>
      <c r="C709" s="298">
        <v>559916.14</v>
      </c>
      <c r="D709" s="295">
        <f>'Bank Int.'!$C709*7.5%/360</f>
        <v>116.64919583333334</v>
      </c>
      <c r="E709" s="254">
        <v>2602231.37</v>
      </c>
      <c r="F709" s="295">
        <f>'Bank Int.'!$E709*7.5%/360</f>
        <v>542.13153541666668</v>
      </c>
      <c r="G709" s="305">
        <v>200966</v>
      </c>
      <c r="H709" s="303">
        <f>'Bank Int.'!$G709*4.5%/360</f>
        <v>25.120749999999997</v>
      </c>
      <c r="I709" s="306">
        <v>41417.120000000003</v>
      </c>
      <c r="J709" s="307">
        <f>'Bank Int.'!$I709*6.5%/360</f>
        <v>7.4780911111111124</v>
      </c>
      <c r="K709" s="338">
        <v>29715</v>
      </c>
      <c r="L709" s="307">
        <f>'Bank Int.'!$K709*6.5%/360</f>
        <v>5.3652083333333334</v>
      </c>
    </row>
    <row r="710" spans="1:12" ht="22.9" customHeight="1" x14ac:dyDescent="0.25">
      <c r="A710" s="257"/>
      <c r="B710" s="253">
        <f>B711+1</f>
        <v>45408</v>
      </c>
      <c r="C710" s="298">
        <v>559916.14</v>
      </c>
      <c r="D710" s="295">
        <f>'Bank Int.'!$C710*7.5%/360</f>
        <v>116.64919583333334</v>
      </c>
      <c r="E710" s="254">
        <v>2602231.37</v>
      </c>
      <c r="F710" s="295">
        <f>'Bank Int.'!$E710*7.5%/360</f>
        <v>542.13153541666668</v>
      </c>
      <c r="G710" s="305">
        <v>200966</v>
      </c>
      <c r="H710" s="303">
        <f>'Bank Int.'!$G710*4.5%/360</f>
        <v>25.120749999999997</v>
      </c>
      <c r="I710" s="306">
        <v>41417.120000000003</v>
      </c>
      <c r="J710" s="307">
        <f>'Bank Int.'!$I710*6.5%/360</f>
        <v>7.4780911111111124</v>
      </c>
      <c r="K710" s="338">
        <v>29715</v>
      </c>
      <c r="L710" s="307">
        <f>'Bank Int.'!$K710*6.5%/360</f>
        <v>5.3652083333333334</v>
      </c>
    </row>
    <row r="711" spans="1:12" ht="22.9" customHeight="1" x14ac:dyDescent="0.25">
      <c r="A711" s="257"/>
      <c r="B711" s="253">
        <v>45407</v>
      </c>
      <c r="C711" s="298">
        <v>559916.14</v>
      </c>
      <c r="D711" s="295">
        <f>'Bank Int.'!$C711*7.5%/360</f>
        <v>116.64919583333334</v>
      </c>
      <c r="E711" s="254">
        <v>2602231.37</v>
      </c>
      <c r="F711" s="295">
        <f>'Bank Int.'!$E711*7.5%/360</f>
        <v>542.13153541666668</v>
      </c>
      <c r="G711" s="305">
        <v>200966</v>
      </c>
      <c r="H711" s="303">
        <f>'Bank Int.'!$G711*4.5%/360</f>
        <v>25.120749999999997</v>
      </c>
      <c r="I711" s="306">
        <v>41417.120000000003</v>
      </c>
      <c r="J711" s="307">
        <f>'Bank Int.'!$I711*6.5%/360</f>
        <v>7.4780911111111124</v>
      </c>
      <c r="K711" s="338">
        <v>29715</v>
      </c>
      <c r="L711" s="307">
        <f>'Bank Int.'!$K711*6.5%/360</f>
        <v>5.3652083333333334</v>
      </c>
    </row>
    <row r="712" spans="1:12" ht="22.9" customHeight="1" x14ac:dyDescent="0.25">
      <c r="A712" s="257"/>
      <c r="B712" s="253">
        <f>B711-1</f>
        <v>45406</v>
      </c>
      <c r="C712" s="298">
        <v>559916.14</v>
      </c>
      <c r="D712" s="295">
        <f>'Bank Int.'!$C712*7.5%/360</f>
        <v>116.64919583333334</v>
      </c>
      <c r="E712" s="254">
        <v>2602231.37</v>
      </c>
      <c r="F712" s="295">
        <f>'Bank Int.'!$E712*7.5%/360</f>
        <v>542.13153541666668</v>
      </c>
      <c r="G712" s="305">
        <v>966</v>
      </c>
      <c r="H712" s="303">
        <f>'Bank Int.'!$G712*4.5%/360</f>
        <v>0.12075</v>
      </c>
      <c r="I712" s="306">
        <v>41417.120000000003</v>
      </c>
      <c r="J712" s="307">
        <f>'Bank Int.'!$I712*6.5%/360</f>
        <v>7.4780911111111124</v>
      </c>
      <c r="K712" s="338">
        <v>29715</v>
      </c>
      <c r="L712" s="307">
        <f>'Bank Int.'!$K712*6.5%/360</f>
        <v>5.3652083333333334</v>
      </c>
    </row>
    <row r="713" spans="1:12" ht="22.9" customHeight="1" x14ac:dyDescent="0.25">
      <c r="A713" s="257"/>
      <c r="B713" s="253">
        <f t="shared" ref="B713:B717" si="92">B712-1</f>
        <v>45405</v>
      </c>
      <c r="C713" s="298">
        <v>53916.14</v>
      </c>
      <c r="D713" s="295">
        <f>'Bank Int.'!$C713*7.5%/360</f>
        <v>11.232529166666666</v>
      </c>
      <c r="E713" s="254">
        <v>5058290.34</v>
      </c>
      <c r="F713" s="295">
        <f>'Bank Int.'!$E713*7.5%/360</f>
        <v>1053.8104874999999</v>
      </c>
      <c r="G713" s="305">
        <v>466966</v>
      </c>
      <c r="H713" s="303">
        <f>'Bank Int.'!$G713*4.5%/360</f>
        <v>58.370749999999994</v>
      </c>
      <c r="I713" s="306">
        <v>41417.120000000003</v>
      </c>
      <c r="J713" s="307">
        <f>'Bank Int.'!$I713*6.5%/360</f>
        <v>7.4780911111111124</v>
      </c>
      <c r="K713" s="338">
        <v>29715</v>
      </c>
      <c r="L713" s="307">
        <f>'Bank Int.'!$K713*6.5%/360</f>
        <v>5.3652083333333334</v>
      </c>
    </row>
    <row r="714" spans="1:12" ht="22.9" customHeight="1" x14ac:dyDescent="0.25">
      <c r="A714" s="257"/>
      <c r="B714" s="253">
        <f t="shared" si="92"/>
        <v>45404</v>
      </c>
      <c r="C714" s="298">
        <v>53916.14</v>
      </c>
      <c r="D714" s="295">
        <f>'Bank Int.'!$C714*7.5%/360</f>
        <v>11.232529166666666</v>
      </c>
      <c r="E714" s="254">
        <v>5058290.34</v>
      </c>
      <c r="F714" s="295">
        <f>'Bank Int.'!$E714*7.5%/360</f>
        <v>1053.8104874999999</v>
      </c>
      <c r="G714" s="305">
        <v>466966</v>
      </c>
      <c r="H714" s="303">
        <f>'Bank Int.'!$G714*4.5%/360</f>
        <v>58.370749999999994</v>
      </c>
      <c r="I714" s="306">
        <v>41417.120000000003</v>
      </c>
      <c r="J714" s="307">
        <f>'Bank Int.'!$I714*6.5%/360</f>
        <v>7.4780911111111124</v>
      </c>
      <c r="K714" s="338">
        <v>29715</v>
      </c>
      <c r="L714" s="307">
        <f>'Bank Int.'!$K714*6.5%/360</f>
        <v>5.3652083333333334</v>
      </c>
    </row>
    <row r="715" spans="1:12" ht="22.9" customHeight="1" x14ac:dyDescent="0.25">
      <c r="A715" s="257"/>
      <c r="B715" s="253">
        <f t="shared" si="92"/>
        <v>45403</v>
      </c>
      <c r="C715" s="298">
        <v>1509894.2</v>
      </c>
      <c r="D715" s="295">
        <f>'Bank Int.'!$C715*7.5%/360</f>
        <v>314.56129166666665</v>
      </c>
      <c r="E715" s="254">
        <v>5758290.3399999999</v>
      </c>
      <c r="F715" s="295">
        <f>'Bank Int.'!$E715*7.5%/360</f>
        <v>1199.6438208333334</v>
      </c>
      <c r="G715" s="305">
        <v>291966</v>
      </c>
      <c r="H715" s="303">
        <f>'Bank Int.'!$G715*4.5%/360</f>
        <v>36.495750000000001</v>
      </c>
      <c r="I715" s="306">
        <v>41417.120000000003</v>
      </c>
      <c r="J715" s="307">
        <f>'Bank Int.'!$I715*6.5%/360</f>
        <v>7.4780911111111124</v>
      </c>
      <c r="K715" s="338">
        <v>29715</v>
      </c>
      <c r="L715" s="307">
        <f>'Bank Int.'!$K715*6.5%/360</f>
        <v>5.3652083333333334</v>
      </c>
    </row>
    <row r="716" spans="1:12" ht="22.9" customHeight="1" x14ac:dyDescent="0.25">
      <c r="A716" s="257"/>
      <c r="B716" s="253">
        <f t="shared" si="92"/>
        <v>45402</v>
      </c>
      <c r="C716" s="298">
        <v>9894.2000000000007</v>
      </c>
      <c r="D716" s="295">
        <f>'Bank Int.'!$C716*7.5%/360</f>
        <v>2.061291666666667</v>
      </c>
      <c r="E716" s="254">
        <v>7258290.3399999999</v>
      </c>
      <c r="F716" s="295">
        <f>'Bank Int.'!$E716*7.5%/360</f>
        <v>1512.1438208333334</v>
      </c>
      <c r="G716" s="305">
        <v>291966</v>
      </c>
      <c r="H716" s="303">
        <f>'Bank Int.'!$G716*4.5%/360</f>
        <v>36.495750000000001</v>
      </c>
      <c r="I716" s="306">
        <v>41417.120000000003</v>
      </c>
      <c r="J716" s="307">
        <f>'Bank Int.'!$I716*6.5%/360</f>
        <v>7.4780911111111124</v>
      </c>
      <c r="K716" s="338">
        <v>29715</v>
      </c>
      <c r="L716" s="307">
        <f>'Bank Int.'!$K716*6.5%/360</f>
        <v>5.3652083333333334</v>
      </c>
    </row>
    <row r="717" spans="1:12" ht="22.9" customHeight="1" x14ac:dyDescent="0.25">
      <c r="A717" s="257"/>
      <c r="B717" s="253">
        <f t="shared" si="92"/>
        <v>45401</v>
      </c>
      <c r="C717" s="298">
        <v>9894.2000000000007</v>
      </c>
      <c r="D717" s="295">
        <f>'Bank Int.'!$C717*7.5%/360</f>
        <v>2.061291666666667</v>
      </c>
      <c r="E717" s="254">
        <v>7258290.3399999999</v>
      </c>
      <c r="F717" s="295">
        <f>'Bank Int.'!$E717*7.5%/360</f>
        <v>1512.1438208333334</v>
      </c>
      <c r="G717" s="305">
        <v>291966</v>
      </c>
      <c r="H717" s="303">
        <f>'Bank Int.'!$G717*4.5%/360</f>
        <v>36.495750000000001</v>
      </c>
      <c r="I717" s="306">
        <v>41417.120000000003</v>
      </c>
      <c r="J717" s="307">
        <f>'Bank Int.'!$I717*6.5%/360</f>
        <v>7.4780911111111124</v>
      </c>
      <c r="K717" s="338">
        <v>29715</v>
      </c>
      <c r="L717" s="307">
        <f>'Bank Int.'!$K717*6.5%/360</f>
        <v>5.3652083333333334</v>
      </c>
    </row>
    <row r="718" spans="1:12" ht="22.9" customHeight="1" x14ac:dyDescent="0.25">
      <c r="A718" s="257"/>
      <c r="B718" s="253">
        <v>45400</v>
      </c>
      <c r="C718" s="298">
        <v>9894.2000000000007</v>
      </c>
      <c r="D718" s="295">
        <f>'Bank Int.'!$C718*7.5%/360</f>
        <v>2.061291666666667</v>
      </c>
      <c r="E718" s="254">
        <v>7258290.3399999999</v>
      </c>
      <c r="F718" s="295">
        <f>'Bank Int.'!$E718*7.5%/360</f>
        <v>1512.1438208333334</v>
      </c>
      <c r="G718" s="305">
        <v>291966</v>
      </c>
      <c r="H718" s="303">
        <f>'Bank Int.'!$G718*4.5%/360</f>
        <v>36.495750000000001</v>
      </c>
      <c r="I718" s="306">
        <v>41417.120000000003</v>
      </c>
      <c r="J718" s="307">
        <f>'Bank Int.'!$I718*6.5%/360</f>
        <v>7.4780911111111124</v>
      </c>
      <c r="K718" s="338">
        <v>29715</v>
      </c>
      <c r="L718" s="307">
        <f>'Bank Int.'!$K718*6.5%/360</f>
        <v>5.3652083333333334</v>
      </c>
    </row>
    <row r="719" spans="1:12" ht="22.9" customHeight="1" x14ac:dyDescent="0.25">
      <c r="A719" s="257"/>
      <c r="B719" s="253">
        <v>45399</v>
      </c>
      <c r="C719" s="298">
        <v>9894.2000000000007</v>
      </c>
      <c r="D719" s="295">
        <f>'Bank Int.'!$C719*7.5%/360</f>
        <v>2.061291666666667</v>
      </c>
      <c r="E719" s="254">
        <v>7258462.8399999999</v>
      </c>
      <c r="F719" s="295">
        <f>'Bank Int.'!$E719*7.5%/360</f>
        <v>1512.1797583333332</v>
      </c>
      <c r="G719" s="305">
        <v>291966</v>
      </c>
      <c r="H719" s="303">
        <f>'Bank Int.'!$G719*4.5%/360</f>
        <v>36.495750000000001</v>
      </c>
      <c r="I719" s="306">
        <v>41417.120000000003</v>
      </c>
      <c r="J719" s="307">
        <f>'Bank Int.'!$I719*6.5%/360</f>
        <v>7.4780911111111124</v>
      </c>
      <c r="K719" s="338">
        <v>29715</v>
      </c>
      <c r="L719" s="307">
        <f>'Bank Int.'!$K719*6.5%/360</f>
        <v>5.3652083333333334</v>
      </c>
    </row>
    <row r="720" spans="1:12" ht="22.9" customHeight="1" x14ac:dyDescent="0.25">
      <c r="A720" s="257"/>
      <c r="B720" s="253">
        <v>45398</v>
      </c>
      <c r="C720" s="298">
        <v>9894.2000000000007</v>
      </c>
      <c r="D720" s="295">
        <f>'Bank Int.'!$C720*7.5%/360</f>
        <v>2.061291666666667</v>
      </c>
      <c r="E720" s="254">
        <v>7258462.8399999999</v>
      </c>
      <c r="F720" s="295">
        <f>'Bank Int.'!$E720*7.5%/360</f>
        <v>1512.1797583333332</v>
      </c>
      <c r="G720" s="305">
        <v>291966</v>
      </c>
      <c r="H720" s="303">
        <f>'Bank Int.'!$G720*4.5%/360</f>
        <v>36.495750000000001</v>
      </c>
      <c r="I720" s="306">
        <v>41417.120000000003</v>
      </c>
      <c r="J720" s="307">
        <f>'Bank Int.'!$I720*6.5%/360</f>
        <v>7.4780911111111124</v>
      </c>
      <c r="K720" s="338">
        <v>29715</v>
      </c>
      <c r="L720" s="307">
        <f>'Bank Int.'!$K720*6.5%/360</f>
        <v>5.3652083333333334</v>
      </c>
    </row>
    <row r="721" spans="1:12" ht="22.9" customHeight="1" x14ac:dyDescent="0.25">
      <c r="A721" s="257"/>
      <c r="B721" s="253">
        <v>45397</v>
      </c>
      <c r="C721" s="298">
        <v>9894.2000000000007</v>
      </c>
      <c r="D721" s="295">
        <f>'Bank Int.'!$C721*7.5%/360</f>
        <v>2.061291666666667</v>
      </c>
      <c r="E721" s="254">
        <v>7258462.8399999999</v>
      </c>
      <c r="F721" s="295">
        <f>'Bank Int.'!$E721*7.5%/360</f>
        <v>1512.1797583333332</v>
      </c>
      <c r="G721" s="305">
        <v>291966</v>
      </c>
      <c r="H721" s="303">
        <f>'Bank Int.'!$G721*4.5%/360</f>
        <v>36.495750000000001</v>
      </c>
      <c r="I721" s="306">
        <v>41417.120000000003</v>
      </c>
      <c r="J721" s="307">
        <f>'Bank Int.'!$I721*6.5%/360</f>
        <v>7.4780911111111124</v>
      </c>
      <c r="K721" s="338">
        <v>29715</v>
      </c>
      <c r="L721" s="307">
        <f>'Bank Int.'!$K721*6.5%/360</f>
        <v>5.3652083333333334</v>
      </c>
    </row>
    <row r="722" spans="1:12" ht="22.9" customHeight="1" x14ac:dyDescent="0.25">
      <c r="A722" s="257"/>
      <c r="B722" s="253">
        <v>45396</v>
      </c>
      <c r="C722" s="298">
        <v>2999954.2</v>
      </c>
      <c r="D722" s="295">
        <f>'Bank Int.'!$C722*7.5%/360</f>
        <v>624.99045833333332</v>
      </c>
      <c r="E722" s="254">
        <v>51169275.380000003</v>
      </c>
      <c r="F722" s="295">
        <f>'Bank Int.'!$E722*7.5%/360</f>
        <v>10660.265704166666</v>
      </c>
      <c r="G722" s="305">
        <v>255966</v>
      </c>
      <c r="H722" s="303">
        <f>'Bank Int.'!$G722*4.5%/360</f>
        <v>31.995749999999997</v>
      </c>
      <c r="I722" s="306">
        <v>41417.120000000003</v>
      </c>
      <c r="J722" s="307">
        <f>'Bank Int.'!$I722*6.5%/360</f>
        <v>7.4780911111111124</v>
      </c>
      <c r="K722" s="338">
        <v>29715</v>
      </c>
      <c r="L722" s="307">
        <f>'Bank Int.'!$K722*6.5%/360</f>
        <v>5.3652083333333334</v>
      </c>
    </row>
    <row r="723" spans="1:12" ht="22.9" customHeight="1" x14ac:dyDescent="0.25">
      <c r="A723" s="257"/>
      <c r="B723" s="253">
        <v>45395</v>
      </c>
      <c r="C723" s="298">
        <v>2999954.2</v>
      </c>
      <c r="D723" s="295">
        <f>'Bank Int.'!$C723*7.5%/360</f>
        <v>624.99045833333332</v>
      </c>
      <c r="E723" s="254">
        <v>51169275.380000003</v>
      </c>
      <c r="F723" s="295">
        <f>'Bank Int.'!$E723*7.5%/360</f>
        <v>10660.265704166666</v>
      </c>
      <c r="G723" s="305">
        <v>255366</v>
      </c>
      <c r="H723" s="303">
        <f>'Bank Int.'!$G723*4.5%/360</f>
        <v>31.920749999999998</v>
      </c>
      <c r="I723" s="306">
        <v>41417.120000000003</v>
      </c>
      <c r="J723" s="307">
        <f>'Bank Int.'!$I723*6.5%/360</f>
        <v>7.4780911111111124</v>
      </c>
      <c r="K723" s="338">
        <v>29715</v>
      </c>
      <c r="L723" s="307">
        <f>'Bank Int.'!$K723*6.5%/360</f>
        <v>5.3652083333333334</v>
      </c>
    </row>
    <row r="724" spans="1:12" ht="22.9" customHeight="1" x14ac:dyDescent="0.25">
      <c r="A724" s="257"/>
      <c r="B724" s="253">
        <v>45394</v>
      </c>
      <c r="C724" s="298">
        <v>2999954.2</v>
      </c>
      <c r="D724" s="295">
        <f>'Bank Int.'!$C724*7.5%/360</f>
        <v>624.99045833333332</v>
      </c>
      <c r="E724" s="254">
        <v>51169275.380000003</v>
      </c>
      <c r="F724" s="295">
        <f>'Bank Int.'!$E724*7.5%/360</f>
        <v>10660.265704166666</v>
      </c>
      <c r="G724" s="305">
        <v>255366</v>
      </c>
      <c r="H724" s="303">
        <f>'Bank Int.'!$G724*4.5%/360</f>
        <v>31.920749999999998</v>
      </c>
      <c r="I724" s="306">
        <v>41417.120000000003</v>
      </c>
      <c r="J724" s="307">
        <f>'Bank Int.'!$I724*6.5%/360</f>
        <v>7.4780911111111124</v>
      </c>
      <c r="K724" s="338">
        <v>29715</v>
      </c>
      <c r="L724" s="307">
        <f>'Bank Int.'!$K724*6.5%/360</f>
        <v>5.3652083333333334</v>
      </c>
    </row>
    <row r="725" spans="1:12" ht="22.9" customHeight="1" x14ac:dyDescent="0.25">
      <c r="A725" s="257"/>
      <c r="B725" s="253">
        <v>45393</v>
      </c>
      <c r="C725" s="298">
        <v>2999954.2</v>
      </c>
      <c r="D725" s="295">
        <f>'Bank Int.'!$C725*7.5%/360</f>
        <v>624.99045833333332</v>
      </c>
      <c r="E725" s="254">
        <v>51169275.380000003</v>
      </c>
      <c r="F725" s="295">
        <f>'Bank Int.'!$E725*7.5%/360</f>
        <v>10660.265704166666</v>
      </c>
      <c r="G725" s="305">
        <v>255366</v>
      </c>
      <c r="H725" s="303">
        <f>'Bank Int.'!$G725*4.5%/360</f>
        <v>31.920749999999998</v>
      </c>
      <c r="I725" s="306">
        <v>41417.120000000003</v>
      </c>
      <c r="J725" s="307">
        <f>'Bank Int.'!$I725*6.5%/360</f>
        <v>7.4780911111111124</v>
      </c>
      <c r="K725" s="338">
        <v>29715</v>
      </c>
      <c r="L725" s="307">
        <f>'Bank Int.'!$K725*6.5%/360</f>
        <v>5.3652083333333334</v>
      </c>
    </row>
    <row r="726" spans="1:12" ht="22.9" customHeight="1" x14ac:dyDescent="0.25">
      <c r="A726" s="257"/>
      <c r="B726" s="253">
        <v>45392</v>
      </c>
      <c r="C726" s="298">
        <v>2999954.2</v>
      </c>
      <c r="D726" s="295">
        <f>'Bank Int.'!$C726*7.5%/360</f>
        <v>624.99045833333332</v>
      </c>
      <c r="E726" s="254">
        <v>51169275.380000003</v>
      </c>
      <c r="F726" s="295">
        <f>'Bank Int.'!$E726*7.5%/360</f>
        <v>10660.265704166666</v>
      </c>
      <c r="G726" s="305">
        <v>255366</v>
      </c>
      <c r="H726" s="303">
        <f>'Bank Int.'!$G726*4.5%/360</f>
        <v>31.920749999999998</v>
      </c>
      <c r="I726" s="306">
        <v>41417.120000000003</v>
      </c>
      <c r="J726" s="307">
        <f>'Bank Int.'!$I726*6.5%/360</f>
        <v>7.4780911111111124</v>
      </c>
      <c r="K726" s="338">
        <v>29715</v>
      </c>
      <c r="L726" s="307">
        <f>'Bank Int.'!$K726*6.5%/360</f>
        <v>5.3652083333333334</v>
      </c>
    </row>
    <row r="727" spans="1:12" ht="22.9" customHeight="1" x14ac:dyDescent="0.25">
      <c r="A727" s="257"/>
      <c r="B727" s="253">
        <v>45391</v>
      </c>
      <c r="C727" s="298">
        <v>2999954.2</v>
      </c>
      <c r="D727" s="295">
        <f>'Bank Int.'!$C727*7.5%/360</f>
        <v>624.99045833333332</v>
      </c>
      <c r="E727" s="254">
        <v>51169275.380000003</v>
      </c>
      <c r="F727" s="295">
        <f>'Bank Int.'!$E727*7.5%/360</f>
        <v>10660.265704166666</v>
      </c>
      <c r="G727" s="305">
        <v>255366</v>
      </c>
      <c r="H727" s="303">
        <f>'Bank Int.'!$G727*4.5%/360</f>
        <v>31.920749999999998</v>
      </c>
      <c r="I727" s="306">
        <v>41417.120000000003</v>
      </c>
      <c r="J727" s="307">
        <f>'Bank Int.'!$I727*6.5%/360</f>
        <v>7.4780911111111124</v>
      </c>
      <c r="K727" s="338">
        <v>29715</v>
      </c>
      <c r="L727" s="307">
        <f>'Bank Int.'!$K727*6.5%/360</f>
        <v>5.3652083333333334</v>
      </c>
    </row>
    <row r="728" spans="1:12" ht="22.9" customHeight="1" x14ac:dyDescent="0.25">
      <c r="A728" s="257"/>
      <c r="B728" s="253">
        <v>45390</v>
      </c>
      <c r="C728" s="298">
        <v>1907954.2</v>
      </c>
      <c r="D728" s="295">
        <f>'Bank Int.'!$C728*7.5%/360</f>
        <v>397.49045833333332</v>
      </c>
      <c r="E728" s="254">
        <v>38198679.460000001</v>
      </c>
      <c r="F728" s="295">
        <f>'Bank Int.'!$E728*7.5%/360</f>
        <v>7958.0582208333326</v>
      </c>
      <c r="G728" s="305">
        <v>205358</v>
      </c>
      <c r="H728" s="303">
        <f>'Bank Int.'!$G728*4.5%/360</f>
        <v>25.669749999999997</v>
      </c>
      <c r="I728" s="306">
        <v>41417.120000000003</v>
      </c>
      <c r="J728" s="307">
        <f>'Bank Int.'!$I728*6.5%/360</f>
        <v>7.4780911111111124</v>
      </c>
      <c r="K728" s="338">
        <v>29715</v>
      </c>
      <c r="L728" s="307">
        <f>'Bank Int.'!$K728*6.5%/360</f>
        <v>5.3652083333333334</v>
      </c>
    </row>
    <row r="729" spans="1:12" ht="22.9" customHeight="1" x14ac:dyDescent="0.25">
      <c r="A729" s="257"/>
      <c r="B729" s="253">
        <v>45389</v>
      </c>
      <c r="C729" s="298">
        <v>1777954.2</v>
      </c>
      <c r="D729" s="295">
        <f>'Bank Int.'!$C729*7.5%/360</f>
        <v>370.40712500000001</v>
      </c>
      <c r="E729" s="254">
        <v>74861.14</v>
      </c>
      <c r="F729" s="295">
        <f>'Bank Int.'!$E729*7.5%/360</f>
        <v>15.596070833333334</v>
      </c>
      <c r="G729" s="305">
        <v>205358</v>
      </c>
      <c r="H729" s="303">
        <f>'Bank Int.'!$G729*4.5%/360</f>
        <v>25.669749999999997</v>
      </c>
      <c r="I729" s="306">
        <v>41417.120000000003</v>
      </c>
      <c r="J729" s="307">
        <f>'Bank Int.'!$I729*6.5%/360</f>
        <v>7.4780911111111124</v>
      </c>
      <c r="K729" s="338">
        <v>29715</v>
      </c>
      <c r="L729" s="307">
        <f>'Bank Int.'!$K729*6.5%/360</f>
        <v>5.3652083333333334</v>
      </c>
    </row>
    <row r="730" spans="1:12" ht="22.9" customHeight="1" x14ac:dyDescent="0.25">
      <c r="A730" s="257"/>
      <c r="B730" s="253">
        <v>45388</v>
      </c>
      <c r="C730" s="298">
        <v>1777954.2</v>
      </c>
      <c r="D730" s="295">
        <f>'Bank Int.'!$C730*7.5%/360</f>
        <v>370.40712500000001</v>
      </c>
      <c r="E730" s="254">
        <v>74861.14</v>
      </c>
      <c r="F730" s="295">
        <f>'Bank Int.'!$E730*7.5%/360</f>
        <v>15.596070833333334</v>
      </c>
      <c r="G730" s="305">
        <v>205358</v>
      </c>
      <c r="H730" s="303">
        <f>'Bank Int.'!$G730*4.5%/360</f>
        <v>25.669749999999997</v>
      </c>
      <c r="I730" s="306">
        <v>41417.120000000003</v>
      </c>
      <c r="J730" s="307">
        <f>'Bank Int.'!$I730*6.5%/360</f>
        <v>7.4780911111111124</v>
      </c>
      <c r="K730" s="338">
        <v>29715</v>
      </c>
      <c r="L730" s="307">
        <f>'Bank Int.'!$K730*6.5%/360</f>
        <v>5.3652083333333334</v>
      </c>
    </row>
    <row r="731" spans="1:12" ht="22.9" customHeight="1" x14ac:dyDescent="0.25">
      <c r="A731" s="257"/>
      <c r="B731" s="253">
        <v>45387</v>
      </c>
      <c r="C731" s="298">
        <v>1777954.2</v>
      </c>
      <c r="D731" s="295">
        <f>'Bank Int.'!$C731*7.5%/360</f>
        <v>370.40712500000001</v>
      </c>
      <c r="E731" s="254">
        <v>74861.14</v>
      </c>
      <c r="F731" s="295">
        <f>'Bank Int.'!$E731*7.5%/360</f>
        <v>15.596070833333334</v>
      </c>
      <c r="G731" s="305">
        <v>205358</v>
      </c>
      <c r="H731" s="303">
        <f>'Bank Int.'!$G731*4.5%/360</f>
        <v>25.669749999999997</v>
      </c>
      <c r="I731" s="306">
        <v>41417.120000000003</v>
      </c>
      <c r="J731" s="307">
        <f>'Bank Int.'!$I731*6.5%/360</f>
        <v>7.4780911111111124</v>
      </c>
      <c r="K731" s="338">
        <v>29715</v>
      </c>
      <c r="L731" s="307">
        <f>'Bank Int.'!$K731*6.5%/360</f>
        <v>5.3652083333333334</v>
      </c>
    </row>
    <row r="732" spans="1:12" ht="22.9" customHeight="1" x14ac:dyDescent="0.25">
      <c r="A732" s="257"/>
      <c r="B732" s="253">
        <v>45386</v>
      </c>
      <c r="C732" s="298">
        <v>1886646.7</v>
      </c>
      <c r="D732" s="295">
        <f>'Bank Int.'!$C732*7.5%/360</f>
        <v>393.05139583333334</v>
      </c>
      <c r="E732" s="254">
        <v>74861.14</v>
      </c>
      <c r="F732" s="295">
        <f>'Bank Int.'!$E732*7.5%/360</f>
        <v>15.596070833333334</v>
      </c>
      <c r="G732" s="305">
        <v>358</v>
      </c>
      <c r="H732" s="303">
        <f>'Bank Int.'!$G732*4.5%/360</f>
        <v>4.4749999999999998E-2</v>
      </c>
      <c r="I732" s="306">
        <v>41417.120000000003</v>
      </c>
      <c r="J732" s="307">
        <f>'Bank Int.'!$I732*6.5%/360</f>
        <v>7.4780911111111124</v>
      </c>
      <c r="K732" s="338">
        <v>29715</v>
      </c>
      <c r="L732" s="307">
        <f>'Bank Int.'!$K732*6.5%/360</f>
        <v>5.3652083333333334</v>
      </c>
    </row>
    <row r="733" spans="1:12" ht="22.9" customHeight="1" x14ac:dyDescent="0.25">
      <c r="A733" s="257"/>
      <c r="B733" s="253">
        <v>45385</v>
      </c>
      <c r="C733" s="298">
        <v>1257646.7</v>
      </c>
      <c r="D733" s="295">
        <f>'Bank Int.'!$C733*7.5%/360</f>
        <v>262.00972916666666</v>
      </c>
      <c r="E733" s="254">
        <v>74861.14</v>
      </c>
      <c r="F733" s="295">
        <f>'Bank Int.'!$E733*7.5%/360</f>
        <v>15.596070833333334</v>
      </c>
      <c r="G733" s="305">
        <v>629358</v>
      </c>
      <c r="H733" s="303">
        <f>'Bank Int.'!$G733*4.5%/360</f>
        <v>78.669750000000008</v>
      </c>
      <c r="I733" s="306">
        <v>41417.120000000003</v>
      </c>
      <c r="J733" s="307">
        <f>'Bank Int.'!$I733*6.5%/360</f>
        <v>7.4780911111111124</v>
      </c>
      <c r="K733" s="338">
        <v>29715</v>
      </c>
      <c r="L733" s="307">
        <f>'Bank Int.'!$K733*6.5%/360</f>
        <v>5.3652083333333334</v>
      </c>
    </row>
    <row r="734" spans="1:12" ht="22.9" customHeight="1" x14ac:dyDescent="0.25">
      <c r="A734" s="257"/>
      <c r="B734" s="253">
        <f>B733-1</f>
        <v>45384</v>
      </c>
      <c r="C734" s="298">
        <v>1205750.7</v>
      </c>
      <c r="D734" s="295">
        <f>'Bank Int.'!$C734*7.5%/360</f>
        <v>251.19806249999996</v>
      </c>
      <c r="E734" s="254">
        <v>50537566.350000001</v>
      </c>
      <c r="F734" s="295">
        <f>'Bank Int.'!$E734*7.5%/360</f>
        <v>10528.65965625</v>
      </c>
      <c r="G734" s="305">
        <v>629358</v>
      </c>
      <c r="H734" s="303">
        <f>'Bank Int.'!$G734*4.5%/360</f>
        <v>78.669750000000008</v>
      </c>
      <c r="I734" s="306">
        <v>41417.120000000003</v>
      </c>
      <c r="J734" s="307">
        <f>'Bank Int.'!$I734*6.5%/360</f>
        <v>7.4780911111111124</v>
      </c>
      <c r="K734" s="338">
        <v>29715</v>
      </c>
      <c r="L734" s="307">
        <f>'Bank Int.'!$K734*6.5%/360</f>
        <v>5.3652083333333334</v>
      </c>
    </row>
    <row r="735" spans="1:12" ht="22.9" customHeight="1" x14ac:dyDescent="0.25">
      <c r="A735" s="257"/>
      <c r="B735" s="253">
        <f t="shared" ref="B735:B738" si="93">B734-1</f>
        <v>45383</v>
      </c>
      <c r="C735" s="298">
        <v>9200439.6999999993</v>
      </c>
      <c r="D735" s="295">
        <f>'Bank Int.'!$C735*7.5%/360</f>
        <v>1916.7582708333332</v>
      </c>
      <c r="E735" s="254">
        <v>41890927.740000002</v>
      </c>
      <c r="F735" s="295">
        <f>'Bank Int.'!$E735*7.5%/360</f>
        <v>8727.2766124999998</v>
      </c>
      <c r="G735" s="305">
        <v>629358</v>
      </c>
      <c r="H735" s="303">
        <f>'Bank Int.'!$G735*4.5%/360</f>
        <v>78.669750000000008</v>
      </c>
      <c r="I735" s="306">
        <v>41417.120000000003</v>
      </c>
      <c r="J735" s="307">
        <f>'Bank Int.'!$I735*6.5%/360</f>
        <v>7.4780911111111124</v>
      </c>
      <c r="K735" s="338">
        <v>29715</v>
      </c>
      <c r="L735" s="307">
        <f>'Bank Int.'!$K735*6.5%/360</f>
        <v>5.3652083333333334</v>
      </c>
    </row>
    <row r="736" spans="1:12" ht="22.9" customHeight="1" x14ac:dyDescent="0.25">
      <c r="A736" s="257"/>
      <c r="B736" s="253">
        <f t="shared" si="93"/>
        <v>45382</v>
      </c>
      <c r="C736" s="298">
        <v>9200439.6999999993</v>
      </c>
      <c r="D736" s="295">
        <f>'Bank Int.'!$C736*7.5%/360</f>
        <v>1916.7582708333332</v>
      </c>
      <c r="E736" s="254">
        <v>41890927.740000002</v>
      </c>
      <c r="F736" s="295">
        <f>'Bank Int.'!$E736*7.5%/360</f>
        <v>8727.2766124999998</v>
      </c>
      <c r="G736" s="305">
        <v>629358</v>
      </c>
      <c r="H736" s="303">
        <f>'Bank Int.'!$G736*4.5%/360</f>
        <v>78.669750000000008</v>
      </c>
      <c r="I736" s="306">
        <v>41417.120000000003</v>
      </c>
      <c r="J736" s="307">
        <f>'Bank Int.'!$I736*6.5%/360</f>
        <v>7.4780911111111124</v>
      </c>
      <c r="K736" s="338">
        <v>29715</v>
      </c>
      <c r="L736" s="307">
        <f>'Bank Int.'!$K736*6.5%/360</f>
        <v>5.3652083333333334</v>
      </c>
    </row>
    <row r="737" spans="1:12" ht="22.9" customHeight="1" x14ac:dyDescent="0.25">
      <c r="A737" s="257"/>
      <c r="B737" s="253">
        <f t="shared" si="93"/>
        <v>45381</v>
      </c>
      <c r="C737" s="298">
        <v>9428439.6999999993</v>
      </c>
      <c r="D737" s="295">
        <f>'Bank Int.'!$C737*7.5%/360</f>
        <v>1964.2582708333332</v>
      </c>
      <c r="E737" s="254">
        <v>41890927.740000002</v>
      </c>
      <c r="F737" s="295">
        <f>'Bank Int.'!$E737*7.5%/360</f>
        <v>8727.2766124999998</v>
      </c>
      <c r="G737" s="305">
        <v>629358</v>
      </c>
      <c r="H737" s="303">
        <f>'Bank Int.'!$G737*4.5%/360</f>
        <v>78.669750000000008</v>
      </c>
      <c r="I737" s="306">
        <v>41417.120000000003</v>
      </c>
      <c r="J737" s="307">
        <f>'Bank Int.'!$I737*6.5%/360</f>
        <v>7.4780911111111124</v>
      </c>
      <c r="K737" s="338">
        <v>29715</v>
      </c>
      <c r="L737" s="307">
        <f>'Bank Int.'!$K737*6.5%/360</f>
        <v>5.3652083333333334</v>
      </c>
    </row>
    <row r="738" spans="1:12" ht="22.9" customHeight="1" x14ac:dyDescent="0.25">
      <c r="A738" s="257"/>
      <c r="B738" s="253">
        <f t="shared" si="93"/>
        <v>45380</v>
      </c>
      <c r="C738" s="298">
        <v>9428439.6999999993</v>
      </c>
      <c r="D738" s="295">
        <f>'Bank Int.'!$C738*7.5%/360</f>
        <v>1964.2582708333332</v>
      </c>
      <c r="E738" s="254">
        <v>41890927.740000002</v>
      </c>
      <c r="F738" s="295">
        <f>'Bank Int.'!$E738*7.5%/360</f>
        <v>8727.2766124999998</v>
      </c>
      <c r="G738" s="305">
        <v>629358</v>
      </c>
      <c r="H738" s="303">
        <f>'Bank Int.'!$G738*4.5%/360</f>
        <v>78.669750000000008</v>
      </c>
      <c r="I738" s="306">
        <v>41417.120000000003</v>
      </c>
      <c r="J738" s="307">
        <f>'Bank Int.'!$I738*6.5%/360</f>
        <v>7.4780911111111124</v>
      </c>
      <c r="K738" s="338">
        <v>29715</v>
      </c>
      <c r="L738" s="307">
        <f>'Bank Int.'!$K738*6.5%/360</f>
        <v>5.3652083333333334</v>
      </c>
    </row>
    <row r="739" spans="1:12" ht="22.9" customHeight="1" x14ac:dyDescent="0.25">
      <c r="A739" s="257"/>
      <c r="B739" s="253">
        <v>45379</v>
      </c>
      <c r="C739" s="298">
        <v>9428449.6999999993</v>
      </c>
      <c r="D739" s="295">
        <f>'Bank Int.'!$C739*7.5%/360</f>
        <v>1964.2603541666665</v>
      </c>
      <c r="E739" s="254">
        <v>41890927.740000002</v>
      </c>
      <c r="F739" s="295">
        <f>'Bank Int.'!$E739*7.5%/360</f>
        <v>8727.2766124999998</v>
      </c>
      <c r="G739" s="305">
        <v>504358</v>
      </c>
      <c r="H739" s="303">
        <f>'Bank Int.'!$G739*4.5%/360</f>
        <v>63.044750000000001</v>
      </c>
      <c r="I739" s="306">
        <v>41417.120000000003</v>
      </c>
      <c r="J739" s="307">
        <f>'Bank Int.'!$I739*6.5%/360</f>
        <v>7.4780911111111124</v>
      </c>
      <c r="K739" s="338">
        <v>29715</v>
      </c>
      <c r="L739" s="307">
        <f>'Bank Int.'!$K739*6.5%/360</f>
        <v>5.3652083333333334</v>
      </c>
    </row>
    <row r="740" spans="1:12" ht="22.9" customHeight="1" x14ac:dyDescent="0.25">
      <c r="A740" s="257"/>
      <c r="B740" s="253">
        <v>45378</v>
      </c>
      <c r="C740" s="298">
        <v>10232189.699999999</v>
      </c>
      <c r="D740" s="295">
        <f>'Bank Int.'!$C740*7.5%/360</f>
        <v>2131.7061874999999</v>
      </c>
      <c r="E740" s="254">
        <v>41890927.740000002</v>
      </c>
      <c r="F740" s="295">
        <f>'Bank Int.'!$E740*7.5%/360</f>
        <v>8727.2766124999998</v>
      </c>
      <c r="G740" s="305">
        <v>304358</v>
      </c>
      <c r="H740" s="303">
        <f>'Bank Int.'!$G740*4.5%/360</f>
        <v>38.044749999999993</v>
      </c>
      <c r="I740" s="306">
        <v>41417.120000000003</v>
      </c>
      <c r="J740" s="307">
        <f>'Bank Int.'!$I740*6.5%/360</f>
        <v>7.4780911111111124</v>
      </c>
      <c r="K740" s="338">
        <v>29715</v>
      </c>
      <c r="L740" s="307">
        <f>'Bank Int.'!$K740*6.5%/360</f>
        <v>5.3652083333333334</v>
      </c>
    </row>
    <row r="741" spans="1:12" ht="22.9" customHeight="1" x14ac:dyDescent="0.25">
      <c r="A741" s="257"/>
      <c r="B741" s="253">
        <v>45377</v>
      </c>
      <c r="C741" s="298">
        <v>10025412.699999999</v>
      </c>
      <c r="D741" s="295">
        <f>'Bank Int.'!$C741*7.5%/360</f>
        <v>2088.6276458333332</v>
      </c>
      <c r="E741" s="254">
        <v>15890927.74</v>
      </c>
      <c r="F741" s="295">
        <f>'Bank Int.'!$E741*7.5%/360</f>
        <v>3310.6099458333333</v>
      </c>
      <c r="G741" s="305">
        <v>858</v>
      </c>
      <c r="H741" s="303">
        <f>'Bank Int.'!$G741*4.5%/360</f>
        <v>0.10725</v>
      </c>
      <c r="I741" s="306">
        <v>41417.120000000003</v>
      </c>
      <c r="J741" s="307">
        <f>'Bank Int.'!$I741*6.5%/360</f>
        <v>7.4780911111111124</v>
      </c>
      <c r="K741" s="338">
        <v>29715</v>
      </c>
      <c r="L741" s="307">
        <f>'Bank Int.'!$K741*6.5%/360</f>
        <v>5.3652083333333334</v>
      </c>
    </row>
    <row r="742" spans="1:12" ht="22.9" customHeight="1" x14ac:dyDescent="0.25">
      <c r="A742" s="257"/>
      <c r="B742" s="253">
        <v>45376</v>
      </c>
      <c r="C742" s="298">
        <v>10025412.699999999</v>
      </c>
      <c r="D742" s="295">
        <f>'Bank Int.'!$C742*7.5%/360</f>
        <v>2088.6276458333332</v>
      </c>
      <c r="E742" s="254">
        <v>15890927.74</v>
      </c>
      <c r="F742" s="295">
        <f>'Bank Int.'!$E742*7.5%/360</f>
        <v>3310.6099458333333</v>
      </c>
      <c r="G742" s="305">
        <v>858</v>
      </c>
      <c r="H742" s="303">
        <f>'Bank Int.'!$G742*4.5%/360</f>
        <v>0.10725</v>
      </c>
      <c r="I742" s="306">
        <v>41417.120000000003</v>
      </c>
      <c r="J742" s="307">
        <f>'Bank Int.'!$I742*6.5%/360</f>
        <v>7.4780911111111124</v>
      </c>
      <c r="K742" s="338">
        <v>29715</v>
      </c>
      <c r="L742" s="307">
        <f>'Bank Int.'!$K742*6.5%/360</f>
        <v>5.3652083333333334</v>
      </c>
    </row>
    <row r="743" spans="1:12" ht="22.9" customHeight="1" x14ac:dyDescent="0.25">
      <c r="A743" s="257"/>
      <c r="B743" s="253">
        <v>45375</v>
      </c>
      <c r="C743" s="298">
        <v>9570412.6999999993</v>
      </c>
      <c r="D743" s="295">
        <f>'Bank Int.'!$C743*7.5%/360</f>
        <v>1993.8359791666664</v>
      </c>
      <c r="E743" s="254">
        <v>15890927.74</v>
      </c>
      <c r="F743" s="295">
        <f>'Bank Int.'!$E743*7.5%/360</f>
        <v>3310.6099458333333</v>
      </c>
      <c r="G743" s="305">
        <v>455858</v>
      </c>
      <c r="H743" s="303">
        <f>'Bank Int.'!$G743*4.5%/360</f>
        <v>56.982250000000001</v>
      </c>
      <c r="I743" s="306">
        <v>41417.120000000003</v>
      </c>
      <c r="J743" s="307">
        <f>'Bank Int.'!$I743*6.5%/360</f>
        <v>7.4780911111111124</v>
      </c>
      <c r="K743" s="338">
        <v>29715</v>
      </c>
      <c r="L743" s="307">
        <f>'Bank Int.'!$K743*6.5%/360</f>
        <v>5.3652083333333334</v>
      </c>
    </row>
    <row r="744" spans="1:12" ht="22.9" customHeight="1" x14ac:dyDescent="0.25">
      <c r="A744" s="257"/>
      <c r="B744" s="253">
        <v>45374</v>
      </c>
      <c r="C744" s="298">
        <v>8770412.6999999993</v>
      </c>
      <c r="D744" s="295">
        <f>'Bank Int.'!$C744*7.5%/360</f>
        <v>1827.1693124999997</v>
      </c>
      <c r="E744" s="254">
        <v>15890927.74</v>
      </c>
      <c r="F744" s="295">
        <f>'Bank Int.'!$E744*7.5%/360</f>
        <v>3310.6099458333333</v>
      </c>
      <c r="G744" s="305">
        <v>455858</v>
      </c>
      <c r="H744" s="303">
        <f>'Bank Int.'!$G744*4.5%/360</f>
        <v>56.982250000000001</v>
      </c>
      <c r="I744" s="306">
        <v>41417.120000000003</v>
      </c>
      <c r="J744" s="307">
        <f>'Bank Int.'!$I744*6.5%/360</f>
        <v>7.4780911111111124</v>
      </c>
      <c r="K744" s="338">
        <v>29715</v>
      </c>
      <c r="L744" s="307">
        <f>'Bank Int.'!$K744*6.5%/360</f>
        <v>5.3652083333333334</v>
      </c>
    </row>
    <row r="745" spans="1:12" ht="22.9" customHeight="1" x14ac:dyDescent="0.25">
      <c r="A745" s="257"/>
      <c r="B745" s="253">
        <v>45373</v>
      </c>
      <c r="C745" s="298">
        <v>8770412.6999999993</v>
      </c>
      <c r="D745" s="295">
        <f>'Bank Int.'!$C745*7.5%/360</f>
        <v>1827.1693124999997</v>
      </c>
      <c r="E745" s="254">
        <v>15890927.74</v>
      </c>
      <c r="F745" s="295">
        <f>'Bank Int.'!$E745*7.5%/360</f>
        <v>3310.6099458333333</v>
      </c>
      <c r="G745" s="305">
        <v>455858</v>
      </c>
      <c r="H745" s="303">
        <f>'Bank Int.'!$G745*4.5%/360</f>
        <v>56.982250000000001</v>
      </c>
      <c r="I745" s="306">
        <v>41417.120000000003</v>
      </c>
      <c r="J745" s="307">
        <f>'Bank Int.'!$I745*6.5%/360</f>
        <v>7.4780911111111124</v>
      </c>
      <c r="K745" s="338">
        <v>29715</v>
      </c>
      <c r="L745" s="307">
        <f>'Bank Int.'!$K745*6.5%/360</f>
        <v>5.3652083333333334</v>
      </c>
    </row>
    <row r="746" spans="1:12" ht="22.9" customHeight="1" x14ac:dyDescent="0.25">
      <c r="A746" s="257"/>
      <c r="B746" s="253">
        <v>45372</v>
      </c>
      <c r="C746" s="298">
        <v>8770412.6999999993</v>
      </c>
      <c r="D746" s="295">
        <f>'Bank Int.'!$C746*7.5%/360</f>
        <v>1827.1693124999997</v>
      </c>
      <c r="E746" s="254">
        <v>15890927.74</v>
      </c>
      <c r="F746" s="295">
        <f>'Bank Int.'!$E746*7.5%/360</f>
        <v>3310.6099458333333</v>
      </c>
      <c r="G746" s="305">
        <v>455858</v>
      </c>
      <c r="H746" s="303">
        <f>'Bank Int.'!$G746*4.5%/360</f>
        <v>56.982250000000001</v>
      </c>
      <c r="I746" s="306">
        <v>41417.120000000003</v>
      </c>
      <c r="J746" s="307">
        <f>'Bank Int.'!$I746*6.5%/360</f>
        <v>7.4780911111111124</v>
      </c>
      <c r="K746" s="338">
        <v>29715</v>
      </c>
      <c r="L746" s="307">
        <f>'Bank Int.'!$K746*6.5%/360</f>
        <v>5.3652083333333334</v>
      </c>
    </row>
    <row r="747" spans="1:12" ht="22.9" customHeight="1" x14ac:dyDescent="0.25">
      <c r="A747" s="257"/>
      <c r="B747" s="253">
        <v>45371</v>
      </c>
      <c r="C747" s="298">
        <v>1930782.7</v>
      </c>
      <c r="D747" s="295">
        <f>'Bank Int.'!$C747*7.5%/360</f>
        <v>402.24639583333328</v>
      </c>
      <c r="E747" s="254">
        <v>15890927.74</v>
      </c>
      <c r="F747" s="295">
        <f>'Bank Int.'!$E747*7.5%/360</f>
        <v>3310.6099458333333</v>
      </c>
      <c r="G747" s="305">
        <v>3624858</v>
      </c>
      <c r="H747" s="303">
        <f>'Bank Int.'!$G747*4.5%/360</f>
        <v>453.10724999999996</v>
      </c>
      <c r="I747" s="306">
        <v>41417.120000000003</v>
      </c>
      <c r="J747" s="307">
        <f>'Bank Int.'!$I747*6.5%/360</f>
        <v>7.4780911111111124</v>
      </c>
      <c r="K747" s="338">
        <v>29715</v>
      </c>
      <c r="L747" s="307">
        <f>'Bank Int.'!$K747*6.5%/360</f>
        <v>5.3652083333333334</v>
      </c>
    </row>
    <row r="748" spans="1:12" ht="22.9" customHeight="1" x14ac:dyDescent="0.25">
      <c r="A748" s="257"/>
      <c r="B748" s="253">
        <v>45370</v>
      </c>
      <c r="C748" s="298">
        <v>1829322.7</v>
      </c>
      <c r="D748" s="295">
        <f>'Bank Int.'!$C748*7.5%/360</f>
        <v>381.10889583333329</v>
      </c>
      <c r="E748" s="254">
        <v>15890973.789999999</v>
      </c>
      <c r="F748" s="295">
        <f>'Bank Int.'!$E748*7.5%/360</f>
        <v>3310.6195395833329</v>
      </c>
      <c r="G748" s="305">
        <v>3524858</v>
      </c>
      <c r="H748" s="303">
        <f>'Bank Int.'!$G748*4.5%/360</f>
        <v>440.60724999999996</v>
      </c>
      <c r="I748" s="306">
        <v>41417.120000000003</v>
      </c>
      <c r="J748" s="307">
        <f>'Bank Int.'!$I748*6.5%/360</f>
        <v>7.4780911111111124</v>
      </c>
      <c r="K748" s="338">
        <v>29715</v>
      </c>
      <c r="L748" s="307">
        <f>'Bank Int.'!$K748*6.5%/360</f>
        <v>5.3652083333333334</v>
      </c>
    </row>
    <row r="749" spans="1:12" ht="22.9" customHeight="1" x14ac:dyDescent="0.25">
      <c r="A749" s="257"/>
      <c r="B749" s="253">
        <v>45369</v>
      </c>
      <c r="C749" s="298">
        <v>2046582.7</v>
      </c>
      <c r="D749" s="295">
        <f>'Bank Int.'!$C749*7.5%/360</f>
        <v>426.37139583333328</v>
      </c>
      <c r="E749" s="254">
        <v>36257249.390000001</v>
      </c>
      <c r="F749" s="295">
        <f>'Bank Int.'!$E749*7.5%/360</f>
        <v>7553.5936229166664</v>
      </c>
      <c r="G749" s="305">
        <v>940935</v>
      </c>
      <c r="H749" s="303">
        <f>'Bank Int.'!$G749*4.5%/360</f>
        <v>117.61687499999999</v>
      </c>
      <c r="I749" s="306">
        <v>41417.120000000003</v>
      </c>
      <c r="J749" s="307">
        <f>'Bank Int.'!$I749*6.5%/360</f>
        <v>7.4780911111111124</v>
      </c>
      <c r="K749" s="338">
        <v>29715</v>
      </c>
      <c r="L749" s="307">
        <f>'Bank Int.'!$K749*6.5%/360</f>
        <v>5.3652083333333334</v>
      </c>
    </row>
    <row r="750" spans="1:12" ht="22.9" customHeight="1" x14ac:dyDescent="0.25">
      <c r="A750" s="257"/>
      <c r="B750" s="253">
        <v>45368</v>
      </c>
      <c r="C750" s="298">
        <v>2046582.7</v>
      </c>
      <c r="D750" s="295">
        <f>'Bank Int.'!$C750*7.5%/360</f>
        <v>426.37139583333328</v>
      </c>
      <c r="E750" s="254">
        <v>16257249.390000001</v>
      </c>
      <c r="F750" s="295">
        <f>'Bank Int.'!$E750*7.5%/360</f>
        <v>3386.9269562499999</v>
      </c>
      <c r="G750" s="305">
        <v>955</v>
      </c>
      <c r="H750" s="303">
        <f>'Bank Int.'!$G750*4.5%/360</f>
        <v>0.11937500000000001</v>
      </c>
      <c r="I750" s="306">
        <v>41417.120000000003</v>
      </c>
      <c r="J750" s="307">
        <f>'Bank Int.'!$I750*6.5%/360</f>
        <v>7.4780911111111124</v>
      </c>
      <c r="K750" s="338">
        <v>29715</v>
      </c>
      <c r="L750" s="307">
        <f>'Bank Int.'!$K750*6.5%/360</f>
        <v>5.3652083333333334</v>
      </c>
    </row>
    <row r="751" spans="1:12" ht="22.9" customHeight="1" x14ac:dyDescent="0.25">
      <c r="A751" s="257"/>
      <c r="B751" s="253">
        <v>45367</v>
      </c>
      <c r="C751" s="298">
        <v>2046582.7</v>
      </c>
      <c r="D751" s="295">
        <f>'Bank Int.'!$C751*7.5%/360</f>
        <v>426.37139583333328</v>
      </c>
      <c r="E751" s="254">
        <v>16257249.390000001</v>
      </c>
      <c r="F751" s="295">
        <f>'Bank Int.'!$E751*7.5%/360</f>
        <v>3386.9269562499999</v>
      </c>
      <c r="G751" s="305">
        <v>955</v>
      </c>
      <c r="H751" s="303">
        <f>'Bank Int.'!$G751*4.5%/360</f>
        <v>0.11937500000000001</v>
      </c>
      <c r="I751" s="306">
        <v>41417.120000000003</v>
      </c>
      <c r="J751" s="307">
        <f>'Bank Int.'!$I751*6.5%/360</f>
        <v>7.4780911111111124</v>
      </c>
      <c r="K751" s="338">
        <v>29715</v>
      </c>
      <c r="L751" s="307">
        <f>'Bank Int.'!$K751*6.5%/360</f>
        <v>5.3652083333333334</v>
      </c>
    </row>
    <row r="752" spans="1:12" ht="22.9" customHeight="1" x14ac:dyDescent="0.25">
      <c r="A752" s="257"/>
      <c r="B752" s="253">
        <v>45366</v>
      </c>
      <c r="C752" s="298">
        <v>2046582.7</v>
      </c>
      <c r="D752" s="295">
        <f>'Bank Int.'!$C752*7.5%/360</f>
        <v>426.37139583333328</v>
      </c>
      <c r="E752" s="254">
        <v>16257249.390000001</v>
      </c>
      <c r="F752" s="295">
        <f>'Bank Int.'!$E752*7.5%/360</f>
        <v>3386.9269562499999</v>
      </c>
      <c r="G752" s="305">
        <v>955</v>
      </c>
      <c r="H752" s="303">
        <f>'Bank Int.'!$G752*4.5%/360</f>
        <v>0.11937500000000001</v>
      </c>
      <c r="I752" s="306">
        <v>41417.120000000003</v>
      </c>
      <c r="J752" s="307">
        <f>'Bank Int.'!$I752*6.5%/360</f>
        <v>7.4780911111111124</v>
      </c>
      <c r="K752" s="338">
        <v>29715</v>
      </c>
      <c r="L752" s="307">
        <f>'Bank Int.'!$K752*6.5%/360</f>
        <v>5.3652083333333334</v>
      </c>
    </row>
    <row r="753" spans="1:12" ht="22.5" customHeight="1" x14ac:dyDescent="0.25">
      <c r="A753" s="257"/>
      <c r="B753" s="253">
        <v>45365</v>
      </c>
      <c r="C753" s="298">
        <v>2046582.7</v>
      </c>
      <c r="D753" s="295">
        <f>'Bank Int.'!$C753*7.5%/360</f>
        <v>426.37139583333328</v>
      </c>
      <c r="E753" s="254">
        <v>16257249.390000001</v>
      </c>
      <c r="F753" s="295">
        <f>'Bank Int.'!$E753*7.5%/360</f>
        <v>3386.9269562499999</v>
      </c>
      <c r="G753" s="305">
        <v>955</v>
      </c>
      <c r="H753" s="303">
        <f>'Bank Int.'!$G753*4.5%/360</f>
        <v>0.11937500000000001</v>
      </c>
      <c r="I753" s="306">
        <v>41417.120000000003</v>
      </c>
      <c r="J753" s="307">
        <f>'Bank Int.'!$I753*6.5%/360</f>
        <v>7.4780911111111124</v>
      </c>
      <c r="K753" s="338">
        <v>29715</v>
      </c>
      <c r="L753" s="307">
        <f>'Bank Int.'!$K753*6.5%/360</f>
        <v>5.3652083333333334</v>
      </c>
    </row>
    <row r="754" spans="1:12" ht="22.9" customHeight="1" x14ac:dyDescent="0.25">
      <c r="A754" s="257"/>
      <c r="B754" s="253">
        <f>B753-1</f>
        <v>45364</v>
      </c>
      <c r="C754" s="298">
        <v>120582.7</v>
      </c>
      <c r="D754" s="295">
        <f>'Bank Int.'!$C754*7.5%/360</f>
        <v>25.121395833333331</v>
      </c>
      <c r="E754" s="254">
        <v>16257249.390000001</v>
      </c>
      <c r="F754" s="295">
        <f>'Bank Int.'!$E754*7.5%/360</f>
        <v>3386.9269562499999</v>
      </c>
      <c r="G754" s="305">
        <v>1921955</v>
      </c>
      <c r="H754" s="303">
        <f>'Bank Int.'!$G754*4.5%/360</f>
        <v>240.24437499999996</v>
      </c>
      <c r="I754" s="306">
        <v>41417.120000000003</v>
      </c>
      <c r="J754" s="307">
        <f>'Bank Int.'!$I754*6.5%/360</f>
        <v>7.4780911111111124</v>
      </c>
      <c r="K754" s="338">
        <v>29715</v>
      </c>
      <c r="L754" s="307">
        <f>'Bank Int.'!$K754*6.5%/360</f>
        <v>5.3652083333333334</v>
      </c>
    </row>
    <row r="755" spans="1:12" ht="22.9" customHeight="1" x14ac:dyDescent="0.25">
      <c r="A755" s="257"/>
      <c r="B755" s="253">
        <f t="shared" ref="B755:B759" si="94">B754-1</f>
        <v>45363</v>
      </c>
      <c r="C755" s="298">
        <v>6503164.3600000003</v>
      </c>
      <c r="D755" s="295">
        <f>'Bank Int.'!$C755*7.5%/360</f>
        <v>1354.8259083333332</v>
      </c>
      <c r="E755" s="254">
        <v>19757249.390000001</v>
      </c>
      <c r="F755" s="295">
        <f>'Bank Int.'!$E755*7.5%/360</f>
        <v>4116.0936229166664</v>
      </c>
      <c r="G755" s="305">
        <v>1921955</v>
      </c>
      <c r="H755" s="303">
        <f>'Bank Int.'!$G755*4.5%/360</f>
        <v>240.24437499999996</v>
      </c>
      <c r="I755" s="306">
        <v>41417.120000000003</v>
      </c>
      <c r="J755" s="307">
        <f>'Bank Int.'!$I755*6.5%/360</f>
        <v>7.4780911111111124</v>
      </c>
      <c r="K755" s="338">
        <v>29715</v>
      </c>
      <c r="L755" s="307">
        <f>'Bank Int.'!$K755*6.5%/360</f>
        <v>5.3652083333333334</v>
      </c>
    </row>
    <row r="756" spans="1:12" ht="22.9" customHeight="1" x14ac:dyDescent="0.25">
      <c r="A756" s="257"/>
      <c r="B756" s="253">
        <f t="shared" si="94"/>
        <v>45362</v>
      </c>
      <c r="C756" s="298">
        <v>7102951.8799999999</v>
      </c>
      <c r="D756" s="295">
        <f>'Bank Int.'!$C756*7.5%/360</f>
        <v>1479.7816416666665</v>
      </c>
      <c r="E756" s="254">
        <v>44127849.390000001</v>
      </c>
      <c r="F756" s="295">
        <f>'Bank Int.'!$E756*7.5%/360</f>
        <v>9193.3019562499994</v>
      </c>
      <c r="G756" s="305">
        <v>1921955</v>
      </c>
      <c r="H756" s="303">
        <f>'Bank Int.'!$G756*4.5%/360</f>
        <v>240.24437499999996</v>
      </c>
      <c r="I756" s="306">
        <v>41417.120000000003</v>
      </c>
      <c r="J756" s="307">
        <f>'Bank Int.'!$I756*6.5%/360</f>
        <v>7.4780911111111124</v>
      </c>
      <c r="K756" s="338">
        <v>29715</v>
      </c>
      <c r="L756" s="307">
        <f>'Bank Int.'!$K756*6.5%/360</f>
        <v>5.3652083333333334</v>
      </c>
    </row>
    <row r="757" spans="1:12" ht="22.9" customHeight="1" x14ac:dyDescent="0.25">
      <c r="A757" s="257"/>
      <c r="B757" s="253">
        <f t="shared" si="94"/>
        <v>45361</v>
      </c>
      <c r="C757" s="298">
        <v>7102951.8799999999</v>
      </c>
      <c r="D757" s="295">
        <f>'Bank Int.'!$C757*7.5%/360</f>
        <v>1479.7816416666665</v>
      </c>
      <c r="E757" s="254">
        <v>810504.59</v>
      </c>
      <c r="F757" s="295">
        <f>'Bank Int.'!$E757*7.5%/360</f>
        <v>168.85512291666666</v>
      </c>
      <c r="G757" s="305">
        <v>1916955</v>
      </c>
      <c r="H757" s="303">
        <f>'Bank Int.'!$G757*4.5%/360</f>
        <v>239.61937499999996</v>
      </c>
      <c r="I757" s="306">
        <v>41417.120000000003</v>
      </c>
      <c r="J757" s="307">
        <f>'Bank Int.'!$I757*6.5%/360</f>
        <v>7.4780911111111124</v>
      </c>
      <c r="K757" s="338">
        <v>29715</v>
      </c>
      <c r="L757" s="307">
        <f>'Bank Int.'!$K757*6.5%/360</f>
        <v>5.3652083333333334</v>
      </c>
    </row>
    <row r="758" spans="1:12" ht="22.9" customHeight="1" x14ac:dyDescent="0.25">
      <c r="A758" s="257"/>
      <c r="B758" s="253">
        <f t="shared" si="94"/>
        <v>45360</v>
      </c>
      <c r="C758" s="298">
        <v>7102951.8799999999</v>
      </c>
      <c r="D758" s="295">
        <f>'Bank Int.'!$C758*7.5%/360</f>
        <v>1479.7816416666665</v>
      </c>
      <c r="E758" s="254">
        <v>792828.45</v>
      </c>
      <c r="F758" s="295">
        <f>'Bank Int.'!$E758*7.5%/360</f>
        <v>165.17259374999998</v>
      </c>
      <c r="G758" s="305">
        <v>295685</v>
      </c>
      <c r="H758" s="303">
        <f>'Bank Int.'!$G758*4.5%/360</f>
        <v>36.960625</v>
      </c>
      <c r="I758" s="306">
        <v>41417.120000000003</v>
      </c>
      <c r="J758" s="307">
        <f>'Bank Int.'!$I758*6.5%/360</f>
        <v>7.4780911111111124</v>
      </c>
      <c r="K758" s="338">
        <v>29715</v>
      </c>
      <c r="L758" s="307">
        <f>'Bank Int.'!$K758*6.5%/360</f>
        <v>5.3652083333333334</v>
      </c>
    </row>
    <row r="759" spans="1:12" ht="22.9" customHeight="1" x14ac:dyDescent="0.25">
      <c r="A759" s="257"/>
      <c r="B759" s="253">
        <f t="shared" si="94"/>
        <v>45359</v>
      </c>
      <c r="C759" s="298">
        <v>7102951.8799999999</v>
      </c>
      <c r="D759" s="295">
        <f>'Bank Int.'!$C759*7.5%/360</f>
        <v>1479.7816416666665</v>
      </c>
      <c r="E759" s="254">
        <v>792828.45</v>
      </c>
      <c r="F759" s="295">
        <f>'Bank Int.'!$E759*7.5%/360</f>
        <v>165.17259374999998</v>
      </c>
      <c r="G759" s="305">
        <v>295685</v>
      </c>
      <c r="H759" s="303">
        <f>'Bank Int.'!$G759*4.5%/360</f>
        <v>36.960625</v>
      </c>
      <c r="I759" s="306">
        <v>41417.120000000003</v>
      </c>
      <c r="J759" s="307">
        <f>'Bank Int.'!$I759*6.5%/360</f>
        <v>7.4780911111111124</v>
      </c>
      <c r="K759" s="338">
        <v>29715</v>
      </c>
      <c r="L759" s="307">
        <f>'Bank Int.'!$K759*6.5%/360</f>
        <v>5.3652083333333334</v>
      </c>
    </row>
    <row r="760" spans="1:12" ht="22.9" customHeight="1" x14ac:dyDescent="0.25">
      <c r="A760" s="257"/>
      <c r="B760" s="339">
        <v>45358</v>
      </c>
      <c r="C760" s="340">
        <v>7102951.8799999999</v>
      </c>
      <c r="D760" s="341">
        <f>'Bank Int.'!$C760*7.5%/360</f>
        <v>1479.7816416666665</v>
      </c>
      <c r="E760" s="342">
        <v>792828.45</v>
      </c>
      <c r="F760" s="295">
        <f>'Bank Int.'!$E760*7.5%/360</f>
        <v>165.17259374999998</v>
      </c>
      <c r="G760" s="343">
        <v>295685</v>
      </c>
      <c r="H760" s="303">
        <f>'Bank Int.'!$G760*4.5%/360</f>
        <v>36.960625</v>
      </c>
      <c r="I760" s="306">
        <v>41417.120000000003</v>
      </c>
      <c r="J760" s="307">
        <f>'Bank Int.'!$I760*6.5%/360</f>
        <v>7.4780911111111124</v>
      </c>
      <c r="K760" s="338">
        <v>29715</v>
      </c>
      <c r="L760" s="307">
        <f>'Bank Int.'!$K760*6.5%/360</f>
        <v>5.3652083333333334</v>
      </c>
    </row>
    <row r="761" spans="1:12" ht="22.9" customHeight="1" x14ac:dyDescent="0.25">
      <c r="A761" s="257"/>
      <c r="B761" s="339">
        <v>45357</v>
      </c>
      <c r="C761" s="340">
        <v>7102951.8799999999</v>
      </c>
      <c r="D761" s="341">
        <f>'Bank Int.'!$C761*7.5%/360</f>
        <v>1479.7816416666665</v>
      </c>
      <c r="E761" s="342">
        <v>792828.45</v>
      </c>
      <c r="F761" s="295">
        <f>'Bank Int.'!$E761*7.5%/360</f>
        <v>165.17259374999998</v>
      </c>
      <c r="G761" s="343">
        <v>295685</v>
      </c>
      <c r="H761" s="303">
        <f>'Bank Int.'!$G761*4.5%/360</f>
        <v>36.960625</v>
      </c>
      <c r="I761" s="306">
        <v>41417.120000000003</v>
      </c>
      <c r="J761" s="307">
        <f>'Bank Int.'!$I761*6.5%/360</f>
        <v>7.4780911111111124</v>
      </c>
      <c r="K761" s="338">
        <v>29715</v>
      </c>
      <c r="L761" s="307">
        <f>'Bank Int.'!$K761*6.5%/360</f>
        <v>5.3652083333333334</v>
      </c>
    </row>
    <row r="762" spans="1:12" ht="22.9" customHeight="1" x14ac:dyDescent="0.25">
      <c r="A762" s="257"/>
      <c r="B762" s="339">
        <v>45356</v>
      </c>
      <c r="C762" s="340">
        <v>1448021.88</v>
      </c>
      <c r="D762" s="341">
        <f>'Bank Int.'!$C762*7.5%/360</f>
        <v>301.67122499999999</v>
      </c>
      <c r="E762" s="342">
        <v>2388935.71</v>
      </c>
      <c r="F762" s="295">
        <f>'Bank Int.'!$E762*7.5%/360</f>
        <v>497.69493958333334</v>
      </c>
      <c r="G762" s="343">
        <v>295685</v>
      </c>
      <c r="H762" s="303">
        <f>'Bank Int.'!$G762*4.5%/360</f>
        <v>36.960625</v>
      </c>
      <c r="I762" s="306">
        <v>41417.120000000003</v>
      </c>
      <c r="J762" s="307">
        <f>'Bank Int.'!$I762*6.5%/360</f>
        <v>7.4780911111111124</v>
      </c>
      <c r="K762" s="338">
        <v>29715</v>
      </c>
      <c r="L762" s="307">
        <f>'Bank Int.'!$K762*6.5%/360</f>
        <v>5.3652083333333334</v>
      </c>
    </row>
    <row r="763" spans="1:12" ht="22.9" customHeight="1" x14ac:dyDescent="0.25">
      <c r="A763" s="257"/>
      <c r="B763" s="339">
        <v>45355</v>
      </c>
      <c r="C763" s="340">
        <v>1448021.88</v>
      </c>
      <c r="D763" s="341">
        <f>'Bank Int.'!$C763*7.5%/360</f>
        <v>301.67122499999999</v>
      </c>
      <c r="E763" s="342">
        <v>2384284.6</v>
      </c>
      <c r="F763" s="295">
        <f>'Bank Int.'!$E763*7.5%/360</f>
        <v>496.72595833333332</v>
      </c>
      <c r="G763" s="343">
        <v>685</v>
      </c>
      <c r="H763" s="303">
        <f>'Bank Int.'!$G763*4.5%/360</f>
        <v>8.5624999999999993E-2</v>
      </c>
      <c r="I763" s="306">
        <v>41417.120000000003</v>
      </c>
      <c r="J763" s="307">
        <f>'Bank Int.'!$I763*6.5%/360</f>
        <v>7.4780911111111124</v>
      </c>
      <c r="K763" s="338">
        <v>29715</v>
      </c>
      <c r="L763" s="307">
        <f>'Bank Int.'!$K763*6.5%/360</f>
        <v>5.3652083333333334</v>
      </c>
    </row>
    <row r="764" spans="1:12" ht="22.9" customHeight="1" x14ac:dyDescent="0.25">
      <c r="A764" s="257"/>
      <c r="B764" s="339">
        <v>45354</v>
      </c>
      <c r="C764" s="340">
        <v>1448021.88</v>
      </c>
      <c r="D764" s="341">
        <f>'Bank Int.'!$C764*7.5%/360</f>
        <v>301.67122499999999</v>
      </c>
      <c r="E764" s="342">
        <v>9202526.4000000004</v>
      </c>
      <c r="F764" s="295">
        <f>'Bank Int.'!$E764*7.5%/360</f>
        <v>1917.193</v>
      </c>
      <c r="G764" s="343">
        <v>685</v>
      </c>
      <c r="H764" s="303">
        <f>'Bank Int.'!$G764*4.5%/360</f>
        <v>8.5624999999999993E-2</v>
      </c>
      <c r="I764" s="306">
        <v>41417.120000000003</v>
      </c>
      <c r="J764" s="307">
        <f>'Bank Int.'!$I764*6.5%/360</f>
        <v>7.4780911111111124</v>
      </c>
      <c r="K764" s="338">
        <v>29715</v>
      </c>
      <c r="L764" s="307">
        <f>'Bank Int.'!$K764*6.5%/360</f>
        <v>5.3652083333333334</v>
      </c>
    </row>
    <row r="765" spans="1:12" ht="22.9" customHeight="1" x14ac:dyDescent="0.25">
      <c r="A765" s="257"/>
      <c r="B765" s="339">
        <v>45353</v>
      </c>
      <c r="C765" s="340">
        <v>1048021.88</v>
      </c>
      <c r="D765" s="341">
        <f>'Bank Int.'!$C765*7.5%/360</f>
        <v>218.33789166666668</v>
      </c>
      <c r="E765" s="342">
        <v>9202526.4000000004</v>
      </c>
      <c r="F765" s="295">
        <f>'Bank Int.'!$E765*7.5%/360</f>
        <v>1917.193</v>
      </c>
      <c r="G765" s="343">
        <v>685</v>
      </c>
      <c r="H765" s="303">
        <f>'Bank Int.'!$G765*4.5%/360</f>
        <v>8.5624999999999993E-2</v>
      </c>
      <c r="I765" s="306">
        <v>41417.120000000003</v>
      </c>
      <c r="J765" s="307">
        <f>'Bank Int.'!$I765*6.5%/360</f>
        <v>7.4780911111111124</v>
      </c>
      <c r="K765" s="338">
        <v>29715</v>
      </c>
      <c r="L765" s="307">
        <f>'Bank Int.'!$K765*6.5%/360</f>
        <v>5.3652083333333334</v>
      </c>
    </row>
    <row r="766" spans="1:12" ht="22.9" customHeight="1" x14ac:dyDescent="0.25">
      <c r="A766" s="257"/>
      <c r="B766" s="339">
        <v>45352</v>
      </c>
      <c r="C766" s="340">
        <v>1048021.88</v>
      </c>
      <c r="D766" s="341">
        <f>'Bank Int.'!$C766*7.5%/360</f>
        <v>218.33789166666668</v>
      </c>
      <c r="E766" s="342">
        <v>9202526.4000000004</v>
      </c>
      <c r="F766" s="295">
        <f>'Bank Int.'!$E766*7.5%/360</f>
        <v>1917.193</v>
      </c>
      <c r="G766" s="343">
        <v>685</v>
      </c>
      <c r="H766" s="303">
        <f>'Bank Int.'!$G766*4.5%/360</f>
        <v>8.5624999999999993E-2</v>
      </c>
      <c r="I766" s="306">
        <v>41417.120000000003</v>
      </c>
      <c r="J766" s="307">
        <f>'Bank Int.'!$I766*6.5%/360</f>
        <v>7.4780911111111124</v>
      </c>
      <c r="K766" s="338">
        <v>29715</v>
      </c>
      <c r="L766" s="307">
        <f>'Bank Int.'!$K766*6.5%/360</f>
        <v>5.3652083333333334</v>
      </c>
    </row>
    <row r="767" spans="1:12" ht="22.9" customHeight="1" x14ac:dyDescent="0.25">
      <c r="A767" s="257"/>
      <c r="B767" s="253">
        <v>45351</v>
      </c>
      <c r="C767" s="298">
        <f>238021.88+810000</f>
        <v>1048021.88</v>
      </c>
      <c r="D767" s="295">
        <f>'Bank Int.'!$C767*7.5%/360</f>
        <v>218.33789166666668</v>
      </c>
      <c r="E767" s="254">
        <f>8702526.4+500000</f>
        <v>9202526.4000000004</v>
      </c>
      <c r="F767" s="295">
        <f>'Bank Int.'!$E767*7.5%/360</f>
        <v>1917.193</v>
      </c>
      <c r="G767" s="305">
        <v>685</v>
      </c>
      <c r="H767" s="303">
        <f>'Bank Int.'!$G767*4.5%/360</f>
        <v>8.5624999999999993E-2</v>
      </c>
      <c r="I767" s="306">
        <v>41417.120000000003</v>
      </c>
      <c r="J767" s="307">
        <f>'Bank Int.'!$I767*6.5%/360</f>
        <v>7.4780911111111124</v>
      </c>
      <c r="K767" s="338">
        <v>29715</v>
      </c>
      <c r="L767" s="307">
        <f>'Bank Int.'!$K767*6.5%/360</f>
        <v>5.3652083333333334</v>
      </c>
    </row>
    <row r="768" spans="1:12" ht="22.9" customHeight="1" x14ac:dyDescent="0.25">
      <c r="A768" s="257"/>
      <c r="B768" s="253">
        <v>45350</v>
      </c>
      <c r="C768" s="298">
        <v>552114.56000000006</v>
      </c>
      <c r="D768" s="295">
        <f>'Bank Int.'!$C768*7.5%/360</f>
        <v>115.02386666666668</v>
      </c>
      <c r="E768" s="254">
        <v>5202526.4000000004</v>
      </c>
      <c r="F768" s="295">
        <f>'Bank Int.'!$E768*7.5%/360</f>
        <v>1083.8596666666667</v>
      </c>
      <c r="G768" s="305">
        <v>810685</v>
      </c>
      <c r="H768" s="303">
        <f>'Bank Int.'!$G768*4.5%/360</f>
        <v>101.33562499999999</v>
      </c>
      <c r="I768" s="306">
        <v>5053617.12</v>
      </c>
      <c r="J768" s="307">
        <f>'Bank Int.'!$I768*6.5%/360</f>
        <v>912.45864666666671</v>
      </c>
      <c r="K768" s="338">
        <v>29715</v>
      </c>
      <c r="L768" s="307">
        <f>'Bank Int.'!$K768*6.5%/360</f>
        <v>5.3652083333333334</v>
      </c>
    </row>
    <row r="769" spans="1:12" ht="22.9" customHeight="1" x14ac:dyDescent="0.25">
      <c r="A769" s="257"/>
      <c r="B769" s="253">
        <v>45349</v>
      </c>
      <c r="C769" s="298">
        <v>797741.19</v>
      </c>
      <c r="D769" s="295">
        <f>'Bank Int.'!$C769*7.5%/360</f>
        <v>166.19608124999996</v>
      </c>
      <c r="E769" s="254">
        <v>2837566.4</v>
      </c>
      <c r="F769" s="295">
        <f>'Bank Int.'!$E769*7.5%/360</f>
        <v>591.15966666666657</v>
      </c>
      <c r="G769" s="305">
        <v>810685</v>
      </c>
      <c r="H769" s="303">
        <f>'Bank Int.'!$G769*4.5%/360</f>
        <v>101.33562499999999</v>
      </c>
      <c r="I769" s="306">
        <v>53617.120000000003</v>
      </c>
      <c r="J769" s="307">
        <f>'Bank Int.'!$I769*6.5%/360</f>
        <v>9.6808688888888899</v>
      </c>
      <c r="K769" s="338">
        <v>29715</v>
      </c>
      <c r="L769" s="307">
        <f>'Bank Int.'!$K769*6.5%/360</f>
        <v>5.3652083333333334</v>
      </c>
    </row>
    <row r="770" spans="1:12" ht="22.9" customHeight="1" x14ac:dyDescent="0.25">
      <c r="A770" s="257"/>
      <c r="B770" s="253">
        <v>45348</v>
      </c>
      <c r="C770" s="298">
        <v>797741.19</v>
      </c>
      <c r="D770" s="295">
        <f>'Bank Int.'!$C770*7.5%/360</f>
        <v>166.19608124999996</v>
      </c>
      <c r="E770" s="254">
        <v>774580.11</v>
      </c>
      <c r="F770" s="295">
        <f>'Bank Int.'!$E770*7.5%/360</f>
        <v>161.37085625</v>
      </c>
      <c r="G770" s="305">
        <v>5205</v>
      </c>
      <c r="H770" s="303">
        <f>'Bank Int.'!$G770*4.5%/360</f>
        <v>0.65062500000000001</v>
      </c>
      <c r="I770" s="306">
        <v>53617.120000000003</v>
      </c>
      <c r="J770" s="307">
        <f>'Bank Int.'!$I770*6.5%/360</f>
        <v>9.6808688888888899</v>
      </c>
      <c r="K770" s="338">
        <v>29715</v>
      </c>
      <c r="L770" s="307">
        <f>'Bank Int.'!$K770*6.5%/360</f>
        <v>5.3652083333333334</v>
      </c>
    </row>
    <row r="771" spans="1:12" ht="22.9" customHeight="1" x14ac:dyDescent="0.25">
      <c r="A771" s="257"/>
      <c r="B771" s="253">
        <v>45347</v>
      </c>
      <c r="C771" s="298">
        <v>797741.19</v>
      </c>
      <c r="D771" s="295">
        <f>'Bank Int.'!$C771*7.5%/360</f>
        <v>166.19608124999996</v>
      </c>
      <c r="E771" s="254">
        <v>774580.11</v>
      </c>
      <c r="F771" s="295">
        <f>'Bank Int.'!$E771*7.5%/360</f>
        <v>161.37085625</v>
      </c>
      <c r="G771" s="305">
        <v>5205</v>
      </c>
      <c r="H771" s="303">
        <f>'Bank Int.'!$G771*4.5%/360</f>
        <v>0.65062500000000001</v>
      </c>
      <c r="I771" s="306">
        <v>53617.120000000003</v>
      </c>
      <c r="J771" s="307">
        <f>'Bank Int.'!$I771*6.5%/360</f>
        <v>9.6808688888888899</v>
      </c>
      <c r="K771" s="338">
        <v>29715</v>
      </c>
      <c r="L771" s="307">
        <f>'Bank Int.'!$K771*6.5%/360</f>
        <v>5.3652083333333334</v>
      </c>
    </row>
    <row r="772" spans="1:12" ht="22.9" customHeight="1" x14ac:dyDescent="0.25">
      <c r="A772" s="257"/>
      <c r="B772" s="253">
        <v>45346</v>
      </c>
      <c r="C772" s="298">
        <v>697741.19</v>
      </c>
      <c r="D772" s="295">
        <f>'Bank Int.'!$C772*7.5%/360</f>
        <v>145.36274791666665</v>
      </c>
      <c r="E772" s="254">
        <v>774580.11</v>
      </c>
      <c r="F772" s="295">
        <f>'Bank Int.'!$E772*7.5%/360</f>
        <v>161.37085625</v>
      </c>
      <c r="G772" s="305">
        <v>5205</v>
      </c>
      <c r="H772" s="303">
        <f>'Bank Int.'!$G772*4.5%/360</f>
        <v>0.65062500000000001</v>
      </c>
      <c r="I772" s="306">
        <v>53617.120000000003</v>
      </c>
      <c r="J772" s="307">
        <f>'Bank Int.'!$I772*6.5%/360</f>
        <v>9.6808688888888899</v>
      </c>
      <c r="K772" s="338">
        <v>29715</v>
      </c>
      <c r="L772" s="307">
        <f>'Bank Int.'!$K772*6.5%/360</f>
        <v>5.3652083333333334</v>
      </c>
    </row>
    <row r="773" spans="1:12" ht="22.9" customHeight="1" x14ac:dyDescent="0.25">
      <c r="A773" s="257"/>
      <c r="B773" s="253">
        <v>45345</v>
      </c>
      <c r="C773" s="298">
        <v>697741.19</v>
      </c>
      <c r="D773" s="295">
        <f>'Bank Int.'!$C773*7.5%/360</f>
        <v>145.36274791666665</v>
      </c>
      <c r="E773" s="254">
        <v>774580.11</v>
      </c>
      <c r="F773" s="295">
        <f>'Bank Int.'!$E773*7.5%/360</f>
        <v>161.37085625</v>
      </c>
      <c r="G773" s="305">
        <v>5205</v>
      </c>
      <c r="H773" s="303">
        <f>'Bank Int.'!$G773*4.5%/360</f>
        <v>0.65062500000000001</v>
      </c>
      <c r="I773" s="306">
        <v>53617.120000000003</v>
      </c>
      <c r="J773" s="307">
        <f>'Bank Int.'!$I773*6.5%/360</f>
        <v>9.6808688888888899</v>
      </c>
      <c r="K773" s="338">
        <v>29715</v>
      </c>
      <c r="L773" s="307">
        <f>'Bank Int.'!$K773*6.5%/360</f>
        <v>5.3652083333333334</v>
      </c>
    </row>
    <row r="774" spans="1:12" ht="22.5" customHeight="1" x14ac:dyDescent="0.25">
      <c r="A774" s="257"/>
      <c r="B774" s="330">
        <v>45344</v>
      </c>
      <c r="C774" s="298">
        <v>697741.19</v>
      </c>
      <c r="D774" s="295">
        <f>'Bank Int.'!$C774*7.5%/360</f>
        <v>145.36274791666665</v>
      </c>
      <c r="E774" s="254">
        <v>774580.11</v>
      </c>
      <c r="F774" s="295">
        <f>'Bank Int.'!$E774*7.5%/360</f>
        <v>161.37085625</v>
      </c>
      <c r="G774" s="305">
        <v>5205</v>
      </c>
      <c r="H774" s="303">
        <f>'Bank Int.'!$G774*4.5%/360</f>
        <v>0.65062500000000001</v>
      </c>
      <c r="I774" s="306">
        <v>53617.120000000003</v>
      </c>
      <c r="J774" s="307">
        <f>'Bank Int.'!$I774*6.5%/360</f>
        <v>9.6808688888888899</v>
      </c>
      <c r="K774" s="338">
        <v>29715</v>
      </c>
      <c r="L774" s="307">
        <f>'Bank Int.'!$K774*6.5%/360</f>
        <v>5.3652083333333334</v>
      </c>
    </row>
    <row r="775" spans="1:12" ht="22.9" customHeight="1" x14ac:dyDescent="0.25">
      <c r="A775" s="257"/>
      <c r="B775" s="330">
        <v>45343</v>
      </c>
      <c r="C775" s="298">
        <v>560965.18999999994</v>
      </c>
      <c r="D775" s="295">
        <f>'Bank Int.'!$C775*7.5%/360</f>
        <v>116.86774791666664</v>
      </c>
      <c r="E775" s="254">
        <v>774580.11</v>
      </c>
      <c r="F775" s="295">
        <f>'Bank Int.'!$E775*7.5%/360</f>
        <v>161.37085625</v>
      </c>
      <c r="G775" s="305">
        <v>5205</v>
      </c>
      <c r="H775" s="303">
        <f>'Bank Int.'!$G775*4.5%/360</f>
        <v>0.65062500000000001</v>
      </c>
      <c r="I775" s="306">
        <v>53617.120000000003</v>
      </c>
      <c r="J775" s="307">
        <f>'Bank Int.'!$I775*6.5%/360</f>
        <v>9.6808688888888899</v>
      </c>
      <c r="K775" s="338">
        <v>29715</v>
      </c>
      <c r="L775" s="307">
        <f>'Bank Int.'!$K775*6.5%/360</f>
        <v>5.3652083333333334</v>
      </c>
    </row>
    <row r="776" spans="1:12" ht="22.9" customHeight="1" x14ac:dyDescent="0.25">
      <c r="A776" s="257"/>
      <c r="B776" s="330">
        <v>45342</v>
      </c>
      <c r="C776" s="298">
        <v>560965.18999999994</v>
      </c>
      <c r="D776" s="295">
        <f>'Bank Int.'!$C776*7.5%/360</f>
        <v>116.86774791666664</v>
      </c>
      <c r="E776" s="254">
        <v>774580.11</v>
      </c>
      <c r="F776" s="295">
        <f>'Bank Int.'!$E776*7.5%/360</f>
        <v>161.37085625</v>
      </c>
      <c r="G776" s="305">
        <v>5205</v>
      </c>
      <c r="H776" s="303">
        <f>'Bank Int.'!$G776*4.5%/360</f>
        <v>0.65062500000000001</v>
      </c>
      <c r="I776" s="306">
        <v>53617.120000000003</v>
      </c>
      <c r="J776" s="307">
        <f>'Bank Int.'!$I776*6.5%/360</f>
        <v>9.6808688888888899</v>
      </c>
      <c r="K776" s="338">
        <v>29715</v>
      </c>
      <c r="L776" s="307">
        <f>'Bank Int.'!$K776*6.5%/360</f>
        <v>5.3652083333333334</v>
      </c>
    </row>
    <row r="777" spans="1:12" ht="22.9" customHeight="1" x14ac:dyDescent="0.25">
      <c r="A777" s="257"/>
      <c r="B777" s="330">
        <v>45341</v>
      </c>
      <c r="C777" s="298">
        <v>435965.19</v>
      </c>
      <c r="D777" s="295">
        <f>'Bank Int.'!$C777*7.5%/360</f>
        <v>90.826081250000001</v>
      </c>
      <c r="E777" s="254">
        <v>774580.11</v>
      </c>
      <c r="F777" s="295">
        <f>'Bank Int.'!$E777*7.5%/360</f>
        <v>161.37085625</v>
      </c>
      <c r="G777" s="305">
        <v>5205</v>
      </c>
      <c r="H777" s="303">
        <f>'Bank Int.'!$G777*4.5%/360</f>
        <v>0.65062500000000001</v>
      </c>
      <c r="I777" s="306">
        <v>53617.120000000003</v>
      </c>
      <c r="J777" s="307">
        <f>'Bank Int.'!$I777*6.5%/360</f>
        <v>9.6808688888888899</v>
      </c>
      <c r="K777" s="338">
        <v>29715</v>
      </c>
      <c r="L777" s="307">
        <f>'Bank Int.'!$K777*6.5%/360</f>
        <v>5.3652083333333334</v>
      </c>
    </row>
    <row r="778" spans="1:12" ht="22.9" customHeight="1" x14ac:dyDescent="0.25">
      <c r="A778" s="257"/>
      <c r="B778" s="330">
        <v>45340</v>
      </c>
      <c r="C778" s="298">
        <v>6190965.1900000004</v>
      </c>
      <c r="D778" s="295">
        <f>'Bank Int.'!$C778*7.5%/360</f>
        <v>1289.7844145833333</v>
      </c>
      <c r="E778" s="254">
        <v>2871853.58</v>
      </c>
      <c r="F778" s="295">
        <f>'Bank Int.'!$E778*7.5%/360</f>
        <v>598.3028291666667</v>
      </c>
      <c r="G778" s="305">
        <v>435205</v>
      </c>
      <c r="H778" s="303">
        <f>'Bank Int.'!$G778*4.5%/360</f>
        <v>54.400624999999998</v>
      </c>
      <c r="I778" s="306">
        <v>53617.120000000003</v>
      </c>
      <c r="J778" s="307">
        <f>'Bank Int.'!$I778*6.5%/360</f>
        <v>9.6808688888888899</v>
      </c>
      <c r="K778" s="338">
        <v>29715</v>
      </c>
      <c r="L778" s="307">
        <f>'Bank Int.'!$K778*6.5%/360</f>
        <v>5.3652083333333334</v>
      </c>
    </row>
    <row r="779" spans="1:12" ht="22.9" customHeight="1" x14ac:dyDescent="0.25">
      <c r="A779" s="257"/>
      <c r="B779" s="330">
        <v>45339</v>
      </c>
      <c r="C779" s="298">
        <v>6240965.1900000004</v>
      </c>
      <c r="D779" s="295">
        <f>'Bank Int.'!$C779*7.5%/360</f>
        <v>1300.20108125</v>
      </c>
      <c r="E779" s="254">
        <v>2871853.58</v>
      </c>
      <c r="F779" s="295">
        <f>'Bank Int.'!$E779*7.5%/360</f>
        <v>598.3028291666667</v>
      </c>
      <c r="G779" s="305">
        <v>435205</v>
      </c>
      <c r="H779" s="303">
        <f>'Bank Int.'!$G779*4.5%/360</f>
        <v>54.400624999999998</v>
      </c>
      <c r="I779" s="306">
        <v>53617.120000000003</v>
      </c>
      <c r="J779" s="307">
        <f>'Bank Int.'!$I779*6.5%/360</f>
        <v>9.6808688888888899</v>
      </c>
      <c r="K779" s="338">
        <v>29715</v>
      </c>
      <c r="L779" s="307">
        <f>'Bank Int.'!$K779*6.5%/360</f>
        <v>5.3652083333333334</v>
      </c>
    </row>
    <row r="780" spans="1:12" ht="22.9" customHeight="1" x14ac:dyDescent="0.25">
      <c r="A780" s="257"/>
      <c r="B780" s="330">
        <v>45338</v>
      </c>
      <c r="C780" s="298">
        <v>6240965.1900000004</v>
      </c>
      <c r="D780" s="295">
        <f>'Bank Int.'!$C780*7.5%/360</f>
        <v>1300.20108125</v>
      </c>
      <c r="E780" s="254">
        <v>2871853.58</v>
      </c>
      <c r="F780" s="295">
        <f>'Bank Int.'!$E780*7.5%/360</f>
        <v>598.3028291666667</v>
      </c>
      <c r="G780" s="305">
        <v>435205</v>
      </c>
      <c r="H780" s="303">
        <f>'Bank Int.'!$G780*4.5%/360</f>
        <v>54.400624999999998</v>
      </c>
      <c r="I780" s="306">
        <v>53617.120000000003</v>
      </c>
      <c r="J780" s="307">
        <f>'Bank Int.'!$I780*6.5%/360</f>
        <v>9.6808688888888899</v>
      </c>
      <c r="K780" s="338">
        <v>29715</v>
      </c>
      <c r="L780" s="307">
        <f>'Bank Int.'!$K780*6.5%/360</f>
        <v>5.3652083333333334</v>
      </c>
    </row>
    <row r="781" spans="1:12" ht="22.9" customHeight="1" x14ac:dyDescent="0.25">
      <c r="A781" s="257"/>
      <c r="B781" s="330">
        <v>45337</v>
      </c>
      <c r="C781" s="298">
        <v>6240965.1900000004</v>
      </c>
      <c r="D781" s="295">
        <f>'Bank Int.'!$C781*7.5%/360</f>
        <v>1300.20108125</v>
      </c>
      <c r="E781" s="254">
        <v>2871853.58</v>
      </c>
      <c r="F781" s="295">
        <f>'Bank Int.'!$E781*7.5%/360</f>
        <v>598.3028291666667</v>
      </c>
      <c r="G781" s="305">
        <v>435205</v>
      </c>
      <c r="H781" s="303">
        <f>'Bank Int.'!$G781*4.5%/360</f>
        <v>54.400624999999998</v>
      </c>
      <c r="I781" s="306">
        <v>53617.120000000003</v>
      </c>
      <c r="J781" s="307">
        <f>'Bank Int.'!$I781*6.5%/360</f>
        <v>9.6808688888888899</v>
      </c>
      <c r="K781" s="338">
        <v>29715</v>
      </c>
      <c r="L781" s="307">
        <f>'Bank Int.'!$K781*6.5%/360</f>
        <v>5.3652083333333334</v>
      </c>
    </row>
    <row r="782" spans="1:12" ht="22.9" customHeight="1" x14ac:dyDescent="0.25">
      <c r="A782" s="257"/>
      <c r="B782" s="330">
        <v>45336</v>
      </c>
      <c r="C782" s="298">
        <v>3041587.19</v>
      </c>
      <c r="D782" s="295">
        <f>'Bank Int.'!$C782*7.5%/360</f>
        <v>633.66399791666663</v>
      </c>
      <c r="E782" s="254">
        <v>2871853.58</v>
      </c>
      <c r="F782" s="295">
        <f>'Bank Int.'!$E782*7.5%/360</f>
        <v>598.3028291666667</v>
      </c>
      <c r="G782" s="305">
        <v>400205</v>
      </c>
      <c r="H782" s="303">
        <f>'Bank Int.'!$G782*4.5%/360</f>
        <v>50.025624999999998</v>
      </c>
      <c r="I782" s="306">
        <v>53617.120000000003</v>
      </c>
      <c r="J782" s="307">
        <f>'Bank Int.'!$I782*6.5%/360</f>
        <v>9.6808688888888899</v>
      </c>
      <c r="K782" s="338">
        <v>29715</v>
      </c>
      <c r="L782" s="307">
        <f>'Bank Int.'!$K782*6.5%/360</f>
        <v>5.3652083333333334</v>
      </c>
    </row>
    <row r="783" spans="1:12" ht="22.9" customHeight="1" x14ac:dyDescent="0.25">
      <c r="A783" s="257"/>
      <c r="B783" s="330">
        <v>45335</v>
      </c>
      <c r="C783" s="298">
        <v>41587.19</v>
      </c>
      <c r="D783" s="295">
        <f>'Bank Int.'!$C783*7.5%/360</f>
        <v>8.6639979166666681</v>
      </c>
      <c r="E783" s="254">
        <v>8271968.5800000001</v>
      </c>
      <c r="F783" s="295">
        <f>'Bank Int.'!$E783*7.5%/360</f>
        <v>1723.3267874999999</v>
      </c>
      <c r="G783" s="305">
        <v>400205</v>
      </c>
      <c r="H783" s="303">
        <f>'Bank Int.'!$G783*4.5%/360</f>
        <v>50.025624999999998</v>
      </c>
      <c r="I783" s="306">
        <v>53617.120000000003</v>
      </c>
      <c r="J783" s="307">
        <f>'Bank Int.'!$I783*6.5%/360</f>
        <v>9.6808688888888899</v>
      </c>
      <c r="K783" s="338">
        <v>29715</v>
      </c>
      <c r="L783" s="307">
        <f>'Bank Int.'!$K783*6.5%/360</f>
        <v>5.3652083333333334</v>
      </c>
    </row>
    <row r="784" spans="1:12" ht="22.9" customHeight="1" x14ac:dyDescent="0.25">
      <c r="A784" s="257"/>
      <c r="B784" s="330">
        <v>45334</v>
      </c>
      <c r="C784" s="298">
        <v>380887.19</v>
      </c>
      <c r="D784" s="295">
        <f>'Bank Int.'!$C784*7.5%/360</f>
        <v>79.351497916666659</v>
      </c>
      <c r="E784" s="254">
        <v>8471968.5800000001</v>
      </c>
      <c r="F784" s="295">
        <f>'Bank Int.'!$E784*7.5%/360</f>
        <v>1764.9934541666667</v>
      </c>
      <c r="G784" s="305">
        <v>400205</v>
      </c>
      <c r="H784" s="303">
        <f>'Bank Int.'!$G784*4.5%/360</f>
        <v>50.025624999999998</v>
      </c>
      <c r="I784" s="306">
        <v>53617.120000000003</v>
      </c>
      <c r="J784" s="307">
        <f>'Bank Int.'!$I784*6.5%/360</f>
        <v>9.6808688888888899</v>
      </c>
      <c r="K784" s="338">
        <v>29715</v>
      </c>
      <c r="L784" s="307">
        <f>'Bank Int.'!$K784*6.5%/360</f>
        <v>5.3652083333333334</v>
      </c>
    </row>
    <row r="785" spans="1:12" ht="22.9" customHeight="1" x14ac:dyDescent="0.25">
      <c r="A785" s="257"/>
      <c r="B785" s="330">
        <v>45333</v>
      </c>
      <c r="C785" s="298">
        <v>380887.19</v>
      </c>
      <c r="D785" s="295">
        <f>'Bank Int.'!$C785*7.5%/360</f>
        <v>79.351497916666659</v>
      </c>
      <c r="E785" s="254">
        <v>17004519.579999998</v>
      </c>
      <c r="F785" s="295">
        <f>'Bank Int.'!$E785*7.5%/360</f>
        <v>3542.6082458333326</v>
      </c>
      <c r="G785" s="305">
        <v>400205</v>
      </c>
      <c r="H785" s="303">
        <f>'Bank Int.'!$G785*4.5%/360</f>
        <v>50.025624999999998</v>
      </c>
      <c r="I785" s="306">
        <v>53617.120000000003</v>
      </c>
      <c r="J785" s="307">
        <f>'Bank Int.'!$I785*6.5%/360</f>
        <v>9.6808688888888899</v>
      </c>
      <c r="K785" s="338">
        <v>29715</v>
      </c>
      <c r="L785" s="307">
        <f>'Bank Int.'!$K785*6.5%/360</f>
        <v>5.3652083333333334</v>
      </c>
    </row>
    <row r="786" spans="1:12" ht="22.9" customHeight="1" x14ac:dyDescent="0.25">
      <c r="A786" s="257"/>
      <c r="B786" s="330">
        <v>45332</v>
      </c>
      <c r="C786" s="298">
        <v>907887.19</v>
      </c>
      <c r="D786" s="295">
        <f>'Bank Int.'!$C786*7.5%/360</f>
        <v>189.14316458333329</v>
      </c>
      <c r="E786" s="254">
        <v>17004519.579999998</v>
      </c>
      <c r="F786" s="295">
        <f>'Bank Int.'!$E786*7.5%/360</f>
        <v>3542.6082458333326</v>
      </c>
      <c r="G786" s="305">
        <v>100205</v>
      </c>
      <c r="H786" s="303">
        <f>'Bank Int.'!$G786*4.5%/360</f>
        <v>12.525624999999998</v>
      </c>
      <c r="I786" s="306">
        <v>53617.120000000003</v>
      </c>
      <c r="J786" s="307">
        <f>'Bank Int.'!$I786*6.5%/360</f>
        <v>9.6808688888888899</v>
      </c>
      <c r="K786" s="338">
        <v>29715</v>
      </c>
      <c r="L786" s="307">
        <f>'Bank Int.'!$K786*6.5%/360</f>
        <v>5.3652083333333334</v>
      </c>
    </row>
    <row r="787" spans="1:12" ht="22.9" customHeight="1" x14ac:dyDescent="0.25">
      <c r="A787" s="257"/>
      <c r="B787" s="330">
        <v>45331</v>
      </c>
      <c r="C787" s="298">
        <v>907887.19</v>
      </c>
      <c r="D787" s="295">
        <f>'Bank Int.'!$C787*7.5%/360</f>
        <v>189.14316458333329</v>
      </c>
      <c r="E787" s="254">
        <v>17004519.579999998</v>
      </c>
      <c r="F787" s="295">
        <f>'Bank Int.'!$E787*7.5%/360</f>
        <v>3542.6082458333326</v>
      </c>
      <c r="G787" s="305">
        <v>100205</v>
      </c>
      <c r="H787" s="303">
        <f>'Bank Int.'!$G787*4.5%/360</f>
        <v>12.525624999999998</v>
      </c>
      <c r="I787" s="306">
        <v>53617.120000000003</v>
      </c>
      <c r="J787" s="307">
        <f>'Bank Int.'!$I787*6.5%/360</f>
        <v>9.6808688888888899</v>
      </c>
      <c r="K787" s="338">
        <v>29715</v>
      </c>
      <c r="L787" s="307">
        <f>'Bank Int.'!$K787*6.5%/360</f>
        <v>5.3652083333333334</v>
      </c>
    </row>
    <row r="788" spans="1:12" ht="22.9" customHeight="1" x14ac:dyDescent="0.25">
      <c r="A788" s="257"/>
      <c r="B788" s="253">
        <v>45330</v>
      </c>
      <c r="C788" s="298">
        <v>907897.19</v>
      </c>
      <c r="D788" s="295">
        <f>'Bank Int.'!$C788*7.5%/360</f>
        <v>189.14524791666662</v>
      </c>
      <c r="E788" s="254">
        <v>17004519.579999998</v>
      </c>
      <c r="F788" s="295">
        <f>'Bank Int.'!$E788*7.5%/360</f>
        <v>3542.6082458333326</v>
      </c>
      <c r="G788" s="305">
        <v>100205</v>
      </c>
      <c r="H788" s="303">
        <f>'Bank Int.'!$G788*4.5%/360</f>
        <v>12.525624999999998</v>
      </c>
      <c r="I788" s="306">
        <v>53617.120000000003</v>
      </c>
      <c r="J788" s="307">
        <f>'Bank Int.'!$I788*6.5%/360</f>
        <v>9.6808688888888899</v>
      </c>
      <c r="K788" s="338">
        <v>29715</v>
      </c>
      <c r="L788" s="307">
        <f>'Bank Int.'!$K788*6.5%/360</f>
        <v>5.3652083333333334</v>
      </c>
    </row>
    <row r="789" spans="1:12" ht="22.9" customHeight="1" x14ac:dyDescent="0.25">
      <c r="A789" s="257"/>
      <c r="B789" s="253">
        <v>45329</v>
      </c>
      <c r="C789" s="298">
        <v>297897.19</v>
      </c>
      <c r="D789" s="295">
        <f>'Bank Int.'!$C789*7.5%/360</f>
        <v>62.061914583333326</v>
      </c>
      <c r="E789" s="254">
        <v>17004519.579999998</v>
      </c>
      <c r="F789" s="295">
        <f>'Bank Int.'!$E789*7.5%/360</f>
        <v>3542.6082458333326</v>
      </c>
      <c r="G789" s="305">
        <v>210000</v>
      </c>
      <c r="H789" s="303">
        <f>'Bank Int.'!$G789*4.5%/360</f>
        <v>26.25</v>
      </c>
      <c r="I789" s="306">
        <v>53617.120000000003</v>
      </c>
      <c r="J789" s="307">
        <f>'Bank Int.'!$I789*6.5%/360</f>
        <v>9.6808688888888899</v>
      </c>
      <c r="K789" s="338">
        <v>29715</v>
      </c>
      <c r="L789" s="307">
        <f>'Bank Int.'!$K789*6.5%/360</f>
        <v>5.3652083333333334</v>
      </c>
    </row>
    <row r="790" spans="1:12" ht="22.9" customHeight="1" x14ac:dyDescent="0.25">
      <c r="A790" s="257"/>
      <c r="B790" s="253">
        <v>45328</v>
      </c>
      <c r="C790" s="298">
        <v>97897.19</v>
      </c>
      <c r="D790" s="295">
        <f>'Bank Int.'!$C790*7.5%/360</f>
        <v>20.395247916666666</v>
      </c>
      <c r="E790" s="254">
        <v>17004519.579999998</v>
      </c>
      <c r="F790" s="295">
        <f>'Bank Int.'!$E790*7.5%/360</f>
        <v>3542.6082458333326</v>
      </c>
      <c r="G790" s="305">
        <v>210000</v>
      </c>
      <c r="H790" s="303">
        <f>'Bank Int.'!$G790*4.5%/360</f>
        <v>26.25</v>
      </c>
      <c r="I790" s="306">
        <v>53617.120000000003</v>
      </c>
      <c r="J790" s="307">
        <f>'Bank Int.'!$I790*6.5%/360</f>
        <v>9.6808688888888899</v>
      </c>
      <c r="K790" s="338">
        <v>29715</v>
      </c>
      <c r="L790" s="307">
        <f>'Bank Int.'!$K790*6.5%/360</f>
        <v>5.3652083333333334</v>
      </c>
    </row>
    <row r="791" spans="1:12" ht="22.9" customHeight="1" x14ac:dyDescent="0.25">
      <c r="A791" s="257"/>
      <c r="B791" s="253">
        <v>45327</v>
      </c>
      <c r="C791" s="298">
        <v>97897.19</v>
      </c>
      <c r="D791" s="295">
        <f>'Bank Int.'!$C791*7.5%/360</f>
        <v>20.395247916666666</v>
      </c>
      <c r="E791" s="254">
        <v>17004519.579999998</v>
      </c>
      <c r="F791" s="295">
        <f>'Bank Int.'!$E791*7.5%/360</f>
        <v>3542.6082458333326</v>
      </c>
      <c r="G791" s="305">
        <v>210000</v>
      </c>
      <c r="H791" s="303">
        <f>'Bank Int.'!$G791*4.5%/360</f>
        <v>26.25</v>
      </c>
      <c r="I791" s="306">
        <v>53617.120000000003</v>
      </c>
      <c r="J791" s="307">
        <f>'Bank Int.'!$I791*6.5%/360</f>
        <v>9.6808688888888899</v>
      </c>
      <c r="K791" s="338">
        <v>31900</v>
      </c>
      <c r="L791" s="307">
        <f>'Bank Int.'!$K791*6.5%/360</f>
        <v>5.759722222222222</v>
      </c>
    </row>
    <row r="792" spans="1:12" ht="22.9" customHeight="1" x14ac:dyDescent="0.25">
      <c r="A792" s="257"/>
      <c r="B792" s="253">
        <v>45326</v>
      </c>
      <c r="C792" s="298">
        <v>82897.19</v>
      </c>
      <c r="D792" s="295">
        <f>'Bank Int.'!$C792*7.5%/360</f>
        <v>17.270247916666666</v>
      </c>
      <c r="E792" s="254">
        <v>17004519.579999998</v>
      </c>
      <c r="F792" s="295">
        <f>'Bank Int.'!$E792*7.5%/360</f>
        <v>3542.6082458333326</v>
      </c>
      <c r="G792" s="305">
        <v>5000</v>
      </c>
      <c r="H792" s="303">
        <f>'Bank Int.'!$G792*4.5%/360</f>
        <v>0.625</v>
      </c>
      <c r="I792" s="306">
        <v>53617.120000000003</v>
      </c>
      <c r="J792" s="307">
        <f>'Bank Int.'!$I792*6.5%/360</f>
        <v>9.6808688888888899</v>
      </c>
      <c r="K792" s="338">
        <v>31900</v>
      </c>
      <c r="L792" s="307">
        <f>'Bank Int.'!$K792*6.5%/360</f>
        <v>5.759722222222222</v>
      </c>
    </row>
    <row r="793" spans="1:12" ht="22.9" customHeight="1" x14ac:dyDescent="0.25">
      <c r="A793" s="257"/>
      <c r="B793" s="253">
        <v>45325</v>
      </c>
      <c r="C793" s="298">
        <v>7672897.1900000004</v>
      </c>
      <c r="D793" s="295">
        <f>'Bank Int.'!$C793*7.5%/360</f>
        <v>1598.5202479166667</v>
      </c>
      <c r="E793" s="254">
        <v>8604519.5800000001</v>
      </c>
      <c r="F793" s="295">
        <f>'Bank Int.'!$E793*7.5%/360</f>
        <v>1792.6082458333333</v>
      </c>
      <c r="G793" s="305">
        <v>5000</v>
      </c>
      <c r="H793" s="303">
        <f>'Bank Int.'!$G793*4.5%/360</f>
        <v>0.625</v>
      </c>
      <c r="I793" s="306">
        <v>53617.120000000003</v>
      </c>
      <c r="J793" s="307">
        <f>'Bank Int.'!$I793*6.5%/360</f>
        <v>9.6808688888888899</v>
      </c>
      <c r="K793" s="338">
        <v>31900</v>
      </c>
      <c r="L793" s="307">
        <f>'Bank Int.'!$K793*6.5%/360</f>
        <v>5.759722222222222</v>
      </c>
    </row>
    <row r="794" spans="1:12" ht="22.9" customHeight="1" x14ac:dyDescent="0.25">
      <c r="A794" s="257"/>
      <c r="B794" s="253">
        <v>45324</v>
      </c>
      <c r="C794" s="298">
        <v>7672897.1900000004</v>
      </c>
      <c r="D794" s="295">
        <f>'Bank Int.'!$C794*7.5%/360</f>
        <v>1598.5202479166667</v>
      </c>
      <c r="E794" s="254">
        <v>8604519.5800000001</v>
      </c>
      <c r="F794" s="295">
        <f>'Bank Int.'!$E794*7.5%/360</f>
        <v>1792.6082458333333</v>
      </c>
      <c r="G794" s="305">
        <v>5000</v>
      </c>
      <c r="H794" s="303">
        <f>'Bank Int.'!$G794*4.5%/360</f>
        <v>0.625</v>
      </c>
      <c r="I794" s="306">
        <v>53617.120000000003</v>
      </c>
      <c r="J794" s="307">
        <f>'Bank Int.'!$I794*6.5%/360</f>
        <v>9.6808688888888899</v>
      </c>
      <c r="K794" s="338">
        <v>31900</v>
      </c>
      <c r="L794" s="307">
        <f>'Bank Int.'!$K794*6.5%/360</f>
        <v>5.759722222222222</v>
      </c>
    </row>
    <row r="795" spans="1:12" ht="22.9" customHeight="1" x14ac:dyDescent="0.25">
      <c r="A795" s="257"/>
      <c r="B795" s="253">
        <v>45323</v>
      </c>
      <c r="C795" s="298">
        <v>7672897.1900000004</v>
      </c>
      <c r="D795" s="295">
        <f>'Bank Int.'!$C795*7.5%/360</f>
        <v>1598.5202479166667</v>
      </c>
      <c r="E795" s="254">
        <v>8604519.5800000001</v>
      </c>
      <c r="F795" s="295">
        <f>'Bank Int.'!$E795*7.5%/360</f>
        <v>1792.6082458333333</v>
      </c>
      <c r="G795" s="305">
        <v>5000</v>
      </c>
      <c r="H795" s="303">
        <f>'Bank Int.'!$G795*4.5%/360</f>
        <v>0.625</v>
      </c>
      <c r="I795" s="306">
        <v>53617.120000000003</v>
      </c>
      <c r="J795" s="307">
        <f>'Bank Int.'!$I795*6.5%/360</f>
        <v>9.6808688888888899</v>
      </c>
      <c r="K795" s="338">
        <v>31900</v>
      </c>
      <c r="L795" s="307">
        <f>'Bank Int.'!$K795*6.5%/360</f>
        <v>5.759722222222222</v>
      </c>
    </row>
    <row r="796" spans="1:12" ht="22.9" customHeight="1" x14ac:dyDescent="0.25">
      <c r="A796" s="257"/>
      <c r="B796" s="253">
        <v>45322</v>
      </c>
      <c r="C796" s="298">
        <v>4919595.45</v>
      </c>
      <c r="D796" s="295">
        <f>'Bank Int.'!$C796*7.5%/360</f>
        <v>1024.91571875</v>
      </c>
      <c r="E796" s="254">
        <v>8604519.5800000001</v>
      </c>
      <c r="F796" s="295">
        <f>'Bank Int.'!$E796*7.5%/360</f>
        <v>1792.6082458333333</v>
      </c>
      <c r="G796" s="305">
        <v>2758301.74</v>
      </c>
      <c r="H796" s="303">
        <f>'Bank Int.'!$G796*4.5%/360</f>
        <v>344.78771750000004</v>
      </c>
      <c r="I796" s="306">
        <v>53617.120000000003</v>
      </c>
      <c r="J796" s="307">
        <f>'Bank Int.'!$I796*6.5%/360</f>
        <v>9.6808688888888899</v>
      </c>
      <c r="K796" s="338">
        <v>31900</v>
      </c>
      <c r="L796" s="307">
        <f>'Bank Int.'!$K796*6.5%/360</f>
        <v>5.759722222222222</v>
      </c>
    </row>
    <row r="797" spans="1:12" ht="22.9" customHeight="1" x14ac:dyDescent="0.25">
      <c r="A797" s="257"/>
      <c r="B797" s="253">
        <v>45321</v>
      </c>
      <c r="C797" s="298">
        <v>751755.45</v>
      </c>
      <c r="D797" s="295">
        <f>'Bank Int.'!$C797*7.5%/360</f>
        <v>156.61571874999998</v>
      </c>
      <c r="E797" s="254">
        <v>5119519.58</v>
      </c>
      <c r="F797" s="295">
        <f>'Bank Int.'!$E797*7.5%/360</f>
        <v>1066.5665791666668</v>
      </c>
      <c r="G797" s="305">
        <v>2238301.7400000002</v>
      </c>
      <c r="H797" s="303">
        <f>'Bank Int.'!$G797*4.5%/360</f>
        <v>279.78771750000004</v>
      </c>
      <c r="I797" s="306">
        <v>53617.120000000003</v>
      </c>
      <c r="J797" s="307">
        <f>'Bank Int.'!$I797*6.5%/360</f>
        <v>9.6808688888888899</v>
      </c>
      <c r="K797" s="338">
        <v>31900</v>
      </c>
      <c r="L797" s="307">
        <f>'Bank Int.'!$K797*6.5%/360</f>
        <v>5.759722222222222</v>
      </c>
    </row>
    <row r="798" spans="1:12" ht="22.9" customHeight="1" x14ac:dyDescent="0.25">
      <c r="A798" s="257"/>
      <c r="B798" s="253">
        <v>45320</v>
      </c>
      <c r="C798" s="298">
        <v>8647902.4900000002</v>
      </c>
      <c r="D798" s="295">
        <f>'Bank Int.'!$C798*7.5%/360</f>
        <v>1801.6463520833333</v>
      </c>
      <c r="E798" s="254">
        <v>19407144.579999998</v>
      </c>
      <c r="F798" s="295">
        <f>'Bank Int.'!$E798*7.5%/360</f>
        <v>4043.1551208333326</v>
      </c>
      <c r="G798" s="305">
        <v>1938301.74</v>
      </c>
      <c r="H798" s="303">
        <f>'Bank Int.'!$G798*4.5%/360</f>
        <v>242.28771749999999</v>
      </c>
      <c r="I798" s="306">
        <v>53617.120000000003</v>
      </c>
      <c r="J798" s="307">
        <f>'Bank Int.'!$I798*6.5%/360</f>
        <v>9.6808688888888899</v>
      </c>
      <c r="K798" s="338">
        <v>31900</v>
      </c>
      <c r="L798" s="307">
        <f>'Bank Int.'!$K798*6.5%/360</f>
        <v>5.759722222222222</v>
      </c>
    </row>
    <row r="799" spans="1:12" ht="22.9" customHeight="1" x14ac:dyDescent="0.25">
      <c r="A799" s="257"/>
      <c r="B799" s="253">
        <v>45319</v>
      </c>
      <c r="C799" s="298">
        <v>8645902.4900000002</v>
      </c>
      <c r="D799" s="295">
        <f>'Bank Int.'!$C799*7.5%/360</f>
        <v>1801.2296854166666</v>
      </c>
      <c r="E799" s="254">
        <v>56604584.579999998</v>
      </c>
      <c r="F799" s="295">
        <f>'Bank Int.'!$E799*7.5%/360</f>
        <v>11792.621787499998</v>
      </c>
      <c r="G799" s="305">
        <v>1138311.74</v>
      </c>
      <c r="H799" s="303">
        <f>'Bank Int.'!$G799*4.5%/360</f>
        <v>142.28896749999998</v>
      </c>
      <c r="I799" s="306">
        <v>53617.120000000003</v>
      </c>
      <c r="J799" s="307">
        <f>'Bank Int.'!$I799*6.5%/360</f>
        <v>9.6808688888888899</v>
      </c>
      <c r="K799" s="338">
        <v>31900</v>
      </c>
      <c r="L799" s="307">
        <f>'Bank Int.'!$K799*6.5%/360</f>
        <v>5.759722222222222</v>
      </c>
    </row>
    <row r="800" spans="1:12" ht="22.9" customHeight="1" x14ac:dyDescent="0.25">
      <c r="A800" s="257"/>
      <c r="B800" s="253">
        <v>45318</v>
      </c>
      <c r="C800" s="298">
        <v>8645902.4900000002</v>
      </c>
      <c r="D800" s="295">
        <f>'Bank Int.'!$C800*7.5%/360</f>
        <v>1801.2296854166666</v>
      </c>
      <c r="E800" s="254">
        <v>6522.08</v>
      </c>
      <c r="F800" s="295">
        <f>'Bank Int.'!$E800*7.5%/360</f>
        <v>1.3587666666666665</v>
      </c>
      <c r="G800" s="305">
        <v>885811.74</v>
      </c>
      <c r="H800" s="303">
        <f>'Bank Int.'!$G800*4.5%/360</f>
        <v>110.7264675</v>
      </c>
      <c r="I800" s="306">
        <v>53617.120000000003</v>
      </c>
      <c r="J800" s="307">
        <f>'Bank Int.'!$I800*6.5%/360</f>
        <v>9.6808688888888899</v>
      </c>
      <c r="K800" s="338">
        <v>49982000</v>
      </c>
      <c r="L800" s="307">
        <f>'Bank Int.'!$K800*6.5%/360</f>
        <v>9024.5277777777774</v>
      </c>
    </row>
    <row r="801" spans="1:12" ht="22.9" customHeight="1" x14ac:dyDescent="0.25">
      <c r="A801" s="257"/>
      <c r="B801" s="253">
        <v>45317</v>
      </c>
      <c r="C801" s="298">
        <v>8645902.4900000002</v>
      </c>
      <c r="D801" s="295">
        <f>'Bank Int.'!$C801*7.5%/360</f>
        <v>1801.2296854166666</v>
      </c>
      <c r="E801" s="254">
        <v>6522.08</v>
      </c>
      <c r="F801" s="295">
        <f>'Bank Int.'!$E801*7.5%/360</f>
        <v>1.3587666666666665</v>
      </c>
      <c r="G801" s="305">
        <v>885811.74</v>
      </c>
      <c r="H801" s="303">
        <f>'Bank Int.'!$G801*4.5%/360</f>
        <v>110.7264675</v>
      </c>
      <c r="I801" s="306">
        <v>53617.120000000003</v>
      </c>
      <c r="J801" s="307">
        <f>'Bank Int.'!$I801*6.5%/360</f>
        <v>9.6808688888888899</v>
      </c>
      <c r="K801" s="338">
        <v>49982000</v>
      </c>
      <c r="L801" s="307">
        <f>'Bank Int.'!$K801*6.5%/360</f>
        <v>9024.5277777777774</v>
      </c>
    </row>
    <row r="802" spans="1:12" ht="22.9" customHeight="1" x14ac:dyDescent="0.25">
      <c r="A802" s="257"/>
      <c r="B802" s="253">
        <v>45316</v>
      </c>
      <c r="C802" s="298">
        <v>8645902.4900000002</v>
      </c>
      <c r="D802" s="295">
        <f>'Bank Int.'!$C802*7.5%/360</f>
        <v>1801.2296854166666</v>
      </c>
      <c r="E802" s="254">
        <v>6522.08</v>
      </c>
      <c r="F802" s="295">
        <f>'Bank Int.'!$E802*7.5%/360</f>
        <v>1.3587666666666665</v>
      </c>
      <c r="G802" s="305">
        <v>885811.74</v>
      </c>
      <c r="H802" s="303">
        <f>'Bank Int.'!$G802*4.5%/360</f>
        <v>110.7264675</v>
      </c>
      <c r="I802" s="306">
        <v>53617.120000000003</v>
      </c>
      <c r="J802" s="307">
        <f>'Bank Int.'!$I802*6.5%/360</f>
        <v>9.6808688888888899</v>
      </c>
      <c r="K802" s="338">
        <v>49982000</v>
      </c>
      <c r="L802" s="307">
        <f>'Bank Int.'!$K802*6.5%/360</f>
        <v>9024.5277777777774</v>
      </c>
    </row>
    <row r="803" spans="1:12" ht="22.9" customHeight="1" x14ac:dyDescent="0.25">
      <c r="A803" s="257"/>
      <c r="B803" s="253">
        <v>45315</v>
      </c>
      <c r="C803" s="298">
        <v>22286002.489999998</v>
      </c>
      <c r="D803" s="295">
        <f>'Bank Int.'!$C803*7.5%/360</f>
        <v>4642.9171854166661</v>
      </c>
      <c r="E803" s="254">
        <v>36316522.079999998</v>
      </c>
      <c r="F803" s="295">
        <f>'Bank Int.'!$E803*7.5%/360</f>
        <v>7565.9421000000002</v>
      </c>
      <c r="G803" s="336">
        <v>585871.74</v>
      </c>
      <c r="H803" s="303">
        <f>'Bank Int.'!$G803*4.5%/360</f>
        <v>73.233967499999991</v>
      </c>
      <c r="I803" s="306">
        <v>53617.120000000003</v>
      </c>
      <c r="J803" s="307">
        <f>'Bank Int.'!$I803*6.5%/360</f>
        <v>9.6808688888888899</v>
      </c>
      <c r="K803" s="338">
        <v>49982000</v>
      </c>
      <c r="L803" s="307">
        <f>'Bank Int.'!$K803*6.5%/360</f>
        <v>9024.5277777777774</v>
      </c>
    </row>
    <row r="804" spans="1:12" ht="22.9" customHeight="1" x14ac:dyDescent="0.25">
      <c r="A804" s="257"/>
      <c r="B804" s="253">
        <v>45314</v>
      </c>
      <c r="C804" s="298">
        <v>186180.49</v>
      </c>
      <c r="D804" s="295">
        <f>'Bank Int.'!$C804*7.5%/360</f>
        <v>38.787602083333333</v>
      </c>
      <c r="E804" s="254">
        <v>37316522.079999998</v>
      </c>
      <c r="F804" s="295">
        <f>'Bank Int.'!$E804*7.5%/360</f>
        <v>7774.2754333333332</v>
      </c>
      <c r="G804" s="336">
        <v>585871.74</v>
      </c>
      <c r="H804" s="303">
        <f>'Bank Int.'!$G804*4.5%/360</f>
        <v>73.233967499999991</v>
      </c>
      <c r="I804" s="306">
        <v>53617.120000000003</v>
      </c>
      <c r="J804" s="307">
        <f>'Bank Int.'!$I804*6.5%/360</f>
        <v>9.6808688888888899</v>
      </c>
      <c r="K804" s="338">
        <v>49982000</v>
      </c>
      <c r="L804" s="307">
        <f>'Bank Int.'!$K804*6.5%/360</f>
        <v>9024.5277777777774</v>
      </c>
    </row>
    <row r="805" spans="1:12" ht="22.9" customHeight="1" x14ac:dyDescent="0.25">
      <c r="A805" s="257"/>
      <c r="B805" s="253">
        <v>45313</v>
      </c>
      <c r="C805" s="298">
        <v>186180.49</v>
      </c>
      <c r="D805" s="295">
        <f>'Bank Int.'!$C805*7.5%/360</f>
        <v>38.787602083333333</v>
      </c>
      <c r="E805" s="254">
        <v>36159522.079999998</v>
      </c>
      <c r="F805" s="295">
        <f>'Bank Int.'!$E805*7.5%/360</f>
        <v>7533.2337666666663</v>
      </c>
      <c r="G805" s="336">
        <v>585871.74</v>
      </c>
      <c r="H805" s="303">
        <f>'Bank Int.'!$G805*4.5%/360</f>
        <v>73.233967499999991</v>
      </c>
      <c r="I805" s="306">
        <v>53617.120000000003</v>
      </c>
      <c r="J805" s="307">
        <f>'Bank Int.'!$I805*6.5%/360</f>
        <v>9.6808688888888899</v>
      </c>
      <c r="K805" s="337"/>
      <c r="L805" s="307"/>
    </row>
    <row r="806" spans="1:12" ht="22.9" customHeight="1" x14ac:dyDescent="0.25">
      <c r="A806" s="257"/>
      <c r="B806" s="253">
        <v>45312</v>
      </c>
      <c r="C806" s="333">
        <v>186180.49</v>
      </c>
      <c r="D806" s="295">
        <f>'Bank Int.'!$C806*7.5%/360</f>
        <v>38.787602083333333</v>
      </c>
      <c r="E806" s="254">
        <v>33022.080000000002</v>
      </c>
      <c r="F806" s="295">
        <f>'Bank Int.'!$E806*7.5%/360</f>
        <v>6.8795999999999999</v>
      </c>
      <c r="G806" s="336">
        <v>585871.74</v>
      </c>
      <c r="H806" s="303">
        <f>'Bank Int.'!$G806*4.5%/360</f>
        <v>73.233967499999991</v>
      </c>
      <c r="I806" s="306">
        <v>53617.120000000003</v>
      </c>
      <c r="J806" s="307">
        <f>'Bank Int.'!$I806*6.5%/360</f>
        <v>9.6808688888888899</v>
      </c>
      <c r="K806" s="337"/>
      <c r="L806" s="307"/>
    </row>
    <row r="807" spans="1:12" ht="22.9" customHeight="1" x14ac:dyDescent="0.25">
      <c r="A807" s="257"/>
      <c r="B807" s="253">
        <v>45311</v>
      </c>
      <c r="C807" s="333">
        <v>186180.49</v>
      </c>
      <c r="D807" s="295">
        <f>'Bank Int.'!$C807*7.5%/360</f>
        <v>38.787602083333333</v>
      </c>
      <c r="E807" s="254">
        <v>33022.080000000002</v>
      </c>
      <c r="F807" s="295">
        <f>'Bank Int.'!$E807*7.5%/360</f>
        <v>6.8795999999999999</v>
      </c>
      <c r="G807" s="336">
        <v>585871.74</v>
      </c>
      <c r="H807" s="303">
        <f>'Bank Int.'!$G807*4.5%/360</f>
        <v>73.233967499999991</v>
      </c>
      <c r="I807" s="306">
        <v>53617.120000000003</v>
      </c>
      <c r="J807" s="307">
        <f>'Bank Int.'!$I807*6.5%/360</f>
        <v>9.6808688888888899</v>
      </c>
      <c r="K807" s="337"/>
      <c r="L807" s="307"/>
    </row>
    <row r="808" spans="1:12" ht="22.9" customHeight="1" x14ac:dyDescent="0.25">
      <c r="A808" s="257"/>
      <c r="B808" s="253">
        <v>45310</v>
      </c>
      <c r="C808" s="333">
        <v>186180.49</v>
      </c>
      <c r="D808" s="295">
        <f>'Bank Int.'!$C808*7.5%/360</f>
        <v>38.787602083333333</v>
      </c>
      <c r="E808" s="254">
        <v>33022.080000000002</v>
      </c>
      <c r="F808" s="295">
        <f>'Bank Int.'!$E808*7.5%/360</f>
        <v>6.8795999999999999</v>
      </c>
      <c r="G808" s="336">
        <v>585871.74</v>
      </c>
      <c r="H808" s="303">
        <f>'Bank Int.'!$G808*4.5%/360</f>
        <v>73.233967499999991</v>
      </c>
      <c r="I808" s="306">
        <v>53617.120000000003</v>
      </c>
      <c r="J808" s="307">
        <f>'Bank Int.'!$I808*6.5%/360</f>
        <v>9.6808688888888899</v>
      </c>
      <c r="K808" s="337"/>
      <c r="L808" s="307"/>
    </row>
    <row r="809" spans="1:12" ht="22.9" customHeight="1" x14ac:dyDescent="0.25">
      <c r="A809" s="257"/>
      <c r="B809" s="332">
        <v>45309</v>
      </c>
      <c r="C809" s="333">
        <v>186180.49</v>
      </c>
      <c r="D809" s="334">
        <f>'Bank Int.'!$C809*7.5%/360</f>
        <v>38.787602083333333</v>
      </c>
      <c r="E809" s="335">
        <v>33022.080000000002</v>
      </c>
      <c r="F809" s="295">
        <f>'Bank Int.'!$E809*7.5%/360</f>
        <v>6.8795999999999999</v>
      </c>
      <c r="G809" s="336">
        <v>585871.74</v>
      </c>
      <c r="H809" s="303">
        <f>'Bank Int.'!$G809*4.5%/360</f>
        <v>73.233967499999991</v>
      </c>
      <c r="I809" s="306">
        <v>53617.120000000003</v>
      </c>
      <c r="J809" s="307">
        <f>'Bank Int.'!$I809*6.5%/360</f>
        <v>9.6808688888888899</v>
      </c>
      <c r="K809" s="337"/>
      <c r="L809" s="307"/>
    </row>
    <row r="810" spans="1:12" ht="22.9" customHeight="1" x14ac:dyDescent="0.25">
      <c r="A810" s="257"/>
      <c r="B810" s="332">
        <v>45308</v>
      </c>
      <c r="C810" s="333">
        <v>1596936.99</v>
      </c>
      <c r="D810" s="334">
        <f>'Bank Int.'!$C810*7.5%/360</f>
        <v>332.69520624999996</v>
      </c>
      <c r="E810" s="335">
        <v>3633022.08</v>
      </c>
      <c r="F810" s="295">
        <f>'Bank Int.'!$E810*7.5%/360</f>
        <v>756.8796000000001</v>
      </c>
      <c r="G810" s="336">
        <v>35871.74</v>
      </c>
      <c r="H810" s="303">
        <f>'Bank Int.'!$G810*4.5%/360</f>
        <v>4.4839674999999994</v>
      </c>
      <c r="I810" s="306">
        <v>53617.120000000003</v>
      </c>
      <c r="J810" s="307">
        <f>'Bank Int.'!$I810*6.5%/360</f>
        <v>9.6808688888888899</v>
      </c>
      <c r="K810" s="337"/>
      <c r="L810" s="307"/>
    </row>
    <row r="811" spans="1:12" ht="22.9" customHeight="1" x14ac:dyDescent="0.25">
      <c r="A811" s="257"/>
      <c r="B811" s="332">
        <v>45307</v>
      </c>
      <c r="C811" s="333">
        <v>1596936.99</v>
      </c>
      <c r="D811" s="334">
        <f>'Bank Int.'!$C811*7.5%/360</f>
        <v>332.69520624999996</v>
      </c>
      <c r="E811" s="335">
        <v>3508469.88</v>
      </c>
      <c r="F811" s="295">
        <f>'Bank Int.'!$E811*7.5%/360</f>
        <v>730.93122499999993</v>
      </c>
      <c r="G811" s="336">
        <v>35871.74</v>
      </c>
      <c r="H811" s="303">
        <f>'Bank Int.'!$G811*4.5%/360</f>
        <v>4.4839674999999994</v>
      </c>
      <c r="I811" s="306">
        <v>53617.120000000003</v>
      </c>
      <c r="J811" s="307">
        <f>'Bank Int.'!$I811*6.5%/360</f>
        <v>9.6808688888888899</v>
      </c>
      <c r="K811" s="337"/>
      <c r="L811" s="307"/>
    </row>
    <row r="812" spans="1:12" ht="22.9" customHeight="1" x14ac:dyDescent="0.25">
      <c r="A812" s="257"/>
      <c r="B812" s="332">
        <v>45306</v>
      </c>
      <c r="C812" s="333">
        <v>847399.19</v>
      </c>
      <c r="D812" s="334">
        <f>'Bank Int.'!$C812*7.5%/360</f>
        <v>176.54149791666666</v>
      </c>
      <c r="E812" s="335">
        <v>3508469.88</v>
      </c>
      <c r="F812" s="295">
        <f>'Bank Int.'!$E812*7.5%/360</f>
        <v>730.93122499999993</v>
      </c>
      <c r="G812" s="336">
        <v>50871.74</v>
      </c>
      <c r="H812" s="303">
        <f>'Bank Int.'!$G812*4.5%/360</f>
        <v>6.3589674999999994</v>
      </c>
      <c r="I812" s="306">
        <v>53617.120000000003</v>
      </c>
      <c r="J812" s="307">
        <f>'Bank Int.'!$I812*6.5%/360</f>
        <v>9.6808688888888899</v>
      </c>
      <c r="K812" s="337"/>
      <c r="L812" s="307"/>
    </row>
    <row r="813" spans="1:12" ht="22.9" customHeight="1" x14ac:dyDescent="0.25">
      <c r="A813" s="257"/>
      <c r="B813" s="332">
        <v>45305</v>
      </c>
      <c r="C813" s="333">
        <v>847399.19</v>
      </c>
      <c r="D813" s="334">
        <f>'Bank Int.'!$C813*7.5%/360</f>
        <v>176.54149791666666</v>
      </c>
      <c r="E813" s="335">
        <v>9539315.2799999993</v>
      </c>
      <c r="F813" s="295">
        <f>'Bank Int.'!$E813*7.5%/360</f>
        <v>1987.3573499999998</v>
      </c>
      <c r="G813" s="336">
        <v>871.74</v>
      </c>
      <c r="H813" s="303">
        <f>'Bank Int.'!$G813*4.5%/360</f>
        <v>0.10896749999999999</v>
      </c>
      <c r="I813" s="306">
        <v>53617.120000000003</v>
      </c>
      <c r="J813" s="307">
        <f>'Bank Int.'!$I813*6.5%/360</f>
        <v>9.6808688888888899</v>
      </c>
      <c r="K813" s="337"/>
      <c r="L813" s="307"/>
    </row>
    <row r="814" spans="1:12" ht="22.9" customHeight="1" x14ac:dyDescent="0.25">
      <c r="A814" s="257"/>
      <c r="B814" s="332">
        <v>45304</v>
      </c>
      <c r="C814" s="333">
        <v>10552076.960000001</v>
      </c>
      <c r="D814" s="334">
        <f>'Bank Int.'!$C814*7.5%/360</f>
        <v>2198.3493666666668</v>
      </c>
      <c r="E814" s="335">
        <v>381035.28</v>
      </c>
      <c r="F814" s="295">
        <f>'Bank Int.'!$E814*7.5%/360</f>
        <v>79.382350000000002</v>
      </c>
      <c r="G814" s="336">
        <v>843871.74</v>
      </c>
      <c r="H814" s="303">
        <f>'Bank Int.'!$G814*4.5%/360</f>
        <v>105.48396749999999</v>
      </c>
      <c r="I814" s="306">
        <v>53617.120000000003</v>
      </c>
      <c r="J814" s="307">
        <f>'Bank Int.'!$I814*6.5%/360</f>
        <v>9.6808688888888899</v>
      </c>
      <c r="K814" s="337"/>
      <c r="L814" s="307"/>
    </row>
    <row r="815" spans="1:12" ht="22.9" customHeight="1" x14ac:dyDescent="0.25">
      <c r="A815" s="257"/>
      <c r="B815" s="332">
        <v>45303</v>
      </c>
      <c r="C815" s="333">
        <v>10552076.960000001</v>
      </c>
      <c r="D815" s="334">
        <f>'Bank Int.'!$C815*7.5%/360</f>
        <v>2198.3493666666668</v>
      </c>
      <c r="E815" s="335">
        <v>381035.28</v>
      </c>
      <c r="F815" s="295">
        <f>'Bank Int.'!$E815*7.5%/360</f>
        <v>79.382350000000002</v>
      </c>
      <c r="G815" s="336">
        <v>843871.74</v>
      </c>
      <c r="H815" s="303">
        <f>'Bank Int.'!$G815*4.5%/360</f>
        <v>105.48396749999999</v>
      </c>
      <c r="I815" s="306">
        <v>53617.120000000003</v>
      </c>
      <c r="J815" s="307">
        <f>'Bank Int.'!$I815*6.5%/360</f>
        <v>9.6808688888888899</v>
      </c>
      <c r="K815" s="337"/>
      <c r="L815" s="307"/>
    </row>
    <row r="816" spans="1:12" ht="22.9" customHeight="1" x14ac:dyDescent="0.25">
      <c r="A816" s="257"/>
      <c r="B816" s="253">
        <v>45302</v>
      </c>
      <c r="C816" s="298">
        <v>10552076.960000001</v>
      </c>
      <c r="D816" s="295">
        <f>'Bank Int.'!$C816*7.5%/360</f>
        <v>2198.3493666666668</v>
      </c>
      <c r="E816" s="254">
        <v>381035.28</v>
      </c>
      <c r="F816" s="295">
        <f>'Bank Int.'!$E816*7.5%/360</f>
        <v>79.382350000000002</v>
      </c>
      <c r="G816" s="305">
        <v>843871.74</v>
      </c>
      <c r="H816" s="303">
        <f>'Bank Int.'!$G816*4.5%/360</f>
        <v>105.48396749999999</v>
      </c>
      <c r="I816" s="306">
        <v>53617.120000000003</v>
      </c>
      <c r="J816" s="307">
        <f>'Bank Int.'!$I816*6.5%/360</f>
        <v>9.6808688888888899</v>
      </c>
      <c r="K816" s="337"/>
      <c r="L816" s="307"/>
    </row>
    <row r="817" spans="1:12" ht="22.9" customHeight="1" x14ac:dyDescent="0.25">
      <c r="A817" s="257"/>
      <c r="B817" s="253">
        <v>45301</v>
      </c>
      <c r="C817" s="298">
        <v>20092136.960000001</v>
      </c>
      <c r="D817" s="295">
        <f>'Bank Int.'!$C817*7.5%/360</f>
        <v>4185.8618666666671</v>
      </c>
      <c r="E817" s="254">
        <v>381035.28</v>
      </c>
      <c r="F817" s="295">
        <f>'Bank Int.'!$E817*7.5%/360</f>
        <v>79.382350000000002</v>
      </c>
      <c r="G817" s="305">
        <v>843871.74</v>
      </c>
      <c r="H817" s="303">
        <f>'Bank Int.'!$G817*4.5%/360</f>
        <v>105.48396749999999</v>
      </c>
      <c r="I817" s="306">
        <v>53617.120000000003</v>
      </c>
      <c r="J817" s="307">
        <f>'Bank Int.'!$I817*6.5%/360</f>
        <v>9.6808688888888899</v>
      </c>
      <c r="K817" s="337"/>
      <c r="L817" s="307"/>
    </row>
    <row r="818" spans="1:12" ht="22.9" customHeight="1" x14ac:dyDescent="0.25">
      <c r="A818" s="257"/>
      <c r="B818" s="253">
        <v>45300</v>
      </c>
      <c r="C818" s="298">
        <v>62223.96</v>
      </c>
      <c r="D818" s="295">
        <f>'Bank Int.'!$C818*7.5%/360</f>
        <v>12.963324999999999</v>
      </c>
      <c r="E818" s="254">
        <v>381035.28</v>
      </c>
      <c r="F818" s="295">
        <f>'Bank Int.'!$E818*7.5%/360</f>
        <v>79.382350000000002</v>
      </c>
      <c r="G818" s="305">
        <v>843871.74</v>
      </c>
      <c r="H818" s="303">
        <f>'Bank Int.'!$G818*4.5%/360</f>
        <v>105.48396749999999</v>
      </c>
      <c r="I818" s="306">
        <v>53617.120000000003</v>
      </c>
      <c r="J818" s="307">
        <f>'Bank Int.'!$I818*6.5%/360</f>
        <v>9.6808688888888899</v>
      </c>
      <c r="K818" s="337"/>
      <c r="L818" s="307"/>
    </row>
    <row r="819" spans="1:12" ht="22.9" customHeight="1" x14ac:dyDescent="0.25">
      <c r="A819" s="257"/>
      <c r="B819" s="253">
        <v>45299</v>
      </c>
      <c r="C819" s="298">
        <v>12223.96</v>
      </c>
      <c r="D819" s="295">
        <f>'Bank Int.'!$C819*7.5%/360</f>
        <v>2.5466583333333332</v>
      </c>
      <c r="E819" s="254">
        <v>381035.28</v>
      </c>
      <c r="F819" s="295">
        <f>'Bank Int.'!$E819*7.5%/360</f>
        <v>79.382350000000002</v>
      </c>
      <c r="G819" s="305">
        <v>843871.74</v>
      </c>
      <c r="H819" s="303">
        <f>'Bank Int.'!$G819*4.5%/360</f>
        <v>105.48396749999999</v>
      </c>
      <c r="I819" s="306">
        <v>53617.120000000003</v>
      </c>
      <c r="J819" s="307">
        <f>'Bank Int.'!$I819*6.5%/360</f>
        <v>9.6808688888888899</v>
      </c>
      <c r="K819" s="337"/>
      <c r="L819" s="307"/>
    </row>
    <row r="820" spans="1:12" ht="22.9" customHeight="1" x14ac:dyDescent="0.25">
      <c r="A820" s="257"/>
      <c r="B820" s="253">
        <v>45298</v>
      </c>
      <c r="C820" s="298">
        <v>12223.96</v>
      </c>
      <c r="D820" s="295">
        <f>'Bank Int.'!$C820*7.5%/360</f>
        <v>2.5466583333333332</v>
      </c>
      <c r="E820" s="254">
        <v>381035.28</v>
      </c>
      <c r="F820" s="295">
        <f>'Bank Int.'!$E820*7.5%/360</f>
        <v>79.382350000000002</v>
      </c>
      <c r="G820" s="305">
        <v>721871.74</v>
      </c>
      <c r="H820" s="303">
        <f>'Bank Int.'!$G820*4.5%/360</f>
        <v>90.233967499999991</v>
      </c>
      <c r="I820" s="306">
        <v>53617.120000000003</v>
      </c>
      <c r="J820" s="307">
        <f>'Bank Int.'!$I820*6.5%/360</f>
        <v>9.6808688888888899</v>
      </c>
      <c r="K820" s="337"/>
      <c r="L820" s="307"/>
    </row>
    <row r="821" spans="1:12" ht="22.9" customHeight="1" x14ac:dyDescent="0.25">
      <c r="A821" s="257"/>
      <c r="B821" s="253">
        <v>45297</v>
      </c>
      <c r="C821" s="298">
        <v>12223.96</v>
      </c>
      <c r="D821" s="295">
        <f>'Bank Int.'!$C821*7.5%/360</f>
        <v>2.5466583333333332</v>
      </c>
      <c r="E821" s="254">
        <v>381035.28</v>
      </c>
      <c r="F821" s="295">
        <f>'Bank Int.'!$E821*7.5%/360</f>
        <v>79.382350000000002</v>
      </c>
      <c r="G821" s="305">
        <v>721871.74</v>
      </c>
      <c r="H821" s="303">
        <f>'Bank Int.'!$G821*4.5%/360</f>
        <v>90.233967499999991</v>
      </c>
      <c r="I821" s="306">
        <v>53617.120000000003</v>
      </c>
      <c r="J821" s="307">
        <f>'Bank Int.'!$I821*6.5%/360</f>
        <v>9.6808688888888899</v>
      </c>
      <c r="K821" s="337"/>
      <c r="L821" s="307"/>
    </row>
    <row r="822" spans="1:12" ht="22.9" customHeight="1" x14ac:dyDescent="0.25">
      <c r="A822" s="257"/>
      <c r="B822" s="253">
        <v>45296</v>
      </c>
      <c r="C822" s="298">
        <v>12223.96</v>
      </c>
      <c r="D822" s="295">
        <f>'Bank Int.'!$C822*7.5%/360</f>
        <v>2.5466583333333332</v>
      </c>
      <c r="E822" s="254">
        <v>381035.28</v>
      </c>
      <c r="F822" s="295">
        <f>'Bank Int.'!$E822*7.5%/360</f>
        <v>79.382350000000002</v>
      </c>
      <c r="G822" s="305">
        <v>620871.74</v>
      </c>
      <c r="H822" s="303">
        <f>'Bank Int.'!$G822*4.5%/360</f>
        <v>77.608967499999991</v>
      </c>
      <c r="I822" s="306">
        <v>53617.120000000003</v>
      </c>
      <c r="J822" s="307">
        <f>'Bank Int.'!$I822*6.5%/360</f>
        <v>9.6808688888888899</v>
      </c>
      <c r="K822" s="337"/>
      <c r="L822" s="307"/>
    </row>
    <row r="823" spans="1:12" ht="22.9" customHeight="1" x14ac:dyDescent="0.25">
      <c r="A823" s="257"/>
      <c r="B823" s="253">
        <v>45295</v>
      </c>
      <c r="C823" s="298">
        <v>12223.96</v>
      </c>
      <c r="D823" s="295">
        <f>'Bank Int.'!$C823*7.5%/360</f>
        <v>2.5466583333333332</v>
      </c>
      <c r="E823" s="254">
        <v>381035.28</v>
      </c>
      <c r="F823" s="295">
        <f>'Bank Int.'!$E823*7.5%/360</f>
        <v>79.382350000000002</v>
      </c>
      <c r="G823" s="305">
        <v>620871.74</v>
      </c>
      <c r="H823" s="303">
        <f>'Bank Int.'!$G823*4.5%/360</f>
        <v>77.608967499999991</v>
      </c>
      <c r="I823" s="306">
        <v>53617.120000000003</v>
      </c>
      <c r="J823" s="307">
        <f>'Bank Int.'!$I823*6.5%/360</f>
        <v>9.6808688888888899</v>
      </c>
      <c r="K823" s="337"/>
      <c r="L823" s="307"/>
    </row>
    <row r="824" spans="1:12" ht="22.9" customHeight="1" x14ac:dyDescent="0.25">
      <c r="A824" s="257"/>
      <c r="B824" s="253">
        <v>45294</v>
      </c>
      <c r="C824" s="298">
        <v>12338.96</v>
      </c>
      <c r="D824" s="295">
        <f>'Bank Int.'!$C824*7.5%/360</f>
        <v>2.5706166666666665</v>
      </c>
      <c r="E824" s="254">
        <v>381150.28</v>
      </c>
      <c r="F824" s="295">
        <f>'Bank Int.'!$E824*7.5%/360</f>
        <v>79.406308333333328</v>
      </c>
      <c r="G824" s="305">
        <v>620871.74</v>
      </c>
      <c r="H824" s="303">
        <f>'Bank Int.'!$G824*4.5%/360</f>
        <v>77.608967499999991</v>
      </c>
      <c r="I824" s="306">
        <v>53617.120000000003</v>
      </c>
      <c r="J824" s="307">
        <f>'Bank Int.'!$I824*6.5%/360</f>
        <v>9.6808688888888899</v>
      </c>
      <c r="K824" s="337"/>
      <c r="L824" s="307"/>
    </row>
    <row r="825" spans="1:12" ht="22.9" customHeight="1" x14ac:dyDescent="0.25">
      <c r="A825" s="257"/>
      <c r="B825" s="253">
        <v>45293</v>
      </c>
      <c r="C825" s="298">
        <v>12338.96</v>
      </c>
      <c r="D825" s="295">
        <f>'Bank Int.'!$C825*7.5%/360</f>
        <v>2.5706166666666665</v>
      </c>
      <c r="E825" s="254">
        <v>184591.48</v>
      </c>
      <c r="F825" s="295">
        <f>'Bank Int.'!$E825*7.5%/360</f>
        <v>38.456558333333334</v>
      </c>
      <c r="G825" s="305">
        <v>21371.74</v>
      </c>
      <c r="H825" s="303">
        <f>'Bank Int.'!$G825*4.5%/360</f>
        <v>2.6714674999999999</v>
      </c>
      <c r="I825" s="306">
        <v>53617.120000000003</v>
      </c>
      <c r="J825" s="307">
        <f>'Bank Int.'!$I825*6.5%/360</f>
        <v>9.6808688888888899</v>
      </c>
      <c r="K825" s="337"/>
      <c r="L825" s="307"/>
    </row>
    <row r="826" spans="1:12" ht="22.9" customHeight="1" x14ac:dyDescent="0.25">
      <c r="A826" s="257"/>
      <c r="B826" s="253">
        <v>45292</v>
      </c>
      <c r="C826" s="298">
        <v>12338.96</v>
      </c>
      <c r="D826" s="295">
        <f>'Bank Int.'!$C826*7.5%/360</f>
        <v>2.5706166666666665</v>
      </c>
      <c r="E826" s="254">
        <v>184591.48</v>
      </c>
      <c r="F826" s="295">
        <f>'Bank Int.'!$E826*7.5%/360</f>
        <v>38.456558333333334</v>
      </c>
      <c r="G826" s="305">
        <v>36371.74</v>
      </c>
      <c r="H826" s="303">
        <f>'Bank Int.'!$G826*4.5%/360</f>
        <v>4.5464674999999994</v>
      </c>
      <c r="I826" s="306">
        <v>53617.120000000003</v>
      </c>
      <c r="J826" s="307">
        <f>'Bank Int.'!$I826*6.5%/360</f>
        <v>9.6808688888888899</v>
      </c>
      <c r="K826" s="337"/>
      <c r="L826" s="307"/>
    </row>
    <row r="827" spans="1:12" ht="22.5" customHeight="1" x14ac:dyDescent="0.25">
      <c r="A827" s="257"/>
      <c r="B827" s="253">
        <v>45291</v>
      </c>
      <c r="C827" s="298">
        <v>272229.76000000001</v>
      </c>
      <c r="D827" s="295">
        <f>'Bank Int.'!$C827*7.5%/360</f>
        <v>56.714533333333335</v>
      </c>
      <c r="E827" s="254">
        <v>184591.48</v>
      </c>
      <c r="F827" s="295">
        <f>'Bank Int.'!$E827*7.5%/360</f>
        <v>38.456558333333334</v>
      </c>
      <c r="G827" s="305">
        <v>36716.74</v>
      </c>
      <c r="H827" s="303">
        <f>'Bank Int.'!$G827*4.5%/360</f>
        <v>4.5895924999999993</v>
      </c>
      <c r="I827" s="306">
        <v>53617.120000000003</v>
      </c>
      <c r="J827" s="307">
        <f>'Bank Int.'!$I827*6.5%/360</f>
        <v>9.6808688888888899</v>
      </c>
      <c r="K827" s="337"/>
      <c r="L827" s="307"/>
    </row>
    <row r="828" spans="1:12" ht="22.9" customHeight="1" x14ac:dyDescent="0.25">
      <c r="A828" s="257"/>
      <c r="B828" s="253">
        <v>45290</v>
      </c>
      <c r="C828" s="298">
        <v>272229.76000000001</v>
      </c>
      <c r="D828" s="295">
        <f>'Bank Int.'!$C828*7.5%/360</f>
        <v>56.714533333333335</v>
      </c>
      <c r="E828" s="254">
        <v>184591.48</v>
      </c>
      <c r="F828" s="295">
        <f>'Bank Int.'!$E828*7.5%/360</f>
        <v>38.456558333333334</v>
      </c>
      <c r="G828" s="305">
        <v>27990</v>
      </c>
      <c r="H828" s="303">
        <f>'Bank Int.'!$G828*4.5%/360</f>
        <v>3.4987499999999998</v>
      </c>
      <c r="I828" s="306">
        <v>53617.120000000003</v>
      </c>
      <c r="J828" s="307">
        <f>'Bank Int.'!$I828*6.5%/360</f>
        <v>9.6808688888888899</v>
      </c>
      <c r="K828" s="337"/>
      <c r="L828" s="307"/>
    </row>
    <row r="829" spans="1:12" ht="22.9" customHeight="1" x14ac:dyDescent="0.25">
      <c r="A829" s="257"/>
      <c r="B829" s="253">
        <v>45289</v>
      </c>
      <c r="C829" s="298">
        <v>318937.76</v>
      </c>
      <c r="D829" s="295">
        <f>'Bank Int.'!$C829*7.5%/360</f>
        <v>66.445366666666658</v>
      </c>
      <c r="E829" s="254">
        <v>231616.48</v>
      </c>
      <c r="F829" s="295">
        <f>'Bank Int.'!$E829*7.5%/360</f>
        <v>48.253433333333334</v>
      </c>
      <c r="G829" s="305">
        <v>27990</v>
      </c>
      <c r="H829" s="303">
        <f>'Bank Int.'!$G829*4.5%/360</f>
        <v>3.4987499999999998</v>
      </c>
      <c r="I829" s="306">
        <v>53617.120000000003</v>
      </c>
      <c r="J829" s="307">
        <f>'Bank Int.'!$I829*6.5%/360</f>
        <v>9.6808688888888899</v>
      </c>
      <c r="K829" s="337"/>
      <c r="L829" s="307"/>
    </row>
    <row r="830" spans="1:12" ht="22.9" customHeight="1" x14ac:dyDescent="0.25">
      <c r="A830" s="257"/>
      <c r="B830" s="253">
        <v>45288</v>
      </c>
      <c r="C830" s="298">
        <v>318937.76</v>
      </c>
      <c r="D830" s="295">
        <f>'Bank Int.'!$C830*7.5%/360</f>
        <v>66.445366666666658</v>
      </c>
      <c r="E830" s="254">
        <v>231616.48</v>
      </c>
      <c r="F830" s="295">
        <f>'Bank Int.'!$E830*7.5%/360</f>
        <v>48.253433333333334</v>
      </c>
      <c r="G830" s="305">
        <v>27990</v>
      </c>
      <c r="H830" s="303">
        <f>'Bank Int.'!$G830*4.5%/360</f>
        <v>3.4987499999999998</v>
      </c>
      <c r="I830" s="306">
        <v>53617.120000000003</v>
      </c>
      <c r="J830" s="307">
        <f>'Bank Int.'!$I830*6.5%/360</f>
        <v>9.6808688888888899</v>
      </c>
      <c r="K830" s="337"/>
      <c r="L830" s="307"/>
    </row>
    <row r="831" spans="1:12" ht="22.9" customHeight="1" x14ac:dyDescent="0.25">
      <c r="A831" s="257"/>
      <c r="B831" s="253">
        <v>45287</v>
      </c>
      <c r="C831" s="298">
        <v>25303.759999999998</v>
      </c>
      <c r="D831" s="295">
        <f>'Bank Int.'!$C831*7.5%/360</f>
        <v>5.2716166666666657</v>
      </c>
      <c r="E831" s="254">
        <v>143555.48000000001</v>
      </c>
      <c r="F831" s="295">
        <f>'Bank Int.'!$E831*7.5%/360</f>
        <v>29.907391666666665</v>
      </c>
      <c r="G831" s="305">
        <v>277990</v>
      </c>
      <c r="H831" s="303">
        <f>'Bank Int.'!$G831*4.5%/360</f>
        <v>34.748750000000001</v>
      </c>
      <c r="I831" s="306">
        <v>10873.55</v>
      </c>
      <c r="J831" s="307">
        <f>'Bank Int.'!$I831*6.5%/360</f>
        <v>1.9632798611111111</v>
      </c>
      <c r="K831" s="337"/>
      <c r="L831" s="307"/>
    </row>
    <row r="832" spans="1:12" ht="22.9" customHeight="1" x14ac:dyDescent="0.25">
      <c r="A832" s="257"/>
      <c r="B832" s="253">
        <v>45286</v>
      </c>
      <c r="C832" s="298">
        <v>28060122.239999998</v>
      </c>
      <c r="D832" s="295">
        <f>'Bank Int.'!$C832*7.5%/360</f>
        <v>5845.8587999999991</v>
      </c>
      <c r="E832" s="254">
        <v>834758.48</v>
      </c>
      <c r="F832" s="295">
        <f>'Bank Int.'!$E832*7.5%/360</f>
        <v>173.90801666666667</v>
      </c>
      <c r="G832" s="305">
        <v>257990</v>
      </c>
      <c r="H832" s="303">
        <f>'Bank Int.'!$G832*4.5%/360</f>
        <v>32.248750000000001</v>
      </c>
      <c r="I832" s="306">
        <v>10873.55</v>
      </c>
      <c r="J832" s="307">
        <f>'Bank Int.'!$I832*6.5%/360</f>
        <v>1.9632798611111111</v>
      </c>
      <c r="K832" s="337"/>
      <c r="L832" s="307"/>
    </row>
    <row r="833" spans="1:12" ht="22.9" customHeight="1" x14ac:dyDescent="0.25">
      <c r="A833" s="257"/>
      <c r="B833" s="253">
        <v>45285</v>
      </c>
      <c r="C833" s="298">
        <v>5612462.9000000004</v>
      </c>
      <c r="D833" s="295">
        <f>'Bank Int.'!$C833*7.5%/360</f>
        <v>1169.2631041666668</v>
      </c>
      <c r="E833" s="254">
        <v>834758.48</v>
      </c>
      <c r="F833" s="295">
        <f>'Bank Int.'!$E833*7.5%/360</f>
        <v>173.90801666666667</v>
      </c>
      <c r="G833" s="305">
        <v>35490</v>
      </c>
      <c r="H833" s="303">
        <f>'Bank Int.'!$G833*4.5%/360</f>
        <v>4.4362500000000002</v>
      </c>
      <c r="I833" s="306">
        <v>10873.55</v>
      </c>
      <c r="J833" s="307">
        <f>'Bank Int.'!$I833*6.5%/360</f>
        <v>1.9632798611111111</v>
      </c>
      <c r="K833" s="337"/>
      <c r="L833" s="307"/>
    </row>
    <row r="834" spans="1:12" ht="22.9" customHeight="1" x14ac:dyDescent="0.25">
      <c r="A834" s="257"/>
      <c r="B834" s="253">
        <v>45284</v>
      </c>
      <c r="C834" s="298">
        <v>5612462.9000000004</v>
      </c>
      <c r="D834" s="295">
        <f>'Bank Int.'!$C834*7.5%/360</f>
        <v>1169.2631041666668</v>
      </c>
      <c r="E834" s="254">
        <v>834758.48</v>
      </c>
      <c r="F834" s="295">
        <f>'Bank Int.'!$E834*7.5%/360</f>
        <v>173.90801666666667</v>
      </c>
      <c r="G834" s="305">
        <v>35490</v>
      </c>
      <c r="H834" s="303">
        <f>'Bank Int.'!$G834*4.5%/360</f>
        <v>4.4362500000000002</v>
      </c>
      <c r="I834" s="306">
        <v>10873.55</v>
      </c>
      <c r="J834" s="307">
        <f>'Bank Int.'!$I834*6.5%/360</f>
        <v>1.9632798611111111</v>
      </c>
      <c r="K834" s="337"/>
      <c r="L834" s="307"/>
    </row>
    <row r="835" spans="1:12" ht="22.9" customHeight="1" x14ac:dyDescent="0.25">
      <c r="A835" s="257"/>
      <c r="B835" s="253">
        <v>45283</v>
      </c>
      <c r="C835" s="298">
        <v>611082.9</v>
      </c>
      <c r="D835" s="295">
        <f>'Bank Int.'!$C835*7.5%/360</f>
        <v>127.3089375</v>
      </c>
      <c r="E835" s="254">
        <v>834758.48</v>
      </c>
      <c r="F835" s="295">
        <f>'Bank Int.'!$E835*7.5%/360</f>
        <v>173.90801666666667</v>
      </c>
      <c r="G835" s="305">
        <v>35490</v>
      </c>
      <c r="H835" s="303">
        <f>'Bank Int.'!$G835*4.5%/360</f>
        <v>4.4362500000000002</v>
      </c>
      <c r="I835" s="306">
        <v>10873.55</v>
      </c>
      <c r="J835" s="307">
        <f>'Bank Int.'!$I835*6.5%/360</f>
        <v>1.9632798611111111</v>
      </c>
      <c r="K835" s="337"/>
      <c r="L835" s="307"/>
    </row>
    <row r="836" spans="1:12" ht="22.9" customHeight="1" x14ac:dyDescent="0.25">
      <c r="A836" s="257"/>
      <c r="B836" s="253">
        <v>45282</v>
      </c>
      <c r="C836" s="298">
        <v>611082.9</v>
      </c>
      <c r="D836" s="295">
        <f>'Bank Int.'!$C836*7.5%/360</f>
        <v>127.3089375</v>
      </c>
      <c r="E836" s="254">
        <v>834758.48</v>
      </c>
      <c r="F836" s="295">
        <f>'Bank Int.'!$E836*7.5%/360</f>
        <v>173.90801666666667</v>
      </c>
      <c r="G836" s="305">
        <v>35490</v>
      </c>
      <c r="H836" s="303">
        <f>'Bank Int.'!$G836*4.5%/360</f>
        <v>4.4362500000000002</v>
      </c>
      <c r="I836" s="306">
        <v>10873.55</v>
      </c>
      <c r="J836" s="307">
        <f>'Bank Int.'!$I836*6.5%/360</f>
        <v>1.9632798611111111</v>
      </c>
      <c r="K836" s="337"/>
      <c r="L836" s="307"/>
    </row>
    <row r="837" spans="1:12" ht="22.9" customHeight="1" x14ac:dyDescent="0.25">
      <c r="A837" s="257"/>
      <c r="B837" s="253">
        <v>45281</v>
      </c>
      <c r="C837" s="298">
        <v>611082.9</v>
      </c>
      <c r="D837" s="295">
        <f>'Bank Int.'!$C837*7.5%/360</f>
        <v>127.3089375</v>
      </c>
      <c r="E837" s="254">
        <v>834758.48</v>
      </c>
      <c r="F837" s="295">
        <f>'Bank Int.'!$E837*7.5%/360</f>
        <v>173.90801666666667</v>
      </c>
      <c r="G837" s="305">
        <v>35490</v>
      </c>
      <c r="H837" s="303">
        <f>'Bank Int.'!$G837*4.5%/360</f>
        <v>4.4362500000000002</v>
      </c>
      <c r="I837" s="306">
        <v>10873.55</v>
      </c>
      <c r="J837" s="307">
        <f>'Bank Int.'!$I837*6.5%/360</f>
        <v>1.9632798611111111</v>
      </c>
      <c r="K837" s="337"/>
      <c r="L837" s="307"/>
    </row>
    <row r="838" spans="1:12" ht="22.9" customHeight="1" x14ac:dyDescent="0.25">
      <c r="A838" s="257"/>
      <c r="B838" s="253">
        <v>45280</v>
      </c>
      <c r="C838" s="298">
        <v>105005.94</v>
      </c>
      <c r="D838" s="295">
        <f>'Bank Int.'!$C838*7.5%/360</f>
        <v>21.876237499999998</v>
      </c>
      <c r="E838" s="254">
        <v>834770.5</v>
      </c>
      <c r="F838" s="295">
        <f>'Bank Int.'!$E838*7.5%/360</f>
        <v>173.91052083333332</v>
      </c>
      <c r="G838" s="305">
        <v>35490</v>
      </c>
      <c r="H838" s="303">
        <f>'Bank Int.'!$G838*4.5%/360</f>
        <v>4.4362500000000002</v>
      </c>
      <c r="I838" s="306">
        <v>10873.55</v>
      </c>
      <c r="J838" s="307">
        <f>'Bank Int.'!$I838*6.5%/360</f>
        <v>1.9632798611111111</v>
      </c>
      <c r="K838" s="337"/>
      <c r="L838" s="307"/>
    </row>
    <row r="839" spans="1:12" ht="22.9" customHeight="1" x14ac:dyDescent="0.25">
      <c r="A839" s="257"/>
      <c r="B839" s="253">
        <v>45279</v>
      </c>
      <c r="C839" s="298">
        <v>89766.6</v>
      </c>
      <c r="D839" s="295">
        <f>'Bank Int.'!$C839*7.5%/360</f>
        <v>18.701374999999999</v>
      </c>
      <c r="E839" s="254">
        <v>834770.5</v>
      </c>
      <c r="F839" s="295">
        <f>'Bank Int.'!$E839*7.5%/360</f>
        <v>173.91052083333332</v>
      </c>
      <c r="G839" s="305">
        <v>35490</v>
      </c>
      <c r="H839" s="303">
        <f>'Bank Int.'!$G839*4.5%/360</f>
        <v>4.4362500000000002</v>
      </c>
      <c r="I839" s="306">
        <v>10873.55</v>
      </c>
      <c r="J839" s="307">
        <f>'Bank Int.'!$I839*6.5%/360</f>
        <v>1.9632798611111111</v>
      </c>
      <c r="K839" s="337"/>
      <c r="L839" s="307"/>
    </row>
    <row r="840" spans="1:12" ht="22.9" customHeight="1" x14ac:dyDescent="0.25">
      <c r="A840" s="257"/>
      <c r="B840" s="253">
        <v>45278</v>
      </c>
      <c r="C840" s="298">
        <v>5005.9399999999996</v>
      </c>
      <c r="D840" s="295">
        <f>'Bank Int.'!$C840*7.5%/360</f>
        <v>1.0429041666666665</v>
      </c>
      <c r="E840" s="254">
        <v>10668650.5</v>
      </c>
      <c r="F840" s="295">
        <f>'Bank Int.'!$E840*7.5%/360</f>
        <v>2222.6355208333334</v>
      </c>
      <c r="G840" s="305">
        <v>35490</v>
      </c>
      <c r="H840" s="303">
        <f>'Bank Int.'!$G840*4.5%/360</f>
        <v>4.4362500000000002</v>
      </c>
      <c r="I840" s="306">
        <v>10873.55</v>
      </c>
      <c r="J840" s="307">
        <f>'Bank Int.'!$I840*6.5%/360</f>
        <v>1.9632798611111111</v>
      </c>
      <c r="K840" s="337"/>
      <c r="L840" s="307"/>
    </row>
    <row r="841" spans="1:12" ht="22.9" customHeight="1" x14ac:dyDescent="0.25">
      <c r="A841" s="257"/>
      <c r="B841" s="253">
        <v>45277</v>
      </c>
      <c r="C841" s="298">
        <v>14831321.66</v>
      </c>
      <c r="D841" s="295">
        <f>'Bank Int.'!$C841*7.5%/360</f>
        <v>3089.8586791666667</v>
      </c>
      <c r="E841" s="254">
        <v>5624360.5</v>
      </c>
      <c r="F841" s="295">
        <f>'Bank Int.'!$E841*7.5%/360</f>
        <v>1171.7417708333332</v>
      </c>
      <c r="G841" s="305">
        <v>490</v>
      </c>
      <c r="H841" s="303">
        <f>'Bank Int.'!$G841*4.5%/360</f>
        <v>6.1249999999999999E-2</v>
      </c>
      <c r="I841" s="306">
        <v>10873.55</v>
      </c>
      <c r="J841" s="307">
        <f>'Bank Int.'!$I841*6.5%/360</f>
        <v>1.9632798611111111</v>
      </c>
      <c r="K841" s="337"/>
      <c r="L841" s="307"/>
    </row>
    <row r="842" spans="1:12" ht="22.9" customHeight="1" x14ac:dyDescent="0.25">
      <c r="A842" s="257"/>
      <c r="B842" s="253">
        <v>45276</v>
      </c>
      <c r="C842" s="298">
        <v>14831321.66</v>
      </c>
      <c r="D842" s="295">
        <f>'Bank Int.'!$C842*7.5%/360</f>
        <v>3089.8586791666667</v>
      </c>
      <c r="E842" s="254">
        <v>5624360.5</v>
      </c>
      <c r="F842" s="295">
        <f>'Bank Int.'!$E842*7.5%/360</f>
        <v>1171.7417708333332</v>
      </c>
      <c r="G842" s="305">
        <v>490</v>
      </c>
      <c r="H842" s="303">
        <f>'Bank Int.'!$G842*4.5%/360</f>
        <v>6.1249999999999999E-2</v>
      </c>
      <c r="I842" s="306">
        <v>10873.55</v>
      </c>
      <c r="J842" s="307">
        <f>'Bank Int.'!$I842*6.5%/360</f>
        <v>1.9632798611111111</v>
      </c>
      <c r="K842" s="337"/>
      <c r="L842" s="307"/>
    </row>
    <row r="843" spans="1:12" ht="22.9" customHeight="1" x14ac:dyDescent="0.25">
      <c r="A843" s="257"/>
      <c r="B843" s="253">
        <v>45275</v>
      </c>
      <c r="C843" s="298">
        <v>14831321.66</v>
      </c>
      <c r="D843" s="295">
        <f>'Bank Int.'!$C843*7.5%/360</f>
        <v>3089.8586791666667</v>
      </c>
      <c r="E843" s="254">
        <v>5624360.5</v>
      </c>
      <c r="F843" s="295">
        <f>'Bank Int.'!$E843*7.5%/360</f>
        <v>1171.7417708333332</v>
      </c>
      <c r="G843" s="305">
        <v>490</v>
      </c>
      <c r="H843" s="303">
        <f>'Bank Int.'!$G843*4.5%/360</f>
        <v>6.1249999999999999E-2</v>
      </c>
      <c r="I843" s="306">
        <v>10873.55</v>
      </c>
      <c r="J843" s="307">
        <f>'Bank Int.'!$I843*6.5%/360</f>
        <v>1.9632798611111111</v>
      </c>
      <c r="K843" s="337"/>
      <c r="L843" s="307"/>
    </row>
    <row r="844" spans="1:12" ht="22.9" customHeight="1" x14ac:dyDescent="0.25">
      <c r="A844" s="257"/>
      <c r="B844" s="253">
        <v>45274</v>
      </c>
      <c r="C844" s="298">
        <v>14831321.66</v>
      </c>
      <c r="D844" s="295">
        <f>'Bank Int.'!$C844*7.5%/360</f>
        <v>3089.8586791666667</v>
      </c>
      <c r="E844" s="254">
        <v>5624360.5</v>
      </c>
      <c r="F844" s="295">
        <f>'Bank Int.'!$E844*7.5%/360</f>
        <v>1171.7417708333332</v>
      </c>
      <c r="G844" s="305">
        <v>490</v>
      </c>
      <c r="H844" s="303">
        <f>'Bank Int.'!$G844*4.5%/360</f>
        <v>6.1249999999999999E-2</v>
      </c>
      <c r="I844" s="306">
        <v>10873.55</v>
      </c>
      <c r="J844" s="307">
        <f>'Bank Int.'!$I844*6.5%/360</f>
        <v>1.9632798611111111</v>
      </c>
      <c r="K844" s="337"/>
      <c r="L844" s="307"/>
    </row>
    <row r="845" spans="1:12" ht="22.9" customHeight="1" x14ac:dyDescent="0.25">
      <c r="A845" s="257"/>
      <c r="B845" s="253">
        <v>45273</v>
      </c>
      <c r="C845" s="298">
        <v>706041.66</v>
      </c>
      <c r="D845" s="295">
        <f>'Bank Int.'!$C845*7.5%/360</f>
        <v>147.09201249999998</v>
      </c>
      <c r="E845" s="254">
        <v>5624360.5</v>
      </c>
      <c r="F845" s="295">
        <f>'Bank Int.'!$E845*7.5%/360</f>
        <v>1171.7417708333332</v>
      </c>
      <c r="G845" s="305">
        <v>10000490</v>
      </c>
      <c r="H845" s="303">
        <f>'Bank Int.'!$G845*4.5%/360</f>
        <v>1250.06125</v>
      </c>
      <c r="I845" s="306">
        <v>10873.55</v>
      </c>
      <c r="J845" s="307">
        <f>'Bank Int.'!$I845*6.5%/360</f>
        <v>1.9632798611111111</v>
      </c>
      <c r="K845" s="337"/>
      <c r="L845" s="307"/>
    </row>
    <row r="846" spans="1:12" ht="22.9" customHeight="1" x14ac:dyDescent="0.25">
      <c r="A846" s="257"/>
      <c r="B846" s="253">
        <v>45272</v>
      </c>
      <c r="C846" s="298">
        <v>706041.66</v>
      </c>
      <c r="D846" s="295">
        <f>'Bank Int.'!$C846*7.5%/360</f>
        <v>147.09201249999998</v>
      </c>
      <c r="E846" s="254">
        <v>5624360.5</v>
      </c>
      <c r="F846" s="295">
        <f>'Bank Int.'!$E846*7.5%/360</f>
        <v>1171.7417708333332</v>
      </c>
      <c r="G846" s="305">
        <v>550</v>
      </c>
      <c r="H846" s="303">
        <f>'Bank Int.'!$G846*4.5%/360</f>
        <v>6.8750000000000006E-2</v>
      </c>
      <c r="I846" s="306">
        <v>10873.55</v>
      </c>
      <c r="J846" s="307">
        <f>'Bank Int.'!$I846*6.5%/360</f>
        <v>1.9632798611111111</v>
      </c>
      <c r="K846" s="337"/>
      <c r="L846" s="307"/>
    </row>
    <row r="847" spans="1:12" ht="22.9" customHeight="1" x14ac:dyDescent="0.25">
      <c r="A847" s="257"/>
      <c r="B847" s="253">
        <v>45271</v>
      </c>
      <c r="C847" s="298">
        <v>521041.66</v>
      </c>
      <c r="D847" s="295">
        <f>'Bank Int.'!$C847*7.5%/360</f>
        <v>108.55034583333332</v>
      </c>
      <c r="E847" s="254">
        <v>2344360.5</v>
      </c>
      <c r="F847" s="295">
        <f>'Bank Int.'!$E847*7.5%/360</f>
        <v>488.40843749999999</v>
      </c>
      <c r="G847" s="305">
        <v>550</v>
      </c>
      <c r="H847" s="303">
        <f>'Bank Int.'!$G847*4.5%/360</f>
        <v>6.8750000000000006E-2</v>
      </c>
      <c r="I847" s="306">
        <v>10873.55</v>
      </c>
      <c r="J847" s="307">
        <f>'Bank Int.'!$I847*6.5%/360</f>
        <v>1.9632798611111111</v>
      </c>
      <c r="K847" s="337"/>
      <c r="L847" s="307"/>
    </row>
    <row r="848" spans="1:12" ht="22.9" customHeight="1" x14ac:dyDescent="0.25">
      <c r="A848" s="257"/>
      <c r="B848" s="253">
        <v>45270</v>
      </c>
      <c r="C848" s="298">
        <v>1782.57</v>
      </c>
      <c r="D848" s="295">
        <f>'Bank Int.'!$C848*7.5%/360</f>
        <v>0.37136874999999997</v>
      </c>
      <c r="E848" s="254">
        <v>45929967.5</v>
      </c>
      <c r="F848" s="295">
        <f>'Bank Int.'!$E848*7.5%/360</f>
        <v>9568.7432291666664</v>
      </c>
      <c r="G848" s="305">
        <v>185550</v>
      </c>
      <c r="H848" s="303">
        <f>'Bank Int.'!$G848*4.5%/360</f>
        <v>23.193750000000001</v>
      </c>
      <c r="I848" s="306">
        <v>10873.55</v>
      </c>
      <c r="J848" s="307">
        <f>'Bank Int.'!$I848*6.5%/360</f>
        <v>1.9632798611111111</v>
      </c>
      <c r="K848" s="337"/>
      <c r="L848" s="307"/>
    </row>
    <row r="849" spans="1:12" ht="22.9" customHeight="1" x14ac:dyDescent="0.25">
      <c r="A849" s="257"/>
      <c r="B849" s="253">
        <v>45269</v>
      </c>
      <c r="C849" s="298">
        <v>2931730.43</v>
      </c>
      <c r="D849" s="295">
        <f>'Bank Int.'!$C849*7.5%/360</f>
        <v>610.7771729166667</v>
      </c>
      <c r="E849" s="254">
        <v>5237.5</v>
      </c>
      <c r="F849" s="295">
        <f>'Bank Int.'!$E849*7.5%/360</f>
        <v>1.0911458333333333</v>
      </c>
      <c r="G849" s="305">
        <v>185550</v>
      </c>
      <c r="H849" s="303">
        <f>'Bank Int.'!$G849*4.5%/360</f>
        <v>23.193750000000001</v>
      </c>
      <c r="I849" s="306">
        <v>10873.55</v>
      </c>
      <c r="J849" s="307">
        <f>'Bank Int.'!$I849*6.5%/360</f>
        <v>1.9632798611111111</v>
      </c>
      <c r="K849" s="337"/>
      <c r="L849" s="307"/>
    </row>
    <row r="850" spans="1:12" ht="22.9" customHeight="1" x14ac:dyDescent="0.25">
      <c r="A850" s="257"/>
      <c r="B850" s="253">
        <v>45268</v>
      </c>
      <c r="C850" s="298">
        <v>2931730.43</v>
      </c>
      <c r="D850" s="295">
        <f>'Bank Int.'!$C850*7.5%/360</f>
        <v>610.7771729166667</v>
      </c>
      <c r="E850" s="254">
        <v>5237.5</v>
      </c>
      <c r="F850" s="295">
        <f>'Bank Int.'!$E850*7.5%/360</f>
        <v>1.0911458333333333</v>
      </c>
      <c r="G850" s="305">
        <v>185550</v>
      </c>
      <c r="H850" s="303">
        <f>'Bank Int.'!$G850*4.5%/360</f>
        <v>23.193750000000001</v>
      </c>
      <c r="I850" s="306">
        <v>10873.55</v>
      </c>
      <c r="J850" s="307">
        <f>'Bank Int.'!$I850*6.5%/360</f>
        <v>1.9632798611111111</v>
      </c>
      <c r="K850" s="337"/>
      <c r="L850" s="307"/>
    </row>
    <row r="851" spans="1:12" ht="22.9" customHeight="1" x14ac:dyDescent="0.25">
      <c r="A851" s="257"/>
      <c r="B851" s="253">
        <v>45267</v>
      </c>
      <c r="C851" s="298">
        <v>2931740.426</v>
      </c>
      <c r="D851" s="295">
        <f>'Bank Int.'!$C851*7.5%/360</f>
        <v>610.77925541666673</v>
      </c>
      <c r="E851" s="254">
        <v>5237.5</v>
      </c>
      <c r="F851" s="295">
        <f>'Bank Int.'!$E851*7.5%/360</f>
        <v>1.0911458333333333</v>
      </c>
      <c r="G851" s="305">
        <v>185550</v>
      </c>
      <c r="H851" s="303">
        <f>'Bank Int.'!$G851*4.5%/360</f>
        <v>23.193750000000001</v>
      </c>
      <c r="I851" s="306">
        <v>10873.55</v>
      </c>
      <c r="J851" s="307">
        <f>'Bank Int.'!$I851*6.5%/360</f>
        <v>1.9632798611111111</v>
      </c>
      <c r="K851" s="337"/>
      <c r="L851" s="307"/>
    </row>
    <row r="852" spans="1:12" ht="22.9" customHeight="1" x14ac:dyDescent="0.25">
      <c r="A852" s="257"/>
      <c r="B852" s="253">
        <v>45266</v>
      </c>
      <c r="C852" s="298">
        <v>58028.91</v>
      </c>
      <c r="D852" s="295">
        <f>'Bank Int.'!$C852*7.5%/360</f>
        <v>12.08935625</v>
      </c>
      <c r="E852" s="254">
        <v>5237.5</v>
      </c>
      <c r="F852" s="295">
        <f>'Bank Int.'!$E852*7.5%/360</f>
        <v>1.0911458333333333</v>
      </c>
      <c r="G852" s="305">
        <v>265550</v>
      </c>
      <c r="H852" s="303">
        <f>'Bank Int.'!$G852*4.5%/360</f>
        <v>33.193750000000001</v>
      </c>
      <c r="I852" s="306">
        <v>10873.55</v>
      </c>
      <c r="J852" s="307">
        <f>'Bank Int.'!$I852*6.5%/360</f>
        <v>1.9632798611111111</v>
      </c>
      <c r="K852" s="337"/>
      <c r="L852" s="307"/>
    </row>
    <row r="853" spans="1:12" ht="22.9" customHeight="1" x14ac:dyDescent="0.25">
      <c r="A853" s="257"/>
      <c r="B853" s="253">
        <v>45265</v>
      </c>
      <c r="C853" s="298">
        <v>58028.91</v>
      </c>
      <c r="D853" s="295">
        <f>'Bank Int.'!$C853*7.5%/360</f>
        <v>12.08935625</v>
      </c>
      <c r="E853" s="254">
        <v>5237.5</v>
      </c>
      <c r="F853" s="295">
        <f>'Bank Int.'!$E853*7.5%/360</f>
        <v>1.0911458333333333</v>
      </c>
      <c r="G853" s="305">
        <v>265550</v>
      </c>
      <c r="H853" s="303">
        <f>'Bank Int.'!$G853*4.5%/360</f>
        <v>33.193750000000001</v>
      </c>
      <c r="I853" s="306">
        <v>10873.55</v>
      </c>
      <c r="J853" s="307">
        <f>'Bank Int.'!$I853*6.5%/360</f>
        <v>1.9632798611111111</v>
      </c>
      <c r="K853" s="337"/>
      <c r="L853" s="307"/>
    </row>
    <row r="854" spans="1:12" ht="22.9" customHeight="1" x14ac:dyDescent="0.25">
      <c r="A854" s="257"/>
      <c r="B854" s="253">
        <v>45264</v>
      </c>
      <c r="C854" s="298">
        <v>41003.910000000003</v>
      </c>
      <c r="D854" s="295">
        <f>'Bank Int.'!$C854*7.5%/360</f>
        <v>8.5424812499999998</v>
      </c>
      <c r="E854" s="254">
        <v>5237.5</v>
      </c>
      <c r="F854" s="295">
        <f>'Bank Int.'!$E854*7.5%/360</f>
        <v>1.0911458333333333</v>
      </c>
      <c r="G854" s="305">
        <v>82550</v>
      </c>
      <c r="H854" s="303">
        <f>'Bank Int.'!$G854*4.5%/360</f>
        <v>10.31875</v>
      </c>
      <c r="I854" s="306">
        <v>10873.55</v>
      </c>
      <c r="J854" s="307">
        <f>'Bank Int.'!$I854*6.5%/360</f>
        <v>1.9632798611111111</v>
      </c>
      <c r="K854" s="337"/>
      <c r="L854" s="307"/>
    </row>
    <row r="855" spans="1:12" ht="22.9" customHeight="1" x14ac:dyDescent="0.25">
      <c r="A855" s="257"/>
      <c r="B855" s="253">
        <v>45263</v>
      </c>
      <c r="C855" s="298">
        <v>1003.91</v>
      </c>
      <c r="D855" s="295">
        <f>'Bank Int.'!$C855*7.5%/360</f>
        <v>0.20914791666666666</v>
      </c>
      <c r="E855" s="254">
        <v>3126559.5</v>
      </c>
      <c r="F855" s="295">
        <f>'Bank Int.'!$E855*7.5%/360</f>
        <v>651.36656249999999</v>
      </c>
      <c r="G855" s="305">
        <v>82550</v>
      </c>
      <c r="H855" s="303">
        <f>'Bank Int.'!$G855*4.5%/360</f>
        <v>10.31875</v>
      </c>
      <c r="I855" s="306">
        <v>10873.55</v>
      </c>
      <c r="J855" s="307">
        <f>'Bank Int.'!$I855*6.5%/360</f>
        <v>1.9632798611111111</v>
      </c>
      <c r="K855" s="337"/>
      <c r="L855" s="307"/>
    </row>
    <row r="856" spans="1:12" ht="22.9" customHeight="1" x14ac:dyDescent="0.25">
      <c r="A856" s="257"/>
      <c r="B856" s="253">
        <v>45262</v>
      </c>
      <c r="C856" s="298">
        <v>2089533.91</v>
      </c>
      <c r="D856" s="295">
        <f>'Bank Int.'!$C856*7.5%/360</f>
        <v>435.31956458333332</v>
      </c>
      <c r="E856" s="254">
        <v>1038029.5</v>
      </c>
      <c r="F856" s="295">
        <f>'Bank Int.'!$E856*7.5%/360</f>
        <v>216.25614583333331</v>
      </c>
      <c r="G856" s="305">
        <v>82550</v>
      </c>
      <c r="H856" s="303">
        <f>'Bank Int.'!$G856*4.5%/360</f>
        <v>10.31875</v>
      </c>
      <c r="I856" s="306">
        <v>10873.55</v>
      </c>
      <c r="J856" s="307">
        <f>'Bank Int.'!$I856*6.5%/360</f>
        <v>1.9632798611111111</v>
      </c>
      <c r="K856" s="337"/>
      <c r="L856" s="307"/>
    </row>
    <row r="857" spans="1:12" ht="22.9" customHeight="1" x14ac:dyDescent="0.25">
      <c r="A857" s="257"/>
      <c r="B857" s="253">
        <v>45261</v>
      </c>
      <c r="C857" s="298">
        <v>2089533.91</v>
      </c>
      <c r="D857" s="295">
        <f>'Bank Int.'!$C857*7.5%/360</f>
        <v>435.31956458333332</v>
      </c>
      <c r="E857" s="254">
        <v>1038029.5</v>
      </c>
      <c r="F857" s="295">
        <f>'Bank Int.'!$E857*7.5%/360</f>
        <v>216.25614583333331</v>
      </c>
      <c r="G857" s="305">
        <v>82550</v>
      </c>
      <c r="H857" s="303">
        <f>'Bank Int.'!$G857*4.5%/360</f>
        <v>10.31875</v>
      </c>
      <c r="I857" s="306">
        <v>10873.55</v>
      </c>
      <c r="J857" s="307">
        <f>'Bank Int.'!$I857*6.5%/360</f>
        <v>1.9632798611111111</v>
      </c>
      <c r="K857" s="337"/>
      <c r="L857" s="307"/>
    </row>
    <row r="858" spans="1:12" ht="22.9" customHeight="1" x14ac:dyDescent="0.25">
      <c r="A858" s="257"/>
      <c r="B858" s="253">
        <v>45260</v>
      </c>
      <c r="C858" s="298">
        <v>2039713.91</v>
      </c>
      <c r="D858" s="295">
        <f>'Bank Int.'!$C858*7.5%/360</f>
        <v>424.94039791666665</v>
      </c>
      <c r="E858" s="254">
        <v>1038029.5</v>
      </c>
      <c r="F858" s="295">
        <f>'Bank Int.'!$E858*7.5%/360</f>
        <v>216.25614583333331</v>
      </c>
      <c r="G858" s="305">
        <v>82550</v>
      </c>
      <c r="H858" s="303">
        <f>'Bank Int.'!$G858*4.5%/360</f>
        <v>10.31875</v>
      </c>
      <c r="I858" s="306">
        <v>10873.55</v>
      </c>
      <c r="J858" s="307">
        <f>'Bank Int.'!$I858*6.5%/360</f>
        <v>1.9632798611111111</v>
      </c>
      <c r="K858" s="337"/>
      <c r="L858" s="307"/>
    </row>
    <row r="859" spans="1:12" ht="22.9" customHeight="1" x14ac:dyDescent="0.25">
      <c r="A859" s="257"/>
      <c r="B859" s="253">
        <v>45259</v>
      </c>
      <c r="C859" s="298">
        <v>3705221.91</v>
      </c>
      <c r="D859" s="295">
        <f>'Bank Int.'!$C859*7.5%/360</f>
        <v>771.92123125000012</v>
      </c>
      <c r="E859" s="254">
        <v>1038029.5</v>
      </c>
      <c r="F859" s="295">
        <f>'Bank Int.'!$E859*7.5%/360</f>
        <v>216.25614583333331</v>
      </c>
      <c r="G859" s="305">
        <v>17550</v>
      </c>
      <c r="H859" s="303">
        <f>'Bank Int.'!$G859*4.5%/360</f>
        <v>2.1937500000000001</v>
      </c>
      <c r="I859" s="306">
        <v>10873.55</v>
      </c>
      <c r="J859" s="307">
        <f>'Bank Int.'!$I859*6.5%/360</f>
        <v>1.9632798611111111</v>
      </c>
      <c r="K859" s="337"/>
      <c r="L859" s="307"/>
    </row>
    <row r="860" spans="1:12" ht="22.9" customHeight="1" x14ac:dyDescent="0.25">
      <c r="A860" s="257"/>
      <c r="B860" s="253">
        <v>45258</v>
      </c>
      <c r="C860" s="298">
        <v>205281.91</v>
      </c>
      <c r="D860" s="295">
        <f>'Bank Int.'!$C860*7.5%/360</f>
        <v>42.76706458333333</v>
      </c>
      <c r="E860" s="254">
        <v>3438144.5</v>
      </c>
      <c r="F860" s="295">
        <f>'Bank Int.'!$E860*7.5%/360</f>
        <v>716.28010416666666</v>
      </c>
      <c r="G860" s="305">
        <v>17550</v>
      </c>
      <c r="H860" s="303">
        <f>'Bank Int.'!$G860*4.5%/360</f>
        <v>2.1937500000000001</v>
      </c>
      <c r="I860" s="306">
        <v>10873.55</v>
      </c>
      <c r="J860" s="307">
        <f>'Bank Int.'!$I860*6.5%/360</f>
        <v>1.9632798611111111</v>
      </c>
      <c r="K860" s="337"/>
      <c r="L860" s="307"/>
    </row>
    <row r="861" spans="1:12" ht="22.9" customHeight="1" x14ac:dyDescent="0.25">
      <c r="A861" s="257"/>
      <c r="B861" s="253">
        <v>45257</v>
      </c>
      <c r="C861" s="298">
        <v>2068101.74</v>
      </c>
      <c r="D861" s="295">
        <f>'Bank Int.'!$C861*7.5%/360</f>
        <v>430.85452916666668</v>
      </c>
      <c r="E861" s="254">
        <v>198144.5</v>
      </c>
      <c r="F861" s="295">
        <f>'Bank Int.'!$E861*7.5%/360</f>
        <v>41.280104166666668</v>
      </c>
      <c r="G861" s="305">
        <v>7550</v>
      </c>
      <c r="H861" s="303">
        <f>'Bank Int.'!$G861*4.5%/360</f>
        <v>0.94374999999999998</v>
      </c>
      <c r="I861" s="306">
        <v>3250873.55</v>
      </c>
      <c r="J861" s="307">
        <f>'Bank Int.'!$I861*6.5%/360</f>
        <v>586.96327986111112</v>
      </c>
      <c r="K861" s="337"/>
      <c r="L861" s="307"/>
    </row>
    <row r="862" spans="1:12" ht="22.9" customHeight="1" x14ac:dyDescent="0.25">
      <c r="A862" s="257"/>
      <c r="B862" s="253">
        <v>45256</v>
      </c>
      <c r="C862" s="298">
        <v>68161.740000000005</v>
      </c>
      <c r="D862" s="295">
        <f>'Bank Int.'!$C862*7.5%/360</f>
        <v>14.200362500000001</v>
      </c>
      <c r="E862" s="254">
        <v>198144.5</v>
      </c>
      <c r="F862" s="295">
        <f>'Bank Int.'!$E862*7.5%/360</f>
        <v>41.280104166666668</v>
      </c>
      <c r="G862" s="305">
        <v>207550</v>
      </c>
      <c r="H862" s="303">
        <f>'Bank Int.'!$G862*4.5%/360</f>
        <v>25.943750000000001</v>
      </c>
      <c r="I862" s="306">
        <v>10873.55</v>
      </c>
      <c r="J862" s="307">
        <f>'Bank Int.'!$I862*6.5%/360</f>
        <v>1.9632798611111111</v>
      </c>
      <c r="K862" s="337"/>
      <c r="L862" s="307"/>
    </row>
    <row r="863" spans="1:12" ht="22.9" customHeight="1" x14ac:dyDescent="0.25">
      <c r="A863" s="257"/>
      <c r="B863" s="253">
        <v>45255</v>
      </c>
      <c r="C863" s="298">
        <v>2103161.7400000002</v>
      </c>
      <c r="D863" s="295">
        <f>'Bank Int.'!$C863*7.5%/360</f>
        <v>438.15869583333335</v>
      </c>
      <c r="E863" s="254">
        <v>946366.5</v>
      </c>
      <c r="F863" s="295">
        <f>'Bank Int.'!$E863*7.5%/360</f>
        <v>197.15968750000002</v>
      </c>
      <c r="G863" s="305">
        <v>7010</v>
      </c>
      <c r="H863" s="303">
        <f>'Bank Int.'!$G863*4.5%/360</f>
        <v>0.87624999999999997</v>
      </c>
      <c r="I863" s="306">
        <v>10873.55</v>
      </c>
      <c r="J863" s="307">
        <f>'Bank Int.'!$I863*6.5%/360</f>
        <v>1.9632798611111111</v>
      </c>
      <c r="K863" s="337"/>
      <c r="L863" s="307"/>
    </row>
    <row r="864" spans="1:12" ht="22.9" customHeight="1" x14ac:dyDescent="0.25">
      <c r="A864" s="257"/>
      <c r="B864" s="253">
        <v>45254</v>
      </c>
      <c r="C864" s="298">
        <v>2103161.7400000002</v>
      </c>
      <c r="D864" s="295">
        <f>'Bank Int.'!$C864*7.5%/360</f>
        <v>438.15869583333335</v>
      </c>
      <c r="E864" s="254">
        <v>946366.5</v>
      </c>
      <c r="F864" s="295">
        <f>'Bank Int.'!$E864*7.5%/360</f>
        <v>197.15968750000002</v>
      </c>
      <c r="G864" s="305">
        <v>7010</v>
      </c>
      <c r="H864" s="303">
        <f>'Bank Int.'!$G864*4.5%/360</f>
        <v>0.87624999999999997</v>
      </c>
      <c r="I864" s="306">
        <v>10873.55</v>
      </c>
      <c r="J864" s="307">
        <f>'Bank Int.'!$I864*6.5%/360</f>
        <v>1.9632798611111111</v>
      </c>
      <c r="K864" s="337"/>
      <c r="L864" s="307"/>
    </row>
    <row r="865" spans="1:12" ht="22.9" customHeight="1" x14ac:dyDescent="0.25">
      <c r="A865" s="257"/>
      <c r="B865" s="253">
        <v>45253</v>
      </c>
      <c r="C865" s="298">
        <v>2103221.7400000002</v>
      </c>
      <c r="D865" s="295">
        <f>'Bank Int.'!$C865*7.5%/360</f>
        <v>438.17119583333334</v>
      </c>
      <c r="E865" s="254">
        <v>946366.5</v>
      </c>
      <c r="F865" s="295">
        <f>'Bank Int.'!$E865*7.5%/360</f>
        <v>197.15968750000002</v>
      </c>
      <c r="G865" s="305">
        <v>7010</v>
      </c>
      <c r="H865" s="303">
        <f>'Bank Int.'!$G865*4.5%/360</f>
        <v>0.87624999999999997</v>
      </c>
      <c r="I865" s="306">
        <v>10873.55</v>
      </c>
      <c r="J865" s="307">
        <f>'Bank Int.'!$I865*6.5%/360</f>
        <v>1.9632798611111111</v>
      </c>
      <c r="K865" s="337"/>
      <c r="L865" s="307"/>
    </row>
    <row r="866" spans="1:12" ht="22.9" customHeight="1" x14ac:dyDescent="0.25">
      <c r="A866" s="257"/>
      <c r="B866" s="253">
        <v>45252</v>
      </c>
      <c r="C866" s="298">
        <v>3623221.74</v>
      </c>
      <c r="D866" s="295">
        <f>'Bank Int.'!$C866*7.5%/360</f>
        <v>754.83786250000003</v>
      </c>
      <c r="E866" s="254">
        <v>946366.5</v>
      </c>
      <c r="F866" s="295">
        <f>'Bank Int.'!$E866*7.5%/360</f>
        <v>197.15968750000002</v>
      </c>
      <c r="G866" s="305">
        <v>457010</v>
      </c>
      <c r="H866" s="303">
        <f>'Bank Int.'!$G866*4.5%/360</f>
        <v>57.126249999999999</v>
      </c>
      <c r="I866" s="306">
        <v>240873.55</v>
      </c>
      <c r="J866" s="307">
        <f>'Bank Int.'!$I866*6.5%/360</f>
        <v>43.49105763888889</v>
      </c>
      <c r="K866" s="337"/>
      <c r="L866" s="307"/>
    </row>
    <row r="867" spans="1:12" ht="22.9" customHeight="1" x14ac:dyDescent="0.25">
      <c r="A867" s="257"/>
      <c r="B867" s="253">
        <v>45251</v>
      </c>
      <c r="C867" s="298">
        <v>1623281.74</v>
      </c>
      <c r="D867" s="295">
        <f>'Bank Int.'!$C867*7.5%/360</f>
        <v>338.18369583333333</v>
      </c>
      <c r="E867" s="254">
        <v>946366.5</v>
      </c>
      <c r="F867" s="295">
        <f>'Bank Int.'!$E867*7.5%/360</f>
        <v>197.15968750000002</v>
      </c>
      <c r="G867" s="305">
        <v>457010</v>
      </c>
      <c r="H867" s="303">
        <f>'Bank Int.'!$G867*4.5%/360</f>
        <v>57.126249999999999</v>
      </c>
      <c r="I867" s="306">
        <v>240873.55</v>
      </c>
      <c r="J867" s="307">
        <f>'Bank Int.'!$I867*6.5%/360</f>
        <v>43.49105763888889</v>
      </c>
      <c r="K867" s="337"/>
      <c r="L867" s="307"/>
    </row>
    <row r="868" spans="1:12" ht="22.9" customHeight="1" x14ac:dyDescent="0.25">
      <c r="A868" s="257"/>
      <c r="B868" s="253">
        <v>45250</v>
      </c>
      <c r="C868" s="298">
        <v>1623281.74</v>
      </c>
      <c r="D868" s="295">
        <f>'Bank Int.'!$C868*7.5%/360</f>
        <v>338.18369583333333</v>
      </c>
      <c r="E868" s="254">
        <v>946366.5</v>
      </c>
      <c r="F868" s="295">
        <f>'Bank Int.'!$E868*7.5%/360</f>
        <v>197.15968750000002</v>
      </c>
      <c r="G868" s="305">
        <v>457010</v>
      </c>
      <c r="H868" s="303">
        <f>'Bank Int.'!$G868*4.5%/360</f>
        <v>57.126249999999999</v>
      </c>
      <c r="I868" s="306">
        <v>240873.55</v>
      </c>
      <c r="J868" s="307">
        <f>'Bank Int.'!$I868*6.5%/360</f>
        <v>43.49105763888889</v>
      </c>
      <c r="K868" s="337"/>
      <c r="L868" s="307"/>
    </row>
    <row r="869" spans="1:12" ht="22.9" customHeight="1" x14ac:dyDescent="0.25">
      <c r="A869" s="257"/>
      <c r="B869" s="253">
        <v>45249</v>
      </c>
      <c r="C869" s="298">
        <v>1623281.74</v>
      </c>
      <c r="D869" s="295">
        <f>'Bank Int.'!$C869*7.5%/360</f>
        <v>338.18369583333333</v>
      </c>
      <c r="E869" s="254">
        <v>11481356.1</v>
      </c>
      <c r="F869" s="295">
        <f>'Bank Int.'!$E869*7.5%/360</f>
        <v>2391.9491874999999</v>
      </c>
      <c r="G869" s="305">
        <v>457010</v>
      </c>
      <c r="H869" s="303">
        <f>'Bank Int.'!$G869*4.5%/360</f>
        <v>57.126249999999999</v>
      </c>
      <c r="I869" s="306">
        <v>240873.55</v>
      </c>
      <c r="J869" s="307">
        <f>'Bank Int.'!$I869*6.5%/360</f>
        <v>43.49105763888889</v>
      </c>
      <c r="K869" s="337"/>
      <c r="L869" s="307"/>
    </row>
    <row r="870" spans="1:12" ht="22.9" customHeight="1" x14ac:dyDescent="0.25">
      <c r="A870" s="257"/>
      <c r="B870" s="253">
        <v>45248</v>
      </c>
      <c r="C870" s="298">
        <v>1623281.74</v>
      </c>
      <c r="D870" s="295">
        <f>'Bank Int.'!$C870*7.5%/360</f>
        <v>338.18369583333333</v>
      </c>
      <c r="E870" s="254">
        <v>763193.16</v>
      </c>
      <c r="F870" s="295">
        <f>'Bank Int.'!$E870*7.5%/360</f>
        <v>158.99857500000002</v>
      </c>
      <c r="G870" s="305">
        <v>457010</v>
      </c>
      <c r="H870" s="303">
        <f>'Bank Int.'!$G870*4.5%/360</f>
        <v>57.126249999999999</v>
      </c>
      <c r="I870" s="306">
        <v>10800973.550000001</v>
      </c>
      <c r="J870" s="307">
        <f>'Bank Int.'!$I870*6.5%/360</f>
        <v>1950.1757798611111</v>
      </c>
      <c r="K870" s="337"/>
      <c r="L870" s="307"/>
    </row>
    <row r="871" spans="1:12" ht="22.9" customHeight="1" x14ac:dyDescent="0.25">
      <c r="A871" s="257"/>
      <c r="B871" s="253">
        <v>45247</v>
      </c>
      <c r="C871" s="298">
        <v>1623281.74</v>
      </c>
      <c r="D871" s="295">
        <f>'Bank Int.'!$C871*7.5%/360</f>
        <v>338.18369583333333</v>
      </c>
      <c r="E871" s="254">
        <v>763193.16</v>
      </c>
      <c r="F871" s="295">
        <f>'Bank Int.'!$E871*7.5%/360</f>
        <v>158.99857500000002</v>
      </c>
      <c r="G871" s="305">
        <v>457010</v>
      </c>
      <c r="H871" s="303">
        <f>'Bank Int.'!$G871*4.5%/360</f>
        <v>57.126249999999999</v>
      </c>
      <c r="I871" s="306">
        <v>10800973.550000001</v>
      </c>
      <c r="J871" s="307">
        <f>'Bank Int.'!$I871*6.5%/360</f>
        <v>1950.1757798611111</v>
      </c>
      <c r="K871" s="337"/>
      <c r="L871" s="307"/>
    </row>
    <row r="872" spans="1:12" ht="22.9" customHeight="1" x14ac:dyDescent="0.25">
      <c r="A872" s="257"/>
      <c r="B872" s="253">
        <v>45246</v>
      </c>
      <c r="C872" s="298">
        <v>1623281.74</v>
      </c>
      <c r="D872" s="295">
        <f>'Bank Int.'!$C872*7.5%/360</f>
        <v>338.18369583333333</v>
      </c>
      <c r="E872" s="254">
        <v>763193.16</v>
      </c>
      <c r="F872" s="295">
        <f>'Bank Int.'!$E872*7.5%/360</f>
        <v>158.99857500000002</v>
      </c>
      <c r="G872" s="305">
        <v>457010</v>
      </c>
      <c r="H872" s="303">
        <f>'Bank Int.'!$G872*4.5%/360</f>
        <v>57.126249999999999</v>
      </c>
      <c r="I872" s="306">
        <v>10800973.550000001</v>
      </c>
      <c r="J872" s="307">
        <f>'Bank Int.'!$I872*6.5%/360</f>
        <v>1950.1757798611111</v>
      </c>
      <c r="K872" s="337"/>
      <c r="L872" s="307"/>
    </row>
    <row r="873" spans="1:12" ht="22.9" customHeight="1" x14ac:dyDescent="0.25">
      <c r="A873" s="257"/>
      <c r="B873" s="253">
        <v>45245</v>
      </c>
      <c r="C873" s="298">
        <v>453339.74</v>
      </c>
      <c r="D873" s="295">
        <f>'Bank Int.'!$C873*7.5%/360</f>
        <v>94.445779166666654</v>
      </c>
      <c r="E873" s="254">
        <v>763193.16</v>
      </c>
      <c r="F873" s="295">
        <f>'Bank Int.'!$E873*7.5%/360</f>
        <v>158.99857500000002</v>
      </c>
      <c r="G873" s="305">
        <v>1297020</v>
      </c>
      <c r="H873" s="303">
        <f>'Bank Int.'!$G873*4.5%/360</f>
        <v>162.1275</v>
      </c>
      <c r="I873" s="254">
        <v>91073.549999999799</v>
      </c>
      <c r="J873" s="307">
        <f>'Bank Int.'!$I873*6.5%/360</f>
        <v>16.44383541666663</v>
      </c>
      <c r="K873" s="337"/>
      <c r="L873" s="307"/>
    </row>
    <row r="874" spans="1:12" ht="22.9" customHeight="1" x14ac:dyDescent="0.25">
      <c r="A874" s="257"/>
      <c r="B874" s="253">
        <v>45244</v>
      </c>
      <c r="C874" s="298">
        <v>453339.74</v>
      </c>
      <c r="D874" s="295">
        <f>'Bank Int.'!$C874*7.5%/360</f>
        <v>94.445779166666654</v>
      </c>
      <c r="E874" s="254">
        <v>763193.16</v>
      </c>
      <c r="F874" s="295">
        <f>'Bank Int.'!$E874*7.5%/360</f>
        <v>158.99857500000002</v>
      </c>
      <c r="G874" s="305">
        <v>1257020</v>
      </c>
      <c r="H874" s="303">
        <f>'Bank Int.'!$G874*4.5%/360</f>
        <v>157.1275</v>
      </c>
      <c r="I874" s="254">
        <v>91073.549999999799</v>
      </c>
      <c r="J874" s="307">
        <f>'Bank Int.'!$I874*6.5%/360</f>
        <v>16.44383541666663</v>
      </c>
      <c r="K874" s="337"/>
      <c r="L874" s="307"/>
    </row>
    <row r="875" spans="1:12" ht="22.9" customHeight="1" x14ac:dyDescent="0.25">
      <c r="A875" s="257"/>
      <c r="B875" s="253">
        <v>45243</v>
      </c>
      <c r="C875" s="298">
        <v>453339.74</v>
      </c>
      <c r="D875" s="295">
        <f>'Bank Int.'!$C875*7.5%/360</f>
        <v>94.445779166666654</v>
      </c>
      <c r="E875" s="254">
        <v>763193.16</v>
      </c>
      <c r="F875" s="295">
        <f>'Bank Int.'!$E875*7.5%/360</f>
        <v>158.99857500000002</v>
      </c>
      <c r="G875" s="305">
        <v>257080</v>
      </c>
      <c r="H875" s="303">
        <f>'Bank Int.'!$G875*4.5%/360</f>
        <v>32.134999999999998</v>
      </c>
      <c r="I875" s="254">
        <v>91073.549999999799</v>
      </c>
      <c r="J875" s="307">
        <f>'Bank Int.'!$I875*6.5%/360</f>
        <v>16.44383541666663</v>
      </c>
      <c r="K875" s="337"/>
      <c r="L875" s="307"/>
    </row>
    <row r="876" spans="1:12" ht="22.9" customHeight="1" x14ac:dyDescent="0.25">
      <c r="A876" s="257"/>
      <c r="B876" s="253">
        <v>45242</v>
      </c>
      <c r="C876" s="298">
        <v>453339.74</v>
      </c>
      <c r="D876" s="295">
        <f>'Bank Int.'!$C876*7.5%/360</f>
        <v>94.445779166666654</v>
      </c>
      <c r="E876" s="254">
        <v>8669727.5600000005</v>
      </c>
      <c r="F876" s="295">
        <f>'Bank Int.'!$E876*7.5%/360</f>
        <v>1806.1932416666668</v>
      </c>
      <c r="G876" s="305">
        <v>262080</v>
      </c>
      <c r="H876" s="303">
        <f>'Bank Int.'!$G876*4.5%/360</f>
        <v>32.76</v>
      </c>
      <c r="I876" s="254">
        <v>91073.549999999799</v>
      </c>
      <c r="J876" s="307">
        <f>'Bank Int.'!$I876*6.5%/360</f>
        <v>16.44383541666663</v>
      </c>
      <c r="K876" s="337"/>
      <c r="L876" s="307"/>
    </row>
    <row r="877" spans="1:12" ht="22.9" customHeight="1" x14ac:dyDescent="0.25">
      <c r="A877" s="257"/>
      <c r="B877" s="253">
        <v>45241</v>
      </c>
      <c r="C877" s="298">
        <v>333349.74</v>
      </c>
      <c r="D877" s="295">
        <f>'Bank Int.'!$C877*7.5%/360</f>
        <v>69.447862499999999</v>
      </c>
      <c r="E877" s="254">
        <v>48526122.560000002</v>
      </c>
      <c r="F877" s="295">
        <f>'Bank Int.'!$E877*7.5%/360</f>
        <v>10109.608866666667</v>
      </c>
      <c r="G877" s="305">
        <v>262080</v>
      </c>
      <c r="H877" s="303">
        <f>'Bank Int.'!$G877*4.5%/360</f>
        <v>32.76</v>
      </c>
      <c r="I877" s="254">
        <v>11073.549999999814</v>
      </c>
      <c r="J877" s="307">
        <f>'Bank Int.'!$I877*6.5%/360</f>
        <v>1.9993909722221888</v>
      </c>
      <c r="K877" s="337"/>
      <c r="L877" s="307"/>
    </row>
    <row r="878" spans="1:12" ht="22.9" customHeight="1" x14ac:dyDescent="0.25">
      <c r="A878" s="257"/>
      <c r="B878" s="253">
        <v>45240</v>
      </c>
      <c r="C878" s="298">
        <v>333349.74</v>
      </c>
      <c r="D878" s="295">
        <f>'Bank Int.'!$C878*7.5%/360</f>
        <v>69.447862499999999</v>
      </c>
      <c r="E878" s="254">
        <v>48526122.560000002</v>
      </c>
      <c r="F878" s="295">
        <f>'Bank Int.'!$E878*7.5%/360</f>
        <v>10109.608866666667</v>
      </c>
      <c r="G878" s="305">
        <v>262080</v>
      </c>
      <c r="H878" s="303">
        <f>'Bank Int.'!$G878*4.5%/360</f>
        <v>32.76</v>
      </c>
      <c r="I878" s="254">
        <v>11073.549999999814</v>
      </c>
      <c r="J878" s="307">
        <f>'Bank Int.'!$I878*6.5%/360</f>
        <v>1.9993909722221888</v>
      </c>
      <c r="K878" s="337"/>
      <c r="L878" s="307"/>
    </row>
    <row r="879" spans="1:12" ht="22.9" customHeight="1" x14ac:dyDescent="0.25">
      <c r="A879" s="257"/>
      <c r="B879" s="253">
        <v>45239</v>
      </c>
      <c r="C879" s="298">
        <v>333349.74</v>
      </c>
      <c r="D879" s="295">
        <f>'Bank Int.'!$C879*7.5%/360</f>
        <v>69.447862499999999</v>
      </c>
      <c r="E879" s="254">
        <v>48526122.560000002</v>
      </c>
      <c r="F879" s="295">
        <f>'Bank Int.'!$E879*7.5%/360</f>
        <v>10109.608866666667</v>
      </c>
      <c r="G879" s="305">
        <v>262080</v>
      </c>
      <c r="H879" s="303">
        <f>'Bank Int.'!$G879*4.5%/360</f>
        <v>32.76</v>
      </c>
      <c r="I879" s="254">
        <v>11073.549999999814</v>
      </c>
      <c r="J879" s="307">
        <f>'Bank Int.'!$I879*6.5%/360</f>
        <v>1.9993909722221888</v>
      </c>
      <c r="K879" s="337"/>
      <c r="L879" s="307"/>
    </row>
    <row r="880" spans="1:12" ht="22.9" customHeight="1" x14ac:dyDescent="0.25">
      <c r="A880" s="257"/>
      <c r="B880" s="253">
        <v>45238</v>
      </c>
      <c r="C880" s="298">
        <v>642759.01</v>
      </c>
      <c r="D880" s="295">
        <f>'Bank Int.'!$C880*7.5%/360</f>
        <v>133.90812708333334</v>
      </c>
      <c r="E880" s="254">
        <v>4443289.25</v>
      </c>
      <c r="F880" s="295">
        <f>'Bank Int.'!$E880*7.5%/360</f>
        <v>925.68526041666655</v>
      </c>
      <c r="G880" s="305">
        <v>262080</v>
      </c>
      <c r="H880" s="303">
        <f>'Bank Int.'!$G880*4.5%/360</f>
        <v>32.76</v>
      </c>
      <c r="I880" s="254">
        <v>11073.549999999814</v>
      </c>
      <c r="J880" s="307">
        <f>'Bank Int.'!$I880*6.5%/360</f>
        <v>1.9993909722221888</v>
      </c>
      <c r="K880" s="337"/>
      <c r="L880" s="307"/>
    </row>
    <row r="881" spans="1:13" ht="22.9" customHeight="1" x14ac:dyDescent="0.25">
      <c r="A881" s="257"/>
      <c r="B881" s="253">
        <v>45237</v>
      </c>
      <c r="C881" s="298">
        <v>642759.01</v>
      </c>
      <c r="D881" s="295">
        <f>'Bank Int.'!$C881*7.5%/360</f>
        <v>133.90812708333334</v>
      </c>
      <c r="E881" s="254">
        <v>444039.25</v>
      </c>
      <c r="F881" s="295">
        <f>'Bank Int.'!$E881*7.5%/360</f>
        <v>92.508177083333322</v>
      </c>
      <c r="G881" s="305">
        <v>262080</v>
      </c>
      <c r="H881" s="303">
        <f>'Bank Int.'!$G881*4.5%/360</f>
        <v>32.76</v>
      </c>
      <c r="I881" s="254">
        <v>11073.549999999814</v>
      </c>
      <c r="J881" s="307">
        <f>'Bank Int.'!$I881*6.5%/360</f>
        <v>1.9993909722221888</v>
      </c>
      <c r="K881" s="337"/>
      <c r="L881" s="307"/>
    </row>
    <row r="882" spans="1:13" ht="22.9" customHeight="1" x14ac:dyDescent="0.25">
      <c r="A882" s="257"/>
      <c r="B882" s="253">
        <v>45236</v>
      </c>
      <c r="C882" s="298">
        <v>642759.01</v>
      </c>
      <c r="D882" s="295">
        <f>'Bank Int.'!$C882*7.5%/360</f>
        <v>133.90812708333334</v>
      </c>
      <c r="E882" s="254">
        <v>337372.55</v>
      </c>
      <c r="F882" s="295">
        <f>'Bank Int.'!$E882*7.5%/360</f>
        <v>70.285947916666672</v>
      </c>
      <c r="G882" s="305">
        <v>262080</v>
      </c>
      <c r="H882" s="303">
        <f>'Bank Int.'!$G882*4.5%/360</f>
        <v>32.76</v>
      </c>
      <c r="I882" s="254">
        <v>11073.549999999814</v>
      </c>
      <c r="J882" s="307">
        <f>'Bank Int.'!$I882*6.5%/360</f>
        <v>1.9993909722221888</v>
      </c>
      <c r="K882" s="337"/>
      <c r="L882" s="307"/>
    </row>
    <row r="883" spans="1:13" ht="22.9" customHeight="1" x14ac:dyDescent="0.25">
      <c r="A883" s="257"/>
      <c r="B883" s="253">
        <v>45235</v>
      </c>
      <c r="C883" s="298">
        <v>548309.01</v>
      </c>
      <c r="D883" s="295">
        <f>'Bank Int.'!$C883*7.5%/360</f>
        <v>114.23104375000001</v>
      </c>
      <c r="E883" s="254">
        <v>337372.55</v>
      </c>
      <c r="F883" s="295">
        <f>'Bank Int.'!$E883*7.5%/360</f>
        <v>70.285947916666672</v>
      </c>
      <c r="G883" s="305">
        <v>105080</v>
      </c>
      <c r="H883" s="303">
        <f>'Bank Int.'!$G883*4.5%/360</f>
        <v>13.134999999999998</v>
      </c>
      <c r="I883" s="254">
        <v>11073.549999999814</v>
      </c>
      <c r="J883" s="307">
        <f>'Bank Int.'!$I883*6.5%/360</f>
        <v>1.9993909722221888</v>
      </c>
      <c r="K883" s="337"/>
      <c r="L883" s="307"/>
    </row>
    <row r="884" spans="1:13" ht="22.9" customHeight="1" x14ac:dyDescent="0.25">
      <c r="A884" s="257"/>
      <c r="B884" s="253">
        <v>45234</v>
      </c>
      <c r="C884" s="298">
        <v>861931.29</v>
      </c>
      <c r="D884" s="295">
        <f>'Bank Int.'!$C884*7.5%/360</f>
        <v>179.56901875</v>
      </c>
      <c r="E884" s="254">
        <v>337372.55</v>
      </c>
      <c r="F884" s="295">
        <f>'Bank Int.'!$E884*7.5%/360</f>
        <v>70.285947916666672</v>
      </c>
      <c r="G884" s="305">
        <v>2080</v>
      </c>
      <c r="H884" s="303">
        <f>'Bank Int.'!$G884*4.5%/360</f>
        <v>0.26</v>
      </c>
      <c r="I884" s="254">
        <v>11073.549999999814</v>
      </c>
      <c r="J884" s="307">
        <f>'Bank Int.'!$I884*6.5%/360</f>
        <v>1.9993909722221888</v>
      </c>
      <c r="K884" s="337"/>
      <c r="L884" s="307"/>
    </row>
    <row r="885" spans="1:13" ht="22.9" customHeight="1" x14ac:dyDescent="0.25">
      <c r="A885" s="257"/>
      <c r="B885" s="253">
        <v>45233</v>
      </c>
      <c r="C885" s="298">
        <v>861931.29</v>
      </c>
      <c r="D885" s="295">
        <f>'Bank Int.'!$C885*7.5%/360</f>
        <v>179.56901875</v>
      </c>
      <c r="E885" s="254">
        <v>337372.55</v>
      </c>
      <c r="F885" s="295">
        <f>'Bank Int.'!$E885*7.5%/360</f>
        <v>70.285947916666672</v>
      </c>
      <c r="G885" s="305">
        <v>2080</v>
      </c>
      <c r="H885" s="303">
        <f>'Bank Int.'!$G885*4.5%/360</f>
        <v>0.26</v>
      </c>
      <c r="I885" s="254">
        <v>11073.549999999814</v>
      </c>
      <c r="J885" s="307">
        <f>'Bank Int.'!$I885*6.5%/360</f>
        <v>1.9993909722221888</v>
      </c>
      <c r="K885" s="337"/>
      <c r="L885" s="307"/>
    </row>
    <row r="886" spans="1:13" ht="22.9" customHeight="1" x14ac:dyDescent="0.25">
      <c r="A886" s="257"/>
      <c r="B886" s="253">
        <v>45232</v>
      </c>
      <c r="C886" s="298">
        <v>861931.29</v>
      </c>
      <c r="D886" s="295">
        <f>'Bank Int.'!$C886*7.5%/360</f>
        <v>179.56901875</v>
      </c>
      <c r="E886" s="254">
        <v>337372.55</v>
      </c>
      <c r="F886" s="295">
        <f>'Bank Int.'!$E886*7.5%/360</f>
        <v>70.285947916666672</v>
      </c>
      <c r="G886" s="305">
        <v>2080</v>
      </c>
      <c r="H886" s="303">
        <f>'Bank Int.'!$G886*4.5%/360</f>
        <v>0.26</v>
      </c>
      <c r="I886" s="254">
        <v>11073.549999999814</v>
      </c>
      <c r="J886" s="307">
        <f>'Bank Int.'!$I886*6.5%/360</f>
        <v>1.9993909722221888</v>
      </c>
      <c r="K886" s="337"/>
      <c r="L886" s="307"/>
    </row>
    <row r="887" spans="1:13" ht="22.9" customHeight="1" x14ac:dyDescent="0.25">
      <c r="A887" s="257"/>
      <c r="B887" s="253">
        <v>45231</v>
      </c>
      <c r="C887" s="298">
        <v>861931.29</v>
      </c>
      <c r="D887" s="295">
        <f>'Bank Int.'!$C887*7.5%/360</f>
        <v>179.56901875</v>
      </c>
      <c r="E887" s="254">
        <v>337372.55</v>
      </c>
      <c r="F887" s="295">
        <f>'Bank Int.'!$E887*7.5%/360</f>
        <v>70.285947916666672</v>
      </c>
      <c r="G887" s="305">
        <v>2080</v>
      </c>
      <c r="H887" s="303">
        <f>'Bank Int.'!$G887*4.5%/360</f>
        <v>0.26</v>
      </c>
      <c r="I887" s="254">
        <v>11073.549999999814</v>
      </c>
      <c r="J887" s="307">
        <f>'Bank Int.'!$I887*6.5%/360</f>
        <v>1.9993909722221888</v>
      </c>
      <c r="K887" s="337"/>
      <c r="L887" s="307"/>
    </row>
    <row r="888" spans="1:13" ht="22.9" customHeight="1" x14ac:dyDescent="0.25">
      <c r="A888" s="257"/>
      <c r="B888" s="253">
        <v>45230</v>
      </c>
      <c r="C888" s="298">
        <v>861931.29</v>
      </c>
      <c r="D888" s="295">
        <f>'Bank Int.'!$C888*7.5%/360</f>
        <v>179.56901875</v>
      </c>
      <c r="E888" s="254">
        <v>337372.55</v>
      </c>
      <c r="F888" s="295">
        <f>'Bank Int.'!$E888*7.5%/360</f>
        <v>70.285947916666672</v>
      </c>
      <c r="G888" s="305">
        <v>2080</v>
      </c>
      <c r="H888" s="303">
        <f>'Bank Int.'!$G888*4.5%/360</f>
        <v>0.26</v>
      </c>
      <c r="I888" s="254">
        <v>11073.549999999814</v>
      </c>
      <c r="J888" s="307">
        <f>'Bank Int.'!$I888*6.5%/360</f>
        <v>1.9993909722221888</v>
      </c>
      <c r="K888" s="337"/>
      <c r="L888" s="307"/>
    </row>
    <row r="889" spans="1:13" ht="22.9" customHeight="1" x14ac:dyDescent="0.25">
      <c r="A889" s="257"/>
      <c r="B889" s="253">
        <v>45229</v>
      </c>
      <c r="C889" s="298">
        <v>761931.29</v>
      </c>
      <c r="D889" s="295">
        <f>'Bank Int.'!$C889*7.5%/360</f>
        <v>158.73568541666668</v>
      </c>
      <c r="E889" s="254">
        <v>337372.55</v>
      </c>
      <c r="F889" s="295">
        <f>'Bank Int.'!$E889*7.5%/360</f>
        <v>70.285947916666672</v>
      </c>
      <c r="G889" s="305">
        <v>2080</v>
      </c>
      <c r="H889" s="303">
        <f>'Bank Int.'!$G889*4.5%/360</f>
        <v>0.26</v>
      </c>
      <c r="I889" s="254">
        <v>11073.549999999814</v>
      </c>
      <c r="J889" s="307">
        <f>'Bank Int.'!$I889*6.5%/360</f>
        <v>1.9993909722221888</v>
      </c>
      <c r="K889" s="337"/>
      <c r="L889" s="307"/>
    </row>
    <row r="890" spans="1:13" ht="22.9" customHeight="1" x14ac:dyDescent="0.25">
      <c r="A890" s="257"/>
      <c r="B890" s="253">
        <v>45228</v>
      </c>
      <c r="C890" s="298">
        <v>1011931.29</v>
      </c>
      <c r="D890" s="295">
        <f>'Bank Int.'!$C890*7.5%/360</f>
        <v>210.81901875</v>
      </c>
      <c r="E890" s="254">
        <v>27472.55</v>
      </c>
      <c r="F890" s="295">
        <f>'Bank Int.'!$E890*7.5%/360</f>
        <v>5.7234479166666663</v>
      </c>
      <c r="G890" s="305">
        <v>752080</v>
      </c>
      <c r="H890" s="303">
        <f>'Bank Int.'!$G890*4.5%/360</f>
        <v>94.009999999999991</v>
      </c>
      <c r="I890" s="254">
        <v>4321073.55</v>
      </c>
      <c r="J890" s="307">
        <f>'Bank Int.'!$I890*6.5%/360</f>
        <v>780.19383541666662</v>
      </c>
      <c r="K890" s="337"/>
      <c r="L890" s="307"/>
    </row>
    <row r="891" spans="1:13" ht="22.9" customHeight="1" x14ac:dyDescent="0.25">
      <c r="A891" s="257"/>
      <c r="B891" s="253">
        <v>45227</v>
      </c>
      <c r="C891" s="298">
        <v>11991.29</v>
      </c>
      <c r="D891" s="295">
        <f>'Bank Int.'!$C891*7.5%/360</f>
        <v>2.4981854166666668</v>
      </c>
      <c r="E891" s="254">
        <v>27472.55</v>
      </c>
      <c r="F891" s="295">
        <f>'Bank Int.'!$E891*7.5%/360</f>
        <v>5.7234479166666663</v>
      </c>
      <c r="G891" s="305">
        <v>538540</v>
      </c>
      <c r="H891" s="303">
        <f>'Bank Int.'!$G891*4.5%/360</f>
        <v>67.317499999999995</v>
      </c>
      <c r="I891" s="306">
        <v>2111073.5499999998</v>
      </c>
      <c r="J891" s="307">
        <f>'Bank Int.'!$I891*6.5%/360</f>
        <v>381.1660576388889</v>
      </c>
      <c r="K891" s="337"/>
      <c r="L891" s="307"/>
    </row>
    <row r="892" spans="1:13" ht="22.9" customHeight="1" x14ac:dyDescent="0.25">
      <c r="A892" s="257"/>
      <c r="B892" s="253">
        <v>45226</v>
      </c>
      <c r="C892" s="298">
        <v>11991.29</v>
      </c>
      <c r="D892" s="295">
        <f>'Bank Int.'!$C892*7.5%/360</f>
        <v>2.4981854166666668</v>
      </c>
      <c r="E892" s="254">
        <v>27472.55</v>
      </c>
      <c r="F892" s="295">
        <f>'Bank Int.'!$E892*7.5%/360</f>
        <v>5.7234479166666663</v>
      </c>
      <c r="G892" s="305">
        <v>538540</v>
      </c>
      <c r="H892" s="303">
        <f>'Bank Int.'!$G892*4.5%/360</f>
        <v>67.317499999999995</v>
      </c>
      <c r="I892" s="306">
        <v>2111073.5499999998</v>
      </c>
      <c r="J892" s="307">
        <f>'Bank Int.'!$I892*6.5%/360</f>
        <v>381.1660576388889</v>
      </c>
      <c r="K892" s="337"/>
      <c r="L892" s="307"/>
    </row>
    <row r="893" spans="1:13" ht="22.9" customHeight="1" x14ac:dyDescent="0.25">
      <c r="A893" s="257"/>
      <c r="B893" s="253">
        <v>45225</v>
      </c>
      <c r="C893" s="298">
        <v>11991.29</v>
      </c>
      <c r="D893" s="295">
        <f>'Bank Int.'!$C893*7.5%/360</f>
        <v>2.4981854166666668</v>
      </c>
      <c r="E893" s="254">
        <v>27472.55</v>
      </c>
      <c r="F893" s="295">
        <f>'Bank Int.'!$E893*7.5%/360</f>
        <v>5.7234479166666663</v>
      </c>
      <c r="G893" s="305">
        <v>502540</v>
      </c>
      <c r="H893" s="303">
        <f>'Bank Int.'!$G893*4.5%/360</f>
        <v>62.817499999999995</v>
      </c>
      <c r="I893" s="306">
        <v>2111073.5499999998</v>
      </c>
      <c r="J893" s="307">
        <f>'Bank Int.'!$I893*6.5%/360</f>
        <v>381.1660576388889</v>
      </c>
      <c r="K893" s="337"/>
      <c r="L893" s="307"/>
    </row>
    <row r="894" spans="1:13" ht="22.9" customHeight="1" x14ac:dyDescent="0.25">
      <c r="A894" s="257"/>
      <c r="B894" s="253">
        <v>45224</v>
      </c>
      <c r="C894" s="298">
        <v>4011991.29</v>
      </c>
      <c r="D894" s="295">
        <f>'Bank Int.'!$C894*7.5%/360</f>
        <v>835.83151874999987</v>
      </c>
      <c r="E894" s="254">
        <v>2527472.5499999998</v>
      </c>
      <c r="F894" s="295">
        <f>'Bank Int.'!$E894*7.5%/360</f>
        <v>526.55678124999997</v>
      </c>
      <c r="G894" s="305">
        <v>502540</v>
      </c>
      <c r="H894" s="303">
        <f>'Bank Int.'!$G894*4.5%/360</f>
        <v>62.817499999999995</v>
      </c>
      <c r="I894" s="306">
        <v>2111073.5499999998</v>
      </c>
      <c r="J894" s="307">
        <f>'Bank Int.'!$I894*6.5%/360</f>
        <v>381.1660576388889</v>
      </c>
      <c r="K894" s="337"/>
      <c r="L894" s="307"/>
      <c r="M894" s="325"/>
    </row>
    <row r="895" spans="1:13" ht="22.9" customHeight="1" x14ac:dyDescent="0.25">
      <c r="A895" s="257"/>
      <c r="B895" s="253">
        <v>45223</v>
      </c>
      <c r="C895" s="298">
        <v>4423896.0199999996</v>
      </c>
      <c r="D895" s="295">
        <f>'Bank Int.'!$C895*7.5%/360</f>
        <v>921.64500416666658</v>
      </c>
      <c r="E895" s="254">
        <v>2527472.5499999998</v>
      </c>
      <c r="F895" s="295">
        <f>'Bank Int.'!$E895*7.5%/360</f>
        <v>526.55678124999997</v>
      </c>
      <c r="G895" s="305">
        <v>502540</v>
      </c>
      <c r="H895" s="303">
        <f>'Bank Int.'!$G895*4.5%/360</f>
        <v>62.817499999999995</v>
      </c>
      <c r="I895" s="306">
        <v>13073.55</v>
      </c>
      <c r="J895" s="307">
        <f>'Bank Int.'!$I895*6.5%/360</f>
        <v>2.3605020833333334</v>
      </c>
      <c r="K895" s="337"/>
      <c r="L895" s="307"/>
      <c r="M895" s="326"/>
    </row>
    <row r="896" spans="1:13" ht="22.9" customHeight="1" x14ac:dyDescent="0.15">
      <c r="A896" s="257"/>
      <c r="B896" s="253">
        <v>45222</v>
      </c>
      <c r="C896" s="298">
        <v>4423896.0199999996</v>
      </c>
      <c r="D896" s="295">
        <f>'Bank Int.'!$C896*7.5%/360</f>
        <v>921.64500416666658</v>
      </c>
      <c r="E896" s="254">
        <v>2527472.5499999998</v>
      </c>
      <c r="F896" s="295">
        <f>'Bank Int.'!$E896*7.5%/360</f>
        <v>526.55678124999997</v>
      </c>
      <c r="G896" s="305">
        <v>502540</v>
      </c>
      <c r="H896" s="303">
        <f>'Bank Int.'!$G896*4.5%/360</f>
        <v>62.817499999999995</v>
      </c>
      <c r="I896" s="306">
        <v>13073.55</v>
      </c>
      <c r="J896" s="307">
        <f>'Bank Int.'!$I896*6.5%/360</f>
        <v>2.3605020833333334</v>
      </c>
      <c r="K896" s="337"/>
      <c r="L896" s="307"/>
      <c r="M896" s="327"/>
    </row>
    <row r="897" spans="1:13" ht="22.9" customHeight="1" x14ac:dyDescent="0.25">
      <c r="A897" s="257"/>
      <c r="B897" s="253">
        <v>45221</v>
      </c>
      <c r="C897" s="298">
        <v>51423956.020000003</v>
      </c>
      <c r="D897" s="295">
        <f>'Bank Int.'!$C897*7.5%/360</f>
        <v>10713.324170833333</v>
      </c>
      <c r="E897" s="254">
        <v>2527472.5499999998</v>
      </c>
      <c r="F897" s="295">
        <f>'Bank Int.'!$E897*7.5%/360</f>
        <v>526.55678124999997</v>
      </c>
      <c r="G897" s="305">
        <v>502540</v>
      </c>
      <c r="H897" s="303">
        <f>'Bank Int.'!$G897*4.5%/360</f>
        <v>62.817499999999995</v>
      </c>
      <c r="I897" s="306">
        <v>13073.55</v>
      </c>
      <c r="J897" s="307">
        <f>'Bank Int.'!$I897*6.5%/360</f>
        <v>2.3605020833333334</v>
      </c>
      <c r="K897" s="337"/>
      <c r="L897" s="307"/>
      <c r="M897" s="326"/>
    </row>
    <row r="898" spans="1:13" ht="22.9" customHeight="1" x14ac:dyDescent="0.25">
      <c r="A898" s="257"/>
      <c r="B898" s="253">
        <v>45220</v>
      </c>
      <c r="C898" s="298">
        <v>52053347.359999999</v>
      </c>
      <c r="D898" s="295">
        <f>'Bank Int.'!$C898*7.5%/360</f>
        <v>10844.447366666665</v>
      </c>
      <c r="E898" s="254">
        <v>2527472.5499999998</v>
      </c>
      <c r="F898" s="295">
        <f>'Bank Int.'!$E898*7.5%/360</f>
        <v>526.55678124999997</v>
      </c>
      <c r="G898" s="305">
        <v>502540</v>
      </c>
      <c r="H898" s="303">
        <f>'Bank Int.'!$G898*4.5%/360</f>
        <v>62.817499999999995</v>
      </c>
      <c r="I898" s="306">
        <v>13073.55</v>
      </c>
      <c r="J898" s="307">
        <f>'Bank Int.'!$I898*6.5%/360</f>
        <v>2.3605020833333334</v>
      </c>
      <c r="K898" s="337"/>
      <c r="L898" s="307"/>
    </row>
    <row r="899" spans="1:13" ht="22.9" customHeight="1" x14ac:dyDescent="0.25">
      <c r="A899" s="257"/>
      <c r="B899" s="253">
        <v>45219</v>
      </c>
      <c r="C899" s="298">
        <v>52053347.359999999</v>
      </c>
      <c r="D899" s="295">
        <f>'Bank Int.'!$C899*7.5%/360</f>
        <v>10844.447366666665</v>
      </c>
      <c r="E899" s="254">
        <v>2527472.5499999998</v>
      </c>
      <c r="F899" s="295">
        <f>'Bank Int.'!$E899*7.5%/360</f>
        <v>526.55678124999997</v>
      </c>
      <c r="G899" s="305">
        <v>502540</v>
      </c>
      <c r="H899" s="303">
        <f>'Bank Int.'!$G899*4.5%/360</f>
        <v>62.817499999999995</v>
      </c>
      <c r="I899" s="306">
        <v>13073.55</v>
      </c>
      <c r="J899" s="307">
        <f>'Bank Int.'!$I899*6.5%/360</f>
        <v>2.3605020833333334</v>
      </c>
      <c r="K899" s="337"/>
      <c r="L899" s="307"/>
    </row>
    <row r="900" spans="1:13" ht="22.9" customHeight="1" x14ac:dyDescent="0.25">
      <c r="A900" s="257"/>
      <c r="B900" s="253">
        <v>45218</v>
      </c>
      <c r="C900" s="298">
        <v>52053347.359999999</v>
      </c>
      <c r="D900" s="295">
        <f>'Bank Int.'!$C900*7.5%/360</f>
        <v>10844.447366666665</v>
      </c>
      <c r="E900" s="254">
        <v>2527472.5499999998</v>
      </c>
      <c r="F900" s="295">
        <f>'Bank Int.'!$E900*7.5%/360</f>
        <v>526.55678124999997</v>
      </c>
      <c r="G900" s="305">
        <v>502540</v>
      </c>
      <c r="H900" s="303">
        <f>'Bank Int.'!$G900*4.5%/360</f>
        <v>62.817499999999995</v>
      </c>
      <c r="I900" s="306">
        <v>13073.55</v>
      </c>
      <c r="J900" s="307">
        <f>'Bank Int.'!$I900*6.5%/360</f>
        <v>2.3605020833333334</v>
      </c>
      <c r="K900" s="337"/>
      <c r="L900" s="307"/>
    </row>
    <row r="901" spans="1:13" ht="22.9" customHeight="1" x14ac:dyDescent="0.25">
      <c r="A901" s="257"/>
      <c r="B901" s="253">
        <v>45217</v>
      </c>
      <c r="C901" s="298">
        <v>2053407.36</v>
      </c>
      <c r="D901" s="295">
        <f>'Bank Int.'!$C901*7.5%/360</f>
        <v>427.79320000000001</v>
      </c>
      <c r="E901" s="254">
        <v>2527472.5499999998</v>
      </c>
      <c r="F901" s="295">
        <f>'Bank Int.'!$E901*7.5%/360</f>
        <v>526.55678124999997</v>
      </c>
      <c r="G901" s="305">
        <v>502540</v>
      </c>
      <c r="H901" s="303">
        <f>'Bank Int.'!$G901*4.5%/360</f>
        <v>62.817499999999995</v>
      </c>
      <c r="I901" s="306">
        <v>13073.55</v>
      </c>
      <c r="J901" s="307">
        <f>'Bank Int.'!$I901*6.5%/360</f>
        <v>2.3605020833333334</v>
      </c>
      <c r="K901" s="337"/>
      <c r="L901" s="307"/>
    </row>
    <row r="902" spans="1:13" ht="22.9" customHeight="1" x14ac:dyDescent="0.25">
      <c r="A902" s="257"/>
      <c r="B902" s="253">
        <v>45216</v>
      </c>
      <c r="C902" s="298">
        <v>2145395.0299999998</v>
      </c>
      <c r="D902" s="295">
        <f>'Bank Int.'!$C902*7.5%/360</f>
        <v>446.95729791666662</v>
      </c>
      <c r="E902" s="254">
        <v>2527472.5499999998</v>
      </c>
      <c r="F902" s="295">
        <f>'Bank Int.'!$E902*7.5%/360</f>
        <v>526.55678124999997</v>
      </c>
      <c r="G902" s="305">
        <v>502540</v>
      </c>
      <c r="H902" s="303">
        <f>'Bank Int.'!$G902*4.5%/360</f>
        <v>62.817499999999995</v>
      </c>
      <c r="I902" s="306">
        <v>13073.55</v>
      </c>
      <c r="J902" s="307">
        <f>'Bank Int.'!$I902*6.5%/360</f>
        <v>2.3605020833333334</v>
      </c>
      <c r="K902" s="337"/>
      <c r="L902" s="307"/>
    </row>
    <row r="903" spans="1:13" ht="22.9" customHeight="1" x14ac:dyDescent="0.25">
      <c r="A903" s="257"/>
      <c r="B903" s="253">
        <v>45215</v>
      </c>
      <c r="C903" s="298">
        <v>2145395.0299999998</v>
      </c>
      <c r="D903" s="295">
        <f>'Bank Int.'!$C903*7.5%/360</f>
        <v>446.95729791666662</v>
      </c>
      <c r="E903" s="254">
        <v>2527472.5499999998</v>
      </c>
      <c r="F903" s="295">
        <f>'Bank Int.'!$E903*7.5%/360</f>
        <v>526.55678124999997</v>
      </c>
      <c r="G903" s="305">
        <v>502540</v>
      </c>
      <c r="H903" s="303">
        <f>'Bank Int.'!$G903*4.5%/360</f>
        <v>62.817499999999995</v>
      </c>
      <c r="I903" s="306">
        <v>13073.55</v>
      </c>
      <c r="J903" s="307">
        <f>'Bank Int.'!$I903*6.5%/360</f>
        <v>2.3605020833333334</v>
      </c>
      <c r="K903" s="337"/>
      <c r="L903" s="307"/>
    </row>
    <row r="904" spans="1:13" ht="22.9" customHeight="1" x14ac:dyDescent="0.25">
      <c r="A904" s="257"/>
      <c r="B904" s="253">
        <v>45214</v>
      </c>
      <c r="C904" s="298">
        <v>2145395.0299999998</v>
      </c>
      <c r="D904" s="295">
        <f>'Bank Int.'!$C904*7.5%/360</f>
        <v>446.95729791666662</v>
      </c>
      <c r="E904" s="254">
        <v>3199062.55</v>
      </c>
      <c r="F904" s="295">
        <f>'Bank Int.'!$E904*7.5%/360</f>
        <v>666.4713645833333</v>
      </c>
      <c r="G904" s="305">
        <v>467540</v>
      </c>
      <c r="H904" s="303">
        <f>'Bank Int.'!$G904*4.5%/360</f>
        <v>58.442499999999995</v>
      </c>
      <c r="I904" s="306">
        <v>6993073.5499999998</v>
      </c>
      <c r="J904" s="307">
        <f>'Bank Int.'!$I904*6.5%/360</f>
        <v>1262.638279861111</v>
      </c>
      <c r="K904" s="337"/>
      <c r="L904" s="307"/>
    </row>
    <row r="905" spans="1:13" ht="22.9" customHeight="1" x14ac:dyDescent="0.25">
      <c r="A905" s="257"/>
      <c r="B905" s="253">
        <v>45213</v>
      </c>
      <c r="C905" s="298">
        <v>2145395.0299999998</v>
      </c>
      <c r="D905" s="295">
        <f>'Bank Int.'!$C905*7.5%/360</f>
        <v>446.95729791666662</v>
      </c>
      <c r="E905" s="254">
        <v>3199062.55</v>
      </c>
      <c r="F905" s="295">
        <f>'Bank Int.'!$E905*7.5%/360</f>
        <v>666.4713645833333</v>
      </c>
      <c r="G905" s="305">
        <v>462540</v>
      </c>
      <c r="H905" s="303">
        <f>'Bank Int.'!$G905*4.5%/360</f>
        <v>57.817499999999995</v>
      </c>
      <c r="I905" s="306">
        <v>6993073.5499999998</v>
      </c>
      <c r="J905" s="307">
        <f>'Bank Int.'!$I905*6.5%/360</f>
        <v>1262.638279861111</v>
      </c>
      <c r="K905" s="337"/>
      <c r="L905" s="307"/>
    </row>
    <row r="906" spans="1:13" ht="22.9" customHeight="1" x14ac:dyDescent="0.25">
      <c r="A906" s="257"/>
      <c r="B906" s="253">
        <v>45212</v>
      </c>
      <c r="C906" s="298">
        <v>2145395.0299999998</v>
      </c>
      <c r="D906" s="295">
        <f>'Bank Int.'!$C906*7.5%/360</f>
        <v>446.95729791666662</v>
      </c>
      <c r="E906" s="254">
        <v>3199062.55</v>
      </c>
      <c r="F906" s="295">
        <f>'Bank Int.'!$E906*7.5%/360</f>
        <v>666.4713645833333</v>
      </c>
      <c r="G906" s="305">
        <v>462540</v>
      </c>
      <c r="H906" s="303">
        <f>'Bank Int.'!$G906*4.5%/360</f>
        <v>57.817499999999995</v>
      </c>
      <c r="I906" s="306">
        <v>6993073.5499999998</v>
      </c>
      <c r="J906" s="307">
        <f>'Bank Int.'!$I906*6.5%/360</f>
        <v>1262.638279861111</v>
      </c>
      <c r="K906" s="337"/>
      <c r="L906" s="307"/>
    </row>
    <row r="907" spans="1:13" ht="22.9" customHeight="1" x14ac:dyDescent="0.25">
      <c r="A907" s="257"/>
      <c r="B907" s="253">
        <v>45211</v>
      </c>
      <c r="C907" s="298">
        <v>2145395.0299999998</v>
      </c>
      <c r="D907" s="295">
        <f>'Bank Int.'!$C907*7.5%/360</f>
        <v>446.95729791666662</v>
      </c>
      <c r="E907" s="254">
        <v>3199062.55</v>
      </c>
      <c r="F907" s="295">
        <f>'Bank Int.'!$E907*7.5%/360</f>
        <v>666.4713645833333</v>
      </c>
      <c r="G907" s="305">
        <v>462540</v>
      </c>
      <c r="H907" s="303">
        <f>'Bank Int.'!$G907*4.5%/360</f>
        <v>57.817499999999995</v>
      </c>
      <c r="I907" s="306">
        <v>6993073.5499999998</v>
      </c>
      <c r="J907" s="307">
        <f>'Bank Int.'!$I907*6.5%/360</f>
        <v>1262.638279861111</v>
      </c>
      <c r="K907" s="337"/>
      <c r="L907" s="307"/>
    </row>
    <row r="908" spans="1:13" ht="22.9" customHeight="1" x14ac:dyDescent="0.25">
      <c r="A908" s="257"/>
      <c r="B908" s="253">
        <v>45210</v>
      </c>
      <c r="C908" s="298">
        <v>2145395.0299999998</v>
      </c>
      <c r="D908" s="295">
        <f>'Bank Int.'!$C908*7.5%/360</f>
        <v>446.95729791666662</v>
      </c>
      <c r="E908" s="254">
        <v>3199062.55</v>
      </c>
      <c r="F908" s="295">
        <f>'Bank Int.'!$E908*7.5%/360</f>
        <v>666.4713645833333</v>
      </c>
      <c r="G908" s="305">
        <v>462540</v>
      </c>
      <c r="H908" s="303">
        <f>'Bank Int.'!$G908*4.5%/360</f>
        <v>57.817499999999995</v>
      </c>
      <c r="I908" s="306">
        <v>6993073.5499999998</v>
      </c>
      <c r="J908" s="307">
        <f>'Bank Int.'!$I908*6.5%/360</f>
        <v>1262.638279861111</v>
      </c>
      <c r="K908" s="337"/>
      <c r="L908" s="307"/>
    </row>
    <row r="909" spans="1:13" ht="22.9" customHeight="1" x14ac:dyDescent="0.25">
      <c r="A909" s="257"/>
      <c r="B909" s="253">
        <v>45209</v>
      </c>
      <c r="C909" s="298">
        <v>1945405.03</v>
      </c>
      <c r="D909" s="295">
        <f>'Bank Int.'!$C909*7.5%/360</f>
        <v>405.29271458333329</v>
      </c>
      <c r="E909" s="254">
        <v>3199062.55</v>
      </c>
      <c r="F909" s="295">
        <f>'Bank Int.'!$E909*7.5%/360</f>
        <v>666.4713645833333</v>
      </c>
      <c r="G909" s="305">
        <v>462540</v>
      </c>
      <c r="H909" s="303">
        <f>'Bank Int.'!$G909*4.5%/360</f>
        <v>57.817499999999995</v>
      </c>
      <c r="I909" s="306">
        <v>2493073</v>
      </c>
      <c r="J909" s="307">
        <f>'Bank Int.'!$I909*6.5%/360</f>
        <v>450.13818055555555</v>
      </c>
      <c r="K909" s="337"/>
      <c r="L909" s="307"/>
    </row>
    <row r="910" spans="1:13" ht="22.9" customHeight="1" x14ac:dyDescent="0.25">
      <c r="A910" s="257"/>
      <c r="B910" s="253">
        <v>45208</v>
      </c>
      <c r="C910" s="298">
        <v>5747627.6399999997</v>
      </c>
      <c r="D910" s="295">
        <f>'Bank Int.'!$C910*7.5%/360</f>
        <v>1197.422425</v>
      </c>
      <c r="E910" s="254">
        <v>3199062.55</v>
      </c>
      <c r="F910" s="295">
        <f>'Bank Int.'!$E910*7.5%/360</f>
        <v>666.4713645833333</v>
      </c>
      <c r="G910" s="305">
        <v>462540</v>
      </c>
      <c r="H910" s="303">
        <f>'Bank Int.'!$G910*4.5%/360</f>
        <v>57.817499999999995</v>
      </c>
      <c r="I910" s="306">
        <v>2493073</v>
      </c>
      <c r="J910" s="307">
        <f>'Bank Int.'!$I910*6.5%/360</f>
        <v>450.13818055555555</v>
      </c>
      <c r="K910" s="337"/>
      <c r="L910" s="307"/>
    </row>
    <row r="911" spans="1:13" ht="22.9" customHeight="1" x14ac:dyDescent="0.25">
      <c r="A911" s="257"/>
      <c r="B911" s="253">
        <v>45207</v>
      </c>
      <c r="C911" s="298">
        <v>3987687.64</v>
      </c>
      <c r="D911" s="295">
        <f>'Bank Int.'!$C911*7.5%/360</f>
        <v>830.76825833333328</v>
      </c>
      <c r="E911" s="254">
        <v>154831.29999999999</v>
      </c>
      <c r="F911" s="295">
        <f>'Bank Int.'!$E911*7.5%/360</f>
        <v>32.256520833333326</v>
      </c>
      <c r="G911" s="305">
        <v>462540</v>
      </c>
      <c r="H911" s="303">
        <f>'Bank Int.'!$G911*4.5%/360</f>
        <v>57.817499999999995</v>
      </c>
      <c r="I911" s="306">
        <v>1647073.55</v>
      </c>
      <c r="J911" s="307">
        <f>'Bank Int.'!$I911*6.5%/360</f>
        <v>297.38827986111113</v>
      </c>
      <c r="K911" s="337"/>
      <c r="L911" s="307"/>
    </row>
    <row r="912" spans="1:13" ht="22.9" customHeight="1" x14ac:dyDescent="0.25">
      <c r="A912" s="257"/>
      <c r="B912" s="253">
        <v>45206</v>
      </c>
      <c r="C912" s="298">
        <v>3128853.41</v>
      </c>
      <c r="D912" s="295">
        <f>'Bank Int.'!$C912*7.5%/360</f>
        <v>651.84446041666672</v>
      </c>
      <c r="E912" s="254">
        <v>154831.29999999999</v>
      </c>
      <c r="F912" s="295">
        <f>'Bank Int.'!$E912*7.5%/360</f>
        <v>32.256520833333326</v>
      </c>
      <c r="G912" s="305">
        <v>307540</v>
      </c>
      <c r="H912" s="303">
        <f>'Bank Int.'!$G912*4.5%/360</f>
        <v>38.442499999999995</v>
      </c>
      <c r="I912" s="306">
        <v>1647073.55</v>
      </c>
      <c r="J912" s="307">
        <f>'Bank Int.'!$I912*6.5%/360</f>
        <v>297.38827986111113</v>
      </c>
      <c r="K912" s="337"/>
      <c r="L912" s="307"/>
    </row>
    <row r="913" spans="1:12" ht="22.9" customHeight="1" x14ac:dyDescent="0.25">
      <c r="A913" s="257"/>
      <c r="B913" s="253">
        <v>45205</v>
      </c>
      <c r="C913" s="298">
        <v>3128853.41</v>
      </c>
      <c r="D913" s="295">
        <f>'Bank Int.'!$C913*7.5%/360</f>
        <v>651.84446041666672</v>
      </c>
      <c r="E913" s="254">
        <v>154831.29999999999</v>
      </c>
      <c r="F913" s="295">
        <f>'Bank Int.'!$E913*7.5%/360</f>
        <v>32.256520833333326</v>
      </c>
      <c r="G913" s="305">
        <v>307540</v>
      </c>
      <c r="H913" s="303">
        <f>'Bank Int.'!$G913*4.5%/360</f>
        <v>38.442499999999995</v>
      </c>
      <c r="I913" s="306">
        <v>1647073.55</v>
      </c>
      <c r="J913" s="307">
        <f>'Bank Int.'!$I913*6.5%/360</f>
        <v>297.38827986111113</v>
      </c>
      <c r="K913" s="337"/>
      <c r="L913" s="307"/>
    </row>
    <row r="914" spans="1:12" ht="22.9" customHeight="1" x14ac:dyDescent="0.25">
      <c r="A914" s="257"/>
      <c r="B914" s="253">
        <v>45204</v>
      </c>
      <c r="C914" s="298">
        <v>3128853.41</v>
      </c>
      <c r="D914" s="295">
        <f>'Bank Int.'!$C914*7.5%/360</f>
        <v>651.84446041666672</v>
      </c>
      <c r="E914" s="254">
        <v>154831.29999999999</v>
      </c>
      <c r="F914" s="295">
        <f>'Bank Int.'!$E914*7.5%/360</f>
        <v>32.256520833333326</v>
      </c>
      <c r="G914" s="305">
        <v>307540</v>
      </c>
      <c r="H914" s="303">
        <f>'Bank Int.'!$G914*4.5%/360</f>
        <v>38.442499999999995</v>
      </c>
      <c r="I914" s="306">
        <v>1647073.55</v>
      </c>
      <c r="J914" s="307">
        <f>'Bank Int.'!$I914*6.5%/360</f>
        <v>297.38827986111113</v>
      </c>
      <c r="K914" s="337"/>
      <c r="L914" s="307"/>
    </row>
    <row r="915" spans="1:12" ht="22.9" customHeight="1" x14ac:dyDescent="0.25">
      <c r="A915" s="257"/>
      <c r="B915" s="253">
        <v>45203</v>
      </c>
      <c r="C915" s="298">
        <v>3128853.41</v>
      </c>
      <c r="D915" s="295">
        <f>'Bank Int.'!$C915*7.5%/360</f>
        <v>651.84446041666672</v>
      </c>
      <c r="E915" s="254">
        <v>154831.29999999999</v>
      </c>
      <c r="F915" s="295">
        <f>'Bank Int.'!$E915*7.5%/360</f>
        <v>32.256520833333326</v>
      </c>
      <c r="G915" s="305">
        <v>204540</v>
      </c>
      <c r="H915" s="303">
        <f>'Bank Int.'!$G915*4.5%/360</f>
        <v>25.567499999999999</v>
      </c>
      <c r="I915" s="306">
        <v>1647073.55</v>
      </c>
      <c r="J915" s="307">
        <f>'Bank Int.'!$I915*6.5%/360</f>
        <v>297.38827986111113</v>
      </c>
      <c r="K915" s="337"/>
      <c r="L915" s="307"/>
    </row>
    <row r="916" spans="1:12" ht="22.9" customHeight="1" x14ac:dyDescent="0.25">
      <c r="A916" s="257"/>
      <c r="B916" s="253">
        <v>45202</v>
      </c>
      <c r="C916" s="298">
        <v>3114853.41</v>
      </c>
      <c r="D916" s="295">
        <f>'Bank Int.'!$C916*7.5%/360</f>
        <v>648.92779374999998</v>
      </c>
      <c r="E916" s="254">
        <v>154831.29999999999</v>
      </c>
      <c r="F916" s="295">
        <f>'Bank Int.'!$E916*7.5%/360</f>
        <v>32.256520833333326</v>
      </c>
      <c r="G916" s="305">
        <v>204540</v>
      </c>
      <c r="H916" s="303">
        <f>'Bank Int.'!$G916*4.5%/360</f>
        <v>25.567499999999999</v>
      </c>
      <c r="I916" s="306">
        <v>1647073.55</v>
      </c>
      <c r="J916" s="307">
        <f>'Bank Int.'!$I916*6.5%/360</f>
        <v>297.38827986111113</v>
      </c>
      <c r="K916" s="337"/>
      <c r="L916" s="307"/>
    </row>
    <row r="917" spans="1:12" ht="22.9" customHeight="1" x14ac:dyDescent="0.25">
      <c r="A917" s="257"/>
      <c r="B917" s="253">
        <v>45201</v>
      </c>
      <c r="C917" s="298">
        <v>3350008.61</v>
      </c>
      <c r="D917" s="295">
        <f>'Bank Int.'!$C917*7.5%/360</f>
        <v>697.91846041666656</v>
      </c>
      <c r="E917" s="254">
        <v>154831.29999999999</v>
      </c>
      <c r="F917" s="295">
        <f>'Bank Int.'!$E917*7.5%/360</f>
        <v>32.256520833333326</v>
      </c>
      <c r="G917" s="305">
        <v>189540</v>
      </c>
      <c r="H917" s="303">
        <f>'Bank Int.'!$G917*4.5%/360</f>
        <v>23.692499999999999</v>
      </c>
      <c r="I917" s="306">
        <v>1647073.55</v>
      </c>
      <c r="J917" s="307">
        <f>'Bank Int.'!$I917*6.5%/360</f>
        <v>297.38827986111113</v>
      </c>
      <c r="K917" s="337"/>
      <c r="L917" s="307"/>
    </row>
    <row r="918" spans="1:12" ht="22.9" customHeight="1" x14ac:dyDescent="0.25">
      <c r="A918" s="257"/>
      <c r="B918" s="253">
        <v>45200</v>
      </c>
      <c r="C918" s="298">
        <v>3250008.61</v>
      </c>
      <c r="D918" s="295">
        <f>'Bank Int.'!$C918*7.5%/360</f>
        <v>677.08512708333319</v>
      </c>
      <c r="E918" s="254">
        <v>154831.29999999999</v>
      </c>
      <c r="F918" s="295">
        <f>'Bank Int.'!$E918*7.5%/360</f>
        <v>32.256520833333326</v>
      </c>
      <c r="G918" s="305">
        <v>229540</v>
      </c>
      <c r="H918" s="303">
        <f>'Bank Int.'!$G918*4.5%/360</f>
        <v>28.692499999999999</v>
      </c>
      <c r="I918" s="306">
        <v>1647073.55</v>
      </c>
      <c r="J918" s="307">
        <f>'Bank Int.'!$I918*6.5%/360</f>
        <v>297.38827986111113</v>
      </c>
      <c r="K918" s="337"/>
      <c r="L918" s="307"/>
    </row>
    <row r="919" spans="1:12" ht="22.9" customHeight="1" x14ac:dyDescent="0.25">
      <c r="A919" s="257"/>
      <c r="B919" s="253">
        <v>45199</v>
      </c>
      <c r="C919" s="298">
        <v>3124008.61</v>
      </c>
      <c r="D919" s="295">
        <f>'Bank Int.'!$C919*7.5%/360</f>
        <v>650.8351270833333</v>
      </c>
      <c r="E919" s="254">
        <v>154831.29999999999</v>
      </c>
      <c r="F919" s="295">
        <f>'Bank Int.'!$E919*7.5%/360</f>
        <v>32.256520833333326</v>
      </c>
      <c r="G919" s="305">
        <v>229540</v>
      </c>
      <c r="H919" s="303">
        <f>'Bank Int.'!$G919*4.5%/360</f>
        <v>28.692499999999999</v>
      </c>
      <c r="I919" s="306">
        <v>1647073.55</v>
      </c>
      <c r="J919" s="307">
        <f>'Bank Int.'!$I919*6.5%/360</f>
        <v>297.38827986111113</v>
      </c>
      <c r="K919" s="337"/>
      <c r="L919" s="307"/>
    </row>
    <row r="920" spans="1:12" ht="22.9" customHeight="1" x14ac:dyDescent="0.25">
      <c r="A920" s="257"/>
      <c r="B920" s="253">
        <v>45198</v>
      </c>
      <c r="C920" s="298">
        <v>3124008.61</v>
      </c>
      <c r="D920" s="295">
        <f>'Bank Int.'!$C920*7.5%/360</f>
        <v>650.8351270833333</v>
      </c>
      <c r="E920" s="254">
        <v>154831.29999999999</v>
      </c>
      <c r="F920" s="295">
        <f>'Bank Int.'!$E920*7.5%/360</f>
        <v>32.256520833333326</v>
      </c>
      <c r="G920" s="305">
        <v>229540</v>
      </c>
      <c r="H920" s="303">
        <f>'Bank Int.'!$G920*4.5%/360</f>
        <v>28.692499999999999</v>
      </c>
      <c r="I920" s="306">
        <v>1647073.55</v>
      </c>
      <c r="J920" s="307">
        <f>'Bank Int.'!$I920*6.5%/360</f>
        <v>297.38827986111113</v>
      </c>
      <c r="K920" s="337"/>
      <c r="L920" s="307"/>
    </row>
    <row r="921" spans="1:12" ht="22.9" customHeight="1" x14ac:dyDescent="0.25">
      <c r="A921" s="257"/>
      <c r="B921" s="253">
        <v>45197</v>
      </c>
      <c r="C921" s="298">
        <v>3124008.61</v>
      </c>
      <c r="D921" s="295">
        <f>'Bank Int.'!$C921*7.5%/360</f>
        <v>650.8351270833333</v>
      </c>
      <c r="E921" s="254">
        <v>154831.29999999999</v>
      </c>
      <c r="F921" s="295">
        <f>'Bank Int.'!$E921*7.5%/360</f>
        <v>32.256520833333326</v>
      </c>
      <c r="G921" s="305">
        <v>229540</v>
      </c>
      <c r="H921" s="303">
        <f>'Bank Int.'!$G921*4.5%/360</f>
        <v>28.692499999999999</v>
      </c>
      <c r="I921" s="306">
        <v>1647073.55</v>
      </c>
      <c r="J921" s="307">
        <f>'Bank Int.'!$I921*6.5%/360</f>
        <v>297.38827986111113</v>
      </c>
      <c r="K921" s="337"/>
      <c r="L921" s="307"/>
    </row>
    <row r="922" spans="1:12" ht="22.9" customHeight="1" x14ac:dyDescent="0.25">
      <c r="A922" s="257"/>
      <c r="B922" s="253">
        <v>45196</v>
      </c>
      <c r="C922" s="298">
        <v>3124008.61</v>
      </c>
      <c r="D922" s="295">
        <f>'Bank Int.'!$C922*7.5%/360</f>
        <v>650.8351270833333</v>
      </c>
      <c r="E922" s="254">
        <v>154831.29999999999</v>
      </c>
      <c r="F922" s="295">
        <f>'Bank Int.'!$E922*7.5%/360</f>
        <v>32.256520833333326</v>
      </c>
      <c r="G922" s="305">
        <v>229540</v>
      </c>
      <c r="H922" s="303">
        <f>'Bank Int.'!$G922*4.5%/360</f>
        <v>28.692499999999999</v>
      </c>
      <c r="I922" s="306">
        <v>1647073.55</v>
      </c>
      <c r="J922" s="307">
        <f>'Bank Int.'!$I922*6.5%/360</f>
        <v>297.38827986111113</v>
      </c>
      <c r="K922" s="337"/>
      <c r="L922" s="307"/>
    </row>
    <row r="923" spans="1:12" ht="22.9" customHeight="1" x14ac:dyDescent="0.25">
      <c r="A923" s="257"/>
      <c r="B923" s="253">
        <v>45195</v>
      </c>
      <c r="C923" s="298">
        <v>3287585.34</v>
      </c>
      <c r="D923" s="295">
        <f>'Bank Int.'!$C923*7.5%/360</f>
        <v>684.9136125</v>
      </c>
      <c r="E923" s="254">
        <v>154831.29999999999</v>
      </c>
      <c r="F923" s="295">
        <f>'Bank Int.'!$E923*7.5%/360</f>
        <v>32.256520833333326</v>
      </c>
      <c r="G923" s="305">
        <v>36000</v>
      </c>
      <c r="H923" s="303">
        <f>'Bank Int.'!$G923*4.5%/360</f>
        <v>4.5</v>
      </c>
      <c r="I923" s="306">
        <v>1647073.55</v>
      </c>
      <c r="J923" s="307">
        <f>'Bank Int.'!$I923*6.5%/360</f>
        <v>297.38827986111113</v>
      </c>
      <c r="K923" s="337"/>
      <c r="L923" s="307"/>
    </row>
    <row r="924" spans="1:12" ht="22.9" customHeight="1" x14ac:dyDescent="0.25">
      <c r="A924" s="257"/>
      <c r="B924" s="253">
        <v>45194</v>
      </c>
      <c r="C924" s="298">
        <v>2062645.34</v>
      </c>
      <c r="D924" s="295">
        <f>'Bank Int.'!$C924*7.5%/360</f>
        <v>429.71777916666662</v>
      </c>
      <c r="E924" s="254">
        <v>154831.29999999999</v>
      </c>
      <c r="F924" s="295">
        <f>'Bank Int.'!$E924*7.5%/360</f>
        <v>32.256520833333326</v>
      </c>
      <c r="G924" s="305">
        <v>0</v>
      </c>
      <c r="H924" s="303">
        <f>'Bank Int.'!$G924*4.5%/360</f>
        <v>0</v>
      </c>
      <c r="I924" s="306">
        <v>1647073.55</v>
      </c>
      <c r="J924" s="307">
        <f>'Bank Int.'!$I924*6.5%/360</f>
        <v>297.38827986111113</v>
      </c>
      <c r="K924" s="337"/>
      <c r="L924" s="307"/>
    </row>
    <row r="925" spans="1:12" ht="22.9" customHeight="1" x14ac:dyDescent="0.25">
      <c r="A925" s="257"/>
      <c r="B925" s="253">
        <v>45193</v>
      </c>
      <c r="C925" s="298">
        <v>762670.34</v>
      </c>
      <c r="D925" s="295">
        <f>'Bank Int.'!$C925*7.5%/360</f>
        <v>158.88965416666665</v>
      </c>
      <c r="E925" s="254">
        <v>154831.29999999999</v>
      </c>
      <c r="F925" s="295">
        <f>'Bank Int.'!$E925*7.5%/360</f>
        <v>32.256520833333326</v>
      </c>
      <c r="G925" s="305">
        <v>0</v>
      </c>
      <c r="H925" s="303">
        <f>'Bank Int.'!$G925*4.5%/360</f>
        <v>0</v>
      </c>
      <c r="I925" s="306">
        <v>2841179.55</v>
      </c>
      <c r="J925" s="307">
        <f>'Bank Int.'!$I925*6.5%/360</f>
        <v>512.99075208333329</v>
      </c>
      <c r="K925" s="337"/>
      <c r="L925" s="307"/>
    </row>
    <row r="926" spans="1:12" ht="22.9" customHeight="1" x14ac:dyDescent="0.25">
      <c r="A926" s="257"/>
      <c r="B926" s="253">
        <v>45192</v>
      </c>
      <c r="C926" s="298">
        <v>936077.13</v>
      </c>
      <c r="D926" s="295">
        <f>'Bank Int.'!$C926*7.5%/360</f>
        <v>195.01606874999999</v>
      </c>
      <c r="E926" s="254">
        <v>154831.29999999999</v>
      </c>
      <c r="F926" s="295">
        <f>'Bank Int.'!$E926*7.5%/360</f>
        <v>32.256520833333326</v>
      </c>
      <c r="G926" s="305">
        <v>0</v>
      </c>
      <c r="H926" s="303">
        <f>'Bank Int.'!$G926*4.5%/360</f>
        <v>0</v>
      </c>
      <c r="I926" s="306">
        <v>2841179.55</v>
      </c>
      <c r="J926" s="307">
        <f>'Bank Int.'!$I926*6.5%/360</f>
        <v>512.99075208333329</v>
      </c>
      <c r="K926" s="337"/>
      <c r="L926" s="307"/>
    </row>
    <row r="927" spans="1:12" ht="22.9" customHeight="1" x14ac:dyDescent="0.25">
      <c r="A927" s="257"/>
      <c r="B927" s="253">
        <v>45191</v>
      </c>
      <c r="C927" s="298">
        <v>936077.13</v>
      </c>
      <c r="D927" s="295">
        <f>'Bank Int.'!$C927*7.5%/360</f>
        <v>195.01606874999999</v>
      </c>
      <c r="E927" s="254">
        <v>154831.29999999999</v>
      </c>
      <c r="F927" s="295">
        <f>'Bank Int.'!$E927*7.5%/360</f>
        <v>32.256520833333326</v>
      </c>
      <c r="G927" s="305">
        <v>0</v>
      </c>
      <c r="H927" s="303">
        <f>'Bank Int.'!$G927*4.5%/360</f>
        <v>0</v>
      </c>
      <c r="I927" s="306">
        <v>2841179.55</v>
      </c>
      <c r="J927" s="307">
        <f>'Bank Int.'!$I927*6.5%/360</f>
        <v>512.99075208333329</v>
      </c>
      <c r="K927" s="337"/>
      <c r="L927" s="307"/>
    </row>
    <row r="928" spans="1:12" ht="22.9" customHeight="1" x14ac:dyDescent="0.25">
      <c r="A928" s="257"/>
      <c r="B928" s="253">
        <v>45190</v>
      </c>
      <c r="C928" s="298">
        <v>936077.13</v>
      </c>
      <c r="D928" s="295">
        <f>'Bank Int.'!$C928*7.5%/360</f>
        <v>195.01606874999999</v>
      </c>
      <c r="E928" s="306">
        <v>154831.29999999999</v>
      </c>
      <c r="F928" s="295">
        <f>'Bank Int.'!$E928*7.5%/360</f>
        <v>32.256520833333326</v>
      </c>
      <c r="G928" s="305">
        <v>0</v>
      </c>
      <c r="H928" s="303">
        <f>'Bank Int.'!$G928*4.5%/360</f>
        <v>0</v>
      </c>
      <c r="I928" s="306">
        <v>2841179.55</v>
      </c>
      <c r="J928" s="307">
        <f>'Bank Int.'!$I928*6.5%/360</f>
        <v>512.99075208333329</v>
      </c>
      <c r="K928" s="337"/>
      <c r="L928" s="307"/>
    </row>
    <row r="929" spans="1:12" ht="22.9" customHeight="1" x14ac:dyDescent="0.25">
      <c r="A929" s="257"/>
      <c r="B929" s="253">
        <v>45189</v>
      </c>
      <c r="C929" s="298">
        <v>16097711.630000001</v>
      </c>
      <c r="D929" s="295">
        <f>'Bank Int.'!$C929*7.5%/360</f>
        <v>3353.6899229166665</v>
      </c>
      <c r="E929" s="306">
        <v>154831.29999999999</v>
      </c>
      <c r="F929" s="295">
        <f>'Bank Int.'!$E929*7.5%/360</f>
        <v>32.256520833333326</v>
      </c>
      <c r="G929" s="305">
        <v>0</v>
      </c>
      <c r="H929" s="303">
        <f>'Bank Int.'!$G929*4.5%/360</f>
        <v>0</v>
      </c>
      <c r="I929" s="306">
        <v>2841179.55</v>
      </c>
      <c r="J929" s="307">
        <f>'Bank Int.'!$I929*6.5%/360</f>
        <v>512.99075208333329</v>
      </c>
      <c r="K929" s="337"/>
      <c r="L929" s="307"/>
    </row>
    <row r="930" spans="1:12" ht="22.9" customHeight="1" x14ac:dyDescent="0.25">
      <c r="A930" s="257"/>
      <c r="B930" s="253">
        <v>45188</v>
      </c>
      <c r="C930" s="298">
        <v>3597711.63</v>
      </c>
      <c r="D930" s="295">
        <f>'Bank Int.'!$C930*7.5%/360</f>
        <v>749.52325624999992</v>
      </c>
      <c r="E930" s="306">
        <v>154831.29999999999</v>
      </c>
      <c r="F930" s="295">
        <f>'Bank Int.'!$E930*7.5%/360</f>
        <v>32.256520833333326</v>
      </c>
      <c r="G930" s="305">
        <v>716569.56</v>
      </c>
      <c r="H930" s="303">
        <f>'Bank Int.'!$G930*4.5%/360</f>
        <v>89.571195000000003</v>
      </c>
      <c r="I930" s="306">
        <v>15341279.550000001</v>
      </c>
      <c r="J930" s="307">
        <f>'Bank Int.'!$I930*6.5%/360</f>
        <v>2769.9532520833336</v>
      </c>
      <c r="K930" s="337"/>
      <c r="L930" s="307"/>
    </row>
    <row r="931" spans="1:12" ht="22.9" customHeight="1" x14ac:dyDescent="0.25">
      <c r="A931" s="257"/>
      <c r="B931" s="253">
        <v>45187</v>
      </c>
      <c r="C931" s="298">
        <v>1597771.63</v>
      </c>
      <c r="D931" s="295">
        <f>'Bank Int.'!$C931*7.5%/360</f>
        <v>332.86908958333328</v>
      </c>
      <c r="E931" s="306">
        <v>154856.29999999999</v>
      </c>
      <c r="F931" s="295">
        <f>'Bank Int.'!$E931*7.5%/360</f>
        <v>32.261729166666662</v>
      </c>
      <c r="G931" s="305">
        <v>716569.56</v>
      </c>
      <c r="H931" s="303">
        <f>'Bank Int.'!$G931*4.5%/360</f>
        <v>89.571195000000003</v>
      </c>
      <c r="I931" s="306">
        <v>15341279.550000001</v>
      </c>
      <c r="J931" s="307">
        <f>'Bank Int.'!$I931*6.5%/360</f>
        <v>2769.9532520833336</v>
      </c>
      <c r="K931" s="337"/>
      <c r="L931" s="307"/>
    </row>
    <row r="932" spans="1:12" ht="22.9" customHeight="1" x14ac:dyDescent="0.25">
      <c r="A932" s="257"/>
      <c r="B932" s="253">
        <v>45186</v>
      </c>
      <c r="C932" s="298">
        <v>1573771.63</v>
      </c>
      <c r="D932" s="295">
        <f>'Bank Int.'!$C932*7.5%/360</f>
        <v>327.86908958333328</v>
      </c>
      <c r="E932" s="306">
        <v>154856.29999999999</v>
      </c>
      <c r="F932" s="295">
        <f>'Bank Int.'!$E932*7.5%/360</f>
        <v>32.261729166666662</v>
      </c>
      <c r="G932" s="305">
        <v>696569.56</v>
      </c>
      <c r="H932" s="303">
        <f>'Bank Int.'!$G932*4.5%/360</f>
        <v>87.071195000000003</v>
      </c>
      <c r="I932" s="306">
        <v>2626.75</v>
      </c>
      <c r="J932" s="307">
        <f>'Bank Int.'!$I932*6.5%/360</f>
        <v>0.47427430555555561</v>
      </c>
      <c r="K932" s="337"/>
      <c r="L932" s="307"/>
    </row>
    <row r="933" spans="1:12" ht="22.9" customHeight="1" x14ac:dyDescent="0.25">
      <c r="A933" s="257"/>
      <c r="B933" s="253">
        <v>45185</v>
      </c>
      <c r="C933" s="298">
        <v>1945883.93</v>
      </c>
      <c r="D933" s="295">
        <f>'Bank Int.'!$C933*7.5%/360</f>
        <v>405.39248541666666</v>
      </c>
      <c r="E933" s="306">
        <v>154856.29999999999</v>
      </c>
      <c r="F933" s="295">
        <f>'Bank Int.'!$E933*7.5%/360</f>
        <v>32.261729166666662</v>
      </c>
      <c r="G933" s="305">
        <v>691569.56</v>
      </c>
      <c r="H933" s="303">
        <f>'Bank Int.'!$G933*4.5%/360</f>
        <v>86.446195000000003</v>
      </c>
      <c r="I933" s="306">
        <v>10337144.75</v>
      </c>
      <c r="J933" s="307">
        <f>'Bank Int.'!$I933*6.5%/360</f>
        <v>1866.4289131944447</v>
      </c>
      <c r="K933" s="337"/>
      <c r="L933" s="307"/>
    </row>
    <row r="934" spans="1:12" ht="22.9" customHeight="1" x14ac:dyDescent="0.25">
      <c r="A934" s="257"/>
      <c r="B934" s="253">
        <v>45184</v>
      </c>
      <c r="C934" s="298">
        <v>1945883.93</v>
      </c>
      <c r="D934" s="295">
        <f>'Bank Int.'!$C934*7.5%/360</f>
        <v>405.39248541666666</v>
      </c>
      <c r="E934" s="306">
        <v>154856.29999999999</v>
      </c>
      <c r="F934" s="295">
        <f>'Bank Int.'!$E934*7.5%/360</f>
        <v>32.261729166666662</v>
      </c>
      <c r="G934" s="305">
        <v>691569.56</v>
      </c>
      <c r="H934" s="303">
        <f>'Bank Int.'!$G934*4.5%/360</f>
        <v>86.446195000000003</v>
      </c>
      <c r="I934" s="306">
        <v>10337144.75</v>
      </c>
      <c r="J934" s="307">
        <f>'Bank Int.'!$I934*6.5%/360</f>
        <v>1866.4289131944447</v>
      </c>
      <c r="K934" s="337"/>
      <c r="L934" s="307"/>
    </row>
    <row r="935" spans="1:12" ht="22.9" customHeight="1" x14ac:dyDescent="0.25">
      <c r="A935" s="257"/>
      <c r="B935" s="253">
        <v>45183</v>
      </c>
      <c r="C935" s="298">
        <v>1945943.93</v>
      </c>
      <c r="D935" s="295">
        <f>'Bank Int.'!$C935*7.5%/360</f>
        <v>405.40498541666665</v>
      </c>
      <c r="E935" s="254">
        <v>154856.29999999999</v>
      </c>
      <c r="F935" s="295">
        <f>'Bank Int.'!$E935*7.5%/360</f>
        <v>32.261729166666662</v>
      </c>
      <c r="G935" s="305">
        <v>691569.56</v>
      </c>
      <c r="H935" s="303">
        <f>'Bank Int.'!$G935*4.5%/360</f>
        <v>86.446195000000003</v>
      </c>
      <c r="I935" s="254">
        <v>10337145.25</v>
      </c>
      <c r="J935" s="307">
        <f>'Bank Int.'!$I935*6.5%/360</f>
        <v>1866.4290034722223</v>
      </c>
      <c r="K935" s="337"/>
      <c r="L935" s="307"/>
    </row>
    <row r="936" spans="1:12" ht="22.9" customHeight="1" x14ac:dyDescent="0.25">
      <c r="A936" s="257"/>
      <c r="B936" s="253">
        <v>45182</v>
      </c>
      <c r="C936" s="298">
        <v>1445946.89</v>
      </c>
      <c r="D936" s="295">
        <f>'Bank Int.'!$C936*7.5%/360</f>
        <v>301.23893541666666</v>
      </c>
      <c r="E936" s="254">
        <v>154856.29999999999</v>
      </c>
      <c r="F936" s="295">
        <f>'Bank Int.'!$E936*7.5%/360</f>
        <v>32.261729166666662</v>
      </c>
      <c r="G936" s="305">
        <v>691569.56</v>
      </c>
      <c r="H936" s="303">
        <f>'Bank Int.'!$G936*4.5%/360</f>
        <v>86.446195000000003</v>
      </c>
      <c r="I936" s="306">
        <v>2626.75</v>
      </c>
      <c r="J936" s="307">
        <f>'Bank Int.'!$I936*6.5%/360</f>
        <v>0.47427430555555561</v>
      </c>
      <c r="K936" s="337"/>
      <c r="L936" s="307"/>
    </row>
    <row r="937" spans="1:12" ht="22.9" customHeight="1" x14ac:dyDescent="0.25">
      <c r="A937" s="257"/>
      <c r="B937" s="253">
        <v>45181</v>
      </c>
      <c r="C937" s="298">
        <v>1445946.89</v>
      </c>
      <c r="D937" s="295">
        <f>'Bank Int.'!$C937*7.5%/360</f>
        <v>301.23893541666666</v>
      </c>
      <c r="E937" s="254">
        <v>154856.29999999999</v>
      </c>
      <c r="F937" s="295">
        <f>'Bank Int.'!$E937*7.5%/360</f>
        <v>32.261729166666662</v>
      </c>
      <c r="G937" s="305">
        <v>691569.56</v>
      </c>
      <c r="H937" s="303">
        <f>'Bank Int.'!$G937*4.5%/360</f>
        <v>86.446195000000003</v>
      </c>
      <c r="I937" s="306">
        <v>2626.75</v>
      </c>
      <c r="J937" s="307">
        <f>'Bank Int.'!$I937*6.5%/360</f>
        <v>0.47427430555555561</v>
      </c>
      <c r="K937" s="337"/>
      <c r="L937" s="307"/>
    </row>
    <row r="938" spans="1:12" ht="22.9" customHeight="1" x14ac:dyDescent="0.25">
      <c r="A938" s="257"/>
      <c r="B938" s="253">
        <v>45180</v>
      </c>
      <c r="C938" s="298">
        <v>1545946.89</v>
      </c>
      <c r="D938" s="295">
        <f>'Bank Int.'!$C938*7.5%/360</f>
        <v>322.07226874999998</v>
      </c>
      <c r="E938" s="254">
        <v>177856.3</v>
      </c>
      <c r="F938" s="295">
        <f>'Bank Int.'!$E938*7.5%/360</f>
        <v>37.053395833333326</v>
      </c>
      <c r="G938" s="305">
        <v>691569.56</v>
      </c>
      <c r="H938" s="303">
        <f>'Bank Int.'!$G938*4.5%/360</f>
        <v>86.446195000000003</v>
      </c>
      <c r="I938" s="306">
        <v>2626.75</v>
      </c>
      <c r="J938" s="307">
        <f>'Bank Int.'!$I938*6.5%/360</f>
        <v>0.47427430555555561</v>
      </c>
      <c r="K938" s="337"/>
      <c r="L938" s="307"/>
    </row>
    <row r="939" spans="1:12" ht="22.9" customHeight="1" x14ac:dyDescent="0.25">
      <c r="A939" s="257"/>
      <c r="B939" s="253">
        <v>45179</v>
      </c>
      <c r="C939" s="298">
        <v>1080591.8899999999</v>
      </c>
      <c r="D939" s="295">
        <f>'Bank Int.'!$C939*7.5%/360</f>
        <v>225.12331041666664</v>
      </c>
      <c r="E939" s="254">
        <v>177856.3</v>
      </c>
      <c r="F939" s="295">
        <f>'Bank Int.'!$E939*7.5%/360</f>
        <v>37.053395833333326</v>
      </c>
      <c r="G939" s="305">
        <v>691569.56</v>
      </c>
      <c r="H939" s="303">
        <f>'Bank Int.'!$G939*4.5%/360</f>
        <v>86.446195000000003</v>
      </c>
      <c r="I939" s="306">
        <v>2626.75</v>
      </c>
      <c r="J939" s="307">
        <f>'Bank Int.'!$I939*6.5%/360</f>
        <v>0.47427430555555561</v>
      </c>
      <c r="K939" s="337"/>
      <c r="L939" s="307"/>
    </row>
    <row r="940" spans="1:12" ht="22.9" customHeight="1" x14ac:dyDescent="0.25">
      <c r="A940" s="257"/>
      <c r="B940" s="253">
        <v>45178</v>
      </c>
      <c r="C940" s="298">
        <v>1080591.8899999999</v>
      </c>
      <c r="D940" s="295">
        <f>'Bank Int.'!$C940*7.5%/360</f>
        <v>225.12331041666664</v>
      </c>
      <c r="E940" s="254">
        <v>177856.3</v>
      </c>
      <c r="F940" s="295">
        <f>'Bank Int.'!$E940*7.5%/360</f>
        <v>37.053395833333326</v>
      </c>
      <c r="G940" s="305">
        <v>841569.56</v>
      </c>
      <c r="H940" s="303">
        <f>'Bank Int.'!$G940*4.5%/360</f>
        <v>105.196195</v>
      </c>
      <c r="I940" s="306">
        <v>2626.75</v>
      </c>
      <c r="J940" s="307">
        <f>'Bank Int.'!$I940*6.5%/360</f>
        <v>0.47427430555555561</v>
      </c>
      <c r="K940" s="337"/>
      <c r="L940" s="307"/>
    </row>
    <row r="941" spans="1:12" ht="22.9" customHeight="1" x14ac:dyDescent="0.25">
      <c r="A941" s="257"/>
      <c r="B941" s="253">
        <v>45177</v>
      </c>
      <c r="C941" s="298">
        <v>1080591.8899999999</v>
      </c>
      <c r="D941" s="295">
        <f>'Bank Int.'!$C941*7.5%/360</f>
        <v>225.12331041666664</v>
      </c>
      <c r="E941" s="254">
        <v>177856.3</v>
      </c>
      <c r="F941" s="295">
        <f>'Bank Int.'!$E941*7.5%/360</f>
        <v>37.053395833333326</v>
      </c>
      <c r="G941" s="305">
        <v>841569.56</v>
      </c>
      <c r="H941" s="303">
        <f>'Bank Int.'!$G941*4.5%/360</f>
        <v>105.196195</v>
      </c>
      <c r="I941" s="306">
        <v>2626.75</v>
      </c>
      <c r="J941" s="307">
        <f>'Bank Int.'!$I941*6.5%/360</f>
        <v>0.47427430555555561</v>
      </c>
      <c r="K941" s="337"/>
      <c r="L941" s="307"/>
    </row>
    <row r="942" spans="1:12" ht="22.9" customHeight="1" x14ac:dyDescent="0.25">
      <c r="A942" s="257"/>
      <c r="B942" s="253">
        <v>45176</v>
      </c>
      <c r="C942" s="298">
        <v>1080591.8899999999</v>
      </c>
      <c r="D942" s="295">
        <f>'Bank Int.'!$C942*7.5%/360</f>
        <v>225.12331041666664</v>
      </c>
      <c r="E942" s="306">
        <v>177856.3</v>
      </c>
      <c r="F942" s="295">
        <f>'Bank Int.'!$E942*7.5%/360</f>
        <v>37.053395833333326</v>
      </c>
      <c r="G942" s="305">
        <v>841569.56</v>
      </c>
      <c r="H942" s="303">
        <f>'Bank Int.'!$G942*4.5%/360</f>
        <v>105.196195</v>
      </c>
      <c r="I942" s="306">
        <v>2626.75</v>
      </c>
      <c r="J942" s="307">
        <f>'Bank Int.'!$I942*6.5%/360</f>
        <v>0.47427430555555561</v>
      </c>
      <c r="K942" s="337"/>
      <c r="L942" s="307"/>
    </row>
    <row r="943" spans="1:12" ht="22.9" customHeight="1" x14ac:dyDescent="0.25">
      <c r="A943" s="257"/>
      <c r="B943" s="253">
        <v>45175</v>
      </c>
      <c r="C943" s="298">
        <v>1080591.8899999999</v>
      </c>
      <c r="D943" s="295">
        <f>'Bank Int.'!$C943*7.5%/360</f>
        <v>225.12331041666664</v>
      </c>
      <c r="E943" s="306">
        <v>177856.3</v>
      </c>
      <c r="F943" s="295">
        <f>'Bank Int.'!$E943*7.5%/360</f>
        <v>37.053395833333326</v>
      </c>
      <c r="G943" s="305">
        <v>691569.56</v>
      </c>
      <c r="H943" s="303">
        <f>'Bank Int.'!$G943*4.5%/360</f>
        <v>86.446195000000003</v>
      </c>
      <c r="I943" s="306">
        <v>2626.75</v>
      </c>
      <c r="J943" s="307">
        <f>'Bank Int.'!$I943*6.5%/360</f>
        <v>0.47427430555555561</v>
      </c>
      <c r="K943" s="337"/>
      <c r="L943" s="307"/>
    </row>
    <row r="944" spans="1:12" ht="22.9" customHeight="1" x14ac:dyDescent="0.25">
      <c r="A944" s="257"/>
      <c r="B944" s="253">
        <v>45174</v>
      </c>
      <c r="C944" s="298">
        <v>1080591.8899999999</v>
      </c>
      <c r="D944" s="295">
        <f>'Bank Int.'!$C944*7.5%/360</f>
        <v>225.12331041666664</v>
      </c>
      <c r="E944" s="306">
        <v>177856.3</v>
      </c>
      <c r="F944" s="295">
        <f>'Bank Int.'!$E944*7.5%/360</f>
        <v>37.053395833333326</v>
      </c>
      <c r="G944" s="305">
        <v>691569.56</v>
      </c>
      <c r="H944" s="303">
        <f>'Bank Int.'!$G944*4.5%/360</f>
        <v>86.446195000000003</v>
      </c>
      <c r="I944" s="306">
        <v>2626.75</v>
      </c>
      <c r="J944" s="307">
        <f>'Bank Int.'!$I944*6.5%/360</f>
        <v>0.47427430555555561</v>
      </c>
      <c r="K944" s="337"/>
      <c r="L944" s="307"/>
    </row>
    <row r="945" spans="1:12" ht="22.9" customHeight="1" x14ac:dyDescent="0.25">
      <c r="A945" s="257"/>
      <c r="B945" s="253">
        <v>45173</v>
      </c>
      <c r="C945" s="298">
        <v>1080591.8899999999</v>
      </c>
      <c r="D945" s="295">
        <f>'Bank Int.'!$C945*7.5%/360</f>
        <v>225.12331041666664</v>
      </c>
      <c r="E945" s="306">
        <v>182856.3</v>
      </c>
      <c r="F945" s="295">
        <f>'Bank Int.'!$E945*7.5%/360</f>
        <v>38.095062499999997</v>
      </c>
      <c r="G945" s="305">
        <v>303569.56</v>
      </c>
      <c r="H945" s="303">
        <f>'Bank Int.'!$G945*4.5%/360</f>
        <v>37.946194999999996</v>
      </c>
      <c r="I945" s="306">
        <v>2626.75</v>
      </c>
      <c r="J945" s="307">
        <f>'Bank Int.'!$I945*6.5%/360</f>
        <v>0.47427430555555561</v>
      </c>
      <c r="K945" s="337"/>
      <c r="L945" s="307"/>
    </row>
    <row r="946" spans="1:12" ht="22.9" customHeight="1" x14ac:dyDescent="0.25">
      <c r="A946" s="257"/>
      <c r="B946" s="253">
        <v>45172</v>
      </c>
      <c r="C946" s="298">
        <v>980601.89</v>
      </c>
      <c r="D946" s="295">
        <f>'Bank Int.'!$C946*7.5%/360</f>
        <v>204.29206041666666</v>
      </c>
      <c r="E946" s="306">
        <v>182856.3</v>
      </c>
      <c r="F946" s="295">
        <f>'Bank Int.'!$E946*7.5%/360</f>
        <v>38.095062499999997</v>
      </c>
      <c r="G946" s="305">
        <v>303569.56</v>
      </c>
      <c r="H946" s="303">
        <f>'Bank Int.'!$G946*4.5%/360</f>
        <v>37.946194999999996</v>
      </c>
      <c r="I946" s="306">
        <v>2626.75</v>
      </c>
      <c r="J946" s="307">
        <f>'Bank Int.'!$I946*6.5%/360</f>
        <v>0.47427430555555561</v>
      </c>
      <c r="K946" s="337"/>
      <c r="L946" s="307"/>
    </row>
    <row r="947" spans="1:12" ht="22.9" customHeight="1" x14ac:dyDescent="0.25">
      <c r="A947" s="257"/>
      <c r="B947" s="253">
        <v>45171</v>
      </c>
      <c r="C947" s="298">
        <v>1210590.95</v>
      </c>
      <c r="D947" s="295">
        <f>'Bank Int.'!$C947*7.5%/360</f>
        <v>252.20644791666666</v>
      </c>
      <c r="E947" s="306">
        <v>182856.3</v>
      </c>
      <c r="F947" s="295">
        <f>'Bank Int.'!$E947*7.5%/360</f>
        <v>38.095062499999997</v>
      </c>
      <c r="G947" s="305">
        <v>303569.56</v>
      </c>
      <c r="H947" s="303">
        <f>'Bank Int.'!$G947*4.5%/360</f>
        <v>37.946194999999996</v>
      </c>
      <c r="I947" s="306">
        <v>2626.75</v>
      </c>
      <c r="J947" s="307">
        <f>'Bank Int.'!$I947*6.5%/360</f>
        <v>0.47427430555555561</v>
      </c>
      <c r="K947" s="337"/>
      <c r="L947" s="307"/>
    </row>
    <row r="948" spans="1:12" ht="22.9" customHeight="1" x14ac:dyDescent="0.25">
      <c r="A948" s="257"/>
      <c r="B948" s="253">
        <v>45170</v>
      </c>
      <c r="C948" s="298">
        <v>1210590.95</v>
      </c>
      <c r="D948" s="295">
        <f>'Bank Int.'!$C948*7.5%/360</f>
        <v>252.20644791666666</v>
      </c>
      <c r="E948" s="306">
        <v>182856.3</v>
      </c>
      <c r="F948" s="295">
        <f>'Bank Int.'!$E948*7.5%/360</f>
        <v>38.095062499999997</v>
      </c>
      <c r="G948" s="305">
        <v>303569.56</v>
      </c>
      <c r="H948" s="303">
        <f>'Bank Int.'!$G948*4.5%/360</f>
        <v>37.946194999999996</v>
      </c>
      <c r="I948" s="306">
        <v>2626.75</v>
      </c>
      <c r="J948" s="307">
        <f>'Bank Int.'!$I948*6.5%/360</f>
        <v>0.47427430555555561</v>
      </c>
      <c r="K948" s="337"/>
      <c r="L948" s="307"/>
    </row>
    <row r="949" spans="1:12" ht="22.9" customHeight="1" x14ac:dyDescent="0.25">
      <c r="A949" s="257"/>
      <c r="B949" s="253">
        <v>45169</v>
      </c>
      <c r="C949" s="298">
        <v>1210590.95</v>
      </c>
      <c r="D949" s="295">
        <f>'Bank Int.'!$C949*7.5%/360</f>
        <v>252.20644791666666</v>
      </c>
      <c r="E949" s="254">
        <v>182856.3</v>
      </c>
      <c r="F949" s="295">
        <f>'Bank Int.'!$E949*7.5%/360</f>
        <v>38.095062499999997</v>
      </c>
      <c r="G949" s="305">
        <v>303569.56</v>
      </c>
      <c r="H949" s="303">
        <f>'Bank Int.'!$G949*4.5%/360</f>
        <v>37.946194999999996</v>
      </c>
      <c r="I949" s="306">
        <v>2626.75</v>
      </c>
      <c r="J949" s="307">
        <f>'Bank Int.'!$I949*6.5%/360</f>
        <v>0.47427430555555561</v>
      </c>
      <c r="K949" s="337"/>
      <c r="L949" s="307"/>
    </row>
    <row r="950" spans="1:12" ht="22.9" customHeight="1" x14ac:dyDescent="0.25">
      <c r="A950" s="257"/>
      <c r="B950" s="253">
        <v>45168</v>
      </c>
      <c r="C950" s="298">
        <v>1636627.5</v>
      </c>
      <c r="D950" s="295">
        <f>'Bank Int.'!$C950*7.5%/360</f>
        <v>340.96406250000001</v>
      </c>
      <c r="E950" s="254">
        <v>4425.5</v>
      </c>
      <c r="F950" s="295">
        <f>'Bank Int.'!$E950*7.5%/360</f>
        <v>0.92197916666666657</v>
      </c>
      <c r="G950" s="305">
        <v>303569.56</v>
      </c>
      <c r="H950" s="303">
        <f>'Bank Int.'!$G950*4.5%/360</f>
        <v>37.946194999999996</v>
      </c>
      <c r="I950" s="306">
        <v>2626.75</v>
      </c>
      <c r="J950" s="307">
        <f>'Bank Int.'!$I950*6.5%/360</f>
        <v>0.47427430555555561</v>
      </c>
      <c r="K950" s="337"/>
      <c r="L950" s="307"/>
    </row>
    <row r="951" spans="1:12" ht="22.9" customHeight="1" x14ac:dyDescent="0.25">
      <c r="A951" s="257"/>
      <c r="B951" s="253">
        <v>45167</v>
      </c>
      <c r="C951" s="298">
        <v>1641627.5</v>
      </c>
      <c r="D951" s="295">
        <f>'Bank Int.'!$C951*7.5%/360</f>
        <v>342.00572916666664</v>
      </c>
      <c r="E951" s="254">
        <v>4425.5</v>
      </c>
      <c r="F951" s="295">
        <f>'Bank Int.'!$E951*7.5%/360</f>
        <v>0.92197916666666657</v>
      </c>
      <c r="G951" s="305">
        <v>303569.56</v>
      </c>
      <c r="H951" s="303">
        <f>'Bank Int.'!$G951*4.5%/360</f>
        <v>37.946194999999996</v>
      </c>
      <c r="I951" s="306">
        <v>2626.75</v>
      </c>
      <c r="J951" s="307">
        <f>'Bank Int.'!$I951*6.5%/360</f>
        <v>0.47427430555555561</v>
      </c>
      <c r="K951" s="337"/>
      <c r="L951" s="307"/>
    </row>
    <row r="952" spans="1:12" ht="22.9" customHeight="1" x14ac:dyDescent="0.25">
      <c r="A952" s="257"/>
      <c r="B952" s="253">
        <v>45166</v>
      </c>
      <c r="C952" s="298">
        <v>1626627.5</v>
      </c>
      <c r="D952" s="295">
        <f>'Bank Int.'!$C952*7.5%/360</f>
        <v>338.88072916666664</v>
      </c>
      <c r="E952" s="254">
        <v>4425.5</v>
      </c>
      <c r="F952" s="295">
        <f>'Bank Int.'!$E952*7.5%/360</f>
        <v>0.92197916666666657</v>
      </c>
      <c r="G952" s="305">
        <v>269569.56</v>
      </c>
      <c r="H952" s="303">
        <f>'Bank Int.'!$G952*4.5%/360</f>
        <v>33.696194999999996</v>
      </c>
      <c r="I952" s="306">
        <v>2626.75</v>
      </c>
      <c r="J952" s="307">
        <f>'Bank Int.'!$I952*6.5%/360</f>
        <v>0.47427430555555561</v>
      </c>
      <c r="K952" s="337"/>
      <c r="L952" s="307"/>
    </row>
    <row r="953" spans="1:12" ht="22.9" customHeight="1" x14ac:dyDescent="0.25">
      <c r="A953" s="257"/>
      <c r="B953" s="253">
        <v>45165</v>
      </c>
      <c r="C953" s="298">
        <v>1626627.5</v>
      </c>
      <c r="D953" s="295">
        <f>'Bank Int.'!$C953*7.5%/360</f>
        <v>338.88072916666664</v>
      </c>
      <c r="E953" s="254">
        <v>4425.5</v>
      </c>
      <c r="F953" s="295">
        <f>'Bank Int.'!$E953*7.5%/360</f>
        <v>0.92197916666666657</v>
      </c>
      <c r="G953" s="305">
        <v>140029.56</v>
      </c>
      <c r="H953" s="303">
        <f>'Bank Int.'!$G953*4.5%/360</f>
        <v>17.503694999999997</v>
      </c>
      <c r="I953" s="306">
        <v>2626.75</v>
      </c>
      <c r="J953" s="307">
        <f>'Bank Int.'!$I953*6.5%/360</f>
        <v>0.47427430555555561</v>
      </c>
      <c r="K953" s="337"/>
      <c r="L953" s="307"/>
    </row>
    <row r="954" spans="1:12" ht="22.9" customHeight="1" x14ac:dyDescent="0.25">
      <c r="A954" s="257"/>
      <c r="B954" s="253">
        <v>45164</v>
      </c>
      <c r="C954" s="298">
        <v>126652.5</v>
      </c>
      <c r="D954" s="295">
        <f>'Bank Int.'!$C954*7.5%/360</f>
        <v>26.385937500000001</v>
      </c>
      <c r="E954" s="254">
        <v>4425.5</v>
      </c>
      <c r="F954" s="295">
        <f>'Bank Int.'!$E954*7.5%/360</f>
        <v>0.92197916666666657</v>
      </c>
      <c r="G954" s="305">
        <v>94029.56</v>
      </c>
      <c r="H954" s="303">
        <f>'Bank Int.'!$G954*4.5%/360</f>
        <v>11.753694999999999</v>
      </c>
      <c r="I954" s="306">
        <v>2626.75</v>
      </c>
      <c r="J954" s="307">
        <f>'Bank Int.'!$I954*6.5%/360</f>
        <v>0.47427430555555561</v>
      </c>
      <c r="K954" s="337"/>
      <c r="L954" s="307"/>
    </row>
    <row r="955" spans="1:12" ht="22.9" customHeight="1" x14ac:dyDescent="0.25">
      <c r="A955" s="257"/>
      <c r="B955" s="253">
        <v>45163</v>
      </c>
      <c r="C955" s="298">
        <v>126652.5</v>
      </c>
      <c r="D955" s="295">
        <f>'Bank Int.'!$C955*7.5%/360</f>
        <v>26.385937500000001</v>
      </c>
      <c r="E955" s="254">
        <v>4425.5</v>
      </c>
      <c r="F955" s="295">
        <f>'Bank Int.'!$E955*7.5%/360</f>
        <v>0.92197916666666657</v>
      </c>
      <c r="G955" s="305">
        <v>94029.56</v>
      </c>
      <c r="H955" s="303">
        <f>'Bank Int.'!$G955*4.5%/360</f>
        <v>11.753694999999999</v>
      </c>
      <c r="I955" s="306">
        <v>2626.75</v>
      </c>
      <c r="J955" s="307">
        <f>'Bank Int.'!$I955*6.5%/360</f>
        <v>0.47427430555555561</v>
      </c>
      <c r="K955" s="337"/>
      <c r="L955" s="307"/>
    </row>
    <row r="956" spans="1:12" ht="22.9" customHeight="1" x14ac:dyDescent="0.25">
      <c r="A956" s="257"/>
      <c r="B956" s="253">
        <v>45162</v>
      </c>
      <c r="C956" s="298">
        <v>126652.5</v>
      </c>
      <c r="D956" s="295">
        <f>'Bank Int.'!$C956*7.5%/360</f>
        <v>26.385937500000001</v>
      </c>
      <c r="E956" s="254">
        <v>4425.5</v>
      </c>
      <c r="F956" s="295">
        <f>'Bank Int.'!$E956*7.5%/360</f>
        <v>0.92197916666666657</v>
      </c>
      <c r="G956" s="305">
        <v>94029.56</v>
      </c>
      <c r="H956" s="303">
        <f>'Bank Int.'!$G956*4.5%/360</f>
        <v>11.753694999999999</v>
      </c>
      <c r="I956" s="306">
        <v>2626.75</v>
      </c>
      <c r="J956" s="307">
        <f>'Bank Int.'!$I956*6.5%/360</f>
        <v>0.47427430555555561</v>
      </c>
      <c r="K956" s="337"/>
      <c r="L956" s="307"/>
    </row>
    <row r="957" spans="1:12" ht="22.9" customHeight="1" x14ac:dyDescent="0.25">
      <c r="A957" s="257"/>
      <c r="B957" s="253">
        <v>45161</v>
      </c>
      <c r="C957" s="298">
        <v>226710.5</v>
      </c>
      <c r="D957" s="295">
        <f>'Bank Int.'!$C957*7.5%/360</f>
        <v>47.231354166666662</v>
      </c>
      <c r="E957" s="254">
        <v>4425.5</v>
      </c>
      <c r="F957" s="295">
        <f>'Bank Int.'!$E957*7.5%/360</f>
        <v>0.92197916666666657</v>
      </c>
      <c r="G957" s="305">
        <v>254029.56</v>
      </c>
      <c r="H957" s="303">
        <f>'Bank Int.'!$G957*4.5%/360</f>
        <v>31.753695</v>
      </c>
      <c r="I957" s="306">
        <v>492726.75</v>
      </c>
      <c r="J957" s="307">
        <f>'Bank Int.'!$I957*6.5%/360</f>
        <v>88.964552083333331</v>
      </c>
      <c r="K957" s="337"/>
      <c r="L957" s="307"/>
    </row>
    <row r="958" spans="1:12" ht="22.9" customHeight="1" x14ac:dyDescent="0.25">
      <c r="A958" s="257"/>
      <c r="B958" s="253">
        <v>45160</v>
      </c>
      <c r="C958" s="298">
        <v>1085607.5</v>
      </c>
      <c r="D958" s="295">
        <f>'Bank Int.'!$C958*7.5%/360</f>
        <v>226.16822916666666</v>
      </c>
      <c r="E958" s="254">
        <v>164425.5</v>
      </c>
      <c r="F958" s="295">
        <f>'Bank Int.'!$E958*7.5%/360</f>
        <v>34.255312500000002</v>
      </c>
      <c r="G958" s="305">
        <v>254029.56</v>
      </c>
      <c r="H958" s="303">
        <f>'Bank Int.'!$G958*4.5%/360</f>
        <v>31.753695</v>
      </c>
      <c r="I958" s="306">
        <v>1342726.75</v>
      </c>
      <c r="J958" s="307">
        <f>'Bank Int.'!$I958*6.5%/360</f>
        <v>242.43677430555556</v>
      </c>
      <c r="K958" s="337"/>
      <c r="L958" s="307"/>
    </row>
    <row r="959" spans="1:12" ht="22.9" customHeight="1" x14ac:dyDescent="0.25">
      <c r="A959" s="257"/>
      <c r="B959" s="253">
        <v>45159</v>
      </c>
      <c r="C959" s="298">
        <v>1470617.5</v>
      </c>
      <c r="D959" s="295">
        <f>'Bank Int.'!$C959*7.5%/360</f>
        <v>306.37864583333334</v>
      </c>
      <c r="E959" s="254">
        <v>164870.22</v>
      </c>
      <c r="F959" s="295">
        <f>'Bank Int.'!$E959*7.5%/360</f>
        <v>34.347962500000001</v>
      </c>
      <c r="G959" s="305">
        <v>254029.56</v>
      </c>
      <c r="H959" s="303">
        <f>'Bank Int.'!$G959*4.5%/360</f>
        <v>31.753695</v>
      </c>
      <c r="I959" s="306">
        <v>1342726.75</v>
      </c>
      <c r="J959" s="307">
        <f>'Bank Int.'!$I959*6.5%/360</f>
        <v>242.43677430555556</v>
      </c>
      <c r="K959" s="337"/>
      <c r="L959" s="307"/>
    </row>
    <row r="960" spans="1:12" ht="22.9" customHeight="1" x14ac:dyDescent="0.25">
      <c r="A960" s="257"/>
      <c r="B960" s="253">
        <v>45158</v>
      </c>
      <c r="C960" s="298">
        <v>478837.5</v>
      </c>
      <c r="D960" s="295">
        <f>'Bank Int.'!$C960*7.5%/360</f>
        <v>99.7578125</v>
      </c>
      <c r="E960" s="254">
        <v>1164870.22</v>
      </c>
      <c r="F960" s="295">
        <f>'Bank Int.'!$E960*7.5%/360</f>
        <v>242.68129583333334</v>
      </c>
      <c r="G960" s="305">
        <v>259029.56</v>
      </c>
      <c r="H960" s="303">
        <f>'Bank Int.'!$G960*4.5%/360</f>
        <v>32.378695</v>
      </c>
      <c r="I960" s="306">
        <v>1342726.75</v>
      </c>
      <c r="J960" s="307">
        <f>'Bank Int.'!$I960*6.5%/360</f>
        <v>242.43677430555556</v>
      </c>
      <c r="K960" s="337"/>
      <c r="L960" s="307"/>
    </row>
    <row r="961" spans="1:12" ht="22.9" customHeight="1" x14ac:dyDescent="0.25">
      <c r="A961" s="257"/>
      <c r="B961" s="253">
        <v>45157</v>
      </c>
      <c r="C961" s="298">
        <v>478837.5</v>
      </c>
      <c r="D961" s="295">
        <f>'Bank Int.'!$C961*7.5%/360</f>
        <v>99.7578125</v>
      </c>
      <c r="E961" s="254">
        <v>1164870.22</v>
      </c>
      <c r="F961" s="295">
        <f>'Bank Int.'!$E961*7.5%/360</f>
        <v>242.68129583333334</v>
      </c>
      <c r="G961" s="305">
        <v>259029.56</v>
      </c>
      <c r="H961" s="303">
        <f>'Bank Int.'!$G961*4.5%/360</f>
        <v>32.378695</v>
      </c>
      <c r="I961" s="306">
        <v>1342726.75</v>
      </c>
      <c r="J961" s="307">
        <f>'Bank Int.'!$I961*6.5%/360</f>
        <v>242.43677430555556</v>
      </c>
      <c r="K961" s="337"/>
      <c r="L961" s="307"/>
    </row>
    <row r="962" spans="1:12" ht="22.9" customHeight="1" x14ac:dyDescent="0.25">
      <c r="A962" s="257"/>
      <c r="B962" s="253">
        <v>45156</v>
      </c>
      <c r="C962" s="298">
        <v>478837.5</v>
      </c>
      <c r="D962" s="295">
        <f>'Bank Int.'!$C962*7.5%/360</f>
        <v>99.7578125</v>
      </c>
      <c r="E962" s="254">
        <v>1164870.22</v>
      </c>
      <c r="F962" s="295">
        <f>'Bank Int.'!$E962*7.5%/360</f>
        <v>242.68129583333334</v>
      </c>
      <c r="G962" s="305">
        <v>259029.56</v>
      </c>
      <c r="H962" s="303">
        <f>'Bank Int.'!$G962*4.5%/360</f>
        <v>32.378695</v>
      </c>
      <c r="I962" s="306">
        <v>1342726.75</v>
      </c>
      <c r="J962" s="307">
        <f>'Bank Int.'!$I962*6.5%/360</f>
        <v>242.43677430555556</v>
      </c>
      <c r="K962" s="337"/>
      <c r="L962" s="307"/>
    </row>
    <row r="963" spans="1:12" ht="22.9" customHeight="1" x14ac:dyDescent="0.25">
      <c r="A963" s="257"/>
      <c r="B963" s="253">
        <v>45155</v>
      </c>
      <c r="C963" s="298">
        <v>478837.5</v>
      </c>
      <c r="D963" s="295">
        <f>'Bank Int.'!$C963*7.5%/360</f>
        <v>99.7578125</v>
      </c>
      <c r="E963" s="254">
        <v>1164870.22</v>
      </c>
      <c r="F963" s="295">
        <f>'Bank Int.'!$E963*7.5%/360</f>
        <v>242.68129583333334</v>
      </c>
      <c r="G963" s="305">
        <v>259029.56</v>
      </c>
      <c r="H963" s="303">
        <f>'Bank Int.'!$G963*4.5%/360</f>
        <v>32.378695</v>
      </c>
      <c r="I963" s="306">
        <v>1342726.75</v>
      </c>
      <c r="J963" s="307">
        <f>'Bank Int.'!$I963*6.5%/360</f>
        <v>242.43677430555556</v>
      </c>
      <c r="K963" s="337"/>
      <c r="L963" s="307"/>
    </row>
    <row r="964" spans="1:12" ht="22.9" customHeight="1" x14ac:dyDescent="0.25">
      <c r="A964" s="257"/>
      <c r="B964" s="253">
        <v>45154</v>
      </c>
      <c r="C964" s="298">
        <v>478837.5</v>
      </c>
      <c r="D964" s="295">
        <f>'Bank Int.'!$C964*7.5%/360</f>
        <v>99.7578125</v>
      </c>
      <c r="E964" s="254">
        <v>1164870.22</v>
      </c>
      <c r="F964" s="295">
        <f>'Bank Int.'!$E964*7.5%/360</f>
        <v>242.68129583333334</v>
      </c>
      <c r="G964" s="305">
        <v>249029.56</v>
      </c>
      <c r="H964" s="303">
        <f>'Bank Int.'!$G964*4.5%/360</f>
        <v>31.128695</v>
      </c>
      <c r="I964" s="306">
        <v>1342726.75</v>
      </c>
      <c r="J964" s="307">
        <f>'Bank Int.'!$I964*6.5%/360</f>
        <v>242.43677430555556</v>
      </c>
      <c r="K964" s="337"/>
      <c r="L964" s="307"/>
    </row>
    <row r="965" spans="1:12" ht="22.9" customHeight="1" x14ac:dyDescent="0.25">
      <c r="A965" s="257"/>
      <c r="B965" s="253">
        <v>45153</v>
      </c>
      <c r="C965" s="298">
        <v>178837.5</v>
      </c>
      <c r="D965" s="295">
        <f>'Bank Int.'!$C965*7.5%/360</f>
        <v>37.2578125</v>
      </c>
      <c r="E965" s="254">
        <v>1164870.22</v>
      </c>
      <c r="F965" s="295">
        <f>'Bank Int.'!$E965*7.5%/360</f>
        <v>242.68129583333334</v>
      </c>
      <c r="G965" s="305">
        <v>244029.56</v>
      </c>
      <c r="H965" s="303">
        <f>'Bank Int.'!$G965*4.5%/360</f>
        <v>30.503695</v>
      </c>
      <c r="I965" s="306">
        <v>1342726.75</v>
      </c>
      <c r="J965" s="307">
        <f>'Bank Int.'!$I965*6.5%/360</f>
        <v>242.43677430555556</v>
      </c>
      <c r="K965" s="337"/>
      <c r="L965" s="307"/>
    </row>
    <row r="966" spans="1:12" ht="22.9" customHeight="1" x14ac:dyDescent="0.25">
      <c r="A966" s="257"/>
      <c r="B966" s="253">
        <v>45152</v>
      </c>
      <c r="C966" s="298">
        <v>178837.5</v>
      </c>
      <c r="D966" s="295">
        <f>'Bank Int.'!$C966*7.5%/360</f>
        <v>37.2578125</v>
      </c>
      <c r="E966" s="254">
        <v>1164870.22</v>
      </c>
      <c r="F966" s="295">
        <f>'Bank Int.'!$E966*7.5%/360</f>
        <v>242.68129583333334</v>
      </c>
      <c r="G966" s="305">
        <v>244029.56</v>
      </c>
      <c r="H966" s="303">
        <f>'Bank Int.'!$G966*4.5%/360</f>
        <v>30.503695</v>
      </c>
      <c r="I966" s="306">
        <v>1342726.75</v>
      </c>
      <c r="J966" s="307">
        <f>'Bank Int.'!$I966*6.5%/360</f>
        <v>242.43677430555556</v>
      </c>
      <c r="K966" s="337"/>
      <c r="L966" s="307"/>
    </row>
    <row r="967" spans="1:12" ht="22.9" customHeight="1" x14ac:dyDescent="0.25">
      <c r="A967" s="257"/>
      <c r="B967" s="253">
        <v>45151</v>
      </c>
      <c r="C967" s="298">
        <v>78847.5</v>
      </c>
      <c r="D967" s="295">
        <f>'Bank Int.'!$C967*7.5%/360</f>
        <v>16.426562499999999</v>
      </c>
      <c r="E967" s="254">
        <v>1164881.49</v>
      </c>
      <c r="F967" s="295">
        <f>'Bank Int.'!$E967*7.5%/360</f>
        <v>242.68364374999999</v>
      </c>
      <c r="G967" s="305">
        <v>244029.56</v>
      </c>
      <c r="H967" s="303">
        <f>'Bank Int.'!$G967*4.5%/360</f>
        <v>30.503695</v>
      </c>
      <c r="I967" s="306">
        <v>1342761.25</v>
      </c>
      <c r="J967" s="307">
        <f>'Bank Int.'!$I967*6.5%/360</f>
        <v>242.44300347222222</v>
      </c>
      <c r="K967" s="337"/>
      <c r="L967" s="307"/>
    </row>
    <row r="968" spans="1:12" ht="22.9" customHeight="1" x14ac:dyDescent="0.25">
      <c r="A968" s="257"/>
      <c r="B968" s="253">
        <v>45150</v>
      </c>
      <c r="C968" s="298">
        <v>78847.5</v>
      </c>
      <c r="D968" s="295">
        <f>'Bank Int.'!$C968*7.5%/360</f>
        <v>16.426562499999999</v>
      </c>
      <c r="E968" s="254">
        <v>40582.89</v>
      </c>
      <c r="F968" s="295">
        <f>'Bank Int.'!$E968*7.5%/360</f>
        <v>8.4547687499999995</v>
      </c>
      <c r="G968" s="305">
        <v>244029.56</v>
      </c>
      <c r="H968" s="303">
        <f>'Bank Int.'!$G968*4.5%/360</f>
        <v>30.503695</v>
      </c>
      <c r="I968" s="306">
        <v>1342761.25</v>
      </c>
      <c r="J968" s="307">
        <f>'Bank Int.'!$I968*6.5%/360</f>
        <v>242.44300347222222</v>
      </c>
      <c r="K968" s="337"/>
      <c r="L968" s="307"/>
    </row>
    <row r="969" spans="1:12" ht="22.9" customHeight="1" x14ac:dyDescent="0.25">
      <c r="A969" s="257"/>
      <c r="B969" s="253">
        <v>45149</v>
      </c>
      <c r="C969" s="298">
        <v>78847.5</v>
      </c>
      <c r="D969" s="295">
        <f>'Bank Int.'!$C969*7.5%/360</f>
        <v>16.426562499999999</v>
      </c>
      <c r="E969" s="254">
        <v>40582.89</v>
      </c>
      <c r="F969" s="295">
        <f>'Bank Int.'!$E969*7.5%/360</f>
        <v>8.4547687499999995</v>
      </c>
      <c r="G969" s="305">
        <v>244029.56</v>
      </c>
      <c r="H969" s="303">
        <f>'Bank Int.'!$G969*4.5%/360</f>
        <v>30.503695</v>
      </c>
      <c r="I969" s="306">
        <v>1342761.25</v>
      </c>
      <c r="J969" s="307">
        <f>'Bank Int.'!$I969*6.5%/360</f>
        <v>242.44300347222222</v>
      </c>
      <c r="K969" s="337"/>
      <c r="L969" s="307"/>
    </row>
    <row r="970" spans="1:12" ht="22.9" customHeight="1" x14ac:dyDescent="0.25">
      <c r="A970" s="257"/>
      <c r="B970" s="253">
        <v>45148</v>
      </c>
      <c r="C970" s="298">
        <v>78847.5</v>
      </c>
      <c r="D970" s="295">
        <f>'Bank Int.'!$C970*7.5%/360</f>
        <v>16.426562499999999</v>
      </c>
      <c r="E970" s="254">
        <v>40582.89</v>
      </c>
      <c r="F970" s="295">
        <f>'Bank Int.'!$E970*7.5%/360</f>
        <v>8.4547687499999995</v>
      </c>
      <c r="G970" s="305">
        <v>244029.56</v>
      </c>
      <c r="H970" s="303">
        <f>'Bank Int.'!$G970*4.5%/360</f>
        <v>30.503695</v>
      </c>
      <c r="I970" s="306">
        <v>1342761.25</v>
      </c>
      <c r="J970" s="307">
        <f>'Bank Int.'!$I970*6.5%/360</f>
        <v>242.44300347222222</v>
      </c>
      <c r="K970" s="337"/>
      <c r="L970" s="307"/>
    </row>
    <row r="971" spans="1:12" ht="22.9" customHeight="1" x14ac:dyDescent="0.25">
      <c r="A971" s="257"/>
      <c r="B971" s="253">
        <v>45147</v>
      </c>
      <c r="C971" s="298">
        <v>289146.21999999997</v>
      </c>
      <c r="D971" s="295">
        <f>'Bank Int.'!$C971*7.5%/360</f>
        <v>60.238795833333327</v>
      </c>
      <c r="E971" s="254">
        <v>6076884.4900000002</v>
      </c>
      <c r="F971" s="295">
        <f>'Bank Int.'!$E971*7.5%/360</f>
        <v>1266.0176020833335</v>
      </c>
      <c r="G971" s="305">
        <v>295939.56</v>
      </c>
      <c r="H971" s="303">
        <f>'Bank Int.'!$G971*4.5%/360</f>
        <v>36.992444999999996</v>
      </c>
      <c r="I971" s="306">
        <v>1342761.25</v>
      </c>
      <c r="J971" s="307">
        <f>'Bank Int.'!$I971*6.5%/360</f>
        <v>242.44300347222222</v>
      </c>
      <c r="K971" s="337"/>
      <c r="L971" s="307"/>
    </row>
    <row r="972" spans="1:12" ht="22.9" customHeight="1" x14ac:dyDescent="0.25">
      <c r="A972" s="257"/>
      <c r="B972" s="253">
        <v>45146</v>
      </c>
      <c r="C972" s="298">
        <v>542259.38</v>
      </c>
      <c r="D972" s="295">
        <f>'Bank Int.'!$C972*7.5%/360</f>
        <v>112.97070416666665</v>
      </c>
      <c r="E972" s="254">
        <v>2042634.49</v>
      </c>
      <c r="F972" s="295">
        <f>'Bank Int.'!$E972*7.5%/360</f>
        <v>425.54885208333332</v>
      </c>
      <c r="G972" s="305">
        <v>295939.56</v>
      </c>
      <c r="H972" s="303">
        <f>'Bank Int.'!$G972*4.5%/360</f>
        <v>36.992444999999996</v>
      </c>
      <c r="I972" s="306">
        <v>1342761.25</v>
      </c>
      <c r="J972" s="307">
        <f>'Bank Int.'!$I972*6.5%/360</f>
        <v>242.44300347222222</v>
      </c>
      <c r="K972" s="337"/>
      <c r="L972" s="307"/>
    </row>
    <row r="973" spans="1:12" ht="22.9" customHeight="1" x14ac:dyDescent="0.25">
      <c r="A973" s="257"/>
      <c r="B973" s="253">
        <v>45145</v>
      </c>
      <c r="C973" s="298">
        <v>242269.38</v>
      </c>
      <c r="D973" s="295">
        <f>'Bank Int.'!$C973*7.5%/360</f>
        <v>50.472787499999995</v>
      </c>
      <c r="E973" s="254">
        <v>43234.49</v>
      </c>
      <c r="F973" s="295">
        <f>'Bank Int.'!$E973*7.5%/360</f>
        <v>9.0071854166666672</v>
      </c>
      <c r="G973" s="305">
        <v>295939.56</v>
      </c>
      <c r="H973" s="303">
        <f>'Bank Int.'!$G973*4.5%/360</f>
        <v>36.992444999999996</v>
      </c>
      <c r="I973" s="306">
        <v>1342761.25</v>
      </c>
      <c r="J973" s="307">
        <f>'Bank Int.'!$I973*6.5%/360</f>
        <v>242.44300347222222</v>
      </c>
      <c r="K973" s="337"/>
      <c r="L973" s="307"/>
    </row>
    <row r="974" spans="1:12" ht="22.9" customHeight="1" x14ac:dyDescent="0.25">
      <c r="A974" s="257"/>
      <c r="B974" s="253">
        <v>45144</v>
      </c>
      <c r="C974" s="298">
        <v>242269.38</v>
      </c>
      <c r="D974" s="295">
        <f>'Bank Int.'!$C974*7.5%/360</f>
        <v>50.472787499999995</v>
      </c>
      <c r="E974" s="254">
        <v>43234.49</v>
      </c>
      <c r="F974" s="295">
        <f>'Bank Int.'!$E974*7.5%/360</f>
        <v>9.0071854166666672</v>
      </c>
      <c r="G974" s="305">
        <v>145939.56</v>
      </c>
      <c r="H974" s="303">
        <f>'Bank Int.'!$G974*4.5%/360</f>
        <v>18.242444999999996</v>
      </c>
      <c r="I974" s="306">
        <v>1342761.25</v>
      </c>
      <c r="J974" s="307">
        <f>'Bank Int.'!$I974*6.5%/360</f>
        <v>242.44300347222222</v>
      </c>
      <c r="K974" s="337"/>
      <c r="L974" s="307"/>
    </row>
    <row r="975" spans="1:12" ht="22.9" customHeight="1" x14ac:dyDescent="0.25">
      <c r="A975" s="257"/>
      <c r="B975" s="253">
        <v>45143</v>
      </c>
      <c r="C975" s="298">
        <v>891969.9</v>
      </c>
      <c r="D975" s="295">
        <f>'Bank Int.'!$C975*7.5%/360</f>
        <v>185.82706249999998</v>
      </c>
      <c r="E975" s="254">
        <v>2875484.49</v>
      </c>
      <c r="F975" s="295">
        <f>'Bank Int.'!$E975*7.5%/360</f>
        <v>599.05926875</v>
      </c>
      <c r="G975" s="305">
        <v>510939.56</v>
      </c>
      <c r="H975" s="303">
        <f>'Bank Int.'!$G975*4.5%/360</f>
        <v>63.867444999999989</v>
      </c>
      <c r="I975" s="306">
        <v>1342761.25</v>
      </c>
      <c r="J975" s="307">
        <f>'Bank Int.'!$I975*6.5%/360</f>
        <v>242.44300347222222</v>
      </c>
      <c r="K975" s="337"/>
      <c r="L975" s="307"/>
    </row>
    <row r="976" spans="1:12" ht="22.9" customHeight="1" x14ac:dyDescent="0.25">
      <c r="A976" s="257"/>
      <c r="B976" s="253">
        <v>45142</v>
      </c>
      <c r="C976" s="298">
        <v>891969.9</v>
      </c>
      <c r="D976" s="295">
        <f>'Bank Int.'!$C976*7.5%/360</f>
        <v>185.82706249999998</v>
      </c>
      <c r="E976" s="254">
        <v>2875484.49</v>
      </c>
      <c r="F976" s="295">
        <f>'Bank Int.'!$E976*7.5%/360</f>
        <v>599.05926875</v>
      </c>
      <c r="G976" s="305">
        <v>510939.56</v>
      </c>
      <c r="H976" s="303">
        <f>'Bank Int.'!$G976*4.5%/360</f>
        <v>63.867444999999989</v>
      </c>
      <c r="I976" s="306">
        <v>1342761.25</v>
      </c>
      <c r="J976" s="307">
        <f>'Bank Int.'!$I976*6.5%/360</f>
        <v>242.44300347222222</v>
      </c>
      <c r="K976" s="337"/>
      <c r="L976" s="307"/>
    </row>
    <row r="977" spans="1:12" ht="22.9" customHeight="1" x14ac:dyDescent="0.25">
      <c r="A977" s="257"/>
      <c r="B977" s="253">
        <v>45141</v>
      </c>
      <c r="C977" s="298">
        <v>891979.9</v>
      </c>
      <c r="D977" s="295">
        <f>'Bank Int.'!$C977*7.5%/360</f>
        <v>185.82914583333331</v>
      </c>
      <c r="E977" s="254">
        <v>2836734.49</v>
      </c>
      <c r="F977" s="295">
        <f>'Bank Int.'!$E977*7.5%/360</f>
        <v>590.98635208333337</v>
      </c>
      <c r="G977" s="305">
        <v>510939.56</v>
      </c>
      <c r="H977" s="303">
        <f>'Bank Int.'!$G977*4.5%/360</f>
        <v>63.867444999999989</v>
      </c>
      <c r="I977" s="306">
        <v>1342761.25</v>
      </c>
      <c r="J977" s="307">
        <f>'Bank Int.'!$I977*6.5%/360</f>
        <v>242.44300347222222</v>
      </c>
      <c r="K977" s="337"/>
      <c r="L977" s="307"/>
    </row>
    <row r="978" spans="1:12" ht="22.9" customHeight="1" x14ac:dyDescent="0.25">
      <c r="A978" s="257"/>
      <c r="B978" s="253">
        <v>45140</v>
      </c>
      <c r="C978" s="298">
        <v>771979.9</v>
      </c>
      <c r="D978" s="295">
        <f>'Bank Int.'!$C978*7.5%/360</f>
        <v>160.82914583333334</v>
      </c>
      <c r="E978" s="254">
        <v>2655734.4900000002</v>
      </c>
      <c r="F978" s="295">
        <f>'Bank Int.'!$E978*7.5%/360</f>
        <v>553.27801875</v>
      </c>
      <c r="G978" s="305">
        <v>510939.56</v>
      </c>
      <c r="H978" s="303">
        <f>'Bank Int.'!$G978*4.5%/360</f>
        <v>63.867444999999989</v>
      </c>
      <c r="I978" s="306">
        <v>1342761.25</v>
      </c>
      <c r="J978" s="307">
        <f>'Bank Int.'!$I978*6.5%/360</f>
        <v>242.44300347222222</v>
      </c>
      <c r="K978" s="337"/>
      <c r="L978" s="307"/>
    </row>
    <row r="979" spans="1:12" ht="22.9" customHeight="1" x14ac:dyDescent="0.25">
      <c r="A979" s="257"/>
      <c r="B979" s="253">
        <v>45139</v>
      </c>
      <c r="C979" s="298">
        <v>771979.9</v>
      </c>
      <c r="D979" s="295">
        <f>'Bank Int.'!$C979*7.5%/360</f>
        <v>160.82914583333334</v>
      </c>
      <c r="E979" s="254">
        <v>2655734.4900000002</v>
      </c>
      <c r="F979" s="295">
        <f>'Bank Int.'!$E979*7.5%/360</f>
        <v>553.27801875</v>
      </c>
      <c r="G979" s="305">
        <v>510939.56</v>
      </c>
      <c r="H979" s="303">
        <f>'Bank Int.'!$G979*4.5%/360</f>
        <v>63.867444999999989</v>
      </c>
      <c r="I979" s="306">
        <v>1342761.25</v>
      </c>
      <c r="J979" s="307">
        <f>'Bank Int.'!$I979*6.5%/360</f>
        <v>242.44300347222222</v>
      </c>
      <c r="K979" s="337"/>
      <c r="L979" s="307"/>
    </row>
    <row r="980" spans="1:12" ht="22.9" customHeight="1" x14ac:dyDescent="0.25">
      <c r="A980" s="257"/>
      <c r="B980" s="253">
        <v>45138</v>
      </c>
      <c r="C980" s="298">
        <v>771979.9</v>
      </c>
      <c r="D980" s="295">
        <f>'Bank Int.'!$C980*7.5%/360</f>
        <v>160.82914583333334</v>
      </c>
      <c r="E980" s="254">
        <v>2655734.4900000002</v>
      </c>
      <c r="F980" s="295">
        <f>'Bank Int.'!$E980*7.5%/360</f>
        <v>553.27801875</v>
      </c>
      <c r="G980" s="305">
        <v>510939.56</v>
      </c>
      <c r="H980" s="303">
        <f>'Bank Int.'!$G980*4.5%/360</f>
        <v>63.867444999999989</v>
      </c>
      <c r="I980" s="306">
        <v>1342761.25</v>
      </c>
      <c r="J980" s="307">
        <f>'Bank Int.'!$I980*6.5%/360</f>
        <v>242.44300347222222</v>
      </c>
      <c r="K980" s="337"/>
      <c r="L980" s="307"/>
    </row>
    <row r="981" spans="1:12" ht="22.9" customHeight="1" x14ac:dyDescent="0.25">
      <c r="A981" s="257"/>
      <c r="B981" s="253">
        <v>45137</v>
      </c>
      <c r="C981" s="298">
        <v>771979.9</v>
      </c>
      <c r="D981" s="295">
        <f>'Bank Int.'!$C981*7.5%/360</f>
        <v>160.82914583333334</v>
      </c>
      <c r="E981" s="254">
        <v>2657534.4900000002</v>
      </c>
      <c r="F981" s="295">
        <f>'Bank Int.'!$E981*7.5%/360</f>
        <v>553.65301875</v>
      </c>
      <c r="G981" s="305">
        <v>510939.56</v>
      </c>
      <c r="H981" s="303">
        <f>'Bank Int.'!$G981*4.5%/360</f>
        <v>63.867444999999989</v>
      </c>
      <c r="I981" s="306">
        <v>1342761.25</v>
      </c>
      <c r="J981" s="307">
        <f>'Bank Int.'!$I981*6.5%/360</f>
        <v>242.44300347222222</v>
      </c>
      <c r="K981" s="337"/>
      <c r="L981" s="307"/>
    </row>
    <row r="982" spans="1:12" ht="22.9" customHeight="1" x14ac:dyDescent="0.25">
      <c r="A982" s="257"/>
      <c r="B982" s="253">
        <v>45136</v>
      </c>
      <c r="C982" s="298">
        <v>972139.9</v>
      </c>
      <c r="D982" s="295">
        <f>'Bank Int.'!$C982*7.5%/360</f>
        <v>202.5291458333333</v>
      </c>
      <c r="E982" s="254">
        <v>2657534.4900000002</v>
      </c>
      <c r="F982" s="295">
        <f>'Bank Int.'!$E982*7.5%/360</f>
        <v>553.65301875</v>
      </c>
      <c r="G982" s="305">
        <v>510939.56</v>
      </c>
      <c r="H982" s="303">
        <f>'Bank Int.'!$G982*4.5%/360</f>
        <v>63.867444999999989</v>
      </c>
      <c r="I982" s="306">
        <v>1342761.25</v>
      </c>
      <c r="J982" s="307">
        <f>'Bank Int.'!$I982*6.5%/360</f>
        <v>242.44300347222222</v>
      </c>
      <c r="K982" s="337"/>
      <c r="L982" s="307"/>
    </row>
    <row r="983" spans="1:12" ht="22.9" customHeight="1" x14ac:dyDescent="0.25">
      <c r="A983" s="257"/>
      <c r="B983" s="253">
        <v>45135</v>
      </c>
      <c r="C983" s="298">
        <v>972139.9</v>
      </c>
      <c r="D983" s="295">
        <f>'Bank Int.'!$C983*7.5%/360</f>
        <v>202.5291458333333</v>
      </c>
      <c r="E983" s="254">
        <v>2657534.4900000002</v>
      </c>
      <c r="F983" s="295">
        <f>'Bank Int.'!$E983*7.5%/360</f>
        <v>553.65301875</v>
      </c>
      <c r="G983" s="305">
        <v>510939.56</v>
      </c>
      <c r="H983" s="303">
        <f>'Bank Int.'!$G983*4.5%/360</f>
        <v>63.867444999999989</v>
      </c>
      <c r="I983" s="306">
        <v>1342761.25</v>
      </c>
      <c r="J983" s="307">
        <f>'Bank Int.'!$I983*6.5%/360</f>
        <v>242.44300347222222</v>
      </c>
      <c r="K983" s="337"/>
      <c r="L983" s="307"/>
    </row>
    <row r="984" spans="1:12" ht="22.9" customHeight="1" x14ac:dyDescent="0.25">
      <c r="A984" s="257"/>
      <c r="B984" s="253">
        <v>45134</v>
      </c>
      <c r="C984" s="298">
        <v>972139.9</v>
      </c>
      <c r="D984" s="295">
        <f>'Bank Int.'!$C984*7.5%/360</f>
        <v>202.5291458333333</v>
      </c>
      <c r="E984" s="300">
        <v>2657534.4900000002</v>
      </c>
      <c r="F984" s="295">
        <f>'Bank Int.'!$E984*7.5%/360</f>
        <v>553.65301875</v>
      </c>
      <c r="G984" s="305">
        <v>510939.56</v>
      </c>
      <c r="H984" s="303">
        <f>'Bank Int.'!$G984*4.5%/360</f>
        <v>63.867444999999989</v>
      </c>
      <c r="I984" s="306">
        <v>1342761.25</v>
      </c>
      <c r="J984" s="307">
        <f>'Bank Int.'!$I984*6.5%/360</f>
        <v>242.44300347222222</v>
      </c>
      <c r="K984" s="337"/>
      <c r="L984" s="307"/>
    </row>
    <row r="985" spans="1:12" ht="22.9" customHeight="1" x14ac:dyDescent="0.25">
      <c r="A985" s="257"/>
      <c r="B985" s="253">
        <v>45133</v>
      </c>
      <c r="C985" s="298">
        <v>792139.9</v>
      </c>
      <c r="D985" s="295">
        <f>'Bank Int.'!$C985*7.5%/360</f>
        <v>165.02914583333333</v>
      </c>
      <c r="E985" s="300">
        <v>2657534.4900000002</v>
      </c>
      <c r="F985" s="295">
        <f>'Bank Int.'!$E985*7.5%/360</f>
        <v>553.65301875</v>
      </c>
      <c r="G985" s="305">
        <v>299399.56</v>
      </c>
      <c r="H985" s="303">
        <f>'Bank Int.'!$G985*4.5%/360</f>
        <v>37.424945000000001</v>
      </c>
      <c r="I985" s="306">
        <v>1342761.25</v>
      </c>
      <c r="J985" s="307">
        <f>'Bank Int.'!$I985*6.5%/360</f>
        <v>242.44300347222222</v>
      </c>
      <c r="K985" s="337"/>
      <c r="L985" s="307"/>
    </row>
    <row r="986" spans="1:12" ht="22.9" customHeight="1" x14ac:dyDescent="0.25">
      <c r="A986" s="257"/>
      <c r="B986" s="253">
        <v>45132</v>
      </c>
      <c r="C986" s="298">
        <v>3297239.9</v>
      </c>
      <c r="D986" s="295">
        <f>'Bank Int.'!$C986*7.5%/360</f>
        <v>686.92497916666662</v>
      </c>
      <c r="E986" s="300">
        <v>2657534.4900000002</v>
      </c>
      <c r="F986" s="295">
        <f>'Bank Int.'!$E986*7.5%/360</f>
        <v>553.65301875</v>
      </c>
      <c r="G986" s="305">
        <v>263399.56</v>
      </c>
      <c r="H986" s="303">
        <f>'Bank Int.'!$G986*4.5%/360</f>
        <v>32.924945000000001</v>
      </c>
      <c r="I986" s="306">
        <v>1342761.25</v>
      </c>
      <c r="J986" s="307">
        <f>'Bank Int.'!$I986*6.5%/360</f>
        <v>242.44300347222222</v>
      </c>
      <c r="K986" s="337"/>
      <c r="L986" s="307"/>
    </row>
    <row r="987" spans="1:12" ht="22.9" customHeight="1" x14ac:dyDescent="0.25">
      <c r="A987" s="257"/>
      <c r="B987" s="253">
        <v>45131</v>
      </c>
      <c r="C987" s="298">
        <v>3185462.67</v>
      </c>
      <c r="D987" s="295">
        <f>'Bank Int.'!$C987*7.5%/360</f>
        <v>663.63805624999998</v>
      </c>
      <c r="E987" s="300">
        <v>2458517.4900000002</v>
      </c>
      <c r="F987" s="295">
        <f>'Bank Int.'!$E987*7.5%/360</f>
        <v>512.19114375000004</v>
      </c>
      <c r="G987" s="305">
        <v>263399.56</v>
      </c>
      <c r="H987" s="303">
        <f>'Bank Int.'!$G987*4.5%/360</f>
        <v>32.924945000000001</v>
      </c>
      <c r="I987" s="306">
        <v>1342761.25</v>
      </c>
      <c r="J987" s="307">
        <f>'Bank Int.'!$I987*6.5%/360</f>
        <v>242.44300347222222</v>
      </c>
      <c r="K987" s="337"/>
      <c r="L987" s="307"/>
    </row>
    <row r="988" spans="1:12" ht="22.9" customHeight="1" x14ac:dyDescent="0.25">
      <c r="A988" s="257"/>
      <c r="B988" s="253">
        <v>45130</v>
      </c>
      <c r="C988" s="298">
        <v>3285520.67</v>
      </c>
      <c r="D988" s="295">
        <f>'Bank Int.'!$C988*7.5%/360</f>
        <v>684.48347291666664</v>
      </c>
      <c r="E988" s="300">
        <v>2458578.4900000002</v>
      </c>
      <c r="F988" s="295">
        <f>'Bank Int.'!$E988*7.5%/360</f>
        <v>512.20385208333335</v>
      </c>
      <c r="G988" s="305">
        <v>13399.56</v>
      </c>
      <c r="H988" s="303">
        <f>'Bank Int.'!$G988*4.5%/360</f>
        <v>1.6749449999999999</v>
      </c>
      <c r="I988" s="306">
        <v>1342761.25</v>
      </c>
      <c r="J988" s="307">
        <f>'Bank Int.'!$I988*6.5%/360</f>
        <v>242.44300347222222</v>
      </c>
      <c r="K988" s="337"/>
      <c r="L988" s="307"/>
    </row>
    <row r="989" spans="1:12" ht="22.9" customHeight="1" x14ac:dyDescent="0.25">
      <c r="A989" s="257"/>
      <c r="B989" s="253">
        <v>45129</v>
      </c>
      <c r="C989" s="298">
        <v>3285520.67</v>
      </c>
      <c r="D989" s="295">
        <f>'Bank Int.'!$C989*7.5%/360</f>
        <v>684.48347291666664</v>
      </c>
      <c r="E989" s="300">
        <v>2458578.4900000002</v>
      </c>
      <c r="F989" s="295">
        <f>'Bank Int.'!$E989*7.5%/360</f>
        <v>512.20385208333335</v>
      </c>
      <c r="G989" s="305">
        <v>13399.56</v>
      </c>
      <c r="H989" s="303">
        <f>'Bank Int.'!$G989*4.5%/360</f>
        <v>1.6749449999999999</v>
      </c>
      <c r="I989" s="306">
        <v>1342761.25</v>
      </c>
      <c r="J989" s="307">
        <f>'Bank Int.'!$I989*6.5%/360</f>
        <v>242.44300347222222</v>
      </c>
      <c r="K989" s="337"/>
      <c r="L989" s="307"/>
    </row>
    <row r="990" spans="1:12" ht="22.9" customHeight="1" x14ac:dyDescent="0.25">
      <c r="A990" s="257"/>
      <c r="B990" s="253">
        <v>45128</v>
      </c>
      <c r="C990" s="298">
        <v>3285520.67</v>
      </c>
      <c r="D990" s="295">
        <f>'Bank Int.'!$C990*7.5%/360</f>
        <v>684.48347291666664</v>
      </c>
      <c r="E990" s="300">
        <v>2458578.4900000002</v>
      </c>
      <c r="F990" s="295">
        <f>'Bank Int.'!$E990*7.5%/360</f>
        <v>512.20385208333335</v>
      </c>
      <c r="G990" s="305">
        <v>13399.56</v>
      </c>
      <c r="H990" s="303">
        <f>'Bank Int.'!$G990*4.5%/360</f>
        <v>1.6749449999999999</v>
      </c>
      <c r="I990" s="306">
        <v>1342761.25</v>
      </c>
      <c r="J990" s="307">
        <f>'Bank Int.'!$I990*6.5%/360</f>
        <v>242.44300347222222</v>
      </c>
      <c r="K990" s="337"/>
      <c r="L990" s="307"/>
    </row>
    <row r="991" spans="1:12" ht="22.9" customHeight="1" x14ac:dyDescent="0.25">
      <c r="A991" s="257"/>
      <c r="B991" s="253">
        <v>45127</v>
      </c>
      <c r="C991" s="298">
        <v>3285520.67</v>
      </c>
      <c r="D991" s="295">
        <f>'Bank Int.'!$C991*7.5%/360</f>
        <v>684.48347291666664</v>
      </c>
      <c r="E991" s="300">
        <v>2458578.4900000002</v>
      </c>
      <c r="F991" s="295">
        <f>'Bank Int.'!$E991*7.5%/360</f>
        <v>512.20385208333335</v>
      </c>
      <c r="G991" s="305">
        <v>13399.56</v>
      </c>
      <c r="H991" s="303">
        <f>'Bank Int.'!$G991*4.5%/360</f>
        <v>1.6749449999999999</v>
      </c>
      <c r="I991" s="306">
        <v>1342761.25</v>
      </c>
      <c r="J991" s="307">
        <f>'Bank Int.'!$I991*6.5%/360</f>
        <v>242.44300347222222</v>
      </c>
      <c r="K991" s="337"/>
      <c r="L991" s="307"/>
    </row>
    <row r="992" spans="1:12" ht="22.9" customHeight="1" x14ac:dyDescent="0.25">
      <c r="A992" s="257"/>
      <c r="B992" s="253">
        <v>45126</v>
      </c>
      <c r="C992" s="298">
        <v>1680543.67</v>
      </c>
      <c r="D992" s="295">
        <f>'Bank Int.'!$C992*7.5%/360</f>
        <v>350.11326458333332</v>
      </c>
      <c r="E992" s="300">
        <v>1945432.63</v>
      </c>
      <c r="F992" s="295">
        <f>'Bank Int.'!$E992*7.5%/360</f>
        <v>405.29846458333333</v>
      </c>
      <c r="G992" s="305">
        <v>638420.53</v>
      </c>
      <c r="H992" s="303">
        <f>'Bank Int.'!$G992*4.5%/360</f>
        <v>79.802566249999998</v>
      </c>
      <c r="I992" s="306">
        <v>722761.25</v>
      </c>
      <c r="J992" s="307">
        <f>'Bank Int.'!$I992*6.5%/360</f>
        <v>130.49855902777779</v>
      </c>
      <c r="K992" s="337"/>
      <c r="L992" s="307"/>
    </row>
    <row r="993" spans="1:12" ht="22.9" customHeight="1" x14ac:dyDescent="0.25">
      <c r="A993" s="257"/>
      <c r="B993" s="253">
        <v>45125</v>
      </c>
      <c r="C993" s="298">
        <v>1680543.67</v>
      </c>
      <c r="D993" s="295">
        <f>'Bank Int.'!$C993*7.5%/360</f>
        <v>350.11326458333332</v>
      </c>
      <c r="E993" s="300">
        <v>1945432.63</v>
      </c>
      <c r="F993" s="295">
        <f>'Bank Int.'!$E993*7.5%/360</f>
        <v>405.29846458333333</v>
      </c>
      <c r="G993" s="305">
        <v>638420.53</v>
      </c>
      <c r="H993" s="303">
        <f>'Bank Int.'!$G993*4.5%/360</f>
        <v>79.802566249999998</v>
      </c>
      <c r="I993" s="306">
        <v>722761.25</v>
      </c>
      <c r="J993" s="307">
        <f>'Bank Int.'!$I993*6.5%/360</f>
        <v>130.49855902777779</v>
      </c>
      <c r="K993" s="337"/>
      <c r="L993" s="307"/>
    </row>
    <row r="994" spans="1:12" ht="22.9" customHeight="1" x14ac:dyDescent="0.25">
      <c r="A994" s="257"/>
      <c r="B994" s="253">
        <v>45124</v>
      </c>
      <c r="C994" s="298">
        <v>1480543.67</v>
      </c>
      <c r="D994" s="295">
        <f>'Bank Int.'!$C994*7.5%/360</f>
        <v>308.44659791666663</v>
      </c>
      <c r="E994" s="300">
        <v>1945432.63</v>
      </c>
      <c r="F994" s="295">
        <f>'Bank Int.'!$E994*7.5%/360</f>
        <v>405.29846458333333</v>
      </c>
      <c r="G994" s="305">
        <v>638420.53</v>
      </c>
      <c r="H994" s="303">
        <f>'Bank Int.'!$G994*4.5%/360</f>
        <v>79.802566249999998</v>
      </c>
      <c r="I994" s="306">
        <v>722761.25</v>
      </c>
      <c r="J994" s="307">
        <f>'Bank Int.'!$I994*6.5%/360</f>
        <v>130.49855902777779</v>
      </c>
      <c r="K994" s="337"/>
      <c r="L994" s="307"/>
    </row>
    <row r="995" spans="1:12" ht="22.9" customHeight="1" x14ac:dyDescent="0.25">
      <c r="A995" s="257"/>
      <c r="B995" s="253">
        <v>45123</v>
      </c>
      <c r="C995" s="298">
        <v>1733417.04</v>
      </c>
      <c r="D995" s="295">
        <f>'Bank Int.'!$C995*7.5%/360</f>
        <v>361.12854999999996</v>
      </c>
      <c r="E995" s="300">
        <v>8997288.7200000007</v>
      </c>
      <c r="F995" s="295">
        <f>'Bank Int.'!$E995*7.5%/360</f>
        <v>1874.43515</v>
      </c>
      <c r="G995" s="305">
        <v>628420.53</v>
      </c>
      <c r="H995" s="303">
        <f>'Bank Int.'!$G995*4.5%/360</f>
        <v>78.552566249999998</v>
      </c>
      <c r="I995" s="306">
        <v>722761.25</v>
      </c>
      <c r="J995" s="307">
        <f>'Bank Int.'!$I995*6.5%/360</f>
        <v>130.49855902777779</v>
      </c>
      <c r="K995" s="337"/>
      <c r="L995" s="307"/>
    </row>
    <row r="996" spans="1:12" ht="22.9" customHeight="1" x14ac:dyDescent="0.25">
      <c r="A996" s="257"/>
      <c r="B996" s="253">
        <v>45122</v>
      </c>
      <c r="C996" s="298">
        <v>1733417.04</v>
      </c>
      <c r="D996" s="295">
        <f>'Bank Int.'!$C996*7.5%/360</f>
        <v>361.12854999999996</v>
      </c>
      <c r="E996" s="300">
        <v>8997288.7200000007</v>
      </c>
      <c r="F996" s="295">
        <f>'Bank Int.'!$E996*7.5%/360</f>
        <v>1874.43515</v>
      </c>
      <c r="G996" s="305">
        <v>623420.53</v>
      </c>
      <c r="H996" s="303">
        <f>'Bank Int.'!$G996*4.5%/360</f>
        <v>77.927566249999998</v>
      </c>
      <c r="I996" s="306">
        <v>8789411.25</v>
      </c>
      <c r="J996" s="307">
        <f>'Bank Int.'!$I996*6.5%/360</f>
        <v>1586.9770312500002</v>
      </c>
      <c r="K996" s="337"/>
      <c r="L996" s="307"/>
    </row>
    <row r="997" spans="1:12" ht="22.9" customHeight="1" x14ac:dyDescent="0.25">
      <c r="A997" s="257"/>
      <c r="B997" s="253">
        <v>45121</v>
      </c>
      <c r="C997" s="298">
        <v>1733417.04</v>
      </c>
      <c r="D997" s="295">
        <f>'Bank Int.'!$C997*7.5%/360</f>
        <v>361.12854999999996</v>
      </c>
      <c r="E997" s="300">
        <v>8997288.7200000007</v>
      </c>
      <c r="F997" s="295">
        <f>'Bank Int.'!$E997*7.5%/360</f>
        <v>1874.43515</v>
      </c>
      <c r="G997" s="305">
        <v>623420.53</v>
      </c>
      <c r="H997" s="303">
        <f>'Bank Int.'!$G997*4.5%/360</f>
        <v>77.927566249999998</v>
      </c>
      <c r="I997" s="306">
        <v>8789411.25</v>
      </c>
      <c r="J997" s="307">
        <f>'Bank Int.'!$I997*6.5%/360</f>
        <v>1586.9770312500002</v>
      </c>
      <c r="K997" s="337"/>
      <c r="L997" s="307"/>
    </row>
    <row r="998" spans="1:12" ht="22.9" customHeight="1" x14ac:dyDescent="0.25">
      <c r="A998" s="257"/>
      <c r="B998" s="253">
        <v>45120</v>
      </c>
      <c r="C998" s="298">
        <v>1733417.04</v>
      </c>
      <c r="D998" s="295">
        <f>'Bank Int.'!$C998*7.5%/360</f>
        <v>361.12854999999996</v>
      </c>
      <c r="E998" s="300">
        <v>8997288.7200000007</v>
      </c>
      <c r="F998" s="295">
        <f>'Bank Int.'!$E998*7.5%/360</f>
        <v>1874.43515</v>
      </c>
      <c r="G998" s="305">
        <v>623420.53</v>
      </c>
      <c r="H998" s="303">
        <f>'Bank Int.'!$G998*4.5%/360</f>
        <v>77.927566249999998</v>
      </c>
      <c r="I998" s="306">
        <v>8789411.25</v>
      </c>
      <c r="J998" s="307">
        <f>'Bank Int.'!$I998*6.5%/360</f>
        <v>1586.9770312500002</v>
      </c>
      <c r="K998" s="337"/>
      <c r="L998" s="307"/>
    </row>
    <row r="999" spans="1:12" ht="22.9" customHeight="1" x14ac:dyDescent="0.25">
      <c r="A999" s="257"/>
      <c r="B999" s="253">
        <v>45119</v>
      </c>
      <c r="C999" s="298">
        <v>604505.91</v>
      </c>
      <c r="D999" s="295">
        <f>'Bank Int.'!$C999*7.5%/360</f>
        <v>125.93873125000002</v>
      </c>
      <c r="E999" s="300">
        <v>19191641.120000001</v>
      </c>
      <c r="F999" s="295">
        <f>'Bank Int.'!$E999*7.5%/360</f>
        <v>3998.2585666666669</v>
      </c>
      <c r="G999" s="305">
        <v>623420.53</v>
      </c>
      <c r="H999" s="303">
        <f>'Bank Int.'!$G999*4.5%/360</f>
        <v>77.927566249999998</v>
      </c>
      <c r="I999" s="306">
        <v>8789411.25</v>
      </c>
      <c r="J999" s="307">
        <f>'Bank Int.'!$I999*6.5%/360</f>
        <v>1586.9770312500002</v>
      </c>
      <c r="K999" s="337"/>
      <c r="L999" s="307"/>
    </row>
    <row r="1000" spans="1:12" ht="22.9" customHeight="1" x14ac:dyDescent="0.25">
      <c r="A1000" s="257"/>
      <c r="B1000" s="253">
        <v>45118</v>
      </c>
      <c r="C1000" s="298">
        <v>4565.91</v>
      </c>
      <c r="D1000" s="295">
        <f>'Bank Int.'!$C1000*7.5%/360</f>
        <v>0.95123124999999997</v>
      </c>
      <c r="E1000" s="300">
        <v>18464974.43</v>
      </c>
      <c r="F1000" s="295">
        <f>'Bank Int.'!$E1000*7.5%/360</f>
        <v>3846.8696729166668</v>
      </c>
      <c r="G1000" s="305">
        <v>623420.53</v>
      </c>
      <c r="H1000" s="303">
        <f>'Bank Int.'!$G1000*4.5%/360</f>
        <v>77.927566249999998</v>
      </c>
      <c r="I1000" s="306">
        <v>8789411.25</v>
      </c>
      <c r="J1000" s="307">
        <f>'Bank Int.'!$I1000*6.5%/360</f>
        <v>1586.9770312500002</v>
      </c>
      <c r="K1000" s="337"/>
      <c r="L1000" s="307"/>
    </row>
    <row r="1001" spans="1:12" ht="22.9" customHeight="1" x14ac:dyDescent="0.25">
      <c r="A1001" s="257"/>
      <c r="B1001" s="253">
        <v>45117</v>
      </c>
      <c r="C1001" s="298">
        <v>4565.91</v>
      </c>
      <c r="D1001" s="295">
        <f>'Bank Int.'!$C1001*7.5%/360</f>
        <v>0.95123124999999997</v>
      </c>
      <c r="E1001" s="300">
        <v>18005974.43</v>
      </c>
      <c r="F1001" s="295">
        <f>'Bank Int.'!$E1001*7.5%/360</f>
        <v>3751.2446729166668</v>
      </c>
      <c r="G1001" s="305">
        <v>623420.53</v>
      </c>
      <c r="H1001" s="303">
        <f>'Bank Int.'!$G1001*4.5%/360</f>
        <v>77.927566249999998</v>
      </c>
      <c r="I1001" s="306">
        <v>8789411.25</v>
      </c>
      <c r="J1001" s="307">
        <f>'Bank Int.'!$I1001*6.5%/360</f>
        <v>1586.9770312500002</v>
      </c>
      <c r="K1001" s="337"/>
      <c r="L1001" s="307"/>
    </row>
    <row r="1002" spans="1:12" ht="22.9" customHeight="1" x14ac:dyDescent="0.25">
      <c r="A1002" s="257"/>
      <c r="B1002" s="253">
        <v>45116</v>
      </c>
      <c r="C1002" s="298">
        <v>4625.91</v>
      </c>
      <c r="D1002" s="295">
        <f>'Bank Int.'!$C1002*7.5%/360</f>
        <v>0.96373124999999993</v>
      </c>
      <c r="E1002" s="300">
        <v>15955308.43</v>
      </c>
      <c r="F1002" s="295">
        <f>'Bank Int.'!$E1002*7.5%/360</f>
        <v>3324.0225895833332</v>
      </c>
      <c r="G1002" s="305">
        <v>623420.53</v>
      </c>
      <c r="H1002" s="303">
        <f>'Bank Int.'!$G1002*4.5%/360</f>
        <v>77.927566249999998</v>
      </c>
      <c r="I1002" s="306">
        <v>3789411.25</v>
      </c>
      <c r="J1002" s="307">
        <f>'Bank Int.'!$I1002*6.5%/360</f>
        <v>684.19925347222227</v>
      </c>
      <c r="K1002" s="337"/>
      <c r="L1002" s="307"/>
    </row>
    <row r="1003" spans="1:12" ht="22.9" customHeight="1" x14ac:dyDescent="0.25">
      <c r="A1003" s="257"/>
      <c r="B1003" s="253">
        <v>45115</v>
      </c>
      <c r="C1003" s="298">
        <v>4685.91</v>
      </c>
      <c r="D1003" s="295">
        <f>'Bank Int.'!$C1003*7.5%/360</f>
        <v>0.97623124999999988</v>
      </c>
      <c r="E1003" s="300">
        <v>8475.1200000000008</v>
      </c>
      <c r="F1003" s="295">
        <f>'Bank Int.'!$E1003*7.5%/360</f>
        <v>1.7656499999999999</v>
      </c>
      <c r="G1003" s="305">
        <v>623420.53</v>
      </c>
      <c r="H1003" s="303">
        <f>'Bank Int.'!$G1003*4.5%/360</f>
        <v>77.927566249999998</v>
      </c>
      <c r="I1003" s="306">
        <v>7049411.25</v>
      </c>
      <c r="J1003" s="307">
        <f>'Bank Int.'!$I1003*6.5%/360</f>
        <v>1272.8103645833335</v>
      </c>
      <c r="K1003" s="337"/>
      <c r="L1003" s="307"/>
    </row>
    <row r="1004" spans="1:12" ht="22.9" customHeight="1" x14ac:dyDescent="0.25">
      <c r="A1004" s="257"/>
      <c r="B1004" s="253">
        <v>45114</v>
      </c>
      <c r="C1004" s="298">
        <v>4685.91</v>
      </c>
      <c r="D1004" s="295">
        <f>'Bank Int.'!$C1004*7.5%/360</f>
        <v>0.97623124999999988</v>
      </c>
      <c r="E1004" s="300">
        <v>8475.1200000000008</v>
      </c>
      <c r="F1004" s="295">
        <f>'Bank Int.'!$E1004*7.5%/360</f>
        <v>1.7656499999999999</v>
      </c>
      <c r="G1004" s="305">
        <v>623420.53</v>
      </c>
      <c r="H1004" s="303">
        <f>'Bank Int.'!$G1004*4.5%/360</f>
        <v>77.927566249999998</v>
      </c>
      <c r="I1004" s="306">
        <v>7049411.25</v>
      </c>
      <c r="J1004" s="307">
        <f>'Bank Int.'!$I1004*6.5%/360</f>
        <v>1272.8103645833335</v>
      </c>
      <c r="K1004" s="337"/>
      <c r="L1004" s="307"/>
    </row>
    <row r="1005" spans="1:12" ht="22.9" customHeight="1" x14ac:dyDescent="0.25">
      <c r="A1005" s="257"/>
      <c r="B1005" s="253">
        <v>45113</v>
      </c>
      <c r="C1005" s="298">
        <v>764685.91</v>
      </c>
      <c r="D1005" s="295">
        <f>'Bank Int.'!$C1005*7.5%/360</f>
        <v>159.30956458333335</v>
      </c>
      <c r="E1005" s="300">
        <v>988475.12</v>
      </c>
      <c r="F1005" s="295">
        <f>'Bank Int.'!$E1005*7.5%/360</f>
        <v>205.93231666666665</v>
      </c>
      <c r="G1005" s="305">
        <v>623420.53</v>
      </c>
      <c r="H1005" s="303">
        <f>'Bank Int.'!$G1005*4.5%/360</f>
        <v>77.927566249999998</v>
      </c>
      <c r="I1005" s="306">
        <v>7049411.25</v>
      </c>
      <c r="J1005" s="307">
        <f>'Bank Int.'!$I1005*6.5%/360</f>
        <v>1272.8103645833335</v>
      </c>
      <c r="K1005" s="337"/>
      <c r="L1005" s="307"/>
    </row>
    <row r="1006" spans="1:12" ht="22.9" customHeight="1" x14ac:dyDescent="0.25">
      <c r="A1006" s="257"/>
      <c r="B1006" s="253">
        <v>45112</v>
      </c>
      <c r="C1006" s="298">
        <v>684685.91</v>
      </c>
      <c r="D1006" s="295">
        <f>'Bank Int.'!$C1006*7.5%/360</f>
        <v>142.64289791666667</v>
      </c>
      <c r="E1006" s="300">
        <v>988475.12</v>
      </c>
      <c r="F1006" s="295">
        <f>'Bank Int.'!$E1006*7.5%/360</f>
        <v>205.93231666666665</v>
      </c>
      <c r="G1006" s="305">
        <v>478420.53</v>
      </c>
      <c r="H1006" s="303">
        <f>'Bank Int.'!$G1006*4.5%/360</f>
        <v>59.802566249999998</v>
      </c>
      <c r="I1006" s="306">
        <v>7049411.25</v>
      </c>
      <c r="J1006" s="307">
        <f>'Bank Int.'!$I1006*6.5%/360</f>
        <v>1272.8103645833335</v>
      </c>
      <c r="K1006" s="337"/>
      <c r="L1006" s="307"/>
    </row>
    <row r="1007" spans="1:12" ht="22.9" customHeight="1" x14ac:dyDescent="0.25">
      <c r="A1007" s="257"/>
      <c r="B1007" s="253">
        <v>45111</v>
      </c>
      <c r="C1007" s="298">
        <v>484685.91</v>
      </c>
      <c r="D1007" s="295">
        <f>'Bank Int.'!$C1007*7.5%/360</f>
        <v>100.97623124999998</v>
      </c>
      <c r="E1007" s="300">
        <v>988475.12</v>
      </c>
      <c r="F1007" s="295">
        <f>'Bank Int.'!$E1007*7.5%/360</f>
        <v>205.93231666666665</v>
      </c>
      <c r="G1007" s="305">
        <v>393420.53</v>
      </c>
      <c r="H1007" s="303">
        <f>'Bank Int.'!$G1007*4.5%/360</f>
        <v>49.177566249999998</v>
      </c>
      <c r="I1007" s="306">
        <v>7049411.25</v>
      </c>
      <c r="J1007" s="307">
        <f>'Bank Int.'!$I1007*6.5%/360</f>
        <v>1272.8103645833335</v>
      </c>
      <c r="K1007" s="337"/>
      <c r="L1007" s="307"/>
    </row>
    <row r="1008" spans="1:12" ht="22.9" customHeight="1" x14ac:dyDescent="0.25">
      <c r="A1008" s="257"/>
      <c r="B1008" s="253">
        <v>45110</v>
      </c>
      <c r="C1008" s="298">
        <v>944685.91</v>
      </c>
      <c r="D1008" s="295">
        <f>'Bank Int.'!$C1008*7.5%/360</f>
        <v>196.80956458333333</v>
      </c>
      <c r="E1008" s="300">
        <v>1075506.8600000001</v>
      </c>
      <c r="F1008" s="295">
        <f>'Bank Int.'!$E1008*7.5%/360</f>
        <v>224.06392916666667</v>
      </c>
      <c r="G1008" s="305">
        <v>343420.53</v>
      </c>
      <c r="H1008" s="303">
        <f>'Bank Int.'!$G1008*4.5%/360</f>
        <v>42.927566250000005</v>
      </c>
      <c r="I1008" s="306">
        <v>7049411.25</v>
      </c>
      <c r="J1008" s="307">
        <f>'Bank Int.'!$I1008*6.5%/360</f>
        <v>1272.8103645833335</v>
      </c>
      <c r="K1008" s="337"/>
      <c r="L1008" s="307"/>
    </row>
    <row r="1009" spans="1:12" ht="22.9" customHeight="1" x14ac:dyDescent="0.25">
      <c r="A1009" s="257"/>
      <c r="B1009" s="253">
        <v>45109</v>
      </c>
      <c r="C1009" s="298">
        <v>944685.91</v>
      </c>
      <c r="D1009" s="295">
        <f>'Bank Int.'!$C1009*7.5%/360</f>
        <v>196.80956458333333</v>
      </c>
      <c r="E1009" s="300">
        <v>1075506.8600000001</v>
      </c>
      <c r="F1009" s="295">
        <f>'Bank Int.'!$E1009*7.5%/360</f>
        <v>224.06392916666667</v>
      </c>
      <c r="G1009" s="305">
        <v>343420.53</v>
      </c>
      <c r="H1009" s="303">
        <f>'Bank Int.'!$G1009*4.5%/360</f>
        <v>42.927566250000005</v>
      </c>
      <c r="I1009" s="306">
        <v>9411.25</v>
      </c>
      <c r="J1009" s="307">
        <f>'Bank Int.'!$I1009*6.5%/360</f>
        <v>1.6992534722222223</v>
      </c>
      <c r="K1009" s="337"/>
      <c r="L1009" s="307"/>
    </row>
    <row r="1010" spans="1:12" ht="22.9" customHeight="1" x14ac:dyDescent="0.25">
      <c r="A1010" s="257"/>
      <c r="B1010" s="253">
        <v>45108</v>
      </c>
      <c r="C1010" s="298">
        <v>944685.91</v>
      </c>
      <c r="D1010" s="295">
        <f>'Bank Int.'!$C1010*7.5%/360</f>
        <v>196.80956458333333</v>
      </c>
      <c r="E1010" s="300">
        <v>1075506.8600000001</v>
      </c>
      <c r="F1010" s="295">
        <f>'Bank Int.'!$E1010*7.5%/360</f>
        <v>224.06392916666667</v>
      </c>
      <c r="G1010" s="305">
        <v>343420.53</v>
      </c>
      <c r="H1010" s="303">
        <f>'Bank Int.'!$G1010*4.5%/360</f>
        <v>42.927566250000005</v>
      </c>
      <c r="I1010" s="306">
        <v>9411.25</v>
      </c>
      <c r="J1010" s="307">
        <f>'Bank Int.'!$I1010*6.5%/360</f>
        <v>1.6992534722222223</v>
      </c>
      <c r="K1010" s="337"/>
      <c r="L1010" s="307"/>
    </row>
    <row r="1011" spans="1:12" ht="22.9" customHeight="1" x14ac:dyDescent="0.25">
      <c r="A1011" s="257"/>
      <c r="B1011" s="253">
        <v>45107</v>
      </c>
      <c r="C1011" s="298">
        <v>944685.91</v>
      </c>
      <c r="D1011" s="295">
        <f>'Bank Int.'!$C1011*7.5%/360</f>
        <v>196.80956458333333</v>
      </c>
      <c r="E1011" s="300">
        <v>1075506.8600000001</v>
      </c>
      <c r="F1011" s="295">
        <f>'Bank Int.'!$E1011*7.5%/360</f>
        <v>224.06392916666667</v>
      </c>
      <c r="G1011" s="305">
        <v>215000</v>
      </c>
      <c r="H1011" s="303">
        <f>'Bank Int.'!$G1011*4.5%/360</f>
        <v>26.875</v>
      </c>
      <c r="I1011" s="306">
        <v>9411.25</v>
      </c>
      <c r="J1011" s="307">
        <f>'Bank Int.'!$I1011*6.5%/360</f>
        <v>1.6992534722222223</v>
      </c>
      <c r="K1011" s="337"/>
      <c r="L1011" s="307"/>
    </row>
    <row r="1012" spans="1:12" ht="22.9" customHeight="1" x14ac:dyDescent="0.25">
      <c r="A1012" s="257"/>
      <c r="B1012" s="253">
        <v>45106</v>
      </c>
      <c r="C1012" s="298">
        <v>944685.91</v>
      </c>
      <c r="D1012" s="295">
        <f>'Bank Int.'!$C1012*7.5%/360</f>
        <v>196.80956458333333</v>
      </c>
      <c r="E1012" s="300">
        <v>1075506.8600000001</v>
      </c>
      <c r="F1012" s="295">
        <f>'Bank Int.'!$E1012*7.5%/360</f>
        <v>224.06392916666667</v>
      </c>
      <c r="G1012" s="305">
        <v>215000</v>
      </c>
      <c r="H1012" s="303">
        <f>'Bank Int.'!$G1012*4.5%/360</f>
        <v>26.875</v>
      </c>
      <c r="I1012" s="306">
        <v>9411.25</v>
      </c>
      <c r="J1012" s="307">
        <f>'Bank Int.'!$I1012*6.5%/360</f>
        <v>1.6992534722222223</v>
      </c>
      <c r="K1012" s="337"/>
      <c r="L1012" s="307"/>
    </row>
    <row r="1013" spans="1:12" ht="22.9" customHeight="1" x14ac:dyDescent="0.25">
      <c r="A1013" s="257"/>
      <c r="B1013" s="253">
        <v>45105</v>
      </c>
      <c r="C1013" s="298">
        <v>944685.91</v>
      </c>
      <c r="D1013" s="295">
        <f>'Bank Int.'!$C1013*7.5%/360</f>
        <v>196.80956458333333</v>
      </c>
      <c r="E1013" s="300">
        <v>1075506.8600000001</v>
      </c>
      <c r="F1013" s="295">
        <f>'Bank Int.'!$E1013*7.5%/360</f>
        <v>224.06392916666667</v>
      </c>
      <c r="G1013" s="305">
        <v>215000</v>
      </c>
      <c r="H1013" s="303">
        <f>'Bank Int.'!$G1013*4.5%/360</f>
        <v>26.875</v>
      </c>
      <c r="I1013" s="306">
        <v>9411.25</v>
      </c>
      <c r="J1013" s="307">
        <f>'Bank Int.'!$I1013*6.5%/360</f>
        <v>1.6992534722222223</v>
      </c>
      <c r="K1013" s="337"/>
      <c r="L1013" s="307"/>
    </row>
    <row r="1014" spans="1:12" ht="22.9" customHeight="1" x14ac:dyDescent="0.25">
      <c r="A1014" s="257"/>
      <c r="B1014" s="253">
        <v>45104</v>
      </c>
      <c r="C1014" s="298">
        <v>945260.91</v>
      </c>
      <c r="D1014" s="295">
        <f>'Bank Int.'!$C1014*7.5%/360</f>
        <v>196.92935624999998</v>
      </c>
      <c r="E1014" s="300">
        <v>1075851.8600000001</v>
      </c>
      <c r="F1014" s="295">
        <f>'Bank Int.'!$E1014*7.5%/360</f>
        <v>224.13580416666667</v>
      </c>
      <c r="G1014" s="305">
        <v>215000</v>
      </c>
      <c r="H1014" s="303">
        <f>'Bank Int.'!$G1014*4.5%/360</f>
        <v>26.875</v>
      </c>
      <c r="I1014" s="306">
        <v>9698.75</v>
      </c>
      <c r="J1014" s="307">
        <f>'Bank Int.'!$I1014*6.5%/360</f>
        <v>1.7511631944444446</v>
      </c>
      <c r="K1014" s="337"/>
      <c r="L1014" s="307"/>
    </row>
    <row r="1015" spans="1:12" ht="22.9" customHeight="1" x14ac:dyDescent="0.25">
      <c r="A1015" s="257"/>
      <c r="B1015" s="253">
        <v>45103</v>
      </c>
      <c r="C1015" s="298">
        <v>945260.91</v>
      </c>
      <c r="D1015" s="295">
        <f>'Bank Int.'!$C1015*7.5%/360</f>
        <v>196.92935624999998</v>
      </c>
      <c r="E1015" s="300">
        <v>1075851.8600000001</v>
      </c>
      <c r="F1015" s="295">
        <f>'Bank Int.'!$E1015*7.5%/360</f>
        <v>224.13580416666667</v>
      </c>
      <c r="G1015" s="305">
        <v>215000</v>
      </c>
      <c r="H1015" s="303">
        <f>'Bank Int.'!$G1015*4.5%/360</f>
        <v>26.875</v>
      </c>
      <c r="I1015" s="306">
        <v>9698.75</v>
      </c>
      <c r="J1015" s="307">
        <f>'Bank Int.'!$I1015*6.5%/360</f>
        <v>1.7511631944444446</v>
      </c>
      <c r="K1015" s="337"/>
      <c r="L1015" s="307"/>
    </row>
    <row r="1016" spans="1:12" ht="22.9" customHeight="1" x14ac:dyDescent="0.25">
      <c r="A1016" s="257"/>
      <c r="B1016" s="253">
        <v>45102</v>
      </c>
      <c r="C1016" s="298">
        <v>5447246.9100000001</v>
      </c>
      <c r="D1016" s="295">
        <f>'Bank Int.'!$C1016*7.5%/360</f>
        <v>1134.8431062500001</v>
      </c>
      <c r="E1016" s="300">
        <v>5048999.8600000003</v>
      </c>
      <c r="F1016" s="295">
        <f>'Bank Int.'!$E1016*7.5%/360</f>
        <v>1051.8749708333335</v>
      </c>
      <c r="G1016" s="305">
        <v>165000</v>
      </c>
      <c r="H1016" s="303">
        <f>'Bank Int.'!$G1016*4.5%/360</f>
        <v>20.625</v>
      </c>
      <c r="I1016" s="306">
        <v>3609698.75</v>
      </c>
      <c r="J1016" s="307">
        <f>'Bank Int.'!$I1016*6.5%/360</f>
        <v>651.75116319444453</v>
      </c>
      <c r="K1016" s="337"/>
      <c r="L1016" s="307"/>
    </row>
    <row r="1017" spans="1:12" ht="22.9" customHeight="1" x14ac:dyDescent="0.25">
      <c r="A1017" s="257"/>
      <c r="B1017" s="253">
        <v>45101</v>
      </c>
      <c r="C1017" s="298">
        <v>6347376.9100000001</v>
      </c>
      <c r="D1017" s="295">
        <f>'Bank Int.'!$C1017*7.5%/360</f>
        <v>1322.3701895833333</v>
      </c>
      <c r="E1017" s="300">
        <v>139309.85999999999</v>
      </c>
      <c r="F1017" s="295">
        <f>'Bank Int.'!$E1017*7.5%/360</f>
        <v>29.022887499999992</v>
      </c>
      <c r="G1017" s="305">
        <v>15000</v>
      </c>
      <c r="H1017" s="303">
        <f>'Bank Int.'!$G1017*4.5%/360</f>
        <v>1.875</v>
      </c>
      <c r="I1017" s="306">
        <v>9698.75</v>
      </c>
      <c r="J1017" s="307">
        <f>'Bank Int.'!$I1017*6.5%/360</f>
        <v>1.7511631944444446</v>
      </c>
      <c r="K1017" s="337"/>
      <c r="L1017" s="307"/>
    </row>
    <row r="1018" spans="1:12" ht="22.9" customHeight="1" x14ac:dyDescent="0.25">
      <c r="A1018" s="257"/>
      <c r="B1018" s="253">
        <v>45100</v>
      </c>
      <c r="C1018" s="298">
        <v>6097376.9100000001</v>
      </c>
      <c r="D1018" s="295">
        <f>'Bank Int.'!$C1018*7.5%/360</f>
        <v>1270.28685625</v>
      </c>
      <c r="E1018" s="300">
        <v>139309.85999999999</v>
      </c>
      <c r="F1018" s="295">
        <f>'Bank Int.'!$E1018*7.5%/360</f>
        <v>29.022887499999992</v>
      </c>
      <c r="G1018" s="305">
        <v>15000</v>
      </c>
      <c r="H1018" s="303">
        <f>'Bank Int.'!$G1018*4.5%/360</f>
        <v>1.875</v>
      </c>
      <c r="I1018" s="306">
        <v>9698.75</v>
      </c>
      <c r="J1018" s="307">
        <f>'Bank Int.'!$I1018*6.5%/360</f>
        <v>1.7511631944444446</v>
      </c>
      <c r="K1018" s="337"/>
      <c r="L1018" s="307"/>
    </row>
    <row r="1019" spans="1:12" ht="22.9" customHeight="1" x14ac:dyDescent="0.25">
      <c r="A1019" s="257"/>
      <c r="B1019" s="253">
        <v>45099</v>
      </c>
      <c r="C1019" s="298">
        <v>6097376.9100000001</v>
      </c>
      <c r="D1019" s="295">
        <f>'Bank Int.'!$C1019*7.5%/360</f>
        <v>1270.28685625</v>
      </c>
      <c r="E1019" s="300">
        <v>139309.85999999999</v>
      </c>
      <c r="F1019" s="295">
        <f>'Bank Int.'!$E1019*7.5%/360</f>
        <v>29.022887499999992</v>
      </c>
      <c r="G1019" s="305">
        <v>15000</v>
      </c>
      <c r="H1019" s="303">
        <f>'Bank Int.'!$G1019*4.5%/360</f>
        <v>1.875</v>
      </c>
      <c r="I1019" s="306">
        <v>9698.75</v>
      </c>
      <c r="J1019" s="307">
        <f>'Bank Int.'!$I1019*6.5%/360</f>
        <v>1.7511631944444446</v>
      </c>
      <c r="K1019" s="337"/>
      <c r="L1019" s="307"/>
    </row>
    <row r="1020" spans="1:12" ht="22.9" customHeight="1" x14ac:dyDescent="0.25">
      <c r="A1020" s="257"/>
      <c r="B1020" s="253">
        <v>45098</v>
      </c>
      <c r="C1020" s="298">
        <v>4747411.91</v>
      </c>
      <c r="D1020" s="295">
        <f>'Bank Int.'!$C1020*7.5%/360</f>
        <v>989.0441479166667</v>
      </c>
      <c r="E1020" s="300">
        <v>159309.85999999999</v>
      </c>
      <c r="F1020" s="295">
        <f>'Bank Int.'!$E1020*7.5%/360</f>
        <v>33.18955416666666</v>
      </c>
      <c r="G1020" s="305">
        <v>15000</v>
      </c>
      <c r="H1020" s="303">
        <f>'Bank Int.'!$G1020*4.5%/360</f>
        <v>1.875</v>
      </c>
      <c r="I1020" s="306">
        <v>9698.75</v>
      </c>
      <c r="J1020" s="307">
        <f>'Bank Int.'!$I1020*6.5%/360</f>
        <v>1.7511631944444446</v>
      </c>
      <c r="K1020" s="337"/>
      <c r="L1020" s="307"/>
    </row>
    <row r="1021" spans="1:12" ht="22.9" customHeight="1" x14ac:dyDescent="0.25">
      <c r="A1021" s="257"/>
      <c r="B1021" s="253">
        <v>45097</v>
      </c>
      <c r="C1021" s="298">
        <v>2907456.91</v>
      </c>
      <c r="D1021" s="295">
        <f>'Bank Int.'!$C1021*7.5%/360</f>
        <v>605.72018958333331</v>
      </c>
      <c r="E1021" s="300">
        <v>159309.85999999999</v>
      </c>
      <c r="F1021" s="295">
        <f>'Bank Int.'!$E1021*7.5%/360</f>
        <v>33.18955416666666</v>
      </c>
      <c r="G1021" s="305">
        <v>15000</v>
      </c>
      <c r="H1021" s="303">
        <f>'Bank Int.'!$G1021*4.5%/360</f>
        <v>1.875</v>
      </c>
      <c r="I1021" s="306">
        <v>9698.75</v>
      </c>
      <c r="J1021" s="307">
        <f>'Bank Int.'!$I1021*6.5%/360</f>
        <v>1.7511631944444446</v>
      </c>
      <c r="K1021" s="337"/>
      <c r="L1021" s="307"/>
    </row>
    <row r="1022" spans="1:12" ht="22.9" customHeight="1" x14ac:dyDescent="0.25">
      <c r="A1022" s="257"/>
      <c r="B1022" s="253">
        <v>45096</v>
      </c>
      <c r="C1022" s="298">
        <v>67551.91</v>
      </c>
      <c r="D1022" s="295">
        <f>'Bank Int.'!$C1022*7.5%/360</f>
        <v>14.073314583333334</v>
      </c>
      <c r="E1022" s="300">
        <v>159309.85999999999</v>
      </c>
      <c r="F1022" s="295">
        <f>'Bank Int.'!$E1022*7.5%/360</f>
        <v>33.18955416666666</v>
      </c>
      <c r="G1022" s="305">
        <v>15000</v>
      </c>
      <c r="H1022" s="303">
        <f>'Bank Int.'!$G1022*4.5%/360</f>
        <v>1.875</v>
      </c>
      <c r="I1022" s="306">
        <v>9698.75</v>
      </c>
      <c r="J1022" s="307">
        <f>'Bank Int.'!$I1022*6.5%/360</f>
        <v>1.7511631944444446</v>
      </c>
      <c r="K1022" s="337"/>
      <c r="L1022" s="307"/>
    </row>
    <row r="1023" spans="1:12" ht="22.9" customHeight="1" x14ac:dyDescent="0.25">
      <c r="A1023" s="257"/>
      <c r="B1023" s="253">
        <v>45095</v>
      </c>
      <c r="C1023" s="298">
        <v>667551.91</v>
      </c>
      <c r="D1023" s="295">
        <f>'Bank Int.'!$C1023*7.5%/360</f>
        <v>139.07331458333334</v>
      </c>
      <c r="E1023" s="300">
        <v>616.72</v>
      </c>
      <c r="F1023" s="295">
        <f>'Bank Int.'!$E1023*7.5%/360</f>
        <v>0.12848333333333334</v>
      </c>
      <c r="G1023" s="305">
        <v>10000</v>
      </c>
      <c r="H1023" s="303">
        <f>'Bank Int.'!$G1023*4.5%/360</f>
        <v>1.25</v>
      </c>
      <c r="I1023" s="306">
        <v>9698.75</v>
      </c>
      <c r="J1023" s="307">
        <f>'Bank Int.'!$I1023*6.5%/360</f>
        <v>1.7511631944444446</v>
      </c>
      <c r="K1023" s="337"/>
      <c r="L1023" s="307"/>
    </row>
    <row r="1024" spans="1:12" ht="22.9" customHeight="1" x14ac:dyDescent="0.25">
      <c r="A1024" s="257"/>
      <c r="B1024" s="253">
        <v>45094</v>
      </c>
      <c r="C1024" s="298">
        <v>567551.91</v>
      </c>
      <c r="D1024" s="295">
        <f>'Bank Int.'!$C1024*7.5%/360</f>
        <v>118.23998125</v>
      </c>
      <c r="E1024" s="300">
        <v>616.72</v>
      </c>
      <c r="F1024" s="295">
        <f>'Bank Int.'!$E1024*7.5%/360</f>
        <v>0.12848333333333334</v>
      </c>
      <c r="G1024" s="305">
        <v>0</v>
      </c>
      <c r="H1024" s="303">
        <f>'Bank Int.'!$G1024*4.5%/360</f>
        <v>0</v>
      </c>
      <c r="I1024" s="306">
        <v>9698.75</v>
      </c>
      <c r="J1024" s="307">
        <f>'Bank Int.'!$I1024*6.5%/360</f>
        <v>1.7511631944444446</v>
      </c>
      <c r="K1024" s="337"/>
      <c r="L1024" s="307"/>
    </row>
    <row r="1025" spans="1:12" ht="22.9" customHeight="1" x14ac:dyDescent="0.25">
      <c r="A1025" s="257"/>
      <c r="B1025" s="253">
        <v>45093</v>
      </c>
      <c r="C1025" s="298">
        <v>567551.91</v>
      </c>
      <c r="D1025" s="295">
        <f>'Bank Int.'!$C1025*7.5%/360</f>
        <v>118.23998125</v>
      </c>
      <c r="E1025" s="300">
        <v>616.72</v>
      </c>
      <c r="F1025" s="295">
        <f>'Bank Int.'!$E1025*7.5%/360</f>
        <v>0.12848333333333334</v>
      </c>
      <c r="G1025" s="305">
        <v>0</v>
      </c>
      <c r="H1025" s="303">
        <f>'Bank Int.'!$G1025*4.5%/360</f>
        <v>0</v>
      </c>
      <c r="I1025" s="306">
        <v>9698.75</v>
      </c>
      <c r="J1025" s="307">
        <f>'Bank Int.'!$I1025*6.5%/360</f>
        <v>1.7511631944444446</v>
      </c>
      <c r="K1025" s="337"/>
      <c r="L1025" s="307"/>
    </row>
    <row r="1026" spans="1:12" ht="22.9" customHeight="1" x14ac:dyDescent="0.25">
      <c r="A1026" s="257"/>
      <c r="B1026" s="253">
        <v>45092</v>
      </c>
      <c r="C1026" s="298">
        <v>567551.91</v>
      </c>
      <c r="D1026" s="295">
        <f>'Bank Int.'!$C1026*7.5%/360</f>
        <v>118.23998125</v>
      </c>
      <c r="E1026" s="300">
        <v>616.72</v>
      </c>
      <c r="F1026" s="295">
        <f>'Bank Int.'!$E1026*7.5%/360</f>
        <v>0.12848333333333334</v>
      </c>
      <c r="G1026" s="305">
        <v>0</v>
      </c>
      <c r="H1026" s="303">
        <f>'Bank Int.'!$G1026*4.5%/360</f>
        <v>0</v>
      </c>
      <c r="I1026" s="306">
        <v>9698.75</v>
      </c>
      <c r="J1026" s="307">
        <f>'Bank Int.'!$I1026*6.5%/360</f>
        <v>1.7511631944444446</v>
      </c>
      <c r="K1026" s="337"/>
      <c r="L1026" s="307"/>
    </row>
    <row r="1027" spans="1:12" ht="22.9" customHeight="1" x14ac:dyDescent="0.25">
      <c r="A1027" s="257"/>
      <c r="B1027" s="253">
        <v>45091</v>
      </c>
      <c r="C1027" s="298">
        <v>17561.91</v>
      </c>
      <c r="D1027" s="295">
        <f>'Bank Int.'!$C1027*7.5%/360</f>
        <v>3.6587312499999998</v>
      </c>
      <c r="E1027" s="300">
        <v>616.72</v>
      </c>
      <c r="F1027" s="295">
        <f>'Bank Int.'!$E1027*7.5%/360</f>
        <v>0.12848333333333334</v>
      </c>
      <c r="G1027" s="305">
        <v>0</v>
      </c>
      <c r="H1027" s="303">
        <f>'Bank Int.'!$G1027*4.5%/360</f>
        <v>0</v>
      </c>
      <c r="I1027" s="306">
        <v>9698.75</v>
      </c>
      <c r="J1027" s="307">
        <f>'Bank Int.'!$I1027*6.5%/360</f>
        <v>1.7511631944444446</v>
      </c>
      <c r="K1027" s="337"/>
      <c r="L1027" s="307"/>
    </row>
    <row r="1028" spans="1:12" ht="22.9" customHeight="1" x14ac:dyDescent="0.25">
      <c r="A1028" s="257"/>
      <c r="B1028" s="253">
        <v>45090</v>
      </c>
      <c r="C1028" s="298">
        <v>2750321.91</v>
      </c>
      <c r="D1028" s="295">
        <f>'Bank Int.'!$C1028*7.5%/360</f>
        <v>572.98373125000001</v>
      </c>
      <c r="E1028" s="300">
        <v>452431.72</v>
      </c>
      <c r="F1028" s="295">
        <f>'Bank Int.'!$E1028*7.5%/360</f>
        <v>94.256608333333318</v>
      </c>
      <c r="G1028" s="305">
        <v>0</v>
      </c>
      <c r="H1028" s="303">
        <f>'Bank Int.'!$G1028*4.5%/360</f>
        <v>0</v>
      </c>
      <c r="I1028" s="306">
        <v>9698.75</v>
      </c>
      <c r="J1028" s="307">
        <f>'Bank Int.'!$I1028*6.5%/360</f>
        <v>1.7511631944444446</v>
      </c>
      <c r="K1028" s="337"/>
      <c r="L1028" s="307"/>
    </row>
    <row r="1029" spans="1:12" ht="22.9" customHeight="1" x14ac:dyDescent="0.25">
      <c r="A1029" s="257"/>
      <c r="B1029" s="253">
        <v>45089</v>
      </c>
      <c r="C1029" s="298">
        <v>2390381.91</v>
      </c>
      <c r="D1029" s="295">
        <f>'Bank Int.'!$C1029*7.5%/360</f>
        <v>497.99623124999999</v>
      </c>
      <c r="E1029" s="300">
        <v>452431.72</v>
      </c>
      <c r="F1029" s="295">
        <f>'Bank Int.'!$E1029*7.5%/360</f>
        <v>94.256608333333318</v>
      </c>
      <c r="G1029" s="305">
        <v>15540</v>
      </c>
      <c r="H1029" s="303">
        <f>'Bank Int.'!$G1029*4.5%/360</f>
        <v>1.9424999999999999</v>
      </c>
      <c r="I1029" s="306">
        <v>9698.75</v>
      </c>
      <c r="J1029" s="307">
        <f>'Bank Int.'!$I1029*6.5%/360</f>
        <v>1.7511631944444446</v>
      </c>
      <c r="K1029" s="337"/>
      <c r="L1029" s="307"/>
    </row>
    <row r="1030" spans="1:12" ht="22.9" customHeight="1" x14ac:dyDescent="0.25">
      <c r="A1030" s="257"/>
      <c r="B1030" s="253">
        <v>45088</v>
      </c>
      <c r="C1030" s="298">
        <v>3423970.11</v>
      </c>
      <c r="D1030" s="295">
        <f>'Bank Int.'!$C1030*7.5%/360</f>
        <v>713.32710624999993</v>
      </c>
      <c r="E1030" s="300">
        <v>8128.91</v>
      </c>
      <c r="F1030" s="295">
        <f>'Bank Int.'!$E1030*7.5%/360</f>
        <v>1.6935229166666665</v>
      </c>
      <c r="G1030" s="305">
        <v>15540</v>
      </c>
      <c r="H1030" s="303">
        <f>'Bank Int.'!$G1030*4.5%/360</f>
        <v>1.9424999999999999</v>
      </c>
      <c r="I1030" s="306">
        <v>9698.75</v>
      </c>
      <c r="J1030" s="307">
        <f>'Bank Int.'!$I1030*6.5%/360</f>
        <v>1.7511631944444446</v>
      </c>
      <c r="K1030" s="337"/>
      <c r="L1030" s="307"/>
    </row>
    <row r="1031" spans="1:12" ht="22.9" customHeight="1" x14ac:dyDescent="0.25">
      <c r="A1031" s="257"/>
      <c r="B1031" s="253">
        <v>45087</v>
      </c>
      <c r="C1031" s="298">
        <v>424150.11</v>
      </c>
      <c r="D1031" s="295">
        <f>'Bank Int.'!$C1031*7.5%/360</f>
        <v>88.364606249999994</v>
      </c>
      <c r="E1031" s="300">
        <v>8128.91</v>
      </c>
      <c r="F1031" s="295">
        <f>'Bank Int.'!$E1031*7.5%/360</f>
        <v>1.6935229166666665</v>
      </c>
      <c r="G1031" s="305">
        <v>10540</v>
      </c>
      <c r="H1031" s="303">
        <f>'Bank Int.'!$G1031*4.5%/360</f>
        <v>1.3174999999999999</v>
      </c>
      <c r="I1031" s="306">
        <v>9698.75</v>
      </c>
      <c r="J1031" s="307">
        <f>'Bank Int.'!$I1031*6.5%/360</f>
        <v>1.7511631944444446</v>
      </c>
      <c r="K1031" s="337"/>
      <c r="L1031" s="307"/>
    </row>
    <row r="1032" spans="1:12" ht="22.9" customHeight="1" x14ac:dyDescent="0.25">
      <c r="A1032" s="257"/>
      <c r="B1032" s="253">
        <v>45086</v>
      </c>
      <c r="C1032" s="298">
        <v>424150.11</v>
      </c>
      <c r="D1032" s="295">
        <f>'Bank Int.'!$C1032*7.5%/360</f>
        <v>88.364606249999994</v>
      </c>
      <c r="E1032" s="300">
        <v>8128.91</v>
      </c>
      <c r="F1032" s="295">
        <f>'Bank Int.'!$E1032*7.5%/360</f>
        <v>1.6935229166666665</v>
      </c>
      <c r="G1032" s="305">
        <v>10540</v>
      </c>
      <c r="H1032" s="303">
        <f>'Bank Int.'!$G1032*4.5%/360</f>
        <v>1.3174999999999999</v>
      </c>
      <c r="I1032" s="306">
        <v>9698.75</v>
      </c>
      <c r="J1032" s="307">
        <f>'Bank Int.'!$I1032*6.5%/360</f>
        <v>1.7511631944444446</v>
      </c>
      <c r="K1032" s="337"/>
      <c r="L1032" s="307"/>
    </row>
    <row r="1033" spans="1:12" ht="22.9" customHeight="1" x14ac:dyDescent="0.25">
      <c r="A1033" s="257"/>
      <c r="B1033" s="253">
        <v>45085</v>
      </c>
      <c r="C1033" s="298">
        <v>424150.11</v>
      </c>
      <c r="D1033" s="295">
        <f>'Bank Int.'!$C1033*7.5%/360</f>
        <v>88.364606249999994</v>
      </c>
      <c r="E1033" s="300">
        <v>8128.91</v>
      </c>
      <c r="F1033" s="295">
        <f>'Bank Int.'!$E1033*7.5%/360</f>
        <v>1.6935229166666665</v>
      </c>
      <c r="G1033" s="305">
        <v>10540</v>
      </c>
      <c r="H1033" s="303">
        <f>'Bank Int.'!$G1033*4.5%/360</f>
        <v>1.3174999999999999</v>
      </c>
      <c r="I1033" s="306">
        <v>9698.75</v>
      </c>
      <c r="J1033" s="307">
        <f>'Bank Int.'!$I1033*6.5%/360</f>
        <v>1.7511631944444446</v>
      </c>
      <c r="K1033" s="337"/>
      <c r="L1033" s="307"/>
    </row>
    <row r="1034" spans="1:12" ht="22.9" customHeight="1" x14ac:dyDescent="0.25">
      <c r="A1034" s="257"/>
      <c r="B1034" s="253">
        <v>45084</v>
      </c>
      <c r="C1034" s="298">
        <v>1727420.11</v>
      </c>
      <c r="D1034" s="295">
        <f>'Bank Int.'!$C1034*7.5%/360</f>
        <v>359.87918958333336</v>
      </c>
      <c r="E1034" s="300">
        <v>8128.91</v>
      </c>
      <c r="F1034" s="295">
        <f>'Bank Int.'!$E1034*7.5%/360</f>
        <v>1.6935229166666665</v>
      </c>
      <c r="G1034" s="305">
        <v>357540</v>
      </c>
      <c r="H1034" s="303">
        <f>'Bank Int.'!$G1034*4.5%/360</f>
        <v>44.692499999999995</v>
      </c>
      <c r="I1034" s="306">
        <v>3180000</v>
      </c>
      <c r="J1034" s="307">
        <f>'Bank Int.'!$I1034*6.5%/360</f>
        <v>574.16666666666663</v>
      </c>
      <c r="K1034" s="337"/>
      <c r="L1034" s="307"/>
    </row>
    <row r="1035" spans="1:12" ht="22.9" customHeight="1" x14ac:dyDescent="0.25">
      <c r="A1035" s="257"/>
      <c r="B1035" s="253">
        <v>45083</v>
      </c>
      <c r="C1035" s="298">
        <v>1727420.11</v>
      </c>
      <c r="D1035" s="295">
        <f>'Bank Int.'!$C1035*7.5%/360</f>
        <v>359.87918958333336</v>
      </c>
      <c r="E1035" s="300">
        <v>8128.91</v>
      </c>
      <c r="F1035" s="295">
        <f>'Bank Int.'!$E1035*7.5%/360</f>
        <v>1.6935229166666665</v>
      </c>
      <c r="G1035" s="305">
        <v>357540</v>
      </c>
      <c r="H1035" s="303">
        <f>'Bank Int.'!$G1035*4.5%/360</f>
        <v>44.692499999999995</v>
      </c>
      <c r="I1035" s="306">
        <v>3180000</v>
      </c>
      <c r="J1035" s="307">
        <f>'Bank Int.'!$I1035*6.5%/360</f>
        <v>574.16666666666663</v>
      </c>
      <c r="K1035" s="337"/>
      <c r="L1035" s="307"/>
    </row>
    <row r="1036" spans="1:12" ht="22.9" customHeight="1" x14ac:dyDescent="0.25">
      <c r="A1036" s="257"/>
      <c r="B1036" s="253">
        <v>45082</v>
      </c>
      <c r="C1036" s="298">
        <v>1077440.1100000001</v>
      </c>
      <c r="D1036" s="295">
        <f>'Bank Int.'!$C1036*7.5%/360</f>
        <v>224.46668958333333</v>
      </c>
      <c r="E1036" s="300">
        <v>8128.91</v>
      </c>
      <c r="F1036" s="295">
        <f>'Bank Int.'!$E1036*7.5%/360</f>
        <v>1.6935229166666665</v>
      </c>
      <c r="G1036" s="305">
        <v>217540</v>
      </c>
      <c r="H1036" s="303">
        <f>'Bank Int.'!$G1036*4.5%/360</f>
        <v>27.192499999999999</v>
      </c>
      <c r="I1036" s="306">
        <v>3180000</v>
      </c>
      <c r="J1036" s="307">
        <f>'Bank Int.'!$I1036*6.5%/360</f>
        <v>574.16666666666663</v>
      </c>
      <c r="K1036" s="337"/>
      <c r="L1036" s="307"/>
    </row>
    <row r="1037" spans="1:12" ht="22.9" customHeight="1" x14ac:dyDescent="0.25">
      <c r="A1037" s="257"/>
      <c r="B1037" s="253">
        <v>45081</v>
      </c>
      <c r="C1037" s="298">
        <v>2077440.11</v>
      </c>
      <c r="D1037" s="295">
        <f>'Bank Int.'!$C1037*7.5%/360</f>
        <v>432.80002291666671</v>
      </c>
      <c r="E1037" s="300">
        <v>2188228.91</v>
      </c>
      <c r="F1037" s="295">
        <f>'Bank Int.'!$E1037*7.5%/360</f>
        <v>455.88102291666672</v>
      </c>
      <c r="G1037" s="305">
        <v>82540</v>
      </c>
      <c r="H1037" s="303">
        <f>'Bank Int.'!$G1037*4.5%/360</f>
        <v>10.317499999999999</v>
      </c>
      <c r="I1037" s="254"/>
      <c r="J1037" s="307">
        <f>'Bank Int.'!$I1037*6.5%/360</f>
        <v>0</v>
      </c>
      <c r="K1037" s="337"/>
      <c r="L1037" s="307"/>
    </row>
    <row r="1038" spans="1:12" ht="22.9" customHeight="1" x14ac:dyDescent="0.25">
      <c r="A1038" s="257"/>
      <c r="B1038" s="253">
        <v>45080</v>
      </c>
      <c r="C1038" s="298">
        <v>2077440.11</v>
      </c>
      <c r="D1038" s="295">
        <f>'Bank Int.'!$C1038*7.5%/360</f>
        <v>432.80002291666671</v>
      </c>
      <c r="E1038" s="300">
        <v>2188228.91</v>
      </c>
      <c r="F1038" s="295">
        <f>'Bank Int.'!$E1038*7.5%/360</f>
        <v>455.88102291666672</v>
      </c>
      <c r="G1038" s="305">
        <v>82540</v>
      </c>
      <c r="H1038" s="303">
        <f>'Bank Int.'!$G1038*4.5%/360</f>
        <v>10.317499999999999</v>
      </c>
      <c r="I1038" s="254"/>
      <c r="J1038" s="307">
        <f>'Bank Int.'!$I1038*6.5%/360</f>
        <v>0</v>
      </c>
      <c r="K1038" s="337"/>
      <c r="L1038" s="307"/>
    </row>
    <row r="1039" spans="1:12" ht="22.9" customHeight="1" x14ac:dyDescent="0.25">
      <c r="A1039" s="257"/>
      <c r="B1039" s="253">
        <v>45079</v>
      </c>
      <c r="C1039" s="298">
        <v>2077440.11</v>
      </c>
      <c r="D1039" s="295">
        <f>'Bank Int.'!$C1039*7.5%/360</f>
        <v>432.80002291666671</v>
      </c>
      <c r="E1039" s="300">
        <v>2188228.91</v>
      </c>
      <c r="F1039" s="295">
        <f>'Bank Int.'!$E1039*7.5%/360</f>
        <v>455.88102291666672</v>
      </c>
      <c r="G1039" s="305">
        <v>82540</v>
      </c>
      <c r="H1039" s="303">
        <f>'Bank Int.'!$G1039*4.5%/360</f>
        <v>10.317499999999999</v>
      </c>
      <c r="I1039" s="254"/>
      <c r="J1039" s="307">
        <f>'Bank Int.'!$I1039*6.5%/360</f>
        <v>0</v>
      </c>
      <c r="K1039" s="337"/>
      <c r="L1039" s="307"/>
    </row>
    <row r="1040" spans="1:12" ht="22.9" customHeight="1" x14ac:dyDescent="0.25">
      <c r="A1040" s="257"/>
      <c r="B1040" s="253">
        <v>45078</v>
      </c>
      <c r="C1040" s="298">
        <v>2077440.11</v>
      </c>
      <c r="D1040" s="295">
        <f>'Bank Int.'!$C1040*7.5%/360</f>
        <v>432.80002291666671</v>
      </c>
      <c r="E1040" s="300">
        <v>2188228.91</v>
      </c>
      <c r="F1040" s="295">
        <f>'Bank Int.'!$E1040*7.5%/360</f>
        <v>455.88102291666672</v>
      </c>
      <c r="G1040" s="305">
        <v>82540</v>
      </c>
      <c r="H1040" s="303">
        <f>'Bank Int.'!$G1040*4.5%/360</f>
        <v>10.317499999999999</v>
      </c>
      <c r="I1040" s="254"/>
      <c r="J1040" s="307">
        <f>'Bank Int.'!$I1040*6.5%/360</f>
        <v>0</v>
      </c>
      <c r="K1040" s="337"/>
      <c r="L1040" s="307"/>
    </row>
    <row r="1041" spans="1:12" ht="22.9" customHeight="1" x14ac:dyDescent="0.25">
      <c r="A1041" s="257"/>
      <c r="B1041" s="253">
        <v>45077</v>
      </c>
      <c r="C1041" s="298">
        <v>537500.11</v>
      </c>
      <c r="D1041" s="295">
        <f>'Bank Int.'!$C1041*7.5%/360</f>
        <v>111.97918958333334</v>
      </c>
      <c r="E1041" s="300">
        <v>2188228.91</v>
      </c>
      <c r="F1041" s="295">
        <f>'Bank Int.'!$E1041*7.5%/360</f>
        <v>455.88102291666672</v>
      </c>
      <c r="G1041" s="305">
        <v>67540</v>
      </c>
      <c r="H1041" s="303">
        <f>'Bank Int.'!$G1041*4.5%/360</f>
        <v>8.442499999999999</v>
      </c>
      <c r="I1041" s="254"/>
      <c r="J1041" s="307">
        <f>'Bank Int.'!$I1041*6.5%/360</f>
        <v>0</v>
      </c>
      <c r="K1041" s="337"/>
      <c r="L1041" s="307"/>
    </row>
    <row r="1042" spans="1:12" ht="22.9" customHeight="1" x14ac:dyDescent="0.25">
      <c r="A1042" s="257"/>
      <c r="B1042" s="253">
        <v>45076</v>
      </c>
      <c r="C1042" s="298">
        <v>537500.11</v>
      </c>
      <c r="D1042" s="295">
        <f>'Bank Int.'!$C1042*7.5%/360</f>
        <v>111.97918958333334</v>
      </c>
      <c r="E1042" s="300">
        <v>2188228.91</v>
      </c>
      <c r="F1042" s="295">
        <f>'Bank Int.'!$E1042*7.5%/360</f>
        <v>455.88102291666672</v>
      </c>
      <c r="G1042" s="305">
        <v>67540</v>
      </c>
      <c r="H1042" s="303">
        <f>'Bank Int.'!$G1042*4.5%/360</f>
        <v>8.442499999999999</v>
      </c>
      <c r="I1042" s="254"/>
      <c r="J1042" s="307">
        <f>'Bank Int.'!$I1042*6.5%/360</f>
        <v>0</v>
      </c>
      <c r="K1042" s="337"/>
      <c r="L1042" s="307"/>
    </row>
    <row r="1043" spans="1:12" ht="22.9" customHeight="1" x14ac:dyDescent="0.25">
      <c r="A1043" s="257"/>
      <c r="B1043" s="253">
        <v>45075</v>
      </c>
      <c r="C1043" s="298">
        <v>537500.11</v>
      </c>
      <c r="D1043" s="295">
        <f>'Bank Int.'!$C1043*7.5%/360</f>
        <v>111.97918958333334</v>
      </c>
      <c r="E1043" s="300">
        <v>2188228.91</v>
      </c>
      <c r="F1043" s="295">
        <f>'Bank Int.'!$E1043*7.5%/360</f>
        <v>455.88102291666672</v>
      </c>
      <c r="G1043" s="305">
        <v>67540</v>
      </c>
      <c r="H1043" s="303">
        <f>'Bank Int.'!$G1043*4.5%/360</f>
        <v>8.442499999999999</v>
      </c>
      <c r="I1043" s="254"/>
      <c r="J1043" s="307">
        <f>'Bank Int.'!$I1043*6.5%/360</f>
        <v>0</v>
      </c>
      <c r="K1043" s="337"/>
      <c r="L1043" s="307"/>
    </row>
    <row r="1044" spans="1:12" ht="22.9" customHeight="1" x14ac:dyDescent="0.25">
      <c r="A1044" s="257"/>
      <c r="B1044" s="253">
        <v>45074</v>
      </c>
      <c r="C1044" s="298">
        <v>537500.11</v>
      </c>
      <c r="D1044" s="295">
        <f>'Bank Int.'!$C1044*7.5%/360</f>
        <v>111.97918958333334</v>
      </c>
      <c r="E1044" s="300">
        <v>2188228.91</v>
      </c>
      <c r="F1044" s="295">
        <f>'Bank Int.'!$E1044*7.5%/360</f>
        <v>455.88102291666672</v>
      </c>
      <c r="G1044" s="305">
        <v>11000</v>
      </c>
      <c r="H1044" s="303">
        <f>'Bank Int.'!$G1044*4.5%/360</f>
        <v>1.375</v>
      </c>
      <c r="I1044" s="254"/>
      <c r="J1044" s="307">
        <f>'Bank Int.'!$I1044*6.5%/360</f>
        <v>0</v>
      </c>
      <c r="K1044" s="337"/>
      <c r="L1044" s="307"/>
    </row>
    <row r="1045" spans="1:12" ht="22.9" customHeight="1" x14ac:dyDescent="0.25">
      <c r="A1045" s="257"/>
      <c r="B1045" s="253">
        <v>45073</v>
      </c>
      <c r="C1045" s="298">
        <v>537500.11</v>
      </c>
      <c r="D1045" s="295">
        <f>'Bank Int.'!$C1045*7.5%/360</f>
        <v>111.97918958333334</v>
      </c>
      <c r="E1045" s="300">
        <v>2188228.91</v>
      </c>
      <c r="F1045" s="295">
        <f>'Bank Int.'!$E1045*7.5%/360</f>
        <v>455.88102291666672</v>
      </c>
      <c r="G1045" s="305">
        <v>0</v>
      </c>
      <c r="H1045" s="303">
        <f>'Bank Int.'!$G1045*4.5%/360</f>
        <v>0</v>
      </c>
      <c r="I1045" s="254"/>
      <c r="J1045" s="307">
        <f>'Bank Int.'!$I1045*6.5%/360</f>
        <v>0</v>
      </c>
      <c r="K1045" s="337"/>
      <c r="L1045" s="307"/>
    </row>
    <row r="1046" spans="1:12" ht="22.9" customHeight="1" x14ac:dyDescent="0.25">
      <c r="A1046" s="257"/>
      <c r="B1046" s="253">
        <v>45072</v>
      </c>
      <c r="C1046" s="298">
        <v>537500.11</v>
      </c>
      <c r="D1046" s="295">
        <f>'Bank Int.'!$C1046*7.5%/360</f>
        <v>111.97918958333334</v>
      </c>
      <c r="E1046" s="300">
        <v>2188228.91</v>
      </c>
      <c r="F1046" s="295">
        <f>'Bank Int.'!$E1046*7.5%/360</f>
        <v>455.88102291666672</v>
      </c>
      <c r="G1046" s="305">
        <v>0</v>
      </c>
      <c r="H1046" s="303">
        <f>'Bank Int.'!$G1046*4.5%/360</f>
        <v>0</v>
      </c>
      <c r="I1046" s="254"/>
      <c r="J1046" s="307">
        <f>'Bank Int.'!$I1046*6.5%/360</f>
        <v>0</v>
      </c>
      <c r="K1046" s="337"/>
      <c r="L1046" s="307"/>
    </row>
    <row r="1047" spans="1:12" ht="22.9" customHeight="1" x14ac:dyDescent="0.25">
      <c r="A1047" s="257"/>
      <c r="B1047" s="253">
        <v>45071</v>
      </c>
      <c r="C1047" s="298">
        <v>537500.11</v>
      </c>
      <c r="D1047" s="295">
        <f>'Bank Int.'!$C1047*7.5%/360</f>
        <v>111.97918958333334</v>
      </c>
      <c r="E1047" s="300">
        <v>2188228.91</v>
      </c>
      <c r="F1047" s="295">
        <f>'Bank Int.'!$E1047*7.5%/360</f>
        <v>455.88102291666672</v>
      </c>
      <c r="G1047" s="305">
        <v>0</v>
      </c>
      <c r="H1047" s="303">
        <f>'Bank Int.'!$G1047*4.5%/360</f>
        <v>0</v>
      </c>
      <c r="I1047" s="254"/>
      <c r="J1047" s="307">
        <f>'Bank Int.'!$I1047*6.5%/360</f>
        <v>0</v>
      </c>
      <c r="K1047" s="337"/>
      <c r="L1047" s="307"/>
    </row>
    <row r="1048" spans="1:12" ht="22.9" customHeight="1" x14ac:dyDescent="0.25">
      <c r="A1048" s="257"/>
      <c r="B1048" s="253">
        <v>45070</v>
      </c>
      <c r="C1048" s="298">
        <v>37560.11</v>
      </c>
      <c r="D1048" s="295">
        <f>'Bank Int.'!$C1048*7.5%/360</f>
        <v>7.8250229166666667</v>
      </c>
      <c r="E1048" s="300">
        <v>2188228.91</v>
      </c>
      <c r="F1048" s="295">
        <f>'Bank Int.'!$E1048*7.5%/360</f>
        <v>455.88102291666672</v>
      </c>
      <c r="G1048" s="305">
        <v>0</v>
      </c>
      <c r="H1048" s="303">
        <f>'Bank Int.'!$G1048*4.5%/360</f>
        <v>0</v>
      </c>
      <c r="I1048" s="254"/>
      <c r="J1048" s="307">
        <f>'Bank Int.'!$I1048*6.5%/360</f>
        <v>0</v>
      </c>
      <c r="K1048" s="337"/>
      <c r="L1048" s="307"/>
    </row>
    <row r="1049" spans="1:12" ht="22.9" customHeight="1" x14ac:dyDescent="0.25">
      <c r="A1049" s="257"/>
      <c r="B1049" s="253">
        <v>45069</v>
      </c>
      <c r="C1049" s="298">
        <v>37560.11</v>
      </c>
      <c r="D1049" s="295">
        <f>'Bank Int.'!$C1049*7.5%/360</f>
        <v>7.8250229166666667</v>
      </c>
      <c r="E1049" s="300">
        <v>2188228.91</v>
      </c>
      <c r="F1049" s="295">
        <f>'Bank Int.'!$E1049*7.5%/360</f>
        <v>455.88102291666672</v>
      </c>
      <c r="G1049" s="305">
        <v>0</v>
      </c>
      <c r="H1049" s="303">
        <f>'Bank Int.'!$G1049*4.5%/360</f>
        <v>0</v>
      </c>
      <c r="I1049" s="254"/>
      <c r="J1049" s="307">
        <f>'Bank Int.'!$I1049*6.5%/360</f>
        <v>0</v>
      </c>
      <c r="K1049" s="337"/>
      <c r="L1049" s="307"/>
    </row>
    <row r="1050" spans="1:12" ht="22.9" customHeight="1" x14ac:dyDescent="0.25">
      <c r="A1050" s="257"/>
      <c r="B1050" s="253">
        <v>45068</v>
      </c>
      <c r="C1050" s="298">
        <v>5537560.1100000003</v>
      </c>
      <c r="D1050" s="295">
        <f>'Bank Int.'!$C1050*7.5%/360</f>
        <v>1153.65835625</v>
      </c>
      <c r="E1050" s="300">
        <v>4588328.91</v>
      </c>
      <c r="F1050" s="295">
        <f>'Bank Int.'!$E1050*7.5%/360</f>
        <v>955.90185624999992</v>
      </c>
      <c r="G1050" s="305">
        <v>0</v>
      </c>
      <c r="H1050" s="303">
        <f>'Bank Int.'!$G1050*4.5%/360</f>
        <v>0</v>
      </c>
      <c r="I1050" s="254"/>
      <c r="J1050" s="307">
        <f>'Bank Int.'!$I1050*6.5%/360</f>
        <v>0</v>
      </c>
      <c r="K1050" s="337"/>
      <c r="L1050" s="307"/>
    </row>
    <row r="1051" spans="1:12" ht="22.9" customHeight="1" x14ac:dyDescent="0.25">
      <c r="A1051" s="257"/>
      <c r="B1051" s="253">
        <v>45067</v>
      </c>
      <c r="C1051" s="298">
        <v>5537560.1100000003</v>
      </c>
      <c r="D1051" s="295">
        <f>'Bank Int.'!$C1051*7.5%/360</f>
        <v>1153.65835625</v>
      </c>
      <c r="E1051" s="300">
        <v>4588328.91</v>
      </c>
      <c r="F1051" s="295">
        <f>'Bank Int.'!$E1051*7.5%/360</f>
        <v>955.90185624999992</v>
      </c>
      <c r="G1051" s="305">
        <v>0</v>
      </c>
      <c r="H1051" s="303">
        <f>'Bank Int.'!$G1051*4.5%/360</f>
        <v>0</v>
      </c>
      <c r="I1051" s="254"/>
      <c r="J1051" s="307">
        <f>'Bank Int.'!$I1051*6.5%/360</f>
        <v>0</v>
      </c>
      <c r="K1051" s="337"/>
      <c r="L1051" s="307"/>
    </row>
    <row r="1052" spans="1:12" ht="22.9" customHeight="1" x14ac:dyDescent="0.25">
      <c r="A1052" s="257"/>
      <c r="B1052" s="253">
        <v>45066</v>
      </c>
      <c r="C1052" s="298">
        <v>5537560.1100000003</v>
      </c>
      <c r="D1052" s="295">
        <f>'Bank Int.'!$C1052*7.5%/360</f>
        <v>1153.65835625</v>
      </c>
      <c r="E1052" s="300">
        <v>2236358.91</v>
      </c>
      <c r="F1052" s="295">
        <f>'Bank Int.'!$E1052*7.5%/360</f>
        <v>465.90810625000006</v>
      </c>
      <c r="G1052" s="305">
        <v>0</v>
      </c>
      <c r="H1052" s="303">
        <f>'Bank Int.'!$G1052*4.5%/360</f>
        <v>0</v>
      </c>
      <c r="I1052" s="254"/>
      <c r="J1052" s="307">
        <f>'Bank Int.'!$I1052*6.5%/360</f>
        <v>0</v>
      </c>
      <c r="K1052" s="337"/>
      <c r="L1052" s="307"/>
    </row>
    <row r="1053" spans="1:12" ht="22.9" customHeight="1" x14ac:dyDescent="0.25">
      <c r="A1053" s="257"/>
      <c r="B1053" s="253">
        <v>45065</v>
      </c>
      <c r="C1053" s="298">
        <v>5537560.1100000003</v>
      </c>
      <c r="D1053" s="295">
        <f>'Bank Int.'!$C1053*7.5%/360</f>
        <v>1153.65835625</v>
      </c>
      <c r="E1053" s="300">
        <v>2236358.91</v>
      </c>
      <c r="F1053" s="295">
        <f>'Bank Int.'!$E1053*7.5%/360</f>
        <v>465.90810625000006</v>
      </c>
      <c r="G1053" s="305">
        <v>0</v>
      </c>
      <c r="H1053" s="303">
        <f>'Bank Int.'!$G1053*4.5%/360</f>
        <v>0</v>
      </c>
      <c r="I1053" s="254"/>
      <c r="J1053" s="307">
        <f>'Bank Int.'!$I1053*6.5%/360</f>
        <v>0</v>
      </c>
      <c r="K1053" s="337"/>
      <c r="L1053" s="307"/>
    </row>
    <row r="1054" spans="1:12" ht="22.9" customHeight="1" x14ac:dyDescent="0.25">
      <c r="A1054" s="257"/>
      <c r="B1054" s="253">
        <v>45064</v>
      </c>
      <c r="C1054" s="298">
        <v>5537595.1100000003</v>
      </c>
      <c r="D1054" s="295">
        <f>'Bank Int.'!$C1054*7.5%/360</f>
        <v>1153.6656479166668</v>
      </c>
      <c r="E1054" s="300">
        <v>2236358.91</v>
      </c>
      <c r="F1054" s="295">
        <f>'Bank Int.'!$E1054*7.5%/360</f>
        <v>465.90810625000006</v>
      </c>
      <c r="G1054" s="305">
        <v>0</v>
      </c>
      <c r="H1054" s="303">
        <f>'Bank Int.'!$G1054*4.5%/360</f>
        <v>0</v>
      </c>
      <c r="I1054" s="254"/>
      <c r="J1054" s="307">
        <f>'Bank Int.'!$I1054*6.5%/360</f>
        <v>0</v>
      </c>
      <c r="K1054" s="337"/>
      <c r="L1054" s="307"/>
    </row>
    <row r="1055" spans="1:12" ht="22.9" customHeight="1" x14ac:dyDescent="0.25">
      <c r="A1055" s="257"/>
      <c r="B1055" s="253">
        <v>45063</v>
      </c>
      <c r="C1055" s="298">
        <v>4555595.1100000003</v>
      </c>
      <c r="D1055" s="295">
        <f>'Bank Int.'!$C1055*7.5%/360</f>
        <v>949.08231458333341</v>
      </c>
      <c r="E1055" s="300">
        <v>2236358.91</v>
      </c>
      <c r="F1055" s="295">
        <f>'Bank Int.'!$E1055*7.5%/360</f>
        <v>465.90810625000006</v>
      </c>
      <c r="G1055" s="305">
        <v>382000</v>
      </c>
      <c r="H1055" s="303">
        <f>'Bank Int.'!$G1055*4.5%/360</f>
        <v>47.75</v>
      </c>
      <c r="I1055" s="254"/>
      <c r="J1055" s="307">
        <f>'Bank Int.'!$I1055*6.5%/360</f>
        <v>0</v>
      </c>
      <c r="K1055" s="337"/>
      <c r="L1055" s="307"/>
    </row>
    <row r="1056" spans="1:12" ht="22.9" customHeight="1" x14ac:dyDescent="0.25">
      <c r="A1056" s="257"/>
      <c r="B1056" s="253">
        <v>45062</v>
      </c>
      <c r="C1056" s="298">
        <v>4555595.1100000003</v>
      </c>
      <c r="D1056" s="295">
        <f>'Bank Int.'!$C1056*7.5%/360</f>
        <v>949.08231458333341</v>
      </c>
      <c r="E1056" s="300">
        <v>2236358.91</v>
      </c>
      <c r="F1056" s="295">
        <f>'Bank Int.'!$E1056*7.5%/360</f>
        <v>465.90810625000006</v>
      </c>
      <c r="G1056" s="305">
        <v>382000</v>
      </c>
      <c r="H1056" s="303">
        <f>'Bank Int.'!$G1056*4.5%/360</f>
        <v>47.75</v>
      </c>
      <c r="I1056" s="254"/>
      <c r="J1056" s="307">
        <f>'Bank Int.'!$I1056*6.5%/360</f>
        <v>0</v>
      </c>
      <c r="K1056" s="337"/>
      <c r="L1056" s="307"/>
    </row>
    <row r="1057" spans="1:12" ht="22.9" customHeight="1" x14ac:dyDescent="0.25">
      <c r="A1057" s="257"/>
      <c r="B1057" s="253">
        <v>45061</v>
      </c>
      <c r="C1057" s="298">
        <v>4555595.1100000003</v>
      </c>
      <c r="D1057" s="295">
        <f>'Bank Int.'!$C1057*7.5%/360</f>
        <v>949.08231458333341</v>
      </c>
      <c r="E1057" s="300">
        <v>2236358.91</v>
      </c>
      <c r="F1057" s="295">
        <f>'Bank Int.'!$E1057*7.5%/360</f>
        <v>465.90810625000006</v>
      </c>
      <c r="G1057" s="305">
        <v>382000</v>
      </c>
      <c r="H1057" s="303">
        <f>'Bank Int.'!$G1057*4.5%/360</f>
        <v>47.75</v>
      </c>
      <c r="I1057" s="254"/>
      <c r="J1057" s="307">
        <f>'Bank Int.'!$I1057*6.5%/360</f>
        <v>0</v>
      </c>
      <c r="K1057" s="337"/>
      <c r="L1057" s="307"/>
    </row>
    <row r="1058" spans="1:12" ht="22.9" customHeight="1" x14ac:dyDescent="0.25">
      <c r="A1058" s="257"/>
      <c r="B1058" s="253">
        <v>45060</v>
      </c>
      <c r="C1058" s="298">
        <v>3755620.11</v>
      </c>
      <c r="D1058" s="295">
        <f>'Bank Int.'!$C1058*7.5%/360</f>
        <v>782.42085624999993</v>
      </c>
      <c r="E1058" s="300">
        <v>2236358.91</v>
      </c>
      <c r="F1058" s="295">
        <f>'Bank Int.'!$E1058*7.5%/360</f>
        <v>465.90810625000006</v>
      </c>
      <c r="G1058" s="305">
        <v>382000</v>
      </c>
      <c r="H1058" s="303">
        <f>'Bank Int.'!$G1058*4.5%/360</f>
        <v>47.75</v>
      </c>
      <c r="I1058" s="254"/>
      <c r="J1058" s="307">
        <f>'Bank Int.'!$I1058*6.5%/360</f>
        <v>0</v>
      </c>
      <c r="K1058" s="337"/>
      <c r="L1058" s="307"/>
    </row>
    <row r="1059" spans="1:12" ht="22.9" customHeight="1" x14ac:dyDescent="0.25">
      <c r="A1059" s="257"/>
      <c r="B1059" s="253">
        <v>45059</v>
      </c>
      <c r="C1059" s="298">
        <v>2755680.11</v>
      </c>
      <c r="D1059" s="295">
        <f>'Bank Int.'!$C1059*7.5%/360</f>
        <v>574.1000229166666</v>
      </c>
      <c r="E1059" s="300">
        <v>2236358.91</v>
      </c>
      <c r="F1059" s="295">
        <f>'Bank Int.'!$E1059*7.5%/360</f>
        <v>465.90810625000006</v>
      </c>
      <c r="G1059" s="305">
        <v>382000</v>
      </c>
      <c r="H1059" s="303">
        <f>'Bank Int.'!$G1059*4.5%/360</f>
        <v>47.75</v>
      </c>
      <c r="I1059" s="254"/>
      <c r="J1059" s="307">
        <f>'Bank Int.'!$I1059*6.5%/360</f>
        <v>0</v>
      </c>
      <c r="K1059" s="337"/>
      <c r="L1059" s="307"/>
    </row>
    <row r="1060" spans="1:12" ht="22.9" customHeight="1" x14ac:dyDescent="0.25">
      <c r="A1060" s="257"/>
      <c r="B1060" s="253">
        <v>45058</v>
      </c>
      <c r="C1060" s="298">
        <v>2755680.11</v>
      </c>
      <c r="D1060" s="295">
        <f>'Bank Int.'!$C1060*7.5%/360</f>
        <v>574.1000229166666</v>
      </c>
      <c r="E1060" s="300">
        <v>2236358.91</v>
      </c>
      <c r="F1060" s="295">
        <f>'Bank Int.'!$E1060*7.5%/360</f>
        <v>465.90810625000006</v>
      </c>
      <c r="G1060" s="305">
        <v>382000</v>
      </c>
      <c r="H1060" s="303">
        <f>'Bank Int.'!$G1060*4.5%/360</f>
        <v>47.75</v>
      </c>
      <c r="I1060" s="254"/>
      <c r="J1060" s="307">
        <f>'Bank Int.'!$I1060*6.5%/360</f>
        <v>0</v>
      </c>
      <c r="K1060" s="337"/>
      <c r="L1060" s="307"/>
    </row>
    <row r="1061" spans="1:12" ht="22.9" customHeight="1" x14ac:dyDescent="0.25">
      <c r="A1061" s="257"/>
      <c r="B1061" s="253">
        <v>45057</v>
      </c>
      <c r="C1061" s="298">
        <v>2755680.11</v>
      </c>
      <c r="D1061" s="295">
        <f>'Bank Int.'!$C1061*7.5%/360</f>
        <v>574.1000229166666</v>
      </c>
      <c r="E1061" s="300">
        <v>2236358.91</v>
      </c>
      <c r="F1061" s="295">
        <f>'Bank Int.'!$E1061*7.5%/360</f>
        <v>465.90810625000006</v>
      </c>
      <c r="G1061" s="305">
        <v>382000</v>
      </c>
      <c r="H1061" s="303">
        <f>'Bank Int.'!$G1061*4.5%/360</f>
        <v>47.75</v>
      </c>
      <c r="I1061" s="254"/>
      <c r="J1061" s="307">
        <f>'Bank Int.'!$I1061*6.5%/360</f>
        <v>0</v>
      </c>
      <c r="K1061" s="337"/>
      <c r="L1061" s="307"/>
    </row>
    <row r="1062" spans="1:12" ht="22.9" customHeight="1" x14ac:dyDescent="0.25">
      <c r="A1062" s="257"/>
      <c r="B1062" s="253">
        <v>45056</v>
      </c>
      <c r="C1062" s="298">
        <v>2755680.11</v>
      </c>
      <c r="D1062" s="295">
        <f>'Bank Int.'!$C1062*7.5%/360</f>
        <v>574.1000229166666</v>
      </c>
      <c r="E1062" s="300">
        <v>2236358.91</v>
      </c>
      <c r="F1062" s="295">
        <f>'Bank Int.'!$E1062*7.5%/360</f>
        <v>465.90810625000006</v>
      </c>
      <c r="G1062" s="305">
        <v>382000</v>
      </c>
      <c r="H1062" s="303">
        <f>'Bank Int.'!$G1062*4.5%/360</f>
        <v>47.75</v>
      </c>
      <c r="I1062" s="254"/>
      <c r="J1062" s="307">
        <f>'Bank Int.'!$I1062*6.5%/360</f>
        <v>0</v>
      </c>
      <c r="K1062" s="337"/>
      <c r="L1062" s="307"/>
    </row>
    <row r="1063" spans="1:12" ht="22.9" customHeight="1" x14ac:dyDescent="0.25">
      <c r="A1063" s="257"/>
      <c r="B1063" s="253">
        <v>45055</v>
      </c>
      <c r="C1063" s="298">
        <v>2755680.11</v>
      </c>
      <c r="D1063" s="295">
        <f>'Bank Int.'!$C1063*7.5%/360</f>
        <v>574.1000229166666</v>
      </c>
      <c r="E1063" s="300">
        <v>4636473.91</v>
      </c>
      <c r="F1063" s="295">
        <f>'Bank Int.'!$E1063*7.5%/360</f>
        <v>965.93206458333327</v>
      </c>
      <c r="G1063" s="305">
        <v>382000</v>
      </c>
      <c r="H1063" s="303">
        <f>'Bank Int.'!$G1063*4.5%/360</f>
        <v>47.75</v>
      </c>
      <c r="I1063" s="254"/>
      <c r="J1063" s="307">
        <f>'Bank Int.'!$I1063*6.5%/360</f>
        <v>0</v>
      </c>
      <c r="K1063" s="337"/>
      <c r="L1063" s="307"/>
    </row>
    <row r="1064" spans="1:12" ht="22.9" customHeight="1" x14ac:dyDescent="0.25">
      <c r="A1064" s="257"/>
      <c r="B1064" s="253">
        <v>45054</v>
      </c>
      <c r="C1064" s="298">
        <v>2555680.11</v>
      </c>
      <c r="D1064" s="295">
        <f>'Bank Int.'!$C1064*7.5%/360</f>
        <v>532.43335624999997</v>
      </c>
      <c r="E1064" s="300">
        <v>4636473.91</v>
      </c>
      <c r="F1064" s="295">
        <f>'Bank Int.'!$E1064*7.5%/360</f>
        <v>965.93206458333327</v>
      </c>
      <c r="G1064" s="305">
        <v>272000</v>
      </c>
      <c r="H1064" s="303">
        <f>'Bank Int.'!$G1064*4.5%/360</f>
        <v>34</v>
      </c>
      <c r="I1064" s="254"/>
      <c r="J1064" s="307">
        <f>'Bank Int.'!$I1064*6.5%/360</f>
        <v>0</v>
      </c>
      <c r="K1064" s="337"/>
      <c r="L1064" s="307"/>
    </row>
    <row r="1065" spans="1:12" ht="22.9" customHeight="1" x14ac:dyDescent="0.25">
      <c r="A1065" s="257"/>
      <c r="B1065" s="253">
        <v>45053</v>
      </c>
      <c r="C1065" s="298">
        <v>5055680.1100000003</v>
      </c>
      <c r="D1065" s="295">
        <f>'Bank Int.'!$C1065*7.5%/360</f>
        <v>1053.2666895833333</v>
      </c>
      <c r="E1065" s="300">
        <v>4636473.91</v>
      </c>
      <c r="F1065" s="295">
        <f>'Bank Int.'!$E1065*7.5%/360</f>
        <v>965.93206458333327</v>
      </c>
      <c r="G1065" s="305">
        <v>102000</v>
      </c>
      <c r="H1065" s="303">
        <f>'Bank Int.'!$G1065*4.5%/360</f>
        <v>12.75</v>
      </c>
      <c r="I1065" s="254"/>
      <c r="J1065" s="307">
        <f>'Bank Int.'!$I1065*6.5%/360</f>
        <v>0</v>
      </c>
      <c r="K1065" s="337"/>
      <c r="L1065" s="307"/>
    </row>
    <row r="1066" spans="1:12" ht="22.9" customHeight="1" x14ac:dyDescent="0.25">
      <c r="A1066" s="257"/>
      <c r="B1066" s="253">
        <v>45052</v>
      </c>
      <c r="C1066" s="298">
        <v>5055680.1100000003</v>
      </c>
      <c r="D1066" s="295">
        <f>'Bank Int.'!$C1066*7.5%/360</f>
        <v>1053.2666895833333</v>
      </c>
      <c r="E1066" s="300">
        <v>4636473.91</v>
      </c>
      <c r="F1066" s="295">
        <f>'Bank Int.'!$E1066*7.5%/360</f>
        <v>965.93206458333327</v>
      </c>
      <c r="G1066" s="305">
        <v>102000</v>
      </c>
      <c r="H1066" s="303">
        <f>'Bank Int.'!$G1066*4.5%/360</f>
        <v>12.75</v>
      </c>
      <c r="I1066" s="254"/>
      <c r="J1066" s="307">
        <f>'Bank Int.'!$I1066*6.5%/360</f>
        <v>0</v>
      </c>
      <c r="K1066" s="337"/>
      <c r="L1066" s="307"/>
    </row>
    <row r="1067" spans="1:12" ht="22.9" customHeight="1" x14ac:dyDescent="0.25">
      <c r="A1067" s="257"/>
      <c r="B1067" s="253">
        <v>45051</v>
      </c>
      <c r="C1067" s="298">
        <v>5055680.1100000003</v>
      </c>
      <c r="D1067" s="295">
        <f>'Bank Int.'!$C1067*7.5%/360</f>
        <v>1053.2666895833333</v>
      </c>
      <c r="E1067" s="300">
        <v>4636473.91</v>
      </c>
      <c r="F1067" s="295">
        <f>'Bank Int.'!$E1067*7.5%/360</f>
        <v>965.93206458333327</v>
      </c>
      <c r="G1067" s="305">
        <v>102000</v>
      </c>
      <c r="H1067" s="303">
        <f>'Bank Int.'!$G1067*4.5%/360</f>
        <v>12.75</v>
      </c>
      <c r="I1067" s="254"/>
      <c r="J1067" s="307">
        <f>'Bank Int.'!$I1067*6.5%/360</f>
        <v>0</v>
      </c>
      <c r="K1067" s="337"/>
      <c r="L1067" s="307"/>
    </row>
    <row r="1068" spans="1:12" ht="22.9" customHeight="1" x14ac:dyDescent="0.25">
      <c r="A1068" s="257"/>
      <c r="B1068" s="253">
        <v>45050</v>
      </c>
      <c r="C1068" s="298">
        <v>5055680.1100000003</v>
      </c>
      <c r="D1068" s="295">
        <f>'Bank Int.'!$C1068*7.5%/360</f>
        <v>1053.2666895833333</v>
      </c>
      <c r="E1068" s="300">
        <v>4636473.91</v>
      </c>
      <c r="F1068" s="295">
        <f>'Bank Int.'!$E1068*7.5%/360</f>
        <v>965.93206458333327</v>
      </c>
      <c r="G1068" s="305">
        <v>102000</v>
      </c>
      <c r="H1068" s="303">
        <f>'Bank Int.'!$G1068*4.5%/360</f>
        <v>12.75</v>
      </c>
      <c r="I1068" s="254"/>
      <c r="J1068" s="307">
        <f>'Bank Int.'!$I1068*6.5%/360</f>
        <v>0</v>
      </c>
      <c r="K1068" s="337"/>
      <c r="L1068" s="307"/>
    </row>
    <row r="1069" spans="1:12" ht="22.9" customHeight="1" x14ac:dyDescent="0.25">
      <c r="A1069" s="257"/>
      <c r="B1069" s="253">
        <v>45049</v>
      </c>
      <c r="C1069" s="298">
        <v>5055680.1100000003</v>
      </c>
      <c r="D1069" s="295">
        <f>'Bank Int.'!$C1069*7.5%/360</f>
        <v>1053.2666895833333</v>
      </c>
      <c r="E1069" s="301">
        <v>4636473.91</v>
      </c>
      <c r="F1069" s="295">
        <f>'Bank Int.'!$E1069*7.5%/360</f>
        <v>965.93206458333327</v>
      </c>
      <c r="G1069" s="305">
        <v>102000</v>
      </c>
      <c r="H1069" s="303">
        <f>'Bank Int.'!$G1069*4.5%/360</f>
        <v>12.75</v>
      </c>
      <c r="I1069" s="254"/>
      <c r="J1069" s="307">
        <f>'Bank Int.'!$I1069*6.5%/360</f>
        <v>0</v>
      </c>
      <c r="K1069" s="337"/>
      <c r="L1069" s="307"/>
    </row>
    <row r="1070" spans="1:12" ht="22.9" customHeight="1" x14ac:dyDescent="0.25">
      <c r="A1070" s="257"/>
      <c r="B1070" s="253">
        <v>45048</v>
      </c>
      <c r="C1070" s="298">
        <v>5047680.1100000003</v>
      </c>
      <c r="D1070" s="295">
        <f>'Bank Int.'!$C1070*7.5%/360</f>
        <v>1051.6000229166666</v>
      </c>
      <c r="E1070" s="301">
        <v>10636473.91</v>
      </c>
      <c r="F1070" s="295">
        <f>'Bank Int.'!$E1070*7.5%/360</f>
        <v>2215.9320645833332</v>
      </c>
      <c r="G1070" s="305">
        <v>102000</v>
      </c>
      <c r="H1070" s="303">
        <f>'Bank Int.'!$G1070*4.5%/360</f>
        <v>12.75</v>
      </c>
      <c r="I1070" s="254"/>
      <c r="J1070" s="307">
        <f>'Bank Int.'!$I1070*6.5%/360</f>
        <v>0</v>
      </c>
      <c r="K1070" s="337"/>
      <c r="L1070" s="307"/>
    </row>
    <row r="1071" spans="1:12" ht="22.9" customHeight="1" x14ac:dyDescent="0.25">
      <c r="A1071" s="257"/>
      <c r="B1071" s="253">
        <v>45047</v>
      </c>
      <c r="C1071" s="298">
        <v>15148870.109999999</v>
      </c>
      <c r="D1071" s="295">
        <f>'Bank Int.'!$C1071*7.5%/360</f>
        <v>3156.0146062499998</v>
      </c>
      <c r="E1071" s="301">
        <v>636473.91</v>
      </c>
      <c r="F1071" s="295">
        <f>'Bank Int.'!$E1071*7.5%/360</f>
        <v>132.59873125000001</v>
      </c>
      <c r="G1071" s="305">
        <v>102000</v>
      </c>
      <c r="H1071" s="303">
        <f>'Bank Int.'!$G1071*4.5%/360</f>
        <v>12.75</v>
      </c>
      <c r="I1071" s="254"/>
      <c r="J1071" s="307">
        <f>'Bank Int.'!$I1071*6.5%/360</f>
        <v>0</v>
      </c>
      <c r="K1071" s="337"/>
      <c r="L1071" s="307"/>
    </row>
    <row r="1072" spans="1:12" ht="22.9" customHeight="1" x14ac:dyDescent="0.25">
      <c r="A1072" s="257"/>
      <c r="B1072" s="253">
        <v>45046</v>
      </c>
      <c r="C1072" s="298">
        <v>15148870.109999999</v>
      </c>
      <c r="D1072" s="295">
        <f>'Bank Int.'!$C1072*7.5%/360</f>
        <v>3156.0146062499998</v>
      </c>
      <c r="E1072" s="301">
        <v>636473.91</v>
      </c>
      <c r="F1072" s="295">
        <f>'Bank Int.'!$E1072*7.5%/360</f>
        <v>132.59873125000001</v>
      </c>
      <c r="G1072" s="305">
        <v>102000</v>
      </c>
      <c r="H1072" s="303">
        <f>'Bank Int.'!$G1072*4.5%/360</f>
        <v>12.75</v>
      </c>
      <c r="I1072" s="254"/>
      <c r="J1072" s="307">
        <f>'Bank Int.'!$I1072*6.5%/360</f>
        <v>0</v>
      </c>
      <c r="K1072" s="337"/>
      <c r="L1072" s="307"/>
    </row>
    <row r="1073" spans="1:12" ht="22.9" customHeight="1" x14ac:dyDescent="0.25">
      <c r="A1073" s="257"/>
      <c r="B1073" s="253">
        <v>45045</v>
      </c>
      <c r="C1073" s="298">
        <v>15148870.109999999</v>
      </c>
      <c r="D1073" s="295">
        <f>'Bank Int.'!$C1073*7.5%/360</f>
        <v>3156.0146062499998</v>
      </c>
      <c r="E1073" s="301">
        <v>636473.91</v>
      </c>
      <c r="F1073" s="295">
        <f>'Bank Int.'!$E1073*7.5%/360</f>
        <v>132.59873125000001</v>
      </c>
      <c r="G1073" s="305">
        <v>102000</v>
      </c>
      <c r="H1073" s="303">
        <f>'Bank Int.'!$G1073*4.5%/360</f>
        <v>12.75</v>
      </c>
      <c r="I1073" s="254"/>
      <c r="J1073" s="307">
        <f>'Bank Int.'!$I1073*6.5%/360</f>
        <v>0</v>
      </c>
      <c r="K1073" s="337"/>
      <c r="L1073" s="307"/>
    </row>
    <row r="1074" spans="1:12" ht="22.9" customHeight="1" x14ac:dyDescent="0.25">
      <c r="A1074" s="257"/>
      <c r="B1074" s="253">
        <v>45044</v>
      </c>
      <c r="C1074" s="298">
        <v>15148870.109999999</v>
      </c>
      <c r="D1074" s="295">
        <f>'Bank Int.'!$C1074*7.5%/360</f>
        <v>3156.0146062499998</v>
      </c>
      <c r="E1074" s="301">
        <v>636473.91</v>
      </c>
      <c r="F1074" s="295">
        <f>'Bank Int.'!$E1074*7.5%/360</f>
        <v>132.59873125000001</v>
      </c>
      <c r="G1074" s="305">
        <v>102000</v>
      </c>
      <c r="H1074" s="303">
        <f>'Bank Int.'!$G1074*4.5%/360</f>
        <v>12.75</v>
      </c>
      <c r="I1074" s="254"/>
      <c r="J1074" s="307">
        <f>'Bank Int.'!$I1074*6.5%/360</f>
        <v>0</v>
      </c>
      <c r="K1074" s="337"/>
      <c r="L1074" s="307"/>
    </row>
    <row r="1075" spans="1:12" ht="22.9" customHeight="1" x14ac:dyDescent="0.25">
      <c r="A1075" s="257"/>
      <c r="B1075" s="253">
        <v>45043</v>
      </c>
      <c r="C1075" s="298">
        <v>15148870.109999999</v>
      </c>
      <c r="D1075" s="295">
        <f>'Bank Int.'!$C1075*7.5%/360</f>
        <v>3156.0146062499998</v>
      </c>
      <c r="E1075" s="301">
        <v>636473.91</v>
      </c>
      <c r="F1075" s="295">
        <f>'Bank Int.'!$E1075*7.5%/360</f>
        <v>132.59873125000001</v>
      </c>
      <c r="G1075" s="305">
        <v>102000</v>
      </c>
      <c r="H1075" s="303">
        <f>'Bank Int.'!$G1075*4.5%/360</f>
        <v>12.75</v>
      </c>
      <c r="I1075" s="254"/>
      <c r="J1075" s="307">
        <f>'Bank Int.'!$I1075*6.5%/360</f>
        <v>0</v>
      </c>
      <c r="K1075" s="337"/>
      <c r="L1075" s="307"/>
    </row>
    <row r="1076" spans="1:12" ht="22.9" customHeight="1" x14ac:dyDescent="0.25">
      <c r="A1076" s="257"/>
      <c r="B1076" s="253">
        <v>45042</v>
      </c>
      <c r="C1076" s="298">
        <v>2537870.11</v>
      </c>
      <c r="D1076" s="295">
        <f>'Bank Int.'!$C1076*7.5%/360</f>
        <v>528.7229395833333</v>
      </c>
      <c r="E1076" s="301">
        <v>636473.91</v>
      </c>
      <c r="F1076" s="295">
        <f>'Bank Int.'!$E1076*7.5%/360</f>
        <v>132.59873125000001</v>
      </c>
      <c r="G1076" s="305">
        <v>85000</v>
      </c>
      <c r="H1076" s="303">
        <f>'Bank Int.'!$G1076*4.5%/360</f>
        <v>10.625</v>
      </c>
      <c r="I1076" s="254"/>
      <c r="J1076" s="307">
        <f>'Bank Int.'!$I1076*6.5%/360</f>
        <v>0</v>
      </c>
      <c r="K1076" s="337"/>
      <c r="L1076" s="307"/>
    </row>
    <row r="1077" spans="1:12" ht="22.9" customHeight="1" x14ac:dyDescent="0.25">
      <c r="A1077" s="257"/>
      <c r="B1077" s="253">
        <v>45041</v>
      </c>
      <c r="C1077" s="298">
        <v>2037870.11</v>
      </c>
      <c r="D1077" s="295">
        <f>'Bank Int.'!$C1077*7.5%/360</f>
        <v>424.55627291666673</v>
      </c>
      <c r="E1077" s="301">
        <v>636473.91</v>
      </c>
      <c r="F1077" s="295">
        <f>'Bank Int.'!$E1077*7.5%/360</f>
        <v>132.59873125000001</v>
      </c>
      <c r="G1077" s="305">
        <v>85000</v>
      </c>
      <c r="H1077" s="303">
        <f>'Bank Int.'!$G1077*4.5%/360</f>
        <v>10.625</v>
      </c>
      <c r="I1077" s="254"/>
      <c r="J1077" s="307">
        <f>'Bank Int.'!$I1077*6.5%/360</f>
        <v>0</v>
      </c>
      <c r="K1077" s="337"/>
      <c r="L1077" s="307"/>
    </row>
    <row r="1078" spans="1:12" ht="22.9" customHeight="1" x14ac:dyDescent="0.25">
      <c r="A1078" s="257"/>
      <c r="B1078" s="253">
        <v>45040</v>
      </c>
      <c r="C1078" s="298">
        <v>2037870.11</v>
      </c>
      <c r="D1078" s="295">
        <f>'Bank Int.'!$C1078*7.5%/360</f>
        <v>424.55627291666673</v>
      </c>
      <c r="E1078" s="301">
        <v>636473.91</v>
      </c>
      <c r="F1078" s="295">
        <f>'Bank Int.'!$E1078*7.5%/360</f>
        <v>132.59873125000001</v>
      </c>
      <c r="G1078" s="305">
        <v>85000</v>
      </c>
      <c r="H1078" s="303">
        <f>'Bank Int.'!$G1078*4.5%/360</f>
        <v>10.625</v>
      </c>
      <c r="I1078" s="254"/>
      <c r="J1078" s="307">
        <f>'Bank Int.'!$I1078*6.5%/360</f>
        <v>0</v>
      </c>
      <c r="K1078" s="337"/>
      <c r="L1078" s="307"/>
    </row>
    <row r="1079" spans="1:12" ht="22.9" customHeight="1" x14ac:dyDescent="0.25">
      <c r="A1079" s="257"/>
      <c r="B1079" s="253">
        <v>45039</v>
      </c>
      <c r="C1079" s="298">
        <v>1936760.11</v>
      </c>
      <c r="D1079" s="295">
        <f>'Bank Int.'!$C1079*7.5%/360</f>
        <v>403.49168958333337</v>
      </c>
      <c r="E1079" s="301">
        <v>18293.91</v>
      </c>
      <c r="F1079" s="295">
        <f>'Bank Int.'!$E1079*7.5%/360</f>
        <v>3.8112312499999996</v>
      </c>
      <c r="G1079" s="305">
        <v>85000</v>
      </c>
      <c r="H1079" s="303">
        <f>'Bank Int.'!$G1079*4.5%/360</f>
        <v>10.625</v>
      </c>
      <c r="I1079" s="254"/>
      <c r="J1079" s="307">
        <f>'Bank Int.'!$I1079*6.5%/360</f>
        <v>0</v>
      </c>
      <c r="K1079" s="337"/>
      <c r="L1079" s="307"/>
    </row>
    <row r="1080" spans="1:12" ht="22.9" customHeight="1" x14ac:dyDescent="0.25">
      <c r="A1080" s="257"/>
      <c r="B1080" s="253">
        <v>45038</v>
      </c>
      <c r="C1080" s="298">
        <v>1936760.11</v>
      </c>
      <c r="D1080" s="295">
        <f>'Bank Int.'!$C1080*7.5%/360</f>
        <v>403.49168958333337</v>
      </c>
      <c r="E1080" s="301">
        <v>18293.91</v>
      </c>
      <c r="F1080" s="295">
        <f>'Bank Int.'!$E1080*7.5%/360</f>
        <v>3.8112312499999996</v>
      </c>
      <c r="G1080" s="305">
        <v>85000</v>
      </c>
      <c r="H1080" s="303">
        <f>'Bank Int.'!$G1080*4.5%/360</f>
        <v>10.625</v>
      </c>
      <c r="I1080" s="254"/>
      <c r="J1080" s="307">
        <f>'Bank Int.'!$I1080*6.5%/360</f>
        <v>0</v>
      </c>
      <c r="K1080" s="337"/>
      <c r="L1080" s="307"/>
    </row>
    <row r="1081" spans="1:12" ht="22.9" customHeight="1" x14ac:dyDescent="0.25">
      <c r="A1081" s="257"/>
      <c r="B1081" s="253">
        <v>45037</v>
      </c>
      <c r="C1081" s="298">
        <v>1936760.11</v>
      </c>
      <c r="D1081" s="295">
        <f>'Bank Int.'!$C1081*7.5%/360</f>
        <v>403.49168958333337</v>
      </c>
      <c r="E1081" s="301">
        <v>18293.91</v>
      </c>
      <c r="F1081" s="295">
        <f>'Bank Int.'!$E1081*7.5%/360</f>
        <v>3.8112312499999996</v>
      </c>
      <c r="G1081" s="305">
        <v>85000</v>
      </c>
      <c r="H1081" s="303">
        <f>'Bank Int.'!$G1081*4.5%/360</f>
        <v>10.625</v>
      </c>
      <c r="I1081" s="254"/>
      <c r="J1081" s="307">
        <f>'Bank Int.'!$I1081*6.5%/360</f>
        <v>0</v>
      </c>
      <c r="K1081" s="337"/>
      <c r="L1081" s="307"/>
    </row>
    <row r="1082" spans="1:12" ht="22.9" customHeight="1" x14ac:dyDescent="0.25">
      <c r="A1082" s="257"/>
      <c r="B1082" s="253">
        <v>45036</v>
      </c>
      <c r="C1082" s="298">
        <v>1936760.11</v>
      </c>
      <c r="D1082" s="295">
        <f>'Bank Int.'!$C1082*7.5%/360</f>
        <v>403.49168958333337</v>
      </c>
      <c r="E1082" s="301">
        <v>18293.91</v>
      </c>
      <c r="F1082" s="295">
        <f>'Bank Int.'!$E1082*7.5%/360</f>
        <v>3.8112312499999996</v>
      </c>
      <c r="G1082" s="305">
        <v>85000</v>
      </c>
      <c r="H1082" s="303">
        <f>'Bank Int.'!$G1082*4.5%/360</f>
        <v>10.625</v>
      </c>
      <c r="I1082" s="254"/>
      <c r="J1082" s="307">
        <f>'Bank Int.'!$I1082*6.5%/360</f>
        <v>0</v>
      </c>
      <c r="K1082" s="337"/>
      <c r="L1082" s="307"/>
    </row>
    <row r="1083" spans="1:12" ht="22.9" customHeight="1" x14ac:dyDescent="0.25">
      <c r="A1083" s="257"/>
      <c r="B1083" s="253">
        <v>45035</v>
      </c>
      <c r="C1083" s="298">
        <v>1936760.11</v>
      </c>
      <c r="D1083" s="295">
        <f>'Bank Int.'!$C1083*7.5%/360</f>
        <v>403.49168958333337</v>
      </c>
      <c r="E1083" s="301">
        <v>18293.91</v>
      </c>
      <c r="F1083" s="295">
        <f>'Bank Int.'!$E1083*7.5%/360</f>
        <v>3.8112312499999996</v>
      </c>
      <c r="G1083" s="305">
        <v>85000</v>
      </c>
      <c r="H1083" s="303">
        <f>'Bank Int.'!$G1083*4.5%/360</f>
        <v>10.625</v>
      </c>
      <c r="I1083" s="254"/>
      <c r="J1083" s="307">
        <f>'Bank Int.'!$I1083*6.5%/360</f>
        <v>0</v>
      </c>
      <c r="K1083" s="337"/>
      <c r="L1083" s="307"/>
    </row>
    <row r="1084" spans="1:12" ht="22.9" customHeight="1" x14ac:dyDescent="0.25">
      <c r="A1084" s="257"/>
      <c r="B1084" s="253">
        <v>45034</v>
      </c>
      <c r="C1084" s="298">
        <v>1936820.11</v>
      </c>
      <c r="D1084" s="295">
        <f>'Bank Int.'!$C1084*7.5%/360</f>
        <v>403.50418958333336</v>
      </c>
      <c r="E1084" s="301">
        <v>18293.91</v>
      </c>
      <c r="F1084" s="295">
        <f>'Bank Int.'!$E1084*7.5%/360</f>
        <v>3.8112312499999996</v>
      </c>
      <c r="G1084" s="305">
        <v>85000</v>
      </c>
      <c r="H1084" s="303">
        <f>'Bank Int.'!$G1084*4.5%/360</f>
        <v>10.625</v>
      </c>
      <c r="I1084" s="254"/>
      <c r="J1084" s="307">
        <f>'Bank Int.'!$I1084*6.5%/360</f>
        <v>0</v>
      </c>
      <c r="K1084" s="337"/>
      <c r="L1084" s="307"/>
    </row>
    <row r="1085" spans="1:12" ht="22.9" customHeight="1" x14ac:dyDescent="0.25">
      <c r="A1085" s="257"/>
      <c r="B1085" s="253">
        <v>45033</v>
      </c>
      <c r="C1085" s="298">
        <v>1436820.11</v>
      </c>
      <c r="D1085" s="295">
        <f>'Bank Int.'!$C1085*7.5%/360</f>
        <v>299.33752291666667</v>
      </c>
      <c r="E1085" s="301">
        <v>18293.91</v>
      </c>
      <c r="F1085" s="295">
        <f>'Bank Int.'!$E1085*7.5%/360</f>
        <v>3.8112312499999996</v>
      </c>
      <c r="G1085" s="305">
        <v>85000</v>
      </c>
      <c r="H1085" s="303">
        <f>'Bank Int.'!$G1085*4.5%/360</f>
        <v>10.625</v>
      </c>
      <c r="I1085" s="254"/>
      <c r="J1085" s="307">
        <f>'Bank Int.'!$I1085*6.5%/360</f>
        <v>0</v>
      </c>
      <c r="K1085" s="337"/>
      <c r="L1085" s="307"/>
    </row>
    <row r="1086" spans="1:12" ht="22.9" customHeight="1" x14ac:dyDescent="0.25">
      <c r="A1086" s="257"/>
      <c r="B1086" s="253">
        <v>45032</v>
      </c>
      <c r="C1086" s="298">
        <v>1436820.11</v>
      </c>
      <c r="D1086" s="295">
        <f>'Bank Int.'!$C1086*7.5%/360</f>
        <v>299.33752291666667</v>
      </c>
      <c r="E1086" s="301">
        <v>22561.200000000001</v>
      </c>
      <c r="F1086" s="295">
        <f>'Bank Int.'!$E1086*7.5%/360</f>
        <v>4.7002499999999996</v>
      </c>
      <c r="G1086" s="305">
        <v>85000</v>
      </c>
      <c r="H1086" s="303">
        <f>'Bank Int.'!$G1086*4.5%/360</f>
        <v>10.625</v>
      </c>
      <c r="I1086" s="254"/>
      <c r="J1086" s="307">
        <f>'Bank Int.'!$I1086*6.5%/360</f>
        <v>0</v>
      </c>
      <c r="K1086" s="337"/>
      <c r="L1086" s="307"/>
    </row>
    <row r="1087" spans="1:12" ht="22.9" customHeight="1" x14ac:dyDescent="0.25">
      <c r="A1087" s="257"/>
      <c r="B1087" s="253">
        <v>45031</v>
      </c>
      <c r="C1087" s="298">
        <v>931670.11</v>
      </c>
      <c r="D1087" s="295">
        <f>'Bank Int.'!$C1087*7.5%/360</f>
        <v>194.09793958333333</v>
      </c>
      <c r="E1087" s="301">
        <v>22561.200000000001</v>
      </c>
      <c r="F1087" s="295">
        <f>'Bank Int.'!$E1087*7.5%/360</f>
        <v>4.7002499999999996</v>
      </c>
      <c r="G1087" s="305">
        <v>85000</v>
      </c>
      <c r="H1087" s="303">
        <f>'Bank Int.'!$G1087*4.5%/360</f>
        <v>10.625</v>
      </c>
      <c r="I1087" s="254"/>
      <c r="J1087" s="307">
        <f>'Bank Int.'!$I1087*6.5%/360</f>
        <v>0</v>
      </c>
      <c r="K1087" s="337"/>
      <c r="L1087" s="307"/>
    </row>
    <row r="1088" spans="1:12" ht="22.9" customHeight="1" x14ac:dyDescent="0.25">
      <c r="A1088" s="257"/>
      <c r="B1088" s="253">
        <v>45030</v>
      </c>
      <c r="C1088" s="298">
        <v>931670.11</v>
      </c>
      <c r="D1088" s="295">
        <f>'Bank Int.'!$C1088*7.5%/360</f>
        <v>194.09793958333333</v>
      </c>
      <c r="E1088" s="301">
        <v>22561.200000000001</v>
      </c>
      <c r="F1088" s="295">
        <f>'Bank Int.'!$E1088*7.5%/360</f>
        <v>4.7002499999999996</v>
      </c>
      <c r="G1088" s="305">
        <v>85000</v>
      </c>
      <c r="H1088" s="303">
        <f>'Bank Int.'!$G1088*4.5%/360</f>
        <v>10.625</v>
      </c>
      <c r="I1088" s="254"/>
      <c r="J1088" s="307">
        <f>'Bank Int.'!$I1088*6.5%/360</f>
        <v>0</v>
      </c>
      <c r="K1088" s="337"/>
      <c r="L1088" s="307"/>
    </row>
    <row r="1089" spans="2:12" ht="22.9" customHeight="1" x14ac:dyDescent="0.25">
      <c r="B1089" s="253">
        <v>45029</v>
      </c>
      <c r="C1089" s="298">
        <v>931670.11</v>
      </c>
      <c r="D1089" s="295">
        <f>'Bank Int.'!$C1089*7.5%/360</f>
        <v>194.09793958333333</v>
      </c>
      <c r="E1089" s="301">
        <v>22561.200000000001</v>
      </c>
      <c r="F1089" s="295">
        <f>'Bank Int.'!$E1089*7.5%/360</f>
        <v>4.7002499999999996</v>
      </c>
      <c r="G1089" s="305">
        <v>85000</v>
      </c>
      <c r="H1089" s="303">
        <f>'Bank Int.'!$G1089*4.5%/360</f>
        <v>10.625</v>
      </c>
      <c r="I1089" s="254"/>
      <c r="J1089" s="307">
        <f>'Bank Int.'!$I1089*6.5%/360</f>
        <v>0</v>
      </c>
      <c r="K1089" s="337"/>
      <c r="L1089" s="307"/>
    </row>
    <row r="1090" spans="2:12" ht="22.9" customHeight="1" x14ac:dyDescent="0.25">
      <c r="B1090" s="253">
        <v>45028</v>
      </c>
      <c r="C1090" s="298">
        <v>931670.11</v>
      </c>
      <c r="D1090" s="295">
        <f>'Bank Int.'!$C1090*7.5%/360</f>
        <v>194.09793958333333</v>
      </c>
      <c r="E1090" s="301">
        <v>22561.200000000001</v>
      </c>
      <c r="F1090" s="295">
        <f>'Bank Int.'!$E1090*7.5%/360</f>
        <v>4.7002499999999996</v>
      </c>
      <c r="G1090" s="305">
        <v>70000</v>
      </c>
      <c r="H1090" s="303">
        <f>'Bank Int.'!$G1090*4.5%/360</f>
        <v>8.75</v>
      </c>
      <c r="I1090" s="254"/>
      <c r="J1090" s="307">
        <f>'Bank Int.'!$I1090*6.5%/360</f>
        <v>0</v>
      </c>
      <c r="K1090" s="337"/>
      <c r="L1090" s="307"/>
    </row>
    <row r="1091" spans="2:12" ht="22.9" customHeight="1" x14ac:dyDescent="0.25">
      <c r="B1091" s="253">
        <v>45027</v>
      </c>
      <c r="C1091" s="298">
        <v>1231670.1100000001</v>
      </c>
      <c r="D1091" s="295">
        <f>'Bank Int.'!$C1091*7.5%/360</f>
        <v>256.59793958333336</v>
      </c>
      <c r="E1091" s="301">
        <v>22561.200000000001</v>
      </c>
      <c r="F1091" s="295">
        <f>'Bank Int.'!$E1091*7.5%/360</f>
        <v>4.7002499999999996</v>
      </c>
      <c r="G1091" s="305">
        <v>70000</v>
      </c>
      <c r="H1091" s="303">
        <f>'Bank Int.'!$G1091*4.5%/360</f>
        <v>8.75</v>
      </c>
      <c r="I1091" s="254"/>
      <c r="J1091" s="307">
        <f>'Bank Int.'!$I1091*6.5%/360</f>
        <v>0</v>
      </c>
      <c r="K1091" s="337"/>
      <c r="L1091" s="307"/>
    </row>
    <row r="1092" spans="2:12" ht="22.9" customHeight="1" x14ac:dyDescent="0.25">
      <c r="B1092" s="253">
        <v>45026</v>
      </c>
      <c r="C1092" s="298">
        <v>1231670.1100000001</v>
      </c>
      <c r="D1092" s="295">
        <f>'Bank Int.'!$C1092*7.5%/360</f>
        <v>256.59793958333336</v>
      </c>
      <c r="E1092" s="301">
        <v>22561.200000000001</v>
      </c>
      <c r="F1092" s="295">
        <f>'Bank Int.'!$E1092*7.5%/360</f>
        <v>4.7002499999999996</v>
      </c>
      <c r="G1092" s="256"/>
      <c r="H1092" s="256"/>
      <c r="I1092" s="254"/>
      <c r="J1092" s="307">
        <f>'Bank Int.'!$I1092*6.5%/360</f>
        <v>0</v>
      </c>
      <c r="K1092" s="337"/>
      <c r="L1092" s="307"/>
    </row>
    <row r="1093" spans="2:12" ht="22.9" customHeight="1" x14ac:dyDescent="0.25">
      <c r="B1093" s="253">
        <v>45025</v>
      </c>
      <c r="C1093" s="298">
        <v>1231670.1100000001</v>
      </c>
      <c r="D1093" s="295">
        <f>'Bank Int.'!$C1093*7.5%/360</f>
        <v>256.59793958333336</v>
      </c>
      <c r="E1093" s="301">
        <v>22561.200000000001</v>
      </c>
      <c r="F1093" s="295">
        <f>'Bank Int.'!$E1093*7.5%/360</f>
        <v>4.7002499999999996</v>
      </c>
      <c r="G1093" s="256"/>
      <c r="H1093" s="256"/>
      <c r="I1093" s="254"/>
      <c r="J1093" s="307">
        <f>'Bank Int.'!$I1093*6.5%/360</f>
        <v>0</v>
      </c>
      <c r="K1093" s="337"/>
      <c r="L1093" s="307"/>
    </row>
    <row r="1094" spans="2:12" ht="22.9" customHeight="1" x14ac:dyDescent="0.25">
      <c r="B1094" s="253">
        <v>45024</v>
      </c>
      <c r="C1094" s="298">
        <v>1231670.1100000001</v>
      </c>
      <c r="D1094" s="295">
        <f>'Bank Int.'!$C1094*7.5%/360</f>
        <v>256.59793958333336</v>
      </c>
      <c r="E1094" s="301">
        <v>22561.200000000001</v>
      </c>
      <c r="F1094" s="295">
        <f>'Bank Int.'!$E1094*7.5%/360</f>
        <v>4.7002499999999996</v>
      </c>
      <c r="G1094" s="256"/>
      <c r="H1094" s="256"/>
      <c r="I1094" s="254"/>
      <c r="J1094" s="307">
        <f>'Bank Int.'!$I1094*6.5%/360</f>
        <v>0</v>
      </c>
      <c r="K1094" s="337"/>
      <c r="L1094" s="307"/>
    </row>
    <row r="1095" spans="2:12" ht="22.9" customHeight="1" x14ac:dyDescent="0.25">
      <c r="B1095" s="253">
        <v>45023</v>
      </c>
      <c r="C1095" s="298">
        <v>1231670.1100000001</v>
      </c>
      <c r="D1095" s="295">
        <f>'Bank Int.'!$C1095*7.5%/360</f>
        <v>256.59793958333336</v>
      </c>
      <c r="E1095" s="301">
        <v>22561.200000000001</v>
      </c>
      <c r="F1095" s="295">
        <f>'Bank Int.'!$E1095*7.5%/360</f>
        <v>4.7002499999999996</v>
      </c>
      <c r="G1095" s="256"/>
      <c r="H1095" s="256"/>
      <c r="I1095" s="254"/>
      <c r="J1095" s="307">
        <f>'Bank Int.'!$I1095*6.5%/360</f>
        <v>0</v>
      </c>
      <c r="K1095" s="337"/>
      <c r="L1095" s="307"/>
    </row>
    <row r="1096" spans="2:12" ht="22.9" customHeight="1" x14ac:dyDescent="0.25">
      <c r="B1096" s="253">
        <v>45022</v>
      </c>
      <c r="C1096" s="299">
        <v>1231670.1100000001</v>
      </c>
      <c r="D1096" s="295">
        <f>'Bank Int.'!$C1096*7.5%/360</f>
        <v>256.59793958333336</v>
      </c>
      <c r="E1096" s="301">
        <v>22561.200000000001</v>
      </c>
      <c r="F1096" s="295">
        <f>'Bank Int.'!$E1096*7.5%/360</f>
        <v>4.7002499999999996</v>
      </c>
      <c r="G1096" s="256"/>
      <c r="H1096" s="254"/>
      <c r="I1096" s="254"/>
      <c r="J1096" s="307">
        <f>'Bank Int.'!$I1096*6.5%/360</f>
        <v>0</v>
      </c>
      <c r="K1096" s="337"/>
      <c r="L1096" s="307"/>
    </row>
    <row r="1097" spans="2:12" ht="22.9" customHeight="1" x14ac:dyDescent="0.25">
      <c r="B1097" s="253">
        <v>45021</v>
      </c>
      <c r="C1097" s="299">
        <v>1231670.1100000001</v>
      </c>
      <c r="D1097" s="295">
        <f>'Bank Int.'!$C1097*7.5%/360</f>
        <v>256.59793958333336</v>
      </c>
      <c r="E1097" s="302">
        <v>22561.200000000001</v>
      </c>
      <c r="F1097" s="295">
        <f>'Bank Int.'!$E1097*7.5%/360</f>
        <v>4.7002499999999996</v>
      </c>
      <c r="G1097" s="256"/>
      <c r="H1097" s="254"/>
      <c r="I1097" s="254"/>
      <c r="J1097" s="307">
        <f>'Bank Int.'!$I1097*6.5%/360</f>
        <v>0</v>
      </c>
      <c r="K1097" s="337"/>
      <c r="L1097" s="307"/>
    </row>
    <row r="1098" spans="2:12" ht="22.9" customHeight="1" x14ac:dyDescent="0.25">
      <c r="B1098" s="253">
        <v>45020</v>
      </c>
      <c r="C1098" s="298">
        <v>1143670.1100000001</v>
      </c>
      <c r="D1098" s="295">
        <f>'Bank Int.'!$C1098*7.5%/360</f>
        <v>238.26460624999999</v>
      </c>
      <c r="E1098" s="301">
        <v>763664</v>
      </c>
      <c r="F1098" s="295">
        <f>'Bank Int.'!$E1098*7.5%/360</f>
        <v>159.09666666666666</v>
      </c>
      <c r="G1098" s="256"/>
      <c r="H1098" s="254"/>
      <c r="I1098" s="254"/>
      <c r="J1098" s="307">
        <f>'Bank Int.'!$I1098*6.5%/360</f>
        <v>0</v>
      </c>
      <c r="K1098" s="337"/>
      <c r="L1098" s="307"/>
    </row>
    <row r="1099" spans="2:12" ht="22.9" customHeight="1" x14ac:dyDescent="0.25">
      <c r="B1099" s="253">
        <v>45019</v>
      </c>
      <c r="C1099" s="299">
        <v>6343670.1100000003</v>
      </c>
      <c r="D1099" s="295">
        <f>'Bank Int.'!$C1099*7.5%/360</f>
        <v>1321.5979395833333</v>
      </c>
      <c r="E1099" s="302">
        <v>5063664</v>
      </c>
      <c r="F1099" s="295">
        <f>'Bank Int.'!$E1099*7.5%/360</f>
        <v>1054.93</v>
      </c>
      <c r="G1099" s="256"/>
      <c r="H1099" s="254"/>
      <c r="I1099" s="254"/>
      <c r="J1099" s="307">
        <f>'Bank Int.'!$I1099*6.5%/360</f>
        <v>0</v>
      </c>
      <c r="K1099" s="337"/>
      <c r="L1099" s="307"/>
    </row>
    <row r="1100" spans="2:12" ht="22.9" customHeight="1" x14ac:dyDescent="0.25">
      <c r="B1100" s="253">
        <v>45018</v>
      </c>
      <c r="C1100" s="298">
        <v>11343670.109999999</v>
      </c>
      <c r="D1100" s="295">
        <f>'Bank Int.'!$C1100*7.5%/360</f>
        <v>2363.2646062499998</v>
      </c>
      <c r="E1100" s="301">
        <v>63664</v>
      </c>
      <c r="F1100" s="295">
        <f>'Bank Int.'!$E1100*7.5%/360</f>
        <v>13.263333333333334</v>
      </c>
      <c r="G1100" s="256"/>
      <c r="H1100" s="254"/>
      <c r="I1100" s="254"/>
      <c r="J1100" s="307">
        <f>'Bank Int.'!$I1100*6.5%/360</f>
        <v>0</v>
      </c>
      <c r="K1100" s="337"/>
      <c r="L1100" s="307"/>
    </row>
    <row r="1101" spans="2:12" ht="22.9" customHeight="1" x14ac:dyDescent="0.25">
      <c r="B1101" s="253">
        <v>45017</v>
      </c>
      <c r="C1101" s="299">
        <v>14964195.109999999</v>
      </c>
      <c r="D1101" s="295">
        <f>'Bank Int.'!$C1101*7.5%/360</f>
        <v>3117.5406479166663</v>
      </c>
      <c r="E1101" s="301">
        <v>63664</v>
      </c>
      <c r="F1101" s="295">
        <f>'Bank Int.'!$E1101*7.5%/360</f>
        <v>13.263333333333334</v>
      </c>
      <c r="G1101" s="256"/>
      <c r="H1101" s="254"/>
      <c r="I1101" s="254"/>
      <c r="J1101" s="307">
        <f>'Bank Int.'!$I1101*6.5%/360</f>
        <v>0</v>
      </c>
      <c r="K1101" s="337"/>
      <c r="L1101" s="307"/>
    </row>
    <row r="1102" spans="2:12" ht="22.9" customHeight="1" x14ac:dyDescent="0.25">
      <c r="B1102" s="253">
        <v>45016</v>
      </c>
      <c r="C1102" s="298">
        <v>14964195.109999999</v>
      </c>
      <c r="D1102" s="295">
        <f>'Bank Int.'!$C1102*7.5%/360</f>
        <v>3117.5406479166663</v>
      </c>
      <c r="E1102" s="301">
        <v>63664</v>
      </c>
      <c r="F1102" s="295">
        <f>'Bank Int.'!$E1102*7.5%/360</f>
        <v>13.263333333333334</v>
      </c>
      <c r="G1102" s="256"/>
      <c r="H1102" s="254"/>
      <c r="I1102" s="254"/>
      <c r="J1102" s="307">
        <f>'Bank Int.'!$I1102*6.5%/360</f>
        <v>0</v>
      </c>
      <c r="K1102" s="337"/>
      <c r="L1102" s="307"/>
    </row>
    <row r="1103" spans="2:12" ht="22.9" customHeight="1" x14ac:dyDescent="0.25">
      <c r="B1103" s="253">
        <v>45015</v>
      </c>
      <c r="C1103" s="298">
        <f>9964255.11+5000000</f>
        <v>14964255.109999999</v>
      </c>
      <c r="D1103" s="295">
        <f>'Bank Int.'!$C1103*7.5%/360</f>
        <v>3117.5531479166666</v>
      </c>
      <c r="E1103" s="301">
        <v>63664</v>
      </c>
      <c r="F1103" s="295">
        <f>'Bank Int.'!$E1103*7.5%/360</f>
        <v>13.263333333333334</v>
      </c>
      <c r="G1103" s="256"/>
      <c r="H1103" s="254"/>
      <c r="I1103" s="254"/>
      <c r="J1103" s="307">
        <f>'Bank Int.'!$I1103*6.5%/360</f>
        <v>0</v>
      </c>
      <c r="K1103" s="337"/>
      <c r="L1103" s="307"/>
    </row>
    <row r="1104" spans="2:12" ht="22.9" customHeight="1" x14ac:dyDescent="0.25">
      <c r="B1104" s="253">
        <v>45014</v>
      </c>
      <c r="C1104" s="298">
        <v>9964255.1099999994</v>
      </c>
      <c r="D1104" s="295">
        <f>'Bank Int.'!$C1104*7.5%/360</f>
        <v>2075.8864812500001</v>
      </c>
      <c r="E1104" s="301">
        <v>53724.6</v>
      </c>
      <c r="F1104" s="295">
        <f>'Bank Int.'!$E1104*7.5%/360</f>
        <v>11.192625</v>
      </c>
      <c r="G1104" s="256"/>
      <c r="H1104" s="254"/>
      <c r="I1104" s="254"/>
      <c r="J1104" s="307">
        <f>'Bank Int.'!$I1104*6.5%/360</f>
        <v>0</v>
      </c>
      <c r="K1104" s="337"/>
      <c r="L1104" s="307"/>
    </row>
    <row r="1105" spans="2:12" ht="22.9" customHeight="1" x14ac:dyDescent="0.25">
      <c r="B1105" s="253">
        <v>45013</v>
      </c>
      <c r="C1105" s="298">
        <v>9964255.1099999994</v>
      </c>
      <c r="D1105" s="295">
        <f>'Bank Int.'!$C1105*7.5%/360</f>
        <v>2075.8864812500001</v>
      </c>
      <c r="E1105" s="301">
        <v>53724.6</v>
      </c>
      <c r="F1105" s="295">
        <f>'Bank Int.'!$E1105*7.5%/360</f>
        <v>11.192625</v>
      </c>
      <c r="G1105" s="256"/>
      <c r="H1105" s="254"/>
      <c r="I1105" s="254"/>
      <c r="J1105" s="307">
        <f>'Bank Int.'!$I1105*6.5%/360</f>
        <v>0</v>
      </c>
      <c r="K1105" s="337"/>
      <c r="L1105" s="307"/>
    </row>
    <row r="1106" spans="2:12" ht="22.9" customHeight="1" x14ac:dyDescent="0.25">
      <c r="B1106" s="253">
        <v>45012</v>
      </c>
      <c r="C1106" s="298">
        <v>9964255.1099999994</v>
      </c>
      <c r="D1106" s="295">
        <f>'Bank Int.'!$C1106*7.5%/360</f>
        <v>2075.8864812500001</v>
      </c>
      <c r="E1106" s="301">
        <v>53724.6</v>
      </c>
      <c r="F1106" s="295">
        <f>'Bank Int.'!$E1106*7.5%/360</f>
        <v>11.192625</v>
      </c>
      <c r="G1106" s="256"/>
      <c r="H1106" s="254"/>
      <c r="I1106" s="254"/>
      <c r="J1106" s="307">
        <f>'Bank Int.'!$I1106*6.5%/360</f>
        <v>0</v>
      </c>
      <c r="K1106" s="337"/>
      <c r="L1106" s="307"/>
    </row>
    <row r="1107" spans="2:12" ht="22.9" customHeight="1" x14ac:dyDescent="0.25">
      <c r="B1107" s="253">
        <v>45011</v>
      </c>
      <c r="C1107" s="298">
        <v>9964255.1099999994</v>
      </c>
      <c r="D1107" s="295">
        <f>'Bank Int.'!$C1107*7.5%/360</f>
        <v>2075.8864812500001</v>
      </c>
      <c r="E1107" s="301">
        <v>53724.6</v>
      </c>
      <c r="F1107" s="295">
        <f>'Bank Int.'!$E1107*7.5%/360</f>
        <v>11.192625</v>
      </c>
      <c r="G1107" s="256"/>
      <c r="H1107" s="254"/>
      <c r="I1107" s="254"/>
      <c r="J1107" s="307">
        <f>'Bank Int.'!$I1107*6.5%/360</f>
        <v>0</v>
      </c>
      <c r="K1107" s="337"/>
      <c r="L1107" s="307"/>
    </row>
    <row r="1108" spans="2:12" ht="22.9" customHeight="1" x14ac:dyDescent="0.25">
      <c r="B1108" s="253">
        <v>45010</v>
      </c>
      <c r="C1108" s="298">
        <v>9964255.1099999994</v>
      </c>
      <c r="D1108" s="295">
        <f>'Bank Int.'!$C1108*7.5%/360</f>
        <v>2075.8864812500001</v>
      </c>
      <c r="E1108" s="301">
        <v>53724.6</v>
      </c>
      <c r="F1108" s="295">
        <f>'Bank Int.'!$E1108*7.5%/360</f>
        <v>11.192625</v>
      </c>
      <c r="G1108" s="256"/>
      <c r="H1108" s="254"/>
      <c r="I1108" s="254"/>
      <c r="J1108" s="307">
        <f>'Bank Int.'!$I1108*6.5%/360</f>
        <v>0</v>
      </c>
      <c r="K1108" s="337"/>
      <c r="L1108" s="307"/>
    </row>
    <row r="1109" spans="2:12" ht="22.9" customHeight="1" x14ac:dyDescent="0.25">
      <c r="B1109" s="253">
        <v>45009</v>
      </c>
      <c r="C1109" s="298">
        <v>9964255.1099999994</v>
      </c>
      <c r="D1109" s="295">
        <f>'Bank Int.'!$C1109*7.5%/360</f>
        <v>2075.8864812500001</v>
      </c>
      <c r="E1109" s="301">
        <v>53724.6</v>
      </c>
      <c r="F1109" s="295">
        <f>'Bank Int.'!$E1109*7.5%/360</f>
        <v>11.192625</v>
      </c>
      <c r="G1109" s="256"/>
      <c r="H1109" s="254"/>
      <c r="I1109" s="254"/>
      <c r="J1109" s="307">
        <f>'Bank Int.'!$I1109*6.5%/360</f>
        <v>0</v>
      </c>
      <c r="K1109" s="337"/>
      <c r="L1109" s="307"/>
    </row>
    <row r="1110" spans="2:12" ht="22.9" customHeight="1" x14ac:dyDescent="0.25">
      <c r="B1110" s="253">
        <v>45008</v>
      </c>
      <c r="C1110" s="298">
        <v>9964255.1099999994</v>
      </c>
      <c r="D1110" s="295">
        <f>'Bank Int.'!$C1110*7.5%/360</f>
        <v>2075.8864812500001</v>
      </c>
      <c r="E1110" s="301">
        <v>53724.6</v>
      </c>
      <c r="F1110" s="295">
        <f>'Bank Int.'!$E1110*7.5%/360</f>
        <v>11.192625</v>
      </c>
      <c r="G1110" s="256"/>
      <c r="H1110" s="254"/>
      <c r="I1110" s="254"/>
      <c r="J1110" s="307">
        <f>'Bank Int.'!$I1110*6.5%/360</f>
        <v>0</v>
      </c>
      <c r="K1110" s="337"/>
      <c r="L1110" s="307"/>
    </row>
    <row r="1111" spans="2:12" ht="22.9" customHeight="1" x14ac:dyDescent="0.25">
      <c r="B1111" s="253">
        <v>45007</v>
      </c>
      <c r="C1111" s="298">
        <v>10064883.109999999</v>
      </c>
      <c r="D1111" s="295">
        <f>'Bank Int.'!$C1111*7.5%/360</f>
        <v>2096.8506479166663</v>
      </c>
      <c r="E1111" s="301">
        <v>53724.6</v>
      </c>
      <c r="F1111" s="295">
        <f>'Bank Int.'!$E1111*7.5%/360</f>
        <v>11.192625</v>
      </c>
      <c r="G1111" s="256"/>
      <c r="H1111" s="254"/>
      <c r="I1111" s="254"/>
      <c r="J1111" s="307">
        <f>'Bank Int.'!$I1111*6.5%/360</f>
        <v>0</v>
      </c>
      <c r="K1111" s="337"/>
      <c r="L1111" s="307"/>
    </row>
    <row r="1112" spans="2:12" ht="22.9" customHeight="1" x14ac:dyDescent="0.25">
      <c r="B1112" s="253">
        <v>45006</v>
      </c>
      <c r="C1112" s="298">
        <v>10064883.109999999</v>
      </c>
      <c r="D1112" s="295">
        <f>'Bank Int.'!$C1112*7.5%/360</f>
        <v>2096.8506479166663</v>
      </c>
      <c r="E1112" s="301">
        <v>53724.6</v>
      </c>
      <c r="F1112" s="295">
        <f>'Bank Int.'!$E1112*7.5%/360</f>
        <v>11.192625</v>
      </c>
      <c r="G1112" s="256"/>
      <c r="H1112" s="254"/>
      <c r="I1112" s="254"/>
      <c r="J1112" s="307">
        <f>'Bank Int.'!$I1112*6.5%/360</f>
        <v>0</v>
      </c>
      <c r="K1112" s="337"/>
      <c r="L1112" s="307"/>
    </row>
    <row r="1113" spans="2:12" ht="22.9" customHeight="1" x14ac:dyDescent="0.25">
      <c r="B1113" s="253">
        <v>45005</v>
      </c>
      <c r="C1113" s="298">
        <v>10567733.109999999</v>
      </c>
      <c r="D1113" s="295">
        <f>'Bank Int.'!$C1113*7.5%/360</f>
        <v>2201.6110645833332</v>
      </c>
      <c r="E1113" s="301">
        <v>53724.6</v>
      </c>
      <c r="F1113" s="295">
        <f>'Bank Int.'!$E1113*7.5%/360</f>
        <v>11.192625</v>
      </c>
      <c r="G1113" s="256"/>
      <c r="H1113" s="254"/>
      <c r="I1113" s="254"/>
      <c r="J1113" s="307">
        <f>'Bank Int.'!$I1113*6.5%/360</f>
        <v>0</v>
      </c>
      <c r="K1113" s="337"/>
      <c r="L1113" s="307"/>
    </row>
    <row r="1114" spans="2:12" ht="22.9" customHeight="1" x14ac:dyDescent="0.25">
      <c r="B1114" s="253">
        <v>45004</v>
      </c>
      <c r="C1114" s="298">
        <v>10567733.109999999</v>
      </c>
      <c r="D1114" s="295">
        <f>'Bank Int.'!$C1114*7.5%/360</f>
        <v>2201.6110645833332</v>
      </c>
      <c r="E1114" s="301">
        <v>53724.6</v>
      </c>
      <c r="F1114" s="295">
        <f>'Bank Int.'!$E1114*7.5%/360</f>
        <v>11.192625</v>
      </c>
      <c r="G1114" s="256"/>
      <c r="H1114" s="254"/>
      <c r="I1114" s="254"/>
      <c r="J1114" s="307">
        <f>'Bank Int.'!$I1114*6.5%/360</f>
        <v>0</v>
      </c>
      <c r="K1114" s="337"/>
      <c r="L1114" s="307"/>
    </row>
    <row r="1115" spans="2:12" ht="22.9" customHeight="1" x14ac:dyDescent="0.25">
      <c r="B1115" s="253">
        <v>45003</v>
      </c>
      <c r="C1115" s="298">
        <v>10667733.109999999</v>
      </c>
      <c r="D1115" s="295">
        <f>'Bank Int.'!$C1115*7.5%/360</f>
        <v>2222.4443979166663</v>
      </c>
      <c r="E1115" s="301">
        <v>6722797</v>
      </c>
      <c r="F1115" s="295">
        <f>'Bank Int.'!$E1115*7.5%/360</f>
        <v>1400.5827083333331</v>
      </c>
      <c r="G1115" s="256"/>
      <c r="H1115" s="254"/>
      <c r="I1115" s="254"/>
      <c r="J1115" s="307">
        <f>'Bank Int.'!$I1115*6.5%/360</f>
        <v>0</v>
      </c>
      <c r="K1115" s="337"/>
      <c r="L1115" s="307"/>
    </row>
    <row r="1116" spans="2:12" ht="22.9" customHeight="1" x14ac:dyDescent="0.25">
      <c r="B1116" s="253">
        <v>45002</v>
      </c>
      <c r="C1116" s="298">
        <v>10667733.109999999</v>
      </c>
      <c r="D1116" s="295">
        <f>'Bank Int.'!$C1116*7.5%/360</f>
        <v>2222.4443979166663</v>
      </c>
      <c r="E1116" s="301">
        <v>6722797</v>
      </c>
      <c r="F1116" s="295">
        <f>'Bank Int.'!$E1116*7.5%/360</f>
        <v>1400.5827083333331</v>
      </c>
      <c r="G1116" s="256"/>
      <c r="H1116" s="254"/>
      <c r="I1116" s="254"/>
      <c r="J1116" s="307">
        <f>'Bank Int.'!$I1116*6.5%/360</f>
        <v>0</v>
      </c>
      <c r="K1116" s="337"/>
      <c r="L1116" s="307"/>
    </row>
    <row r="1117" spans="2:12" ht="22.9" customHeight="1" x14ac:dyDescent="0.25">
      <c r="B1117" s="253">
        <v>45001</v>
      </c>
      <c r="C1117" s="298">
        <v>10667733.109999999</v>
      </c>
      <c r="D1117" s="295">
        <f>'Bank Int.'!$C1117*7.5%/360</f>
        <v>2222.4443979166663</v>
      </c>
      <c r="E1117" s="301">
        <v>6722797</v>
      </c>
      <c r="F1117" s="295">
        <f>'Bank Int.'!$E1117*7.5%/360</f>
        <v>1400.5827083333331</v>
      </c>
      <c r="G1117" s="256"/>
      <c r="H1117" s="254"/>
      <c r="I1117" s="254"/>
      <c r="J1117" s="307">
        <f>'Bank Int.'!$I1117*6.5%/360</f>
        <v>0</v>
      </c>
      <c r="K1117" s="337"/>
      <c r="L1117" s="307"/>
    </row>
    <row r="1118" spans="2:12" ht="22.9" customHeight="1" x14ac:dyDescent="0.25">
      <c r="B1118" s="253">
        <v>45000</v>
      </c>
      <c r="C1118" s="298">
        <v>10667733.109999999</v>
      </c>
      <c r="D1118" s="295">
        <f>'Bank Int.'!$C1118*7.5%/360</f>
        <v>2222.4443979166663</v>
      </c>
      <c r="E1118" s="301">
        <v>6722797</v>
      </c>
      <c r="F1118" s="295">
        <f>'Bank Int.'!$E1118*7.5%/360</f>
        <v>1400.5827083333331</v>
      </c>
      <c r="G1118" s="256"/>
      <c r="H1118" s="254"/>
      <c r="I1118" s="254"/>
      <c r="J1118" s="307">
        <f>'Bank Int.'!$I1118*6.5%/360</f>
        <v>0</v>
      </c>
      <c r="K1118" s="337"/>
      <c r="L1118" s="307"/>
    </row>
    <row r="1119" spans="2:12" ht="22.9" customHeight="1" x14ac:dyDescent="0.25">
      <c r="B1119" s="253">
        <v>44999</v>
      </c>
      <c r="C1119" s="298">
        <v>17167733.109999999</v>
      </c>
      <c r="D1119" s="295">
        <f>'Bank Int.'!$C1119*7.5%/360</f>
        <v>3576.6110645833328</v>
      </c>
      <c r="E1119" s="301">
        <v>1653947</v>
      </c>
      <c r="F1119" s="295">
        <f>'Bank Int.'!$E1119*7.5%/360</f>
        <v>344.57229166666667</v>
      </c>
      <c r="G1119" s="256"/>
      <c r="H1119" s="254"/>
      <c r="I1119" s="254"/>
      <c r="J1119" s="307">
        <f>'Bank Int.'!$I1119*6.5%/360</f>
        <v>0</v>
      </c>
      <c r="K1119" s="337"/>
      <c r="L1119" s="307"/>
    </row>
    <row r="1120" spans="2:12" ht="22.9" customHeight="1" x14ac:dyDescent="0.25">
      <c r="B1120" s="253">
        <v>44998</v>
      </c>
      <c r="C1120" s="298">
        <v>18667733.109999999</v>
      </c>
      <c r="D1120" s="295">
        <f>'Bank Int.'!$C1120*7.5%/360</f>
        <v>3889.1110645833328</v>
      </c>
      <c r="E1120" s="301">
        <v>153947</v>
      </c>
      <c r="F1120" s="295">
        <f>'Bank Int.'!$E1120*7.5%/360</f>
        <v>32.072291666666665</v>
      </c>
      <c r="G1120" s="256"/>
      <c r="H1120" s="254"/>
      <c r="I1120" s="254"/>
      <c r="J1120" s="307">
        <f>'Bank Int.'!$I1120*6.5%/360</f>
        <v>0</v>
      </c>
      <c r="K1120" s="337"/>
      <c r="L1120" s="307"/>
    </row>
    <row r="1121" spans="2:12" ht="22.9" customHeight="1" x14ac:dyDescent="0.25">
      <c r="B1121" s="253">
        <f>B1120-1</f>
        <v>44997</v>
      </c>
      <c r="C1121" s="298">
        <v>22717758.109999999</v>
      </c>
      <c r="D1121" s="295">
        <f>'Bank Int.'!$C1121*7.5%/360</f>
        <v>4732.8662729166663</v>
      </c>
      <c r="E1121" s="301">
        <v>1999137</v>
      </c>
      <c r="F1121" s="295">
        <f>'Bank Int.'!$E1121*7.5%/360</f>
        <v>416.486875</v>
      </c>
      <c r="G1121" s="256"/>
      <c r="H1121" s="254"/>
      <c r="I1121" s="254"/>
      <c r="J1121" s="307">
        <f>'Bank Int.'!$I1121*6.5%/360</f>
        <v>0</v>
      </c>
      <c r="K1121" s="337"/>
      <c r="L1121" s="307"/>
    </row>
    <row r="1122" spans="2:12" ht="22.9" customHeight="1" x14ac:dyDescent="0.25">
      <c r="B1122" s="253">
        <f>B1121-1</f>
        <v>44996</v>
      </c>
      <c r="C1122" s="298">
        <v>24517758.109999999</v>
      </c>
      <c r="D1122" s="295">
        <f>'Bank Int.'!$C1122*7.5%/360</f>
        <v>5107.8662729166663</v>
      </c>
      <c r="E1122" s="301">
        <v>224195</v>
      </c>
      <c r="F1122" s="295">
        <f>'Bank Int.'!$E1122*7.5%/360</f>
        <v>46.70729166666667</v>
      </c>
      <c r="G1122" s="256"/>
      <c r="H1122" s="254"/>
      <c r="I1122" s="254"/>
      <c r="J1122" s="307">
        <f>'Bank Int.'!$I1122*6.5%/360</f>
        <v>0</v>
      </c>
      <c r="K1122" s="337"/>
      <c r="L1122" s="307"/>
    </row>
    <row r="1123" spans="2:12" ht="22.9" customHeight="1" x14ac:dyDescent="0.25">
      <c r="B1123" s="253">
        <f>B1122-1</f>
        <v>44995</v>
      </c>
      <c r="C1123" s="298">
        <v>24517758.109999999</v>
      </c>
      <c r="D1123" s="295">
        <f>'Bank Int.'!$C1123*7.5%/360</f>
        <v>5107.8662729166663</v>
      </c>
      <c r="E1123" s="301">
        <v>224195</v>
      </c>
      <c r="F1123" s="295">
        <f>'Bank Int.'!$E1123*7.5%/360</f>
        <v>46.70729166666667</v>
      </c>
      <c r="G1123" s="256"/>
      <c r="H1123" s="254"/>
      <c r="I1123" s="254"/>
      <c r="J1123" s="307">
        <f>'Bank Int.'!$I1123*6.5%/360</f>
        <v>0</v>
      </c>
      <c r="K1123" s="337"/>
      <c r="L1123" s="307"/>
    </row>
    <row r="1124" spans="2:12" ht="22.9" customHeight="1" x14ac:dyDescent="0.25">
      <c r="B1124" s="253">
        <v>44994</v>
      </c>
      <c r="C1124" s="298">
        <v>24517758.109999999</v>
      </c>
      <c r="D1124" s="295">
        <f>'Bank Int.'!$C1124*7.5%/360</f>
        <v>5107.8662729166663</v>
      </c>
      <c r="E1124" s="301">
        <v>224195</v>
      </c>
      <c r="F1124" s="295">
        <f>'Bank Int.'!$E1124*7.5%/360</f>
        <v>46.70729166666667</v>
      </c>
      <c r="G1124" s="256"/>
      <c r="H1124" s="254"/>
      <c r="I1124" s="254"/>
      <c r="J1124" s="307">
        <f>'Bank Int.'!$I1124*6.5%/360</f>
        <v>0</v>
      </c>
      <c r="K1124" s="337"/>
      <c r="L1124" s="307"/>
    </row>
    <row r="1125" spans="2:12" ht="22.9" customHeight="1" x14ac:dyDescent="0.25">
      <c r="B1125" s="253">
        <v>44993</v>
      </c>
      <c r="C1125" s="298">
        <v>49017783.109999999</v>
      </c>
      <c r="D1125" s="295">
        <f>'Bank Int.'!$C1125*7.5%/360</f>
        <v>10212.038147916666</v>
      </c>
      <c r="E1125" s="301">
        <v>224195</v>
      </c>
      <c r="F1125" s="295">
        <f>'Bank Int.'!$E1125*7.5%/360</f>
        <v>46.70729166666667</v>
      </c>
      <c r="G1125" s="256"/>
      <c r="H1125" s="254"/>
      <c r="I1125" s="254"/>
      <c r="J1125" s="307">
        <f>'Bank Int.'!$I1125*6.5%/360</f>
        <v>0</v>
      </c>
      <c r="K1125" s="337"/>
      <c r="L1125" s="307"/>
    </row>
    <row r="1126" spans="2:12" ht="22.9" customHeight="1" x14ac:dyDescent="0.25">
      <c r="B1126" s="253">
        <v>44992</v>
      </c>
      <c r="C1126" s="298">
        <v>49017783.109999999</v>
      </c>
      <c r="D1126" s="295">
        <f>'Bank Int.'!$C1126*7.5%/360</f>
        <v>10212.038147916666</v>
      </c>
      <c r="E1126" s="301">
        <v>224195</v>
      </c>
      <c r="F1126" s="295">
        <f>'Bank Int.'!$E1126*7.5%/360</f>
        <v>46.70729166666667</v>
      </c>
      <c r="G1126" s="256"/>
      <c r="H1126" s="254"/>
      <c r="I1126" s="254"/>
      <c r="J1126" s="307">
        <f>'Bank Int.'!$I1126*6.5%/360</f>
        <v>0</v>
      </c>
      <c r="K1126" s="337"/>
      <c r="L1126" s="307"/>
    </row>
    <row r="1127" spans="2:12" ht="22.9" customHeight="1" x14ac:dyDescent="0.25">
      <c r="B1127" s="253">
        <v>44991</v>
      </c>
      <c r="C1127" s="298">
        <v>101617783.11</v>
      </c>
      <c r="D1127" s="295">
        <f>'Bank Int.'!$C1127*7.5%/360</f>
        <v>21170.37148125</v>
      </c>
      <c r="E1127" s="301">
        <v>124195</v>
      </c>
      <c r="F1127" s="295">
        <f>'Bank Int.'!$E1127*7.5%/360</f>
        <v>25.873958333333334</v>
      </c>
      <c r="G1127" s="256"/>
      <c r="H1127" s="254"/>
      <c r="I1127" s="254"/>
      <c r="J1127" s="307">
        <f>'Bank Int.'!$I1127*6.5%/360</f>
        <v>0</v>
      </c>
      <c r="K1127" s="337"/>
      <c r="L1127" s="307"/>
    </row>
    <row r="1128" spans="2:12" ht="22.9" customHeight="1" x14ac:dyDescent="0.25">
      <c r="B1128" s="253">
        <v>44990</v>
      </c>
      <c r="C1128" s="298">
        <v>101617783.11</v>
      </c>
      <c r="D1128" s="295">
        <f>'Bank Int.'!$C1128*7.5%/360</f>
        <v>21170.37148125</v>
      </c>
      <c r="E1128" s="301">
        <v>125000</v>
      </c>
      <c r="F1128" s="295">
        <f>'Bank Int.'!$E1128*7.5%/360</f>
        <v>26.041666666666668</v>
      </c>
      <c r="G1128" s="256"/>
      <c r="H1128" s="254"/>
      <c r="I1128" s="254"/>
      <c r="J1128" s="307">
        <f>'Bank Int.'!$I1128*6.5%/360</f>
        <v>0</v>
      </c>
      <c r="K1128" s="337"/>
      <c r="L1128" s="307"/>
    </row>
    <row r="1129" spans="2:12" ht="22.9" customHeight="1" x14ac:dyDescent="0.25">
      <c r="B1129" s="253">
        <v>44989</v>
      </c>
      <c r="C1129" s="298">
        <v>101155782.11</v>
      </c>
      <c r="D1129" s="295">
        <f>'Bank Int.'!$C1129*7.5%/360</f>
        <v>21074.121272916665</v>
      </c>
      <c r="E1129" s="254"/>
      <c r="F1129" s="256"/>
      <c r="G1129" s="256"/>
      <c r="H1129" s="254"/>
      <c r="I1129" s="254"/>
      <c r="J1129" s="307">
        <f>'Bank Int.'!$I1129*6.5%/360</f>
        <v>0</v>
      </c>
      <c r="K1129" s="337"/>
      <c r="L1129" s="307"/>
    </row>
    <row r="1130" spans="2:12" ht="22.9" customHeight="1" x14ac:dyDescent="0.25">
      <c r="B1130" s="253">
        <v>44988</v>
      </c>
      <c r="C1130" s="298">
        <v>101155782.11</v>
      </c>
      <c r="D1130" s="295">
        <f>'Bank Int.'!$C1130*7.5%/360</f>
        <v>21074.121272916665</v>
      </c>
      <c r="E1130" s="254"/>
      <c r="F1130" s="256"/>
      <c r="G1130" s="256"/>
      <c r="H1130" s="254"/>
      <c r="I1130" s="254"/>
      <c r="J1130" s="307">
        <f>'Bank Int.'!$I1130*6.5%/360</f>
        <v>0</v>
      </c>
      <c r="K1130" s="337"/>
      <c r="L1130" s="307"/>
    </row>
    <row r="1131" spans="2:12" ht="22.9" customHeight="1" x14ac:dyDescent="0.25">
      <c r="B1131" s="253">
        <v>44987</v>
      </c>
      <c r="C1131" s="298">
        <v>101155782.11</v>
      </c>
      <c r="D1131" s="295">
        <f>'Bank Int.'!$C1131*7.5%/360</f>
        <v>21074.121272916665</v>
      </c>
      <c r="E1131" s="254"/>
      <c r="F1131" s="256"/>
      <c r="G1131" s="256"/>
      <c r="H1131" s="254"/>
      <c r="I1131" s="254"/>
      <c r="J1131" s="307">
        <f>'Bank Int.'!$I1131*6.5%/360</f>
        <v>0</v>
      </c>
      <c r="K1131" s="337"/>
      <c r="L1131" s="307"/>
    </row>
    <row r="1132" spans="2:12" ht="22.9" customHeight="1" x14ac:dyDescent="0.25">
      <c r="B1132" s="253">
        <v>44986</v>
      </c>
      <c r="C1132" s="298">
        <v>100155852.11</v>
      </c>
      <c r="D1132" s="295">
        <f>'Bank Int.'!$C1132*7.5%/360</f>
        <v>20865.802522916663</v>
      </c>
      <c r="E1132" s="254"/>
      <c r="F1132" s="256"/>
      <c r="G1132" s="256"/>
      <c r="H1132" s="254"/>
      <c r="I1132" s="254"/>
      <c r="J1132" s="307">
        <f>'Bank Int.'!$I1132*6.5%/360</f>
        <v>0</v>
      </c>
      <c r="K1132" s="337"/>
      <c r="L1132" s="307"/>
    </row>
    <row r="1133" spans="2:12" ht="19.899999999999999" customHeight="1" x14ac:dyDescent="0.25">
      <c r="B1133" s="253">
        <v>44985</v>
      </c>
      <c r="C1133" s="298">
        <v>100155912.11</v>
      </c>
      <c r="D1133" s="295">
        <f>'Bank Int.'!$C1133*7.5%/360</f>
        <v>20865.815022916664</v>
      </c>
      <c r="E1133" s="254"/>
      <c r="F1133" s="256"/>
      <c r="G1133" s="256"/>
      <c r="H1133" s="254"/>
      <c r="I1133" s="254"/>
      <c r="J1133" s="307">
        <f>'Bank Int.'!$I1133*6.5%/360</f>
        <v>0</v>
      </c>
      <c r="K1133" s="337"/>
      <c r="L1133" s="307"/>
    </row>
    <row r="1134" spans="2:12" ht="19.899999999999999" customHeight="1" x14ac:dyDescent="0.25">
      <c r="B1134" s="253">
        <v>44984</v>
      </c>
      <c r="C1134" s="298">
        <v>89656092.109999999</v>
      </c>
      <c r="D1134" s="295">
        <f>'Bank Int.'!$C1134*7.5%/360</f>
        <v>18678.352522916666</v>
      </c>
      <c r="E1134" s="254"/>
      <c r="F1134" s="256"/>
      <c r="G1134" s="256"/>
      <c r="H1134" s="254"/>
      <c r="I1134" s="254"/>
      <c r="J1134" s="307">
        <f>'Bank Int.'!$I1134*6.5%/360</f>
        <v>0</v>
      </c>
      <c r="K1134" s="337"/>
      <c r="L1134" s="307"/>
    </row>
    <row r="1135" spans="2:12" ht="19.899999999999999" customHeight="1" x14ac:dyDescent="0.25">
      <c r="B1135" s="253">
        <v>44983</v>
      </c>
      <c r="C1135" s="298">
        <v>70951402.109999999</v>
      </c>
      <c r="D1135" s="295">
        <f>'Bank Int.'!$C1135*7.5%/360</f>
        <v>14781.542106249999</v>
      </c>
      <c r="E1135" s="254"/>
      <c r="F1135" s="256"/>
      <c r="G1135" s="256"/>
      <c r="H1135" s="254"/>
      <c r="I1135" s="254"/>
      <c r="J1135" s="307">
        <f>'Bank Int.'!$I1135*6.5%/360</f>
        <v>0</v>
      </c>
      <c r="K1135" s="337"/>
      <c r="L1135" s="307"/>
    </row>
    <row r="1136" spans="2:12" ht="19.899999999999999" customHeight="1" x14ac:dyDescent="0.25">
      <c r="B1136" s="253">
        <v>44982</v>
      </c>
      <c r="C1136" s="298">
        <v>67151542.109999999</v>
      </c>
      <c r="D1136" s="295">
        <f>'Bank Int.'!$C1136*7.5%/360</f>
        <v>13989.904606249998</v>
      </c>
      <c r="E1136" s="254"/>
      <c r="F1136" s="256"/>
      <c r="G1136" s="256"/>
      <c r="H1136" s="254"/>
      <c r="I1136" s="254"/>
      <c r="J1136" s="307">
        <f>'Bank Int.'!$I1136*6.5%/360</f>
        <v>0</v>
      </c>
      <c r="K1136" s="337"/>
      <c r="L1136" s="307"/>
    </row>
    <row r="1137" spans="2:12" ht="19.899999999999999" customHeight="1" x14ac:dyDescent="0.25">
      <c r="B1137" s="253">
        <v>44981</v>
      </c>
      <c r="C1137" s="298">
        <v>67151542.109999999</v>
      </c>
      <c r="D1137" s="295">
        <f>'Bank Int.'!$C1137*7.5%/360</f>
        <v>13989.904606249998</v>
      </c>
      <c r="E1137" s="254"/>
      <c r="F1137" s="256"/>
      <c r="G1137" s="256"/>
      <c r="H1137" s="254"/>
      <c r="I1137" s="254"/>
      <c r="J1137" s="307">
        <f>'Bank Int.'!$I1137*6.5%/360</f>
        <v>0</v>
      </c>
      <c r="K1137" s="337"/>
      <c r="L1137" s="307"/>
    </row>
    <row r="1138" spans="2:12" ht="19.899999999999999" customHeight="1" x14ac:dyDescent="0.25">
      <c r="B1138" s="253">
        <v>44980</v>
      </c>
      <c r="C1138" s="298">
        <v>67151542.109999999</v>
      </c>
      <c r="D1138" s="295">
        <f>'Bank Int.'!$C1138*7.5%/360</f>
        <v>13989.904606249998</v>
      </c>
      <c r="E1138" s="254"/>
      <c r="F1138" s="256"/>
      <c r="G1138" s="256"/>
      <c r="H1138" s="254"/>
      <c r="I1138" s="254"/>
      <c r="J1138" s="307">
        <f>'Bank Int.'!$I1138*6.5%/360</f>
        <v>0</v>
      </c>
      <c r="K1138" s="337"/>
      <c r="L1138" s="307"/>
    </row>
    <row r="1139" spans="2:12" ht="19.899999999999999" customHeight="1" x14ac:dyDescent="0.25">
      <c r="B1139" s="253">
        <v>44979</v>
      </c>
      <c r="C1139" s="298">
        <v>50021867.109999999</v>
      </c>
      <c r="D1139" s="295">
        <f>'Bank Int.'!$C1139*7.5%/360</f>
        <v>10421.222314583332</v>
      </c>
      <c r="E1139" s="254"/>
      <c r="F1139" s="256"/>
      <c r="G1139" s="256"/>
      <c r="H1139" s="254"/>
      <c r="I1139" s="254"/>
      <c r="J1139" s="307">
        <f>'Bank Int.'!$I1139*6.5%/360</f>
        <v>0</v>
      </c>
      <c r="K1139" s="337"/>
      <c r="L1139" s="307"/>
    </row>
    <row r="1140" spans="2:12" ht="19.899999999999999" customHeight="1" x14ac:dyDescent="0.25">
      <c r="B1140" s="253">
        <v>44978</v>
      </c>
      <c r="C1140" s="298">
        <v>49821867.109999999</v>
      </c>
      <c r="D1140" s="295">
        <f>'Bank Int.'!$C1140*7.5%/360</f>
        <v>10379.555647916666</v>
      </c>
      <c r="E1140" s="254"/>
      <c r="F1140" s="256"/>
      <c r="G1140" s="256"/>
      <c r="H1140" s="254"/>
      <c r="I1140" s="254"/>
      <c r="J1140" s="307">
        <f>'Bank Int.'!$I1140*6.5%/360</f>
        <v>0</v>
      </c>
      <c r="K1140" s="337"/>
      <c r="L1140" s="307"/>
    </row>
    <row r="1141" spans="2:12" ht="19.899999999999999" customHeight="1" x14ac:dyDescent="0.25">
      <c r="B1141" s="253">
        <v>44977</v>
      </c>
      <c r="C1141" s="298">
        <v>49821867.109999999</v>
      </c>
      <c r="D1141" s="295">
        <f>'Bank Int.'!$C1141*7.5%/360</f>
        <v>10379.555647916666</v>
      </c>
      <c r="E1141" s="254"/>
      <c r="F1141" s="256"/>
      <c r="G1141" s="256"/>
      <c r="H1141" s="254"/>
      <c r="I1141" s="254"/>
      <c r="J1141" s="307">
        <f>'Bank Int.'!$I1141*6.5%/360</f>
        <v>0</v>
      </c>
      <c r="K1141" s="337"/>
      <c r="L1141" s="307"/>
    </row>
    <row r="1142" spans="2:12" ht="19.899999999999999" customHeight="1" x14ac:dyDescent="0.25">
      <c r="B1142" s="253">
        <v>44976</v>
      </c>
      <c r="C1142" s="298">
        <v>46821917.109999999</v>
      </c>
      <c r="D1142" s="295">
        <f>'Bank Int.'!$C1142*7.5%/360</f>
        <v>9754.5660645833323</v>
      </c>
      <c r="E1142" s="254"/>
      <c r="F1142" s="256"/>
      <c r="G1142" s="256"/>
      <c r="H1142" s="254"/>
      <c r="I1142" s="254"/>
      <c r="J1142" s="307">
        <f>'Bank Int.'!$I1142*6.5%/360</f>
        <v>0</v>
      </c>
      <c r="K1142" s="337"/>
      <c r="L1142" s="307"/>
    </row>
    <row r="1143" spans="2:12" ht="19.899999999999999" customHeight="1" x14ac:dyDescent="0.25">
      <c r="B1143" s="253">
        <v>44975</v>
      </c>
      <c r="C1143" s="298">
        <v>42822097.109999999</v>
      </c>
      <c r="D1143" s="295">
        <f>'Bank Int.'!$C1143*7.5%/360</f>
        <v>8921.2702312500005</v>
      </c>
      <c r="E1143" s="254"/>
      <c r="F1143" s="256"/>
      <c r="G1143" s="256"/>
      <c r="H1143" s="254"/>
      <c r="I1143" s="254"/>
      <c r="J1143" s="307">
        <f>'Bank Int.'!$I1143*6.5%/360</f>
        <v>0</v>
      </c>
      <c r="K1143" s="337"/>
      <c r="L1143" s="307"/>
    </row>
    <row r="1144" spans="2:12" ht="19.899999999999999" customHeight="1" x14ac:dyDescent="0.25">
      <c r="B1144" s="253">
        <v>44974</v>
      </c>
      <c r="C1144" s="298">
        <v>42822097.109999999</v>
      </c>
      <c r="D1144" s="295">
        <f>'Bank Int.'!$C1144*7.5%/360</f>
        <v>8921.2702312500005</v>
      </c>
      <c r="E1144" s="254"/>
      <c r="F1144" s="256"/>
      <c r="G1144" s="256"/>
      <c r="H1144" s="254"/>
      <c r="I1144" s="254"/>
      <c r="J1144" s="307">
        <f>'Bank Int.'!$I1144*6.5%/360</f>
        <v>0</v>
      </c>
      <c r="K1144" s="337"/>
      <c r="L1144" s="307"/>
    </row>
    <row r="1145" spans="2:12" ht="19.899999999999999" customHeight="1" x14ac:dyDescent="0.25">
      <c r="B1145" s="253">
        <v>44973</v>
      </c>
      <c r="C1145" s="298">
        <v>42822097.109999999</v>
      </c>
      <c r="D1145" s="295">
        <f>'Bank Int.'!$C1145*7.5%/360</f>
        <v>8921.2702312500005</v>
      </c>
      <c r="E1145" s="254"/>
      <c r="F1145" s="256"/>
      <c r="G1145" s="256"/>
      <c r="H1145" s="254"/>
      <c r="I1145" s="254"/>
      <c r="J1145" s="307">
        <f>'Bank Int.'!$I1145*6.5%/360</f>
        <v>0</v>
      </c>
      <c r="K1145" s="337"/>
      <c r="L1145" s="307"/>
    </row>
    <row r="1146" spans="2:12" ht="19.899999999999999" customHeight="1" x14ac:dyDescent="0.25">
      <c r="B1146" s="253">
        <v>44972</v>
      </c>
      <c r="C1146" s="298">
        <v>42422107.109999999</v>
      </c>
      <c r="D1146" s="295">
        <f>'Bank Int.'!$C1146*7.5%/360</f>
        <v>8837.9389812499994</v>
      </c>
      <c r="E1146" s="254"/>
      <c r="F1146" s="256"/>
      <c r="G1146" s="256"/>
      <c r="H1146" s="254"/>
      <c r="I1146" s="254"/>
      <c r="J1146" s="307">
        <f>'Bank Int.'!$I1146*6.5%/360</f>
        <v>0</v>
      </c>
      <c r="K1146" s="337"/>
      <c r="L1146" s="307"/>
    </row>
    <row r="1147" spans="2:12" ht="19.899999999999999" customHeight="1" x14ac:dyDescent="0.25">
      <c r="B1147" s="253">
        <v>44971</v>
      </c>
      <c r="C1147" s="298">
        <v>31922227.109999999</v>
      </c>
      <c r="D1147" s="295">
        <f>'Bank Int.'!$C1147*7.5%/360</f>
        <v>6650.46398125</v>
      </c>
      <c r="E1147" s="254"/>
      <c r="F1147" s="256"/>
      <c r="G1147" s="256"/>
      <c r="H1147" s="254"/>
      <c r="I1147" s="254"/>
      <c r="J1147" s="307">
        <f>'Bank Int.'!$I1147*6.5%/360</f>
        <v>0</v>
      </c>
      <c r="K1147" s="337"/>
      <c r="L1147" s="307"/>
    </row>
    <row r="1148" spans="2:12" ht="19.899999999999999" customHeight="1" x14ac:dyDescent="0.25">
      <c r="B1148" s="253">
        <v>44970</v>
      </c>
      <c r="C1148" s="298">
        <v>31852227.109999999</v>
      </c>
      <c r="D1148" s="295">
        <f>'Bank Int.'!$C1148*7.5%/360</f>
        <v>6635.880647916666</v>
      </c>
      <c r="E1148" s="254"/>
      <c r="F1148" s="256"/>
      <c r="G1148" s="256"/>
      <c r="H1148" s="254"/>
      <c r="I1148" s="254"/>
      <c r="J1148" s="307">
        <f>'Bank Int.'!$I1148*6.5%/360</f>
        <v>0</v>
      </c>
      <c r="K1148" s="337"/>
      <c r="L1148" s="307"/>
    </row>
    <row r="1149" spans="2:12" ht="19.899999999999999" customHeight="1" x14ac:dyDescent="0.25">
      <c r="B1149" s="253">
        <v>44969</v>
      </c>
      <c r="C1149" s="298">
        <v>30352252.109999999</v>
      </c>
      <c r="D1149" s="295">
        <f>'Bank Int.'!$C1149*7.5%/360</f>
        <v>6323.38585625</v>
      </c>
      <c r="E1149" s="254"/>
      <c r="F1149" s="256"/>
      <c r="G1149" s="256"/>
      <c r="H1149" s="254"/>
      <c r="I1149" s="254"/>
      <c r="J1149" s="307">
        <f>'Bank Int.'!$I1149*6.5%/360</f>
        <v>0</v>
      </c>
      <c r="K1149" s="337"/>
      <c r="L1149" s="307"/>
    </row>
    <row r="1150" spans="2:12" ht="19.899999999999999" customHeight="1" x14ac:dyDescent="0.25">
      <c r="B1150" s="253">
        <v>44968</v>
      </c>
      <c r="C1150" s="298">
        <v>30352277.109999999</v>
      </c>
      <c r="D1150" s="295">
        <f>'Bank Int.'!$C1150*7.5%/360</f>
        <v>6323.391064583333</v>
      </c>
      <c r="E1150" s="254"/>
      <c r="F1150" s="256"/>
      <c r="G1150" s="256"/>
      <c r="H1150" s="254"/>
      <c r="I1150" s="254"/>
      <c r="J1150" s="307">
        <f>'Bank Int.'!$I1150*6.5%/360</f>
        <v>0</v>
      </c>
      <c r="K1150" s="337"/>
      <c r="L1150" s="307"/>
    </row>
    <row r="1151" spans="2:12" ht="19.899999999999999" customHeight="1" x14ac:dyDescent="0.25">
      <c r="B1151" s="253">
        <v>44967</v>
      </c>
      <c r="C1151" s="298">
        <v>30352277.109999999</v>
      </c>
      <c r="D1151" s="295">
        <f>'Bank Int.'!$C1151*7.5%/360</f>
        <v>6323.391064583333</v>
      </c>
      <c r="E1151" s="254"/>
      <c r="F1151" s="256"/>
      <c r="G1151" s="256"/>
      <c r="H1151" s="254"/>
      <c r="I1151" s="254"/>
      <c r="J1151" s="307">
        <f>'Bank Int.'!$I1151*6.5%/360</f>
        <v>0</v>
      </c>
      <c r="K1151" s="337"/>
      <c r="L1151" s="307"/>
    </row>
    <row r="1152" spans="2:12" ht="19.899999999999999" customHeight="1" x14ac:dyDescent="0.25">
      <c r="B1152" s="253">
        <v>44966</v>
      </c>
      <c r="C1152" s="298">
        <v>30352277.109999999</v>
      </c>
      <c r="D1152" s="295">
        <f>'Bank Int.'!$C1152*7.5%/360</f>
        <v>6323.391064583333</v>
      </c>
      <c r="E1152" s="254"/>
      <c r="F1152" s="256"/>
      <c r="G1152" s="256"/>
      <c r="H1152" s="254"/>
      <c r="I1152" s="254"/>
      <c r="J1152" s="307">
        <f>'Bank Int.'!$I1152*6.5%/360</f>
        <v>0</v>
      </c>
      <c r="K1152" s="337"/>
      <c r="L1152" s="307"/>
    </row>
    <row r="1153" spans="2:12" ht="19.899999999999999" customHeight="1" x14ac:dyDescent="0.25">
      <c r="B1153" s="253">
        <v>44965</v>
      </c>
      <c r="C1153" s="298">
        <v>29352302.109999999</v>
      </c>
      <c r="D1153" s="295">
        <f>'Bank Int.'!$C1153*7.5%/360</f>
        <v>6115.062939583333</v>
      </c>
      <c r="E1153" s="254"/>
      <c r="F1153" s="256"/>
      <c r="G1153" s="256"/>
      <c r="H1153" s="254"/>
      <c r="I1153" s="254"/>
      <c r="J1153" s="307">
        <f>'Bank Int.'!$I1153*6.5%/360</f>
        <v>0</v>
      </c>
      <c r="K1153" s="337"/>
      <c r="L1153" s="307"/>
    </row>
    <row r="1154" spans="2:12" ht="19.899999999999999" customHeight="1" x14ac:dyDescent="0.25">
      <c r="B1154" s="253">
        <v>44964</v>
      </c>
      <c r="C1154" s="298">
        <v>29152302.109999999</v>
      </c>
      <c r="D1154" s="295">
        <f>'Bank Int.'!$C1154*7.5%/360</f>
        <v>6073.396272916666</v>
      </c>
      <c r="E1154" s="254"/>
      <c r="F1154" s="256"/>
      <c r="G1154" s="256"/>
      <c r="H1154" s="254"/>
      <c r="I1154" s="254"/>
      <c r="J1154" s="307">
        <f>'Bank Int.'!$I1154*6.5%/360</f>
        <v>0</v>
      </c>
      <c r="K1154" s="337"/>
      <c r="L1154" s="307"/>
    </row>
    <row r="1155" spans="2:12" ht="19.899999999999999" customHeight="1" x14ac:dyDescent="0.25">
      <c r="B1155" s="253">
        <v>44963</v>
      </c>
      <c r="C1155" s="298">
        <v>28952312.109999999</v>
      </c>
      <c r="D1155" s="295">
        <f>'Bank Int.'!$C1155*7.5%/360</f>
        <v>6031.7316895833328</v>
      </c>
      <c r="E1155" s="254"/>
      <c r="F1155" s="256"/>
      <c r="G1155" s="256"/>
      <c r="H1155" s="254"/>
      <c r="I1155" s="254"/>
      <c r="J1155" s="307">
        <f>'Bank Int.'!$I1155*6.5%/360</f>
        <v>0</v>
      </c>
      <c r="K1155" s="337"/>
      <c r="L1155" s="307"/>
    </row>
    <row r="1156" spans="2:12" ht="19.899999999999999" customHeight="1" x14ac:dyDescent="0.25">
      <c r="B1156" s="253">
        <v>44962</v>
      </c>
      <c r="C1156" s="298">
        <v>28952312.109999999</v>
      </c>
      <c r="D1156" s="295">
        <f>'Bank Int.'!$C1156*7.5%/360</f>
        <v>6031.7316895833328</v>
      </c>
      <c r="E1156" s="254"/>
      <c r="F1156" s="256"/>
      <c r="G1156" s="256"/>
      <c r="H1156" s="254"/>
      <c r="I1156" s="254"/>
      <c r="J1156" s="307">
        <f>'Bank Int.'!$I1156*6.5%/360</f>
        <v>0</v>
      </c>
      <c r="K1156" s="337"/>
      <c r="L1156" s="307"/>
    </row>
    <row r="1157" spans="2:12" ht="19.899999999999999" customHeight="1" x14ac:dyDescent="0.25">
      <c r="B1157" s="253">
        <v>44961</v>
      </c>
      <c r="C1157" s="298">
        <v>28152337.109999999</v>
      </c>
      <c r="D1157" s="295">
        <f>'Bank Int.'!$C1157*7.5%/360</f>
        <v>5865.0702312499998</v>
      </c>
      <c r="E1157" s="254"/>
      <c r="F1157" s="256"/>
      <c r="G1157" s="256"/>
      <c r="H1157" s="254"/>
      <c r="I1157" s="254"/>
      <c r="J1157" s="307">
        <f>'Bank Int.'!$I1157*6.5%/360</f>
        <v>0</v>
      </c>
      <c r="K1157" s="337"/>
      <c r="L1157" s="307"/>
    </row>
    <row r="1158" spans="2:12" ht="19.899999999999999" customHeight="1" x14ac:dyDescent="0.25">
      <c r="B1158" s="253">
        <v>44960</v>
      </c>
      <c r="C1158" s="298">
        <v>28152337.109999999</v>
      </c>
      <c r="D1158" s="295">
        <f>'Bank Int.'!$C1158*7.5%/360</f>
        <v>5865.0702312499998</v>
      </c>
      <c r="E1158" s="254"/>
      <c r="F1158" s="256"/>
      <c r="G1158" s="256"/>
      <c r="H1158" s="254"/>
      <c r="I1158" s="254"/>
      <c r="J1158" s="307">
        <f>'Bank Int.'!$I1158*6.5%/360</f>
        <v>0</v>
      </c>
      <c r="K1158" s="337"/>
      <c r="L1158" s="307"/>
    </row>
    <row r="1159" spans="2:12" ht="19.899999999999999" customHeight="1" x14ac:dyDescent="0.25">
      <c r="B1159" s="253">
        <v>44959</v>
      </c>
      <c r="C1159" s="298">
        <v>28152337.109999999</v>
      </c>
      <c r="D1159" s="295">
        <f>'Bank Int.'!$C1159*7.5%/360</f>
        <v>5865.0702312499998</v>
      </c>
      <c r="E1159" s="254"/>
      <c r="F1159" s="256"/>
      <c r="G1159" s="256"/>
      <c r="H1159" s="254"/>
      <c r="I1159" s="254"/>
      <c r="J1159" s="307">
        <f>'Bank Int.'!$I1159*6.5%/360</f>
        <v>0</v>
      </c>
      <c r="K1159" s="337"/>
      <c r="L1159" s="307"/>
    </row>
    <row r="1160" spans="2:12" ht="19.899999999999999" customHeight="1" x14ac:dyDescent="0.25">
      <c r="B1160" s="253">
        <v>44958</v>
      </c>
      <c r="C1160" s="298">
        <v>28152337.109999999</v>
      </c>
      <c r="D1160" s="295">
        <f>'Bank Int.'!$C1160*7.5%/360</f>
        <v>5865.0702312499998</v>
      </c>
      <c r="E1160" s="254"/>
      <c r="F1160" s="256"/>
      <c r="G1160" s="256"/>
      <c r="H1160" s="254"/>
      <c r="I1160" s="254"/>
      <c r="J1160" s="307">
        <f>'Bank Int.'!$I1160*6.5%/360</f>
        <v>0</v>
      </c>
      <c r="K1160" s="337"/>
      <c r="L1160" s="307"/>
    </row>
    <row r="1161" spans="2:12" ht="19.899999999999999" customHeight="1" x14ac:dyDescent="0.25">
      <c r="B1161" s="253">
        <v>44957</v>
      </c>
      <c r="C1161" s="298">
        <v>28152337.109999999</v>
      </c>
      <c r="D1161" s="295">
        <f>'Bank Int.'!$C1161*7.5%/360</f>
        <v>5865.0702312499998</v>
      </c>
      <c r="E1161" s="254"/>
      <c r="F1161" s="256"/>
      <c r="G1161" s="256"/>
      <c r="H1161" s="254"/>
      <c r="I1161" s="254"/>
      <c r="J1161" s="307">
        <f>'Bank Int.'!$I1161*6.5%/360</f>
        <v>0</v>
      </c>
      <c r="K1161" s="337"/>
      <c r="L1161" s="307"/>
    </row>
    <row r="1162" spans="2:12" ht="19.899999999999999" customHeight="1" x14ac:dyDescent="0.25">
      <c r="B1162" s="253">
        <v>44956</v>
      </c>
      <c r="C1162" s="298">
        <v>28152337.109999999</v>
      </c>
      <c r="D1162" s="295">
        <f>'Bank Int.'!$C1162*7.5%/360</f>
        <v>5865.0702312499998</v>
      </c>
      <c r="E1162" s="254"/>
      <c r="F1162" s="256"/>
      <c r="G1162" s="256"/>
      <c r="H1162" s="254"/>
      <c r="I1162" s="254"/>
      <c r="J1162" s="307">
        <f>'Bank Int.'!$I1162*6.5%/360</f>
        <v>0</v>
      </c>
      <c r="K1162" s="337"/>
      <c r="L1162" s="307"/>
    </row>
    <row r="1163" spans="2:12" ht="19.899999999999999" customHeight="1" x14ac:dyDescent="0.25">
      <c r="B1163" s="253">
        <v>44955</v>
      </c>
      <c r="C1163" s="298">
        <v>28152337.109999999</v>
      </c>
      <c r="D1163" s="295">
        <f>'Bank Int.'!$C1163*7.5%/360</f>
        <v>5865.0702312499998</v>
      </c>
      <c r="E1163" s="254"/>
      <c r="F1163" s="256"/>
      <c r="G1163" s="256"/>
      <c r="H1163" s="254"/>
      <c r="I1163" s="254"/>
      <c r="J1163" s="307">
        <f>'Bank Int.'!$I1163*6.5%/360</f>
        <v>0</v>
      </c>
      <c r="K1163" s="337"/>
      <c r="L1163" s="307"/>
    </row>
    <row r="1164" spans="2:12" ht="19.899999999999999" customHeight="1" x14ac:dyDescent="0.25">
      <c r="B1164" s="253">
        <v>44954</v>
      </c>
      <c r="C1164" s="298">
        <v>28152337.109999999</v>
      </c>
      <c r="D1164" s="295">
        <f>'Bank Int.'!$C1164*7.5%/360</f>
        <v>5865.0702312499998</v>
      </c>
      <c r="E1164" s="254"/>
      <c r="F1164" s="256"/>
      <c r="G1164" s="256"/>
      <c r="H1164" s="254"/>
      <c r="I1164" s="254"/>
      <c r="J1164" s="307">
        <f>'Bank Int.'!$I1164*6.5%/360</f>
        <v>0</v>
      </c>
      <c r="K1164" s="337"/>
      <c r="L1164" s="307"/>
    </row>
    <row r="1165" spans="2:12" ht="19.899999999999999" customHeight="1" x14ac:dyDescent="0.25">
      <c r="B1165" s="253">
        <v>44953</v>
      </c>
      <c r="C1165" s="298">
        <v>28152337.109999999</v>
      </c>
      <c r="D1165" s="295">
        <f>'Bank Int.'!$C1165*7.5%/360</f>
        <v>5865.0702312499998</v>
      </c>
      <c r="E1165" s="254"/>
      <c r="F1165" s="256"/>
      <c r="G1165" s="256"/>
      <c r="H1165" s="254"/>
      <c r="I1165" s="254"/>
      <c r="J1165" s="307">
        <f>'Bank Int.'!$I1165*6.5%/360</f>
        <v>0</v>
      </c>
      <c r="K1165" s="337"/>
      <c r="L1165" s="307"/>
    </row>
    <row r="1166" spans="2:12" ht="19.899999999999999" customHeight="1" x14ac:dyDescent="0.25">
      <c r="B1166" s="253">
        <v>44952</v>
      </c>
      <c r="C1166" s="298">
        <v>28152337.109999999</v>
      </c>
      <c r="D1166" s="295">
        <f>'Bank Int.'!$C1166*7.5%/360</f>
        <v>5865.0702312499998</v>
      </c>
      <c r="E1166" s="254"/>
      <c r="F1166" s="256"/>
      <c r="G1166" s="256"/>
      <c r="H1166" s="254"/>
      <c r="I1166" s="254"/>
      <c r="J1166" s="307">
        <f>'Bank Int.'!$I1166*6.5%/360</f>
        <v>0</v>
      </c>
      <c r="K1166" s="337"/>
      <c r="L1166" s="307"/>
    </row>
    <row r="1167" spans="2:12" ht="19.899999999999999" customHeight="1" x14ac:dyDescent="0.25">
      <c r="B1167" s="253">
        <v>44951</v>
      </c>
      <c r="C1167" s="298">
        <v>27452337.109999999</v>
      </c>
      <c r="D1167" s="295">
        <f>'Bank Int.'!$C1167*7.5%/360</f>
        <v>5719.2368979166658</v>
      </c>
      <c r="E1167" s="254"/>
      <c r="F1167" s="256"/>
      <c r="G1167" s="256"/>
      <c r="H1167" s="254"/>
      <c r="I1167" s="254"/>
      <c r="J1167" s="307">
        <f>'Bank Int.'!$I1167*6.5%/360</f>
        <v>0</v>
      </c>
      <c r="K1167" s="337"/>
      <c r="L1167" s="307"/>
    </row>
    <row r="1168" spans="2:12" ht="19.899999999999999" customHeight="1" x14ac:dyDescent="0.25">
      <c r="B1168" s="253">
        <v>44950</v>
      </c>
      <c r="C1168" s="298">
        <v>26602397.109999999</v>
      </c>
      <c r="D1168" s="295">
        <f>'Bank Int.'!$C1168*7.5%/360</f>
        <v>5542.1660645833326</v>
      </c>
      <c r="E1168" s="254"/>
      <c r="F1168" s="256"/>
      <c r="G1168" s="256"/>
      <c r="H1168" s="254"/>
      <c r="I1168" s="254"/>
      <c r="J1168" s="307">
        <f>'Bank Int.'!$I1168*6.5%/360</f>
        <v>0</v>
      </c>
      <c r="K1168" s="337"/>
      <c r="L1168" s="307"/>
    </row>
    <row r="1169" spans="2:12" ht="19.899999999999999" customHeight="1" x14ac:dyDescent="0.25">
      <c r="B1169" s="253">
        <v>44949</v>
      </c>
      <c r="C1169" s="298">
        <v>26602397.109999999</v>
      </c>
      <c r="D1169" s="295">
        <f>'Bank Int.'!$C1169*7.5%/360</f>
        <v>5542.1660645833326</v>
      </c>
      <c r="E1169" s="254"/>
      <c r="F1169" s="256"/>
      <c r="G1169" s="256"/>
      <c r="H1169" s="254"/>
      <c r="I1169" s="254"/>
      <c r="J1169" s="307">
        <f>'Bank Int.'!$I1169*6.5%/360</f>
        <v>0</v>
      </c>
      <c r="K1169" s="337"/>
      <c r="L1169" s="307"/>
    </row>
    <row r="1170" spans="2:12" ht="19.899999999999999" customHeight="1" x14ac:dyDescent="0.25">
      <c r="B1170" s="253">
        <v>44948</v>
      </c>
      <c r="C1170" s="298">
        <v>26602397.109999999</v>
      </c>
      <c r="D1170" s="295">
        <f>'Bank Int.'!$C1170*7.5%/360</f>
        <v>5542.1660645833326</v>
      </c>
      <c r="E1170" s="254"/>
      <c r="F1170" s="256"/>
      <c r="G1170" s="256"/>
      <c r="H1170" s="254"/>
      <c r="I1170" s="254"/>
      <c r="J1170" s="307">
        <f>'Bank Int.'!$I1170*6.5%/360</f>
        <v>0</v>
      </c>
      <c r="K1170" s="337"/>
      <c r="L1170" s="307"/>
    </row>
    <row r="1171" spans="2:12" ht="19.899999999999999" customHeight="1" x14ac:dyDescent="0.25">
      <c r="B1171" s="253">
        <v>44947</v>
      </c>
      <c r="C1171" s="298">
        <v>26602397.109999999</v>
      </c>
      <c r="D1171" s="295">
        <f>'Bank Int.'!$C1171*7.5%/360</f>
        <v>5542.1660645833326</v>
      </c>
      <c r="E1171" s="254"/>
      <c r="F1171" s="256"/>
      <c r="G1171" s="256"/>
      <c r="H1171" s="254"/>
      <c r="I1171" s="254"/>
      <c r="J1171" s="307">
        <f>'Bank Int.'!$I1171*6.5%/360</f>
        <v>0</v>
      </c>
      <c r="K1171" s="337"/>
      <c r="L1171" s="307"/>
    </row>
    <row r="1172" spans="2:12" ht="19.899999999999999" customHeight="1" x14ac:dyDescent="0.25">
      <c r="B1172" s="253">
        <v>44946</v>
      </c>
      <c r="C1172" s="298">
        <v>26602397.109999999</v>
      </c>
      <c r="D1172" s="295">
        <f>'Bank Int.'!$C1172*7.5%/360</f>
        <v>5542.1660645833326</v>
      </c>
      <c r="E1172" s="254"/>
      <c r="F1172" s="254"/>
      <c r="G1172" s="256"/>
      <c r="H1172" s="254"/>
      <c r="I1172" s="254"/>
      <c r="J1172" s="307">
        <f>'Bank Int.'!$I1172*6.5%/360</f>
        <v>0</v>
      </c>
      <c r="K1172" s="337"/>
      <c r="L1172" s="307"/>
    </row>
    <row r="1173" spans="2:12" ht="19.899999999999999" customHeight="1" x14ac:dyDescent="0.25">
      <c r="B1173" s="253">
        <v>44945</v>
      </c>
      <c r="C1173" s="298">
        <v>26602397.109999999</v>
      </c>
      <c r="D1173" s="295">
        <f>'Bank Int.'!$C1173*7.5%/360</f>
        <v>5542.1660645833326</v>
      </c>
      <c r="E1173" s="254"/>
      <c r="F1173" s="254"/>
      <c r="G1173" s="256"/>
      <c r="H1173" s="254"/>
      <c r="I1173" s="254"/>
      <c r="J1173" s="307">
        <f>'Bank Int.'!$I1173*6.5%/360</f>
        <v>0</v>
      </c>
      <c r="K1173" s="337"/>
      <c r="L1173" s="307"/>
    </row>
    <row r="1174" spans="2:12" ht="19.899999999999999" customHeight="1" x14ac:dyDescent="0.25">
      <c r="B1174" s="253">
        <v>44944</v>
      </c>
      <c r="C1174" s="298">
        <v>26402397.109999999</v>
      </c>
      <c r="D1174" s="295">
        <f>'Bank Int.'!$C1174*7.5%/360</f>
        <v>5500.4993979166666</v>
      </c>
      <c r="E1174" s="254"/>
      <c r="F1174" s="254"/>
      <c r="G1174" s="256"/>
      <c r="H1174" s="254"/>
      <c r="I1174" s="254"/>
      <c r="J1174" s="307">
        <f>'Bank Int.'!$I1174*6.5%/360</f>
        <v>0</v>
      </c>
      <c r="K1174" s="337"/>
      <c r="L1174" s="307"/>
    </row>
    <row r="1175" spans="2:12" ht="19.899999999999999" customHeight="1" x14ac:dyDescent="0.25">
      <c r="B1175" s="253">
        <v>44943</v>
      </c>
      <c r="C1175" s="298">
        <v>26402397.109999999</v>
      </c>
      <c r="D1175" s="295">
        <f>'Bank Int.'!$C1175*7.5%/360</f>
        <v>5500.4993979166666</v>
      </c>
      <c r="E1175" s="254"/>
      <c r="F1175" s="254"/>
      <c r="G1175" s="256"/>
      <c r="H1175" s="254"/>
      <c r="I1175" s="254"/>
      <c r="J1175" s="307">
        <f>'Bank Int.'!$I1175*6.5%/360</f>
        <v>0</v>
      </c>
      <c r="K1175" s="337"/>
      <c r="L1175" s="307"/>
    </row>
    <row r="1176" spans="2:12" ht="19.899999999999999" customHeight="1" x14ac:dyDescent="0.25">
      <c r="B1176" s="253">
        <v>44942</v>
      </c>
      <c r="C1176" s="298">
        <v>25902457.109999999</v>
      </c>
      <c r="D1176" s="295">
        <f>'Bank Int.'!$C1176*7.5%/360</f>
        <v>5396.3452312499994</v>
      </c>
      <c r="E1176" s="254"/>
      <c r="F1176" s="254"/>
      <c r="G1176" s="256"/>
      <c r="H1176" s="254"/>
      <c r="I1176" s="254"/>
      <c r="J1176" s="307">
        <f>'Bank Int.'!$I1176*6.5%/360</f>
        <v>0</v>
      </c>
      <c r="K1176" s="337"/>
      <c r="L1176" s="307"/>
    </row>
    <row r="1177" spans="2:12" ht="19.899999999999999" customHeight="1" x14ac:dyDescent="0.25">
      <c r="B1177" s="253">
        <v>44941</v>
      </c>
      <c r="C1177" s="298">
        <v>25102482.109999999</v>
      </c>
      <c r="D1177" s="295">
        <f>'Bank Int.'!$C1177*7.5%/360</f>
        <v>5229.6837729166664</v>
      </c>
      <c r="E1177" s="254"/>
      <c r="F1177" s="254"/>
      <c r="G1177" s="256"/>
      <c r="H1177" s="254"/>
      <c r="I1177" s="254"/>
      <c r="J1177" s="307">
        <f>'Bank Int.'!$I1177*6.5%/360</f>
        <v>0</v>
      </c>
      <c r="K1177" s="337"/>
      <c r="L1177" s="307"/>
    </row>
    <row r="1178" spans="2:12" ht="19.899999999999999" customHeight="1" x14ac:dyDescent="0.25">
      <c r="B1178" s="253">
        <v>44940</v>
      </c>
      <c r="C1178" s="298">
        <v>25102482.109999999</v>
      </c>
      <c r="D1178" s="295">
        <f>'Bank Int.'!$C1178*7.5%/360</f>
        <v>5229.6837729166664</v>
      </c>
      <c r="E1178" s="254"/>
      <c r="F1178" s="254"/>
      <c r="G1178" s="256"/>
      <c r="H1178" s="254"/>
      <c r="I1178" s="254"/>
      <c r="J1178" s="307">
        <f>'Bank Int.'!$I1178*6.5%/360</f>
        <v>0</v>
      </c>
      <c r="K1178" s="337"/>
      <c r="L1178" s="307"/>
    </row>
    <row r="1179" spans="2:12" ht="19.899999999999999" customHeight="1" x14ac:dyDescent="0.25">
      <c r="B1179" s="253">
        <v>44939</v>
      </c>
      <c r="C1179" s="298">
        <v>25102482.109999999</v>
      </c>
      <c r="D1179" s="295">
        <f>'Bank Int.'!$C1179*7.5%/360</f>
        <v>5229.6837729166664</v>
      </c>
      <c r="E1179" s="254"/>
      <c r="F1179" s="254"/>
      <c r="G1179" s="256"/>
      <c r="H1179" s="254"/>
      <c r="I1179" s="254"/>
      <c r="J1179" s="307">
        <f>'Bank Int.'!$I1179*6.5%/360</f>
        <v>0</v>
      </c>
      <c r="K1179" s="337"/>
      <c r="L1179" s="307"/>
    </row>
    <row r="1180" spans="2:12" ht="19.899999999999999" customHeight="1" x14ac:dyDescent="0.25">
      <c r="B1180" s="253">
        <v>44938</v>
      </c>
      <c r="C1180" s="298">
        <v>25102482.109999999</v>
      </c>
      <c r="D1180" s="295">
        <f>'Bank Int.'!$C1180*7.5%/360</f>
        <v>5229.6837729166664</v>
      </c>
      <c r="E1180" s="254"/>
      <c r="F1180" s="254"/>
      <c r="G1180" s="256"/>
      <c r="H1180" s="254"/>
      <c r="I1180" s="254"/>
      <c r="J1180" s="307">
        <f>'Bank Int.'!$I1180*6.5%/360</f>
        <v>0</v>
      </c>
      <c r="K1180" s="337"/>
      <c r="L1180" s="307"/>
    </row>
    <row r="1181" spans="2:12" ht="19.899999999999999" customHeight="1" x14ac:dyDescent="0.25">
      <c r="B1181" s="253">
        <v>44937</v>
      </c>
      <c r="C1181" s="298">
        <v>25102482.109999999</v>
      </c>
      <c r="D1181" s="295">
        <f>'Bank Int.'!$C1181*7.5%/360</f>
        <v>5229.6837729166664</v>
      </c>
      <c r="E1181" s="254"/>
      <c r="F1181" s="254"/>
      <c r="G1181" s="256"/>
      <c r="H1181" s="254"/>
      <c r="I1181" s="254"/>
      <c r="J1181" s="307">
        <f>'Bank Int.'!$I1181*6.5%/360</f>
        <v>0</v>
      </c>
      <c r="K1181" s="337"/>
      <c r="L1181" s="307"/>
    </row>
    <row r="1182" spans="2:12" ht="19.899999999999999" customHeight="1" x14ac:dyDescent="0.25">
      <c r="B1182" s="253">
        <v>44936</v>
      </c>
      <c r="C1182" s="298">
        <v>25102482.109999999</v>
      </c>
      <c r="D1182" s="295">
        <f>'Bank Int.'!$C1182*7.5%/360</f>
        <v>5229.6837729166664</v>
      </c>
      <c r="E1182" s="254"/>
      <c r="F1182" s="254"/>
      <c r="G1182" s="256"/>
      <c r="H1182" s="254"/>
      <c r="I1182" s="254"/>
      <c r="J1182" s="307">
        <f>'Bank Int.'!$I1182*6.5%/360</f>
        <v>0</v>
      </c>
      <c r="K1182" s="337"/>
      <c r="L1182" s="307"/>
    </row>
    <row r="1183" spans="2:12" ht="19.899999999999999" customHeight="1" x14ac:dyDescent="0.25">
      <c r="B1183" s="253">
        <v>44935</v>
      </c>
      <c r="C1183" s="298">
        <v>25102482.109999999</v>
      </c>
      <c r="D1183" s="295">
        <f>'Bank Int.'!$C1183*7.5%/360</f>
        <v>5229.6837729166664</v>
      </c>
      <c r="E1183" s="255"/>
      <c r="F1183" s="254"/>
      <c r="G1183" s="256"/>
      <c r="H1183" s="254"/>
      <c r="I1183" s="254"/>
      <c r="J1183" s="307">
        <f>'Bank Int.'!$I1183*6.5%/360</f>
        <v>0</v>
      </c>
      <c r="K1183" s="337"/>
      <c r="L1183" s="307"/>
    </row>
    <row r="1184" spans="2:12" ht="19.899999999999999" customHeight="1" x14ac:dyDescent="0.25">
      <c r="B1184" s="253">
        <v>44934</v>
      </c>
      <c r="C1184" s="298">
        <v>25102482.109999999</v>
      </c>
      <c r="D1184" s="295">
        <f>'Bank Int.'!$C1184*7.5%/360</f>
        <v>5229.6837729166664</v>
      </c>
      <c r="E1184" s="254"/>
      <c r="F1184" s="254"/>
      <c r="G1184" s="256"/>
      <c r="H1184" s="254"/>
      <c r="I1184" s="254"/>
      <c r="J1184" s="307">
        <f>'Bank Int.'!$I1184*6.5%/360</f>
        <v>0</v>
      </c>
      <c r="K1184" s="337"/>
      <c r="L1184" s="307"/>
    </row>
    <row r="1185" spans="2:12" ht="19.899999999999999" customHeight="1" x14ac:dyDescent="0.25">
      <c r="B1185" s="253">
        <v>44933</v>
      </c>
      <c r="C1185" s="298">
        <v>25102482.109999999</v>
      </c>
      <c r="D1185" s="295">
        <f>'Bank Int.'!$C1185*7.5%/360</f>
        <v>5229.6837729166664</v>
      </c>
      <c r="E1185" s="254"/>
      <c r="F1185" s="254"/>
      <c r="G1185" s="256"/>
      <c r="H1185" s="254"/>
      <c r="I1185" s="254"/>
      <c r="J1185" s="307">
        <f>'Bank Int.'!$I1185*6.5%/360</f>
        <v>0</v>
      </c>
      <c r="K1185" s="337"/>
      <c r="L1185" s="307"/>
    </row>
    <row r="1186" spans="2:12" ht="19.899999999999999" customHeight="1" x14ac:dyDescent="0.25">
      <c r="B1186" s="253">
        <v>44932</v>
      </c>
      <c r="C1186" s="298">
        <v>25102482.109999999</v>
      </c>
      <c r="D1186" s="295">
        <f>'Bank Int.'!$C1186*7.5%/360</f>
        <v>5229.6837729166664</v>
      </c>
      <c r="E1186" s="254"/>
      <c r="F1186" s="254"/>
      <c r="G1186" s="256"/>
      <c r="H1186" s="254"/>
      <c r="I1186" s="254"/>
      <c r="J1186" s="307">
        <f>'Bank Int.'!$I1186*6.5%/360</f>
        <v>0</v>
      </c>
      <c r="K1186" s="337"/>
      <c r="L1186" s="307"/>
    </row>
    <row r="1187" spans="2:12" ht="19.899999999999999" customHeight="1" x14ac:dyDescent="0.25">
      <c r="B1187" s="253">
        <v>44931</v>
      </c>
      <c r="C1187" s="298">
        <v>25102482.109999999</v>
      </c>
      <c r="D1187" s="295">
        <f>'Bank Int.'!$C1187*7.5%/360</f>
        <v>5229.6837729166664</v>
      </c>
      <c r="E1187" s="254"/>
      <c r="F1187" s="254"/>
      <c r="G1187" s="256"/>
      <c r="H1187" s="254"/>
      <c r="I1187" s="254"/>
      <c r="J1187" s="307">
        <f>'Bank Int.'!$I1187*6.5%/360</f>
        <v>0</v>
      </c>
      <c r="K1187" s="337"/>
      <c r="L1187" s="307"/>
    </row>
    <row r="1188" spans="2:12" ht="19.899999999999999" customHeight="1" x14ac:dyDescent="0.25">
      <c r="B1188" s="253">
        <v>44930</v>
      </c>
      <c r="C1188" s="298">
        <v>25102482.109999999</v>
      </c>
      <c r="D1188" s="295">
        <f>'Bank Int.'!$C1188*7.5%/360</f>
        <v>5229.6837729166664</v>
      </c>
      <c r="E1188" s="254"/>
      <c r="F1188" s="254"/>
      <c r="G1188" s="256"/>
      <c r="H1188" s="254"/>
      <c r="I1188" s="254"/>
      <c r="J1188" s="307">
        <f>'Bank Int.'!$I1188*6.5%/360</f>
        <v>0</v>
      </c>
      <c r="K1188" s="337"/>
      <c r="L1188" s="307"/>
    </row>
    <row r="1189" spans="2:12" ht="19.899999999999999" customHeight="1" x14ac:dyDescent="0.25">
      <c r="B1189" s="253">
        <v>44929</v>
      </c>
      <c r="C1189" s="298">
        <v>25102482.109999999</v>
      </c>
      <c r="D1189" s="295">
        <f>'Bank Int.'!$C1189*7.5%/360</f>
        <v>5229.6837729166664</v>
      </c>
      <c r="E1189" s="254"/>
      <c r="F1189" s="254"/>
      <c r="G1189" s="256"/>
      <c r="H1189" s="254"/>
      <c r="I1189" s="254"/>
      <c r="J1189" s="307">
        <f>'Bank Int.'!$I1189*6.5%/360</f>
        <v>0</v>
      </c>
      <c r="K1189" s="337"/>
      <c r="L1189" s="307"/>
    </row>
    <row r="1190" spans="2:12" ht="19.899999999999999" customHeight="1" x14ac:dyDescent="0.25">
      <c r="B1190" s="253">
        <v>44928</v>
      </c>
      <c r="C1190" s="298">
        <v>25102482.109999999</v>
      </c>
      <c r="D1190" s="295">
        <f>'Bank Int.'!$C1190*7.5%/360</f>
        <v>5229.6837729166664</v>
      </c>
      <c r="E1190" s="254"/>
      <c r="F1190" s="254"/>
      <c r="G1190" s="256"/>
      <c r="H1190" s="254"/>
      <c r="I1190" s="254"/>
      <c r="J1190" s="307">
        <f>'Bank Int.'!$I1190*6.5%/360</f>
        <v>0</v>
      </c>
      <c r="K1190" s="337"/>
      <c r="L1190" s="307"/>
    </row>
    <row r="1191" spans="2:12" ht="19.899999999999999" customHeight="1" x14ac:dyDescent="0.25">
      <c r="B1191" s="253">
        <v>44927</v>
      </c>
      <c r="C1191" s="298">
        <v>25102482.109999999</v>
      </c>
      <c r="D1191" s="295">
        <f>'Bank Int.'!$C1191*7.5%/360</f>
        <v>5229.6837729166664</v>
      </c>
      <c r="E1191" s="254"/>
      <c r="F1191" s="254"/>
      <c r="G1191" s="256"/>
      <c r="H1191" s="254"/>
      <c r="I1191" s="254"/>
      <c r="J1191" s="307">
        <f>'Bank Int.'!$I1191*6.5%/360</f>
        <v>0</v>
      </c>
      <c r="K1191" s="337"/>
      <c r="L1191" s="307"/>
    </row>
  </sheetData>
  <mergeCells count="7">
    <mergeCell ref="M1:N1"/>
    <mergeCell ref="K1:L1"/>
    <mergeCell ref="E1:F1"/>
    <mergeCell ref="C1:D1"/>
    <mergeCell ref="B1:B2"/>
    <mergeCell ref="G1:H1"/>
    <mergeCell ref="I1:J1"/>
  </mergeCells>
  <phoneticPr fontId="16" type="noConversion"/>
  <conditionalFormatting sqref="A1:A2">
    <cfRule type="duplicateValues" dxfId="6" priority="7"/>
  </conditionalFormatting>
  <conditionalFormatting sqref="B191">
    <cfRule type="duplicateValues" dxfId="5" priority="1"/>
  </conditionalFormatting>
  <conditionalFormatting sqref="B361">
    <cfRule type="duplicateValues" dxfId="4" priority="2"/>
  </conditionalFormatting>
  <conditionalFormatting sqref="B430">
    <cfRule type="duplicateValues" dxfId="3" priority="4"/>
  </conditionalFormatting>
  <conditionalFormatting sqref="B451">
    <cfRule type="duplicateValues" dxfId="2" priority="5"/>
  </conditionalFormatting>
  <conditionalFormatting sqref="B774:B787">
    <cfRule type="duplicateValues" dxfId="1" priority="6"/>
  </conditionalFormatting>
  <conditionalFormatting sqref="E1183 B788:B1191">
    <cfRule type="duplicateValues" dxfId="0" priority="8"/>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pageSetUpPr fitToPage="1"/>
  </sheetPr>
  <dimension ref="A1:I143"/>
  <sheetViews>
    <sheetView showGridLines="0" topLeftCell="A2" zoomScale="80" zoomScaleNormal="80" workbookViewId="0">
      <selection activeCell="C30" sqref="C30"/>
    </sheetView>
  </sheetViews>
  <sheetFormatPr defaultColWidth="9.140625" defaultRowHeight="12.75" x14ac:dyDescent="0.2"/>
  <cols>
    <col min="1" max="1" width="4.5703125" style="4" customWidth="1"/>
    <col min="2" max="2" width="48.5703125" style="48" customWidth="1"/>
    <col min="3" max="3" width="18.28515625" style="3" bestFit="1" customWidth="1"/>
    <col min="4" max="4" width="0.28515625" style="45" customWidth="1"/>
    <col min="5" max="5" width="18.28515625" style="3" bestFit="1" customWidth="1"/>
    <col min="6" max="7" width="9.140625" style="2"/>
    <col min="8" max="8" width="12.5703125" style="2" bestFit="1" customWidth="1"/>
    <col min="9" max="9" width="15.140625" style="2" bestFit="1" customWidth="1"/>
    <col min="10" max="16384" width="9.140625" style="2"/>
  </cols>
  <sheetData>
    <row r="1" spans="1:5" ht="27" customHeight="1" x14ac:dyDescent="0.2">
      <c r="A1" s="576" t="s">
        <v>159</v>
      </c>
      <c r="B1" s="577"/>
      <c r="C1" s="577"/>
      <c r="D1" s="577"/>
      <c r="E1" s="577"/>
    </row>
    <row r="3" spans="1:5" x14ac:dyDescent="0.2">
      <c r="C3" s="91" t="s">
        <v>239</v>
      </c>
      <c r="D3" s="92"/>
      <c r="E3" s="91" t="s">
        <v>161</v>
      </c>
    </row>
    <row r="4" spans="1:5" x14ac:dyDescent="0.2">
      <c r="C4" s="93" t="s">
        <v>22</v>
      </c>
      <c r="D4" s="94"/>
      <c r="E4" s="93" t="s">
        <v>22</v>
      </c>
    </row>
    <row r="5" spans="1:5" s="1" customFormat="1" x14ac:dyDescent="0.2">
      <c r="A5" s="4">
        <f>BS!B19</f>
        <v>2</v>
      </c>
      <c r="B5" s="49" t="s">
        <v>127</v>
      </c>
      <c r="C5" s="23"/>
      <c r="D5" s="50"/>
      <c r="E5" s="23"/>
    </row>
    <row r="6" spans="1:5" ht="4.5" customHeight="1" x14ac:dyDescent="0.2"/>
    <row r="7" spans="1:5" x14ac:dyDescent="0.2">
      <c r="B7" s="48" t="s">
        <v>126</v>
      </c>
      <c r="C7" s="51">
        <f>BS!C19</f>
        <v>54000000</v>
      </c>
      <c r="E7" s="51">
        <f>BS!E19</f>
        <v>85000000</v>
      </c>
    </row>
    <row r="8" spans="1:5" s="1" customFormat="1" ht="13.5" thickBot="1" x14ac:dyDescent="0.25">
      <c r="A8" s="4"/>
      <c r="B8" s="52" t="s">
        <v>123</v>
      </c>
      <c r="C8" s="53">
        <f>SUM(C7)</f>
        <v>54000000</v>
      </c>
      <c r="D8" s="50">
        <f>SUM(D7)</f>
        <v>0</v>
      </c>
      <c r="E8" s="53">
        <f>SUM(E7)</f>
        <v>85000000</v>
      </c>
    </row>
    <row r="9" spans="1:5" ht="7.5" customHeight="1" thickTop="1" x14ac:dyDescent="0.2"/>
    <row r="10" spans="1:5" ht="12" hidden="1" customHeight="1" x14ac:dyDescent="0.2">
      <c r="A10" s="4">
        <v>3</v>
      </c>
      <c r="B10" s="49" t="s">
        <v>175</v>
      </c>
    </row>
    <row r="11" spans="1:5" ht="4.5" hidden="1" customHeight="1" x14ac:dyDescent="0.2"/>
    <row r="12" spans="1:5" ht="14.25" hidden="1" customHeight="1" x14ac:dyDescent="0.2">
      <c r="B12" s="48" t="s">
        <v>182</v>
      </c>
      <c r="C12" s="23">
        <f>BS!C20</f>
        <v>0</v>
      </c>
      <c r="D12" s="50"/>
      <c r="E12" s="23">
        <v>0</v>
      </c>
    </row>
    <row r="13" spans="1:5" ht="7.5" hidden="1" customHeight="1" x14ac:dyDescent="0.2"/>
    <row r="14" spans="1:5" ht="7.5" customHeight="1" x14ac:dyDescent="0.2"/>
    <row r="15" spans="1:5" ht="12" customHeight="1" x14ac:dyDescent="0.2">
      <c r="A15" s="4">
        <v>3</v>
      </c>
      <c r="B15" s="49" t="s">
        <v>183</v>
      </c>
    </row>
    <row r="16" spans="1:5" ht="3.75" customHeight="1" x14ac:dyDescent="0.2"/>
    <row r="17" spans="1:9" ht="16.5" customHeight="1" x14ac:dyDescent="0.2">
      <c r="B17" s="48" t="s">
        <v>240</v>
      </c>
      <c r="C17" s="54">
        <v>7500</v>
      </c>
      <c r="D17" s="44"/>
      <c r="E17" s="54">
        <v>0</v>
      </c>
    </row>
    <row r="18" spans="1:9" ht="12" customHeight="1" x14ac:dyDescent="0.2">
      <c r="B18" s="48" t="s">
        <v>209</v>
      </c>
      <c r="C18" s="55">
        <v>600000</v>
      </c>
      <c r="D18" s="43"/>
      <c r="E18" s="136">
        <v>0</v>
      </c>
    </row>
    <row r="19" spans="1:9" ht="12" customHeight="1" x14ac:dyDescent="0.2">
      <c r="C19" s="7">
        <f>C17+C18</f>
        <v>607500</v>
      </c>
      <c r="D19" s="50"/>
      <c r="E19" s="7">
        <f>SUM(E17:E18)</f>
        <v>0</v>
      </c>
    </row>
    <row r="20" spans="1:9" ht="1.5" customHeight="1" x14ac:dyDescent="0.2">
      <c r="C20" s="58"/>
      <c r="E20" s="58"/>
    </row>
    <row r="21" spans="1:9" s="1" customFormat="1" x14ac:dyDescent="0.2">
      <c r="A21" s="4">
        <v>4</v>
      </c>
      <c r="B21" s="49" t="s">
        <v>128</v>
      </c>
      <c r="C21" s="23"/>
      <c r="D21" s="50"/>
      <c r="E21" s="23"/>
    </row>
    <row r="22" spans="1:9" ht="3" customHeight="1" x14ac:dyDescent="0.2"/>
    <row r="23" spans="1:9" x14ac:dyDescent="0.2">
      <c r="B23" s="48" t="s">
        <v>129</v>
      </c>
    </row>
    <row r="24" spans="1:9" ht="3" customHeight="1" x14ac:dyDescent="0.2"/>
    <row r="25" spans="1:9" x14ac:dyDescent="0.2">
      <c r="B25" s="48" t="s">
        <v>130</v>
      </c>
    </row>
    <row r="26" spans="1:9" x14ac:dyDescent="0.2">
      <c r="B26" s="48" t="s">
        <v>131</v>
      </c>
      <c r="C26" s="54">
        <v>7605069.0300000003</v>
      </c>
      <c r="E26" s="54">
        <v>11293556</v>
      </c>
    </row>
    <row r="27" spans="1:9" x14ac:dyDescent="0.2">
      <c r="B27" s="48" t="s">
        <v>132</v>
      </c>
      <c r="C27" s="56">
        <v>5284563.21</v>
      </c>
      <c r="E27" s="56">
        <v>0</v>
      </c>
    </row>
    <row r="28" spans="1:9" x14ac:dyDescent="0.2">
      <c r="B28" s="48" t="s">
        <v>210</v>
      </c>
      <c r="C28" s="56">
        <v>0</v>
      </c>
      <c r="E28" s="56">
        <v>0</v>
      </c>
    </row>
    <row r="29" spans="1:9" x14ac:dyDescent="0.2">
      <c r="B29" s="48" t="s">
        <v>211</v>
      </c>
      <c r="C29" s="55">
        <v>106.06</v>
      </c>
      <c r="E29" s="55">
        <v>0</v>
      </c>
    </row>
    <row r="30" spans="1:9" s="1" customFormat="1" ht="13.5" thickBot="1" x14ac:dyDescent="0.25">
      <c r="A30" s="4"/>
      <c r="B30" s="52" t="s">
        <v>123</v>
      </c>
      <c r="C30" s="53">
        <f>SUM(C26:C29)</f>
        <v>12889738.300000001</v>
      </c>
      <c r="D30" s="50"/>
      <c r="E30" s="53">
        <f>SUM(E26:E27)</f>
        <v>11293556</v>
      </c>
      <c r="I30" s="50"/>
    </row>
    <row r="31" spans="1:9" ht="8.25" customHeight="1" thickTop="1" x14ac:dyDescent="0.2"/>
    <row r="32" spans="1:9" ht="8.25" customHeight="1" x14ac:dyDescent="0.2"/>
    <row r="33" spans="1:5" s="1" customFormat="1" x14ac:dyDescent="0.2">
      <c r="A33" s="4">
        <v>5</v>
      </c>
      <c r="B33" s="49" t="s">
        <v>106</v>
      </c>
      <c r="C33" s="23"/>
      <c r="D33" s="50"/>
      <c r="E33" s="23"/>
    </row>
    <row r="34" spans="1:5" ht="4.5" customHeight="1" x14ac:dyDescent="0.2"/>
    <row r="35" spans="1:5" x14ac:dyDescent="0.2">
      <c r="B35" s="48" t="s">
        <v>212</v>
      </c>
      <c r="C35" s="54">
        <v>1000000</v>
      </c>
      <c r="E35" s="54">
        <v>0</v>
      </c>
    </row>
    <row r="36" spans="1:5" x14ac:dyDescent="0.2">
      <c r="B36" s="48" t="s">
        <v>133</v>
      </c>
      <c r="C36" s="55">
        <f>-'TB-C'!H38</f>
        <v>-138713.88439560405</v>
      </c>
      <c r="E36" s="55">
        <v>0</v>
      </c>
    </row>
    <row r="37" spans="1:5" s="1" customFormat="1" ht="13.5" thickBot="1" x14ac:dyDescent="0.25">
      <c r="A37" s="4"/>
      <c r="B37" s="52" t="s">
        <v>123</v>
      </c>
      <c r="C37" s="53">
        <f>SUM(C35:C36)</f>
        <v>861286.11560439598</v>
      </c>
      <c r="D37" s="50"/>
      <c r="E37" s="53">
        <f>SUM(E35:E36)</f>
        <v>0</v>
      </c>
    </row>
    <row r="38" spans="1:5" ht="13.5" thickTop="1" x14ac:dyDescent="0.2"/>
    <row r="39" spans="1:5" x14ac:dyDescent="0.2">
      <c r="A39" s="4">
        <v>6</v>
      </c>
      <c r="B39" s="49" t="s">
        <v>16</v>
      </c>
    </row>
    <row r="40" spans="1:5" ht="6" customHeight="1" x14ac:dyDescent="0.2"/>
    <row r="41" spans="1:5" x14ac:dyDescent="0.2">
      <c r="B41" s="48" t="s">
        <v>134</v>
      </c>
      <c r="C41" s="54">
        <f>E!B8</f>
        <v>462377570</v>
      </c>
      <c r="E41" s="54">
        <f>E!B23</f>
        <v>318556230</v>
      </c>
    </row>
    <row r="42" spans="1:5" x14ac:dyDescent="0.2">
      <c r="B42" s="48" t="s">
        <v>135</v>
      </c>
      <c r="C42" s="56">
        <f>E!B9</f>
        <v>212650510</v>
      </c>
      <c r="E42" s="56">
        <f>E!B24</f>
        <v>394108550</v>
      </c>
    </row>
    <row r="43" spans="1:5" x14ac:dyDescent="0.2">
      <c r="B43" s="48" t="s">
        <v>167</v>
      </c>
      <c r="C43" s="55">
        <f>E!B10</f>
        <v>-263102130</v>
      </c>
      <c r="E43" s="55">
        <f>E!B25</f>
        <v>-250287210</v>
      </c>
    </row>
    <row r="44" spans="1:5" s="1" customFormat="1" ht="13.5" thickBot="1" x14ac:dyDescent="0.25">
      <c r="A44" s="4"/>
      <c r="B44" s="52" t="s">
        <v>123</v>
      </c>
      <c r="C44" s="57">
        <f>SUM(C41:C43)</f>
        <v>411925950</v>
      </c>
      <c r="D44" s="50"/>
      <c r="E44" s="57">
        <f>SUM(E41:E43)</f>
        <v>462377570</v>
      </c>
    </row>
    <row r="45" spans="1:5" ht="13.5" thickTop="1" x14ac:dyDescent="0.2"/>
    <row r="46" spans="1:5" x14ac:dyDescent="0.2">
      <c r="A46" s="4">
        <v>7</v>
      </c>
      <c r="B46" s="49" t="s">
        <v>136</v>
      </c>
    </row>
    <row r="47" spans="1:5" ht="4.5" customHeight="1" x14ac:dyDescent="0.2"/>
    <row r="48" spans="1:5" x14ac:dyDescent="0.2">
      <c r="B48" s="48" t="s">
        <v>134</v>
      </c>
      <c r="C48" s="54">
        <f>E!C8</f>
        <v>41293537.772</v>
      </c>
      <c r="E48" s="54">
        <v>0</v>
      </c>
    </row>
    <row r="49" spans="1:5" x14ac:dyDescent="0.2">
      <c r="B49" s="48" t="s">
        <v>137</v>
      </c>
      <c r="C49" s="56">
        <f>'TB-C'!I21</f>
        <v>70419619.879999995</v>
      </c>
      <c r="E49" s="56">
        <v>0</v>
      </c>
    </row>
    <row r="50" spans="1:5" x14ac:dyDescent="0.2">
      <c r="B50" s="48" t="s">
        <v>138</v>
      </c>
      <c r="C50" s="55">
        <f>-'TB-C'!H21</f>
        <v>-88676215.352000013</v>
      </c>
      <c r="E50" s="55">
        <v>0</v>
      </c>
    </row>
    <row r="51" spans="1:5" s="1" customFormat="1" ht="13.5" thickBot="1" x14ac:dyDescent="0.25">
      <c r="A51" s="4"/>
      <c r="B51" s="52" t="s">
        <v>123</v>
      </c>
      <c r="C51" s="57">
        <f>C48+C49+C50</f>
        <v>23036942.299999982</v>
      </c>
      <c r="D51" s="50"/>
      <c r="E51" s="57">
        <f>SUM(E48:E50)</f>
        <v>0</v>
      </c>
    </row>
    <row r="52" spans="1:5" s="1" customFormat="1" ht="13.5" thickTop="1" x14ac:dyDescent="0.2">
      <c r="A52" s="4"/>
      <c r="B52" s="52"/>
      <c r="C52" s="7"/>
      <c r="D52" s="50"/>
      <c r="E52" s="7"/>
    </row>
    <row r="53" spans="1:5" s="1" customFormat="1" x14ac:dyDescent="0.2">
      <c r="A53" s="4"/>
      <c r="B53" s="52"/>
      <c r="C53" s="7"/>
      <c r="D53" s="50"/>
      <c r="E53" s="7"/>
    </row>
    <row r="54" spans="1:5" s="1" customFormat="1" x14ac:dyDescent="0.2">
      <c r="A54" s="4">
        <v>8</v>
      </c>
      <c r="B54" s="133" t="s">
        <v>235</v>
      </c>
      <c r="C54" s="7"/>
      <c r="D54" s="50"/>
      <c r="E54" s="7"/>
    </row>
    <row r="55" spans="1:5" s="1" customFormat="1" ht="4.5" customHeight="1" x14ac:dyDescent="0.2">
      <c r="A55" s="4"/>
      <c r="B55" s="52"/>
      <c r="C55" s="7"/>
      <c r="D55" s="50"/>
      <c r="E55" s="7"/>
    </row>
    <row r="56" spans="1:5" s="1" customFormat="1" x14ac:dyDescent="0.2">
      <c r="A56" s="4"/>
      <c r="B56" s="134" t="s">
        <v>236</v>
      </c>
      <c r="C56" s="135">
        <v>8097907.0426000003</v>
      </c>
      <c r="D56" s="50"/>
      <c r="E56" s="135">
        <v>0</v>
      </c>
    </row>
    <row r="57" spans="1:5" s="1" customFormat="1" x14ac:dyDescent="0.2">
      <c r="A57" s="4"/>
      <c r="B57" s="134" t="s">
        <v>237</v>
      </c>
      <c r="C57" s="136">
        <v>1968872.8034000001</v>
      </c>
      <c r="D57" s="50"/>
      <c r="E57" s="136">
        <v>0</v>
      </c>
    </row>
    <row r="58" spans="1:5" x14ac:dyDescent="0.2">
      <c r="C58" s="3">
        <f>SUM(C56:C57)</f>
        <v>10066779.846000001</v>
      </c>
      <c r="E58" s="3">
        <f>SUM(E56:E57)</f>
        <v>0</v>
      </c>
    </row>
    <row r="59" spans="1:5" s="1" customFormat="1" x14ac:dyDescent="0.2">
      <c r="A59" s="4">
        <v>9</v>
      </c>
      <c r="B59" s="49" t="s">
        <v>139</v>
      </c>
      <c r="C59" s="23"/>
      <c r="D59" s="50"/>
      <c r="E59" s="23"/>
    </row>
    <row r="60" spans="1:5" x14ac:dyDescent="0.2">
      <c r="B60" s="48" t="s">
        <v>140</v>
      </c>
      <c r="C60" s="54">
        <f>'TB-C'!I12</f>
        <v>2130135.1347301933</v>
      </c>
      <c r="E60" s="54">
        <f>'TB-P'!I12</f>
        <v>2325669.3981555058</v>
      </c>
    </row>
    <row r="61" spans="1:5" x14ac:dyDescent="0.2">
      <c r="B61" s="48" t="s">
        <v>141</v>
      </c>
      <c r="C61" s="56">
        <f>'TB-C'!I13</f>
        <v>147196.99870297377</v>
      </c>
      <c r="E61" s="56">
        <f>'TB-P'!I13</f>
        <v>0</v>
      </c>
    </row>
    <row r="62" spans="1:5" hidden="1" x14ac:dyDescent="0.2">
      <c r="B62" s="48" t="s">
        <v>142</v>
      </c>
      <c r="C62" s="56">
        <f>'TB-C'!I15</f>
        <v>0</v>
      </c>
      <c r="E62" s="56">
        <f>'TB-P'!I15</f>
        <v>0</v>
      </c>
    </row>
    <row r="63" spans="1:5" x14ac:dyDescent="0.2">
      <c r="B63" s="48" t="s">
        <v>143</v>
      </c>
      <c r="C63" s="56">
        <f>'TB-C'!I16</f>
        <v>0</v>
      </c>
      <c r="E63" s="56">
        <f>'TB-P'!I16</f>
        <v>40250</v>
      </c>
    </row>
    <row r="64" spans="1:5" hidden="1" x14ac:dyDescent="0.2">
      <c r="B64" s="48" t="s">
        <v>144</v>
      </c>
      <c r="C64" s="55">
        <f>'TB-C'!I17</f>
        <v>0</v>
      </c>
      <c r="E64" s="55">
        <f>'TB-P'!I17</f>
        <v>0</v>
      </c>
    </row>
    <row r="65" spans="1:5" s="1" customFormat="1" ht="13.5" thickBot="1" x14ac:dyDescent="0.25">
      <c r="A65" s="4"/>
      <c r="B65" s="52" t="s">
        <v>123</v>
      </c>
      <c r="C65" s="57">
        <f>SUM(C60:C64)</f>
        <v>2277332.1334331669</v>
      </c>
      <c r="D65" s="50"/>
      <c r="E65" s="57">
        <f>SUM(E60:E64)</f>
        <v>2365919.3981555058</v>
      </c>
    </row>
    <row r="66" spans="1:5" ht="13.5" thickTop="1" x14ac:dyDescent="0.2"/>
    <row r="67" spans="1:5" s="1" customFormat="1" x14ac:dyDescent="0.2">
      <c r="A67" s="4">
        <v>10</v>
      </c>
      <c r="B67" s="49" t="s">
        <v>145</v>
      </c>
      <c r="C67" s="23"/>
      <c r="D67" s="50"/>
      <c r="E67" s="23"/>
    </row>
    <row r="68" spans="1:5" x14ac:dyDescent="0.2">
      <c r="B68" s="48" t="s">
        <v>146</v>
      </c>
      <c r="C68" s="54">
        <f>BS!C44</f>
        <v>587700480.48185372</v>
      </c>
      <c r="E68" s="54">
        <f>BS!E44</f>
        <v>580875771.20430505</v>
      </c>
    </row>
    <row r="69" spans="1:5" x14ac:dyDescent="0.2">
      <c r="B69" s="48" t="s">
        <v>147</v>
      </c>
      <c r="C69" s="55" t="e">
        <f>IS!#REF!</f>
        <v>#REF!</v>
      </c>
      <c r="E69" s="55">
        <f>BS!E10</f>
        <v>160630.88000000268</v>
      </c>
    </row>
    <row r="70" spans="1:5" s="1" customFormat="1" x14ac:dyDescent="0.2">
      <c r="A70" s="4"/>
      <c r="B70" s="49" t="s">
        <v>148</v>
      </c>
      <c r="C70" s="67" t="e">
        <f>C68-C69</f>
        <v>#REF!</v>
      </c>
      <c r="D70" s="50"/>
      <c r="E70" s="67">
        <f>SUM(E68:E69)</f>
        <v>581036402.08430505</v>
      </c>
    </row>
    <row r="71" spans="1:5" ht="6" customHeight="1" x14ac:dyDescent="0.2"/>
    <row r="72" spans="1:5" x14ac:dyDescent="0.2">
      <c r="B72" s="48" t="s">
        <v>149</v>
      </c>
      <c r="C72" s="3">
        <f>BS!C51</f>
        <v>41192595</v>
      </c>
      <c r="E72" s="3">
        <f>BS!E51</f>
        <v>46237757</v>
      </c>
    </row>
    <row r="73" spans="1:5" s="1" customFormat="1" ht="13.5" thickBot="1" x14ac:dyDescent="0.25">
      <c r="A73" s="4"/>
      <c r="B73" s="52" t="s">
        <v>150</v>
      </c>
      <c r="C73" s="81" t="e">
        <f>C70/C72</f>
        <v>#REF!</v>
      </c>
      <c r="D73" s="50"/>
      <c r="E73" s="81">
        <f>IFERROR(E70/E72,0)</f>
        <v>12.566275697246843</v>
      </c>
    </row>
    <row r="74" spans="1:5" ht="9" customHeight="1" thickTop="1" x14ac:dyDescent="0.2"/>
    <row r="75" spans="1:5" x14ac:dyDescent="0.2">
      <c r="A75" s="4">
        <v>11</v>
      </c>
      <c r="B75" s="49" t="s">
        <v>151</v>
      </c>
    </row>
    <row r="76" spans="1:5" x14ac:dyDescent="0.2">
      <c r="B76" s="48" t="s">
        <v>146</v>
      </c>
      <c r="C76" s="3">
        <f>C68</f>
        <v>587700480.48185372</v>
      </c>
      <c r="E76" s="3">
        <f>E68</f>
        <v>580875771.20430505</v>
      </c>
    </row>
    <row r="77" spans="1:5" x14ac:dyDescent="0.2">
      <c r="B77" s="48" t="s">
        <v>149</v>
      </c>
      <c r="C77" s="59">
        <f>C72</f>
        <v>41192595</v>
      </c>
      <c r="E77" s="59">
        <f>E72</f>
        <v>46237757</v>
      </c>
    </row>
    <row r="78" spans="1:5" s="1" customFormat="1" ht="13.5" thickBot="1" x14ac:dyDescent="0.25">
      <c r="A78" s="4"/>
      <c r="B78" s="52" t="s">
        <v>152</v>
      </c>
      <c r="C78" s="81">
        <f>C76/C77</f>
        <v>14.26713904481749</v>
      </c>
      <c r="D78" s="50"/>
      <c r="E78" s="81">
        <f>E76/E77</f>
        <v>12.562801677518765</v>
      </c>
    </row>
    <row r="79" spans="1:5" ht="8.25" customHeight="1" thickTop="1" x14ac:dyDescent="0.2"/>
    <row r="80" spans="1:5" ht="12.6" customHeight="1" x14ac:dyDescent="0.2">
      <c r="C80" s="578" t="s">
        <v>234</v>
      </c>
      <c r="D80" s="50"/>
      <c r="E80" s="578" t="s">
        <v>234</v>
      </c>
    </row>
    <row r="81" spans="1:9" ht="14.45" customHeight="1" x14ac:dyDescent="0.2">
      <c r="C81" s="578"/>
      <c r="D81" s="50"/>
      <c r="E81" s="578"/>
    </row>
    <row r="82" spans="1:9" ht="35.25" customHeight="1" x14ac:dyDescent="0.2">
      <c r="C82" s="578"/>
      <c r="D82" s="50"/>
      <c r="E82" s="578"/>
    </row>
    <row r="83" spans="1:9" ht="3.6" customHeight="1" x14ac:dyDescent="0.2">
      <c r="C83" s="100"/>
      <c r="D83" s="50"/>
      <c r="E83" s="100"/>
    </row>
    <row r="84" spans="1:9" ht="15" customHeight="1" x14ac:dyDescent="0.2">
      <c r="C84" s="101" t="s">
        <v>22</v>
      </c>
      <c r="D84" s="50"/>
      <c r="E84" s="101" t="s">
        <v>22</v>
      </c>
    </row>
    <row r="85" spans="1:9" s="1" customFormat="1" x14ac:dyDescent="0.2">
      <c r="A85" s="4">
        <v>12</v>
      </c>
      <c r="B85" s="49" t="s">
        <v>153</v>
      </c>
      <c r="C85" s="23"/>
      <c r="D85" s="50"/>
      <c r="E85" s="23"/>
    </row>
    <row r="86" spans="1:9" x14ac:dyDescent="0.2">
      <c r="B86" s="48" t="s">
        <v>184</v>
      </c>
      <c r="C86" s="54" t="e">
        <f>C88-C87</f>
        <v>#REF!</v>
      </c>
      <c r="D86" s="3">
        <f>IS!D9</f>
        <v>0</v>
      </c>
      <c r="E86" s="54">
        <f>IS!E9</f>
        <v>47694347.935294114</v>
      </c>
      <c r="I86" s="45"/>
    </row>
    <row r="87" spans="1:9" x14ac:dyDescent="0.2">
      <c r="B87" s="48" t="s">
        <v>185</v>
      </c>
      <c r="C87" s="55" t="e">
        <f>Journals!#REF!+Journals!#REF!+Journals!#REF!+Journals!#REF!+Journals!#REF!+Journals!#REF!+Journals!#REF!+Journals!#REF!+Journals!#REF!+Journals!#REF!+Journals!#REF!+Journals!#REF!+Journals!#REF!</f>
        <v>#REF!</v>
      </c>
      <c r="D87" s="3"/>
      <c r="E87" s="55"/>
    </row>
    <row r="88" spans="1:9" s="1" customFormat="1" ht="13.5" thickBot="1" x14ac:dyDescent="0.25">
      <c r="A88" s="4"/>
      <c r="B88" s="52" t="s">
        <v>123</v>
      </c>
      <c r="C88" s="57">
        <f>IS!C9</f>
        <v>41796428.766231753</v>
      </c>
      <c r="D88" s="23">
        <f>SUM(D86)</f>
        <v>0</v>
      </c>
      <c r="E88" s="57">
        <f>SUM(E86)</f>
        <v>47694347.935294114</v>
      </c>
    </row>
    <row r="89" spans="1:9" ht="13.5" thickTop="1" x14ac:dyDescent="0.2"/>
    <row r="90" spans="1:9" x14ac:dyDescent="0.2">
      <c r="A90" s="4">
        <v>13</v>
      </c>
      <c r="B90" s="49" t="s">
        <v>186</v>
      </c>
    </row>
    <row r="91" spans="1:9" ht="4.1500000000000004" customHeight="1" x14ac:dyDescent="0.2">
      <c r="B91" s="49"/>
    </row>
    <row r="92" spans="1:9" x14ac:dyDescent="0.2">
      <c r="B92" s="49" t="s">
        <v>222</v>
      </c>
    </row>
    <row r="93" spans="1:9" ht="15" x14ac:dyDescent="0.25">
      <c r="B93" t="s">
        <v>213</v>
      </c>
      <c r="C93" s="85">
        <v>1392900.2000000014</v>
      </c>
      <c r="E93" s="54">
        <v>0</v>
      </c>
    </row>
    <row r="94" spans="1:9" ht="15" x14ac:dyDescent="0.25">
      <c r="B94" t="s">
        <v>214</v>
      </c>
      <c r="C94" s="86">
        <v>917602.89999999944</v>
      </c>
      <c r="E94" s="56">
        <v>0</v>
      </c>
    </row>
    <row r="95" spans="1:9" ht="15" x14ac:dyDescent="0.25">
      <c r="B95" t="s">
        <v>215</v>
      </c>
      <c r="C95" s="86">
        <v>689312.70669856493</v>
      </c>
      <c r="E95" s="56">
        <v>0</v>
      </c>
    </row>
    <row r="96" spans="1:9" ht="15" x14ac:dyDescent="0.25">
      <c r="B96" t="s">
        <v>216</v>
      </c>
      <c r="C96" s="86">
        <v>333709.2</v>
      </c>
      <c r="E96" s="56">
        <v>0</v>
      </c>
    </row>
    <row r="97" spans="1:5" ht="15" x14ac:dyDescent="0.25">
      <c r="B97" t="s">
        <v>217</v>
      </c>
      <c r="C97" s="86">
        <v>133453.84571428804</v>
      </c>
      <c r="E97" s="56">
        <v>0</v>
      </c>
    </row>
    <row r="98" spans="1:5" ht="15" x14ac:dyDescent="0.25">
      <c r="B98" t="s">
        <v>218</v>
      </c>
      <c r="C98" s="86">
        <v>2940000</v>
      </c>
      <c r="E98" s="56">
        <v>0</v>
      </c>
    </row>
    <row r="99" spans="1:5" ht="15" x14ac:dyDescent="0.25">
      <c r="B99" t="s">
        <v>219</v>
      </c>
      <c r="C99" s="86">
        <v>1210152.7777777778</v>
      </c>
      <c r="E99" s="56">
        <v>0</v>
      </c>
    </row>
    <row r="100" spans="1:5" ht="15" x14ac:dyDescent="0.25">
      <c r="B100" t="s">
        <v>220</v>
      </c>
      <c r="C100" s="86">
        <v>1224573.1000000001</v>
      </c>
      <c r="E100" s="56">
        <v>0</v>
      </c>
    </row>
    <row r="101" spans="1:5" ht="15" x14ac:dyDescent="0.25">
      <c r="B101" t="s">
        <v>221</v>
      </c>
      <c r="C101" s="87">
        <v>844872.90000000061</v>
      </c>
      <c r="E101" s="56">
        <v>0</v>
      </c>
    </row>
    <row r="102" spans="1:5" s="1" customFormat="1" ht="13.5" thickBot="1" x14ac:dyDescent="0.25">
      <c r="A102" s="4"/>
      <c r="B102" s="52" t="s">
        <v>123</v>
      </c>
      <c r="C102" s="57">
        <f>SUM(C93:C101)</f>
        <v>9686577.6301906314</v>
      </c>
      <c r="D102" s="50"/>
      <c r="E102" s="57">
        <f>SUM(E93:E101)</f>
        <v>0</v>
      </c>
    </row>
    <row r="103" spans="1:5" s="1" customFormat="1" ht="7.15" customHeight="1" thickTop="1" x14ac:dyDescent="0.2">
      <c r="A103" s="4"/>
      <c r="B103" s="52"/>
      <c r="C103" s="7"/>
      <c r="D103" s="50"/>
      <c r="E103" s="7"/>
    </row>
    <row r="104" spans="1:5" s="1" customFormat="1" x14ac:dyDescent="0.2">
      <c r="A104" s="4"/>
      <c r="B104" s="49" t="s">
        <v>223</v>
      </c>
      <c r="C104" s="3"/>
      <c r="D104" s="45"/>
      <c r="E104" s="3"/>
    </row>
    <row r="105" spans="1:5" ht="15" x14ac:dyDescent="0.25">
      <c r="A105" s="9"/>
      <c r="B105" t="s">
        <v>224</v>
      </c>
      <c r="C105" s="88">
        <v>-1334.87100442477</v>
      </c>
      <c r="E105" s="51">
        <v>0</v>
      </c>
    </row>
    <row r="106" spans="1:5" s="1" customFormat="1" ht="4.9000000000000004" customHeight="1" x14ac:dyDescent="0.25">
      <c r="A106" s="4"/>
      <c r="B106" s="89"/>
      <c r="C106" s="90"/>
      <c r="D106" s="50"/>
      <c r="E106" s="7"/>
    </row>
    <row r="107" spans="1:5" s="1" customFormat="1" ht="13.5" thickBot="1" x14ac:dyDescent="0.25">
      <c r="A107" s="4"/>
      <c r="B107" s="49" t="s">
        <v>225</v>
      </c>
      <c r="C107" s="53">
        <f>C102+C105</f>
        <v>9685242.7591862064</v>
      </c>
      <c r="D107" s="50"/>
      <c r="E107" s="23">
        <f>SUM(E105)</f>
        <v>0</v>
      </c>
    </row>
    <row r="108" spans="1:5" s="1" customFormat="1" ht="13.5" thickTop="1" x14ac:dyDescent="0.2">
      <c r="A108" s="4"/>
      <c r="B108" s="49"/>
      <c r="C108" s="23"/>
      <c r="D108" s="50"/>
      <c r="E108" s="23"/>
    </row>
    <row r="109" spans="1:5" x14ac:dyDescent="0.2">
      <c r="A109" s="4">
        <v>14</v>
      </c>
      <c r="B109" s="49" t="s">
        <v>187</v>
      </c>
    </row>
    <row r="110" spans="1:5" x14ac:dyDescent="0.2">
      <c r="B110" s="2" t="s">
        <v>188</v>
      </c>
      <c r="C110" s="54">
        <v>390000</v>
      </c>
      <c r="D110" s="44"/>
      <c r="E110" s="54">
        <v>0</v>
      </c>
    </row>
    <row r="111" spans="1:5" x14ac:dyDescent="0.2">
      <c r="B111" s="2" t="s">
        <v>226</v>
      </c>
      <c r="C111" s="56">
        <v>600000</v>
      </c>
      <c r="D111" s="44"/>
      <c r="E111" s="56">
        <v>0</v>
      </c>
    </row>
    <row r="112" spans="1:5" x14ac:dyDescent="0.2">
      <c r="B112" s="2" t="s">
        <v>189</v>
      </c>
      <c r="C112" s="56">
        <v>217500</v>
      </c>
      <c r="D112" s="44"/>
      <c r="E112" s="56">
        <v>0</v>
      </c>
    </row>
    <row r="113" spans="1:5" x14ac:dyDescent="0.2">
      <c r="B113" s="2" t="s">
        <v>190</v>
      </c>
      <c r="C113" s="56">
        <v>190000</v>
      </c>
      <c r="D113" s="44"/>
      <c r="E113" s="56">
        <v>0</v>
      </c>
    </row>
    <row r="114" spans="1:5" x14ac:dyDescent="0.2">
      <c r="B114" s="2" t="s">
        <v>241</v>
      </c>
      <c r="C114" s="55">
        <v>7500</v>
      </c>
      <c r="D114" s="44"/>
      <c r="E114" s="55"/>
    </row>
    <row r="115" spans="1:5" ht="13.5" thickBot="1" x14ac:dyDescent="0.25">
      <c r="A115" s="9"/>
      <c r="B115" s="52" t="s">
        <v>123</v>
      </c>
      <c r="C115" s="53">
        <f>SUM(C110:C114)</f>
        <v>1405000</v>
      </c>
      <c r="D115" s="50"/>
      <c r="E115" s="53">
        <f>SUM(E110:E113)</f>
        <v>0</v>
      </c>
    </row>
    <row r="116" spans="1:5" ht="13.5" thickTop="1" x14ac:dyDescent="0.2"/>
    <row r="117" spans="1:5" s="1" customFormat="1" x14ac:dyDescent="0.2">
      <c r="A117" s="4">
        <v>15</v>
      </c>
      <c r="B117" s="49" t="s">
        <v>227</v>
      </c>
      <c r="C117" s="23"/>
      <c r="D117" s="50"/>
      <c r="E117" s="23"/>
    </row>
    <row r="118" spans="1:5" x14ac:dyDescent="0.2">
      <c r="B118" s="48" t="s">
        <v>228</v>
      </c>
      <c r="C118" s="54">
        <v>0</v>
      </c>
      <c r="E118" s="54">
        <v>0</v>
      </c>
    </row>
    <row r="119" spans="1:5" x14ac:dyDescent="0.2">
      <c r="B119" s="48" t="s">
        <v>233</v>
      </c>
      <c r="C119" s="55" t="e">
        <f>#REF!+#REF!</f>
        <v>#REF!</v>
      </c>
      <c r="E119" s="55">
        <v>0</v>
      </c>
    </row>
    <row r="120" spans="1:5" s="1" customFormat="1" x14ac:dyDescent="0.2">
      <c r="A120" s="4"/>
      <c r="B120" s="49"/>
      <c r="C120" s="23" t="e">
        <f>C119-C118</f>
        <v>#REF!</v>
      </c>
      <c r="D120" s="50"/>
      <c r="E120" s="23">
        <f>E119-E118</f>
        <v>0</v>
      </c>
    </row>
    <row r="122" spans="1:5" x14ac:dyDescent="0.2">
      <c r="A122" s="4">
        <v>16</v>
      </c>
      <c r="B122" s="49" t="s">
        <v>191</v>
      </c>
    </row>
    <row r="123" spans="1:5" x14ac:dyDescent="0.2">
      <c r="B123" s="48" t="s">
        <v>192</v>
      </c>
      <c r="C123" s="3">
        <f>IS!C33</f>
        <v>50407241.023762174</v>
      </c>
      <c r="E123" s="3">
        <f>IS!E33</f>
        <v>52487629.775786027</v>
      </c>
    </row>
    <row r="124" spans="1:5" x14ac:dyDescent="0.2">
      <c r="B124" s="48" t="s">
        <v>149</v>
      </c>
      <c r="C124" s="59">
        <f>BS!C51</f>
        <v>41192595</v>
      </c>
      <c r="E124" s="59">
        <f>BS!E51</f>
        <v>46237757</v>
      </c>
    </row>
    <row r="125" spans="1:5" ht="13.5" thickBot="1" x14ac:dyDescent="0.25">
      <c r="B125" s="52" t="s">
        <v>238</v>
      </c>
      <c r="C125" s="81">
        <f>C123/C124</f>
        <v>1.2236966625618555</v>
      </c>
      <c r="E125" s="81">
        <f>E123/E124</f>
        <v>1.1351681651812398</v>
      </c>
    </row>
    <row r="126" spans="1:5" ht="13.5" thickTop="1" x14ac:dyDescent="0.2"/>
    <row r="132" spans="8:8" ht="15" x14ac:dyDescent="0.2">
      <c r="H132" s="84">
        <v>1392900.2000000014</v>
      </c>
    </row>
    <row r="133" spans="8:8" ht="15" x14ac:dyDescent="0.2">
      <c r="H133" s="84">
        <v>917602.89999999944</v>
      </c>
    </row>
    <row r="134" spans="8:8" ht="15" x14ac:dyDescent="0.2">
      <c r="H134" s="84">
        <v>689312.70669856493</v>
      </c>
    </row>
    <row r="135" spans="8:8" ht="15" x14ac:dyDescent="0.2">
      <c r="H135" s="84">
        <v>333709.2</v>
      </c>
    </row>
    <row r="136" spans="8:8" ht="15" x14ac:dyDescent="0.2">
      <c r="H136" s="84">
        <v>133453.84571428804</v>
      </c>
    </row>
    <row r="137" spans="8:8" ht="15" x14ac:dyDescent="0.2">
      <c r="H137" s="84">
        <v>2940000</v>
      </c>
    </row>
    <row r="138" spans="8:8" ht="15" x14ac:dyDescent="0.2">
      <c r="H138" s="84">
        <v>1210152.7777777778</v>
      </c>
    </row>
    <row r="139" spans="8:8" ht="15" x14ac:dyDescent="0.2">
      <c r="H139" s="84">
        <v>1224573.1000000001</v>
      </c>
    </row>
    <row r="140" spans="8:8" ht="15" x14ac:dyDescent="0.2">
      <c r="H140" s="84">
        <v>844872.90000000061</v>
      </c>
    </row>
    <row r="143" spans="8:8" ht="15" x14ac:dyDescent="0.2">
      <c r="H143" s="82">
        <v>-1334.87100442477</v>
      </c>
    </row>
  </sheetData>
  <mergeCells count="3">
    <mergeCell ref="A1:E1"/>
    <mergeCell ref="C80:C82"/>
    <mergeCell ref="E80:E82"/>
  </mergeCells>
  <pageMargins left="0.7" right="0.7" top="0.75" bottom="0.75" header="0.3" footer="0.3"/>
  <pageSetup paperSize="9" scale="74" fitToHeight="0"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E2:F82"/>
  <sheetViews>
    <sheetView showGridLines="0" topLeftCell="A6" zoomScale="115" zoomScaleNormal="115" workbookViewId="0">
      <selection activeCell="F48" sqref="F48"/>
    </sheetView>
  </sheetViews>
  <sheetFormatPr defaultRowHeight="15" x14ac:dyDescent="0.25"/>
  <cols>
    <col min="5" max="5" width="6" customWidth="1"/>
    <col min="6" max="6" width="75.5703125" customWidth="1"/>
  </cols>
  <sheetData>
    <row r="2" spans="5:6" ht="15.75" x14ac:dyDescent="0.25">
      <c r="E2" s="579" t="s">
        <v>242</v>
      </c>
      <c r="F2" s="580"/>
    </row>
    <row r="3" spans="5:6" x14ac:dyDescent="0.25">
      <c r="E3" s="581" t="s">
        <v>243</v>
      </c>
      <c r="F3" s="582"/>
    </row>
    <row r="4" spans="5:6" x14ac:dyDescent="0.25">
      <c r="E4" s="583" t="s">
        <v>244</v>
      </c>
      <c r="F4" s="584"/>
    </row>
    <row r="6" spans="5:6" x14ac:dyDescent="0.25">
      <c r="E6" s="139">
        <v>1</v>
      </c>
      <c r="F6" s="140" t="s">
        <v>245</v>
      </c>
    </row>
    <row r="7" spans="5:6" x14ac:dyDescent="0.25">
      <c r="E7" s="141"/>
      <c r="F7" s="141"/>
    </row>
    <row r="8" spans="5:6" x14ac:dyDescent="0.25">
      <c r="E8" s="142">
        <v>1.01</v>
      </c>
      <c r="F8" s="143" t="s">
        <v>246</v>
      </c>
    </row>
    <row r="9" spans="5:6" ht="350.25" customHeight="1" x14ac:dyDescent="0.25">
      <c r="E9" s="144"/>
      <c r="F9" s="138" t="s">
        <v>288</v>
      </c>
    </row>
    <row r="10" spans="5:6" x14ac:dyDescent="0.25">
      <c r="E10" s="141"/>
      <c r="F10" s="141"/>
    </row>
    <row r="11" spans="5:6" x14ac:dyDescent="0.25">
      <c r="E11" s="142">
        <v>1.02</v>
      </c>
      <c r="F11" s="143" t="s">
        <v>247</v>
      </c>
    </row>
    <row r="12" spans="5:6" ht="60" x14ac:dyDescent="0.25">
      <c r="E12" s="144"/>
      <c r="F12" s="138" t="s">
        <v>248</v>
      </c>
    </row>
    <row r="13" spans="5:6" x14ac:dyDescent="0.25">
      <c r="E13" s="141"/>
      <c r="F13" s="141"/>
    </row>
    <row r="14" spans="5:6" x14ac:dyDescent="0.25">
      <c r="E14" s="142">
        <v>1.03</v>
      </c>
      <c r="F14" s="143" t="s">
        <v>249</v>
      </c>
    </row>
    <row r="15" spans="5:6" ht="45" x14ac:dyDescent="0.25">
      <c r="E15" s="144"/>
      <c r="F15" s="138" t="s">
        <v>250</v>
      </c>
    </row>
    <row r="16" spans="5:6" ht="7.5" customHeight="1" x14ac:dyDescent="0.25">
      <c r="E16" s="141"/>
      <c r="F16" s="141"/>
    </row>
    <row r="17" spans="5:6" x14ac:dyDescent="0.25">
      <c r="E17" s="141"/>
      <c r="F17" s="141"/>
    </row>
    <row r="18" spans="5:6" x14ac:dyDescent="0.25">
      <c r="E18" s="141"/>
      <c r="F18" s="141"/>
    </row>
    <row r="19" spans="5:6" x14ac:dyDescent="0.25">
      <c r="E19" s="141"/>
      <c r="F19" s="141"/>
    </row>
    <row r="20" spans="5:6" x14ac:dyDescent="0.25">
      <c r="E20" s="139">
        <v>2</v>
      </c>
      <c r="F20" s="140" t="s">
        <v>251</v>
      </c>
    </row>
    <row r="21" spans="5:6" x14ac:dyDescent="0.25">
      <c r="E21" s="141"/>
      <c r="F21" s="141"/>
    </row>
    <row r="22" spans="5:6" x14ac:dyDescent="0.25">
      <c r="E22" s="141"/>
      <c r="F22" s="141"/>
    </row>
    <row r="23" spans="5:6" x14ac:dyDescent="0.25">
      <c r="E23" s="142">
        <v>2.0099999999999998</v>
      </c>
      <c r="F23" s="143" t="s">
        <v>253</v>
      </c>
    </row>
    <row r="24" spans="5:6" ht="120" x14ac:dyDescent="0.25">
      <c r="E24" s="144"/>
      <c r="F24" s="138" t="s">
        <v>252</v>
      </c>
    </row>
    <row r="25" spans="5:6" x14ac:dyDescent="0.25">
      <c r="E25" s="141"/>
      <c r="F25" s="141"/>
    </row>
    <row r="26" spans="5:6" x14ac:dyDescent="0.25">
      <c r="E26" s="142">
        <v>2.02</v>
      </c>
      <c r="F26" s="143" t="s">
        <v>255</v>
      </c>
    </row>
    <row r="27" spans="5:6" ht="150" x14ac:dyDescent="0.25">
      <c r="E27" s="144"/>
      <c r="F27" s="138" t="s">
        <v>254</v>
      </c>
    </row>
    <row r="28" spans="5:6" x14ac:dyDescent="0.25">
      <c r="E28" s="141"/>
      <c r="F28" s="141"/>
    </row>
    <row r="29" spans="5:6" x14ac:dyDescent="0.25">
      <c r="E29" s="142">
        <v>2.0299999999999998</v>
      </c>
      <c r="F29" s="143" t="s">
        <v>256</v>
      </c>
    </row>
    <row r="30" spans="5:6" ht="30" x14ac:dyDescent="0.25">
      <c r="E30" s="144"/>
      <c r="F30" s="138" t="s">
        <v>257</v>
      </c>
    </row>
    <row r="31" spans="5:6" x14ac:dyDescent="0.25">
      <c r="E31" s="141"/>
      <c r="F31" s="141"/>
    </row>
    <row r="32" spans="5:6" x14ac:dyDescent="0.25">
      <c r="E32" s="142">
        <v>2.04</v>
      </c>
      <c r="F32" s="143" t="s">
        <v>258</v>
      </c>
    </row>
    <row r="33" spans="5:6" ht="30" x14ac:dyDescent="0.25">
      <c r="E33" s="144"/>
      <c r="F33" s="138" t="s">
        <v>259</v>
      </c>
    </row>
    <row r="34" spans="5:6" x14ac:dyDescent="0.25">
      <c r="E34" s="141"/>
      <c r="F34" s="141"/>
    </row>
    <row r="35" spans="5:6" x14ac:dyDescent="0.25">
      <c r="E35" s="142">
        <v>2.0499999999999998</v>
      </c>
      <c r="F35" s="143" t="s">
        <v>260</v>
      </c>
    </row>
    <row r="36" spans="5:6" ht="30" x14ac:dyDescent="0.25">
      <c r="E36" s="144"/>
      <c r="F36" s="138" t="s">
        <v>261</v>
      </c>
    </row>
    <row r="37" spans="5:6" x14ac:dyDescent="0.25">
      <c r="E37" s="141"/>
      <c r="F37" s="141"/>
    </row>
    <row r="38" spans="5:6" x14ac:dyDescent="0.25">
      <c r="E38" s="142">
        <v>2.06</v>
      </c>
      <c r="F38" s="143" t="s">
        <v>262</v>
      </c>
    </row>
    <row r="39" spans="5:6" ht="390" x14ac:dyDescent="0.25">
      <c r="E39" s="144"/>
      <c r="F39" s="138" t="s">
        <v>289</v>
      </c>
    </row>
    <row r="40" spans="5:6" x14ac:dyDescent="0.25">
      <c r="E40" s="141"/>
      <c r="F40" s="141"/>
    </row>
    <row r="41" spans="5:6" x14ac:dyDescent="0.25">
      <c r="E41" s="142">
        <v>2.0699999999999998</v>
      </c>
      <c r="F41" s="143" t="s">
        <v>263</v>
      </c>
    </row>
    <row r="42" spans="5:6" ht="30" x14ac:dyDescent="0.25">
      <c r="E42" s="144"/>
      <c r="F42" s="138" t="s">
        <v>264</v>
      </c>
    </row>
    <row r="43" spans="5:6" x14ac:dyDescent="0.25">
      <c r="E43" s="141"/>
      <c r="F43" s="141"/>
    </row>
    <row r="44" spans="5:6" x14ac:dyDescent="0.25">
      <c r="E44" s="142">
        <v>2.08</v>
      </c>
      <c r="F44" s="143" t="s">
        <v>265</v>
      </c>
    </row>
    <row r="45" spans="5:6" ht="158.25" customHeight="1" x14ac:dyDescent="0.25">
      <c r="E45" s="144"/>
      <c r="F45" s="138" t="s">
        <v>266</v>
      </c>
    </row>
    <row r="46" spans="5:6" x14ac:dyDescent="0.25">
      <c r="E46" s="141"/>
      <c r="F46" s="141"/>
    </row>
    <row r="47" spans="5:6" x14ac:dyDescent="0.25">
      <c r="E47" s="142">
        <v>2.09</v>
      </c>
      <c r="F47" s="143" t="s">
        <v>77</v>
      </c>
    </row>
    <row r="48" spans="5:6" ht="78" customHeight="1" x14ac:dyDescent="0.25">
      <c r="E48" s="144"/>
      <c r="F48" s="138" t="s">
        <v>267</v>
      </c>
    </row>
    <row r="49" spans="5:6" x14ac:dyDescent="0.25">
      <c r="E49" s="141"/>
      <c r="F49" s="141"/>
    </row>
    <row r="50" spans="5:6" x14ac:dyDescent="0.25">
      <c r="E50" s="145">
        <v>2.1</v>
      </c>
      <c r="F50" s="146" t="s">
        <v>109</v>
      </c>
    </row>
    <row r="51" spans="5:6" ht="30.75" customHeight="1" x14ac:dyDescent="0.25">
      <c r="E51" s="147"/>
      <c r="F51" s="148" t="s">
        <v>268</v>
      </c>
    </row>
    <row r="52" spans="5:6" ht="60" x14ac:dyDescent="0.25">
      <c r="E52" s="144"/>
      <c r="F52" s="138" t="s">
        <v>269</v>
      </c>
    </row>
    <row r="53" spans="5:6" x14ac:dyDescent="0.25">
      <c r="E53" s="141"/>
      <c r="F53" s="141"/>
    </row>
    <row r="54" spans="5:6" x14ac:dyDescent="0.25">
      <c r="E54" s="142">
        <v>2.11</v>
      </c>
      <c r="F54" s="146" t="s">
        <v>271</v>
      </c>
    </row>
    <row r="55" spans="5:6" ht="165" x14ac:dyDescent="0.25">
      <c r="E55" s="144"/>
      <c r="F55" s="138" t="s">
        <v>270</v>
      </c>
    </row>
    <row r="56" spans="5:6" x14ac:dyDescent="0.25">
      <c r="E56" s="141"/>
      <c r="F56" s="141"/>
    </row>
    <row r="57" spans="5:6" x14ac:dyDescent="0.25">
      <c r="E57" s="142">
        <v>2.12</v>
      </c>
      <c r="F57" s="146" t="s">
        <v>111</v>
      </c>
    </row>
    <row r="58" spans="5:6" ht="105" x14ac:dyDescent="0.25">
      <c r="E58" s="144"/>
      <c r="F58" s="138" t="s">
        <v>272</v>
      </c>
    </row>
    <row r="59" spans="5:6" x14ac:dyDescent="0.25">
      <c r="E59" s="141"/>
      <c r="F59" s="141"/>
    </row>
    <row r="60" spans="5:6" x14ac:dyDescent="0.25">
      <c r="E60" s="142">
        <v>2.13</v>
      </c>
      <c r="F60" s="146" t="s">
        <v>274</v>
      </c>
    </row>
    <row r="61" spans="5:6" ht="60" x14ac:dyDescent="0.25">
      <c r="E61" s="144"/>
      <c r="F61" s="138" t="s">
        <v>273</v>
      </c>
    </row>
    <row r="62" spans="5:6" x14ac:dyDescent="0.25">
      <c r="E62" s="141"/>
      <c r="F62" s="141"/>
    </row>
    <row r="63" spans="5:6" x14ac:dyDescent="0.25">
      <c r="E63" s="142">
        <v>2.14</v>
      </c>
      <c r="F63" s="146" t="s">
        <v>276</v>
      </c>
    </row>
    <row r="64" spans="5:6" ht="134.25" customHeight="1" x14ac:dyDescent="0.25">
      <c r="E64" s="144"/>
      <c r="F64" s="138" t="s">
        <v>275</v>
      </c>
    </row>
    <row r="65" spans="5:6" x14ac:dyDescent="0.25">
      <c r="E65" s="141"/>
      <c r="F65" s="141"/>
    </row>
    <row r="66" spans="5:6" x14ac:dyDescent="0.25">
      <c r="E66" s="142">
        <v>2.15</v>
      </c>
      <c r="F66" s="146" t="s">
        <v>277</v>
      </c>
    </row>
    <row r="67" spans="5:6" ht="60" x14ac:dyDescent="0.25">
      <c r="E67" s="144"/>
      <c r="F67" s="138" t="s">
        <v>278</v>
      </c>
    </row>
    <row r="68" spans="5:6" x14ac:dyDescent="0.25">
      <c r="E68" s="141"/>
      <c r="F68" s="141"/>
    </row>
    <row r="69" spans="5:6" x14ac:dyDescent="0.25">
      <c r="E69" s="142">
        <v>2.16</v>
      </c>
      <c r="F69" s="146" t="s">
        <v>106</v>
      </c>
    </row>
    <row r="70" spans="5:6" ht="45" x14ac:dyDescent="0.25">
      <c r="E70" s="144"/>
      <c r="F70" s="138" t="s">
        <v>279</v>
      </c>
    </row>
    <row r="71" spans="5:6" x14ac:dyDescent="0.25">
      <c r="E71" s="141"/>
      <c r="F71" s="141"/>
    </row>
    <row r="72" spans="5:6" x14ac:dyDescent="0.25">
      <c r="E72" s="142">
        <v>2.17</v>
      </c>
      <c r="F72" s="146" t="s">
        <v>281</v>
      </c>
    </row>
    <row r="73" spans="5:6" ht="46.5" customHeight="1" x14ac:dyDescent="0.25">
      <c r="E73" s="144"/>
      <c r="F73" s="138" t="s">
        <v>280</v>
      </c>
    </row>
    <row r="74" spans="5:6" x14ac:dyDescent="0.25">
      <c r="E74" s="141"/>
      <c r="F74" s="141"/>
    </row>
    <row r="75" spans="5:6" x14ac:dyDescent="0.25">
      <c r="E75" s="142">
        <v>2.1800000000000002</v>
      </c>
      <c r="F75" s="146" t="s">
        <v>283</v>
      </c>
    </row>
    <row r="76" spans="5:6" ht="30" x14ac:dyDescent="0.25">
      <c r="E76" s="144"/>
      <c r="F76" s="138" t="s">
        <v>282</v>
      </c>
    </row>
    <row r="77" spans="5:6" x14ac:dyDescent="0.25">
      <c r="E77" s="141"/>
      <c r="F77" s="141"/>
    </row>
    <row r="78" spans="5:6" x14ac:dyDescent="0.25">
      <c r="E78" s="142">
        <v>2.19</v>
      </c>
      <c r="F78" s="146" t="s">
        <v>284</v>
      </c>
    </row>
    <row r="79" spans="5:6" x14ac:dyDescent="0.25">
      <c r="E79" s="144"/>
      <c r="F79" s="138" t="s">
        <v>285</v>
      </c>
    </row>
    <row r="80" spans="5:6" x14ac:dyDescent="0.25">
      <c r="E80" s="141"/>
      <c r="F80" s="141"/>
    </row>
    <row r="81" spans="5:6" x14ac:dyDescent="0.25">
      <c r="E81" s="145">
        <v>2.2000000000000002</v>
      </c>
      <c r="F81" s="146" t="s">
        <v>286</v>
      </c>
    </row>
    <row r="82" spans="5:6" ht="30" x14ac:dyDescent="0.25">
      <c r="E82" s="144"/>
      <c r="F82" s="138" t="s">
        <v>287</v>
      </c>
    </row>
  </sheetData>
  <mergeCells count="3">
    <mergeCell ref="E2:F2"/>
    <mergeCell ref="E3:F3"/>
    <mergeCell ref="E4:F4"/>
  </mergeCells>
  <pageMargins left="1" right="1" top="1" bottom="1" header="0.5" footer="0.5"/>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E2:M16"/>
  <sheetViews>
    <sheetView showGridLines="0" workbookViewId="0">
      <selection activeCell="H23" sqref="H23"/>
    </sheetView>
  </sheetViews>
  <sheetFormatPr defaultRowHeight="15" x14ac:dyDescent="0.25"/>
  <cols>
    <col min="5" max="5" width="8.28515625" bestFit="1" customWidth="1"/>
    <col min="6" max="6" width="43.5703125" bestFit="1" customWidth="1"/>
    <col min="7" max="7" width="9" bestFit="1" customWidth="1"/>
    <col min="8" max="8" width="7.5703125" bestFit="1" customWidth="1"/>
    <col min="9" max="9" width="18.28515625" bestFit="1" customWidth="1"/>
    <col min="10" max="10" width="17.7109375" bestFit="1" customWidth="1"/>
    <col min="11" max="11" width="19.28515625" bestFit="1" customWidth="1"/>
    <col min="13" max="13" width="23.140625" bestFit="1" customWidth="1"/>
  </cols>
  <sheetData>
    <row r="2" spans="5:13" x14ac:dyDescent="0.25">
      <c r="E2" s="161" t="s">
        <v>104</v>
      </c>
      <c r="F2" s="161" t="s">
        <v>291</v>
      </c>
      <c r="G2" s="161" t="s">
        <v>125</v>
      </c>
      <c r="H2" s="161" t="s">
        <v>122</v>
      </c>
      <c r="I2" s="161" t="s">
        <v>290</v>
      </c>
      <c r="J2" s="161" t="s">
        <v>292</v>
      </c>
      <c r="K2" s="155" t="s">
        <v>194</v>
      </c>
    </row>
    <row r="3" spans="5:13" x14ac:dyDescent="0.25">
      <c r="E3" s="162">
        <v>44199</v>
      </c>
      <c r="F3" s="137" t="s">
        <v>202</v>
      </c>
      <c r="G3" s="150">
        <v>50000</v>
      </c>
      <c r="H3" s="156">
        <v>45.076000000000001</v>
      </c>
      <c r="I3" s="83">
        <v>2253800</v>
      </c>
      <c r="J3" s="83">
        <v>2046371.3022328548</v>
      </c>
      <c r="K3" s="157">
        <v>207428.6977671452</v>
      </c>
    </row>
    <row r="4" spans="5:13" x14ac:dyDescent="0.25">
      <c r="E4" s="162">
        <v>44199</v>
      </c>
      <c r="F4" s="137" t="s">
        <v>195</v>
      </c>
      <c r="G4" s="150">
        <v>70677</v>
      </c>
      <c r="H4" s="156">
        <v>35.441451957496781</v>
      </c>
      <c r="I4" s="83">
        <v>2504895.5</v>
      </c>
      <c r="J4" s="83">
        <v>2518099.2325353981</v>
      </c>
      <c r="K4" s="157">
        <v>-13203.732535398256</v>
      </c>
      <c r="M4" s="154"/>
    </row>
    <row r="5" spans="5:13" x14ac:dyDescent="0.25">
      <c r="E5" s="162">
        <v>44199</v>
      </c>
      <c r="F5" s="137" t="s">
        <v>204</v>
      </c>
      <c r="G5" s="150">
        <v>1500</v>
      </c>
      <c r="H5" s="156">
        <v>1272.884</v>
      </c>
      <c r="I5" s="83">
        <v>1909326</v>
      </c>
      <c r="J5" s="83">
        <v>1923450</v>
      </c>
      <c r="K5" s="157">
        <v>-14123.999999999909</v>
      </c>
    </row>
    <row r="6" spans="5:13" x14ac:dyDescent="0.25">
      <c r="E6" s="162">
        <v>44199</v>
      </c>
      <c r="F6" s="137" t="s">
        <v>154</v>
      </c>
      <c r="G6" s="150">
        <v>24000</v>
      </c>
      <c r="H6" s="156">
        <v>41</v>
      </c>
      <c r="I6" s="83">
        <v>984000</v>
      </c>
      <c r="J6" s="83">
        <v>910339.17165714293</v>
      </c>
      <c r="K6" s="157">
        <v>73660.828342857028</v>
      </c>
    </row>
    <row r="7" spans="5:13" x14ac:dyDescent="0.25">
      <c r="E7" s="162">
        <v>44199</v>
      </c>
      <c r="F7" s="137" t="s">
        <v>196</v>
      </c>
      <c r="G7" s="150">
        <v>5000</v>
      </c>
      <c r="H7" s="156">
        <v>78.983699999999999</v>
      </c>
      <c r="I7" s="83">
        <v>394918.5</v>
      </c>
      <c r="J7" s="83">
        <v>348380.48</v>
      </c>
      <c r="K7" s="157">
        <v>46538.01999999999</v>
      </c>
    </row>
    <row r="8" spans="5:13" x14ac:dyDescent="0.25">
      <c r="E8" s="162">
        <v>44199</v>
      </c>
      <c r="F8" s="137" t="s">
        <v>199</v>
      </c>
      <c r="G8" s="150">
        <v>10000</v>
      </c>
      <c r="H8" s="156">
        <v>195.01</v>
      </c>
      <c r="I8" s="83">
        <v>1950100</v>
      </c>
      <c r="J8" s="83">
        <v>1889096.0666666664</v>
      </c>
      <c r="K8" s="157">
        <v>61003.933333333574</v>
      </c>
    </row>
    <row r="9" spans="5:13" x14ac:dyDescent="0.25">
      <c r="E9" s="162">
        <v>44199</v>
      </c>
      <c r="F9" s="137" t="s">
        <v>154</v>
      </c>
      <c r="G9" s="150">
        <v>8500</v>
      </c>
      <c r="H9" s="156">
        <v>41.1</v>
      </c>
      <c r="I9" s="83">
        <v>349350</v>
      </c>
      <c r="J9" s="83">
        <v>322411.78996190481</v>
      </c>
      <c r="K9" s="157">
        <v>26938.210038095211</v>
      </c>
    </row>
    <row r="10" spans="5:13" x14ac:dyDescent="0.25">
      <c r="E10" s="162">
        <v>44199</v>
      </c>
      <c r="F10" s="137" t="s">
        <v>197</v>
      </c>
      <c r="G10" s="150">
        <v>5000</v>
      </c>
      <c r="H10" s="156">
        <v>178</v>
      </c>
      <c r="I10" s="83">
        <v>890000</v>
      </c>
      <c r="J10" s="83">
        <v>855586.85555555567</v>
      </c>
      <c r="K10" s="157">
        <v>34413.144444444297</v>
      </c>
    </row>
    <row r="11" spans="5:13" x14ac:dyDescent="0.25">
      <c r="E11" s="162">
        <v>44200</v>
      </c>
      <c r="F11" s="137" t="s">
        <v>201</v>
      </c>
      <c r="G11" s="150">
        <v>3550</v>
      </c>
      <c r="H11" s="156">
        <v>1256.036338028169</v>
      </c>
      <c r="I11" s="83">
        <v>4458929</v>
      </c>
      <c r="J11" s="83">
        <v>3849624.2950617275</v>
      </c>
      <c r="K11" s="157">
        <v>609304.7049382726</v>
      </c>
    </row>
    <row r="12" spans="5:13" x14ac:dyDescent="0.25">
      <c r="E12" s="162">
        <v>44200</v>
      </c>
      <c r="F12" s="137" t="s">
        <v>195</v>
      </c>
      <c r="G12" s="150">
        <v>40000</v>
      </c>
      <c r="H12" s="156">
        <v>35.791915000000003</v>
      </c>
      <c r="I12" s="83">
        <v>1431676.6</v>
      </c>
      <c r="J12" s="83">
        <v>1425130.7964601771</v>
      </c>
      <c r="K12" s="157">
        <v>6545.8035398231114</v>
      </c>
    </row>
    <row r="13" spans="5:13" x14ac:dyDescent="0.25">
      <c r="E13" s="162">
        <v>44200</v>
      </c>
      <c r="F13" s="137" t="s">
        <v>205</v>
      </c>
      <c r="G13" s="150">
        <v>68000</v>
      </c>
      <c r="H13" s="156">
        <v>35.9</v>
      </c>
      <c r="I13" s="83">
        <v>2441200</v>
      </c>
      <c r="J13" s="83">
        <v>680000</v>
      </c>
      <c r="K13" s="157">
        <v>1761200</v>
      </c>
    </row>
    <row r="14" spans="5:13" x14ac:dyDescent="0.25">
      <c r="E14" s="162">
        <v>44200</v>
      </c>
      <c r="F14" s="137" t="s">
        <v>200</v>
      </c>
      <c r="G14" s="150">
        <v>27500</v>
      </c>
      <c r="H14" s="156">
        <v>242</v>
      </c>
      <c r="I14" s="83">
        <v>6655000</v>
      </c>
      <c r="J14" s="83">
        <v>6109065.6312056733</v>
      </c>
      <c r="K14" s="157">
        <v>545934.36879432667</v>
      </c>
    </row>
    <row r="15" spans="5:13" x14ac:dyDescent="0.25">
      <c r="E15" s="162">
        <v>44201</v>
      </c>
      <c r="F15" s="137" t="s">
        <v>205</v>
      </c>
      <c r="G15" s="150">
        <v>200000</v>
      </c>
      <c r="H15" s="156">
        <v>39.4</v>
      </c>
      <c r="I15" s="83">
        <v>7880000</v>
      </c>
      <c r="J15" s="83">
        <v>2000000</v>
      </c>
      <c r="K15" s="157">
        <v>5880000</v>
      </c>
    </row>
    <row r="16" spans="5:13" x14ac:dyDescent="0.25">
      <c r="E16" s="163">
        <v>44202</v>
      </c>
      <c r="F16" s="149" t="s">
        <v>198</v>
      </c>
      <c r="G16" s="151">
        <v>19000</v>
      </c>
      <c r="H16" s="158">
        <v>52.2</v>
      </c>
      <c r="I16" s="159">
        <v>991800</v>
      </c>
      <c r="J16" s="159">
        <v>190000</v>
      </c>
      <c r="K16" s="160">
        <v>801800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578008-AC72-497A-8516-6A195809FF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Chart of Accounts</vt:lpstr>
      <vt:lpstr>INVESTOR_LIST</vt:lpstr>
      <vt:lpstr>Journals</vt:lpstr>
      <vt:lpstr>TB-C</vt:lpstr>
      <vt:lpstr>TB-P</vt:lpstr>
      <vt:lpstr>BS</vt:lpstr>
      <vt:lpstr>IS</vt:lpstr>
      <vt:lpstr>E</vt:lpstr>
      <vt:lpstr>CF</vt:lpstr>
      <vt:lpstr>W C &amp; I</vt:lpstr>
      <vt:lpstr>Custodian Fee</vt:lpstr>
      <vt:lpstr>Bank Int.</vt:lpstr>
      <vt:lpstr>Notes</vt:lpstr>
      <vt:lpstr>Policy Notes</vt:lpstr>
      <vt:lpstr>Trade-2021</vt:lpstr>
      <vt:lpstr>CURRENT_NAV</vt:lpstr>
      <vt:lpstr>fsa</vt:lpstr>
      <vt:lpstr>NAV</vt:lpstr>
      <vt:lpstr>NAV_MKT</vt:lpstr>
      <vt:lpstr>CF!Print_Area</vt:lpstr>
      <vt:lpstr>E!Print_Area</vt:lpstr>
      <vt:lpstr>IS!Print_Area</vt:lpstr>
      <vt:lpstr>Notes!Print_Titles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2026-03-29T05:33:53Z</dcterms:modified>
</cp:coreProperties>
</file>